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metricas_dinamico" sheetId="1" r:id="rId5"/>
    <sheet state="visible" name="resumen_metricas" sheetId="2" r:id="rId6"/>
    <sheet state="visible" name="Cuentas" sheetId="3" r:id="rId7"/>
    <sheet state="visible" name="MAIL" sheetId="4" r:id="rId8"/>
    <sheet state="visible" name="IVR" sheetId="5" r:id="rId9"/>
    <sheet state="visible" name="SMS" sheetId="6" r:id="rId10"/>
    <sheet state="visible" name="CC" sheetId="7" r:id="rId11"/>
    <sheet state="visible" name="DIGITAL" sheetId="8" r:id="rId12"/>
    <sheet state="visible" name="ALCANCE" sheetId="9" r:id="rId13"/>
    <sheet state="visible" name="URLs" sheetId="10" r:id="rId14"/>
    <sheet state="hidden" name="Desglose Alcance" sheetId="11" r:id="rId15"/>
    <sheet state="hidden" name="Audiencias" sheetId="12" r:id="rId16"/>
    <sheet state="hidden" name="Audiencias Conectadas" sheetId="13" r:id="rId17"/>
    <sheet state="hidden" name="Desplegables" sheetId="14" r:id="rId18"/>
  </sheets>
  <definedNames/>
  <calcPr/>
</workbook>
</file>

<file path=xl/sharedStrings.xml><?xml version="1.0" encoding="utf-8"?>
<sst xmlns="http://schemas.openxmlformats.org/spreadsheetml/2006/main" count="50012" uniqueCount="4259">
  <si>
    <t>id_cuentas</t>
  </si>
  <si>
    <t>nombre_campaña</t>
  </si>
  <si>
    <t>fecha_inicio</t>
  </si>
  <si>
    <t>fecha_fin</t>
  </si>
  <si>
    <t>eje</t>
  </si>
  <si>
    <t>area</t>
  </si>
  <si>
    <t>estado</t>
  </si>
  <si>
    <t>https://www.facebook.com/reel/818777800864033</t>
  </si>
  <si>
    <t/>
  </si>
  <si>
    <t>Pieza</t>
  </si>
  <si>
    <t>https://www.facebook.com/GCBA/posts/pfbid02ySETv8mbLPx3NFrrHh1eRhVRmMimid99iTcJQu2RtwUS7KCAiwKP9qoSStF1cMSml</t>
  </si>
  <si>
    <t>https://www.facebook.com/GCBA/posts/1295953569230956</t>
  </si>
  <si>
    <t>https://www.facebook.com/GCBA/posts/pfbid02j9NjjKC7QJSSUrKxkX55nDiWFRmCpVKSS3w7J3VpQA3DakuvLQQ5B3z96orCNRMUl</t>
  </si>
  <si>
    <t>https://www.facebook.com/GCBA/posts/pfbid02QwxLwyKnw9PCTX9BXhgSSH5hJ3u56noy7igZq9orxmSsVPqjj4MMUZ5SD9xXWWQ3l</t>
  </si>
  <si>
    <t>https://www.facebook.com/GCBA/posts/pfbid0swuyoC42Lys1AAsD6UQ7EPU5B43KXVdVXxxXU4X9oHEJ7DjKXtavLAdDHd6BpccBl</t>
  </si>
  <si>
    <t>https://www.facebook.com/GCBA/posts/pfbid02fZ6eoJSg8zqDVE3RogP3nnn5hqo9sxTPxRzzs7HgyWNUmM6XZmtSLLNohgBDJZ2xl</t>
  </si>
  <si>
    <t>https://www.facebook.com/GCBA/posts/pfbid02XEqLAZ3ja1iUkCQ1AFBkuUXwxFv9zsX5K86BwUhreM4wjGsmh9yx8x8cEFwBnwo1l</t>
  </si>
  <si>
    <t>https://www.facebook.com/GCBA/posts/pfbid02dx5PKW9dhfnoR52qjj3Cxnq9opfoRmH6HwTJx9uacynmmZet5vn1FL6Xavv3J8ZXl</t>
  </si>
  <si>
    <t>https://www.facebook.com/GCBA/posts/pfbid02SB5PG237gJvSQGMPLHpQAP5b6uxqxh8AqRUS3csVWmCnYyvd77i8d67LSBMnBtg8l</t>
  </si>
  <si>
    <t>https://www.facebook.com/GCBA/posts/pfbid0yZFqpziwsSvEpGHnbKnvgTkMNo6Ys8gfLmUBqRKhRCH71tiHcf1cXzt2RhCmokjMl</t>
  </si>
  <si>
    <t xml:space="preserve"> https://www.facebook.com/GCBA/posts/pfbid02fhrsXdCgnCn19Gs1k1PTjbTdAfYLBMqW3w4zhQLgJqH8r8uW4azYikpQk6Js8WNcl</t>
  </si>
  <si>
    <t>https://www.facebook.com/reel/1259490412867632</t>
  </si>
  <si>
    <t>https://www.facebook.com/GCBA/posts/pfbid034rFdFhu5CMuLHbUxCF393aMxjQ6Uzsq6seyeRjcjNKtzSymPzkApKt81BUxEeVj3l</t>
  </si>
  <si>
    <t>https://www.facebook.com/GCBA/posts/pfbid02PmAtvdzD176mjzPpPRZmFQTNXzNjqoKr7o9wByEVUtzkzYpigMPqtXRGysNDa6Wjl</t>
  </si>
  <si>
    <t>https://www.facebook.com/reel/1401103571662551</t>
  </si>
  <si>
    <t>https://www.facebook.com/reel/1385888349747054/</t>
  </si>
  <si>
    <t>https://www.facebook.com/GCBA/posts/pfbid0rLEuW4M93zccXsLKxEbAgdx71UvEEJJusTpaAfZzdSBaQDr7KZx36ckPuiwG1Rhql</t>
  </si>
  <si>
    <t>https://www.facebook.com/GCBA/posts/pfbid032UmvaRZ3eAJNRC4zHziYpyXVaPbbTucP4LKQNEh1BSxa3mTrzNz6mZGgDzRqYkTel</t>
  </si>
  <si>
    <t>https://www.facebook.com/GCBA/posts/pfbid08jZno8hyH4wUURfHDj5eKgWYFcmdn1Lqh1sjbw1zmwZJ4dSZGEmpAeit2EdCjTLal</t>
  </si>
  <si>
    <t>https://www.facebook.com/GCBA/posts/pfbid0nA1q3xBcy1eJcYdmUe5hTkrG2zrbURY6VnDCqEubzKtTg6UhWBiGjhgYWJQUsK86l</t>
  </si>
  <si>
    <t>https://www.facebook.com/GCBA/posts/pfbid0N5sbH3engzLHtbfZQM61dN6d9zBMxwsp4N1bpfX76sx6bnCZy4398mqDoXuTfdX5l</t>
  </si>
  <si>
    <t>https://fb.me/adspreview/facebook/1RMCueLZDYjPeIW</t>
  </si>
  <si>
    <t>https://www.facebook.com/reel/850462247854341</t>
  </si>
  <si>
    <t>https://www.facebook.com/100064853673908/posts/1304262748412169/</t>
  </si>
  <si>
    <t>facebook.com/reel/654304614371554/</t>
  </si>
  <si>
    <t>facebook.com/reel/1964189401115594/</t>
  </si>
  <si>
    <t>https://www.facebook.com/GCBA/posts/pfbid036pqFXR7zAF8PvFnxngTEwxPE9PqKmWq4AHHELyLosNtsxKY2jxKJRGQJxGk3ecSbl</t>
  </si>
  <si>
    <t>https://www.facebook.com/GCBA/posts/pfbid0BsWeHieuJG1uGtxTuMBe5GYGU77PsY829qhF8HeGWpSsWmLpxTT9CTzWTUa3pxfbl</t>
  </si>
  <si>
    <t>https://www.facebook.com/reel/1985348935347886</t>
  </si>
  <si>
    <t>https://www.facebook.com/GCBA/posts/pfbid034yhPZN5yb3JKe4gVWvnfg3JxEqjRYwvE5KVfa8FhtU9xnt4fvGGv6PfcJxxWU5qNl</t>
  </si>
  <si>
    <t>https://fb.me/adspreview/facebook/27utMxPibDIBULh</t>
  </si>
  <si>
    <t>https://www.facebook.com/GCBA/posts/pfbid02skUdtrbsimuTryUG4RHgFZofPSnLrmz2LKHSqBZbBiyVryTXEaMk43DgH54kd2xbl</t>
  </si>
  <si>
    <t>https://fb.me/adspreview/facebook/xMT36MnFuXZIDzt</t>
  </si>
  <si>
    <t>https://www.facebook.com/GCBA/posts/pfbid0337UG4zRXFbMrDgWhEvo65XfwWurZKf1GK8RZQ5Pka9jErhk36TCLtEoR98b6H6GGl</t>
  </si>
  <si>
    <t>https://www.facebook.com/reel/25959631640339458</t>
  </si>
  <si>
    <t>https://www.facebook.com/reel/1376298900359413</t>
  </si>
  <si>
    <t>https://www.facebook.com/reel/1332009022300877</t>
  </si>
  <si>
    <t>https://www.facebook.com/GCBA/posts/pfbid02BLwc5PnG5EYzbVeS3qNZ6Nb5in3PifakagmTh6BFX3zNQZ1rLsJ3FsQx9JDG2gFdl</t>
  </si>
  <si>
    <t>https://www.facebook.com/reel/1297793642108690</t>
  </si>
  <si>
    <t>https://www.facebook.com/reel/26974859272149704</t>
  </si>
  <si>
    <t>https://www.facebook.com/GCBA/posts/pfbid02yGxP3HnpYHFD9KgthW4dZJADq6KNSb78N1gpPo3Qyn5rcWTEddUtRf8A7kPqvWe6l</t>
  </si>
  <si>
    <t>PIeza</t>
  </si>
  <si>
    <t>https://www.facebook.com/photo?fbid=1447021517457493&amp;set=p.1447021517457493</t>
  </si>
  <si>
    <t>https://www.facebook.com/reel/1445769290004552</t>
  </si>
  <si>
    <t>https://www.facebook.com/reel/1974761746764395</t>
  </si>
  <si>
    <t>https://www.facebook.com/reel/1095770269437604</t>
  </si>
  <si>
    <t>https://www.facebook.com/reel/1862137061117644</t>
  </si>
  <si>
    <t xml:space="preserve">Pieza </t>
  </si>
  <si>
    <t>https://www.facebook.com/reel/1330701805649297</t>
  </si>
  <si>
    <t>https://www.facebook.com/reel/1297000715746820</t>
  </si>
  <si>
    <t>https://www.facebook.com/GCBA/posts/pfbid02kJAqNJQKHkr6HnTWhtj4EoMmoQkvchXoGoksdB483aiZM8mHCyBfuzEiebUqSfgCl</t>
  </si>
  <si>
    <t>https://www.facebook.com/baparticipacion/posts/pfbid025eXMMaMRR3xtuDzYFXpTi4Ew9wWyJ4dFKqVhL6K7ZPYi2WqphriDmGj6njpAB1uGl</t>
  </si>
  <si>
    <t>https://www.facebook.com/baparticipacion/posts/pfbid0qEJVDkM6tZVZ58Uu6pBmkE3n7D6gMe3zzAcvFfipACKprK91q7VNQGgdpEywzXsul</t>
  </si>
  <si>
    <t>https://www.facebook.com/reel/1636840367449927</t>
  </si>
  <si>
    <t>pieza</t>
  </si>
  <si>
    <t>https://www.facebook.com/baparticipacion/posts/pfbid02RUBMaJ62CajB3ZiaerUP7LxWT4fQZwdFBu1CD5j9gNTftoQtd27fNxQPcswxDdd2l</t>
  </si>
  <si>
    <t>https://www.facebook.com/baparticipacion/posts/pfbid02D4p3c61TC3iLaUufcUgkSy9YMaWZLpCQywL3zSV1MRMjfcFgJzcgDzqwp3kQ2a2Vl</t>
  </si>
  <si>
    <t>https://www.facebook.com/baparticipacion/posts/pfbid02W7pSHStUWAuVKanDN3fimepsME7cCDqvUC8LutXXxMXHYJdFubCRQ9vL8A6WTUMZl</t>
  </si>
  <si>
    <t>https://www.facebook.com/baparticipacion/posts/pfbid02DivgCpQoC2fB8rwvnUqqNXsH435uSvuKmTJWpHsUiWMVXZoqfLQpDKiziP5Rd3yQl</t>
  </si>
  <si>
    <t>https://www.facebook.com/baparticipacion/posts/pfbid0onKVqtxQyKuaY6vdX5cuEeKkdaUBMSx3oBipA1aaj3zAZ1AbiGza2kvH4bRfBxDcl</t>
  </si>
  <si>
    <t>https://fb.me/adspreview/facebook/2gC1YOO7LmB8gHB</t>
  </si>
  <si>
    <t>https://www.facebook.com/baparticipacion/posts/pfbid0kSaekN4E3crjZQsVx9VCKmGYdJREhLpffevxyskotGVh6WeB1QTfyfTdLHN2WyrMl</t>
  </si>
  <si>
    <t>https://www.facebook.com/GCBA/posts/pfbid0DZRfNQeZrb83xQQThogTYk4iP8kcW2amjyuLxfjmWuqZ8ndhe4MCUQ8gWzU3EDial</t>
  </si>
  <si>
    <t>https://www.facebook.com/GCBA/posts/pfbid0sjsw4fmaZgH69Leu9Xq1bGvySQmZsbQtRcg9RLZrzuPWEHQATgDdDX3DKPknXAmKl</t>
  </si>
  <si>
    <t>https://www.facebook.com/reel/975781694862173</t>
  </si>
  <si>
    <t>https://www.facebook.com/reel/1004337665882718</t>
  </si>
  <si>
    <t>https://www.facebook.com/GCBA/posts/pfbid02qaBDzBApaakXi9SjeBNn6xUvgrazcp7PbQLusMapiN1AqwWSP4P9owjRg47fKsvxl</t>
  </si>
  <si>
    <t>https://www.facebook.com/baparticipacion/posts/pfbid02KZUeu6698ybfHTdaJoen8nwGxjQMYPVAUZo6TqMhxiRskpv9L6Z7oJ5rhfhFrU8Sl</t>
  </si>
  <si>
    <t>https://www.facebook.com/reel/1441473893755475</t>
  </si>
  <si>
    <t>https://www.facebook.com/GCBA/posts/pfbid0E16AtoNWBXLpWUXesZd3cPNQWebLVihxqQHLM15qSupdZQf2fk4wY3XMMtcEtzkfl</t>
  </si>
  <si>
    <t>https://www.facebook.com/reel/1214416363924445</t>
  </si>
  <si>
    <t>https://www.facebook.com/GCBA/posts/pfbid0HDjJ7ADLmVV9qRNGYyC1QmhZKHE6gr3HcD2wiXfT8Uf1PBKo7aaWtbNktXYwgoBCl</t>
  </si>
  <si>
    <t>https://www.facebook.com/baparticipacion/posts/pfbid0UjssYKKcNNnjMP4wc9VnxyE2iRb1qJMDHDBAqV42U4dF3szvJTKxo9ksjwZTjkZvl</t>
  </si>
  <si>
    <t>https://www.facebook.com/baparticipacion/posts/pfbid02GLBYpkMkpgWMkCjsDo6d1qPvK3Fkx2kgUm6iEaXxovXXzd3UA7HdqNKbZdBWQaXtl</t>
  </si>
  <si>
    <t>https://www.facebook.com/baparticipacion/posts/pfbid02YRVUqWgcq9vykKsseVnPrFPvU3JAquodw9G3ixGSq1yrcVoABoHnYHW3xZpxs6v5l</t>
  </si>
  <si>
    <t>https://www.facebook.com/baparticipacion/posts/pfbid0ZNryPVEWwptixW2udVwy57jBnx2ZYBpc5reETSdaQPu1dtAQD4Wd1QTEiBXG2Kdul</t>
  </si>
  <si>
    <t>https://www.facebook.com/baparticipacion/posts/pfbid025EiXLdTesVNC45LnEp63AusvMG7DbCeSrJur6BFVkh6LDHS5tmrVPgPUZNLQWkAwl</t>
  </si>
  <si>
    <t>https://www.facebook.com/baparticipacion/posts/pfbid083zAfc3nNeS5Eqp7S1h3sXJAHVZ85HXeAHzorPa2k6QAc4RY9ex2S3XdfhzYgt1Ml</t>
  </si>
  <si>
    <t>https://www.facebook.com/baparticipacion/posts/pfbid02GaNy9rqMfsWNqVtKyk7cAG7YPM1x6zjFDkpX4NVkpqD7L6ytK7EqqXfmCBRHBocdl</t>
  </si>
  <si>
    <t>https://www.facebook.com/reel/1430192845027079</t>
  </si>
  <si>
    <t>https://www.facebook.com/GCBA/posts/pfbid0rZJ4fPo7YnA9AeScq2R7cxcdv5KyU4Q5Vbs7jAwpryZn8LuSdd5z1Z6QyCncHxsil</t>
  </si>
  <si>
    <t>https://www.facebook.com/GCBA/posts/pfbid0dTC8Lpqi6cP6mAMw4ceVVAx4C7fS6XDo5PzuFWLRgZkCGzvHMGB3PVJGmHyuSHS3l</t>
  </si>
  <si>
    <t>https://fb.me/adspreview/facebook/2dJpeAUOaCB7apk</t>
  </si>
  <si>
    <t>https://www.facebook.com/GCBA/posts/pfbid03potqP2eLt1quBeScj472G3XvQX7GKsrikv4qrT6WmgaAwGAKgpnViaxrhGzELgNl</t>
  </si>
  <si>
    <t>https://fb.me/adspreview/facebook/2F5N1HlfWgdYQBf</t>
  </si>
  <si>
    <t>https://www.facebook.com/baparticipacion/posts/pfbid0KU21EBFa9ohX5iTUwZQc18vqoPQ3yh1diytwSNduJyoSMoRhK6eudsgtSDcy3udMl</t>
  </si>
  <si>
    <t>https://www.facebook.com/GCBA/posts/pfbid0vT9BjkE9FtvnueXVa8bYmHyqadrpFHMZciLcgCAjaEUKTjCNojm5Do5ioaeMxA3Hl</t>
  </si>
  <si>
    <t>https://fb.me/adspreview/facebook/21gIh31pujWSpw4</t>
  </si>
  <si>
    <t>https://fb.me/adspreview/facebook/23HuMg8PbM643Dh</t>
  </si>
  <si>
    <t>https://www.facebook.com/baparticipacion/posts/pfbid02aS24Hkz9QALBv87g781wnbe4o3cNyAz4sbbsfiF9EtiQJzY3iyNNpAMCJRdAs3PEl</t>
  </si>
  <si>
    <t>https://www.facebook.com/GCBA/posts/pfbid0Dny5QJbX8hitGkDGBX9fHSDtTyn9e8hwh6zqgx9pvN8fpmf7kpFKshgUjB7jDUFFl</t>
  </si>
  <si>
    <t>https://fb.me/adspreview/facebook/1SWH8f44c3Zvh9M</t>
  </si>
  <si>
    <t>https://www.facebook.com/baparticipacion/posts/pfbid02dYYU4mZbzbHf5X6ZFcqJ8TJYAY5MCT3iFADCVgrDQgaZbbd7b6zgxeegzcn8zGMLl</t>
  </si>
  <si>
    <t>https://fb.me/adspreview/facebook/23PWppQrHRi6nAk</t>
  </si>
  <si>
    <t>https://www.facebook.com/reel/837422675431289</t>
  </si>
  <si>
    <t>https://fb.me/adspreview/facebook/25924LzCyb9nNj7</t>
  </si>
  <si>
    <t>https://fb.me/adspreview/facebook/25gmQAFKJnaEZvw</t>
  </si>
  <si>
    <t>https://www.facebook.com/reel/4417118131938305</t>
  </si>
  <si>
    <t>https://www.facebook.com/baparticipacion/posts/pfbid02U9UYVFgSW2u5YjDU3i6PnjkKoDXdwit5RC5jce6zaVMsps6G5JLhHCz2o19MJc7Yl</t>
  </si>
  <si>
    <t>https://www.facebook.com/baparticipacion/posts/pfbid0shocE44xmL2Vp7Tf1bcMpEmtkzJXvuTJnqoAci9tyUQJmP8yW437B7GM7q2rMt3kl</t>
  </si>
  <si>
    <t>https://www.facebook.com/baparticipacion/posts/pfbid0GzWuf7Ap7Y7Pi378gVersFXJagxXrdxWYBrV99tEWcMDBYws33j1RDahyAyJsMVAl</t>
  </si>
  <si>
    <t>https://www.facebook.com/baparticipacion/posts/pfbid02gLwQJ8rUUwQKTwkFGuLMEizLGGHtJvgGnM1hRJbj39URHPCysj85vKBzjs8hXcYql</t>
  </si>
  <si>
    <t>https://www.facebook.com/baparticipacion/posts/pfbid02RfD5oXgA8P3q6zwVkAp9uJLa6fSFfvvACB7em7W2hGYtZzw9idT2qE5zVd4nGrkfl</t>
  </si>
  <si>
    <t>https://www.facebook.com/baparticipacion/posts/pfbid023kLA75ppgyAUB3JBniZYYWvaAcZEGdPafxcfYGXSZUC7duoVETcQ7eGLZT9WFWk4l</t>
  </si>
  <si>
    <t>https://www.facebook.com/baparticipacion/posts/pfbid02nk9JT1CS1a3bwqK9m4xA2WAJPiPVaUrd6moFywPNX5UVzJ31Y1z7mZVRDeT3Tshcl</t>
  </si>
  <si>
    <t>https://www.facebook.com/baparticipacion/posts/pfbid02yG5kr92pnz4PNTvonpNcoGVwjaaR1Nrpx57TxisAnuiWH4bComAFZDpSEKbgBcwql</t>
  </si>
  <si>
    <t>https://www.facebook.com/baparticipacion/posts/pfbid02eHMU8DRFv5G7uj3fSY81NkcpYcFi9JTxfeNqhYnvkBPVgfv5NXU5kdufEvM2rof3l</t>
  </si>
  <si>
    <t>https://www.facebook.com/baparticipacion/posts/pfbid02Be94pfg4R6beCoTSePetEMVwLBbqTFd7CU3H6VoGozETniqhyxCakokCAeFUihLAl</t>
  </si>
  <si>
    <t>https://www.facebook.com/GCBA/posts/pfbid054fnijeMDNVJV1K4PTsWQtpWYmhmsHdb2niaFKoc9N1b8LPNcda5napYbUXdJbdql</t>
  </si>
  <si>
    <t>https://www.facebook.com/GCBA/posts/pfbid03uqGShkH3wDvPES2L1MKqxUrozrLNQSBWNBChNAwiwT9xs68ezppMcmScRX5Y3VPl</t>
  </si>
  <si>
    <t>https://www.facebook.com/baparticipacion/posts/pfbid02M8tPjxSc2H8DjmzfToUw7QqZxQaiiMtFjRaLwGMPpFzkeya6D1oUxgYPVd57Szw8l</t>
  </si>
  <si>
    <t>https://www.facebook.com/GCBA/posts/pfbid02mkiG9nFm5G63BVhZ6shaxyJDi3PhXf8wDbRbxigJ6yVPAknPZnidDSzLGXnRj91Dl</t>
  </si>
  <si>
    <t>https://www.facebook.com/reel/978161711529047</t>
  </si>
  <si>
    <t>https://www.facebook.com/reel/1353968750115839</t>
  </si>
  <si>
    <t>https://www.facebook.com/baparticipacion/posts/pfbid026g3Uz2gbNkm5uvV6VthN6oicMxWbg3GjhLLUX2GDNFuTZHzqY6MqveU9jfBMid9ul</t>
  </si>
  <si>
    <t>https://www.facebook.com/GCBA/posts/pfbid02yZmqzW27WZWmV78Fctq2sNgCipDpR11wQfc5ArDrGXxh4ExLJX9nJtQtEzD3rTDGl</t>
  </si>
  <si>
    <t>https://www.facebook.com/GCBA/posts/pfbid0oQofRyGp5qUhzGprJBX3geZJ71j9yNm2xJPKdPnP1j15Ftg9N3Bn5bVngUmVYNVnl</t>
  </si>
  <si>
    <t>https://www.facebook.com/GCBA/posts/pfbid02oc4eGpxiTuWbRHkbF7CMFJgXHy2yjdoztoFr8hDs9YJLbAr91HSjsiqNqAK4F7opl</t>
  </si>
  <si>
    <t>https://fb.me/adspreview/facebook/28Yf2et3oSUA5wW</t>
  </si>
  <si>
    <t>https://fb.me/adspreview/facebook/1U1zeapxpCivxwe</t>
  </si>
  <si>
    <t>https://www.facebook.com/reel/2170033937131074</t>
  </si>
  <si>
    <t>https://www.facebook.com/reel/1524051432758941</t>
  </si>
  <si>
    <t>https://www.facebook.com/GCBA/posts/pfbid02aNCMtfa2ugz4oUAhKsTz8d9nWexr2u33cXHACEdWgPBU9sw8nFwG6qceFSSgEHyVl</t>
  </si>
  <si>
    <t>https://www.facebook.com/GCBA/posts/pfbid0UXKR5mtRmWYXP5cTzNVa3FmB9ij1evJuxPD588yGyfBNCcZ154rcMRwSRNXUtSDwl</t>
  </si>
  <si>
    <t>https://www.facebook.com/GCBA/posts/pfbid0277YpxeHyUczhXNK3u8A7tDDmhV8R9AGH6TF7HV7vK9Lp44oZbVyEwKMpjdVQqRml</t>
  </si>
  <si>
    <t>https://fb.me/adspreview/facebook/1U53Ljp62nKtRhr</t>
  </si>
  <si>
    <t>https://www.facebook.com/reel/2478921712565121/</t>
  </si>
  <si>
    <t>https://www.facebook.com/baparticipacion/posts/pfbid0hwDpoNs6YYRf2X8atuVpFA7YNkjojnRYuAHyU2s44oECEmY4MhgAsFCauC7bfWevl</t>
  </si>
  <si>
    <t>https://www.facebook.com/GCBA/posts/pfbid02ZZNyUrpY1B4MgUutqorhDq8cCURfSLLjs4WQV7Jf9V5BvNoViXF6BneUAHD7zymql</t>
  </si>
  <si>
    <t>https://www.facebook.com/baparticipacion/posts/pfbid0XEULNebDXk1ywWcpcojCyfFSneCeUgxVJu926P5wGVrJP3Qwru1tRir4rro7HusWl</t>
  </si>
  <si>
    <t>https://www.facebook.com/baparticipacion/posts/pfbid09GkkAAkqoFPGdoydEHzWi3RWWfTrmQnxpo6ZWXqCf26wuME2jVZEq4GMgRy9rm8yl</t>
  </si>
  <si>
    <t>https://www.facebook.com/baparticipacion/posts/pfbid0brFm1bCbtuAtW9tkjBSjQLmnYttosXrpaAzso8fwbQuuLicQZWbN76MWrN71RekHl</t>
  </si>
  <si>
    <t>https://www.facebook.com/baparticipacion/posts/pfbid0KLowxoSSsyPpnxzoG5kuw1zrmDKcvdiDrZyXprZBLCSbaHeF3NxNiMzHqaFMdnSdl</t>
  </si>
  <si>
    <t>https://www.facebook.com/baparticipacion/posts/pfbid0NsuYsQqCMf2nfQNUxYatuEnSRbrSBKmf4sB6ZgcyQ4AwVpSiXVGsQC78JgT44Ny9l</t>
  </si>
  <si>
    <t>https://www.facebook.com/GCBA/posts/pfbid0yJbTFZ1bu3XPMWb9zMuZCve5X87Q4ugRLcfLkSzVdBZ4wp7SvnPjPrQnwKh2Q7CTl</t>
  </si>
  <si>
    <t>https://fb.me/adspreview/facebook/1TkeqwIzNSX2150</t>
  </si>
  <si>
    <t>https://fb.me/adspreview/facebook/1TLrgWWjgfhGCM8</t>
  </si>
  <si>
    <t>https://www.facebook.com/baparticipacion/posts/pfbid0Ed8Uev5EPAvAM9UfPvra2XCBo8zCNAc9sygYL7GXb6eMNXrC2PoUzhEK76CY3riYl</t>
  </si>
  <si>
    <t>https://www.facebook.com/baparticipacion/posts/pfbid02Cd9WeTeR2MvAMMwZfG6fiw1RXx9T8DrkaBsfjpLgT1xQZFq9pRVZBMTcw4KKgQDPl</t>
  </si>
  <si>
    <t>https://www.facebook.com/baparticipacion/posts/pfbid0aiHtMwhdKZKogzkdAm5sZjZ8RPpvY4pTg5x8Pf26m1cy2KiC6hbiuG4THxXjumTBl</t>
  </si>
  <si>
    <t>https://www.facebook.com/baparticipacion/posts/pfbid034YdpP2aCj4a3NF71q3dkVsnDbhNPMVqYjNZAKFyzDYxuFdcvFhUqS7oDMYJ9dSUQl</t>
  </si>
  <si>
    <t>https://www.facebook.com/GCBA/posts/pfbid02om29QPQdx9biG61u6BbBky6d5wspZwCXoTWdjfupSHCvfZkz4Luw6CqrKFG4nv4Xl</t>
  </si>
  <si>
    <t>https://www.facebook.com/baparticipacion/posts/pfbid0fFhtpJqpsLYvKCoQdrSx9qawc4fNkRYx3sJRrh7NgP1kmb6eJyjAvRTLvHGRvbuEl</t>
  </si>
  <si>
    <t>https://www.facebook.com/GCBA/posts/pfbid02s3FadHkMcs1KPejoRvT7cNbSZg8SAwtbQqyenJWmhWjZzhBZFXKB6TGjKT85xmuEl</t>
  </si>
  <si>
    <t>https://www.facebook.com/reel/1350977913533302</t>
  </si>
  <si>
    <t>https://www.facebook.com/reel/1661938441623776</t>
  </si>
  <si>
    <t>https://www.facebook.com/GCBA/posts/pfbid0aBxKSdHUmjtuwXeFb8ASPceQu2KgZjKW3Br8u72xk58sWkLAexGHWAqE8TGKmoTLl</t>
  </si>
  <si>
    <t>https://www.facebook.com/GCBA/posts/pfbid0n8SL6JhJG2DYBnBuXA56cNcseBLQBtds3LtZADwxhq47vo6euiGAyGpW9YPdZyLil</t>
  </si>
  <si>
    <t>https://www.facebook.com/GCBA/posts/pfbid0ZhY9HNw5XyVPq9LPPWvSnUBGrzWXjMx66cykS25RXtuo4kREkyYSVqz9iN4gWoVKl</t>
  </si>
  <si>
    <t>https://www.facebook.com/reel/1590318498709651/</t>
  </si>
  <si>
    <t>https://www.facebook.com/GCBA/posts/pfbid02HcEpZ4qXy9tSUmWmhFECdEBMEEypzXRaEHr8wrQGJ4tE1ML1sNV2V5RTo2hHAsfUl</t>
  </si>
  <si>
    <t>https://www.facebook.com/reel/2613717612355871</t>
  </si>
  <si>
    <t>https://www.facebook.com/GCBA/posts/pfbid02piHF6wJbhqe8kwXMsA6anj6iCoiQq4eEf5Dxw2jWsfXvACz8eyAfYWCrjKKt98wsl</t>
  </si>
  <si>
    <t>https://www.facebook.com/reel/1458725662138823</t>
  </si>
  <si>
    <t>https://www.facebook.com/baparticipacion/posts/pfbid02hwLB24e1ZTxjY3XgRNitembhPzcmefEqr4EW1gEX9jroGvKZmLqQUB2HNVpy79Pal</t>
  </si>
  <si>
    <t>https://www.facebook.com/baparticipacion/posts/pfbid0337DDYLN4zwtQBEmADu3hineCWrEYsHQXX7s4zt7dBM7hPiahrNoqW1stMWqRwLKol</t>
  </si>
  <si>
    <t>https://www.facebook.com/baparticipacion/posts/pfbid02ACp8cW6DkLqKbEH3wL2wqe24LPhy8wctFBcStRDJwm1Nah5h1Em563xRxD5L7qH5l</t>
  </si>
  <si>
    <t>https://www.facebook.com/baparticipacion/posts/pfbid02EMWgKBXVsjaCKma2N7M6AjPPM6wR3Q3bJG32D1ExDHmXmDhXnfHWCieewQECNF6Ll</t>
  </si>
  <si>
    <t>https://www.facebook.com/baparticipacion/posts/pfbid0a9Khp7pULiMMYQMkVT5D2gf2S9fkMgKRvS25bmiT6zTf782A6KfUtBxnjv5etnv8l</t>
  </si>
  <si>
    <t>https://www.facebook.com/baparticipacion/posts/pfbid09AS49KkVfKMf62fEQRz6iXUsEG2fjaqVfPmuCCC58f5UWFYJ8TB1ta22KU6ER8Tkl</t>
  </si>
  <si>
    <t>https://www.facebook.com/baparticipacion/posts/pfbid098U3FgAYxFaNBJnrhtaM3H8D92aATVS4EYb888eof5ByRFNJd7bn7FybtN1wwci7l</t>
  </si>
  <si>
    <t>https://www.facebook.com/baparticipacion/posts/pfbid02GuVdByPd1h6dfYw9DmTBhSDw1t4WzDNQ2VyEiv7L6KKRL3AnfAt99Cx8syRc48W2l</t>
  </si>
  <si>
    <t>https://www.facebook.com/baparticipacion/posts/pfbid0Kk5r87c8AodVCta9pZq3XRWo9fV95javxAd6YrUKdHFGmLqZUAnLXyCXoA1MsjCyl</t>
  </si>
  <si>
    <t>https://www.facebook.com/baparticipacion/posts/pfbid02wRBHGdv3dYBDksfeYTp6Z6mCuyLLBie92PbuasD8kyFmpXQfXjTJJApAEq2BL4PQl</t>
  </si>
  <si>
    <t>https://www.facebook.com/GCBA/posts/pfbid0Pznwvb2iEUy69CbGNn1ijyJpDoT3MVoMAqbjE7dnaLmy1nJ4umHMbEApNRFwAHiMl</t>
  </si>
  <si>
    <t>https://www.facebook.com/100064489762372/posts/1473265644833080/#?jhi</t>
  </si>
  <si>
    <t>https://www.facebook.com/GCBA/posts/pfbid02mwrKmDbfvoUhtss5fmCX5RnWGcAg34Rc3HFNP4sMhzYsoGdi8qyBFSCq8v3Vw9wml</t>
  </si>
  <si>
    <t>facebook.com/reel/1023934959977410/</t>
  </si>
  <si>
    <t>facebook.com/reel/1634422507650526/</t>
  </si>
  <si>
    <t>https://www.facebook.com/baparticipacion/posts/pfbid0tMGx9iMLkHP8vjC2RBPG99swE4bWxAUgGgc8aocCDeVjXFAvXrPdbyPD4Apz1wohl</t>
  </si>
  <si>
    <t>https://www.facebook.com/reel/1530291025201574</t>
  </si>
  <si>
    <t>https://www.facebook.com/reel/1958104631478571</t>
  </si>
  <si>
    <t>https://business.facebook.com/ads/experience/confirmation/?is_responsive=0&amp;encrypted_experience_id=Q8DfBAIJ4IBHp0mhmk-iDWyPWKt9YFowWQwEAROfG4INdTlC9vbi4Pmf8nVrOSBRwASGk0bYyS7Dtizj</t>
  </si>
  <si>
    <t>https://www.facebook.com/GCBA/posts/pfbid035McDB5ssdrJJa3P1dLQ3VYe2fbmQjPYatRBMRSA5ESWE5wNQ1v9qUxjbi2UBZnVKl</t>
  </si>
  <si>
    <t>https://www.facebook.com/baparticipacion/posts/pfbid02kngpmp5NpkrpsfoDNX5m7KFxEXGgfPkrB5wTh1aNycn479e4nyUAJdzsKqFd34tfl</t>
  </si>
  <si>
    <t>https://www.facebook.com/baparticipacion/posts/pfbid02kBQrh7f57xSAed9pAWm5Xm3igPzVuFVHzBPzdYDUnwqN475VdCFadqRZQrv2RvRxl</t>
  </si>
  <si>
    <t>https://fb.me/adspreview/facebook/2qgzug1GUWftxho</t>
  </si>
  <si>
    <t>https://www.facebook.com/reel/990960590089250</t>
  </si>
  <si>
    <t>https://www.facebook.com/GCBA/posts/pfbid05AMSQrvjixn7RJ56zP2SUcvbfsiZL479ZfZHea63dWwcwa6cdkQH3xVs42yGbdW2l</t>
  </si>
  <si>
    <t>https://fb.me/adspreview/facebook/2pSx4DDCV6w5IsE</t>
  </si>
  <si>
    <t>https://www.facebook.com/GCBA/posts/pfbid02j1Uzb4DFfv6YsGCqVkmzxyECsgA7zkVG3iuP7oYY19wRRMsH9twtXPA2PisDPnsKl</t>
  </si>
  <si>
    <t>https://www.facebook.com/GCBA/posts/pfbid06U9dsRcCSya23RratQKfB5rFy7uQyMQzgwoEaiHX8xrz2KH75AChLPST7uKpyQmVl</t>
  </si>
  <si>
    <t>https://www.facebook.com/GCBA/posts/pfbid0G5E6dntuJfgbkjrZpgu4zJiAXKNv9Eh8hYSHAZzMaakFv6vZKkDSBFv5mV9DHkpEl</t>
  </si>
  <si>
    <t>https://www.facebook.com/reel/1368798341811054/</t>
  </si>
  <si>
    <t>https://www.facebook.com/reel/2212657036254593</t>
  </si>
  <si>
    <t>https://www.facebook.com/GCBA/posts/pfbid0oTTfRyRDjRtSWz1D2DEHt74VHK6N6rLVjYhLoitVw74XKk9AP7kXKcdgB2HbFSBTl</t>
  </si>
  <si>
    <t>https://www.facebook.com/GCBA/posts/pfbid02KByZYYTKe4Kj2HbuZR8a5mv7ptRq1E2aWhAC6TFrkcBbVwgWAfwyCP2uWbLnUjXol</t>
  </si>
  <si>
    <t>https://www.facebook.com/GCBA/posts/pfbid02NBCqry61rDc7ny2faGYE5aG134woXzwj9FJzpP1Sz2LokwQCrJaBKMFXMRJYrVZ1l</t>
  </si>
  <si>
    <t>https://www.facebook.com/reel/1324354759615538</t>
  </si>
  <si>
    <t>https://www.facebook.com/reel/1472318561601142</t>
  </si>
  <si>
    <t>https://fb.me/adspreview/facebook/2kOc7goI7sZAeKe</t>
  </si>
  <si>
    <t>https://www.facebook.com/GCBA/posts/pfbid0CjVfwajBrL248dximdxT5xR5EBXpQ8HpeiLdS9TU5ma5MBaLJwpztFdWH4djbDnxl</t>
  </si>
  <si>
    <t>https://www.facebook.com/reel/1303979117863829/</t>
  </si>
  <si>
    <t>https://www.facebook.com/GCBA/posts/pfbid02a12FFVZSMZjQ3ZJfe2Ss5pqzSM8cvYyREmX99cqDxCiUDTRUWmrKMethJ8WXNsAyl</t>
  </si>
  <si>
    <t>https://www.facebook.com/GCBA/posts/pfbid0huhtVvM2wGsnS6Tn4qvs9bifh35JSbYkVvsT81dLqZXDA8gA5VNEYq5LE1TS1BXhl</t>
  </si>
  <si>
    <t>https://fb.me/adspreview/facebook/qyoI6VfQlN9eSCR</t>
  </si>
  <si>
    <t>https://fb.me/adspreview/facebook/1TRzHvWq8RXQ8WU</t>
  </si>
  <si>
    <t>https://www.facebook.com/reel/2081566192790744</t>
  </si>
  <si>
    <t>https://www.facebook.com/reel/1719824132483599</t>
  </si>
  <si>
    <t>https://www.facebook.com/reel/1000083625809942/</t>
  </si>
  <si>
    <t>https://www.facebook.com/GCBA/posts/pfbid0muZPdRHfhwuL5qge1q6LmfYei68f4ZPaD1cPMpKxHCdsfDgdDfhLfCpvcgkWKLHPl</t>
  </si>
  <si>
    <t>https://www.facebook.com/lindaenvivo/posts/pfbid0LweiyDNZYMJ7vAHSFdQey9MS4DSwJKwujgJxx2QAqrVZZnnBo8QvWd6VyTfLWiBdl</t>
  </si>
  <si>
    <t>https://www.facebook.com/lindaenvivo/posts/pfbid0fvVKe76oWTtnnJy12unQ1G3Rk5KrG5A4fkk9ZsxXafbJqf1b8dmGjXb3tqGsguyBl</t>
  </si>
  <si>
    <t xml:space="preserve">https://www.facebook.com/GCBA/posts/pfbid02bokjMrMJfAUJTRekqX3qNa2ukQi4b9YXRgJC1kDcm4tsXho31hj5hpJhHG6XHVvpl </t>
  </si>
  <si>
    <t>https://www.facebook.com/GCBA/posts/pfbid02zcWPtZhb5DmpnPQUbSwYBXw9JWAGMsoYzE8YZHie7PVdcBL5B8dd21dgf2P4Uzg3l</t>
  </si>
  <si>
    <t>https://www.facebook.com/GCBA/posts/pfbid037B8Kb6DQ6dKt9mS5CNx7XqZfYqf2Rutt5WqAUp3FvUcdgydtH3fEPUXdETEYvDZdl</t>
  </si>
  <si>
    <t>https://fb.me/adspreview/facebook/29v3ZVzI16CjokC</t>
  </si>
  <si>
    <t>https://www.facebook.com/reel/3916775938627139</t>
  </si>
  <si>
    <t>https://www.facebook.com/reel/2392892084530463</t>
  </si>
  <si>
    <t>https://www.facebook.com/GCBA/posts/pfbid0xUSsN2VyZ89gZ4mJrc7vg28WsLE9vppNRqYiwKwMvybMGDnTY5wEDsosBfdX4qtQl</t>
  </si>
  <si>
    <t>https://www.facebook.com/GCBA/posts/pfbid0oY9243eQEN1s4vr3q4i9c9MTkWTtfjzAv2zSMDXHTwtEwBnaXoezgKYx4ARYMWVwl</t>
  </si>
  <si>
    <t xml:space="preserve">https://fb.me/adspreview/facebook/2qtNxRexPCxzyL9 </t>
  </si>
  <si>
    <t>https://fb.me/adspreview/facebook/1SpONunatJUaAO1</t>
  </si>
  <si>
    <t>https://www.facebook.com/GCBA/posts/pfbid02X3EqtHQ4G8RWZddMqFzHzAmnB1b1B9BKCa6WaMikSbSdaXKfn3VD8dWT4NG2cMAfl</t>
  </si>
  <si>
    <t>https://fb.me/adspreview/facebook/1V9apKFmivykDG0</t>
  </si>
  <si>
    <t>https://fb.me/adspreview/facebook/1UgfjdmX0MBxywR</t>
  </si>
  <si>
    <t>https://www.facebook.com/GCBA/posts/pfbid02E4wp53ZNT6GqD98pYbzNyRQnXPk7oybZTfo6UaqKbzJK3SpDnwAj8YPuFvK2ESjLl</t>
  </si>
  <si>
    <t>https://www.facebook.com/GCBA/posts/pfbid0BWWbjFzHSvy2akkqzkGyUfsJ8AtVqaA5yBerrhCbwJs151HBF3J9V24vnFCkvNixl</t>
  </si>
  <si>
    <t>https://fb.me/adspreview/facebook/26hl3ef2PRp2J1x</t>
  </si>
  <si>
    <t>https://www.facebook.com/GCBA/posts/pfbid033kEjE9yaGrFdxuHniPNcM7sGu1ettWqv5TxYnj5GWzq8VFtkgjaXQMhw3oghr4Rdl</t>
  </si>
  <si>
    <t>https://fb.me/adspreview/facebook/1OGmm67Q9rcuEQr</t>
  </si>
  <si>
    <t>https://www.facebook.com/GCBA/posts/pfbid0VNG57qB3nVTqxBJbJM9RhGy6zLbn37no46DKGefcch7YeFSakEZK1y1zaycboqGXl</t>
  </si>
  <si>
    <t>https://www.facebook.com/GCBA/posts/pfbid02Q2YxCRks1Ca59MFpy4T62W8UZyrKbDhXFonmqY44F2dXSwp69Yp757AgVKfBgPETl</t>
  </si>
  <si>
    <t>https://www.facebook.com/GCBA/posts/pfbid0yNKogB7jFPoddY254ViUCjQMASFGzkNsvYdNCaLZM1xpD1tMtpFGeutoLQCfH9qYl</t>
  </si>
  <si>
    <t>https://www.facebook.com/GCBA/posts/pfbid0wziBcRv2TwNN7k4WpjsGNTQd32LKhWeQSdjA5RfvCtL7hYf1wG5P6Es1azPTeKyjl</t>
  </si>
  <si>
    <t>https://www.facebook.com/GCBA/posts/pfbid02YqCxszGQER7gereM4ViB14xmZazWkNprFWcAsBzNXzW8JyUUYZjtfcSfzQvqcjD7l</t>
  </si>
  <si>
    <t>https://www.facebook.com/reel/1538966754240714</t>
  </si>
  <si>
    <t>https://www.facebook.com/reel/1793775995332544</t>
  </si>
  <si>
    <t>https://www.instagram.com/p/DZNNxE-DBNw/#advertiser</t>
  </si>
  <si>
    <t>https://www.facebook.com/GCBA/posts/pfbid0ST19UoqhurJhZPhq7dJfEkZrJhyH4rZPrLJ7W6zqymdatS9zfuz5QK26T3aXaWbkl</t>
  </si>
  <si>
    <t>https://www.facebook.com/GCBA/posts/pfbid0MuG7Sbo5joqEuk2UWgNsVURV9frh2FTUkY1aQoaNkgEbc3aeURAPiq423LHA7Mwyl</t>
  </si>
  <si>
    <t>https://www.facebook.com/lindaenvivo/posts/pfbid0WbNiU7em6L5KUdaebD122aT5xjmK2yfL1LygibKDJeYrhx8KUeorGiHzg252ZdW8l</t>
  </si>
  <si>
    <t>https://www.facebook.com/GCBA/posts/pfbid024E73awCVhiQrQKaLTpJhPgLnsy9nahcRRpUuZQFjWPWPjfEGoSmZCvcRp75tDHfLl</t>
  </si>
  <si>
    <t>https://www.facebook.com/GCBA/posts/pfbid0YhueYGpntBgMxwJ72kfke9vjquz5VNdcd1gvDFdyw1CYKUTWgM3YrprNGk6n7F7Bl</t>
  </si>
  <si>
    <t>https://www.facebook.com/baparticipacion/posts/pfbid037D5wWyZjNg97cDckHgFEvdVpvx7PvEGibc8TBFmc2DQrjtCTs1fS44Akw5kynYeRl</t>
  </si>
  <si>
    <t>https://www.facebook.com/GCBA/posts/pfbid02iNNf4Ns7gcEo4HWoJUSAjz6751M9Kkh3PeVP3UnroYxyFBXFwehL5Y79KBHQHattl</t>
  </si>
  <si>
    <t>https://www.facebook.com/GCBA/posts/pfbid0d9XT1CAvSPLyt1aN1NNjVkP91s34wkPBECWCb8oPxCM6nzXnWfoskFD65xDwnRRsl</t>
  </si>
  <si>
    <t>https://www.facebook.com/GCBA/posts/pfbid028fd4Eps4oJxQsp4oAr6gZWZZhqEkZDaxYsaCDqH2Q51tJXZa9VMm2TngH3mfoR2Al</t>
  </si>
  <si>
    <t>https://fb.me/adspreview/facebook/1Tz9GO0nHrINRCx</t>
  </si>
  <si>
    <t>https://www.facebook.com/GCBA/posts/pfbid02S69HL7Rh16mEJr6jPS2GDu5yeREJSdMYDeJtCjgnjAJ9ye7imvJZemK4w8BrttQTl</t>
  </si>
  <si>
    <t>https://www.facebook.com/baparticipacion/posts/pfbid04t14tUzTH3nATFWGt42FSJRpMsj6b9dieVEasDeuDKkB3v26n78QDqpUVz8cVrETl</t>
  </si>
  <si>
    <t>https://www.facebook.com/reel/3600929573393750</t>
  </si>
  <si>
    <t>https://www.facebook.com/baparticipacion/posts/pfbid0ypt2Y4k6GB9rZzQSTHsh86ty9JfhykvTJJ58EnGB9kt16zTZsHwDSPPNaPdyC2ATl</t>
  </si>
  <si>
    <t>https://www.facebook.com/baparticipacion/posts/pfbid02Fs1VxfMNKgUaZcZqm7N8ZqmkKLCKHuXGcuaXVqBXbeUxzFEfxpRcHPTvcCuqCzDEl</t>
  </si>
  <si>
    <t>https://www.facebook.com/GCBA/posts/pfbid02ARWpxgPh8MbcMjL4p1ziWEphpQgYE7tNb1YyS4XDt1wgTXixtYcSd5PZeo6EVSUml</t>
  </si>
  <si>
    <t>https://www.facebook.com/baparticipacion/posts/pfbid02w5yj5xhr45yUEBFo1bmCXhFSsXGrEgrdMcBbCPUwXRaEJC4eNQUzDQwLaooyMPhWl</t>
  </si>
  <si>
    <t>https://www.facebook.com/baparticipacion/posts/pfbid02MY4W6EviriP8wbDK8NuGjG77cVQEUJCufJ5ycDYUdAqkQxqEn1twUdaNGSyYsurKl</t>
  </si>
  <si>
    <t>https://www.facebook.com/baparticipacion/posts/pfbid02NCHVWQiwdKoPJYTiGSe1oLfSPKrunnHx6GMdNT6gwfAT4rYFNUbNCvbLDTUbaLM4l</t>
  </si>
  <si>
    <t>https://fb.me/adspreview/facebook/1UqPoZLiUaD4oNO</t>
  </si>
  <si>
    <t>https://www.facebook.com/baparticipacion/posts/pfbid02GfDeov5FtT8tkhx573Mwt2gxPrXwq7d6bzrWxUci54vGS89V8kY6ptSF391Q2sWTl</t>
  </si>
  <si>
    <t>https://www.facebook.com/baparticipacion/posts/pfbid0228E4wXGuoRBDL9cJH7U1e91PuBepsm5jab8oPnfnutyXwzhy1enE8K5vr345yk5gl</t>
  </si>
  <si>
    <t>https://www.facebook.com/reel/1910025833718608</t>
  </si>
  <si>
    <t>https://www.facebook.com/GCBA/posts/pfbid02ZZG3f1iLvkWubHjhaECJSre4Kzvz1XfSfBj1BTiNeBk4AoX762iy2Tr6oLewgit3l</t>
  </si>
  <si>
    <t>https://fb.me/adspreview/facebook/29gh3TVKAXDRWc7</t>
  </si>
  <si>
    <t>https://www.facebook.com/reel/26383961307943675</t>
  </si>
  <si>
    <t>https://www.facebook.com/reel/963476160027647</t>
  </si>
  <si>
    <t>https://fb.me/adspreview/facebook/25lew4sNjO49s77</t>
  </si>
  <si>
    <t>https://www.facebook.com/lindaenvivo/posts/pfbid09kXBonchhUbNRHaBLgWDu9viZES3ekYQrjxFFSuE91tNjXeSEvgQinuY72zthh3pl</t>
  </si>
  <si>
    <t>https://www.facebook.com/reel/1951168715581742</t>
  </si>
  <si>
    <t>https://www.facebook.com/baparticipacion/posts/pfbid028buhDwCjERQtoEkvPzyyQXjLesGLBHVK72J59pwqNuvmAR1czprvDuYfpkf8Kqk1l</t>
  </si>
  <si>
    <t>https://www.facebook.com/baparticipacion/posts/pfbid05JZe9CpEB52zA3crM7ZyMytReeTkcmtCV4nPKv2WANoDMJr8ACvccqpJzcRBYMtsl</t>
  </si>
  <si>
    <t>https://www.facebook.com/baparticipacion/posts/pfbid07VoazC5BiDZDj3GHPeXe55UQEznMHhozx8PUuwHTF79BK72tb5HxzKnsXY3sQ4jyl</t>
  </si>
  <si>
    <t>https://www.facebook.com/baparticipacion/posts/pfbid0DaymyDB1kYsK3vhHa9PGNH4zfbBtVMmHhr92vsCJPo4oNPRDNfqMVjP5Dt1fLZbNl</t>
  </si>
  <si>
    <t>https://www.facebook.com/baparticipacion/posts/pfbid0PPRDU6ZwuwtDKS6M8fqGVTmkHF8eQuGdLUy7Sp4yTH3w3gK56kNNxAJkjLc6mfaTl</t>
  </si>
  <si>
    <t>https://www.facebook.com/baparticipacion/posts/pfbid0QriDSP1vyJgGzKZMqwZZhMaeY1zhSaf1EpNzfNJAXmWaniVaM1JBgh4NXNkg2xYtl</t>
  </si>
  <si>
    <t>https://www.facebook.com/baparticipacion/posts/pfbid0gAi2bSqe1peo1vJipGzeNYvLfpKmmqRR3dtLpZaFoPyqDTBTLrSCJcZkXEx3f5yml</t>
  </si>
  <si>
    <t>https://www.facebook.com/GCBA/posts/pfbid0hGpDjeWSoe8Gqw2N9T8VHKQMT4vT7GrXwibd72SVb33WbSymwwnpGdmZbQH9bvyXl</t>
  </si>
  <si>
    <t>https://www.facebook.com/GCBA/posts/pfbid09t4eBXvmBvMhaY6ZDfZBBJcTJy8a2tQ9AGN9TfUiSexR55gisERziVp2BXK5HpeXl</t>
  </si>
  <si>
    <t>https://www.facebook.com/reel/869377568978479</t>
  </si>
  <si>
    <t>https://www.facebook.com/GCBA/posts/pfbid02MczFwBSVys4DXC1DTtBcRmUPG1xohZxGSR3kUcX6QRVEMJHG2uCNpVNnkXbMhTK8l</t>
  </si>
  <si>
    <t>https://fb.me/adspreview/facebook/2isGbgWtxB7icBB</t>
  </si>
  <si>
    <t>https://www.facebook.com/GCBA/posts/pfbid08rDXqhyNHHgaXhxwyanZTXHtfRLQs15AaRbPk5k938ZVPg7ZL3Ea9rz5rPCgKLXEl</t>
  </si>
  <si>
    <t>https://www.facebook.com/baparticipacion/posts/pfbid0321EGt37mCXnC23xuUfcZTrfDWmFiMzCQUjwqnMXJpMNzHrT1tnG2HALHeHoTgDyXl</t>
  </si>
  <si>
    <t>https://www.facebook.com/reel/1739191770421854/</t>
  </si>
  <si>
    <t>https://www.facebook.com/GCBA/posts/pfbid0pDN1KSpcwNmdzK3WhsivCjjDVoj8acsicMjBZk8kkhQjxJ74xtbXqJzP3PR3irb4l</t>
  </si>
  <si>
    <t>https://www.facebook.com/GCBA/posts/pfbid0SCv36fUn9suSse5UeEgMhVjYT6xS8nEu9sNA4EDWjSv4HxcYY4oCzaUMJs2J9HQbl</t>
  </si>
  <si>
    <t>https://www.facebook.com/baparticipacion/posts/pfbid02JSro6FKNuoj4uvyZXx5EHrXMwoTS4uThvqZXGWQ3vQgxb67TRXw2nRcEkHWR9eNVl</t>
  </si>
  <si>
    <t>https://www.facebook.com/baparticipacion/posts/pfbid02dDTzKg9xjhAVC2WdsjHreqxFyff2zsh7nP49E7r1n24kuEcSLcnJXv9hSybPAvyEl</t>
  </si>
  <si>
    <t>https://www.facebook.com/baparticipacion/posts/pfbid02LGuHo3AYMjoh7SpohtcvXqENEmnQxe15cNqbzjAnKFtQJKaQXTbb8aG8sa29nbdWl</t>
  </si>
  <si>
    <t>https://www.facebook.com/reel/1658547745215552</t>
  </si>
  <si>
    <t>https://www.facebook.com/GCBA/posts/pfbid0hL6DnVWapHTEjHavJnJmhZrAV1oeXCFP5cu7KwkKVcgsUFRBsTZSBTT4W1LM6t76l</t>
  </si>
  <si>
    <t>https://www.facebook.com/GCBA/posts/pfbid02yWyBiqhzRGVqqWo4wAFMjpuCdCXBAKuNVMMEAvS8QuuNwD6NK6T56RXZ9yfwrvXjl</t>
  </si>
  <si>
    <t>https://www.facebook.com/GCBA/posts/pfbid037MiiHWnSJuAZbmEN4MWTeQWEiyEjLemT7MWQ7YXNnyJyeft5nCp6qUnvRCj7uv2Yl</t>
  </si>
  <si>
    <t>https://www.facebook.com/baparticipacion/posts/pfbid0AkC4KnzR9iBBuhU6CXSHuh8oigcs8PqAGLqY24QrzkeNApBzBKw5VGLqTzb9C5aWl</t>
  </si>
  <si>
    <t>https://fb.me/adspreview/facebook/26tQ7QVYkRlhgEw</t>
  </si>
  <si>
    <t>https://fb.me/adspreview/facebook/2qUC8erS5AyVmEE</t>
  </si>
  <si>
    <t>https://fb.me/adspreview/facebook/22CmxRCVtbzCnkb</t>
  </si>
  <si>
    <t>https://www.facebook.com/GCBA/posts/pfbid0b4e3p1kdCqSay8vtiHJSCCVLY7GjUq3R1LwXjZ4orfdwFFTNqqNXeh8NDwZcZNoTl</t>
  </si>
  <si>
    <t>https://www.facebook.com/baparticipacion/posts/pfbid02S3JZwcAT2QCRPGavfdj36Ff7GYhqYXebVRTUJarmHgb7qDRbUF2FW6s4chXjBynnl</t>
  </si>
  <si>
    <t>https://www.facebook.com/baparticipacion/posts/pfbid02WG9qdDvGGcxL9cvnqRGU2tutBeSufD7CYVK55FL34L5Zz81iuVtzo5eXcc1BPgptl</t>
  </si>
  <si>
    <t>https://www.facebook.com/baparticipacion/posts/pfbid02DnZgeeMBCDtZf7ce2QRBReuqmNbgkG4184fUgsZLfnguymsSr4nRaT9fY5Zfety7l</t>
  </si>
  <si>
    <t>https://www.facebook.com/baparticipacion/posts/pfbid02XyXvYR65F9FBrjQUsz3KfFBJaixgH4QL6YFKe2iQydGqmGAJP2WGj79Te26zjz64l</t>
  </si>
  <si>
    <t>https://www.facebook.com/baparticipacion/posts/pfbid0srFKWoDRckyinLXUSPUHxt84fw2YQ18pC2hLHNdh2DLZtcrJAN5HNqLoeLJgFRVel</t>
  </si>
  <si>
    <t>https://www.facebook.com/baparticipacion/posts/pfbid031oDtJGh4fxxuqVbmdz9z7keGnQQ6obNMcK8X5dA6zoZqFBNKw3sdx1u38eRB2AP5l</t>
  </si>
  <si>
    <t>https://www.facebook.com/baparticipacion/posts/pfbid02E5P9braUAV2GccdDoU5XnWpQdunbKyp2euecdWbPyj6YjMiHkcYcwf1byNzqryFpl</t>
  </si>
  <si>
    <t>https://fb.me/adspreview/facebook/2a5pbu8JLbl6vVK</t>
  </si>
  <si>
    <t>https://www.facebook.com/GCBA/posts/pfbid0A5kQ9DgeXP1KjXiXGvawRDSoK3g2jUFh52oVeNqUNwtKdBcfjwvEXPd23hetHUadl</t>
  </si>
  <si>
    <t>https://www.facebook.com/GCBA/posts/pfbid0NZouXVjpaRX7dWN4duRKXkSB2SFM7V8kETW9PxprU5sVCx7fMuzF9a9Dt3LGaH5Zl</t>
  </si>
  <si>
    <t>https://www.facebook.com/GCBA/posts/pfbid0k9U4ik32JNdW6AhwuhJKguBPXstCSyDS8XB9upp1Cv1N4yJ9YMvFHHbuCKgi3aQql</t>
  </si>
  <si>
    <t>https://www.facebook.com/baparticipacion/posts/pfbid02XEBH1C6eXF5FMWMBqVy33XjkV4nVdrbGr88SK89TcvW4R3RUqfFhT383jA4b9xWNl</t>
  </si>
  <si>
    <t>https://www.facebook.com/baparticipacion/posts/pfbid0EB4cQrN1iH3u7G4YZcMwmp6NPeGqEmr5n4cD2wPMmMrYjPCd1s9d1H9Ha4CwQJs4l</t>
  </si>
  <si>
    <t>https://www.facebook.com/baparticipacion/posts/pfbid04rFhL1GxaswabuW6oAd8UqBuFvenPdwNSiRaYPh5agZp5WKUReLrPFTbh8zm9cW4l</t>
  </si>
  <si>
    <t>https://www.facebook.com/baparticipacion/posts/pfbid037qtw3oWHq5jBhk3YywZcc5Ujr5fwx5JCM42MJ8PEp9kgNoC2JZT8ZJdZk9iwKRZyl</t>
  </si>
  <si>
    <t>https://www.facebook.com/reel/1333766678147057</t>
  </si>
  <si>
    <t>https://www.facebook.com/baparticipacion/posts/pfbid0cqdBo8U6f7icGwi1UgY64Dq9b7kJVms3oxUzJRvEnieMK5d2eTXsYd7Ky2JVkPdnl</t>
  </si>
  <si>
    <t>https://www.facebook.com/baparticipacion/posts/pfbid02rYnMxmS6XD3RCsx9M9KBg9kR6JcG4PhAtUs7mrFDM5VFoD6HvNvYFGHsStd5qSRBl</t>
  </si>
  <si>
    <t>https://www.facebook.com/baparticipacion/posts/pfbid026rzt5SBsadw9mUfeiZnXRzw82KKCw9hrLaStHhkE38toe7FY9NXm1N7TmsCbdraol</t>
  </si>
  <si>
    <t>https://www.facebook.com/baparticipacion/posts/pfbid0axrMxWPfqiqEgW2TPGJVJ7z6iCVkmyNhVnWv5W4f71YR7nzFvcZW3y5d8b9sHVYNl</t>
  </si>
  <si>
    <t>https://www.facebook.com/baparticipacion/posts/pfbid02xPmu6xtSjfYqJgYT8HVdMi7mxE3FPErbVzTv2ZFK5PhNpzatcGxDE4SMWxcb7p2Vl</t>
  </si>
  <si>
    <t>https://www.facebook.com/baparticipacion/posts/pfbid03nShGhw8AcRPUh8GTva7BXUhnPPEwnVDqp1DvY4vYB37kRU3pHSiRAzy8njd9J1kl</t>
  </si>
  <si>
    <t>https://www.facebook.com/GCBA/posts/pfbid02MhamHAHwvVGP2bmq1bwnjG4fMgD6ZzhHXjj1DBLZpD637Kof28Ry1HXnAt6SuqM7l</t>
  </si>
  <si>
    <t>https://www.facebook.com/GCBA/posts/pfbid02RS9HLQTL1GR6aqKApdtYULFTkSKZbxwp6JpHphRhLNsHj1CqG1aMDGj3Phcw748Ul</t>
  </si>
  <si>
    <t>https://www.facebook.com/GCBA/posts/pfbid02E1tkaC6tXj44NDQ9wzrkGosi4PqV2XUtQTMpcjo4J31tLPRfaLMhDGf1nvcVT4SUl</t>
  </si>
  <si>
    <t>https://www.facebook.com/baparticipacion/posts/pfbid08qne98U5gKrZJwYvNh71QvrTAnzTK3pionNhXwGcsD4TnBsSK5MaoWPCKUnu8UNbl</t>
  </si>
  <si>
    <t>https://www.facebook.com/baparticipacion/posts/pfbid02CLhVvTsBABiNShNb6Ww6g2RXmyXEifyxTwhLpRuypur1NchYCicREEsoHp37kfEkl</t>
  </si>
  <si>
    <t>https://www.facebook.com/GCBA/posts/pfbid0YMAvJ4FjX7KdajVkgZaHfBTwQEpQRxi93KfW8bgbZknTXoa1s4k7jCHYxXPqmqS3l</t>
  </si>
  <si>
    <t>https://www.facebook.com/baparticipacion/posts/pfbid0sf1chk2ZLs8xzfJKggcMabUds4L66pkAMnx5yj54hmP2xVDQKxBNadhjKcHcs13fl</t>
  </si>
  <si>
    <t>digital_impresiones</t>
  </si>
  <si>
    <t>digital_visualizaciones</t>
  </si>
  <si>
    <t>digital_clics</t>
  </si>
  <si>
    <t>meta_alcance</t>
  </si>
  <si>
    <t>meta_frecuencia</t>
  </si>
  <si>
    <t>frecuencia_total</t>
  </si>
  <si>
    <t>mails_enviados</t>
  </si>
  <si>
    <t>mails_entregados</t>
  </si>
  <si>
    <t>mails_aperturas</t>
  </si>
  <si>
    <t>mails_clics</t>
  </si>
  <si>
    <t>call_enviado</t>
  </si>
  <si>
    <t>call_discado</t>
  </si>
  <si>
    <t>call_contactados</t>
  </si>
  <si>
    <t>call_efectivos</t>
  </si>
  <si>
    <t>ivr_audiencia</t>
  </si>
  <si>
    <t>ivr_realizados</t>
  </si>
  <si>
    <t>ivr_atendidos</t>
  </si>
  <si>
    <t>ivr_escucha75</t>
  </si>
  <si>
    <t>ivr_marque1</t>
  </si>
  <si>
    <t>sms_enviados</t>
  </si>
  <si>
    <t>sms_entregados</t>
  </si>
  <si>
    <t>sms_clics</t>
  </si>
  <si>
    <t>pieza_meta</t>
  </si>
  <si>
    <t>pieza_mail</t>
  </si>
  <si>
    <t>1871-AGOEDUGC</t>
  </si>
  <si>
    <t>Campaña GCBA | Educación | TUMO</t>
  </si>
  <si>
    <t>Cuidado</t>
  </si>
  <si>
    <t>Educación</t>
  </si>
  <si>
    <t>Finalizada</t>
  </si>
  <si>
    <t>1895-SEPEPHGC</t>
  </si>
  <si>
    <t>PIEZAS M2 | MEPHU | REPAVIMENTACIÓN</t>
  </si>
  <si>
    <t>M2</t>
  </si>
  <si>
    <t>Espacio Público e Higiene Urbana</t>
  </si>
  <si>
    <t>1896-SEPEPHGC</t>
  </si>
  <si>
    <t>PIEZAS M2 | MEPHU | LIMPIEZA INTENSIVA</t>
  </si>
  <si>
    <t>1933-SEPINFGC</t>
  </si>
  <si>
    <t>CAMPAÑA GCBA | INFRAESTRUCTURA | Campaña 360° Movilidad 2025</t>
  </si>
  <si>
    <t>Movilidad</t>
  </si>
  <si>
    <t>Infraestructura</t>
  </si>
  <si>
    <t>1942-SEPEPHGC</t>
  </si>
  <si>
    <t>DGPLES | MEPHU  | REPARACIÓN DE VEREDAS</t>
  </si>
  <si>
    <t>1943-SEPEPHGC</t>
  </si>
  <si>
    <t>DGPLES | MEPHU  | READOQUINADO</t>
  </si>
  <si>
    <t>1946-SEPEPHGC</t>
  </si>
  <si>
    <t>CAMPAÑA GCBA | MEPHU  | PLUVIALES</t>
  </si>
  <si>
    <t>1964-SEPEPHGC</t>
  </si>
  <si>
    <t>MEPHU RECAMBIO TECNOLÓGICO M2</t>
  </si>
  <si>
    <t>2033-SEPEPHGC</t>
  </si>
  <si>
    <t>M2 PODA</t>
  </si>
  <si>
    <t>2100-OCTSALGC</t>
  </si>
  <si>
    <t>Cesac 12 - Más consultorios</t>
  </si>
  <si>
    <t>Salud</t>
  </si>
  <si>
    <t>2108-OCTEDUGC</t>
  </si>
  <si>
    <t>Inscripción 2025 a Profesorados de la Ciudad</t>
  </si>
  <si>
    <t>2109-OCTEPHGC</t>
  </si>
  <si>
    <t>LIMPIEZA DE FACHADAS | M2</t>
  </si>
  <si>
    <t>2130-OCTSALGC</t>
  </si>
  <si>
    <t>Hospital Pirovano: Remodelaciones</t>
  </si>
  <si>
    <t>2145-OCTVINGC</t>
  </si>
  <si>
    <t>PIEZAS M2 | VINCULO CIUDADANO (GESTIÓN COMUNAL) | OBRAS EN PARQUES Y PLAZAS (PATIOS DE JUEGOS) Plan 2025</t>
  </si>
  <si>
    <t>Vínculo Ciudadano</t>
  </si>
  <si>
    <t>2183-OCTSALGC</t>
  </si>
  <si>
    <t>Sistema de Salud Público - Genérico</t>
  </si>
  <si>
    <t>2227-NOVINFGC</t>
  </si>
  <si>
    <t>Infraestructura - SBASE | Campaña GCBA | Seguridad en Subte</t>
  </si>
  <si>
    <t>2239-NOVSALGC</t>
  </si>
  <si>
    <t>Cuidados del Calor 2025 - Prevención</t>
  </si>
  <si>
    <t>2240-NOVSALGC</t>
  </si>
  <si>
    <t>Cuidados del Calor 2025 - Síntomas</t>
  </si>
  <si>
    <t>2241-NOVSALGC</t>
  </si>
  <si>
    <t>Cuidados del Calor 2025 - Alertas Meteorológicas</t>
  </si>
  <si>
    <t>2255-NOVSALGC</t>
  </si>
  <si>
    <t>Sistema de Salud Público - Geolocalizado</t>
  </si>
  <si>
    <t>2256-NOVSALGC</t>
  </si>
  <si>
    <t>Sistema de Salud Público - Diferenciado x Audiencias</t>
  </si>
  <si>
    <t>2293-NOVFESGC</t>
  </si>
  <si>
    <t>LA CIUDAD MAS LINDA DEL MUNDO</t>
  </si>
  <si>
    <t>Ciudad Atractiva</t>
  </si>
  <si>
    <t>Festivales y Eventos</t>
  </si>
  <si>
    <t>2318-ENEINFGC</t>
  </si>
  <si>
    <t>Infraestructura I Cambio de sentido Avelino Díaz y Las Casas</t>
  </si>
  <si>
    <t>2322-NOVEDUGC</t>
  </si>
  <si>
    <t>TUMO Parque de la Innovación</t>
  </si>
  <si>
    <t>Activa</t>
  </si>
  <si>
    <t>2407-DICDHHGC</t>
  </si>
  <si>
    <t>Red de atención - Comuna 14</t>
  </si>
  <si>
    <t>Desarrollo Humano y Hábitat</t>
  </si>
  <si>
    <t>2410-DICJDGAG</t>
  </si>
  <si>
    <t>RDV JM | Villa Devoto 15/12</t>
  </si>
  <si>
    <t>Cercanía</t>
  </si>
  <si>
    <t>Jefatura de Gobierno</t>
  </si>
  <si>
    <t>2412-DICJDGAG</t>
  </si>
  <si>
    <t>RDV JM | Colegiales 19/12</t>
  </si>
  <si>
    <t>2423-DICJDGGC</t>
  </si>
  <si>
    <t>Festejos Responsables 2025</t>
  </si>
  <si>
    <t>2424-DICFESGC</t>
  </si>
  <si>
    <t>Verano en Buenos Aires 2026 | Generico</t>
  </si>
  <si>
    <t>2425-DICEPHGC</t>
  </si>
  <si>
    <t>Parques Iluminados  M2</t>
  </si>
  <si>
    <t>2426-DICSALGC</t>
  </si>
  <si>
    <t>Deploy HIS Ambulatorio</t>
  </si>
  <si>
    <t>2430-DICPCCVC</t>
  </si>
  <si>
    <t>DGPCyC | Verano 2026 - Misión Bomberos: Un día en la estación</t>
  </si>
  <si>
    <t>Cercanía y PC</t>
  </si>
  <si>
    <t>2433-DICFESGC</t>
  </si>
  <si>
    <t>Verano en la Ciudad | AftersBA</t>
  </si>
  <si>
    <t>2434-DICFESGC</t>
  </si>
  <si>
    <t>Verano en la Ciudad | Billboard Summer</t>
  </si>
  <si>
    <t>2435-DICFESGC</t>
  </si>
  <si>
    <t>Verano en la Ciudad | Atardeceres en los parques</t>
  </si>
  <si>
    <t>2437-DICFESGC</t>
  </si>
  <si>
    <t>Verano en la Ciudad  | Verano en las plazas</t>
  </si>
  <si>
    <t>2439-DICINFGC</t>
  </si>
  <si>
    <t xml:space="preserve"> Infraestructura I Bus Eléctricos: extensión recorrido</t>
  </si>
  <si>
    <t>2441-DICINFGC</t>
  </si>
  <si>
    <t>Infraestructura I Obras M2: Trambus ENERO</t>
  </si>
  <si>
    <t>2443-DICNEWAN</t>
  </si>
  <si>
    <t>Acciones de la Ciudad ante el calor extremo</t>
  </si>
  <si>
    <t>Anuncios y Newsletter</t>
  </si>
  <si>
    <t>2444-DICINFGC</t>
  </si>
  <si>
    <t>Infraestructura I Cortes en AU Dellepiane por obras</t>
  </si>
  <si>
    <t>2445-DICPCCVC</t>
  </si>
  <si>
    <t>Verano 2026 - Expedicion botanica</t>
  </si>
  <si>
    <t>2447-DICPCCVC</t>
  </si>
  <si>
    <t>Verano 2026 - La Gran Aventura del Reciclaje | Enero</t>
  </si>
  <si>
    <t>2450-ENEJDGAG</t>
  </si>
  <si>
    <t>RDV JM - Boedo 9/1</t>
  </si>
  <si>
    <t>2451-ENEPCCVC</t>
  </si>
  <si>
    <t>Participación Ciudadana - Verano en la Ciudad (Pauta RRSS)</t>
  </si>
  <si>
    <t>2453-ENEPCCVC</t>
  </si>
  <si>
    <t>Verano 2026 - CIFA para chicos</t>
  </si>
  <si>
    <t>2454-ENEPCCVC</t>
  </si>
  <si>
    <t>Verano 2026 - Aventura en el aire</t>
  </si>
  <si>
    <t>2456-ENEPCCVC</t>
  </si>
  <si>
    <t>Dejá tus rueditas</t>
  </si>
  <si>
    <t>2457-ENEPCCVC</t>
  </si>
  <si>
    <t>Verano 2026 - Exploradores del Ecoparque</t>
  </si>
  <si>
    <t>2458-ENESEGGC</t>
  </si>
  <si>
    <t>Campaña GCBA I Seguridad I Desalojo edificio San Telmo</t>
  </si>
  <si>
    <t>Seguridad</t>
  </si>
  <si>
    <t>2459-ENESEGGC</t>
  </si>
  <si>
    <t>Campaña GCBA I Seguridad I Desalojo predio Parque Avellaneda</t>
  </si>
  <si>
    <t>2460-ENEFESGC</t>
  </si>
  <si>
    <t>Campaña verano en la ciudad | Verano en los anfiteatros</t>
  </si>
  <si>
    <t>2463-ENETURGC</t>
  </si>
  <si>
    <t>Elegí Argentina 2026 | Registro de Prestadores Turísticos | Viernes 9/1</t>
  </si>
  <si>
    <t>Otros</t>
  </si>
  <si>
    <t>Turismo</t>
  </si>
  <si>
    <t>2464-ENEINFGC</t>
  </si>
  <si>
    <t>CAMPAÑA GCBA | INFRAESTRUCTURA | PBN García Lorca: durante de obra</t>
  </si>
  <si>
    <t>2465-ENEJDGAG</t>
  </si>
  <si>
    <t>Cafe JM - Puerto Madero 16/1</t>
  </si>
  <si>
    <t>2466-ENEFESGC</t>
  </si>
  <si>
    <t>Verano en la Ciudad  | Parque de la Ciudad</t>
  </si>
  <si>
    <t>2467-ENEFESGC</t>
  </si>
  <si>
    <t>Verano en la Ciudad | Verano Joven BA enero</t>
  </si>
  <si>
    <t>2468-ENEINFGC</t>
  </si>
  <si>
    <t>CAMPAÑA GCBA | INFRAESTRUCTURA | Cierre estación Piedras - Línea A | 12/1</t>
  </si>
  <si>
    <t>2469-ENEPCCVC</t>
  </si>
  <si>
    <t>Reunion de Cocreación Parque Ferroviario Palermo</t>
  </si>
  <si>
    <t>2470-ENEINFGC</t>
  </si>
  <si>
    <t>CAMPAÑA GCBA | INFRAESTRUCTURA |  Corte AU Illia</t>
  </si>
  <si>
    <t>2471-ENEINFGC</t>
  </si>
  <si>
    <t>CAMPAÑA GCBA | INFRAESTRUCTURA | PBN Irigoyen: durante de obra</t>
  </si>
  <si>
    <t>2472-ENEINFGC</t>
  </si>
  <si>
    <t>CAMPAÑA GCBA |  Infraestructura | Cortes y desvíos en Palermo por trabajos en vías</t>
  </si>
  <si>
    <t>2474-ENEINFGC</t>
  </si>
  <si>
    <t>Campaña GCBA I Infraestructura I Nuevo ramal línea 42</t>
  </si>
  <si>
    <t>2475-ENESEGAG</t>
  </si>
  <si>
    <t>RECORRIDA POR SERVICIO PENITENCIARIO de Marcos Paz</t>
  </si>
  <si>
    <t>2476-ENEFESGC</t>
  </si>
  <si>
    <t>Verano en la Ciudad | Corrientes 24h</t>
  </si>
  <si>
    <t>2477-ENEPCCVC</t>
  </si>
  <si>
    <t>Refuncionalización Calle Necochea y entorno</t>
  </si>
  <si>
    <t>2478-ENEINNGC</t>
  </si>
  <si>
    <t>Lanzamiento BAX</t>
  </si>
  <si>
    <t>Reforma del Estado</t>
  </si>
  <si>
    <t>Innovación</t>
  </si>
  <si>
    <t>2480-ENEINFGC</t>
  </si>
  <si>
    <t>Campaña GCBA | Infraestructura: Obras en La Boca: calle Necochea</t>
  </si>
  <si>
    <t>2481-ENETURGC</t>
  </si>
  <si>
    <t>Informe mensual Observatorio | Diciembre 2025 | Viernes 16/01</t>
  </si>
  <si>
    <t>2482-ENEINFGC</t>
  </si>
  <si>
    <t>VTV - Recordatorio de turno 2026</t>
  </si>
  <si>
    <t>2483-ENESEGGC</t>
  </si>
  <si>
    <t>Campaña GCBA I Seguridad | Desalojo Constitución</t>
  </si>
  <si>
    <t>2486-ENEDHHGC</t>
  </si>
  <si>
    <t>MDHYH | Programa Adolescencia</t>
  </si>
  <si>
    <t>2487-ENEVINGC</t>
  </si>
  <si>
    <t>CAMPAÑA GCBA | VINCULO CIUDADANO | Mas servicios en tu barrio 2026: Parque Chacabuco 02/02</t>
  </si>
  <si>
    <t>2488-ENEVINGC</t>
  </si>
  <si>
    <t>CAMPAÑA GCBA | VINCULO CIUDADANO | Mas servicios en tu barrio 2026: Caballito 04/02</t>
  </si>
  <si>
    <t>2489-ENEVINGC</t>
  </si>
  <si>
    <t>CAMPAÑA GCBA | VINCULO CIUDADANO | Mas servicios en tu barrio 2026:  Villa Riachuelo  06/02</t>
  </si>
  <si>
    <t>2490-ENEVINGC</t>
  </si>
  <si>
    <t>CAMPAÑA GCBA | VINCULO CIUDADANO | Mas servicios en tu barrio 2026: Villa Devoto 09/02</t>
  </si>
  <si>
    <t>2491-ENEVINGC</t>
  </si>
  <si>
    <t>CAMPAÑA GCBA | VINCULO CIUDADANO | Mas servicios en tu barrio 2026: Mataderos 11/02</t>
  </si>
  <si>
    <t>2492-ENEVINGC</t>
  </si>
  <si>
    <t>CAMPAÑA GCBA | VINCULO CIUDADANO | Mas servicios en tu barrio 2026: Villa Crespo 13/02</t>
  </si>
  <si>
    <t>2493-ENEVINGC</t>
  </si>
  <si>
    <t>CAMPAÑA GCBA | VINCULO CIUDADANO | Mas servicios en tu barrio 2026: Villa Luro 18/02</t>
  </si>
  <si>
    <t>2496-ENEVINGC</t>
  </si>
  <si>
    <t>CAMPAÑA GCBA | VINCULO CIUDADANO | Mas servicios en tu barrio 2026: Recoleta 25/02</t>
  </si>
  <si>
    <t>2497-ENEVINGC</t>
  </si>
  <si>
    <t>CAMPAÑA GCBA | VINCULO CIUDADANO | Mas servicios en tu barrio 2026: Palermo 27/02</t>
  </si>
  <si>
    <t>2498-ENEEPHGC</t>
  </si>
  <si>
    <t>CAMPAÑA GCBA | CONVIVENCIA | Genérica</t>
  </si>
  <si>
    <t>2499-ENEEPHGC</t>
  </si>
  <si>
    <t>CAMPAÑA GCBA | CONVIVENCIA | Cuidado de perros</t>
  </si>
  <si>
    <t>2500-ENEEPHGC</t>
  </si>
  <si>
    <t>CAMPAÑA GCBA | CONVIVENCIA | Doble Fila</t>
  </si>
  <si>
    <t>2501-ENEJDGAG</t>
  </si>
  <si>
    <t>RDV JM Flores 30/01</t>
  </si>
  <si>
    <t>2502-ENEJDGAG</t>
  </si>
  <si>
    <t>CAFE JM Versalles 29/01</t>
  </si>
  <si>
    <t>2503-ENEPCCVC</t>
  </si>
  <si>
    <t>Reunión de Co-creación - Eventos Masivos Huracán</t>
  </si>
  <si>
    <t>2504-ENEFESGC</t>
  </si>
  <si>
    <t>La Ciudad Más Linda del Mundo | Etapa 2</t>
  </si>
  <si>
    <t>2505-ENEPCCVC</t>
  </si>
  <si>
    <t>Verano 2026 - Misión Bomberos: Un Día en la Estación FEBRERO</t>
  </si>
  <si>
    <t>2506-ENEPCCVC</t>
  </si>
  <si>
    <t>Verano 2026 - La Gran Aventura del Reciclaje | Febrero</t>
  </si>
  <si>
    <t>2507-ENEPCCVC</t>
  </si>
  <si>
    <t>Verano 2026 - Expedición Botánica - 2</t>
  </si>
  <si>
    <t>2508-ENEINFGC</t>
  </si>
  <si>
    <t>Infraestructura I AU Dellepiane : durante de obra</t>
  </si>
  <si>
    <t>2510-ENEINFGC</t>
  </si>
  <si>
    <t>Infraestructura I Cambio de sentido calle Reconquista</t>
  </si>
  <si>
    <t>2511-ENEINFGC</t>
  </si>
  <si>
    <t>Infraestructura I Cortes por obras TramBus ENERO</t>
  </si>
  <si>
    <t>2512-ENESALGC</t>
  </si>
  <si>
    <t xml:space="preserve"> Envío Deploy GDE 27.01.2026</t>
  </si>
  <si>
    <t>2513-ENEPCCVC</t>
  </si>
  <si>
    <t>Priorización de Nombre Paso Bajo Nivel Bosch</t>
  </si>
  <si>
    <t>2514-ENEINFGC</t>
  </si>
  <si>
    <t>Infraestructura I Nuevo Acceso al Paseo del Bajo</t>
  </si>
  <si>
    <t>2515-ENEINFGJ</t>
  </si>
  <si>
    <t>Infraestructura I Anillo Pampa: Inicio de obra + Cortes</t>
  </si>
  <si>
    <t>2516-ENESALCG</t>
  </si>
  <si>
    <t>Carrusel Refugios climáticos</t>
  </si>
  <si>
    <t>2517-ENEINFGC</t>
  </si>
  <si>
    <t xml:space="preserve"> Infraestructura I PAN: inicio de obra</t>
  </si>
  <si>
    <t>2518-ENEINFGC</t>
  </si>
  <si>
    <t>CAMPAÑA GCBA | INFRAESTRUCTURA  | Cierre Cantilo por obras Puente Labruna</t>
  </si>
  <si>
    <t>2519-ENEINFGC</t>
  </si>
  <si>
    <t>Infraestructura I Cortes y desvíos en Larralde</t>
  </si>
  <si>
    <t>2521-ENEPCCVC</t>
  </si>
  <si>
    <t>Paseo náutico por el Riachuelo</t>
  </si>
  <si>
    <t>2522-ENEPCCVC</t>
  </si>
  <si>
    <t>Reunión Co-Creación: Eventos Masivos River</t>
  </si>
  <si>
    <t>2523-ENEPCCVC</t>
  </si>
  <si>
    <t>Verano 2026 - Perros en acción: Aventura K9</t>
  </si>
  <si>
    <t>2524-ENEPCCVC</t>
  </si>
  <si>
    <t>Verano 2026 - Dejá que vuele tu imaginación</t>
  </si>
  <si>
    <t>2525-ENEPCCVC</t>
  </si>
  <si>
    <t>Verano 2026- Exploradores del Ecoparque</t>
  </si>
  <si>
    <t>2526-ENESEGGC</t>
  </si>
  <si>
    <t>CAMPAÑA GCBA | SEGURIDAD | Desalojo en San Nicolás</t>
  </si>
  <si>
    <t>2527-ENEPCCVC</t>
  </si>
  <si>
    <t>Verano 2026- Un día perfecto</t>
  </si>
  <si>
    <t>2528-ENEPCCVC</t>
  </si>
  <si>
    <t>2529-ENESEGGC</t>
  </si>
  <si>
    <t>CAMPAÑA GCBA | SEGURIDAD | Nuevo equipamiento PDLC</t>
  </si>
  <si>
    <t>2530-ENEJDGVC</t>
  </si>
  <si>
    <t>RDV MINISTROS | Gabriel Sanchez Zinny 04/02</t>
  </si>
  <si>
    <t>Jefatura de Gabinete</t>
  </si>
  <si>
    <t>2531-ENEJDGVC</t>
  </si>
  <si>
    <t>RDV MINISTROS | Gabriel Sanchez Zinny 06/02</t>
  </si>
  <si>
    <t>2532-ENEJDGAG</t>
  </si>
  <si>
    <t>RDV JM | VILLA URQUIZA 2/2</t>
  </si>
  <si>
    <t>2533-ENEJDGAG</t>
  </si>
  <si>
    <t>RDV JM | CONSTITUCIÓN 6/2</t>
  </si>
  <si>
    <t>2534-ENEJDGAG</t>
  </si>
  <si>
    <t>RDV JM | VILLA RIACHUELO 5/2</t>
  </si>
  <si>
    <t>2535-ENEEPHVC</t>
  </si>
  <si>
    <t>RDV MINISTROS |  Ignacio Baistrocchi 3/2</t>
  </si>
  <si>
    <t>2536-ENESALGC</t>
  </si>
  <si>
    <t>Mejoras y actualizaciones módulo HIS</t>
  </si>
  <si>
    <t>2537-ENESALGC</t>
  </si>
  <si>
    <t>Mejoras en el módulo RIS - Febrero</t>
  </si>
  <si>
    <t>2538-ENEINFGC</t>
  </si>
  <si>
    <t>Infraestructura I Corte en Huracán por evento musical MY CHEMICAL ROMANCE</t>
  </si>
  <si>
    <t>2539-ENEINFGC</t>
  </si>
  <si>
    <t>Infraestructura I Fusión Líneas 106 y 99 de colectivos</t>
  </si>
  <si>
    <t>2540-ENESEGVC</t>
  </si>
  <si>
    <t>RDV MINISTROS |  MAXIMILIANO PIÑEIRO 5/2 COMUNA 1 SUR</t>
  </si>
  <si>
    <t>2541-ENESEGVC</t>
  </si>
  <si>
    <t>RDV MINISTROS | HORACIO GIMÉNEZ 5/2 COMUNA 1 NORTE</t>
  </si>
  <si>
    <t>2542-ENESEGVC</t>
  </si>
  <si>
    <t>RDV MINISTROS | GABINO TAPIA 5/2 COMUNA 2</t>
  </si>
  <si>
    <t>2543-ENESEGVC</t>
  </si>
  <si>
    <t>RDV MINISTROS | RUTH LANDERRECHE 5/2 COMUNA 3</t>
  </si>
  <si>
    <t>2544-ENEEDUGC</t>
  </si>
  <si>
    <t>Educación NO formal</t>
  </si>
  <si>
    <t>2545-ENEEDUGC</t>
  </si>
  <si>
    <t>Formacion profesional</t>
  </si>
  <si>
    <t>2546-ENEEDUGC</t>
  </si>
  <si>
    <t>Tecnica Superior</t>
  </si>
  <si>
    <t>2547-ENEFESGC</t>
  </si>
  <si>
    <t>Verano BA | Noche de Verano: Devoto</t>
  </si>
  <si>
    <t>2548-ENEFESGC</t>
  </si>
  <si>
    <t>Verano BA | Noche de Verano: Villa Crespo</t>
  </si>
  <si>
    <t>2549-FEBDHHVC</t>
  </si>
  <si>
    <t>RDV Ministros | Gabriel Mraida - 6/2</t>
  </si>
  <si>
    <t>2550-FEBTURGC</t>
  </si>
  <si>
    <t>Sondeo Hotelero por el finde de Carnaval | Martes 10/2</t>
  </si>
  <si>
    <t>2551-FEBPCCVC</t>
  </si>
  <si>
    <t>Verano 2026 - Feb - Deja tus rueditas</t>
  </si>
  <si>
    <t>2552-FEBPCCVC</t>
  </si>
  <si>
    <t>Verano 2026 - Feb- Un día de verano en parque ciudad</t>
  </si>
  <si>
    <t>2553-FEBINFGC</t>
  </si>
  <si>
    <t>Infraestructura I Cortes por obras TramBus FEBRERO</t>
  </si>
  <si>
    <t>2554-FEBINFGC</t>
  </si>
  <si>
    <t>Infraestructura I Obras M2:  Campaña Trambus FEBRERO</t>
  </si>
  <si>
    <t>2555-FEBSALGC</t>
  </si>
  <si>
    <t>Hospital Muñiz - Finalización de obra</t>
  </si>
  <si>
    <t>2556-FEBINFGC</t>
  </si>
  <si>
    <t>Infraestructura | Apertura estación Agüero</t>
  </si>
  <si>
    <t>2557-FEBSALGC</t>
  </si>
  <si>
    <t>Inicio de Obra - CESAC 51</t>
  </si>
  <si>
    <t>2558-FEBFESGC</t>
  </si>
  <si>
    <t>Verano BA | Buenos Aires Extremo</t>
  </si>
  <si>
    <t>2559-FEBSALGC</t>
  </si>
  <si>
    <t>Vacunación Calendario Escolar 2026</t>
  </si>
  <si>
    <t>2560-FEBINFGC</t>
  </si>
  <si>
    <t>Freeflow montaje de pórtico AU 25 de mayo - Peaje Varela</t>
  </si>
  <si>
    <t>2561-FEBPCCVC</t>
  </si>
  <si>
    <t>Café con vecinos | Lombardi | Piragine | Tapia 9/2</t>
  </si>
  <si>
    <t>2562-FEBSEGVC</t>
  </si>
  <si>
    <t>RDV MINISTROS |  MAXIMILIANO PIÑEIRO 12/2</t>
  </si>
  <si>
    <t>2563-FEBSEGVC</t>
  </si>
  <si>
    <t>RDV MINISTROS |  HORACIO GIMENEZ 12/2</t>
  </si>
  <si>
    <t>2564-FEBSEGVC</t>
  </si>
  <si>
    <t>RDV MINISTROS |  RUTH LANDERRECHE 12/2</t>
  </si>
  <si>
    <t>2565-FEBSEGVC</t>
  </si>
  <si>
    <t>RDV MINISTROS |  GABINO TAPIA 12/2</t>
  </si>
  <si>
    <t>2566-FEBCULVC</t>
  </si>
  <si>
    <t>RDV MINISTROS |  GABRIELA RICARDES 11/2</t>
  </si>
  <si>
    <t>Cultura</t>
  </si>
  <si>
    <t>2567-FEBJDGAG</t>
  </si>
  <si>
    <t>RDV JM 11/2 Villa del Parque</t>
  </si>
  <si>
    <t>2568-FEBJDGAG</t>
  </si>
  <si>
    <t>RDV JM 12/2 Villa Soldati</t>
  </si>
  <si>
    <t>2569-FEBVINVC</t>
  </si>
  <si>
    <t>RDV MINISTROS |  Ezequiel Sabor 9/2</t>
  </si>
  <si>
    <t>2570-FEBJDGVC</t>
  </si>
  <si>
    <t>RDV MINISTROS | Gabriel Sanchez Zinny 10/2</t>
  </si>
  <si>
    <t>2571-FEBJDGVC</t>
  </si>
  <si>
    <t>RDV MINISTROS | Gabriel Sanchez Zinny 11/2</t>
  </si>
  <si>
    <t>2572-FEBEDUVC</t>
  </si>
  <si>
    <t>RDV MINISTROS | Mercedes Miguel  10/2 COMUNA 1</t>
  </si>
  <si>
    <t>2573-FEBSEGGC</t>
  </si>
  <si>
    <t>CAMPAÑA GCBA | SEGURIDAD |  Desalojo en Balvanera</t>
  </si>
  <si>
    <t>2574-FEBTURGC</t>
  </si>
  <si>
    <t>Envío Relevamiento intereses | Capacitaciones 2026 | Jueves 12/02</t>
  </si>
  <si>
    <t>2575-FEBINFGC</t>
  </si>
  <si>
    <t>Infraestructura | Placa historias: Cortes y desvíos por IEB + Argentinas Open 2026</t>
  </si>
  <si>
    <t>2576-FEBDIGGC</t>
  </si>
  <si>
    <t>Pauta Canal de YouTube | El Eternauta</t>
  </si>
  <si>
    <t>Innovación Digital</t>
  </si>
  <si>
    <t>2577-FEBSALGC</t>
  </si>
  <si>
    <t>IREP - Inicio de obra</t>
  </si>
  <si>
    <t>2578-FEBSALVC</t>
  </si>
  <si>
    <t>RDV Ministros | Fernán Quirós - 13/02</t>
  </si>
  <si>
    <t>2579-FEBINFGC</t>
  </si>
  <si>
    <t>Infraestructura - Carnaval: placa RRSS por cortes y desvíos</t>
  </si>
  <si>
    <t>2580-FEBSEGGC</t>
  </si>
  <si>
    <t>CAMPAÑA GCBA | SEGURIDAD | Desalojo en Palermo</t>
  </si>
  <si>
    <t>2581-FEBFESGC</t>
  </si>
  <si>
    <t>Verano BA | Día de los Enamorados</t>
  </si>
  <si>
    <t>2582-FEBSALGC</t>
  </si>
  <si>
    <t>Htal. Tornu - Remodelación Sala Tomografía</t>
  </si>
  <si>
    <t>2583-FEBSALGC</t>
  </si>
  <si>
    <t>Durante de obra - Htal. Rocca</t>
  </si>
  <si>
    <t>2584-FEBPCCVC</t>
  </si>
  <si>
    <t>Votación - Priorización de nombre PBN Fomentista</t>
  </si>
  <si>
    <t>2585-FEBEPHGC</t>
  </si>
  <si>
    <t>CAMPAÑA GCBA | MEPHU | FIN DE OBRA CALLE TUCUMÁN</t>
  </si>
  <si>
    <t>2586-FEBFESGC</t>
  </si>
  <si>
    <t>Verano BA | Ciudad Joven BA Verano edición febrero</t>
  </si>
  <si>
    <t>2587-FEBCULGC</t>
  </si>
  <si>
    <t>Campaña Suscripciones 2026</t>
  </si>
  <si>
    <t>2588-FEBINFGC</t>
  </si>
  <si>
    <t xml:space="preserve"> Infraestructura | Fin de obra Av Independencia</t>
  </si>
  <si>
    <t>2589-FEBSALGJ</t>
  </si>
  <si>
    <t>Nuevo CEMAR 3</t>
  </si>
  <si>
    <t>2590-FEBINFGC</t>
  </si>
  <si>
    <t>Cortes y desvíos en MTB por obras</t>
  </si>
  <si>
    <t>2591-FEBINFGC</t>
  </si>
  <si>
    <t>Cortes y desvíos en River por evento Bad Bunny</t>
  </si>
  <si>
    <t>2592-FEBSEGGC</t>
  </si>
  <si>
    <t>CAMPAÑA GCBA | SEGURIDAD | Megaoperativo motochorros PDLC</t>
  </si>
  <si>
    <t>2593-FEBSEGGC</t>
  </si>
  <si>
    <t>CAMPAÑA GCBA | SEGURIDAD | Un año sin manteros en Flores</t>
  </si>
  <si>
    <t>2594-FEBAMBVC</t>
  </si>
  <si>
    <t>RDV Ministros | Clara Muzzio - 4/3 - San Telmo</t>
  </si>
  <si>
    <t>Vicejefatura (Ambiente)</t>
  </si>
  <si>
    <t>2595-FEBJDGAG</t>
  </si>
  <si>
    <t>RDV JM | 19/02 Villa Lugano</t>
  </si>
  <si>
    <t>2596-FEBJDGAG</t>
  </si>
  <si>
    <t>RDV JM | 20/02 Villa Luro</t>
  </si>
  <si>
    <t>2597-FEBJDGAG</t>
  </si>
  <si>
    <t>RDV JM | 21/02 Floresta</t>
  </si>
  <si>
    <t>2598-FEBEPHVC</t>
  </si>
  <si>
    <t>RDV MINISTROS | IGNACIO BAISTROCCHI 18/2 COMUNA 12</t>
  </si>
  <si>
    <t>2599-FEBDHHVC</t>
  </si>
  <si>
    <t>RDV Ministros | Gabriel Mraida - 20/02</t>
  </si>
  <si>
    <t>2600-FEBSEGVC</t>
  </si>
  <si>
    <t>RDV Ministros | Horacio Giménez 19/2 Comuna 11</t>
  </si>
  <si>
    <t>2601-FEBSEGVC</t>
  </si>
  <si>
    <t>RDV Ministros | Maximiliano Piñeiro 19/2 Comuna 9</t>
  </si>
  <si>
    <t>2602-FEBSEGVC</t>
  </si>
  <si>
    <t>RDV Ministros | Gabino Tapia 19/2 Comuna 8</t>
  </si>
  <si>
    <t>2603-FEBSEGVC</t>
  </si>
  <si>
    <t>RDV Ministros | Ruth Landerreche 19/2 Comuna 10</t>
  </si>
  <si>
    <t>2604-FEBINFVC</t>
  </si>
  <si>
    <t>RDV MINISTROS | Pablo Bereciartua 18/2 COMUNA 14</t>
  </si>
  <si>
    <t>2605-FEBJDGVC</t>
  </si>
  <si>
    <t>RDV MINISTROS | Gabriel Sanchez Zinny 20/2</t>
  </si>
  <si>
    <t>2608-FEBAMBVC</t>
  </si>
  <si>
    <t>RDV Ministros | Clara Muzzio - 18/02</t>
  </si>
  <si>
    <t>2609-FEBTURGC</t>
  </si>
  <si>
    <t>Informe mensual Observatorio | Enero 2026 | Miércoles 18/02</t>
  </si>
  <si>
    <t>2610-FEBSALGC</t>
  </si>
  <si>
    <t>SIGEHOS - Novedades en el Gestor de Encuentros</t>
  </si>
  <si>
    <t>2611-FEBSALGC</t>
  </si>
  <si>
    <t>Innovación y tecnología en Salud</t>
  </si>
  <si>
    <t>2612-FEBINFGC</t>
  </si>
  <si>
    <t xml:space="preserve"> INFRAESTRUCTURA | Cortes y desvíos por año nuevo chino - Belgrano</t>
  </si>
  <si>
    <t>2613-FEBDUDGC</t>
  </si>
  <si>
    <t>DEPORTES Carrera 5K en Puerto Madero</t>
  </si>
  <si>
    <t>Desarrollo Urbano + Deportes</t>
  </si>
  <si>
    <t>2614-FEBDUDGC</t>
  </si>
  <si>
    <t>DEPORTES CALLEJERO DE BUENOS AIRES de TC2000</t>
  </si>
  <si>
    <t>2615-FEBINFCG</t>
  </si>
  <si>
    <t>CONTENIDO ADICIONAL GCBA |  Infraestructura | Extensión horaria Línea D - Bad Bunny</t>
  </si>
  <si>
    <t>2616-FEBINFCG</t>
  </si>
  <si>
    <t>Infraestructura | Cortes y desvios Av Cantilo por obras en Labruna</t>
  </si>
  <si>
    <t>2617-FEBSEGGC</t>
  </si>
  <si>
    <t>CAMPAÑA GCBA | Seguridad | Desalojo en PH Palermo - Ravignani 1779</t>
  </si>
  <si>
    <t>2618-FEBFESGC</t>
  </si>
  <si>
    <t>Verano BA | Festival Nación Urbana</t>
  </si>
  <si>
    <t>2619-FEBPCCVC</t>
  </si>
  <si>
    <t>Voluntarios | Donación de Sangre</t>
  </si>
  <si>
    <t>2620-FEBFESGC</t>
  </si>
  <si>
    <t>Materiales POST Verano en BA GENERICOS</t>
  </si>
  <si>
    <t>2622-FEBEPHCG</t>
  </si>
  <si>
    <t>CONTENIDO ADICIONAL GCBA | MEPHU | NO RECOLECCIÓN POR PARO NACIONAL</t>
  </si>
  <si>
    <t>2623-FEBAMBGC</t>
  </si>
  <si>
    <t>Puntos Verdes Fijos y Móviles</t>
  </si>
  <si>
    <t>2624-FEBEDUVC</t>
  </si>
  <si>
    <t>RDV MINISTROS | Mercedes Miguel, Comuna 12 23/2</t>
  </si>
  <si>
    <t>2625-FEBDECVC</t>
  </si>
  <si>
    <t>RDV MINISTROS | Lombardi, Piragine, Tapia Comuna 23/2 EJE CENTRO</t>
  </si>
  <si>
    <t>Desarrollo Económico</t>
  </si>
  <si>
    <t>2627-FEBSALVC</t>
  </si>
  <si>
    <t>RDV Ministros | Fernán Quirós - 27/02</t>
  </si>
  <si>
    <t>2628-FEBCULVC</t>
  </si>
  <si>
    <t>RDV Ministros | Gabriela Ricardes 23/2 Comuna 3</t>
  </si>
  <si>
    <t>2629-FEBJDGVC</t>
  </si>
  <si>
    <t>RDV MINISTROS | GABRIEL SÁNCHEZ ZINNY 25/2 BARRACAS</t>
  </si>
  <si>
    <t>2630-FEBFESGC</t>
  </si>
  <si>
    <t>Verano BA | Material post año nuevo chino</t>
  </si>
  <si>
    <t>2631-FEBINFGC</t>
  </si>
  <si>
    <t>CAMPAÑA GCBA | Infraestructura | Reapertura estación Plaza Italia</t>
  </si>
  <si>
    <t>2632-FEBSEGVC</t>
  </si>
  <si>
    <t>RDV Ministros | Maximiliano Piñeiro 26/2 Comuna 12</t>
  </si>
  <si>
    <t>2633-FEBSEGVC</t>
  </si>
  <si>
    <t>RDV Ministros | Horacio Gimenez 26/2 Comuna 13</t>
  </si>
  <si>
    <t>2634-FEBSEGVC</t>
  </si>
  <si>
    <t>RDV Ministros | Gabino Tapia 26/2 Comuna 14</t>
  </si>
  <si>
    <t>2635-FEBSEGVC</t>
  </si>
  <si>
    <t>RDV Ministros | Ruth Landerreche 26/2 Comuna 15</t>
  </si>
  <si>
    <t>2636-FEBJDGAG</t>
  </si>
  <si>
    <t>RDV JM | Parque Chas 27/2</t>
  </si>
  <si>
    <t>2637-FEBJDGVC</t>
  </si>
  <si>
    <t>RDV MINISTROS | GABRIEL SÁNCHEZ ZINNY 28/2 NÚÑEZ</t>
  </si>
  <si>
    <t>2638-FEBEMEGC</t>
  </si>
  <si>
    <t>Alerta Amarilla | 23/02</t>
  </si>
  <si>
    <t>Emergencias</t>
  </si>
  <si>
    <t>2640-FEBVINGC</t>
  </si>
  <si>
    <t>CAMPAÑA GCBA | VINCULO CIUDADANO | Mas servicios en tu barrio 2026: Retiro 03/03 y 04/03</t>
  </si>
  <si>
    <t>2641-FEBVINGC</t>
  </si>
  <si>
    <t>CAMPAÑA GCBA | VINCULO CIUDADANO | Mas servicios en tu barrio 2026: Balvanera 05/03 y 06/03</t>
  </si>
  <si>
    <t>2642-FEBVINGC</t>
  </si>
  <si>
    <t>CAMPAÑA GCBA | VINCULO CIUDADANO | Mas servicios en tu barrio 2026: Versalles 07/03</t>
  </si>
  <si>
    <t>2643-FEBDECGC</t>
  </si>
  <si>
    <t>Noche de las Hamburgeserias</t>
  </si>
  <si>
    <t>2644-FEBINFGC</t>
  </si>
  <si>
    <t>CAMPAÑA GCBA | Infraestructura | Reapertura estación Uruguay</t>
  </si>
  <si>
    <t>2645-FEBINFGC</t>
  </si>
  <si>
    <t>CAMPAÑA GCBA | INFRAESTRUCTURA | Cambio de sentido calle Culpina</t>
  </si>
  <si>
    <t>2646-FEBAMBVC</t>
  </si>
  <si>
    <t>RDV Ministros | Clara Muzzio - 27/2</t>
  </si>
  <si>
    <t>2647-FEBPCCVC</t>
  </si>
  <si>
    <t>Experiencia BA: Capacitación de RCP</t>
  </si>
  <si>
    <t>2648-FEBPCCVC</t>
  </si>
  <si>
    <t>Experiencia BA: Brigada canina K</t>
  </si>
  <si>
    <t>2650-FEBVINGC</t>
  </si>
  <si>
    <t>CAMPAÑA GCBA | VINCULO CIUDADANO | Mas servicios en tu barrio 2026: Flores 02/03</t>
  </si>
  <si>
    <t>2651-FEBINFGC</t>
  </si>
  <si>
    <t>CAMPAÑA GCBA | Infraestructura | Cierre estación Tribunales</t>
  </si>
  <si>
    <t>2652-FEBCDNNAGC</t>
  </si>
  <si>
    <t>Programa ABRAZAR</t>
  </si>
  <si>
    <t>Consejo de Derechos de Niños, Niñas y Adolescentes</t>
  </si>
  <si>
    <t>2653-FEBFESGC</t>
  </si>
  <si>
    <t>Pascuas en Buenos Aires</t>
  </si>
  <si>
    <t>2654-FEBJDGAG</t>
  </si>
  <si>
    <t>RDV JM | 4/3 VILLA GENERAL MITRE</t>
  </si>
  <si>
    <t>2656-FEBINFVC</t>
  </si>
  <si>
    <t>RDV MINISTROS | PABLO BERECIARTUA 2/3 COMUNA 5</t>
  </si>
  <si>
    <t>2657-FEBVINVC</t>
  </si>
  <si>
    <t>RDV MINISTROS | EZEQUIEL SABOR 2/3 COMUNA 6</t>
  </si>
  <si>
    <t>2658-FEBJDGVC</t>
  </si>
  <si>
    <t>RDV MINISTROS | GABRIEL SÁNCHEZ ZINNY 2/3 RECOLETA</t>
  </si>
  <si>
    <t>2660-FEBEPHGC</t>
  </si>
  <si>
    <t>RDV MINISTROS | IGNACIO BAISTROCCHI 3/3 COMUNA 15</t>
  </si>
  <si>
    <t>2661-FEBFESGC</t>
  </si>
  <si>
    <t>Verano BA | Verano en las Plazas | Parque Lezama</t>
  </si>
  <si>
    <t>2662-FEBSEGVC</t>
  </si>
  <si>
    <t>RDV Ministros | Ruth Landerreche 5/3 Comuna 1 Sur</t>
  </si>
  <si>
    <t>2663-FEBSEGVC</t>
  </si>
  <si>
    <t>RDV Ministros | Maximiliano Piñeiro 5/3 Comuna 1 Norte</t>
  </si>
  <si>
    <t>2664-FEBSEGVC</t>
  </si>
  <si>
    <t>RDV Ministros | Horacio Giménez 5/3 Comuna 2</t>
  </si>
  <si>
    <t>2665-FEBSEGVC</t>
  </si>
  <si>
    <t>RDV Ministros | Gabino Tapia 5/3 Comuna 3</t>
  </si>
  <si>
    <t>2666-FEBINFGC</t>
  </si>
  <si>
    <t>Infraestructura I PBN Álvarez Thomas: inicio de obra</t>
  </si>
  <si>
    <t>2667-FEBAMBVC</t>
  </si>
  <si>
    <t>RDV Ministros | Gabriel Mraida - 6/03</t>
  </si>
  <si>
    <t>2668-FEBPCCVC</t>
  </si>
  <si>
    <t>Visita de obra Ramal Castañon</t>
  </si>
  <si>
    <t>2669-FEBPCCVC</t>
  </si>
  <si>
    <t>Eventos Masivos Velez</t>
  </si>
  <si>
    <t>2670-FEBINFGC</t>
  </si>
  <si>
    <t xml:space="preserve"> Infraestructura| Extensión línea 102: revisión de flyer + mail</t>
  </si>
  <si>
    <t>2671-MARJDGVC</t>
  </si>
  <si>
    <t>RDV MINISTROS | GABRIEL SÁNCHEZ ZINNY 6/3 VILLA SANTA</t>
  </si>
  <si>
    <t>2672-MARPCCVC</t>
  </si>
  <si>
    <t>Parque Ferroviario Palermo</t>
  </si>
  <si>
    <t>2673-MARSALGC</t>
  </si>
  <si>
    <t>Mejoras en Centros de Salud</t>
  </si>
  <si>
    <t>2674-MARSALGC</t>
  </si>
  <si>
    <t>Fin de obra - Ampliación CESAC 46</t>
  </si>
  <si>
    <t>2675-MARINFGC</t>
  </si>
  <si>
    <t xml:space="preserve"> Infraestructura | Anillo Pampa: cortes y desvíos</t>
  </si>
  <si>
    <t>2676-MARAMBGC</t>
  </si>
  <si>
    <t>RDV Ministros | Clara Muzzio - 6/03</t>
  </si>
  <si>
    <t>2677-MAREDUCG</t>
  </si>
  <si>
    <t>Comienzo Ciclo Lectivo en la Ciudad</t>
  </si>
  <si>
    <t>2678-MARTURGC</t>
  </si>
  <si>
    <t>Turismo con mascotas</t>
  </si>
  <si>
    <t>2679-MARINFGC</t>
  </si>
  <si>
    <t>Infraestructura I Fin de obra Av. Pérez Galdós</t>
  </si>
  <si>
    <t>2680-MARINFGC</t>
  </si>
  <si>
    <t>Apertura Estación Congreso Línea A</t>
  </si>
  <si>
    <t>2682-MARSEGGJ</t>
  </si>
  <si>
    <t>18 meses sin manteros en Once</t>
  </si>
  <si>
    <t>2683-MARDECVC</t>
  </si>
  <si>
    <t>RDV MINISTROS| TAPIA-PIRAGINE-LOMBARDI 9/3 EJE SUR</t>
  </si>
  <si>
    <t>2685-MARSEGVC</t>
  </si>
  <si>
    <t>RDV MINISTROS |  Horacio Gimenez 12/3 Comuna 4</t>
  </si>
  <si>
    <t>2686-MARSEGVC</t>
  </si>
  <si>
    <t>RDV MINISTROS |  Francisco Quintana 12/3 Comuna 5</t>
  </si>
  <si>
    <t>2687-MARSEGVC</t>
  </si>
  <si>
    <t>RDV MINISTROS |  Ruth Landerrche 12/3 Comuna 6</t>
  </si>
  <si>
    <t>2688-MARSEGVC</t>
  </si>
  <si>
    <t>RDV MINISTROS |  Maximiliano Piñeiro 12/3 Comuna 7</t>
  </si>
  <si>
    <t>2689-MARSALVC</t>
  </si>
  <si>
    <t>RDV Ministros | Fernán Quirós - 13/03</t>
  </si>
  <si>
    <t>2690-MARINFGC</t>
  </si>
  <si>
    <t>Infraestructura I Obras M2: Trambus Marzo | conexión Nueva Pompeya con Aeroparque</t>
  </si>
  <si>
    <t>2692-MARJDGAG</t>
  </si>
  <si>
    <t>RDV JM 11/03 PARQUE AVELLANEDA</t>
  </si>
  <si>
    <t>2693-MARSALGC</t>
  </si>
  <si>
    <t xml:space="preserve"> SIGEHOS - Envío Medicación e Insumos (MEI)</t>
  </si>
  <si>
    <t>2695-MARPCCVC</t>
  </si>
  <si>
    <t>PC Marzo | Verano en la Ciudad Pauta</t>
  </si>
  <si>
    <t>2696-MARINFGC</t>
  </si>
  <si>
    <t>INFRAESTRUCTURA I Cortes por Circuito Callejero TC2000</t>
  </si>
  <si>
    <t>2697-MARJDGAG</t>
  </si>
  <si>
    <t>RDV JM TEMÁTICA | TE CUENTO BS AS  14/03 SEGURIDAD EJE OESTE</t>
  </si>
  <si>
    <t>2698-MARSEGGJ</t>
  </si>
  <si>
    <t>Desalojo en San Cristóbal</t>
  </si>
  <si>
    <t>2699-MARTURGC</t>
  </si>
  <si>
    <t>Sondeo Hotelero por fin de semana largo 16/3</t>
  </si>
  <si>
    <t>2700-MARINFGC</t>
  </si>
  <si>
    <t>Infraestructura | Cortes y desvíos en el Campo Argentino de Polo por evento masivo</t>
  </si>
  <si>
    <t>2701-MARJDGVC</t>
  </si>
  <si>
    <t>RDV MINISTROS | GABRIEL SÁNCHEZ ZINNY 10/3 VILLA RIACHUELO</t>
  </si>
  <si>
    <t>2702-MARJDGVC</t>
  </si>
  <si>
    <t>RDV MINISTROS | GABRIEL SÁNCHEZ ZINNY 14/3 SAAVEDRA</t>
  </si>
  <si>
    <t>2703-MARJDGVC</t>
  </si>
  <si>
    <t>RDV MINISTROS | GABRIEL SÁNCHEZ ZINNY 13/3 SAN TELMO</t>
  </si>
  <si>
    <t>2704-MAREPHGC</t>
  </si>
  <si>
    <t>CAMPAÑA GCBA | MEPHU | CD inicio de obras del Botánico</t>
  </si>
  <si>
    <t>2705-MARHYFGC</t>
  </si>
  <si>
    <t>Agip - ABL</t>
  </si>
  <si>
    <t>Hacienda y Finanzas</t>
  </si>
  <si>
    <t>2706-MARINFGC</t>
  </si>
  <si>
    <t xml:space="preserve"> Infraestructura I Cambio de sentido Caranday</t>
  </si>
  <si>
    <t>2707-MARPCCVC</t>
  </si>
  <si>
    <t>Visita al taller Subte  H - Parque Patricios</t>
  </si>
  <si>
    <t>2708-MARSALGC</t>
  </si>
  <si>
    <t>Deploy GDE semana del 9/3</t>
  </si>
  <si>
    <t>2709-MARPCCVC</t>
  </si>
  <si>
    <t>ExBA Taller de educación financiera  18/3</t>
  </si>
  <si>
    <t>2710-MARPCCVC</t>
  </si>
  <si>
    <t>ExBA Circuito Riachulo 26/3 y 9/4</t>
  </si>
  <si>
    <t>2711-MARFESGC</t>
  </si>
  <si>
    <t>Pascuas en plazas y anfiteatros</t>
  </si>
  <si>
    <t>2712-MARFESGC</t>
  </si>
  <si>
    <t>Paseo de Pascuas</t>
  </si>
  <si>
    <t>2713-MARSALGC</t>
  </si>
  <si>
    <t>Hospital Álvarez - Recorrida de obras</t>
  </si>
  <si>
    <t>2714-MAREPHGC</t>
  </si>
  <si>
    <t>RDV MINISTROS | IGNACIO BAISTROCCHI 16/3 COMUNA 1</t>
  </si>
  <si>
    <t>2715-MARINFVC</t>
  </si>
  <si>
    <t>RDV MINISTROS | PABLO BERECIARTUA 18/3 COMUNA 3</t>
  </si>
  <si>
    <t>2716-MARINFGC</t>
  </si>
  <si>
    <t>CORTES y desvios  PBN Álvarez Thomas</t>
  </si>
  <si>
    <t>2717-MARDHHVC</t>
  </si>
  <si>
    <t>RDV Ministros | Gabriel Mraida - 20/03</t>
  </si>
  <si>
    <t>2718-MARINFGC</t>
  </si>
  <si>
    <t>Infraestructura | Cortes y desvíos por evento masivo en Vélez CHAYANNE</t>
  </si>
  <si>
    <t>2719-MARJDGVC</t>
  </si>
  <si>
    <t>RDV MINISTROS | GABRIEL SÁNCHEZ ZINNY 19/3 PARQUE CHAS</t>
  </si>
  <si>
    <t>2720-MARINFGC</t>
  </si>
  <si>
    <t>INFRAESTRUCTURA | Cortes y desvíos: derrumbe en PP</t>
  </si>
  <si>
    <t>2721-MARINFGC</t>
  </si>
  <si>
    <t>Infraestructura | Cambio de recorrido del Bus eléctrico: Usina del Árte</t>
  </si>
  <si>
    <t>2722-MARJDGAG</t>
  </si>
  <si>
    <t>RDV JM 16/3 VILLA ORTUZAR</t>
  </si>
  <si>
    <t>2723-MARJDGAG</t>
  </si>
  <si>
    <t>RDV JM 18/3 LA BOCA</t>
  </si>
  <si>
    <t>2725-MARPCCVC</t>
  </si>
  <si>
    <t>Encuentro Informativo y de co creación: Área de Desarrollo Prioritario Avellaneda y Entorno</t>
  </si>
  <si>
    <t>2726-MARSEGVC</t>
  </si>
  <si>
    <t>RDV Ministros | Maximiliano Piñeiro 19/3 Comuna 8</t>
  </si>
  <si>
    <t>2727-MARSEGVC</t>
  </si>
  <si>
    <t>RDV Ministros | Horacio Giménez 19/3 Comuna 9</t>
  </si>
  <si>
    <t>2728-MARSEGVC</t>
  </si>
  <si>
    <t>RDV Ministros | Gabino Tapia 19/3 Comuna 10</t>
  </si>
  <si>
    <t>2729-MARSEGVC</t>
  </si>
  <si>
    <t>RDV Ministros | Ruth Landerreche 19/3 Comuna 11</t>
  </si>
  <si>
    <t>2730-MARPCCVC</t>
  </si>
  <si>
    <t>PC Marzo | Experiencia Subte H</t>
  </si>
  <si>
    <t>2731-MARINFGC</t>
  </si>
  <si>
    <t>Infraestructura I Corte por evento deportivo</t>
  </si>
  <si>
    <t>2732-MARINFGC</t>
  </si>
  <si>
    <t>Infraestructura I Cortes en Dellepiane por obras (fin de semana largo marzo)</t>
  </si>
  <si>
    <t>2733-MARSALGC</t>
  </si>
  <si>
    <t>SIGEHOS - Envío Pieza RIS - Semana del 16/03</t>
  </si>
  <si>
    <t>2734-MARSALGC</t>
  </si>
  <si>
    <t>Encuesta de Clima Laboral "Nuestro Latido"</t>
  </si>
  <si>
    <t>2735-MARSEGGJ</t>
  </si>
  <si>
    <t>CAMPAÑA JM + GCBA | SEGURIDAD | 600 desalojos en la Ciudad</t>
  </si>
  <si>
    <t>2736-MARJDGVC</t>
  </si>
  <si>
    <t>RDV MINISTROS | GABRIEL SÁNCHEZ ZINNY 20/3 PUERTO MADERO</t>
  </si>
  <si>
    <t>2737-MARSALGJ</t>
  </si>
  <si>
    <t>CAMPAÑA GCBA/AGENDA JM | SALUD | HTAL. ZUBIZARRETA: RECORRIDA OBRAS</t>
  </si>
  <si>
    <t>2738-MARCULGC</t>
  </si>
  <si>
    <t>Bafici 2026</t>
  </si>
  <si>
    <t>2739-MARSEGGJ</t>
  </si>
  <si>
    <t>CAMPAÑA JM + GCBA | SEGURIDAD | Operativo de Seguridad en Subte</t>
  </si>
  <si>
    <t>2740-MARAMBVC</t>
  </si>
  <si>
    <t>RDV Ministros | Clara Muzzio - 20/03</t>
  </si>
  <si>
    <t>2741-MAREMECG</t>
  </si>
  <si>
    <t>Alerta Amarilla 17/03</t>
  </si>
  <si>
    <t>2743-MARPCCVC</t>
  </si>
  <si>
    <t>Visitas al monumento Las Nereidas</t>
  </si>
  <si>
    <t>2744-MARSALGC</t>
  </si>
  <si>
    <t>Vacunación Antigripal 2026</t>
  </si>
  <si>
    <t>2745-MARPCCVC</t>
  </si>
  <si>
    <t>Voluntarios | Jornada de adopción perros y gatos</t>
  </si>
  <si>
    <t>2746-MARDECGC</t>
  </si>
  <si>
    <t>Anuncio Créditos Hipotecarios</t>
  </si>
  <si>
    <t>2747-MAREPHGC</t>
  </si>
  <si>
    <t>CAMPAÑA GCBA | MEPHU | CD durante de las obras en Mataderos</t>
  </si>
  <si>
    <t>2749-MARTURGC</t>
  </si>
  <si>
    <t>Informe mensual Observatorio Turismo 20/3</t>
  </si>
  <si>
    <t>2750-MARSALVC</t>
  </si>
  <si>
    <t>RDV Ministros | Fernán Quirós - 25/03</t>
  </si>
  <si>
    <t>2751-MARAMBVC</t>
  </si>
  <si>
    <t>RDV Ministros | Clara Muzzio - 25/03</t>
  </si>
  <si>
    <t>2752-MARCULVC</t>
  </si>
  <si>
    <t>RDV Ministros| Gabriela Ricardes 25/3 Comuna 1</t>
  </si>
  <si>
    <t>2753-MARSEGVC</t>
  </si>
  <si>
    <t>RDV Ministros| Horacio Gimenez 26/3 Comuna 12</t>
  </si>
  <si>
    <t>2754-MARSEGVC</t>
  </si>
  <si>
    <t>RDV Ministros| Ruth Landerreche 26/3 Comuna 13</t>
  </si>
  <si>
    <t>2755-MARSEGVC</t>
  </si>
  <si>
    <t>RDV Ministros| Maximiliano Piñeiro 26/3 Comuna 14</t>
  </si>
  <si>
    <t>2756-MARSEGVC</t>
  </si>
  <si>
    <t>RDV Ministros| Gabino Tapia 26/3 Comuna 15</t>
  </si>
  <si>
    <t>2757-MARJDGVC</t>
  </si>
  <si>
    <t>RDV MINISTROS | GABRIEL SÁNCHEZ ZINNY 25/3 CABALLITO</t>
  </si>
  <si>
    <t>2758-MARINFGC</t>
  </si>
  <si>
    <t xml:space="preserve"> INFRAESTRUCTURA  | Cortes y desvíos por evento en River: AC/DC</t>
  </si>
  <si>
    <t>2759-MARCULGC</t>
  </si>
  <si>
    <t>Entradas a charla de John Malkovich</t>
  </si>
  <si>
    <t>2760-MARTURGC</t>
  </si>
  <si>
    <t>Sondeo por Semana Santa</t>
  </si>
  <si>
    <t>2761-MARJDGAG</t>
  </si>
  <si>
    <t>RDV JM | 23/3 VILLA PUEYRREDÓN</t>
  </si>
  <si>
    <t>2762-MARJDGAG</t>
  </si>
  <si>
    <t>RDV JM | 25/3 CHACARITA</t>
  </si>
  <si>
    <t>2763-MARJDGAG</t>
  </si>
  <si>
    <t>RDV JM TEMÁTICA | TE CUENTO BS AS 26/03 MOVILIDAD EJE SUR</t>
  </si>
  <si>
    <t>2765-MAREDUGC</t>
  </si>
  <si>
    <t>Campaña Compromiso familiar: sin celulares</t>
  </si>
  <si>
    <t>2766-MARPCCVC</t>
  </si>
  <si>
    <t>Jornada de adopción de mascotas</t>
  </si>
  <si>
    <t>2767-MARSALGC</t>
  </si>
  <si>
    <t>Primer envío Medicación e Insumos (MEI)</t>
  </si>
  <si>
    <t>2768-MARINNCG</t>
  </si>
  <si>
    <t>Pauta canal de YT | Peajes Inteligentes</t>
  </si>
  <si>
    <t>2769-MARINFGC</t>
  </si>
  <si>
    <t xml:space="preserve"> Infraestructura I Activación banners Extensión horaria de Subte </t>
  </si>
  <si>
    <t>2770-MARSALGC</t>
  </si>
  <si>
    <t>Segundo envío Medicación e Insumos (MEI)</t>
  </si>
  <si>
    <t>2771-MARINFGC</t>
  </si>
  <si>
    <t xml:space="preserve"> Infraestructura I Activación banners Extensión horaria de Subte D (AC/DC)</t>
  </si>
  <si>
    <t>2772-MARSALCG</t>
  </si>
  <si>
    <t>Realidad Aumentada en Hospitales</t>
  </si>
  <si>
    <t>2773-MARDECAN</t>
  </si>
  <si>
    <t>Eliminación del Impuesto de Sellos</t>
  </si>
  <si>
    <t>2774-MARDECAN</t>
  </si>
  <si>
    <t>Exención de impuestos al sector gastronómico y hotelero</t>
  </si>
  <si>
    <t>2775-MARSEGGJ</t>
  </si>
  <si>
    <t>ALTA INTERNA MATERIAL ADICIONAL | SEGURIDAD | Demolición Búnker Narco en B3</t>
  </si>
  <si>
    <t>2776-MARVINVC</t>
  </si>
  <si>
    <t>RDV MINISTROS | EZEQUIEL SABOR 30/3 COMUNA 7</t>
  </si>
  <si>
    <t>2777-MARJDGVC</t>
  </si>
  <si>
    <t>RDV MINISTROS | GABRIEL SÁNCHEZ ZINNY 30/3  MATADEROS</t>
  </si>
  <si>
    <t>2778-MARDHHVC</t>
  </si>
  <si>
    <t>RDV Ministros | Gabriel Mraida - Comuna 15</t>
  </si>
  <si>
    <t>2780-MARINFVC</t>
  </si>
  <si>
    <t>RDV MINISTROS | PABLO BERECIARTUA 1/4 COMUNA 12</t>
  </si>
  <si>
    <t>2781-MARJDGVC</t>
  </si>
  <si>
    <t>RDV MINISTROS | GABRIEL SÁNCHEZ ZINNY 1/4  MONTSERRAT</t>
  </si>
  <si>
    <t>2782-MARJDGAG</t>
  </si>
  <si>
    <t>RDV JM | 30/3 VILLA SANTA RITA</t>
  </si>
  <si>
    <t>2783-MAREDUVC</t>
  </si>
  <si>
    <t>RDV MINISTROS | MM |  COMUNA 2  || 30/3</t>
  </si>
  <si>
    <t>2784-MARDECVC</t>
  </si>
  <si>
    <t>RDV MINISTROS | ARENGO,PIRAGINE,LOMBARDI | EJE NORTE | 30/3</t>
  </si>
  <si>
    <t>2785-MARSALGC</t>
  </si>
  <si>
    <t>Centro de Cuidados Integrales</t>
  </si>
  <si>
    <t>2786-MARDECAN</t>
  </si>
  <si>
    <t>ANUNCIO JM | DISTRITO IA</t>
  </si>
  <si>
    <t>2787-MARINFGC</t>
  </si>
  <si>
    <t>INFRAESTRUCTURA  | Cortes y desvíos en Velez: Tan Bionica</t>
  </si>
  <si>
    <t>2788-MARFESGC</t>
  </si>
  <si>
    <t>Evento Experiencia BA</t>
  </si>
  <si>
    <t>2789-MARINFGC</t>
  </si>
  <si>
    <t xml:space="preserve"> Infraestructura I Cortes en Dellepiane por obras (30/3)</t>
  </si>
  <si>
    <t>2790-MARJDGAG</t>
  </si>
  <si>
    <t>1 A 1 JM | Comuna 2 31/03</t>
  </si>
  <si>
    <t>2791-MARINFGC</t>
  </si>
  <si>
    <t>Infraestructura I Cortes en AU Illia por obras</t>
  </si>
  <si>
    <t>2792-MARSEGCG</t>
  </si>
  <si>
    <t>CONTENIDO ADICIONAL | Seguridad | Video para pauta: Orden en la Villa 31</t>
  </si>
  <si>
    <t>2793-MARPCCVC</t>
  </si>
  <si>
    <t>Parque Lineal Almagro</t>
  </si>
  <si>
    <t>2794-MARPCCVC</t>
  </si>
  <si>
    <t>Día de la Salud</t>
  </si>
  <si>
    <t>2795-MARINFGC</t>
  </si>
  <si>
    <t>Infraestructura | Mail reempadronamiento Movilidad Porteña: Discapacitados y transplantados</t>
  </si>
  <si>
    <t>2796-MARPCCVC</t>
  </si>
  <si>
    <t>Feria en Parque Chacabuco por Día de la Salud</t>
  </si>
  <si>
    <t>2797-MARSALGJ</t>
  </si>
  <si>
    <t>Recorrida: Hospital Pirovano</t>
  </si>
  <si>
    <t>2798-MARJDGAG</t>
  </si>
  <si>
    <t>RDV JM TEMÁTICA | TE CUENTO BS AS 09/04 SALUD EJE OESTE</t>
  </si>
  <si>
    <t>2799-MARPCCVC</t>
  </si>
  <si>
    <t>Puesta en valor Club Soldati</t>
  </si>
  <si>
    <t>2800-MARJDGVC</t>
  </si>
  <si>
    <t>RDV MINISTROS | GABRIEL SÁNCHEZ ZINNY 6/4  SAN CRISTOBAL</t>
  </si>
  <si>
    <t>2801-MARSEGVC</t>
  </si>
  <si>
    <t>RDV MINISTROS | Gabriela Ricardes 7/4 Comuna 10</t>
  </si>
  <si>
    <t>2803-MARJDGAG</t>
  </si>
  <si>
    <t>RDV JM | 8/4 VILLA CRESPO</t>
  </si>
  <si>
    <t>2804-ABRSALVC</t>
  </si>
  <si>
    <t>RDV Ministros | Fernán Quirós 7/4</t>
  </si>
  <si>
    <t>2805-ABRAMBVC</t>
  </si>
  <si>
    <t>RDV Ministros | Clara Muzzio 8/4</t>
  </si>
  <si>
    <t>2806-ABRSEGVC</t>
  </si>
  <si>
    <t>RDV Ministros | Ruth Landerreche 9/4 Comuna 1 Norte</t>
  </si>
  <si>
    <t>2807-ABRSEGVC</t>
  </si>
  <si>
    <t>RDV Ministros | Gabino Tapia  9/4 Comuna 1 Sur</t>
  </si>
  <si>
    <t>2808-ABRSEGVC</t>
  </si>
  <si>
    <t>RDV Ministros | Maximilia Piñeiro 9/4 Comuna 2</t>
  </si>
  <si>
    <t>2809-ABREMEGC</t>
  </si>
  <si>
    <t>Alerta Amarilla | 01/04</t>
  </si>
  <si>
    <t>2810-ABRSEGVC</t>
  </si>
  <si>
    <t>RDV Ministros | Horacio Giménez 9/4 Comuna 3</t>
  </si>
  <si>
    <t>2811-ABRINFGC</t>
  </si>
  <si>
    <t xml:space="preserve"> INFRAESTRUCTURA | AU Dellepiane: durante de obra | Abril 2026</t>
  </si>
  <si>
    <t>2812-ABRINFGC</t>
  </si>
  <si>
    <t xml:space="preserve"> Infraestructura | Inicio de obra: calle Brigadier Quiroga</t>
  </si>
  <si>
    <t>2813-ABRDUDGC</t>
  </si>
  <si>
    <t>Evento Colapinto</t>
  </si>
  <si>
    <t>2814-ABRPCCVC</t>
  </si>
  <si>
    <t>Visita a la estación de bomberos II</t>
  </si>
  <si>
    <t>2815-ABRCULGC</t>
  </si>
  <si>
    <t>Feria del Libro 2026</t>
  </si>
  <si>
    <t>2816-ABRJDGAG</t>
  </si>
  <si>
    <t>1 A 1 JM | Comuna 6 10/04</t>
  </si>
  <si>
    <t>2817-ABRAMBVC</t>
  </si>
  <si>
    <t>Alta Interna | RDV Ministros | Clara Muzzio - Reunión Temática - 10/4</t>
  </si>
  <si>
    <t>2818-ABRPCCVC</t>
  </si>
  <si>
    <t>Eventos Masivos Ferro</t>
  </si>
  <si>
    <t>2819-ABRSEGGJ</t>
  </si>
  <si>
    <t>GCBA + JM | SEGURIDAD | Desalojo de propiedad Anchoris 183</t>
  </si>
  <si>
    <t>2820-ABRSALGC</t>
  </si>
  <si>
    <t>CESAC 51 - Durante de Obra</t>
  </si>
  <si>
    <t>2822-ABRFESGC</t>
  </si>
  <si>
    <t>Circuito Outlets | Ba 24hs</t>
  </si>
  <si>
    <t>2823-ABRCULGC</t>
  </si>
  <si>
    <t>Lanzamiento Linda. Ar</t>
  </si>
  <si>
    <t>2825-ABRINFGC</t>
  </si>
  <si>
    <t>Obras M2: Trambus ABRIL</t>
  </si>
  <si>
    <t>2826-ABRSALGC</t>
  </si>
  <si>
    <t>Comunicación SIGEHOS - PEL</t>
  </si>
  <si>
    <t>2827-ABREPHGC</t>
  </si>
  <si>
    <t>CAMPAÑA GCBA | MEPHU | CAMPAÑA GRANDES GENERADORES</t>
  </si>
  <si>
    <t>2828-ABRDHHVC</t>
  </si>
  <si>
    <t>RDV Ministros | Gabriel Mraida - 15/4</t>
  </si>
  <si>
    <t>2829-ABREPHVC</t>
  </si>
  <si>
    <t>RDV MINISTROS | IGNACIO BAISTROCCHI 13/4 COMUNA 3</t>
  </si>
  <si>
    <t>2830-ABRJDGVC</t>
  </si>
  <si>
    <t>RDV MINISTROS | GABRIEL SÁNCHEZ ZINNY 14/4  RETIRO</t>
  </si>
  <si>
    <t>2831-ABRSEGVC</t>
  </si>
  <si>
    <t>RDV MINISTROS | Maximiliano Piñeiro 16/4 Comuna 4</t>
  </si>
  <si>
    <t>2832-ABRVINVC</t>
  </si>
  <si>
    <t>CAMPAÑA GCBA | VINCULO CIUDADANO | Mas servicios en tu barrio 2026: San Telmo 11/4</t>
  </si>
  <si>
    <t>2833-ABRSEGVC</t>
  </si>
  <si>
    <t>RDV MINISTROS | Ruth Landerreche 16/4 Comuna 5</t>
  </si>
  <si>
    <t>2834-ABRSEGVC</t>
  </si>
  <si>
    <t>RDV MINISTROS | Gabino Tapia 16/4 Comuna 6</t>
  </si>
  <si>
    <t>2835-ABRSEGVC</t>
  </si>
  <si>
    <t>RDV MINISTROS | Horacio Giménez 16/4 Comuna 7</t>
  </si>
  <si>
    <t>2836-ABRVINVC</t>
  </si>
  <si>
    <t>CAMPAÑA GCBA | VINCULO CIUDADANO | Mas servicios en tu barrio 2026:  Villa Crespo 13/4</t>
  </si>
  <si>
    <t>2837-ABRVINVC</t>
  </si>
  <si>
    <t>CAMPAÑA GCBA | VINCULO CIUDADANO | Mas servicios en tu barrio 2026: La Boca 14/4 y 15/4</t>
  </si>
  <si>
    <t>2838-ABRVINVC</t>
  </si>
  <si>
    <t>CAMPAÑA GCBA | VINCULO CIUDADANO | Mas servicios en tu barrio 2026: Agronomía 16/4</t>
  </si>
  <si>
    <t>2839-ABRVINVC</t>
  </si>
  <si>
    <t>CAMPAÑA GCBA | VINCULO CIUDADANO | Mas servicios en tu barrio 2026:  Caballito 17/4</t>
  </si>
  <si>
    <t>2840-ABRVINVC</t>
  </si>
  <si>
    <t>CAMPAÑA GCBA | VINCULO CIUDADANO | Mas servicios en tu barrio 2026:  Parque Chas 17/4</t>
  </si>
  <si>
    <t>2841-ABRJDGAG</t>
  </si>
  <si>
    <t>RDV JM | 15/4 PARQUE CHACABUCO</t>
  </si>
  <si>
    <t>2842-ABRJDGAG</t>
  </si>
  <si>
    <t>RDV JM TEMÁTICA | TE CUENTO BS AS 16/04 EDUCACIÓN EJE NORTE</t>
  </si>
  <si>
    <t>2843-ABRJDGAG</t>
  </si>
  <si>
    <t>1 A 1 JM | Comuna 1 17/04</t>
  </si>
  <si>
    <t>2844-ABRVINVC</t>
  </si>
  <si>
    <t>CAMPAÑA GCBA | VINCULO CIUDADANO | Mas servicios en tu barrio 2026:  Villa Soldati 18/4</t>
  </si>
  <si>
    <t>2845-ABRINFGC</t>
  </si>
  <si>
    <t>Infraestructura I Cortes de tránsito por evento deportivo LAS TEMPORADAS</t>
  </si>
  <si>
    <t>2846-ABRSALGC</t>
  </si>
  <si>
    <t>CeSAC 1 - Fin de obra</t>
  </si>
  <si>
    <t>2847-ABRINFGC</t>
  </si>
  <si>
    <t>Infraestructura I Cambio de sentido Manuel Porcel de Peralta</t>
  </si>
  <si>
    <t>2849-ABRPCCVC</t>
  </si>
  <si>
    <t>Centro Integral de Discapacidad CID</t>
  </si>
  <si>
    <t>2851-ABRJDGVC</t>
  </si>
  <si>
    <t>RDV MINISTROS | GABRIEL SÁNCHEZ ZINNY 17/4 PALERMO</t>
  </si>
  <si>
    <t>2852-ABRINFGC</t>
  </si>
  <si>
    <t>INFRAESTRUCTURA | Cortes y desvíos por Evento Colapinto</t>
  </si>
  <si>
    <t>2853-ABRINFGC</t>
  </si>
  <si>
    <t>Infraestructura I Corte AU Illia por obras</t>
  </si>
  <si>
    <t>2854-ABRINFGC</t>
  </si>
  <si>
    <t>Infraestructura I Cortes AU La Plata - Buenos Aires</t>
  </si>
  <si>
    <t>2855-ABRJDGAG</t>
  </si>
  <si>
    <t>Campaña JM | Prioridad porteña: mail</t>
  </si>
  <si>
    <t>2856-ABRPCCVC</t>
  </si>
  <si>
    <t>Día Mundia del la Salud Post</t>
  </si>
  <si>
    <t>2857-ABRVINVC</t>
  </si>
  <si>
    <t>CAMPAÑA GCBA | VINCULO CIUDADANO | Mas servicios en tu barrio 2026: Almagro 20/4</t>
  </si>
  <si>
    <t>2858-ABRVINVC</t>
  </si>
  <si>
    <t>CAMPAÑA GCBA | VINCULO CIUDADANO | Mas servicios en tu barrio 2026: Villa del Parque 21/4 y 22/4</t>
  </si>
  <si>
    <t>2859-ABRVINVC</t>
  </si>
  <si>
    <t>CAMPAÑA GCBA | VINCULO CIUDADANO | Mas servicios en tu barrio 2026: Colegiales 23/4</t>
  </si>
  <si>
    <t>2860-ABRVINVC</t>
  </si>
  <si>
    <t>CAMPAÑA GCBA | VINCULO CIUDADANO | Mas servicios en tu barrio 2026: Montserrat 24/4</t>
  </si>
  <si>
    <t>2861-ABRVINVC</t>
  </si>
  <si>
    <t>CAMPAÑA GCBA | VINCULO CIUDADANO | Mas servicios en tu barrio 2026: Palermo 25/4</t>
  </si>
  <si>
    <t>2862-ABRSALGC</t>
  </si>
  <si>
    <t>Casa de Medio Camino Ruíz Díaz Guzmán</t>
  </si>
  <si>
    <t>2863-ABRSALGC</t>
  </si>
  <si>
    <t>CESAC 40 - Fin de obra</t>
  </si>
  <si>
    <t>2864-ABRINFGC</t>
  </si>
  <si>
    <t>DGPLES | Infraestructura | Medidas de seguridad en EcoBici</t>
  </si>
  <si>
    <t>2865-ABRINFGC</t>
  </si>
  <si>
    <t>Infraestructura | Cortes y desvíos por show de Ricky Martin</t>
  </si>
  <si>
    <t>2866-ABRAMBVC</t>
  </si>
  <si>
    <t>RDV Ministros | Clara Muzzio - 17/4  - Temática</t>
  </si>
  <si>
    <t>2867-ABRINFGC</t>
  </si>
  <si>
    <t>DGPLES | Infraestructura | Cortes en Ferro por show de Las Pastillas del Abuelo</t>
  </si>
  <si>
    <t>2868-ABRFESGC</t>
  </si>
  <si>
    <t>Retiro Abierto | Edición Galerias</t>
  </si>
  <si>
    <t>2870-ABRSALGC</t>
  </si>
  <si>
    <t>SIGEHOS - Mejoras y Correcciones en el RIS - Semana del 14/4</t>
  </si>
  <si>
    <t>2871-ABRSALGC</t>
  </si>
  <si>
    <t>SIGEHOS - Nuestro Latido Organizacional - Refuerzo</t>
  </si>
  <si>
    <t>2872-ABRINFGC</t>
  </si>
  <si>
    <t>INFRAESTRUCTURA | Cortes y desvíos por evento Homenaje al Papa Francisco - Cura DJ</t>
  </si>
  <si>
    <t>2873-ABRINFGC</t>
  </si>
  <si>
    <t>Infraestructura I Cortes de tránsito por evento deportivo</t>
  </si>
  <si>
    <t>2874-ABRSEGGJ</t>
  </si>
  <si>
    <t>CAMPAÑA JM + GCBA | SEGURIDAD | Desalojo cuatro propiedades en Constitución</t>
  </si>
  <si>
    <t>2875-ABRDECVC</t>
  </si>
  <si>
    <t>RDV Hernán Lombardi, Gustavo Arengo Piragine y Gabino Tapia, Eje Oeste 20/4</t>
  </si>
  <si>
    <t>2877-FEBINFVC</t>
  </si>
  <si>
    <t>RDV MINISTROS | PABLO BERECIARTUA 20/4 COMUNA 9</t>
  </si>
  <si>
    <t>2878-FEBVINVC</t>
  </si>
  <si>
    <t>RDV MINISTROS | EZEQUIEL SABOR 20/4 COMUNA 1</t>
  </si>
  <si>
    <t>2879-ABRJDGVC</t>
  </si>
  <si>
    <t>RDV MINISTROS | GABRIEL SÁNCHEZ ZINNY 21/4  VILLA PUEYRREDÓN</t>
  </si>
  <si>
    <t>2880-ABRJDGVC</t>
  </si>
  <si>
    <t>RDV MINISTROS | GABRIEL SÁNCHEZ ZINNY 24/4  BELGRANO</t>
  </si>
  <si>
    <t>2881-ABRCULVC</t>
  </si>
  <si>
    <t>RDV MINISTROS | Gabriela Ricardes 22/4 Comuna 14</t>
  </si>
  <si>
    <t>2882-ABRSEGVC</t>
  </si>
  <si>
    <t>RDV MINISTROS | Ruth Landerreche 23/4 Comuna 8</t>
  </si>
  <si>
    <t>2883-ABRSEGVC</t>
  </si>
  <si>
    <t>RDV MINISTROS | Maximiliano Piñeiro 23/4 Comuna 9</t>
  </si>
  <si>
    <t>2884-ABRSEGVC</t>
  </si>
  <si>
    <t>RDV MINISTROS | Horacio Giménez 23/4 Comuna 10</t>
  </si>
  <si>
    <t>2885-ABRSEGVC</t>
  </si>
  <si>
    <t>RDV MINISTROS | Francisco Quintana 23/4 Comuna 11</t>
  </si>
  <si>
    <t>2886-ABRDECGC</t>
  </si>
  <si>
    <t>CAFECITO BA ABRIL</t>
  </si>
  <si>
    <t>2887-ABRJDGGC</t>
  </si>
  <si>
    <t>1 A 1 JM | Comuna 15 23/04</t>
  </si>
  <si>
    <t>2888-ABRPCCVC</t>
  </si>
  <si>
    <t>BA Actividad | Deja tus rueditas</t>
  </si>
  <si>
    <t>2889-ABRSALVC</t>
  </si>
  <si>
    <t>RDV Ministros |  Fernán Quirós - 21/4</t>
  </si>
  <si>
    <t>2890-ABRSALGC</t>
  </si>
  <si>
    <t>SIGEHOS - Envío Solicitud Electrónica</t>
  </si>
  <si>
    <t>2891-ABRSALGC</t>
  </si>
  <si>
    <t>Prioridad Porteña</t>
  </si>
  <si>
    <t>2892-ABRSALGC</t>
  </si>
  <si>
    <t>Centro de Desarrollo Laboral para Personas con Discapacidad</t>
  </si>
  <si>
    <t>2894-ABRSALGC</t>
  </si>
  <si>
    <t>Programa de Escucha Activa</t>
  </si>
  <si>
    <t>2895-ABRAMBGC</t>
  </si>
  <si>
    <t>RDV Ministros | Clara Muzzio - 22/4</t>
  </si>
  <si>
    <t>2896-ABRHYFGC</t>
  </si>
  <si>
    <t>Eliminación de impuestos</t>
  </si>
  <si>
    <t>2897-ABRTURGC</t>
  </si>
  <si>
    <t>Informe mensual Observatorio Turismo 21/4</t>
  </si>
  <si>
    <t>2898-ABRTURGC</t>
  </si>
  <si>
    <t>Sondeo Hotelero por fin de semana largo de mayo</t>
  </si>
  <si>
    <t>2899-ABRINFGC</t>
  </si>
  <si>
    <t>APERTURA ESTACIÓN MALABIA LÍNEA E</t>
  </si>
  <si>
    <t>2900-ABREDUGC</t>
  </si>
  <si>
    <t>NUEVA SEDE TUMO NUÑEZ</t>
  </si>
  <si>
    <t>2901-ABRINFGC</t>
  </si>
  <si>
    <t xml:space="preserve"> Infraestructura I Corte AU Illia por obras</t>
  </si>
  <si>
    <t>2902-ABRINFGC</t>
  </si>
  <si>
    <t xml:space="preserve"> INFRAESTRUCTURA | Corte AU Perito Moreno desde General Paz por obras</t>
  </si>
  <si>
    <t>2903-ABRFESGC</t>
  </si>
  <si>
    <t>Post DJ Padre Guilherme</t>
  </si>
  <si>
    <t>2904-ABRDIGCG</t>
  </si>
  <si>
    <t>Centro de Control Inteligente de Autopistas</t>
  </si>
  <si>
    <t>2906-ABRPCCVC</t>
  </si>
  <si>
    <t>Experiencia BA | TUMO</t>
  </si>
  <si>
    <t>2907-ABRPCCVC</t>
  </si>
  <si>
    <t>Encuentro sobre area de desarrollo Prioritario Constitución</t>
  </si>
  <si>
    <t>2908-ABRSALGC</t>
  </si>
  <si>
    <t>Hospital Muñiz - Fin de obra</t>
  </si>
  <si>
    <t>2909-ABRJDGAG</t>
  </si>
  <si>
    <t>RDV JM Primera Persona | Comuna 1 27/04 Gastón Pauls</t>
  </si>
  <si>
    <t>2910-ABRSALGC</t>
  </si>
  <si>
    <t>Programa de Acogimiento Familiar</t>
  </si>
  <si>
    <t>2912-ABRINFGC</t>
  </si>
  <si>
    <t xml:space="preserve"> Cortes por Carrera Maratana 2026</t>
  </si>
  <si>
    <t>2913-ABRPCCVC</t>
  </si>
  <si>
    <t>Experiencia BA | CityBus</t>
  </si>
  <si>
    <t>2914-ABRAMBVC</t>
  </si>
  <si>
    <t>RDV Ministros | Clara Muzzio - 24/4 - Temática</t>
  </si>
  <si>
    <t>2915-ABRPCCVC</t>
  </si>
  <si>
    <t>Envio de resultados Fomentista</t>
  </si>
  <si>
    <t>2916-ABRPCCVC</t>
  </si>
  <si>
    <t>Mes del compostaje</t>
  </si>
  <si>
    <t>2917-ABRJDGGC</t>
  </si>
  <si>
    <t>Infraestructura I Apertura Piedras Línea A</t>
  </si>
  <si>
    <t>2918-ABRVINVC</t>
  </si>
  <si>
    <t>CAMPAÑA GCBA | VINCULO CIUDADANO | Mas servicios en tu barrio 2026: Villa Lugano 27/4</t>
  </si>
  <si>
    <t>2919-ABRVINVC</t>
  </si>
  <si>
    <t>CAMPAÑA GCBA | VINCULO CIUDADANO | Mas servicios en tu barrio 2026:  Villa Pueyrredón 28/4</t>
  </si>
  <si>
    <t>2920-ABRVINVC</t>
  </si>
  <si>
    <t>CAMPAÑA GCBA | VINCULO CIUDADANO | Mas servicios en tu barrio 2026: La Paternal 29/4</t>
  </si>
  <si>
    <t>2921-ABRVINVC</t>
  </si>
  <si>
    <t>CAMPAÑA GCBA | VINCULO CIUDADANO | Mas servicios en tu barrio 2026: Coghlan 30/4</t>
  </si>
  <si>
    <t>2922-ABREPHVC</t>
  </si>
  <si>
    <t>RDV MINISTROS | IGNACIO BAISTROCCHI  27/4 COMUNA 10</t>
  </si>
  <si>
    <t>2923-ABRJDGVC</t>
  </si>
  <si>
    <t>RDV MINISTROS | GABRIEL SÁNCHEZ ZINNY  27/4 VILLA LUGANO</t>
  </si>
  <si>
    <t>2924-ABRJDGVC</t>
  </si>
  <si>
    <t>RDV MINISTROS | GABRIEL SÁNCHEZ ZINNY 28/4 COLEGIALES</t>
  </si>
  <si>
    <t>2925-ABRSALVC</t>
  </si>
  <si>
    <t>RDV Ministros | Gabriel Mraida - Comuna 7</t>
  </si>
  <si>
    <t>2926-ABREDUVC</t>
  </si>
  <si>
    <t>RDV MINISTROS | Mercedes Miguel | 29/4 | comuna 15</t>
  </si>
  <si>
    <t>2927-ABRPCCVC</t>
  </si>
  <si>
    <t>Voluntarios BA | Visita al MOA</t>
  </si>
  <si>
    <t>2928-ABRPCCVC</t>
  </si>
  <si>
    <t>Experiencia BA | Visita a casa de la cultura</t>
  </si>
  <si>
    <t>2929-ABRJDGAG</t>
  </si>
  <si>
    <t>1 A 1 JM | Comuna 12 29/04</t>
  </si>
  <si>
    <t>2930-ABRINFGC</t>
  </si>
  <si>
    <t xml:space="preserve"> Infraestructura: Corte AU Dellepiane por obras hidráulicas</t>
  </si>
  <si>
    <t>2931-ABRINFGC</t>
  </si>
  <si>
    <t>Cortes y desvíos en Ferro por show de No Te Va a Gustar</t>
  </si>
  <si>
    <t>2932-ABRJDGAG</t>
  </si>
  <si>
    <t>RDV JM BALVANERA 28/4</t>
  </si>
  <si>
    <t>2933-ABRSEGVC</t>
  </si>
  <si>
    <t>RDV MINISTROS | Ruth Landerreche 30/4 Comuna 12</t>
  </si>
  <si>
    <t>2935-ABRSEGVC</t>
  </si>
  <si>
    <t>RDV MINISTROS | Maximiliano Piñeiro 30/4 Comuna 13</t>
  </si>
  <si>
    <t>2936-ABRSEGVC</t>
  </si>
  <si>
    <t>RDV MINISTROS | Gabino Tapia 30/4 Comuna 14</t>
  </si>
  <si>
    <t>2937-ABRSEGVC</t>
  </si>
  <si>
    <t>RDV MINISTROS | Horacio Giménez 30/4 Comuna 15</t>
  </si>
  <si>
    <t>2938-ABRSALGC</t>
  </si>
  <si>
    <t>Hospital Piñero - Fin de Obra</t>
  </si>
  <si>
    <t>2939-ABRPCCVC</t>
  </si>
  <si>
    <t>Día del animal</t>
  </si>
  <si>
    <t>2940-ABRAMBVC</t>
  </si>
  <si>
    <t>RDV Ministros | Clara Muzzio - 29/04</t>
  </si>
  <si>
    <t>2941-ABRPCCVC</t>
  </si>
  <si>
    <t>Experiencia BA | Visita a Torre Monumental</t>
  </si>
  <si>
    <t>2942-ABRSALGJ</t>
  </si>
  <si>
    <t>Htal. Fernández - Durante de Obra</t>
  </si>
  <si>
    <t>2943-ABRSEGGJ</t>
  </si>
  <si>
    <t>Desalojo N°700</t>
  </si>
  <si>
    <t>2944-ABRINFGC</t>
  </si>
  <si>
    <t>FF en todas las autopistas</t>
  </si>
  <si>
    <t>2945-ABRSALGC</t>
  </si>
  <si>
    <t>CEMAR 4 - Durante de obra</t>
  </si>
  <si>
    <t>2946-ABRVINGC</t>
  </si>
  <si>
    <t>Mas servicios en tu barrio Nueva Pompeya 2/5</t>
  </si>
  <si>
    <t>2947-ABRVINGC</t>
  </si>
  <si>
    <t>Mas servicios en tu barrio Villa Ortúzar 4/5</t>
  </si>
  <si>
    <t>2948-ABRVINGC</t>
  </si>
  <si>
    <t>Mas servicios en tu barrio Balvanera 5 y 6 de mayo</t>
  </si>
  <si>
    <t>2949-ABRVINGC</t>
  </si>
  <si>
    <t>Mas servicios en tu barrio Parque Chacabuco 7 y 8 de mayo</t>
  </si>
  <si>
    <t>2950-ABRVINGC</t>
  </si>
  <si>
    <t>Mas servicios en tu barrio Caballito 9/5</t>
  </si>
  <si>
    <t>2951-ABRAMBGC</t>
  </si>
  <si>
    <t>Animales BA: Adopción de perros y gatos</t>
  </si>
  <si>
    <t>2953-ABRPCCVC</t>
  </si>
  <si>
    <t>Voluntarios BA | Jornada de adopción perros y gatos</t>
  </si>
  <si>
    <t>2954-ABRSALGC</t>
  </si>
  <si>
    <t>Inversión en Salud</t>
  </si>
  <si>
    <t>2956-ABRSALGC</t>
  </si>
  <si>
    <t xml:space="preserve"> Centro Regional de Hemoterapia - Durante de obra</t>
  </si>
  <si>
    <t>2957-ABRSEGGJ</t>
  </si>
  <si>
    <t>Desalojo de un taller clandestino en Parque Chas</t>
  </si>
  <si>
    <t>2958-ABRJDGAG</t>
  </si>
  <si>
    <t>RDV JM VILLA DEVOTO 4/5</t>
  </si>
  <si>
    <t>2960-ABRJDGAG</t>
  </si>
  <si>
    <t>1 A 1 JM | Comuna 13 08/05</t>
  </si>
  <si>
    <t>2961-ABRSEGGJ</t>
  </si>
  <si>
    <t>Campaña ORDEN Y SEGURIDAD 2026</t>
  </si>
  <si>
    <t>2962-ABRHYFVC</t>
  </si>
  <si>
    <t>LOMBARDI-TAPIA-PIRAGINE 4/5 EJE CENTRO</t>
  </si>
  <si>
    <t>2963-ABRCULVC</t>
  </si>
  <si>
    <t>RDV Ministros | Gabriela Ricardes 6/5 Comuna 12</t>
  </si>
  <si>
    <t>2964-ABRJDGVC</t>
  </si>
  <si>
    <t>RDV Ministros | Gabriel Sanchez Zinny - 4/5 - Constitución</t>
  </si>
  <si>
    <t>2965-ABRINFVC</t>
  </si>
  <si>
    <t>RDV Ministros | Pablo Bereciartua - 4/5 - Comuna 15</t>
  </si>
  <si>
    <t>2966-ABRSALVC</t>
  </si>
  <si>
    <t>RDV Ministros | Fernán Quirós - 5/5 - Comuna 13</t>
  </si>
  <si>
    <t>2967-ABRAMBVC</t>
  </si>
  <si>
    <t>RDV Ministros | Clara Muzzio - 6/5 - Retiro</t>
  </si>
  <si>
    <t>2968-ABRSEGVC</t>
  </si>
  <si>
    <t>RDV MINISTROS SEGURIDAD | MAXIMILIANO PIÑEIRO 7/5 COMUNA 3</t>
  </si>
  <si>
    <t>2969-ABRSEGVC</t>
  </si>
  <si>
    <t>RDV MINISTROS SEGURIDAD | RUTH LANDERRECHE 7/5 COMUNA 2</t>
  </si>
  <si>
    <t>2970-ABRSEGVC</t>
  </si>
  <si>
    <t>RDV MINISTROS SEGURIDAD | FRANCISCO QUINTANA 7/5 COMUNA 1 NORTE</t>
  </si>
  <si>
    <t>2971-ABRSEGVC</t>
  </si>
  <si>
    <t>RDV MINISTROS SEGURIDAD HORACIO GIMÉNEZ 7/5 COMUNA 1 SUR</t>
  </si>
  <si>
    <t>2972-MAYSEGGC</t>
  </si>
  <si>
    <t>Compactación de autos abandonados</t>
  </si>
  <si>
    <t>2973-MAYSEGGC</t>
  </si>
  <si>
    <t>Operativos de saturación en subte</t>
  </si>
  <si>
    <t>2974-MAYSEGGJ</t>
  </si>
  <si>
    <t>Nueva Patrulla de Control de Accesos a la Ciudad</t>
  </si>
  <si>
    <t>2975-MAYPCCVC</t>
  </si>
  <si>
    <t>Campaña genéricas RDV Ministros</t>
  </si>
  <si>
    <t>2976-MAYPCCVC</t>
  </si>
  <si>
    <t>Campañas genéricias RDV JM</t>
  </si>
  <si>
    <t>2977-MAYEDUVC</t>
  </si>
  <si>
    <t>RDV Ministros | Mercedes Miguel | 7/5 | comuna 14</t>
  </si>
  <si>
    <t>2978-MAYSEGCG</t>
  </si>
  <si>
    <t>ALTA INTERNA CONTENIDO ADICIONAL GCBA | SEGURIDAD | La villa 31 ya no es más una zona liberada</t>
  </si>
  <si>
    <t>2979-MAYSEGCG</t>
  </si>
  <si>
    <t>ALTA INTERNA CONTENIDO ADICIONAL GCBA | SEGURIDAD | Operativo de saturación en Retiro</t>
  </si>
  <si>
    <t>2980-MAYINFGC</t>
  </si>
  <si>
    <t>INFRAESTRUCTIRA | Cortes AU Dellepiane por obras 6/5</t>
  </si>
  <si>
    <t>2981-MAYPCCVC</t>
  </si>
  <si>
    <t>Experiencia BA | Circuito Riachuelo</t>
  </si>
  <si>
    <t>2982-MAYDECGC</t>
  </si>
  <si>
    <t>Cafecito BA en Palermo</t>
  </si>
  <si>
    <t>2983-MAYTURGC</t>
  </si>
  <si>
    <t xml:space="preserve"> Experiencia Mirador Obelisco</t>
  </si>
  <si>
    <t>2984-MAYAMBVC</t>
  </si>
  <si>
    <t>RDV Ministros | Clara Muzzio - 8/5 - Temática</t>
  </si>
  <si>
    <t>2985-MAYJDGVC</t>
  </si>
  <si>
    <t>RDV Ministros | Gabriel Sanchéz Zinny - 8/5</t>
  </si>
  <si>
    <t>2986-MAYINFGC</t>
  </si>
  <si>
    <t>Infraestructura I Cortes de tránsito por Unión Europea 15k Bs. As. Run 2026</t>
  </si>
  <si>
    <t>2987-MAYSEGGJ</t>
  </si>
  <si>
    <t>Un año sin manteros en parque los andes</t>
  </si>
  <si>
    <t>2988-MAYJDGAG</t>
  </si>
  <si>
    <t>1 A 1 JM | Comuna 14 13/05</t>
  </si>
  <si>
    <t>2989-MAYVINVC</t>
  </si>
  <si>
    <t>Más servicios en tu barrio  11/5 nuñez</t>
  </si>
  <si>
    <t>2990-MAYVINVC</t>
  </si>
  <si>
    <t>Más servicios en tu barrio  12 y 13/5 villa urquiza</t>
  </si>
  <si>
    <t>2991-MAYVINVC</t>
  </si>
  <si>
    <t>Más servicios en tu barrio  14 y 15/5 Villa del Parque</t>
  </si>
  <si>
    <t>2992-MAYVINVC</t>
  </si>
  <si>
    <t>Más servicios en tu barrio 16/ 5 Parque Avellaneda</t>
  </si>
  <si>
    <t>2993-MAYEMEGC</t>
  </si>
  <si>
    <t>Alerta Amarilla 6/5</t>
  </si>
  <si>
    <t>2994-MAYEPHGC</t>
  </si>
  <si>
    <t>Luminarias Peatonales - Post</t>
  </si>
  <si>
    <t>2996-MAYEMEGC</t>
  </si>
  <si>
    <t>Alerta Naranja</t>
  </si>
  <si>
    <t>2998-MAYFESGC</t>
  </si>
  <si>
    <t>La noche del Obelisco : 90 años</t>
  </si>
  <si>
    <t>2999-MAYSEGVC</t>
  </si>
  <si>
    <t>RDV Ministros | Gabino Tapia 14/5 Comuna 5</t>
  </si>
  <si>
    <t>3000-MAYSEGVC</t>
  </si>
  <si>
    <t>RDV Ministros | Horacio Giménez 14/5 Comuna 6</t>
  </si>
  <si>
    <t>3001-MAYSEGVC</t>
  </si>
  <si>
    <t>RDV Ministros | Maximiliano Piñeiro 14/5 Comuna 7</t>
  </si>
  <si>
    <t>3002-MAYSEGVC</t>
  </si>
  <si>
    <t>RDV Ministros | Ruth Landerrecheo 14/5 Comuna 8</t>
  </si>
  <si>
    <t>3003-MAYVINVC</t>
  </si>
  <si>
    <t>Más Servicios en tu Barrio Agronomia 12/5</t>
  </si>
  <si>
    <t>3004-MAYVINVC</t>
  </si>
  <si>
    <t>Más Servicios en tu Barrio Nueva Pompeya 16/5</t>
  </si>
  <si>
    <t>3005-MAYSEGVC</t>
  </si>
  <si>
    <t>RDV Ministros | Ezequiel Sabor 11/5 Comuna 4</t>
  </si>
  <si>
    <t>3006-MAYSEGVC</t>
  </si>
  <si>
    <t>RDV Ministros | Ignacio Baistrocchi 13/5 Comuna 13</t>
  </si>
  <si>
    <t>3007-MAYJDGVC</t>
  </si>
  <si>
    <t>RDV Ministros | Gabriel Sánchez Zinny - 13/5</t>
  </si>
  <si>
    <t>3008-MAYSEGGC</t>
  </si>
  <si>
    <t>Newsletter Seguridad Mayo</t>
  </si>
  <si>
    <t>3009-MAYPCCVC</t>
  </si>
  <si>
    <t>Experiencia BA | Piramide de mayo</t>
  </si>
  <si>
    <t>3010-MAYINNGC</t>
  </si>
  <si>
    <t>Prioridad para porteños en todos los servicios</t>
  </si>
  <si>
    <t>3011-MAYFESGC</t>
  </si>
  <si>
    <t>La ciudad late mundial Genérica</t>
  </si>
  <si>
    <t>3012-MAYDHHVC</t>
  </si>
  <si>
    <t>RDV Ministros | Gabriel Mraida - 15/5</t>
  </si>
  <si>
    <t>3013-MAYJDGVC</t>
  </si>
  <si>
    <t>RDV Ministros | Gabriel Sánchez Zinny - 15/5</t>
  </si>
  <si>
    <t>3014-MAYTURGC</t>
  </si>
  <si>
    <t>Sondeo Hotelero | Revolución de mayo 19/5</t>
  </si>
  <si>
    <t>3015-MAYFESGC</t>
  </si>
  <si>
    <t>La ciudad late mundial | Fan Fest FIFA</t>
  </si>
  <si>
    <t>3016-MAYFESGC</t>
  </si>
  <si>
    <t>La ciudad late mundial | Modo Hincha</t>
  </si>
  <si>
    <t>3017-MAYAMBGC</t>
  </si>
  <si>
    <t>Animales BA: Nuevos servicios en la web</t>
  </si>
  <si>
    <t>3018-MAYEDUGJ</t>
  </si>
  <si>
    <t>Educación | Iniciativa Formación Docente</t>
  </si>
  <si>
    <t>3019-MAYVINVC</t>
  </si>
  <si>
    <t>Más servicios en tu barrio 18/5 recoleta</t>
  </si>
  <si>
    <t>3020-MAYVINVC</t>
  </si>
  <si>
    <t>Más servicios en tu barrio 19 y 20/5 Caballito</t>
  </si>
  <si>
    <t>3021-MAYVINVC</t>
  </si>
  <si>
    <t>Más servicios en tu barrio 22/5 Villa Soldati</t>
  </si>
  <si>
    <t>3022-MAYVINVC</t>
  </si>
  <si>
    <t>Más servicios en tu barrio 22/5 Villa Santa Rita</t>
  </si>
  <si>
    <t>3023-MAYVINVC</t>
  </si>
  <si>
    <t>Más servicios en tu barrio 23/5 San Cristobal</t>
  </si>
  <si>
    <t>3024-MAYINFGJ</t>
  </si>
  <si>
    <t>INFRAESTRUCTURA | RECAP OBRAS CABA</t>
  </si>
  <si>
    <t>3025-MAYDIGCG</t>
  </si>
  <si>
    <t>CONTENIDO ADICIONAL |  Innovacion Digital | Centro de Simulación</t>
  </si>
  <si>
    <t>3026-MAYPCCVC</t>
  </si>
  <si>
    <t>Opinión Ciudadana: Nombre del barrio VIlla Riachuelo</t>
  </si>
  <si>
    <t>3027-MAYINFGC</t>
  </si>
  <si>
    <t>Infraestructura I Cambio de sentido de las calles Udaondo y Campos Salles por obras</t>
  </si>
  <si>
    <t>3028-MAYFESGC</t>
  </si>
  <si>
    <t>BA Celebra Europa</t>
  </si>
  <si>
    <t>3029-MAYSEGGJ</t>
  </si>
  <si>
    <t xml:space="preserve"> Seguridad I Desmantelamiento búnker en la Villa 31</t>
  </si>
  <si>
    <t>3030-MAYTURGC</t>
  </si>
  <si>
    <t>Informe mensual Observatorio Turismo 15/5</t>
  </si>
  <si>
    <t>3034-MAYJDGAG</t>
  </si>
  <si>
    <t>RDV JM TEMÁTICA | TE CUENTO BS AS 21/05 MOVILIDAD EJE OESTE</t>
  </si>
  <si>
    <t>3035-MAYJDGAG</t>
  </si>
  <si>
    <t>1 A 1 JM | Comuna 4 22/05</t>
  </si>
  <si>
    <t>3037-MAYSALVC</t>
  </si>
  <si>
    <t>RDV Ministros | Fernán Quirós - 19/5 - Comuna 3</t>
  </si>
  <si>
    <t>3038-MAYJDGVC</t>
  </si>
  <si>
    <t>RDV Ministros | Gabriel Sánchez Zinny - 19/5 - Recoleta</t>
  </si>
  <si>
    <t>3039-MAYJDGVC</t>
  </si>
  <si>
    <t>RDV Ministros | Gabriel Sánchéz Zinny - 22/5 - Villa Urquiza</t>
  </si>
  <si>
    <t>3040-MAYVINVC</t>
  </si>
  <si>
    <t>Más servicios en tu barrio 21/5 Nuñez</t>
  </si>
  <si>
    <t>3041-MAYINFGC</t>
  </si>
  <si>
    <t xml:space="preserve"> INFRAESTRUCTURA | Corte de tránsito por Duatlón</t>
  </si>
  <si>
    <t>3042-MAYINFGC</t>
  </si>
  <si>
    <t>INFRAESTRUCTURA | Corte de tránsito por BA Celebra Europa</t>
  </si>
  <si>
    <t>3043-MAYINFGC</t>
  </si>
  <si>
    <t>INFRAESTRUCTURA I Corte AU Dellepiane por obras hidráulicas</t>
  </si>
  <si>
    <t>3044-MAYDUDGC</t>
  </si>
  <si>
    <t>BA Capital Mundial del deporte</t>
  </si>
  <si>
    <t>3046-MAYSEGVC</t>
  </si>
  <si>
    <t>RDV Ministros | Gabino Tapia 21/5 Comuna 10</t>
  </si>
  <si>
    <t>3047-MAYSEGVC</t>
  </si>
  <si>
    <t>RDV Ministros | Maximiliano Piñeiro Comuna 11</t>
  </si>
  <si>
    <t>3048-MAYSEGGJ</t>
  </si>
  <si>
    <t>Desalojo N°100 en Balvanera</t>
  </si>
  <si>
    <t>3049-MAYSEGVC</t>
  </si>
  <si>
    <t>RDV MINISTROS SEGURIDAD | RUTH LANDERRECHE 21/5 COMUNA 4</t>
  </si>
  <si>
    <t>3050-MAYSEGVC</t>
  </si>
  <si>
    <t>RDV MINISTROS SEGURIDAD | HORACIO GIMÉNEZ 21/5 COMUNA 8</t>
  </si>
  <si>
    <t>3051-MAYSEGGJ</t>
  </si>
  <si>
    <t>Operativo Tormenta Negra</t>
  </si>
  <si>
    <t>3052-MAYFESGC</t>
  </si>
  <si>
    <t>Sorteo Linda entradas Filarmonica viernes 22/5</t>
  </si>
  <si>
    <t>3053-MAYFESGC</t>
  </si>
  <si>
    <t>Sorteo Linda entradas Complejo sabado Teatral 23/5</t>
  </si>
  <si>
    <t>3054-MAYFESGC</t>
  </si>
  <si>
    <t>Sorteo Linda entradas Complejo domingo Teatral 24/6</t>
  </si>
  <si>
    <t>3056-MAYFESGC</t>
  </si>
  <si>
    <t>Celebración 25 de mayo</t>
  </si>
  <si>
    <t>3057-MAYFESGC</t>
  </si>
  <si>
    <t>Sorteo GCBA Entradas Obelisco</t>
  </si>
  <si>
    <t>3058-MAYSALGJ</t>
  </si>
  <si>
    <t>Hospital Tornú - Fin de obra</t>
  </si>
  <si>
    <t>3060-MAYINFGC</t>
  </si>
  <si>
    <t>Infraestructura I Modificación de reglamentación de estacionamiento</t>
  </si>
  <si>
    <t>3061-MAYPCCVC</t>
  </si>
  <si>
    <t>Envio de resultados PBN BOSCH</t>
  </si>
  <si>
    <t>3062-MAYPCCVC</t>
  </si>
  <si>
    <t>Reunión Informativa: Corredor Verde  Almagro</t>
  </si>
  <si>
    <t>3063-MAYSALGC</t>
  </si>
  <si>
    <t xml:space="preserve"> SIGEHOS - Envío cierre de encuesta</t>
  </si>
  <si>
    <t>3064-MAYINFGC</t>
  </si>
  <si>
    <t xml:space="preserve"> Infraestructura I Habilitación Puente Río Negro AU Dellepiane</t>
  </si>
  <si>
    <t>3065-MAYVINVC</t>
  </si>
  <si>
    <t>Mas servicios en tu barrio Lugano I y II 26 y 27/5</t>
  </si>
  <si>
    <t>3066-MAYVINVC</t>
  </si>
  <si>
    <t>Más servicios en tu barrio Flores 28/5</t>
  </si>
  <si>
    <t>3067-MAYVINVC</t>
  </si>
  <si>
    <t>Más servicios en tu barrio Coghlan 29/5</t>
  </si>
  <si>
    <t>3068-MAYVINVC</t>
  </si>
  <si>
    <t>Más servicios en tu barrio Versalles 30/5</t>
  </si>
  <si>
    <t>3070-MAYINFGC</t>
  </si>
  <si>
    <t>Infraestructura I Corte en Vélez por evento musical AIRBAG</t>
  </si>
  <si>
    <t>3071-MAYFESGC</t>
  </si>
  <si>
    <t>POST La noche del obelisco: 90 años</t>
  </si>
  <si>
    <t>3072-MAYCULVC</t>
  </si>
  <si>
    <t>RDV Ministros | Gabriela Ricardes 26/5 Comuna 5</t>
  </si>
  <si>
    <t>3073-MAYJDGAG</t>
  </si>
  <si>
    <t>RDV JM | 29/5 - Saavedra</t>
  </si>
  <si>
    <t>3074-MAYJDGAG</t>
  </si>
  <si>
    <t>RDV JM TEMÁTICA | TE CUENTO BS AS 28/05 CIUDAD ATRACTIVA EJE ESTE</t>
  </si>
  <si>
    <t>3075-MAYEPHVC</t>
  </si>
  <si>
    <t>RDV ministros | Ignacio Baistrocchi, Comuna 4 26/5</t>
  </si>
  <si>
    <t>3076-MAYEDUVC</t>
  </si>
  <si>
    <t>RDV MINISTROS | MERCEDES MIGUEL | COMUNA 8 | 29/5</t>
  </si>
  <si>
    <t>3077-MAYINFVC</t>
  </si>
  <si>
    <t>RDV Ministros | Pablo Bereciartua - 27/5 - Comuna 10</t>
  </si>
  <si>
    <t>3078-MAYDECGC</t>
  </si>
  <si>
    <t>Barrios a la carta: Chacarita</t>
  </si>
  <si>
    <t>3079-MAYDHHVC</t>
  </si>
  <si>
    <t>RDV Ministros | Gabriel Mraida - 27/5 - Comuna 14</t>
  </si>
  <si>
    <t>3080-MAYINFGC</t>
  </si>
  <si>
    <t>Infraestructura I Corte por Tedeum del 25 de mayo</t>
  </si>
  <si>
    <t>3081-MAYINFGC</t>
  </si>
  <si>
    <t xml:space="preserve">Infraestructura I Cortes de tránsito 90° Aniversario del Obelisco. </t>
  </si>
  <si>
    <t>3082-MAYSEGVC</t>
  </si>
  <si>
    <t>RDV Ministros | Gabino Tapia 28/5 Comuna 12</t>
  </si>
  <si>
    <t>3083-MAYSEGVC</t>
  </si>
  <si>
    <t>RDV Ministros | Maximiliano Piñeiro 28/5 Comuna 15</t>
  </si>
  <si>
    <t>3084-MAYSEGVC</t>
  </si>
  <si>
    <t>RDV Ministros | Ruth Landerreche 28/5 Comuna 14</t>
  </si>
  <si>
    <t>3085-MAYSEGVC</t>
  </si>
  <si>
    <t>RDV Ministros | Horacio Giménez 28/5 Comuna 13</t>
  </si>
  <si>
    <t>3087-MAYJDGAG</t>
  </si>
  <si>
    <t>1 A 1 JM | Comuna 9 27/05</t>
  </si>
  <si>
    <t>3088-MAYINFGC</t>
  </si>
  <si>
    <t>Infraestructura I Corte por Fiestas Mayas</t>
  </si>
  <si>
    <t>3089-MAYSALGC</t>
  </si>
  <si>
    <t>SIGEHOS - Envío Deploy PEL - Semana 25/5</t>
  </si>
  <si>
    <t>3090-MAYINFGC</t>
  </si>
  <si>
    <t>Infraestructura I Corte AU Dellepiane por obras (27/5)</t>
  </si>
  <si>
    <t>3091-MAYCULGC</t>
  </si>
  <si>
    <t>Cultura | Reapertura del Palacio Ceci</t>
  </si>
  <si>
    <t>3092-MAYPCCVC</t>
  </si>
  <si>
    <t>Encuentro "Día del vecino participativo"</t>
  </si>
  <si>
    <t>3093-MAYVINVC</t>
  </si>
  <si>
    <t>Más servicios en tu barrio - 1/6 - Parque Avellaneda (Ad-hoc operativo personas mayores)</t>
  </si>
  <si>
    <t>3094-MAYVINVC</t>
  </si>
  <si>
    <t>Más servicios en tu barrio -  2/6 y 3/6 - Floresta</t>
  </si>
  <si>
    <t>3095-MAYVINVC</t>
  </si>
  <si>
    <t>Más servicios en tu barrio - 5/6 - Balvanera</t>
  </si>
  <si>
    <t>3096-MAYVINVC</t>
  </si>
  <si>
    <t xml:space="preserve">Más servicios en tu barrio - 5/6 - Villa Lugano (Barrio Popular) </t>
  </si>
  <si>
    <t>3097-MAYVINVC</t>
  </si>
  <si>
    <t>Más servicios en tu barrio - 6/5 - San Telmo</t>
  </si>
  <si>
    <t>3098-MAYEMEGC</t>
  </si>
  <si>
    <t>EMERGENCIAS | Alerta Violeta 26/5</t>
  </si>
  <si>
    <t>3099-MAYINFGC</t>
  </si>
  <si>
    <t>Cortes en Núñez por recital Lali - 6/6 y 7/6</t>
  </si>
  <si>
    <t>3100-MAYSEGGJ</t>
  </si>
  <si>
    <t>Desalojo N°800</t>
  </si>
  <si>
    <t>3101-MAYINFGC</t>
  </si>
  <si>
    <t xml:space="preserve"> Infraestructura | Cambio de sentido de Montañeses</t>
  </si>
  <si>
    <t>3102-MAYJDGAG</t>
  </si>
  <si>
    <t>PRIMERA PERSONA | JM | MARIO PERGOLLINI 1/6</t>
  </si>
  <si>
    <t>3103-MAYJUSGC</t>
  </si>
  <si>
    <t>congreso NNyA</t>
  </si>
  <si>
    <t>Justicia</t>
  </si>
  <si>
    <t>3104-MAYDECGC</t>
  </si>
  <si>
    <t xml:space="preserve">Encuesta satisfacción La Noche del Obelisco </t>
  </si>
  <si>
    <t>3106-MAYPCCVC</t>
  </si>
  <si>
    <t>Jornada de adopción para perros y gatos</t>
  </si>
  <si>
    <t>3107-MAYJDGVC</t>
  </si>
  <si>
    <t>Gabriel Sánchez Zinny - 1/6 - Villa Crespo</t>
  </si>
  <si>
    <t>3108-MAYSALVC</t>
  </si>
  <si>
    <t>Fernán Quirós - 2/6 - Comuna 9</t>
  </si>
  <si>
    <t>3109-MAYAMBVC</t>
  </si>
  <si>
    <t>Clara Muzzio - 3/6 Palermo</t>
  </si>
  <si>
    <t>3110-MAYJDGAG</t>
  </si>
  <si>
    <t>TE CUENTO BS AS JM | 3/6 ORDEN PÚBLICO EJE SUR</t>
  </si>
  <si>
    <t>3111-MAYJDGAG</t>
  </si>
  <si>
    <t>1 A 1 JM | 2/6 COMUNA 7</t>
  </si>
  <si>
    <t>3114-MAYSALGC</t>
  </si>
  <si>
    <t>Mejoras en Centros de Salud - CESAC 32</t>
  </si>
  <si>
    <t>3116-MAYDECVC</t>
  </si>
  <si>
    <t>RDV MINISTROS | LOMBARDI-TAPIA-PIRAGINE 1/6 EJE SUR</t>
  </si>
  <si>
    <t>3117-MAYSEGVC</t>
  </si>
  <si>
    <t>RDV MINISTROS | EZEQUIEL SABOR 3/6 COMUNA 15</t>
  </si>
  <si>
    <t>3118-MAYINFGJ</t>
  </si>
  <si>
    <t>CONTENIDO ADICIONAL | INFRAESTRUCTURA | Dellepiane Avances</t>
  </si>
  <si>
    <t>3119-MAYCCRSGC</t>
  </si>
  <si>
    <t xml:space="preserve"> Vicejefatura | Envío Mail Día de la Familia Rosedal Palermo</t>
  </si>
  <si>
    <t>Vicejefatura (Cultura Ciudadana y Responsabilidad Social)</t>
  </si>
  <si>
    <t>3120-MAYINFGJ</t>
  </si>
  <si>
    <t>Infraestructura I Remoción de Estacionamientos Truchos</t>
  </si>
  <si>
    <t>3121-MAYSEGVC</t>
  </si>
  <si>
    <t>RDV Ministros | Maximiliano Piñeiro 4/6 Comuna 1 Sur</t>
  </si>
  <si>
    <t>3122-MAYSEGVC</t>
  </si>
  <si>
    <t>RDV Ministros | Horacio Giménez 4/6 Comuna 1 Norte</t>
  </si>
  <si>
    <t>3123-MAYSEGVC</t>
  </si>
  <si>
    <t>RDV Ministros | Ruth Landerreche 4/6 Comuna 3</t>
  </si>
  <si>
    <t>3124-MAYSEGVC</t>
  </si>
  <si>
    <t>RDV Ministros | Francisco Quintana 4/6 Comuna 2</t>
  </si>
  <si>
    <t>3125-MAYPCCVC</t>
  </si>
  <si>
    <t>Semana del Vecino Participativo</t>
  </si>
  <si>
    <t>3126-MAYAMBVC</t>
  </si>
  <si>
    <t>Clara Muzzio - 5/6 - Núñez</t>
  </si>
  <si>
    <t>3128-MAYINFCA</t>
  </si>
  <si>
    <t xml:space="preserve">INFRAESTRUCTURA| Habilitacion Parcial de Puente Labruna                                </t>
  </si>
  <si>
    <t>3129-MAYJDGAN</t>
  </si>
  <si>
    <t>Mail Deudores Alimentarios</t>
  </si>
  <si>
    <t>3130-MAYTURGC</t>
  </si>
  <si>
    <t xml:space="preserve">Sondeo Hotelero | Finde largo junio </t>
  </si>
  <si>
    <t>3131-MAYCULGC</t>
  </si>
  <si>
    <t>Sorteo | Entradas al Teatro Colón</t>
  </si>
  <si>
    <t>3134-JUNPCCVC</t>
  </si>
  <si>
    <t>Reunión Informativa: ´Parque ferroviario palermo</t>
  </si>
  <si>
    <t>3135-JUNVINVC</t>
  </si>
  <si>
    <t>Más servicios en tu barrio - 4/6 - Villa Lugano</t>
  </si>
  <si>
    <t>3136-JUNVINVC</t>
  </si>
  <si>
    <t>Más servicios en tu barrio - 9/6 y 10/6 - Villa Riachuelo</t>
  </si>
  <si>
    <t>3137-JUNVINVC</t>
  </si>
  <si>
    <t>Más servicios en tu barrio - 11/6 y 12/6 - Liniers</t>
  </si>
  <si>
    <t>3138-JUNVINVC</t>
  </si>
  <si>
    <t>Más servicios en tu barrio - 13/6 - Chacarita</t>
  </si>
  <si>
    <t>3139-JUNDHHGC</t>
  </si>
  <si>
    <t>Programas y Actividades para personas mayores</t>
  </si>
  <si>
    <t>3140-JUNSALGC</t>
  </si>
  <si>
    <t>Always On - Centros de Salud</t>
  </si>
  <si>
    <t>3141-JUNINFGC</t>
  </si>
  <si>
    <t>Cambio de sentido calles Pizarro y Zelada | 11/6</t>
  </si>
  <si>
    <t>3142-JUNFESGC</t>
  </si>
  <si>
    <t>Sorteo entradas Soda Stereo</t>
  </si>
  <si>
    <t>3143-JUNJDGAG</t>
  </si>
  <si>
    <t>TE CUENTO JM | 10/6 SALUD EJE NORTE</t>
  </si>
  <si>
    <t>3144-JUNSALGC</t>
  </si>
  <si>
    <t>Monóxido de Carbono - 2026</t>
  </si>
  <si>
    <t>3145-JUNEPHGC</t>
  </si>
  <si>
    <t>Refuerzo Grandes generadores de residuos</t>
  </si>
  <si>
    <t>3146-JUNEDUGC</t>
  </si>
  <si>
    <t>Inscripción - TUMO chacarita</t>
  </si>
  <si>
    <t>3147-JUNINFGC</t>
  </si>
  <si>
    <t>PBN Lorca: apertura al tránsito | 12/6 Habilitacion primer tramo</t>
  </si>
  <si>
    <t>3148-JUNSEGGJ</t>
  </si>
  <si>
    <t>Egreso de 650 nuevos policías (NICE)</t>
  </si>
  <si>
    <t>3149-JUNEDUGC</t>
  </si>
  <si>
    <t>INSCRIPCIONES ABIERTAS EN LA UDELACIUDAD</t>
  </si>
  <si>
    <t>3150-JUNINFGC</t>
  </si>
  <si>
    <t>Cortes y Desvíos por evento deportivo 15K Adizero</t>
  </si>
  <si>
    <t>3151-JUNVINVC</t>
  </si>
  <si>
    <t>Más servicios en tu barrio - 8/6 - Mataderos</t>
  </si>
  <si>
    <t>3152-JUNSALGC</t>
  </si>
  <si>
    <t>Récord de trasplantes en la Ciudad</t>
  </si>
  <si>
    <t>3153-JUNDECGC</t>
  </si>
  <si>
    <t>Experiencia BA</t>
  </si>
  <si>
    <t>3154-JUNJDGAG</t>
  </si>
  <si>
    <t>1 A 1 JM | COMUNA 3 8/6</t>
  </si>
  <si>
    <t>3155-JUNEPHVC</t>
  </si>
  <si>
    <t xml:space="preserve">RDV de Ignacio Baistrocchi  8/6 </t>
  </si>
  <si>
    <t>3156-JUNJDGAG</t>
  </si>
  <si>
    <t>RDV JM | BOEDO | 12/06</t>
  </si>
  <si>
    <t>3157-JUNJDGVC</t>
  </si>
  <si>
    <t xml:space="preserve">RDV Ministros | Gabriel Sánchéz Zinny - 10/6 </t>
  </si>
  <si>
    <t>3158-JUNDHHVC</t>
  </si>
  <si>
    <t>RDV Ministros | Gabriel Mraida - 10/6</t>
  </si>
  <si>
    <t>3159-JUNSEGGJ</t>
  </si>
  <si>
    <t xml:space="preserve"> Megaoperativo de control de accesos entre la Ciudad y el Conurbano</t>
  </si>
  <si>
    <t>3160-JUNSALGC</t>
  </si>
  <si>
    <t>SIGEHOS - Actualización del módulo RIS - Junio</t>
  </si>
  <si>
    <t>3161-JUNJDGGC</t>
  </si>
  <si>
    <t>Infraestructura | Cambio de sentido calle Zequeira</t>
  </si>
  <si>
    <t>3162-JUNSEGVC</t>
  </si>
  <si>
    <t>RDV Ministros | Gabino Tapia 11/6 Comuna 4</t>
  </si>
  <si>
    <t>3163-JUNSEGVC</t>
  </si>
  <si>
    <t>RDV Ministros | Horacio Giménez 11/6 Comuna 5</t>
  </si>
  <si>
    <t>3164-JUNSEGVC</t>
  </si>
  <si>
    <t>RDV Ministros | Maximiliano Piñeiro 11/6 Comuna 6</t>
  </si>
  <si>
    <t>3165-JUNSEGVC</t>
  </si>
  <si>
    <t>RDV Ministros | Ruth Landerreche 11/6 Comuna 7</t>
  </si>
  <si>
    <t>3166-JUNAMBGC</t>
  </si>
  <si>
    <t>Banco de herramientas Junio</t>
  </si>
  <si>
    <t>3167-JUNEMEGC</t>
  </si>
  <si>
    <t>Alerta Amarilla 7/6</t>
  </si>
  <si>
    <t>3168-JUNSALGC</t>
  </si>
  <si>
    <t xml:space="preserve"> SIGEHOS - Módulo GDE: mejoras - Junio</t>
  </si>
  <si>
    <t>3169-JUNPCCVC</t>
  </si>
  <si>
    <t xml:space="preserve">Ordenamiento de entorno - Barracas </t>
  </si>
  <si>
    <t>3170-JUNCULVC</t>
  </si>
  <si>
    <t>RDV Ministros | Gabriela Ricardes 12/6 Comuna 2</t>
  </si>
  <si>
    <t>3171-JUNAMBVC</t>
  </si>
  <si>
    <t>RDV Ministros | Clara Muzzio - 12/6 - Temática</t>
  </si>
  <si>
    <t>3172-JUNCDNNAGC</t>
  </si>
  <si>
    <t>CDNNyA | Programa de Adopción</t>
  </si>
  <si>
    <t>3173-JUNVINGC</t>
  </si>
  <si>
    <t>Más servicios en tu barrio - 16/6 - Villa Santa Rita</t>
  </si>
  <si>
    <t>3174-JUNVINGC</t>
  </si>
  <si>
    <t>Más servicios en tu barrio - 17/6 - Villa Devoto</t>
  </si>
  <si>
    <t>3175-JUNVINGC</t>
  </si>
  <si>
    <t>Más servicios en tu barrio - 18/6 y 19/6 - Villa Luro</t>
  </si>
  <si>
    <t>3176-JUNAMBGC</t>
  </si>
  <si>
    <t>Cobro de entrada a Ecoparque</t>
  </si>
  <si>
    <t>3177-JUNEPHGC</t>
  </si>
  <si>
    <t>Concurso de Identidad BA: Diseño de elementos urbanos para el Microcentro</t>
  </si>
  <si>
    <t>3178-JUNJDGAG</t>
  </si>
  <si>
    <t xml:space="preserve"> TE CUENTO BS AS JM | 16/6 EDUCACIÓN EJE OESTE</t>
  </si>
  <si>
    <t>3180-JUNINFGC</t>
  </si>
  <si>
    <t>AU Dellepiane: cambio de sentido calle Rio Negro y Colectora Norte | 16/6</t>
  </si>
  <si>
    <t>3183-JUNSEGGC</t>
  </si>
  <si>
    <t>Operativo trapitos en Movistar Arena: adaptaciones</t>
  </si>
  <si>
    <t>3184-JUNEDUGC</t>
  </si>
  <si>
    <t>Educación I Obras en escuelas</t>
  </si>
  <si>
    <t>3185-JUNINFGC</t>
  </si>
  <si>
    <t>CORTES Y DESVÍOS POR PROCESIÓN RELIGIOSA</t>
  </si>
  <si>
    <t>3186-JUNFESGC</t>
  </si>
  <si>
    <t>Sorteo Entradas Linda | Life chronicles</t>
  </si>
  <si>
    <t>3187-JUNSEGGJ</t>
  </si>
  <si>
    <t>Seguridad | Operativo de saturación en el Barrio 1-11-14 | 11/6</t>
  </si>
  <si>
    <t>3188-JUNEPHGC</t>
  </si>
  <si>
    <t>Obligaciones en materia de gestión y disposición de residuos</t>
  </si>
  <si>
    <t>3189-JUNSALVC</t>
  </si>
  <si>
    <t>RDV Ministros | Fernán Quirós - 16/6 - Comuna 15</t>
  </si>
  <si>
    <t>3190-JUNAMBVC</t>
  </si>
  <si>
    <t>RDV Ministros | Clara Muzzio - 17/6 - Colegiales</t>
  </si>
  <si>
    <t>3192-JUNSEGVC</t>
  </si>
  <si>
    <t>RDV Ministros | Maximiliano Piñeiro 18/6 - Comuna 8</t>
  </si>
  <si>
    <t>3193-JUNSEGVC</t>
  </si>
  <si>
    <t>RDV Ministros | Horacio Giménez 18/6 - Comuna 9</t>
  </si>
  <si>
    <t>3194-JUNSEGVC</t>
  </si>
  <si>
    <t>RDV Ministros | Ruth Landerreche 18/6 - Comuna 10</t>
  </si>
  <si>
    <t>3195-JUNSEGVC</t>
  </si>
  <si>
    <t>RDV Ministros | Gabino Tapia 18/6 - Comuna 11</t>
  </si>
  <si>
    <t>3196-JUNINFVC</t>
  </si>
  <si>
    <t>RDV Ministros | Pablo Bereciartua - 17/6 - Comuna 4</t>
  </si>
  <si>
    <t>3197-JUNJUSGC</t>
  </si>
  <si>
    <t>INSCRIPCIONES SERVICIO PENITENCIARIO</t>
  </si>
  <si>
    <t>3199-JUNDUDGC</t>
  </si>
  <si>
    <t>Sorteo entradas GCBA | 9k Carrera de la independencia</t>
  </si>
  <si>
    <t>3200-JUNJUSGC</t>
  </si>
  <si>
    <t>Audiencias virtuales dgai</t>
  </si>
  <si>
    <t>3201-JUNJDGAG</t>
  </si>
  <si>
    <t>RDV JM MATADEROS 18/6</t>
  </si>
  <si>
    <t>3202-JUNJDGAG</t>
  </si>
  <si>
    <t>1 A 1 JM | COMUNA 5 17/06</t>
  </si>
  <si>
    <t>3203-JUNTURGC</t>
  </si>
  <si>
    <t>Público Final | Vacaciones de invierno</t>
  </si>
  <si>
    <t>3204-JUNVINGC</t>
  </si>
  <si>
    <t>Más servicios en tu barrio - 22/6 - Villa Pueyrredón</t>
  </si>
  <si>
    <t>3205-JUNVINGC</t>
  </si>
  <si>
    <t>Más servicios en tu barrio -23/6 - Mataderos</t>
  </si>
  <si>
    <t>3206-JUNVINGC</t>
  </si>
  <si>
    <t>Más servicios en tu barrio - 24/6 - Belgrano</t>
  </si>
  <si>
    <t>3207-JUNVINGC</t>
  </si>
  <si>
    <t>Más servicios en tu barrio - 25/6 - Villa Soldati</t>
  </si>
  <si>
    <t>3208-JUNVINGC</t>
  </si>
  <si>
    <t>Más servicios en tu barrio - 26/6 - Constitución</t>
  </si>
  <si>
    <t>3209-JUNVINGC</t>
  </si>
  <si>
    <t>Más servicios en tu barrio - 27/6 - Villa Lugano (Barrio Popular)</t>
  </si>
  <si>
    <t>3210-JUNINFGC</t>
  </si>
  <si>
    <t>Infraestructura I Activación banners Extensión horaria de Subte NUEVA ESTETICA LINEA D</t>
  </si>
  <si>
    <t>3212-JUNPCCVC</t>
  </si>
  <si>
    <t>Reunión de Co - Creación | PBN Lorca</t>
  </si>
  <si>
    <t>3213-JUNINFGC</t>
  </si>
  <si>
    <t>Av Fernández de la Cruz: fin de obra</t>
  </si>
  <si>
    <t>3214-JUNAMBVC</t>
  </si>
  <si>
    <t>CLARA MUZZIO 19/6 PALERMO</t>
  </si>
  <si>
    <t>3215-JUNSEGGJ</t>
  </si>
  <si>
    <t>Desalojo de casa tomada en PP: Atuel 255</t>
  </si>
  <si>
    <t>3216-JUNJDGAG</t>
  </si>
  <si>
    <t>RDV JM | TE CUENTO | CIUDAD ATRACTIVA EJE SUR 25/6</t>
  </si>
  <si>
    <t>3220-JUNSEGGJ</t>
  </si>
  <si>
    <t>Sesiones Legislativas | Temas: Trapitos + VTV</t>
  </si>
  <si>
    <t>3222-JUNEPHVC</t>
  </si>
  <si>
    <t>IGNACIO BAISTROCCHI 22/6 COMUNA 9</t>
  </si>
  <si>
    <t>3223-JUNEDUVC</t>
  </si>
  <si>
    <t>MERCEDES MIGUEL 23/6 COMUNA 13</t>
  </si>
  <si>
    <t>3224-JUNDECVC</t>
  </si>
  <si>
    <t>LOMBARDI-TAPIA-PIRAGINE 24/6 EJE OESTE</t>
  </si>
  <si>
    <t>3226-JUNFESGC</t>
  </si>
  <si>
    <t>Vacaciones de invierno | Genérica</t>
  </si>
  <si>
    <t>3227-JUNSALGC</t>
  </si>
  <si>
    <t>Hospital Roca: Obras</t>
  </si>
  <si>
    <t>3228-JUNSALGC</t>
  </si>
  <si>
    <t>Hospitar Ferrer: Obras</t>
  </si>
  <si>
    <t>3230-JUNINFGJ</t>
  </si>
  <si>
    <t>3231-JUNJDGAG</t>
  </si>
  <si>
    <t>1 A 1 JM |  24/06 COMUNA 10</t>
  </si>
  <si>
    <t>3232-JUNDHHVC</t>
  </si>
  <si>
    <t>RDV MINISTROS | GABRIEL MRAIDA 24/6 COMUNA 1</t>
  </si>
  <si>
    <t>3233-JUNSALGC</t>
  </si>
  <si>
    <t xml:space="preserve"> Envío Deploy GDE Mejoras 22/6</t>
  </si>
  <si>
    <t>3234-JUNINFGC</t>
  </si>
  <si>
    <t>CORTES Y DESVÍOS POR EVENTO DEPORTIVO 21 K OLÍMPICOS</t>
  </si>
  <si>
    <t>3235-JUNINFGC</t>
  </si>
  <si>
    <t>CORTES Y DESVÍOS AU DELLEPIANE POR MONTAJE DE PASARELA</t>
  </si>
  <si>
    <t>3236-JUNINFGC</t>
  </si>
  <si>
    <t>CORTES Y DESVÍOS POR PASO A NIVEL CHIVILCOY (VILLA DEVOTO)</t>
  </si>
  <si>
    <t>3237-JUNSALCG</t>
  </si>
  <si>
    <t>Contenido Adicional Salud I Prioridad porteños</t>
  </si>
  <si>
    <t>3238-JUNSALGC</t>
  </si>
  <si>
    <t>SIGEHOS - Envío Deploy RIS - Nuevas novedades - Junio</t>
  </si>
  <si>
    <t>3239-JUNSEGVC</t>
  </si>
  <si>
    <t>RDV Ministros | Maximiliano Piñeiro 25/6 Comuna 12</t>
  </si>
  <si>
    <t>3240-JUNSEGVC</t>
  </si>
  <si>
    <t>RDV Ministros | Ruth Landerrece 25/6 Comuna 13</t>
  </si>
  <si>
    <t>3241-JUNSEGVC</t>
  </si>
  <si>
    <t>RDV Ministros | Horacio Gimenez  25/6 Comuna 14</t>
  </si>
  <si>
    <t>3242-JUNSEGVC</t>
  </si>
  <si>
    <t>RDV Ministros | Gabino Tapia 25/6 Comuna 15</t>
  </si>
  <si>
    <t>3243-JUNFESGC</t>
  </si>
  <si>
    <t>Vacaciones de invierno | Estación invierno</t>
  </si>
  <si>
    <t>3245-JUNFESGC</t>
  </si>
  <si>
    <t xml:space="preserve">Vacaciones de Invierno | Invierno en las plazas </t>
  </si>
  <si>
    <t>3246-JUNAMBVC</t>
  </si>
  <si>
    <t>RDV Ministros | Clara Muzzio - 26/6 - Temática</t>
  </si>
  <si>
    <t>3247-JUNSALVC</t>
  </si>
  <si>
    <t xml:space="preserve">RDV Ministros | Fernán Quirós - 26/6 </t>
  </si>
  <si>
    <t>3248-JUNJDGVC</t>
  </si>
  <si>
    <t>RDV Ministros | Gabriel Sánchez Zinny - 26/6</t>
  </si>
  <si>
    <t>3250-JUNVINGC</t>
  </si>
  <si>
    <t>Más servicios en tu barrio - 29/6 - Parque Patricios</t>
  </si>
  <si>
    <t>3251-JUNVINGC</t>
  </si>
  <si>
    <t>Más servicios en tu barrio - 30/6 - Vélez Sarsfield</t>
  </si>
  <si>
    <t>3252-JUNVINGC</t>
  </si>
  <si>
    <t>Más servicios en tu barrio - 1/7 - Barracas</t>
  </si>
  <si>
    <t>3253-JUNVINGC</t>
  </si>
  <si>
    <t>Más servicios en tu barrio - 2/7 - Villa Urquiza</t>
  </si>
  <si>
    <t>3254-JUNVINGC</t>
  </si>
  <si>
    <t>Más servicios en tu barrio - 3/7 - Núñez</t>
  </si>
  <si>
    <t>3255-JUNCCRSGC</t>
  </si>
  <si>
    <t>Programa Proyectate</t>
  </si>
  <si>
    <t>3256-JUNINFGC</t>
  </si>
  <si>
    <t>CORTES Y DESVÍOS POR MUNDIAL DESCENTRALIZADO: MODO HINCHA EN BA</t>
  </si>
  <si>
    <t>3257-JUNEDUGC</t>
  </si>
  <si>
    <t>Campaña GCBA I Educación I Vacaciones en la escuela edicion invierno 2026</t>
  </si>
  <si>
    <t>3258-JUNJDGGJ</t>
  </si>
  <si>
    <t>Decreto: Declaración de servicios esenciales</t>
  </si>
  <si>
    <t>3259-JUNEDUGC</t>
  </si>
  <si>
    <t>Premio Docentes de la Ciudad 2026</t>
  </si>
  <si>
    <t>3260-JUNJDGAG</t>
  </si>
  <si>
    <t>1 A 1 JM | COMUNA 8 | 30/06</t>
  </si>
  <si>
    <t>3262-JUNINFVC</t>
  </si>
  <si>
    <t>RDV Ministros | Pablo Bereciartua 1/7</t>
  </si>
  <si>
    <t>3263-JUNJDGVC</t>
  </si>
  <si>
    <t>RDV Ministros | Gabriel Sánchez Zinny 2/7</t>
  </si>
  <si>
    <t>3264-JUNCULVC</t>
  </si>
  <si>
    <t>RDV Ministros | Gabriela Ricardes 29/6 Comuna 9</t>
  </si>
  <si>
    <t>3265-JUNSEGVC</t>
  </si>
  <si>
    <t>RDV MINISTROS | EZEQUIEL SABOR 29/6 COMUNA 3</t>
  </si>
  <si>
    <t>3266-JUNSALGC</t>
  </si>
  <si>
    <t>Primer trasplante renal pediátrico de dos hospitales de la Ciudad</t>
  </si>
  <si>
    <t>3267-JUNSALGC</t>
  </si>
  <si>
    <t xml:space="preserve">Htal. Zubizarreta: Avance de Obra - GCBA </t>
  </si>
  <si>
    <t>3269-JUNDECGC</t>
  </si>
  <si>
    <t>INCUBATE 2026</t>
  </si>
  <si>
    <t>3270-JUNPCCVC</t>
  </si>
  <si>
    <t>Experiencia BA | Monumento Dos Congresos</t>
  </si>
  <si>
    <t>3271-JUNTURGC</t>
  </si>
  <si>
    <t xml:space="preserve">Sondeo Hotelero | Finde largo julio </t>
  </si>
  <si>
    <t>3272-JUNSEGVC</t>
  </si>
  <si>
    <t>RDV Ministros | Ruth Landerreche 2/7 Comuna 1 Sur</t>
  </si>
  <si>
    <t>3273-JUNSEGVC</t>
  </si>
  <si>
    <t>RDV Ministros | Maximiliano Piñeiro 2/7 Comuna 1 Norte</t>
  </si>
  <si>
    <t>3274-JUNSEGVC</t>
  </si>
  <si>
    <t>RDV Ministros | Gabino Tapia 2/7 Comuna 3</t>
  </si>
  <si>
    <t>3275-JUNSEGVC</t>
  </si>
  <si>
    <t>RDV Ministros | Horacio Giménez 2/7 Comuna 2</t>
  </si>
  <si>
    <t>3277-JUNVINGC</t>
  </si>
  <si>
    <t xml:space="preserve">Más servicios en tu barrio - 6/7 - Parque Patricios </t>
  </si>
  <si>
    <t>3278-JUNVINGC</t>
  </si>
  <si>
    <t>Más servicios en tu barrio - 7/7 - Retiro</t>
  </si>
  <si>
    <t>3279-JUNVINGC</t>
  </si>
  <si>
    <t>Más servicios en tu barrio - 8/7 - Boedo</t>
  </si>
  <si>
    <t>3280-JUNINFGJ</t>
  </si>
  <si>
    <t>Infraestructura | AU Dellepiane: Colectora Norte apertura | 30/6</t>
  </si>
  <si>
    <t>3281-JUNSEGGJ</t>
  </si>
  <si>
    <t>Banco de ADN para identificar delincuentes</t>
  </si>
  <si>
    <t>3282-JUNSEGGJ</t>
  </si>
  <si>
    <t>Megaoperativo Marea Azul</t>
  </si>
  <si>
    <t>3283-JUNAMBVC</t>
  </si>
  <si>
    <t>RDV Ministros | Clara Muzzio - 3/7 - Temática</t>
  </si>
  <si>
    <t>3284-JUNINFGC</t>
  </si>
  <si>
    <t>INFRAESTRUCTURA | M2 | TRAMBUS JULIO 2026</t>
  </si>
  <si>
    <t>3286-JUNAMBGC</t>
  </si>
  <si>
    <t>Banco de herramientas Junio - Comuna 12</t>
  </si>
  <si>
    <t>3288-JUNPCCVC</t>
  </si>
  <si>
    <t>Visita Circuito Riachuelo</t>
  </si>
  <si>
    <t>3289-JUNJDGAG</t>
  </si>
  <si>
    <t>PRIMERA PERSONA | JM | PAULA PARETTO 27/7</t>
  </si>
  <si>
    <t>3290-JULDECLI</t>
  </si>
  <si>
    <t xml:space="preserve">Sorteo CAMINOS Y SABORES </t>
  </si>
  <si>
    <t>3292-JULINFGC</t>
  </si>
  <si>
    <t xml:space="preserve"> INFRAESTRUCTURA | CORTES Y DESVÍOS EN AV. LEOPOLDO LUGONES</t>
  </si>
  <si>
    <t>3293-JULPCCVC</t>
  </si>
  <si>
    <t>Alta Interna Campaña VC | Invierno en la Ciudad - 1/7</t>
  </si>
  <si>
    <t>3294-JULDHHVC</t>
  </si>
  <si>
    <t xml:space="preserve">RDV Ministros | Gabriel Mraida - 8/7 </t>
  </si>
  <si>
    <t>3295-JULSEGVC</t>
  </si>
  <si>
    <t>RDV Ministros | Ezequiel Sabor 8/7</t>
  </si>
  <si>
    <t>3296-JULEPHVC</t>
  </si>
  <si>
    <t>RDV Ministros | Ignacio Baistrocchi 8/7</t>
  </si>
  <si>
    <t>3297-JULEDUVC</t>
  </si>
  <si>
    <t>RDV ministros | Mercedes Miguel 8/7</t>
  </si>
  <si>
    <t>3298-JULSALGC</t>
  </si>
  <si>
    <t>Hospital Udaondo: obras</t>
  </si>
  <si>
    <t>3299-JULSALGC</t>
  </si>
  <si>
    <t>Hospital Penna: obras</t>
  </si>
  <si>
    <t>3301-JULSEGGJ</t>
  </si>
  <si>
    <t>685 nuevos vehículos para la Policía de la Ciudad</t>
  </si>
  <si>
    <t>3302-JULDUDGC</t>
  </si>
  <si>
    <t>Deportes | Media | Sorteo Maratón de Buenos Aires 2026</t>
  </si>
  <si>
    <t>3305-JULSEGGJ</t>
  </si>
  <si>
    <t>Egreso más de 1000 Cadetes</t>
  </si>
  <si>
    <t>3306-JULCULGC</t>
  </si>
  <si>
    <t>Evento 9 de julio Casa de la Cultura</t>
  </si>
  <si>
    <t>3307-JULFESGC</t>
  </si>
  <si>
    <t>Sorteo | Expo Rural 2026</t>
  </si>
  <si>
    <t>3308-JULJDGAG</t>
  </si>
  <si>
    <t>1 A 1 JM | COMUNA 11 | 13/7</t>
  </si>
  <si>
    <t>3309-JULJDGAG</t>
  </si>
  <si>
    <t>1 a 1 | JM |  Recoleta 15/7</t>
  </si>
  <si>
    <t>3311-JULINFGC</t>
  </si>
  <si>
    <t>INFRAESTRUCTURA | CORTES Y DESVÍOS POR CARRERA 9K INDEPENDENCIA</t>
  </si>
  <si>
    <t>3312-JULSEGVC</t>
  </si>
  <si>
    <t>RDV Ministros | Maximiliano Piñeiro 16/7 Comuna 4</t>
  </si>
  <si>
    <t>3313-JULSEGVC</t>
  </si>
  <si>
    <t>RDV Ministros | Ruth Landerreche 16/7 Comuna 5</t>
  </si>
  <si>
    <t>3314-JULSEGVC</t>
  </si>
  <si>
    <t>RDV Ministros | Horacio Giménez 16/7 Comuna 6</t>
  </si>
  <si>
    <t>3315-JULSEGVC</t>
  </si>
  <si>
    <t>RDV Ministros | Gabino Tapia 16/7 Comuna 7</t>
  </si>
  <si>
    <t>3316-JULDECVC</t>
  </si>
  <si>
    <t>RDV Ministros | LOMBARDI-TAPIA-PIRAGINE 13/7 EJE CENTRO</t>
  </si>
  <si>
    <t>3317-JULVINGC</t>
  </si>
  <si>
    <t>Más servicios en tu barrio Parque Avellaneda 13/7</t>
  </si>
  <si>
    <t>3318-JULVINGC</t>
  </si>
  <si>
    <t>Más servicios en tu barrio Villa Devoto 14/7</t>
  </si>
  <si>
    <t>3319-JULVINGC</t>
  </si>
  <si>
    <t>Más servicios en tu barrio  Puerto Madero Barrio Popular  15/7</t>
  </si>
  <si>
    <t>3320-JULVINGC</t>
  </si>
  <si>
    <t>Más servicios en tu barrio San Telmo 15/7</t>
  </si>
  <si>
    <t>3321-JULVINGC</t>
  </si>
  <si>
    <t>Más servicios en tu barrio  Parque Chacabuco 16/7</t>
  </si>
  <si>
    <t>3322-JULVINGC</t>
  </si>
  <si>
    <t>Más servicios en tu barrio  La Boca 17/7</t>
  </si>
  <si>
    <t>3323-JULSALVC</t>
  </si>
  <si>
    <t>RDV MINISTROS | FERNÁN QUIRÓS 13/7 COMUNA 14</t>
  </si>
  <si>
    <t>3324-JULVINGC</t>
  </si>
  <si>
    <t>Más servicios en tu barrio Villa Lugano 13/7</t>
  </si>
  <si>
    <t>3325-JULTURGC</t>
  </si>
  <si>
    <t>Sondeo Hotelero por vacaciones de invierno 14/7</t>
  </si>
  <si>
    <t>3326-JULINFVC</t>
  </si>
  <si>
    <t>PABLO BERECIARTUA 13/7 COMUNA 1</t>
  </si>
  <si>
    <t>3327-JULSALGC</t>
  </si>
  <si>
    <t>Salud | Inauguración Centro de Diagnóstico Porteño en Palermo</t>
  </si>
  <si>
    <t>3328-JULPCCVC</t>
  </si>
  <si>
    <t>Reunión informativa Linea F</t>
  </si>
  <si>
    <t>3329-JULINFGC</t>
  </si>
  <si>
    <t>Cortes y desvios en Av. Cantilo</t>
  </si>
  <si>
    <t>3330-JULFESGC</t>
  </si>
  <si>
    <t>Sorteo Era Cretácica 2</t>
  </si>
  <si>
    <t>3331-JULINFGC</t>
  </si>
  <si>
    <t xml:space="preserve"> Infraestructura | Cambio de sentido: calle Estanislao San Zeballos</t>
  </si>
  <si>
    <t>3332-JULINFGC</t>
  </si>
  <si>
    <t xml:space="preserve">Infraestructura | Cambio de sentido calle: Oliden
</t>
  </si>
  <si>
    <t>3335-JULINFGC</t>
  </si>
  <si>
    <t>Cortes y desvios en Av. Cantilo | PLACA HASTA FIN DE AÑO</t>
  </si>
  <si>
    <t>3340-JULAMBVC</t>
  </si>
  <si>
    <t>RDV Ministros | Clara Muzzio - 17/7 - Temática</t>
  </si>
  <si>
    <t>3341-JULVINGC</t>
  </si>
  <si>
    <t>Más servicios en tu barrio - Villa Lugano -  20/7</t>
  </si>
  <si>
    <t>3342-JULVINGC</t>
  </si>
  <si>
    <t>Más servicios en tu barrio - Caballito - 21/7</t>
  </si>
  <si>
    <t>3343-JULVINGC</t>
  </si>
  <si>
    <t>Más servicios en tu barrio - Parque Patricios - 22/7</t>
  </si>
  <si>
    <t>3346-JULJDGAG</t>
  </si>
  <si>
    <t>1 A 1 JM | 24/7  RETIRO</t>
  </si>
  <si>
    <t>3348-JULSEGCG</t>
  </si>
  <si>
    <t xml:space="preserve"> Ciudad Inteligente | Pauta Canal de YouTube | Policía Científica</t>
  </si>
  <si>
    <t>3349-JULINFGC</t>
  </si>
  <si>
    <t>INFRAESTRUCTURA | CORTES Y DESVÍOS ANIVERSARIO AMIA</t>
  </si>
  <si>
    <t>3350-JULPCCVC</t>
  </si>
  <si>
    <t>Vacaciones de invierno PC</t>
  </si>
  <si>
    <t>3351-JULCULGC</t>
  </si>
  <si>
    <t>Vacaciones de invierno | Actividades en Museos</t>
  </si>
  <si>
    <t>3352-JULCULGC</t>
  </si>
  <si>
    <t>Vacaciones de invierno | Actividades en Complejo Teatral</t>
  </si>
  <si>
    <t>3353-JULCULGC</t>
  </si>
  <si>
    <t>Vacaciones de invierno | Actividades en Espacios Culturales</t>
  </si>
  <si>
    <t>3356-JULDHHGC</t>
  </si>
  <si>
    <t>RDV Ministros | Gabriel Mraida - 24/7</t>
  </si>
  <si>
    <t>3360-JULCULGC</t>
  </si>
  <si>
    <t>Vacaciones de invierno | Actividades en la Usina</t>
  </si>
  <si>
    <t>3362-JULCULGC</t>
  </si>
  <si>
    <t>Vacaciones de invierno | Ambiente | Paseo Ambiental del sur</t>
  </si>
  <si>
    <t>3363-JULCULGC</t>
  </si>
  <si>
    <t>Vacaciones de invierno | Jardin Botánico y Reservas Ecologicas</t>
  </si>
  <si>
    <t>3365-JULINFGC</t>
  </si>
  <si>
    <t>INFRAESTRUCTURA | CORTES Y DESVÍOS PUENTE LABRUNA</t>
  </si>
  <si>
    <t>3367-JULEMEGC</t>
  </si>
  <si>
    <t>Alerta Amarilla 17/7</t>
  </si>
  <si>
    <t>3369-JULVINGC</t>
  </si>
  <si>
    <t>OBRAS EN PARQUES Y PLAZAS (PATIOS DE JUEGOS) - PLAN 2026</t>
  </si>
  <si>
    <t>3370-JULSEGVC</t>
  </si>
  <si>
    <t>RDV Ministros | Gabino Tapia 23/7 Comuna 8</t>
  </si>
  <si>
    <t>3371-JULSEGVC</t>
  </si>
  <si>
    <t>RDV Ministros | Maximiliano Piñerio  23/7 Comuna 9</t>
  </si>
  <si>
    <t>3372-JULSEGVC</t>
  </si>
  <si>
    <t>RDV Ministros | Horacio Giménez 23/7 Comuna 10</t>
  </si>
  <si>
    <t>3373-JULSEGVC</t>
  </si>
  <si>
    <t>RDV Ministros | Ruth Landerreche 23/7 Comuna 11</t>
  </si>
  <si>
    <t>3375-JULEMEGC</t>
  </si>
  <si>
    <t>Alerta Amarilla 18/7</t>
  </si>
  <si>
    <t>3380-JULJDGVC</t>
  </si>
  <si>
    <t>Alta Interna Campaña VC | RDV Ministros | Gabrie Sánchez Zinny - 25/07</t>
  </si>
  <si>
    <t>3387-JULJDGGC</t>
  </si>
  <si>
    <t>TE CUENTO BS AS JM | 28/7 ORDEN PÚBLICO EJE NORTE</t>
  </si>
  <si>
    <t>3388-JULAMBVC</t>
  </si>
  <si>
    <t>RDV Ministros | Clara Muzzio 24/7 Palermo</t>
  </si>
  <si>
    <t>estado_cuentas</t>
  </si>
  <si>
    <t>Pausada</t>
  </si>
  <si>
    <t>2428-DICPCCGC</t>
  </si>
  <si>
    <t>Voluntariado: Puesta en valor Asociación Juvenil Araucana</t>
  </si>
  <si>
    <t>Pendiente</t>
  </si>
  <si>
    <t>2429-DICPCCVC</t>
  </si>
  <si>
    <t>DGPCyC | Verano 2026 - Todo tiene vida: Museo Moderno</t>
  </si>
  <si>
    <t>2431-DICPCCVC</t>
  </si>
  <si>
    <t>DGPCyC | Verano 2026 - PASEO NÁUTICO POR EL RIACHUELO</t>
  </si>
  <si>
    <t>2452-ENEINFGC</t>
  </si>
  <si>
    <t>Métricas de cortes y desvíos por eventos masivos 2025</t>
  </si>
  <si>
    <t>2461-ENEEPHGC</t>
  </si>
  <si>
    <t>MEPHU - Informe M2 anual (sep a dic 2025)</t>
  </si>
  <si>
    <t>2462-ENEVINGC</t>
  </si>
  <si>
    <t>GESTION COMUNAL - Informe M2 anual (sep a dic 2025)</t>
  </si>
  <si>
    <t>2473-ENECCRSGC</t>
  </si>
  <si>
    <t>CAMPAÑA GCBA | CUIDADO | VJ | Estaciones Saludables</t>
  </si>
  <si>
    <t>2479-ENECCRSGC</t>
  </si>
  <si>
    <t>CAMPAÑA GCBA | CUIDADO | VJ | M2 Parque Saavedra | Estaciones Saludables</t>
  </si>
  <si>
    <t>2494-ENEVINGC</t>
  </si>
  <si>
    <t>CAMPAÑA GCBA | VINCULO CIUDADANO | Mas servicios en tu barrio 2026: Parque Patricios 20/02</t>
  </si>
  <si>
    <t>2495-ENEVINGC</t>
  </si>
  <si>
    <t>CAMPAÑA GCBA | VINCULO CIUDADANO | Mas servicios en tu barrio 2026: Villa del Parque 23/02</t>
  </si>
  <si>
    <t>2520-ENEEPHGC</t>
  </si>
  <si>
    <t>Hitos Transparencia</t>
  </si>
  <si>
    <t>2649-FEBPCCVC</t>
  </si>
  <si>
    <t>Experiencias BA - Visita guiada al palacio legislativo</t>
  </si>
  <si>
    <t>2681-MARINFGC</t>
  </si>
  <si>
    <t xml:space="preserve"> Infraestructura I Cortes en Av. Elcano por obras</t>
  </si>
  <si>
    <t>2742-MARFESGC</t>
  </si>
  <si>
    <t>Obras en anfiteatros</t>
  </si>
  <si>
    <t>2748-MARSEGGC</t>
  </si>
  <si>
    <t>CONTENIDO ADICIONAL GCBA | SEGURIDAD | Pedidos de contenidos para pautar: SEGURIDAD</t>
  </si>
  <si>
    <t>2850-ABRPCCVC</t>
  </si>
  <si>
    <t>Experiencia BA | Capacitación de RCP + DEA</t>
  </si>
  <si>
    <t>3045-MAYFESGC</t>
  </si>
  <si>
    <t>BA 24 hs | Segunda etapa</t>
  </si>
  <si>
    <t>3059-MAYDISGC</t>
  </si>
  <si>
    <t>M2 - Reuniones Comunas Discapacidad</t>
  </si>
  <si>
    <t>Vicejefatura (Discapacidad)</t>
  </si>
  <si>
    <t>3105-MAYEPHGC</t>
  </si>
  <si>
    <t>Obra Parque Ferrovario Urquiza</t>
  </si>
  <si>
    <t>3132-JUNTURGC</t>
  </si>
  <si>
    <t xml:space="preserve">Capacitación 2026 | Experiencia de servicio | Junio </t>
  </si>
  <si>
    <t>3181-JUNFESGC</t>
  </si>
  <si>
    <t>La Ciudad late Mundial | Durante | Fan Fest</t>
  </si>
  <si>
    <t>3182-JUNFESGC</t>
  </si>
  <si>
    <t>La Ciudad late Mundial | Durante | Modo Hincha</t>
  </si>
  <si>
    <t>3211-JUNPCCVC</t>
  </si>
  <si>
    <t>Experiencia BA | Deja tus rueditas junio</t>
  </si>
  <si>
    <t>3218-JUNINFGC</t>
  </si>
  <si>
    <t>Infraestructura I Activación banners Extensión horaria de Subte NUEVA ESTETICA LINEA B</t>
  </si>
  <si>
    <t>3219-JUNINFGC</t>
  </si>
  <si>
    <t>Infraestructura I Activación banners Extensión horaria de Subte NUEVA ESTETICA LINEA H</t>
  </si>
  <si>
    <t>3221-JUNTURGC</t>
  </si>
  <si>
    <t>Informe mensual Observatorio Turismo Mayo 2026</t>
  </si>
  <si>
    <t>3229-JUNINFGC</t>
  </si>
  <si>
    <t>INFRAESTRUCTURA | Obras2026 génerico (UBER)</t>
  </si>
  <si>
    <t>3268-JUNHYFGC</t>
  </si>
  <si>
    <t>Créditos Hipotecarios UVA “Ciudad Primera Vivienda”,</t>
  </si>
  <si>
    <t>3276-JUNDECGC</t>
  </si>
  <si>
    <t>Principales programas y medidas para PyMEs de la Ciudad</t>
  </si>
  <si>
    <t>3285-JUNAMBGC</t>
  </si>
  <si>
    <t>Banco de herramientas Junio - Comuna 6</t>
  </si>
  <si>
    <t>3287-JUNPCCVC</t>
  </si>
  <si>
    <t xml:space="preserve">Visita guiada Teatro Colón Fabrica </t>
  </si>
  <si>
    <t>3303-JULAMBGC</t>
  </si>
  <si>
    <t>Banco de herramientas - Comuna 2</t>
  </si>
  <si>
    <t>3310-JULPCCVC</t>
  </si>
  <si>
    <t>Priorización Nombramiento del Paso Bajo Nivel Lorca</t>
  </si>
  <si>
    <t>3333-JULINFGC</t>
  </si>
  <si>
    <t>Infraestructura | Cambio de sentido calle José Hernández</t>
  </si>
  <si>
    <t>3336-JULJDGGC</t>
  </si>
  <si>
    <t>Evento Urban Cities 2026</t>
  </si>
  <si>
    <t>3339-JULFESGC</t>
  </si>
  <si>
    <t>Día del Niño</t>
  </si>
  <si>
    <t>3354-JULJDGAG</t>
  </si>
  <si>
    <t>1 A 1 JM | 23/7 SAN CRISTÓBAL</t>
  </si>
  <si>
    <t>3355-JULINFCG</t>
  </si>
  <si>
    <t>INFRAESTRUCTURA  | Mega Obras | YOUTUBE: Dellepiane</t>
  </si>
  <si>
    <t>3358-JULPCCVC</t>
  </si>
  <si>
    <t xml:space="preserve">Encuentro de dialogo | ADP Pompeya </t>
  </si>
  <si>
    <t>3368-JULINFGC</t>
  </si>
  <si>
    <t xml:space="preserve"> Cambio de recorrido colectivo: línea 181</t>
  </si>
  <si>
    <t>3376-JULCULGC</t>
  </si>
  <si>
    <t>Sorteo Linda Alerta Espacial</t>
  </si>
  <si>
    <t>3377-JULEPHGC</t>
  </si>
  <si>
    <t>Vacaciones de invierno | Parque de invierno</t>
  </si>
  <si>
    <t>3378-JULFESGC</t>
  </si>
  <si>
    <t>Vacaciones de invierno | Festival Ciudad Joven</t>
  </si>
  <si>
    <t>3379-JULINFGC</t>
  </si>
  <si>
    <t xml:space="preserve">INFRAESTRUCTURA | CORTES Y DESVÍOS EN AU DELLEPIANE POR PASARELA PEATONAL ALBARIÑO
</t>
  </si>
  <si>
    <t>3381-JULINFGC</t>
  </si>
  <si>
    <t>CORTES Y DESVÍOS EN AV. CANTILO Y AU ILLIA</t>
  </si>
  <si>
    <t>3382-JULTURGC</t>
  </si>
  <si>
    <t>Sondeo Hotelero por Vacaciones de invierno 28/7</t>
  </si>
  <si>
    <t>3383-JULVINGC</t>
  </si>
  <si>
    <t>Registro Civil - Renovación DNI - 5 años</t>
  </si>
  <si>
    <t>3384-JULVINGC</t>
  </si>
  <si>
    <t>Registro Civil - Renovación DNI - Nacimientos</t>
  </si>
  <si>
    <t>3391-JULJDGAG</t>
  </si>
  <si>
    <t>PRIMERA PERSONA JM | 12/8 NICOLÁS VÁZQUEZ</t>
  </si>
  <si>
    <t>3399-JULVINGC</t>
  </si>
  <si>
    <t>Más servicios en tu barrio - 27/7 - San Telmo</t>
  </si>
  <si>
    <t>3400-JULVINGC</t>
  </si>
  <si>
    <t>Más servicios en tu barrio - 28/7 - Villa Soldati</t>
  </si>
  <si>
    <t>3401-JULVINGC</t>
  </si>
  <si>
    <t>Más servicios en tu barrio - 29/7 - Villa Lugano</t>
  </si>
  <si>
    <t>3402-JULVINGC</t>
  </si>
  <si>
    <t>Más servicios en tu barrio - 30/7 - Mataderos</t>
  </si>
  <si>
    <t>3403-JULVINGC</t>
  </si>
  <si>
    <t>Más servicios en tu barrio - 31/7 - Nueva Pompeya</t>
  </si>
  <si>
    <t>3404-JULSALGJ</t>
  </si>
  <si>
    <t>Nueva base SAME</t>
  </si>
  <si>
    <t>ID cuentas</t>
  </si>
  <si>
    <t>Enviados</t>
  </si>
  <si>
    <t>Entregados</t>
  </si>
  <si>
    <t>Aperturas</t>
  </si>
  <si>
    <t>Clics</t>
  </si>
  <si>
    <t>0005-DICINFGC</t>
  </si>
  <si>
    <t>0010-ENESEGGC</t>
  </si>
  <si>
    <t>0006-ENESALGC</t>
  </si>
  <si>
    <t>0126-MAYINFGC</t>
  </si>
  <si>
    <t>0012-ENEFESGC</t>
  </si>
  <si>
    <t>0014-ENESALGC</t>
  </si>
  <si>
    <t>0016-ENEDHHGC</t>
  </si>
  <si>
    <t>0017-ENESECGC</t>
  </si>
  <si>
    <t>0019-ENEINFGC</t>
  </si>
  <si>
    <t>0018-ENEDDHGC</t>
  </si>
  <si>
    <t>0008-ENESALGC</t>
  </si>
  <si>
    <t>0021-ENEEPHGC</t>
  </si>
  <si>
    <t>0020-ENEFESGC</t>
  </si>
  <si>
    <t>0013-ENEFESGC</t>
  </si>
  <si>
    <t>0022-FEBSALGC</t>
  </si>
  <si>
    <t>0023-FEBCULGC</t>
  </si>
  <si>
    <t>0024-FEBINFGC</t>
  </si>
  <si>
    <t>0025-FEBTURGC</t>
  </si>
  <si>
    <t>0515-SEPTURGC</t>
  </si>
  <si>
    <t>0033-FEBSALGC</t>
  </si>
  <si>
    <t>0035-FEBEPHGC</t>
  </si>
  <si>
    <t>0032-FEBDHHGC</t>
  </si>
  <si>
    <t>0034-FEBVINGC</t>
  </si>
  <si>
    <t>0037-FEBTURGC</t>
  </si>
  <si>
    <t>0038-FEBSALGC</t>
  </si>
  <si>
    <t>0039-FEBSEGGC</t>
  </si>
  <si>
    <t>0041-MAREPHGC</t>
  </si>
  <si>
    <t>0040-MARVINVC</t>
  </si>
  <si>
    <t>0043-MARFESGC</t>
  </si>
  <si>
    <t>0048-MARHYFGC</t>
  </si>
  <si>
    <t>0049-MARINFGC</t>
  </si>
  <si>
    <t>0050-MARFESGC</t>
  </si>
  <si>
    <t>0046-MARSALGC</t>
  </si>
  <si>
    <t>0053-MARINFGC</t>
  </si>
  <si>
    <t>0055-MARSALAN</t>
  </si>
  <si>
    <t>0057-MARDECGC</t>
  </si>
  <si>
    <t>0058-MAREDUGC</t>
  </si>
  <si>
    <t>0054-MARINFGC</t>
  </si>
  <si>
    <t>0059-MARDDHGC</t>
  </si>
  <si>
    <t>0051-MAREPHGC</t>
  </si>
  <si>
    <t>0570-OCTTURGC</t>
  </si>
  <si>
    <t>0061-MARSALGC</t>
  </si>
  <si>
    <t>0063-MARDHHGC</t>
  </si>
  <si>
    <t>0065-MARINFGC</t>
  </si>
  <si>
    <t>0067-MARTURGC</t>
  </si>
  <si>
    <t>0064-MARFESGC</t>
  </si>
  <si>
    <t>0060-MARAMBGC</t>
  </si>
  <si>
    <t>0068-MAREPHGC</t>
  </si>
  <si>
    <t>0052-MAREPHGC</t>
  </si>
  <si>
    <t>0199-JUNDECGC</t>
  </si>
  <si>
    <t>0070-MARINAGC</t>
  </si>
  <si>
    <t>0069-MAREPHGC</t>
  </si>
  <si>
    <t>0071-MARTURGC</t>
  </si>
  <si>
    <t>0044-MARSALGC</t>
  </si>
  <si>
    <t>0074-ABRINFGC</t>
  </si>
  <si>
    <t>0075-ABRINFGC</t>
  </si>
  <si>
    <t>0076-ABREPHGC</t>
  </si>
  <si>
    <t>0072-ABRVINVC</t>
  </si>
  <si>
    <t>0062-MARCULGC</t>
  </si>
  <si>
    <t>0066-MARSEGGC</t>
  </si>
  <si>
    <t>0078-ABRSALGC</t>
  </si>
  <si>
    <t>0080-ABRHYFGC</t>
  </si>
  <si>
    <t>0079-ABRINFGC</t>
  </si>
  <si>
    <t>0709-ABRSALGC</t>
  </si>
  <si>
    <t>0081-ABRINFGC</t>
  </si>
  <si>
    <t>0083-ABRPCCVC</t>
  </si>
  <si>
    <t>0082-ABREPHGC</t>
  </si>
  <si>
    <t>0086-ABREDUAN</t>
  </si>
  <si>
    <t>0089-ABRCULGC</t>
  </si>
  <si>
    <t>0085-ABRSEGGC</t>
  </si>
  <si>
    <t>0090-ABRVINVC</t>
  </si>
  <si>
    <t>0088-ABRDECGC</t>
  </si>
  <si>
    <t>0091-ABRFESGC</t>
  </si>
  <si>
    <t>0094-ABREPHGC</t>
  </si>
  <si>
    <t>0093-ABRVINGC</t>
  </si>
  <si>
    <t>0099-ABRVINVC</t>
  </si>
  <si>
    <t>0096-ABRINFGC</t>
  </si>
  <si>
    <t>0098-ABRINFGC</t>
  </si>
  <si>
    <t>0087-ABRSEGGC</t>
  </si>
  <si>
    <t>0102-MAYDHHGC</t>
  </si>
  <si>
    <t>0138-MAYSALGC</t>
  </si>
  <si>
    <t>0107-MAYJUSGC</t>
  </si>
  <si>
    <t>0104-MAYEMEGC</t>
  </si>
  <si>
    <t>0151-JUNINFGC</t>
  </si>
  <si>
    <t>0097-ABRDECAN</t>
  </si>
  <si>
    <t>0111-MAYVINVC</t>
  </si>
  <si>
    <t>0121-MAYTURGC</t>
  </si>
  <si>
    <t>0114-MAYSEGAN</t>
  </si>
  <si>
    <t>0113-MAYEMEGC</t>
  </si>
  <si>
    <t>0115-MAYCULGC</t>
  </si>
  <si>
    <t>0118-MAYSECGC</t>
  </si>
  <si>
    <t>0116-MAYVINVC</t>
  </si>
  <si>
    <t>0108-MAYSALGC</t>
  </si>
  <si>
    <t>0123-MAYEPHGC</t>
  </si>
  <si>
    <t>0117-MAYVINVC</t>
  </si>
  <si>
    <t>0129-MAYDHHAN</t>
  </si>
  <si>
    <t>0125-MAYVINVC</t>
  </si>
  <si>
    <t>0131-MAYCULGC</t>
  </si>
  <si>
    <t>0130-MAYSALGC</t>
  </si>
  <si>
    <t>0137-MAYVINVC</t>
  </si>
  <si>
    <t>0134-MAYSEGGC</t>
  </si>
  <si>
    <t>0135-MAYFESGC</t>
  </si>
  <si>
    <t>0101-MAYSALGC</t>
  </si>
  <si>
    <t>0133-MAYSALAN</t>
  </si>
  <si>
    <t>0143-MAYCULGC</t>
  </si>
  <si>
    <t>0128-MAYDHHAN</t>
  </si>
  <si>
    <t>0142-MAYVINGC</t>
  </si>
  <si>
    <t>0149-MAYVINVC</t>
  </si>
  <si>
    <t>0146-MAYEPHGC</t>
  </si>
  <si>
    <t>0122-MAYEDUGC</t>
  </si>
  <si>
    <t>0139-MAYINFGC</t>
  </si>
  <si>
    <t>0144-MAYEDUAN</t>
  </si>
  <si>
    <t>0155-JUNSEGGC</t>
  </si>
  <si>
    <t>0166-JUNEPHGC</t>
  </si>
  <si>
    <t>0168-JUNVINVC</t>
  </si>
  <si>
    <t>0167-JUNINFGC</t>
  </si>
  <si>
    <t>0150-MAYINNGC</t>
  </si>
  <si>
    <t>0174-JUNVINVC</t>
  </si>
  <si>
    <t>0173-JUNVINVC</t>
  </si>
  <si>
    <t>0164-JUNSALAN</t>
  </si>
  <si>
    <t>0180-JUNTURGC</t>
  </si>
  <si>
    <t>0186-JUNSALGC</t>
  </si>
  <si>
    <t>0175-JUNDECGC</t>
  </si>
  <si>
    <t>0140-MAYSEGGC</t>
  </si>
  <si>
    <t>0154-JUNCULGC</t>
  </si>
  <si>
    <t>0198-JUNVINVC</t>
  </si>
  <si>
    <t>0200-JUNVINVC</t>
  </si>
  <si>
    <t>0183-JUNFESGC</t>
  </si>
  <si>
    <t>0208-JUNDECGC</t>
  </si>
  <si>
    <t>0202-JUNVINVC</t>
  </si>
  <si>
    <t>0209-JUNINFGC</t>
  </si>
  <si>
    <t>0222-JUNVINVC</t>
  </si>
  <si>
    <t>0211-JUNVINVC</t>
  </si>
  <si>
    <t>0212-JUNVINVC</t>
  </si>
  <si>
    <t>0221-JUNVINVC</t>
  </si>
  <si>
    <t>0210-JUNVINVC</t>
  </si>
  <si>
    <t>0227-JUNVINVC</t>
  </si>
  <si>
    <t>0141-MAYSALGC</t>
  </si>
  <si>
    <t>0239-JULEDUAN</t>
  </si>
  <si>
    <t>0231-JUNSEGVC</t>
  </si>
  <si>
    <t>0245-JULTURGC</t>
  </si>
  <si>
    <t>0244-JULDECGC</t>
  </si>
  <si>
    <t>0176-JUNEDUGC</t>
  </si>
  <si>
    <t>0248-JULVINVC</t>
  </si>
  <si>
    <t>0259-JULVINVC</t>
  </si>
  <si>
    <t>0274-JULINFGC</t>
  </si>
  <si>
    <t>0246-JULSEGGC</t>
  </si>
  <si>
    <t>0258-JULVINVC</t>
  </si>
  <si>
    <t>0257-JULVINVC</t>
  </si>
  <si>
    <t>0256-JULDECGC</t>
  </si>
  <si>
    <t>0261-JULINFGC</t>
  </si>
  <si>
    <t>0270-JULTURGC</t>
  </si>
  <si>
    <t>0269-JULSALAN</t>
  </si>
  <si>
    <t>0268-JULINFGC</t>
  </si>
  <si>
    <t>0278-JULVINVC</t>
  </si>
  <si>
    <t>0273-JULVINVC</t>
  </si>
  <si>
    <t>0277-JULSEGAN</t>
  </si>
  <si>
    <t>0290-JULSECGC</t>
  </si>
  <si>
    <t>0292-JULVINVC</t>
  </si>
  <si>
    <t>0215-JUNFESGC</t>
  </si>
  <si>
    <t>0281-JULSECVC</t>
  </si>
  <si>
    <t>0280-JULSALGC</t>
  </si>
  <si>
    <t>0283-JULEPHAN</t>
  </si>
  <si>
    <t>0279-JULVINVC</t>
  </si>
  <si>
    <t>0315-JULVINVC</t>
  </si>
  <si>
    <t>0293-JULJUSGC</t>
  </si>
  <si>
    <t>0299-JULSECGC</t>
  </si>
  <si>
    <t>0282-JULSEGAN</t>
  </si>
  <si>
    <t>0304-JULVINVC</t>
  </si>
  <si>
    <t>0302-JULDHHGC</t>
  </si>
  <si>
    <t>0314-JULVINVC</t>
  </si>
  <si>
    <t>0316-JULSEGAN</t>
  </si>
  <si>
    <t>0297-JULVINVC</t>
  </si>
  <si>
    <t>0311-JULEPHGC</t>
  </si>
  <si>
    <t>0242-JULFESGC</t>
  </si>
  <si>
    <t>0318-JULINFGC</t>
  </si>
  <si>
    <t>0335-JULVINVC</t>
  </si>
  <si>
    <t>0326-JULEPHAN</t>
  </si>
  <si>
    <t>0340-JULVINVC</t>
  </si>
  <si>
    <t>0342-JULSEGGC</t>
  </si>
  <si>
    <t>0346-JULPCCVC</t>
  </si>
  <si>
    <t>0320-JULDUDGC</t>
  </si>
  <si>
    <t>0341-JULEDUAN</t>
  </si>
  <si>
    <t>0357-AGOVINVC</t>
  </si>
  <si>
    <t>0350-JULSALCG</t>
  </si>
  <si>
    <t>0360-AGOVINVC</t>
  </si>
  <si>
    <t>0359-AGOVINVC</t>
  </si>
  <si>
    <t>0358-AGOVINVC</t>
  </si>
  <si>
    <t>0383-AGOVINVC</t>
  </si>
  <si>
    <t>0387-AGOJUSGC</t>
  </si>
  <si>
    <t>0355-JULEPHGC</t>
  </si>
  <si>
    <t>0349-JULEPHAN</t>
  </si>
  <si>
    <t>0361-AGOVINVC</t>
  </si>
  <si>
    <t>0398-AGOINFGC</t>
  </si>
  <si>
    <t>0347-JULEPHAN</t>
  </si>
  <si>
    <t>0364-AGOVINVC</t>
  </si>
  <si>
    <t>0356-JULEPHAN</t>
  </si>
  <si>
    <t>0401-AGOVINVC</t>
  </si>
  <si>
    <t>0362-AGOVINVC</t>
  </si>
  <si>
    <t>0366-AGOVINVC</t>
  </si>
  <si>
    <t>0402-AGOSEGGC</t>
  </si>
  <si>
    <t>0348-JULSECGC</t>
  </si>
  <si>
    <t>0409-AGOBPUAN</t>
  </si>
  <si>
    <t>0403-AGOSEGGC</t>
  </si>
  <si>
    <t>0400-AGOEPHGC</t>
  </si>
  <si>
    <t>0377-AGODECAG</t>
  </si>
  <si>
    <t>0367-AGOVINVC</t>
  </si>
  <si>
    <t>0392-AGOFESGC</t>
  </si>
  <si>
    <t>0375-AGOVINVC</t>
  </si>
  <si>
    <t>0410-AGOSEGGC</t>
  </si>
  <si>
    <t>0520-SEPTURGC</t>
  </si>
  <si>
    <t>0412-AGOVINVC</t>
  </si>
  <si>
    <t>0404-AGOEDUAN</t>
  </si>
  <si>
    <t>0373-AGOVINVC</t>
  </si>
  <si>
    <t>0411-AGOSALAN</t>
  </si>
  <si>
    <t>0372-AGOFESGC</t>
  </si>
  <si>
    <t>0422-AGOFESGC</t>
  </si>
  <si>
    <t>0379-AGOVINVC</t>
  </si>
  <si>
    <t>0374-AGOVINVC</t>
  </si>
  <si>
    <t>0426-AGOEPHGC</t>
  </si>
  <si>
    <t>0427-AGOEPHAN</t>
  </si>
  <si>
    <t>0380-AGOVINVC</t>
  </si>
  <si>
    <t>0376-AGODUDGC</t>
  </si>
  <si>
    <t>0429-AGODECGC</t>
  </si>
  <si>
    <t>0435-AGOSEGGC</t>
  </si>
  <si>
    <t>0428-AGOBPUGC</t>
  </si>
  <si>
    <t>0444-AGOVINVC</t>
  </si>
  <si>
    <t>0487-SEPNEWGC</t>
  </si>
  <si>
    <t>0382-AGOVINVC</t>
  </si>
  <si>
    <t>0370-AGOVINVC</t>
  </si>
  <si>
    <t>0369-AGOSALGC</t>
  </si>
  <si>
    <t>0436-AGOVINVC</t>
  </si>
  <si>
    <t>0449-AGOVINVC</t>
  </si>
  <si>
    <t>0446-AGOINFAN</t>
  </si>
  <si>
    <t>0452-AGOVINVC</t>
  </si>
  <si>
    <t>0447-AGODUDGC</t>
  </si>
  <si>
    <t>0457-AGOSEGGC</t>
  </si>
  <si>
    <t>0468-SEPVINVC</t>
  </si>
  <si>
    <t>0371-AGOEPHGC</t>
  </si>
  <si>
    <t>0463-AGOEMEGC</t>
  </si>
  <si>
    <t>0467-AGOVINVC</t>
  </si>
  <si>
    <t>0465-AGOEPHGC</t>
  </si>
  <si>
    <t>0484-SEPSALGC</t>
  </si>
  <si>
    <t>0454-AGOEDUGC</t>
  </si>
  <si>
    <t>0455-AGOEPHAN</t>
  </si>
  <si>
    <t>0474-SEPVINVC</t>
  </si>
  <si>
    <t>0475-SEPVINVC</t>
  </si>
  <si>
    <t>0478-SEPVINVC</t>
  </si>
  <si>
    <t>0477-SEPVINVC</t>
  </si>
  <si>
    <t>0476-SEPVINVC</t>
  </si>
  <si>
    <t>0480-SEPVINVC</t>
  </si>
  <si>
    <t>0482-SEPVINVC</t>
  </si>
  <si>
    <t>0485-SEPDECGC</t>
  </si>
  <si>
    <t>0472-SEPEPHGC</t>
  </si>
  <si>
    <t>0479-SEPSEGGC</t>
  </si>
  <si>
    <t>0501-SEPVINVC</t>
  </si>
  <si>
    <t>0473-SEPCULGC</t>
  </si>
  <si>
    <t>0488-SEPINFGC</t>
  </si>
  <si>
    <t>0431-AGOSEGAN</t>
  </si>
  <si>
    <t>0443-AGOFESGC</t>
  </si>
  <si>
    <t>0489-SEPVINVC</t>
  </si>
  <si>
    <t>0494-SEPSALGC</t>
  </si>
  <si>
    <t>0493-SEPVINVC</t>
  </si>
  <si>
    <t>0849-SEPNEWAN</t>
  </si>
  <si>
    <t>0496-SEPVINVC</t>
  </si>
  <si>
    <t>0498-SEPVINVC</t>
  </si>
  <si>
    <t>0502-SEPSALGC</t>
  </si>
  <si>
    <t>0507-SEPEPHGC</t>
  </si>
  <si>
    <t>0517-SEPPCCVC</t>
  </si>
  <si>
    <t>0818-OCTVINGC</t>
  </si>
  <si>
    <t>0508-SEPVINVC</t>
  </si>
  <si>
    <t>0518-SEPINFGC</t>
  </si>
  <si>
    <t>0512-SEPVINVC</t>
  </si>
  <si>
    <t>0510-SEPVINVC</t>
  </si>
  <si>
    <t>0514-SEPSEGGC</t>
  </si>
  <si>
    <t>0519-SEPVINVC</t>
  </si>
  <si>
    <t>0469-SEPCULGC</t>
  </si>
  <si>
    <t>0526-SEPVINVC</t>
  </si>
  <si>
    <t>0528-SEPSEGGC</t>
  </si>
  <si>
    <t>0504-SEPFESGC</t>
  </si>
  <si>
    <t>0539-SEPVINVC</t>
  </si>
  <si>
    <t>0535-SEPINFGC</t>
  </si>
  <si>
    <t>0540-SEPVINVC</t>
  </si>
  <si>
    <t>0538-SEPSEGGC</t>
  </si>
  <si>
    <t>0522-SEPEPHGC</t>
  </si>
  <si>
    <t>0503-SEPVINVC</t>
  </si>
  <si>
    <t>0537-SEPVINVC</t>
  </si>
  <si>
    <t>0551-SEPCULGC</t>
  </si>
  <si>
    <t>0557-SEPSALGC</t>
  </si>
  <si>
    <t>0500-SEPDECAN</t>
  </si>
  <si>
    <t>0527-SEPNEWAN</t>
  </si>
  <si>
    <t>0529-SEPNEWAN</t>
  </si>
  <si>
    <t>0547-SEPVINVC</t>
  </si>
  <si>
    <t>0548-SEPINFGC</t>
  </si>
  <si>
    <t>0559-SEPINFAG</t>
  </si>
  <si>
    <t>0556-SEPVINVC</t>
  </si>
  <si>
    <t>0710-OCTINFGC</t>
  </si>
  <si>
    <t>0566-OCTVINVC</t>
  </si>
  <si>
    <t>0546-SEPSEGGC</t>
  </si>
  <si>
    <t>0560-OCTVINVC</t>
  </si>
  <si>
    <t>0558-SEPVINVC</t>
  </si>
  <si>
    <t>0545-SEPSEGGC</t>
  </si>
  <si>
    <t>0577-OCTDHHGC</t>
  </si>
  <si>
    <t>0649-OCTFESGC</t>
  </si>
  <si>
    <t>0555-SEPDECGC</t>
  </si>
  <si>
    <t>0581-OCTINFGC</t>
  </si>
  <si>
    <t>0575-OCTVINVC</t>
  </si>
  <si>
    <t>0576-OCTVINVC</t>
  </si>
  <si>
    <t>0580-OCTVINVC</t>
  </si>
  <si>
    <t>0564-OCTNEWAN</t>
  </si>
  <si>
    <t>0593-OCTJUSGC</t>
  </si>
  <si>
    <t>0579-OCTVINVC</t>
  </si>
  <si>
    <t>0596-OCTINFGC</t>
  </si>
  <si>
    <t>0587-OCTVINVC</t>
  </si>
  <si>
    <t>0583-OCTSEGGC</t>
  </si>
  <si>
    <t>0544-SEPSALGC</t>
  </si>
  <si>
    <t>0601-OCTVINVC</t>
  </si>
  <si>
    <t>0594-OCTSEGGC</t>
  </si>
  <si>
    <t>0598-OCTVINVC</t>
  </si>
  <si>
    <t>0573-OCTSEGGC</t>
  </si>
  <si>
    <t>0603-OCTSALGC</t>
  </si>
  <si>
    <t>0562-OCTCULGC</t>
  </si>
  <si>
    <t>0219-JUNFESGC</t>
  </si>
  <si>
    <t>0572-OCTSEGGC</t>
  </si>
  <si>
    <t>0533-SEPFESGC</t>
  </si>
  <si>
    <t>0597-OCTCULVC</t>
  </si>
  <si>
    <t>0600-OCTVINVC</t>
  </si>
  <si>
    <t>0586-OCTDHHAG</t>
  </si>
  <si>
    <t>0602-OCTVINVC</t>
  </si>
  <si>
    <t>0568-OCTNEWAN</t>
  </si>
  <si>
    <t>0611-OCTSEGGC</t>
  </si>
  <si>
    <t>0604-OCTVINVC</t>
  </si>
  <si>
    <t>0610-OCTTURGC</t>
  </si>
  <si>
    <t>0605-OCTINFVC</t>
  </si>
  <si>
    <t>0620-OCTINFGC</t>
  </si>
  <si>
    <t>0606-OCTVINVC</t>
  </si>
  <si>
    <t>0608-OCTINFGC</t>
  </si>
  <si>
    <t>0609-OCTEDUGC</t>
  </si>
  <si>
    <t>0553-SEPNEWAN</t>
  </si>
  <si>
    <t>0584-OCTINNGC</t>
  </si>
  <si>
    <t>0595-OCTINFGC</t>
  </si>
  <si>
    <t>0621-OCTFESGC</t>
  </si>
  <si>
    <t>0629-OCTCULGC</t>
  </si>
  <si>
    <t>0623-OCTVINVC</t>
  </si>
  <si>
    <t>0624-OCTVINVC</t>
  </si>
  <si>
    <t>0612-OCTCULGC</t>
  </si>
  <si>
    <t>0631-OCTTURGC</t>
  </si>
  <si>
    <t>0627-OCTVINVC</t>
  </si>
  <si>
    <t>0636-OCTTURGC</t>
  </si>
  <si>
    <t>0630-OCTVINVC</t>
  </si>
  <si>
    <t>0652-OCTEPHCG</t>
  </si>
  <si>
    <t>0308-JULEPHCG</t>
  </si>
  <si>
    <t>0582-OCTINNGC</t>
  </si>
  <si>
    <t>0650-OCTVINVC</t>
  </si>
  <si>
    <t>0651-OCTVINVC</t>
  </si>
  <si>
    <t>0664-OCTINFGC</t>
  </si>
  <si>
    <t>0653-OCTVINVC</t>
  </si>
  <si>
    <t>0617-OCTINFGC</t>
  </si>
  <si>
    <t>0660-OCTSALGC</t>
  </si>
  <si>
    <t>0665-OCTINFGC</t>
  </si>
  <si>
    <t>0668-NOVINFGC</t>
  </si>
  <si>
    <t>0613-OCTSALGC</t>
  </si>
  <si>
    <t>0667-NOVSEGGC</t>
  </si>
  <si>
    <t>0684-NOVVINVC</t>
  </si>
  <si>
    <t>0689-NOVINFGC</t>
  </si>
  <si>
    <t>0607-OCTCULGC</t>
  </si>
  <si>
    <t>0672-NOVVINVC</t>
  </si>
  <si>
    <t>0655-OCTBPUGC</t>
  </si>
  <si>
    <t>0673-NOVVINVC</t>
  </si>
  <si>
    <t>0654-OCTPCCVC</t>
  </si>
  <si>
    <t>0670-NOVEDUGC</t>
  </si>
  <si>
    <t>0626-OCTNEWAN</t>
  </si>
  <si>
    <t>0705-NOVINFGC</t>
  </si>
  <si>
    <t>0676-NOVVINVC</t>
  </si>
  <si>
    <t>0683-NOVEPHGC</t>
  </si>
  <si>
    <t>0678-NOVTURGC</t>
  </si>
  <si>
    <t>0692-NOVVINVC</t>
  </si>
  <si>
    <t>0693-NOVVINVC</t>
  </si>
  <si>
    <t>0686-NOVEDUAN</t>
  </si>
  <si>
    <t>0715-NOVVINVC</t>
  </si>
  <si>
    <t>0666-OCTFESGC</t>
  </si>
  <si>
    <t>0691-NOVVINVC</t>
  </si>
  <si>
    <t>0708-NOVVINVC</t>
  </si>
  <si>
    <t>0714-NOVVINVC</t>
  </si>
  <si>
    <t>0599-NOVINFVC</t>
  </si>
  <si>
    <t>0720-NOVINFGC</t>
  </si>
  <si>
    <t>0719-NOVINFGC</t>
  </si>
  <si>
    <t>0701-NOVEPHGC</t>
  </si>
  <si>
    <t>0702-NOVEPHGC</t>
  </si>
  <si>
    <t>0716-NOVVINVC</t>
  </si>
  <si>
    <t>0713-NOVVINVC</t>
  </si>
  <si>
    <t>0571-OCTBPUGC</t>
  </si>
  <si>
    <t>0634-OCTNEWAN</t>
  </si>
  <si>
    <t>0674-NOVFESGC</t>
  </si>
  <si>
    <t>0703-NOVEPHGC</t>
  </si>
  <si>
    <t>0723-NOVTURGC</t>
  </si>
  <si>
    <t>0794-NOVINFGC</t>
  </si>
  <si>
    <t>0728-NOVVINVC</t>
  </si>
  <si>
    <t>0731-NOVVINVC</t>
  </si>
  <si>
    <t>0694-NOVEDUGC</t>
  </si>
  <si>
    <t>0740-NOVEPHGC</t>
  </si>
  <si>
    <t>0685-NOVDUDGC</t>
  </si>
  <si>
    <t>0745-NOVINFGC</t>
  </si>
  <si>
    <t>0744-NOVINFGC</t>
  </si>
  <si>
    <t>0752-NOVNEWCJ</t>
  </si>
  <si>
    <t>0759-NOVNEWCJ</t>
  </si>
  <si>
    <t>0747-NOVDHHGC</t>
  </si>
  <si>
    <t>0733-NOVVINVC</t>
  </si>
  <si>
    <t>0717-NOVEPHGC</t>
  </si>
  <si>
    <t>0677-NOVTURGC</t>
  </si>
  <si>
    <t>0810-DICEPHGC</t>
  </si>
  <si>
    <t>0772-NOVVINVC</t>
  </si>
  <si>
    <t>0767-NOVVINVC</t>
  </si>
  <si>
    <t>0774-NOVVINVC</t>
  </si>
  <si>
    <t>0771-NOVVINVC</t>
  </si>
  <si>
    <t>0769-NOVVINVC</t>
  </si>
  <si>
    <t>0757-NOVVINVC</t>
  </si>
  <si>
    <t>0753-NOVINFGC</t>
  </si>
  <si>
    <t>0782-DICINFGC</t>
  </si>
  <si>
    <t>0786-NOVBPUGC</t>
  </si>
  <si>
    <t>0776-NOVNEWAN</t>
  </si>
  <si>
    <t>0775-NOVNEWAN</t>
  </si>
  <si>
    <t>0791-NOVVINVC</t>
  </si>
  <si>
    <t>0751-NOVSEGGC</t>
  </si>
  <si>
    <t>0798-DICVINVC</t>
  </si>
  <si>
    <t>0788-NOVVINVC</t>
  </si>
  <si>
    <t>0797-DICVINVC</t>
  </si>
  <si>
    <t>0792-NOVVINVC</t>
  </si>
  <si>
    <t>0789-NOVVINVC</t>
  </si>
  <si>
    <t>0812-DICVINVC</t>
  </si>
  <si>
    <t>0780-NOVINFGC</t>
  </si>
  <si>
    <t>0807-DICINFGC</t>
  </si>
  <si>
    <t>0804-DICINFGC</t>
  </si>
  <si>
    <t>0811-DICSEGGC</t>
  </si>
  <si>
    <t>0803-DICVINVC</t>
  </si>
  <si>
    <t>0802-DICNEWAN</t>
  </si>
  <si>
    <t>0758-NOVSCGGC</t>
  </si>
  <si>
    <t>0819-DICINFGC</t>
  </si>
  <si>
    <t>0820-DICVINVC</t>
  </si>
  <si>
    <t>0814-DICVINVC</t>
  </si>
  <si>
    <t>0742-NOVFESGC</t>
  </si>
  <si>
    <t>0832-DICEPHGC</t>
  </si>
  <si>
    <t>0827-DICVINVC</t>
  </si>
  <si>
    <t>0821-DICINFGC</t>
  </si>
  <si>
    <t>0825-DICEPHGC</t>
  </si>
  <si>
    <t>0841-DICFESAG</t>
  </si>
  <si>
    <t>0835-DICTURGC</t>
  </si>
  <si>
    <t>0836-DICSEGAG</t>
  </si>
  <si>
    <t>0824-DICNEWAN</t>
  </si>
  <si>
    <t>0850-DICDHHGC</t>
  </si>
  <si>
    <t>0852-DICSALGC</t>
  </si>
  <si>
    <t>0851-DICVINGC</t>
  </si>
  <si>
    <t>0845-DICINFGC</t>
  </si>
  <si>
    <t>0837-DICDHHAG</t>
  </si>
  <si>
    <t>0856-DICEPHGC</t>
  </si>
  <si>
    <t>0842-DICVINVC</t>
  </si>
  <si>
    <t>0828-DICEPHGC</t>
  </si>
  <si>
    <t>0857-DICINFGC</t>
  </si>
  <si>
    <t>0866-DICINFGC</t>
  </si>
  <si>
    <t>0865-DICEPHGC</t>
  </si>
  <si>
    <t>1578-JULPCCVC</t>
  </si>
  <si>
    <t>1944-SEPPCCVC</t>
  </si>
  <si>
    <t>1014-MARCULGC</t>
  </si>
  <si>
    <t>1390-JUNPCCVC</t>
  </si>
  <si>
    <t>0867-DICVINVC</t>
  </si>
  <si>
    <t>1802-AGOVINGC</t>
  </si>
  <si>
    <t>1506-JULVINGC</t>
  </si>
  <si>
    <t>1936-SEPVINGC</t>
  </si>
  <si>
    <t>1748-AGOVINGC</t>
  </si>
  <si>
    <t>1747-AGOVINGC</t>
  </si>
  <si>
    <t>1505-JULVINGC</t>
  </si>
  <si>
    <t>1707-AGOVINGC</t>
  </si>
  <si>
    <t>1801-AGOVINGC</t>
  </si>
  <si>
    <t>1622-JULVINGC</t>
  </si>
  <si>
    <t>1623-JULVINGC</t>
  </si>
  <si>
    <t>1624-JULVINGC</t>
  </si>
  <si>
    <t>1138-ABRVINGC</t>
  </si>
  <si>
    <t>1139-ABRVINGC</t>
  </si>
  <si>
    <t>1176-ABRVINGC</t>
  </si>
  <si>
    <t>1175-ABRVINGC</t>
  </si>
  <si>
    <t>1177-ABRVINGC</t>
  </si>
  <si>
    <t>1178-ABRVINGC</t>
  </si>
  <si>
    <t>1195-ABRVINGC</t>
  </si>
  <si>
    <t>1196-ABRVINGC</t>
  </si>
  <si>
    <t>1229-ABRVINGC</t>
  </si>
  <si>
    <t>1228-ABRVINGC</t>
  </si>
  <si>
    <t>1230-ABRVINGC</t>
  </si>
  <si>
    <t>1273-MAYVINGC</t>
  </si>
  <si>
    <t>1274-MAYVINGC</t>
  </si>
  <si>
    <t>1275-MAYVINGC</t>
  </si>
  <si>
    <t>1276-MAYVINGC</t>
  </si>
  <si>
    <t>1313-MAYVINGC</t>
  </si>
  <si>
    <t>1314-MAYVINGC</t>
  </si>
  <si>
    <t>1315-MAYVINGC</t>
  </si>
  <si>
    <t>1316-MAYVINGC</t>
  </si>
  <si>
    <t>1664-JULVINGC</t>
  </si>
  <si>
    <t>1665-JULVINGC</t>
  </si>
  <si>
    <t>1666-JULVINGC</t>
  </si>
  <si>
    <t>1803-AGOVINGC</t>
  </si>
  <si>
    <t>1375-JUNVINGC</t>
  </si>
  <si>
    <t>1804-AGOVINGC</t>
  </si>
  <si>
    <t>1937-SEPVINGC</t>
  </si>
  <si>
    <t>1848-AGOVINGC</t>
  </si>
  <si>
    <t>1935-SEPVINGC</t>
  </si>
  <si>
    <t>1478-JUNVINGC</t>
  </si>
  <si>
    <t>1480-JUNVINGC</t>
  </si>
  <si>
    <t>0933-FEBNEWAN</t>
  </si>
  <si>
    <t>1535-JULVINGC</t>
  </si>
  <si>
    <t>1708-AGOVINGC</t>
  </si>
  <si>
    <t>1507-JULVINGC</t>
  </si>
  <si>
    <t>1560-JULVINGC</t>
  </si>
  <si>
    <t>0981-FEBSEGGC</t>
  </si>
  <si>
    <t>1849-AGOVINGC</t>
  </si>
  <si>
    <t>1850-AGOVINGC</t>
  </si>
  <si>
    <t>1423-JUNPCCVC</t>
  </si>
  <si>
    <t>1515-JULSALAG</t>
  </si>
  <si>
    <t>1534-JULVINGC</t>
  </si>
  <si>
    <t>0980-FEBSALGC</t>
  </si>
  <si>
    <t>1227-ABRVINGC</t>
  </si>
  <si>
    <t>1028-MARFESFO</t>
  </si>
  <si>
    <t>0679-NOVSALGC</t>
  </si>
  <si>
    <t>2024-SEPJDGAG</t>
  </si>
  <si>
    <t>2057-OCTJDGAG</t>
  </si>
  <si>
    <t>2120-OCTJDGAG</t>
  </si>
  <si>
    <t>0863-DICSALGC</t>
  </si>
  <si>
    <t>1185-ABRINFGC</t>
  </si>
  <si>
    <t>1878-AGOJDGAG</t>
  </si>
  <si>
    <t>0883-ENEPCCVC</t>
  </si>
  <si>
    <t>1706-AGOPCCVC</t>
  </si>
  <si>
    <t>1993-SEPSEGGC</t>
  </si>
  <si>
    <t>0966-FEBEDUGC</t>
  </si>
  <si>
    <t>1155-ABRNEWAN</t>
  </si>
  <si>
    <t>0955-FEBNEWAG</t>
  </si>
  <si>
    <t>1157-ABRDHHGC</t>
  </si>
  <si>
    <t>1551-JULEDUGC</t>
  </si>
  <si>
    <t>1186-ABRSALGC</t>
  </si>
  <si>
    <t>0926-ENEVINVC</t>
  </si>
  <si>
    <t>0781-NOVINFGC</t>
  </si>
  <si>
    <t>0844-DICINFGC</t>
  </si>
  <si>
    <t>0872-ENENEWAN</t>
  </si>
  <si>
    <t>0848-DICVINVC</t>
  </si>
  <si>
    <t>1131-ABRSEGGC</t>
  </si>
  <si>
    <t>1223-ABRPCCVC</t>
  </si>
  <si>
    <t>1770-AGOJDGAG</t>
  </si>
  <si>
    <t>1812-AGOJDGAG</t>
  </si>
  <si>
    <t>1814-AGOJDGAG</t>
  </si>
  <si>
    <t>1939-SEPJDGAG</t>
  </si>
  <si>
    <t>2119-OCTJDGAG</t>
  </si>
  <si>
    <t>1564-JULPCCAG</t>
  </si>
  <si>
    <t>1565-JULPCCAG</t>
  </si>
  <si>
    <t>1689-JULJDGAG</t>
  </si>
  <si>
    <t>1734-AGOJDGAG</t>
  </si>
  <si>
    <t>1877-AGOJDGAG</t>
  </si>
  <si>
    <t>1957-SEPJDGAG</t>
  </si>
  <si>
    <t>2022-SEPJDGAG</t>
  </si>
  <si>
    <t>0914-ENEJUSCG</t>
  </si>
  <si>
    <t>1833-AGOSEGVC</t>
  </si>
  <si>
    <t>1040-MAREPHGC</t>
  </si>
  <si>
    <t>1519-JULSEGGC</t>
  </si>
  <si>
    <t>1428-JUNEDUGC</t>
  </si>
  <si>
    <t>1338-MAYINNGC</t>
  </si>
  <si>
    <t>1361-MAYINFAG</t>
  </si>
  <si>
    <t>1366-MAYEPHVC</t>
  </si>
  <si>
    <t>1458-JUNEMEGC</t>
  </si>
  <si>
    <t>1538-JULINFGC</t>
  </si>
  <si>
    <t>1713-AGOINFGC</t>
  </si>
  <si>
    <t>1187-ABRSALGC</t>
  </si>
  <si>
    <t>2009-SEPSEGVC</t>
  </si>
  <si>
    <t>1971-SEPHYFGC</t>
  </si>
  <si>
    <t>1053-MARINFGC</t>
  </si>
  <si>
    <t>1054-MARINFGC</t>
  </si>
  <si>
    <t>0919-ENENEWAN</t>
  </si>
  <si>
    <t>1160-ABRINFGC</t>
  </si>
  <si>
    <t>1651-JULJDGAG</t>
  </si>
  <si>
    <t>1811-AGOJDGAG</t>
  </si>
  <si>
    <t>1815-AGOJDGAG</t>
  </si>
  <si>
    <t>1984-SEPJDGAG</t>
  </si>
  <si>
    <t>1995-SEPJDGAG</t>
  </si>
  <si>
    <t>2023-SEPJDGAG</t>
  </si>
  <si>
    <t>2055-OCTJDGAG</t>
  </si>
  <si>
    <t>1605-JULJDGAG</t>
  </si>
  <si>
    <t>1600-JULJDGAG</t>
  </si>
  <si>
    <t>1692-JULJDGAG</t>
  </si>
  <si>
    <t>1766-AGOJDGAG</t>
  </si>
  <si>
    <t>1768-AGOJDGAG</t>
  </si>
  <si>
    <t>1769-AGOJDGAG</t>
  </si>
  <si>
    <t>1876-AGOJDGAG</t>
  </si>
  <si>
    <t>1955-SEPJDGAG</t>
  </si>
  <si>
    <t>2056-OCTJDGAG</t>
  </si>
  <si>
    <t>1687-JULJDGAG</t>
  </si>
  <si>
    <t>1879-AGOJDGAG</t>
  </si>
  <si>
    <t>1926-SEPJDGAG</t>
  </si>
  <si>
    <t>1940-SEPJDGAG</t>
  </si>
  <si>
    <t>1813-AGOJDGAG</t>
  </si>
  <si>
    <t>1671-JULJDGAG</t>
  </si>
  <si>
    <t>1956-SEPJDGAG</t>
  </si>
  <si>
    <t>1657-JULJDGAG</t>
  </si>
  <si>
    <t>1690-JULJDGAG</t>
  </si>
  <si>
    <t>1691-JULJDGAG</t>
  </si>
  <si>
    <t>1730-AGOJDGAG</t>
  </si>
  <si>
    <t>1731-AGOJDGAG</t>
  </si>
  <si>
    <t>1733-AGOJDGAG</t>
  </si>
  <si>
    <t>1732-AGOJDGAG</t>
  </si>
  <si>
    <t>1771-AGOJDGAG</t>
  </si>
  <si>
    <t>1670-JULJDGAG</t>
  </si>
  <si>
    <t>1688-JULJDGAG</t>
  </si>
  <si>
    <t>1650-JULJDGAG</t>
  </si>
  <si>
    <t>1019-MARDECGC</t>
  </si>
  <si>
    <t>0973-FEBEDUGC</t>
  </si>
  <si>
    <t>0899-ENEDECGC</t>
  </si>
  <si>
    <t>0975-FEBINFGC</t>
  </si>
  <si>
    <t>1599-JULJDGAG</t>
  </si>
  <si>
    <t>1598-JULJDGAG</t>
  </si>
  <si>
    <t>1649-JULJDGAG</t>
  </si>
  <si>
    <t>1574-JULPCCAG</t>
  </si>
  <si>
    <t>1563-JULPCCAG</t>
  </si>
  <si>
    <t>1595-JULJDGAG</t>
  </si>
  <si>
    <t>0942-FEBNEWAN</t>
  </si>
  <si>
    <t>1880-AGOJDGAG</t>
  </si>
  <si>
    <t>1998-SEPVINGC</t>
  </si>
  <si>
    <t>1440-JUNINFAG</t>
  </si>
  <si>
    <t>1831-AGOPCCVC</t>
  </si>
  <si>
    <t>1921-SEPAMBGC</t>
  </si>
  <si>
    <t>0895-ENEINNGC</t>
  </si>
  <si>
    <t>1327-MAYEMEGC</t>
  </si>
  <si>
    <t>0886-ENEINFGC</t>
  </si>
  <si>
    <t>1345-MAYINFGC</t>
  </si>
  <si>
    <t>1566-JULINFGC</t>
  </si>
  <si>
    <t>1904-SEPINFGC</t>
  </si>
  <si>
    <t>1965-SEPPCCVC</t>
  </si>
  <si>
    <t>0995-FEBPCCVC</t>
  </si>
  <si>
    <t>1225-ABRPCCVC</t>
  </si>
  <si>
    <t>1351-MAYPCCVC</t>
  </si>
  <si>
    <t>1165-ABRPCCVC</t>
  </si>
  <si>
    <t>1767-AGOJDGAG</t>
  </si>
  <si>
    <t>1776-AGOAMBVC</t>
  </si>
  <si>
    <t>1254-ABRSALGC</t>
  </si>
  <si>
    <t>1638-JULVINVC</t>
  </si>
  <si>
    <t>1644-JULSALVC</t>
  </si>
  <si>
    <t>1163-ABRPCCVC</t>
  </si>
  <si>
    <t>1282-MAYPCCVC</t>
  </si>
  <si>
    <t>1714-AGOPCCVC</t>
  </si>
  <si>
    <t>1722-AGOJDGVC</t>
  </si>
  <si>
    <t>1153-ABRPCCVC</t>
  </si>
  <si>
    <t>0969-FEBEPHGC</t>
  </si>
  <si>
    <t>1703-JULEPHGC</t>
  </si>
  <si>
    <t>1784-AGOEPHGC</t>
  </si>
  <si>
    <t>1886-AGOINFVC</t>
  </si>
  <si>
    <t>1145-ABREPHGC</t>
  </si>
  <si>
    <t>1741-AGOEPHGC</t>
  </si>
  <si>
    <t>1677-JULVINVC</t>
  </si>
  <si>
    <t>1556-JULTURGC</t>
  </si>
  <si>
    <t>1633-JULTURGC</t>
  </si>
  <si>
    <t>1729-AGOTURGC</t>
  </si>
  <si>
    <t>2040-SEPTURGC</t>
  </si>
  <si>
    <t>1792-AGOSALGC</t>
  </si>
  <si>
    <t>1783-AGOSALGC</t>
  </si>
  <si>
    <t>1742-AGOSALGC</t>
  </si>
  <si>
    <t>1252-ABRPCCVC</t>
  </si>
  <si>
    <t>1255-ABRPCCVC</t>
  </si>
  <si>
    <t>1208-ABRVINVC</t>
  </si>
  <si>
    <t>1994-SEPPCCVC</t>
  </si>
  <si>
    <t>1810-AGOSALCG</t>
  </si>
  <si>
    <t>0879-ENEVINVC</t>
  </si>
  <si>
    <t>0956-FEBTURGC</t>
  </si>
  <si>
    <t>1025-MARDECFO</t>
  </si>
  <si>
    <t>0874-ENEINFGC</t>
  </si>
  <si>
    <t>1537-JULPCCVC</t>
  </si>
  <si>
    <t>1079-MARDHHGC</t>
  </si>
  <si>
    <t>1052-MARDHHGC</t>
  </si>
  <si>
    <t>Falta ID</t>
  </si>
  <si>
    <t>1279-MAYSALGC</t>
  </si>
  <si>
    <t>1289-MAYSALGC</t>
  </si>
  <si>
    <t>1372-MAYSALGC</t>
  </si>
  <si>
    <t>1396-JUNSALGC</t>
  </si>
  <si>
    <t>1405-JUNSALGC</t>
  </si>
  <si>
    <t>1408-JUNSALGC</t>
  </si>
  <si>
    <t>2006-SEPSALGC</t>
  </si>
  <si>
    <t>1972-SEPSALGC</t>
  </si>
  <si>
    <t>1552-JULSALGC</t>
  </si>
  <si>
    <t>2098-OCTSALGC</t>
  </si>
  <si>
    <t>1897-SEPSALGC</t>
  </si>
  <si>
    <t>1882-AGOSALGC</t>
  </si>
  <si>
    <t>1927-SEPSALGC</t>
  </si>
  <si>
    <t>2132-OCTSALGC</t>
  </si>
  <si>
    <t>1581-JULSALGC</t>
  </si>
  <si>
    <t>2065-OCTSALGC</t>
  </si>
  <si>
    <t>2110-OCTSALGC</t>
  </si>
  <si>
    <t>1032-MARTURGC</t>
  </si>
  <si>
    <t>1197-ABRTURGC</t>
  </si>
  <si>
    <t>1201-ABRTURGC</t>
  </si>
  <si>
    <t>1312-MAYTURGC</t>
  </si>
  <si>
    <t>1323-MAYTURGC</t>
  </si>
  <si>
    <t>1362-MAYTURGC</t>
  </si>
  <si>
    <t>1421-JUNTURGC</t>
  </si>
  <si>
    <t>1449-JUNTURGC</t>
  </si>
  <si>
    <t>1465-JUNTURGC</t>
  </si>
  <si>
    <t>1697-JULTURGC</t>
  </si>
  <si>
    <t>2167-OCTTURGC</t>
  </si>
  <si>
    <t>1495-JUNTURGC</t>
  </si>
  <si>
    <t>1549-JULTURGC</t>
  </si>
  <si>
    <t>0954-FEBTURGC</t>
  </si>
  <si>
    <t>1051-MARTURGC</t>
  </si>
  <si>
    <t>1146-ABRTURGC</t>
  </si>
  <si>
    <t>1796-AGOTURGC</t>
  </si>
  <si>
    <t>1992-SEPTURGC</t>
  </si>
  <si>
    <t>2140-OCTTURGC</t>
  </si>
  <si>
    <t>2038-SEPTURGC</t>
  </si>
  <si>
    <t>0869-ENESALGC</t>
  </si>
  <si>
    <t>0882-ENESALGC</t>
  </si>
  <si>
    <t>1092-MARSALGC</t>
  </si>
  <si>
    <t>1113-MARSALGC</t>
  </si>
  <si>
    <t>1121-ABRSALGC</t>
  </si>
  <si>
    <t>1048-MARSALGC</t>
  </si>
  <si>
    <t>1161-ABRSALGC</t>
  </si>
  <si>
    <t>1097-MARSALGC</t>
  </si>
  <si>
    <t>1122-ABRSALGC</t>
  </si>
  <si>
    <t>1241-ABRSALGC</t>
  </si>
  <si>
    <t>2146-OCTSALGC</t>
  </si>
  <si>
    <t>0968-FEBTURGC</t>
  </si>
  <si>
    <t>1073-MAREPHGC</t>
  </si>
  <si>
    <t>1061-MAREPHGC</t>
  </si>
  <si>
    <t>1082-MARPCCVC</t>
  </si>
  <si>
    <t>2070-OCTSECGC</t>
  </si>
  <si>
    <t>1324-MAYPCCVC</t>
  </si>
  <si>
    <t>0962-FEBPCCVC</t>
  </si>
  <si>
    <t>1365-MAYPCCVC</t>
  </si>
  <si>
    <t>1136-ABRPCCVC</t>
  </si>
  <si>
    <t>2031-SEPINFGC</t>
  </si>
  <si>
    <t>2015-SEPSEGVC</t>
  </si>
  <si>
    <t>0996-FEBPCCVC</t>
  </si>
  <si>
    <t>1529-JULPCCVC</t>
  </si>
  <si>
    <t>1894-SEPPCCVC</t>
  </si>
  <si>
    <t>2066-OCTPCCVC</t>
  </si>
  <si>
    <t>1236-ABRPCCVC</t>
  </si>
  <si>
    <t>2155-OCTSEGGC</t>
  </si>
  <si>
    <t>1953-SEPSALVC</t>
  </si>
  <si>
    <t>2016-SEPSEGVC</t>
  </si>
  <si>
    <t>1517-JULPCCVC</t>
  </si>
  <si>
    <t>1159-ABRPCCVC</t>
  </si>
  <si>
    <t>2097-OCTSALGC</t>
  </si>
  <si>
    <t>2052-OCTEDUVC</t>
  </si>
  <si>
    <t>2156-OCTJDGVC</t>
  </si>
  <si>
    <t>1235-ABRPCCVC</t>
  </si>
  <si>
    <t>1106-MARPCCVC</t>
  </si>
  <si>
    <t>1059-MARPCCVC</t>
  </si>
  <si>
    <t>2127-OCTAMBVC</t>
  </si>
  <si>
    <t>0921-ENEJUSAG</t>
  </si>
  <si>
    <t>0951-FEBPCCVC</t>
  </si>
  <si>
    <t>1070-MARJUSGC</t>
  </si>
  <si>
    <t>2081-OCTJDGAG</t>
  </si>
  <si>
    <t>0927-FEBVINVC</t>
  </si>
  <si>
    <t>0945-FEBSALGC</t>
  </si>
  <si>
    <t>1049-MARSALGC</t>
  </si>
  <si>
    <t>1067-MARSALGC</t>
  </si>
  <si>
    <t>0940-FEBSALGC</t>
  </si>
  <si>
    <t>1853-AGOPCCVC</t>
  </si>
  <si>
    <t>1202-ABREPHGC</t>
  </si>
  <si>
    <t>1334-MAYDECGC</t>
  </si>
  <si>
    <t>2079-OCTPCCVC</t>
  </si>
  <si>
    <t>2007-SEPHYFGC</t>
  </si>
  <si>
    <t>0896-ENEINFGC</t>
  </si>
  <si>
    <t>2074-OCTVINGC</t>
  </si>
  <si>
    <t>0898-ENEFESGC</t>
  </si>
  <si>
    <t>2075-OCTVINGC</t>
  </si>
  <si>
    <t>2073-OCTVINGC</t>
  </si>
  <si>
    <t>2077-OCTVINGC</t>
  </si>
  <si>
    <t>2076-OCTVINGC</t>
  </si>
  <si>
    <t>2078-OCTVINGC</t>
  </si>
  <si>
    <t>2106-OCTVINGC</t>
  </si>
  <si>
    <t>1329-MAYVINGC</t>
  </si>
  <si>
    <t>1330-MAYVINGC</t>
  </si>
  <si>
    <t>1331-MAYVINGC</t>
  </si>
  <si>
    <t>1332-MAYVINGC</t>
  </si>
  <si>
    <t>1959-SEPINFGC</t>
  </si>
  <si>
    <t>2062-OCTINFGC</t>
  </si>
  <si>
    <t>2067-OCTINFGC</t>
  </si>
  <si>
    <t>1890-SEPVINGC</t>
  </si>
  <si>
    <t>1355-MAYVINGC</t>
  </si>
  <si>
    <t>1356-MAYVINGC</t>
  </si>
  <si>
    <t>1357-MAYVINGC</t>
  </si>
  <si>
    <t>1359-MAYVINGC</t>
  </si>
  <si>
    <t>1889-SEPVINGC</t>
  </si>
  <si>
    <t>1892-SEPVINGC</t>
  </si>
  <si>
    <t>1891-SEPVINGC</t>
  </si>
  <si>
    <t>1376-JUNVINGC</t>
  </si>
  <si>
    <t>1448-JUNVINGC</t>
  </si>
  <si>
    <t>1400-JUNVINGC</t>
  </si>
  <si>
    <t>1401-JUNVINGC</t>
  </si>
  <si>
    <t>2036-SEPVINGC</t>
  </si>
  <si>
    <t>2035-SEPVINGC</t>
  </si>
  <si>
    <t>2027-SEPCULGC</t>
  </si>
  <si>
    <t>1533-JULVINGC</t>
  </si>
  <si>
    <t>2085-OCTINFGC</t>
  </si>
  <si>
    <t>1951-SEPINFGC</t>
  </si>
  <si>
    <t>2159-OCTVINGC</t>
  </si>
  <si>
    <t>2122-OCTINFGC</t>
  </si>
  <si>
    <t>1754-AGOFESGC</t>
  </si>
  <si>
    <t>2105-OCTVINGC</t>
  </si>
  <si>
    <t>2104-OCTVINGC</t>
  </si>
  <si>
    <t>2107-OCTVINGC</t>
  </si>
  <si>
    <t>1805-AGOINFGC</t>
  </si>
  <si>
    <t>1958-SEPINFGC</t>
  </si>
  <si>
    <t>0846-DICSEGGC</t>
  </si>
  <si>
    <t>1841-AGOINFGC</t>
  </si>
  <si>
    <t>1922-SEPINFGC</t>
  </si>
  <si>
    <t>2032-SEPAMBGC</t>
  </si>
  <si>
    <t>1845-AGOSALGC</t>
  </si>
  <si>
    <t>1795-AGOPCCVC</t>
  </si>
  <si>
    <t>1903-SEPCULGC</t>
  </si>
  <si>
    <t>1425-JUNINFGC</t>
  </si>
  <si>
    <t>1488-JUNINFGC</t>
  </si>
  <si>
    <t>1414-JUNINFGC</t>
  </si>
  <si>
    <t>2113-OCTINFVC</t>
  </si>
  <si>
    <t>2136-OCTINFGC</t>
  </si>
  <si>
    <t>1189-ABRCULAG</t>
  </si>
  <si>
    <t>1550-JULINFGC</t>
  </si>
  <si>
    <t>1199-ABRSALAG</t>
  </si>
  <si>
    <t>2168-OCTINFGC</t>
  </si>
  <si>
    <t>1582-JULPCCVC</t>
  </si>
  <si>
    <t>0880-ENEVINVC</t>
  </si>
  <si>
    <t>1586-JULINFGC</t>
  </si>
  <si>
    <t>2000-SEPSALGC</t>
  </si>
  <si>
    <t>0920-ENEVINGC</t>
  </si>
  <si>
    <t>1066-MARDECGC</t>
  </si>
  <si>
    <t>1434-JUNINFAG</t>
  </si>
  <si>
    <t>1392-JUNSALAG</t>
  </si>
  <si>
    <t>1900-SEPINFGC</t>
  </si>
  <si>
    <t>1873-AGOINFVC</t>
  </si>
  <si>
    <t>2005-SEPSEGGC</t>
  </si>
  <si>
    <t>0902-ENENEWAN</t>
  </si>
  <si>
    <t>2171-OCTSEGGC</t>
  </si>
  <si>
    <t>1907-SEPINFGC</t>
  </si>
  <si>
    <t>2037-SEPINFGC</t>
  </si>
  <si>
    <t>2141-OCTSEGGC</t>
  </si>
  <si>
    <t>1973-SEPINFGC</t>
  </si>
  <si>
    <t>1652-JULFESGC</t>
  </si>
  <si>
    <t>0979-FEBNEWAN</t>
  </si>
  <si>
    <t>1870-AGOINFGC</t>
  </si>
  <si>
    <t>2003-SEPVINGC</t>
  </si>
  <si>
    <t>1755-AGOVINGC</t>
  </si>
  <si>
    <t>1752-AGOEPHGC</t>
  </si>
  <si>
    <t>1751-AGOEPHGC</t>
  </si>
  <si>
    <t>1753-AGOEPHGC</t>
  </si>
  <si>
    <t>1445-JUNVINGC</t>
  </si>
  <si>
    <t>1446-JUNVINGC</t>
  </si>
  <si>
    <t>0949-FEBEPHGC</t>
  </si>
  <si>
    <t>2160-OCTVINGC</t>
  </si>
  <si>
    <t>2161-OCTVINGC</t>
  </si>
  <si>
    <t>2162-OCTVINGC</t>
  </si>
  <si>
    <t>1010-MAREPHGC</t>
  </si>
  <si>
    <t>1001-FEBEPHGC</t>
  </si>
  <si>
    <t>1561-JULVINGC</t>
  </si>
  <si>
    <t>1559-JULVINGC</t>
  </si>
  <si>
    <t>0885-ENESEGGC</t>
  </si>
  <si>
    <t>1872-AGOSALGC</t>
  </si>
  <si>
    <t>2198-OCTSEGGC</t>
  </si>
  <si>
    <t>1432-JUNSALAG</t>
  </si>
  <si>
    <t>2064-OCTEPHGC</t>
  </si>
  <si>
    <t>2030-SEPSEGGC</t>
  </si>
  <si>
    <t>1675-JULSEGGC</t>
  </si>
  <si>
    <t>1673-JULSEGGC</t>
  </si>
  <si>
    <t>0922-ENECULGC</t>
  </si>
  <si>
    <t>1799-AGOSEGGC</t>
  </si>
  <si>
    <t>1974-SEPSEGGC</t>
  </si>
  <si>
    <t>1837-AGOSEGGC</t>
  </si>
  <si>
    <t>1893-SEPSEGGC</t>
  </si>
  <si>
    <t>2034-SEPSEGGC</t>
  </si>
  <si>
    <t>2090-OCTSEGGC</t>
  </si>
  <si>
    <t>1674-JULSEGGC</t>
  </si>
  <si>
    <t>1941-SEPSEGGC</t>
  </si>
  <si>
    <t>1950-SEPEPHGC</t>
  </si>
  <si>
    <t>1158-ABRINFGC</t>
  </si>
  <si>
    <t>0891-ENEEPHGC</t>
  </si>
  <si>
    <t>0947-FEBEPHGC</t>
  </si>
  <si>
    <t>1184-ABRCULGC</t>
  </si>
  <si>
    <t>0892-ENEPCCVC</t>
  </si>
  <si>
    <t>0917-ENEEPHGC</t>
  </si>
  <si>
    <t>0916-ENEEPHGC</t>
  </si>
  <si>
    <t>0843-DICINFGC</t>
  </si>
  <si>
    <t>1969-SEPVINGC</t>
  </si>
  <si>
    <t>1968-SEPVINGC</t>
  </si>
  <si>
    <t>1967-SEPVINGC</t>
  </si>
  <si>
    <t>1966-SEPVINGC</t>
  </si>
  <si>
    <t>2029-SEPPCCVC</t>
  </si>
  <si>
    <t>1963-SEPPCCVC</t>
  </si>
  <si>
    <t>1258-ABRSEGAG</t>
  </si>
  <si>
    <t>1377-JUNVINGC</t>
  </si>
  <si>
    <t>1447-JUNVINGC</t>
  </si>
  <si>
    <t>1378-JUNVINGC</t>
  </si>
  <si>
    <t>1379-JUNVINGC</t>
  </si>
  <si>
    <t>1604-JULFESGC</t>
  </si>
  <si>
    <t>1283-MAYINFGC</t>
  </si>
  <si>
    <t>2158-OCTVINGC</t>
  </si>
  <si>
    <t>0875-ENEINFGC</t>
  </si>
  <si>
    <t>1099-MARINFGC</t>
  </si>
  <si>
    <t>1168-ABRINFGC</t>
  </si>
  <si>
    <t>1056-MARINFGC</t>
  </si>
  <si>
    <t>1071-MARNEWAN</t>
  </si>
  <si>
    <t>1091-MARINFAN</t>
  </si>
  <si>
    <t>0870-ENEEPHGC</t>
  </si>
  <si>
    <t>0450-AGOINFGC</t>
  </si>
  <si>
    <t>0918-ENEEPHGC</t>
  </si>
  <si>
    <t>1307-MAYINFGC</t>
  </si>
  <si>
    <t>1335-MAYINFGC</t>
  </si>
  <si>
    <t>1426-JUNINFGC</t>
  </si>
  <si>
    <t>1539-JULINFGC</t>
  </si>
  <si>
    <t>1553-JULINFGC</t>
  </si>
  <si>
    <t>1456-JUNINFGC</t>
  </si>
  <si>
    <t>1487-JUNINFGC</t>
  </si>
  <si>
    <t>1898-SEPINFGC</t>
  </si>
  <si>
    <t>1224-ABRINFCG</t>
  </si>
  <si>
    <t>1540-JULINFGC</t>
  </si>
  <si>
    <t>1699-JULINFGC</t>
  </si>
  <si>
    <t>1483-JUNINFGC</t>
  </si>
  <si>
    <t>1562-JULINFGC</t>
  </si>
  <si>
    <t>1261-ABRINFGC</t>
  </si>
  <si>
    <t>1482-JUNINFGC</t>
  </si>
  <si>
    <t>1808-AGOINFGC</t>
  </si>
  <si>
    <t>1977-SEPINFGC</t>
  </si>
  <si>
    <t>1739-AGOINFGC</t>
  </si>
  <si>
    <t>1386-JUNINFGC</t>
  </si>
  <si>
    <t>1352-MAYINFGC</t>
  </si>
  <si>
    <t>1126-ABRINFGC</t>
  </si>
  <si>
    <t>1830-AGOINFGC</t>
  </si>
  <si>
    <t>1749-AGOSEGGC</t>
  </si>
  <si>
    <t>1089-MARNEWAN</t>
  </si>
  <si>
    <t>1453-JUNPCCVC</t>
  </si>
  <si>
    <t>2144-OCTPCCVC</t>
  </si>
  <si>
    <t>2054-OCTJDGVC</t>
  </si>
  <si>
    <t>2041-SEPJUSGC</t>
  </si>
  <si>
    <t>1370-MAYFESGC</t>
  </si>
  <si>
    <t>1200-ABRPCCVC</t>
  </si>
  <si>
    <t>1555-JULPCCAG</t>
  </si>
  <si>
    <t>1461-JUNDHHGC</t>
  </si>
  <si>
    <t>1919-SEPPCCVC</t>
  </si>
  <si>
    <t>1663-JULSALVC</t>
  </si>
  <si>
    <t>1775-AGOAMBVC</t>
  </si>
  <si>
    <t>1791-AGOJUSVC</t>
  </si>
  <si>
    <t>1790-AGOAMBVC</t>
  </si>
  <si>
    <t>1788-AGOSALVC</t>
  </si>
  <si>
    <t>1817-AGOVINVC</t>
  </si>
  <si>
    <t>1793-AGODECVC</t>
  </si>
  <si>
    <t>1764-AGOJDGVC</t>
  </si>
  <si>
    <t>1827-AGOEDUVC</t>
  </si>
  <si>
    <t>1821-AGOJUSVC</t>
  </si>
  <si>
    <t>1923-SEPJDGVC</t>
  </si>
  <si>
    <t>1930-SEPHYFVC</t>
  </si>
  <si>
    <t>1925-SEPCULVC</t>
  </si>
  <si>
    <t>1938-SEPCULVC</t>
  </si>
  <si>
    <t>1914-SEPJUSVC</t>
  </si>
  <si>
    <t>1911-SEPJUSVC</t>
  </si>
  <si>
    <t>1916-SEPINFVC</t>
  </si>
  <si>
    <t>1915-SEPJDGVC</t>
  </si>
  <si>
    <t>2149-OCTJDGAG</t>
  </si>
  <si>
    <t>1970-SEPAMBVC</t>
  </si>
  <si>
    <t>0911-ENESEGVC</t>
  </si>
  <si>
    <t>1060-MARSEGVC</t>
  </si>
  <si>
    <t>1659-JULJDGVC</t>
  </si>
  <si>
    <t>1616-JULJDGVC</t>
  </si>
  <si>
    <t>1654-JULJDGVC</t>
  </si>
  <si>
    <t>1660-JULJUSVC</t>
  </si>
  <si>
    <t>1668-JULPCCVC</t>
  </si>
  <si>
    <t>1679-JULJUSVC</t>
  </si>
  <si>
    <t>1726-AGODECVC</t>
  </si>
  <si>
    <t>1716-AGOINFVC</t>
  </si>
  <si>
    <t>1728-AGOCULVC</t>
  </si>
  <si>
    <t>1735-AGOJDGAG</t>
  </si>
  <si>
    <t>1757-AGOVINVC</t>
  </si>
  <si>
    <t>1773-AGOSALVC</t>
  </si>
  <si>
    <t>1774-AGODECVC</t>
  </si>
  <si>
    <t>1777-AGODECVC</t>
  </si>
  <si>
    <t>1781-AGODECVC</t>
  </si>
  <si>
    <t>1778-AGODECVC</t>
  </si>
  <si>
    <t>1758-AGOJDGVC</t>
  </si>
  <si>
    <t>1763-AGOJDGVC</t>
  </si>
  <si>
    <t>1798-AGOCULVC</t>
  </si>
  <si>
    <t>1819-AGOEPHVC</t>
  </si>
  <si>
    <t>1828-AGODECVC</t>
  </si>
  <si>
    <t>1818-AGOSEGVC</t>
  </si>
  <si>
    <t>1834-AGOEDUVC</t>
  </si>
  <si>
    <t>1824-AGOJUSVC</t>
  </si>
  <si>
    <t>1839-AGODHHVC</t>
  </si>
  <si>
    <t>1825-AGOEPHVC</t>
  </si>
  <si>
    <t>1822-AGOJDGVC</t>
  </si>
  <si>
    <t>1816-AGOJDGAG</t>
  </si>
  <si>
    <t>1836-AGOEDUVC</t>
  </si>
  <si>
    <t>1840-AGOSALVC</t>
  </si>
  <si>
    <t>1875-AGOJDGAG</t>
  </si>
  <si>
    <t>1857-AGOINFVC</t>
  </si>
  <si>
    <t>1856-AGOJUSVC</t>
  </si>
  <si>
    <t>1858-AGOEPHVC</t>
  </si>
  <si>
    <t>1860-AGOJDGVC</t>
  </si>
  <si>
    <t>1859-AGOSEGVC</t>
  </si>
  <si>
    <t>1881-AGOINFVC</t>
  </si>
  <si>
    <t>1861-AGOJDGVC</t>
  </si>
  <si>
    <t>1838-AGOAMBVC</t>
  </si>
  <si>
    <t>1862-AGOJUSVC</t>
  </si>
  <si>
    <t>1884-AGODHHVC</t>
  </si>
  <si>
    <t>1855-AGOCULVC</t>
  </si>
  <si>
    <t>1864-AGOVINVC</t>
  </si>
  <si>
    <t>1867-AGOSEGVC</t>
  </si>
  <si>
    <t>1866-AGOINFVC</t>
  </si>
  <si>
    <t>1918-SEPDECVC</t>
  </si>
  <si>
    <t>1917-SEPEDUVC</t>
  </si>
  <si>
    <t>1909-SEPEPHVC</t>
  </si>
  <si>
    <t>1865-AGOJDGVC</t>
  </si>
  <si>
    <t>1920-SEPDHHVC</t>
  </si>
  <si>
    <t>1832-AGOAMBVC</t>
  </si>
  <si>
    <t>1932-SEPCULVC</t>
  </si>
  <si>
    <t>1931-SEPDECVC</t>
  </si>
  <si>
    <t>1912-SEPVINVC</t>
  </si>
  <si>
    <t>1913-SEPJDGVC</t>
  </si>
  <si>
    <t>1934-SEPEDUVC</t>
  </si>
  <si>
    <t>1908-SEPDHHVC</t>
  </si>
  <si>
    <t>1961-SEPJDGVC</t>
  </si>
  <si>
    <t>1960-SEPINFVC</t>
  </si>
  <si>
    <t>1962-SEPJDGVC</t>
  </si>
  <si>
    <t>1979-SEPEPHVC</t>
  </si>
  <si>
    <t>1983-SEPCULVC</t>
  </si>
  <si>
    <t>1989-SEPEDUVC</t>
  </si>
  <si>
    <t>1980-SEPJDGVC</t>
  </si>
  <si>
    <t>1986-SEPDHHVC</t>
  </si>
  <si>
    <t>1982-SEPJDGVC</t>
  </si>
  <si>
    <t>1981-SEPVINVC</t>
  </si>
  <si>
    <t>2020-SEPINFVC</t>
  </si>
  <si>
    <t>2025-SEPJDGVC</t>
  </si>
  <si>
    <t>2021-SEPSALVC</t>
  </si>
  <si>
    <t>2013-SEPAMBVC</t>
  </si>
  <si>
    <t>2051-OCTJDGVC</t>
  </si>
  <si>
    <t>2050-OCTVINVC</t>
  </si>
  <si>
    <t>2018-SEPAMBVC</t>
  </si>
  <si>
    <t>2053-OCTEPHVC</t>
  </si>
  <si>
    <t>2047-OCTSEGVC</t>
  </si>
  <si>
    <t>2049-OCTSEGVC</t>
  </si>
  <si>
    <t>2045-OCTDHHVC</t>
  </si>
  <si>
    <t>2087-OCTJDGVC</t>
  </si>
  <si>
    <t>2093-OCTSEGVC</t>
  </si>
  <si>
    <t>2088-OCTJDGVC</t>
  </si>
  <si>
    <t>2102-OCTDECVC</t>
  </si>
  <si>
    <t>2095-OCTAMBGC</t>
  </si>
  <si>
    <t>2125-OCTJDGVC</t>
  </si>
  <si>
    <t>2131-OCTDECVC</t>
  </si>
  <si>
    <t>2096-OCTAMBGC</t>
  </si>
  <si>
    <t>2116-OCTSEGVC</t>
  </si>
  <si>
    <t>2128-OCTDHHVC</t>
  </si>
  <si>
    <t>2123-OCTCULVC</t>
  </si>
  <si>
    <t>2118-OCTSEGVC</t>
  </si>
  <si>
    <t>2117-OCTSEGVC</t>
  </si>
  <si>
    <t>2164-OCTSALVC</t>
  </si>
  <si>
    <t>2148-OCTCULVC</t>
  </si>
  <si>
    <t>2150-OCTJDGAG</t>
  </si>
  <si>
    <t>2152-OCTJDGVC</t>
  </si>
  <si>
    <t>1011-MARSEGVC</t>
  </si>
  <si>
    <t>1721-AGOCULVC</t>
  </si>
  <si>
    <t>1789-AGODECVC</t>
  </si>
  <si>
    <t>1593-JULVINVC</t>
  </si>
  <si>
    <t>1520-JULJDGAG</t>
  </si>
  <si>
    <t>1493-JUNJDGAG</t>
  </si>
  <si>
    <t>1584-JULJDGVC</t>
  </si>
  <si>
    <t>1672-JULJDGVC</t>
  </si>
  <si>
    <t>1618-JULEDUVC</t>
  </si>
  <si>
    <t>1700-JULSALVC</t>
  </si>
  <si>
    <t>1684-JULJDGVC</t>
  </si>
  <si>
    <t>1685-JULJDGVC</t>
  </si>
  <si>
    <t>1683-JULJUSVC</t>
  </si>
  <si>
    <t>1698-JULAMBVC</t>
  </si>
  <si>
    <t>1454-JUNPCCVC</t>
  </si>
  <si>
    <t>1760-AGOINFVC</t>
  </si>
  <si>
    <t>1594-JULJUSVC</t>
  </si>
  <si>
    <t>1615-JULDECVC</t>
  </si>
  <si>
    <t>1610-JULDECVC</t>
  </si>
  <si>
    <t>1626-JULCULVC</t>
  </si>
  <si>
    <t>1613-JULSEGVC</t>
  </si>
  <si>
    <t>1603-JULDHHVC</t>
  </si>
  <si>
    <t>1596-JULJDGVC</t>
  </si>
  <si>
    <t>1597-JULINFVC</t>
  </si>
  <si>
    <t>1607-JULAMBVC</t>
  </si>
  <si>
    <t>1611-JULAMBVC</t>
  </si>
  <si>
    <t>1637-JULEPHVC</t>
  </si>
  <si>
    <t>1640-JULSEGVC</t>
  </si>
  <si>
    <t>1641-JULINFVC</t>
  </si>
  <si>
    <t>1653-JULDECVC</t>
  </si>
  <si>
    <t>1661-JULAMBVC</t>
  </si>
  <si>
    <t>1643-JULVINVC</t>
  </si>
  <si>
    <t>1678-JULEPHVC</t>
  </si>
  <si>
    <t>1681-JULSEGVC</t>
  </si>
  <si>
    <t>1680-JULJDGVC</t>
  </si>
  <si>
    <t>1695-JULDECVC</t>
  </si>
  <si>
    <t>1696-JULDECVC</t>
  </si>
  <si>
    <t>1693-JULAMBVC</t>
  </si>
  <si>
    <t>1720-AGOCULVC</t>
  </si>
  <si>
    <t>1715-AGOINFVC</t>
  </si>
  <si>
    <t>1740-AGOAMBVC</t>
  </si>
  <si>
    <t>1724-AGOSALVC</t>
  </si>
  <si>
    <t>1727-AGODECVC</t>
  </si>
  <si>
    <t>1723-AGOJDGVC</t>
  </si>
  <si>
    <t>1737-AGOCULVC</t>
  </si>
  <si>
    <t>1750-AGOJUSVC</t>
  </si>
  <si>
    <t>1725-AGOAMBVC</t>
  </si>
  <si>
    <t>1736-AGOSEGVC</t>
  </si>
  <si>
    <t>1759-AGOEPHVC</t>
  </si>
  <si>
    <t>1761-AGOEPHVC</t>
  </si>
  <si>
    <t>1765-AGOINFVC</t>
  </si>
  <si>
    <t>2019-SEPJDGVC</t>
  </si>
  <si>
    <t>2010-SEPJDGVC</t>
  </si>
  <si>
    <t>1997-SEPDECVC</t>
  </si>
  <si>
    <t>1985-SEPAMBVC</t>
  </si>
  <si>
    <t>1987-SEPAMBVC</t>
  </si>
  <si>
    <t>2017-SEPSEGVC</t>
  </si>
  <si>
    <t>2046-OCTSEGVC</t>
  </si>
  <si>
    <t>2048-OCTSEGVC</t>
  </si>
  <si>
    <t>2091-OCTSEGVC</t>
  </si>
  <si>
    <t>2094-OCTSEGVC</t>
  </si>
  <si>
    <t>2121-OCTJDGAG</t>
  </si>
  <si>
    <t>2083-OCTPCCVC</t>
  </si>
  <si>
    <t>2089-OCTJDGVC</t>
  </si>
  <si>
    <t>2115-OCTSEGVC</t>
  </si>
  <si>
    <t>1226-ABRPCCVC</t>
  </si>
  <si>
    <t>1820-AGOVINVC</t>
  </si>
  <si>
    <t>1954-SEPAMBVC</t>
  </si>
  <si>
    <t>1094-MARPCCVC</t>
  </si>
  <si>
    <t>1868-AGOAMBVC</t>
  </si>
  <si>
    <t>1910-SEPVINVC</t>
  </si>
  <si>
    <t>1016-MARSALCG</t>
  </si>
  <si>
    <t>0906-ENEDDHGC</t>
  </si>
  <si>
    <t>2026-SEPCULGC</t>
  </si>
  <si>
    <t>1250-ABRINFGC</t>
  </si>
  <si>
    <t>1233-ABRPCCVC</t>
  </si>
  <si>
    <t>1738-AGOFESGC</t>
  </si>
  <si>
    <t>0897-ENEEDUGC</t>
  </si>
  <si>
    <t>1745-AGOPCCVC</t>
  </si>
  <si>
    <t>0997-FEBPCCVC</t>
  </si>
  <si>
    <t>1039-MARPCCVC</t>
  </si>
  <si>
    <t>1172-ABRPCCVC</t>
  </si>
  <si>
    <t>1046-MARPCCVC</t>
  </si>
  <si>
    <t>1393-JUNSALCJ</t>
  </si>
  <si>
    <t>1975-SEPPCCVC</t>
  </si>
  <si>
    <t>1772-AGOPCCVC</t>
  </si>
  <si>
    <t>1579-JULPCCVC</t>
  </si>
  <si>
    <t>1142-ABRFESGC</t>
  </si>
  <si>
    <t>1024-MARPCCVC</t>
  </si>
  <si>
    <t>0909-ENEPCCVC</t>
  </si>
  <si>
    <t>1100-MARFESGC</t>
  </si>
  <si>
    <t>1245-ABREDUGC</t>
  </si>
  <si>
    <t>1588-JULFESGC</t>
  </si>
  <si>
    <t>1431-JUNEDUAG</t>
  </si>
  <si>
    <t>0978-FEBSALGC</t>
  </si>
  <si>
    <t>1711-AGOSALGC</t>
  </si>
  <si>
    <t>1398-JUNFESGC</t>
  </si>
  <si>
    <t>1756-AGOVINGC</t>
  </si>
  <si>
    <t>0847-DICFESGC</t>
  </si>
  <si>
    <t>1883-AGOEDUGC</t>
  </si>
  <si>
    <t>2008-SEPHYFGC</t>
  </si>
  <si>
    <t>1436-JUNPCCVC</t>
  </si>
  <si>
    <t>1397-JUNPCCVC</t>
  </si>
  <si>
    <t>1154-ABRINFGC</t>
  </si>
  <si>
    <t>2012-SEPPCCVC</t>
  </si>
  <si>
    <t>1080-MARNEWAN</t>
  </si>
  <si>
    <t>1129-ABRCULAN</t>
  </si>
  <si>
    <t>1669-JULPCCVC</t>
  </si>
  <si>
    <t>1213-ABRPCCVC</t>
  </si>
  <si>
    <t>0964-FEBDHHGC</t>
  </si>
  <si>
    <t>1988-SEPPCCVC</t>
  </si>
  <si>
    <t>1348-MAYEDUVC</t>
  </si>
  <si>
    <t>1321-MAYEDUVC</t>
  </si>
  <si>
    <t>1209-ABRPCCVC</t>
  </si>
  <si>
    <t>2112-OCTSEGVC</t>
  </si>
  <si>
    <t>2011-SEPPCCVC</t>
  </si>
  <si>
    <t>1237-ABRPCCVC</t>
  </si>
  <si>
    <t>2060-OCTHYFGC</t>
  </si>
  <si>
    <t>1018-MAREDUGC</t>
  </si>
  <si>
    <t>1647-JULDECVC</t>
  </si>
  <si>
    <t>1843-AGODECGC</t>
  </si>
  <si>
    <t>1083-MARPCCVC</t>
  </si>
  <si>
    <t>1087-MARSALAG</t>
  </si>
  <si>
    <t>0935-FEBDHHGC</t>
  </si>
  <si>
    <t>1212-ABRJDGAG</t>
  </si>
  <si>
    <t>1991-SEPHYFGC</t>
  </si>
  <si>
    <t>1058-MARPCCVC</t>
  </si>
  <si>
    <t>0876-ENESEGGC</t>
  </si>
  <si>
    <t>1147-ABRSEGGC</t>
  </si>
  <si>
    <t>1262-MAYSEGGC</t>
  </si>
  <si>
    <t>1363-MAYSEGGC</t>
  </si>
  <si>
    <t>1554-JULSEGGC</t>
  </si>
  <si>
    <t>2111-OCTSEGGC</t>
  </si>
  <si>
    <t>1407-JUNSEGAG</t>
  </si>
  <si>
    <t>1852-AGOVINGC</t>
  </si>
  <si>
    <t>1388-JUNPCCVC</t>
  </si>
  <si>
    <t>2058-OCTHYFGC</t>
  </si>
  <si>
    <t>1057-MARPCCVC</t>
  </si>
  <si>
    <t>1042-MARSEGCG</t>
  </si>
  <si>
    <t>1797-AGOEMECG</t>
  </si>
  <si>
    <t>2069-OCTEMEGC</t>
  </si>
  <si>
    <t>1481-JUNFESGC</t>
  </si>
  <si>
    <t>1521-JULEMEGC</t>
  </si>
  <si>
    <t>1744-AGOINFVC</t>
  </si>
  <si>
    <t>0976-FEBVINVC</t>
  </si>
  <si>
    <t>1590-JULJUSVC</t>
  </si>
  <si>
    <t>1191-ABRPCCVC</t>
  </si>
  <si>
    <t>1522-JULINFGC</t>
  </si>
  <si>
    <t>1135-ABRPCCVC</t>
  </si>
  <si>
    <t>1251-ABRJDGAG</t>
  </si>
  <si>
    <t>1807-AGODECGC</t>
  </si>
  <si>
    <t>1606-JULJDGVC</t>
  </si>
  <si>
    <t>1341-MAYSALGC</t>
  </si>
  <si>
    <t>1192-ABRPCCVC</t>
  </si>
  <si>
    <t>1608-JULFESGC</t>
  </si>
  <si>
    <t>1686-JULJDGVC</t>
  </si>
  <si>
    <t>1078-MARINFAG</t>
  </si>
  <si>
    <t>1543-JULHYFGC</t>
  </si>
  <si>
    <t>1589-JULSALVC</t>
  </si>
  <si>
    <t>2151-OCTJDGAG</t>
  </si>
  <si>
    <t>1298-MAYINFAG</t>
  </si>
  <si>
    <t>1491-JUNINFVC</t>
  </si>
  <si>
    <t>1188-ABRCULGC</t>
  </si>
  <si>
    <t>1945-SEPPCCVC</t>
  </si>
  <si>
    <t>1585-JULINFGC</t>
  </si>
  <si>
    <t>1609-JULHYFVC</t>
  </si>
  <si>
    <t>1050-MARPCCVC</t>
  </si>
  <si>
    <t>1353-MAYSEGAG</t>
  </si>
  <si>
    <t>1592-JULSEGVC</t>
  </si>
  <si>
    <t>1639-JULJDGVC</t>
  </si>
  <si>
    <t>1015-MARDECGC</t>
  </si>
  <si>
    <t>1373-MAYPCCVC</t>
  </si>
  <si>
    <t>1530-JULPCCVC</t>
  </si>
  <si>
    <t>2138-OCTEDUVC</t>
  </si>
  <si>
    <t>1222-ABRJDGAG</t>
  </si>
  <si>
    <t>2082-OCTPCCVC</t>
  </si>
  <si>
    <t>1531-JULPCCVC</t>
  </si>
  <si>
    <t>1347-MAYPCCVC</t>
  </si>
  <si>
    <t>2124-OCTEPHVC</t>
  </si>
  <si>
    <t>0930-FEBDECGC</t>
  </si>
  <si>
    <t>1854-AGODHHGC</t>
  </si>
  <si>
    <t>1325-MAYPCCVC</t>
  </si>
  <si>
    <t>0938-FEBEPHGC</t>
  </si>
  <si>
    <t>1490-JUNPCCVC</t>
  </si>
  <si>
    <t>1466-JUNPCCVC</t>
  </si>
  <si>
    <t>2092-OCTSEGVC</t>
  </si>
  <si>
    <t>1374-MAYEPHVC</t>
  </si>
  <si>
    <t>1090-MAREPHGC</t>
  </si>
  <si>
    <t>1419-JUNINFAG</t>
  </si>
  <si>
    <t>1064-MARPCCVC</t>
  </si>
  <si>
    <t>1194-ABRPCCVC</t>
  </si>
  <si>
    <t>1102-MARJDGAG</t>
  </si>
  <si>
    <t>2126-OCTJDGVC</t>
  </si>
  <si>
    <t>1591-JULEPHVC</t>
  </si>
  <si>
    <t>2163-OCTAMBVC</t>
  </si>
  <si>
    <t>1473-JUNINFGC</t>
  </si>
  <si>
    <t>1648-JULDECVC</t>
  </si>
  <si>
    <t>1130-ABRJDGAG</t>
  </si>
  <si>
    <t>1162-ABRPCCVC</t>
  </si>
  <si>
    <t>2072-OCTEPHGC</t>
  </si>
  <si>
    <t>1190-ABRCULAG</t>
  </si>
  <si>
    <t>1645-JULDHHVC</t>
  </si>
  <si>
    <t>2129-OCTEPHGC</t>
  </si>
  <si>
    <t>1712-AGOINFGC</t>
  </si>
  <si>
    <t>2165-OCTAMBVC</t>
  </si>
  <si>
    <t>0887-ENEINFGC</t>
  </si>
  <si>
    <t>1169-ABRPCCVC</t>
  </si>
  <si>
    <t>1369-MAYINFAG</t>
  </si>
  <si>
    <t>1384-JUNSEGVC</t>
  </si>
  <si>
    <t>1806-AGODECVC</t>
  </si>
  <si>
    <t>2014-SEPSEGVC</t>
  </si>
  <si>
    <t>1179-ABREPHAG</t>
  </si>
  <si>
    <t>1558-JULSEGGC</t>
  </si>
  <si>
    <t>1266-MAYEPHGC</t>
  </si>
  <si>
    <t>1694-JULDECVC</t>
  </si>
  <si>
    <t>1346-MAYINFGC</t>
  </si>
  <si>
    <t>1429-JUNINFGC</t>
  </si>
  <si>
    <t>1780-AGODHHVC</t>
  </si>
  <si>
    <t>1368-MAYEPHGC</t>
  </si>
  <si>
    <t>1676-JULSEGVC</t>
  </si>
  <si>
    <t>2084-OCTPCCVC</t>
  </si>
  <si>
    <t>1512-JULSEGAG</t>
  </si>
  <si>
    <t>1437-JUNPCCVC</t>
  </si>
  <si>
    <t>1620-JULSEGVC</t>
  </si>
  <si>
    <t>2138-ENEEDUVC</t>
  </si>
  <si>
    <t>1350-MAYPCCVC</t>
  </si>
  <si>
    <t>1256-ABREDUGC</t>
  </si>
  <si>
    <t>1128-ABRINFAN</t>
  </si>
  <si>
    <t>1318-MAYPCCVC</t>
  </si>
  <si>
    <t>1439-JUNPCCVC</t>
  </si>
  <si>
    <t>1354-MAYPCCVC</t>
  </si>
  <si>
    <t>1438-JUNPCCVC</t>
  </si>
  <si>
    <t>1120-ABRPCCVC</t>
  </si>
  <si>
    <t>1137-ABRPCCVC</t>
  </si>
  <si>
    <t>0958-FEBSALGC</t>
  </si>
  <si>
    <t>0889-ENEPCCVC</t>
  </si>
  <si>
    <t>2154-OCTJDGVC</t>
  </si>
  <si>
    <t>2137-OCTDECGC</t>
  </si>
  <si>
    <t>2175-OCTEPHGC</t>
  </si>
  <si>
    <t>2190-OCTJDGVC</t>
  </si>
  <si>
    <t>2177-OCTVINGC</t>
  </si>
  <si>
    <t>2176-OCTVINGC</t>
  </si>
  <si>
    <t>2178-OCTVINGC</t>
  </si>
  <si>
    <t>2193-OCTPCCVC</t>
  </si>
  <si>
    <t>2200-OCTEDUVC</t>
  </si>
  <si>
    <t>2188-OCTJDGVC</t>
  </si>
  <si>
    <t>2194-OCTSALGC</t>
  </si>
  <si>
    <t>2196-OCTSALGC</t>
  </si>
  <si>
    <t>2199-OCTINFVC</t>
  </si>
  <si>
    <t>2182-OCTPCCVC</t>
  </si>
  <si>
    <t>2201-OCTDECVC</t>
  </si>
  <si>
    <t>2172-OCTPCCVC</t>
  </si>
  <si>
    <t>2179-OCTVINGC</t>
  </si>
  <si>
    <t>2180-OCTVINGC</t>
  </si>
  <si>
    <t>2208-NOVAMBVC</t>
  </si>
  <si>
    <t>2187-OCTSEGVC</t>
  </si>
  <si>
    <t>2184-OCTPCCVC</t>
  </si>
  <si>
    <t>2186-OCTSEGVC</t>
  </si>
  <si>
    <t>2185-OCTSEGVC</t>
  </si>
  <si>
    <t>2114-OCTSALGC</t>
  </si>
  <si>
    <t>2101-OCTSALGC</t>
  </si>
  <si>
    <t>2192-OCTINFGC</t>
  </si>
  <si>
    <t>2206-NOVSEGGC</t>
  </si>
  <si>
    <t>2173-OCTPCCVC</t>
  </si>
  <si>
    <t>2202-OCTEPHGC</t>
  </si>
  <si>
    <t>2205-OCTTURGC</t>
  </si>
  <si>
    <t>2218-NOVINFGC</t>
  </si>
  <si>
    <t>2184-OCTSEGVC</t>
  </si>
  <si>
    <t>2219-NOVJDGVC</t>
  </si>
  <si>
    <t>2166-OCTINFGC</t>
  </si>
  <si>
    <t>2043-OCTCULGC</t>
  </si>
  <si>
    <t>2229-NOVJDGAG</t>
  </si>
  <si>
    <t>2222-NOVCULVC</t>
  </si>
  <si>
    <t>2237-NOVJDGVC</t>
  </si>
  <si>
    <t>2232-NOVJDGVC</t>
  </si>
  <si>
    <t>2238-NOVINFGC</t>
  </si>
  <si>
    <t>2210-NOVVINGC</t>
  </si>
  <si>
    <t>2211-NOVVINGC</t>
  </si>
  <si>
    <t>2212-NOVVINGC</t>
  </si>
  <si>
    <t>2216-NOVINFGC</t>
  </si>
  <si>
    <t>2174-OCTFESGC</t>
  </si>
  <si>
    <t>2230-NOVJDGAG</t>
  </si>
  <si>
    <t>2233-NOVEPHVC</t>
  </si>
  <si>
    <t>2039-SEPDHHGC</t>
  </si>
  <si>
    <t>2209-NOVSALGC</t>
  </si>
  <si>
    <t>2246-NOVAMBVC</t>
  </si>
  <si>
    <t>2234-NOVVINVC</t>
  </si>
  <si>
    <t>2235-NOVINFVC</t>
  </si>
  <si>
    <t>2231-NOVJDGAG</t>
  </si>
  <si>
    <t>2226-NOVSEGVC</t>
  </si>
  <si>
    <t>2223-NOVSEGVC</t>
  </si>
  <si>
    <t>2221-NOVDECGC</t>
  </si>
  <si>
    <t>220.840‬</t>
  </si>
  <si>
    <t>2247-NOVSEGGC</t>
  </si>
  <si>
    <t>2220-NOVPCCVC</t>
  </si>
  <si>
    <t>2225-NOVSEGVC</t>
  </si>
  <si>
    <t>2224-NOVSEGVC</t>
  </si>
  <si>
    <t>2244-NOVPCCVC</t>
  </si>
  <si>
    <t>2189-OCTINFGC</t>
  </si>
  <si>
    <t>2142-OCTEPHGC</t>
  </si>
  <si>
    <t>2214-NOVVINGC</t>
  </si>
  <si>
    <t>2213-NOVVINGC</t>
  </si>
  <si>
    <t>2236-NOVJDGVC</t>
  </si>
  <si>
    <t>2242-NOVPCCVC</t>
  </si>
  <si>
    <t>2169-OCTAMBGC</t>
  </si>
  <si>
    <t>2217-NOVPCCVC</t>
  </si>
  <si>
    <t>2266-NOVDHHVC</t>
  </si>
  <si>
    <t>2262-NOVJDGVC</t>
  </si>
  <si>
    <t>2281-NOVSEGGC</t>
  </si>
  <si>
    <t>2248-NOVEDUVC</t>
  </si>
  <si>
    <t>2251-NOVVINGC</t>
  </si>
  <si>
    <t>2250-NOVVINGC</t>
  </si>
  <si>
    <t>2249-NOVVINGC</t>
  </si>
  <si>
    <t>2272-NOVJDGAG</t>
  </si>
  <si>
    <t>2278-NOVAMBVC</t>
  </si>
  <si>
    <t>2265-NOVVINVC</t>
  </si>
  <si>
    <t>2264-NOVJDGVC</t>
  </si>
  <si>
    <t>2263-NOVEPHVC</t>
  </si>
  <si>
    <t>2259-NOVPCCVC</t>
  </si>
  <si>
    <t>2253-NOVSALGC</t>
  </si>
  <si>
    <t>2257-NOVINFGC</t>
  </si>
  <si>
    <t>2252-NOVVINGC</t>
  </si>
  <si>
    <t>2274-NOVJDGAG</t>
  </si>
  <si>
    <t>2273-NOVJDGAG</t>
  </si>
  <si>
    <t>2270-NOVSEGVC</t>
  </si>
  <si>
    <t>2267-NOVSEGVC</t>
  </si>
  <si>
    <t>2269-NOVSEGVC</t>
  </si>
  <si>
    <t>72,.423</t>
  </si>
  <si>
    <t>2268-NOVSEGVC</t>
  </si>
  <si>
    <t>2228-NOVTURGC</t>
  </si>
  <si>
    <t>2277-NOVEDUVC</t>
  </si>
  <si>
    <t>2296-NOVINFGC</t>
  </si>
  <si>
    <t>2271-NOVPCCVC</t>
  </si>
  <si>
    <t>2260-NOVPCCVC</t>
  </si>
  <si>
    <t>2283-NOVSEGGC</t>
  </si>
  <si>
    <t>2288-NOVINFGC</t>
  </si>
  <si>
    <t>2295-NOVINFGC</t>
  </si>
  <si>
    <t>2181-OCTFESGC</t>
  </si>
  <si>
    <t>2292-NOVEPHGC</t>
  </si>
  <si>
    <t>2304-NOVJDGVC</t>
  </si>
  <si>
    <t>2307-NOVDECVC</t>
  </si>
  <si>
    <t>2285-NOVVINGC</t>
  </si>
  <si>
    <t>2044-OCTCULGC</t>
  </si>
  <si>
    <t>2309-NOVJDGAG</t>
  </si>
  <si>
    <t>2310-NOVJDGAG</t>
  </si>
  <si>
    <t>2306-NOVAMBVC</t>
  </si>
  <si>
    <t>2301-NOVSEGVC</t>
  </si>
  <si>
    <t>2303-NOVSEGVC</t>
  </si>
  <si>
    <t>2300-NOVSEGVC</t>
  </si>
  <si>
    <t>2312-NOVJDGVC</t>
  </si>
  <si>
    <t>2305-NOVSALGC</t>
  </si>
  <si>
    <t>2298-NOVSALGC</t>
  </si>
  <si>
    <t>2276-NOVPCCVC</t>
  </si>
  <si>
    <t>2282-NOVPCCVC</t>
  </si>
  <si>
    <t>2302-NOVSEGVC</t>
  </si>
  <si>
    <t>2294-NOVPCCVC</t>
  </si>
  <si>
    <t>2207-NOVFESGC</t>
  </si>
  <si>
    <t>2311-NOVJDGAG</t>
  </si>
  <si>
    <t>2314-NOVPCCVC</t>
  </si>
  <si>
    <t>2308-NOVINFGC</t>
  </si>
  <si>
    <t>2315-NOVDHHVC</t>
  </si>
  <si>
    <t>2323-NOVJDGGC</t>
  </si>
  <si>
    <t>2287-NOVVINGC</t>
  </si>
  <si>
    <t>2286-NOVVINGC</t>
  </si>
  <si>
    <t>2316-NOVSALVC</t>
  </si>
  <si>
    <t>2324-NOVTURGC</t>
  </si>
  <si>
    <t>2344-NOVJDGAG</t>
  </si>
  <si>
    <t>2340-NOVEPHVC</t>
  </si>
  <si>
    <t>2369-NOVSEGGC</t>
  </si>
  <si>
    <t>2330-NOVPCCVC</t>
  </si>
  <si>
    <t>2342-NOVJDGVC</t>
  </si>
  <si>
    <t>2325-NOVVINGC</t>
  </si>
  <si>
    <t>2326-NOVVINGC</t>
  </si>
  <si>
    <t>2343-NOVEDUVC</t>
  </si>
  <si>
    <t>2345-NOVJDGAG</t>
  </si>
  <si>
    <t>2335-NOVCULVC</t>
  </si>
  <si>
    <t>2341-NOVINFVC</t>
  </si>
  <si>
    <t>2332-NOVPCCVC</t>
  </si>
  <si>
    <t>2331-NOVINFGC</t>
  </si>
  <si>
    <t>2284-NOVSALGC</t>
  </si>
  <si>
    <t>2334-NOVTURGC</t>
  </si>
  <si>
    <t>2339-NOVSEGVC</t>
  </si>
  <si>
    <t>2337-NOVSEGVC</t>
  </si>
  <si>
    <t>2336-NOVSEGVC</t>
  </si>
  <si>
    <t>2299-NOVFESGC</t>
  </si>
  <si>
    <t>2350-NOVINFGC</t>
  </si>
  <si>
    <t>2328-NOVVINGC</t>
  </si>
  <si>
    <t>2338-NOVSEGVC</t>
  </si>
  <si>
    <t>2321-NOVTURGC</t>
  </si>
  <si>
    <t>2317-NOVDECGC</t>
  </si>
  <si>
    <t>2327-NOVVINGC</t>
  </si>
  <si>
    <t>2360-DICJDGVC</t>
  </si>
  <si>
    <t>2354-NOVPCCVC</t>
  </si>
  <si>
    <t>2351-NOVVINGC</t>
  </si>
  <si>
    <t>2364-DICSALGC</t>
  </si>
  <si>
    <t>2381-DICINFGC</t>
  </si>
  <si>
    <t>2352-NOVPCCVC</t>
  </si>
  <si>
    <t>2258-NOVFESGC</t>
  </si>
  <si>
    <t>2383-DICSEGGC</t>
  </si>
  <si>
    <t>2366-DICSALGC</t>
  </si>
  <si>
    <t>2361-DICINFGC</t>
  </si>
  <si>
    <t>2355-NOVPCCVC</t>
  </si>
  <si>
    <t>2357-DICVINGC</t>
  </si>
  <si>
    <t>2365-DICSALGC</t>
  </si>
  <si>
    <t>2375-DICAMBVC</t>
  </si>
  <si>
    <t>2378-DICJDGAG</t>
  </si>
  <si>
    <t>2377-DICJDGAG</t>
  </si>
  <si>
    <t>2376-DICVINVC</t>
  </si>
  <si>
    <t>2373-DICSEGVC</t>
  </si>
  <si>
    <t>2370-DICCULVC</t>
  </si>
  <si>
    <t>2374-DICSEGVC</t>
  </si>
  <si>
    <t>2372-DICSEGVC</t>
  </si>
  <si>
    <t>2353-NOVPCCVC</t>
  </si>
  <si>
    <t>2367-DICPCCVC</t>
  </si>
  <si>
    <t>2380-DICINFGC</t>
  </si>
  <si>
    <t>2371-DICSEGVC</t>
  </si>
  <si>
    <t>2349-NOVPCCVC</t>
  </si>
  <si>
    <t>2358-DICVINGC</t>
  </si>
  <si>
    <t>2393-DICVINGC</t>
  </si>
  <si>
    <t>2359-DICVINGC</t>
  </si>
  <si>
    <t>2388-DICJDGVC</t>
  </si>
  <si>
    <t>2363-DICPCCVC</t>
  </si>
  <si>
    <t>2368-DICPCCVC</t>
  </si>
  <si>
    <t>2362-DICPCCVC</t>
  </si>
  <si>
    <t>2386-DICINFGC</t>
  </si>
  <si>
    <t>2143-OCTJDGGC</t>
  </si>
  <si>
    <t>2379-DICJDGAG</t>
  </si>
  <si>
    <t>2404-DICEPHVC</t>
  </si>
  <si>
    <t>2387-DICINFGC</t>
  </si>
  <si>
    <t>2391-DICVINGC</t>
  </si>
  <si>
    <t>2390-DICVINGC</t>
  </si>
  <si>
    <t>2289-NOVFESGC</t>
  </si>
  <si>
    <t>2411-DICJDGAG</t>
  </si>
  <si>
    <t>2417-DICSEGGC</t>
  </si>
  <si>
    <t>2405-DICDHHVC</t>
  </si>
  <si>
    <t>2399-DICSEGVC</t>
  </si>
  <si>
    <t>2408-DICINFVC</t>
  </si>
  <si>
    <t>2416-DICEDUVC</t>
  </si>
  <si>
    <t>2280-NOVEPHGC</t>
  </si>
  <si>
    <t>2394-DICSEGGC</t>
  </si>
  <si>
    <t>2414-DICTURGC</t>
  </si>
  <si>
    <t>2409-DICSALVC</t>
  </si>
  <si>
    <t>2398-DICSEGVC</t>
  </si>
  <si>
    <t>2403-DICSEGVC</t>
  </si>
  <si>
    <t>2397-DICSEGVC</t>
  </si>
  <si>
    <t>2396-DICSEGVC</t>
  </si>
  <si>
    <t>2392-DICVINGC</t>
  </si>
  <si>
    <t>2419-DICJDGVC</t>
  </si>
  <si>
    <t>2402-DICSEGVC</t>
  </si>
  <si>
    <t>2401-DICSEGVC</t>
  </si>
  <si>
    <t>2400-DICSEGVC</t>
  </si>
  <si>
    <t>2356-DICEPHGC</t>
  </si>
  <si>
    <t>2421-DICINFGC</t>
  </si>
  <si>
    <t>2422-DICINFGC</t>
  </si>
  <si>
    <t>2389-DICSALGC</t>
  </si>
  <si>
    <t>2432-DICJDGCJ</t>
  </si>
  <si>
    <t>2442-DICINFGC</t>
  </si>
  <si>
    <t>2427-DICSALGC</t>
  </si>
  <si>
    <t>2440-DICSEGGC</t>
  </si>
  <si>
    <t>2449-DICPCCVC</t>
  </si>
  <si>
    <t>2448-DICPCCVC</t>
  </si>
  <si>
    <t>2455-ENEDHHGC</t>
  </si>
  <si>
    <t>2684-MARJDGVC</t>
  </si>
  <si>
    <t>2694-MARJDGAG</t>
  </si>
  <si>
    <t>2764-MARJDGVC</t>
  </si>
  <si>
    <t>2876-FEBEDUVC</t>
  </si>
  <si>
    <t>2905-ABRJDGAG</t>
  </si>
  <si>
    <t>2997-MAYJDGAG</t>
  </si>
  <si>
    <t>3033-MAYJDGAG</t>
  </si>
  <si>
    <t>3127-MAYJDGAG</t>
  </si>
  <si>
    <t>3133-JUNJDGAG</t>
  </si>
  <si>
    <t>1475-JUNDDHFO</t>
  </si>
  <si>
    <t>3338-JULVINGC</t>
  </si>
  <si>
    <t>3244-JUNFESGC</t>
  </si>
  <si>
    <t>3357-JULCULVC</t>
  </si>
  <si>
    <t>3347-JULJDGAG</t>
  </si>
  <si>
    <t>3366-JULEPHVC</t>
  </si>
  <si>
    <t>3344-JULVINGC</t>
  </si>
  <si>
    <t>3345-JULVINGC</t>
  </si>
  <si>
    <t>3374-JULEDUGC</t>
  </si>
  <si>
    <t>3385-JULVINGC</t>
  </si>
  <si>
    <t>3393-JULVINGC</t>
  </si>
  <si>
    <t>3394-JULVINGC</t>
  </si>
  <si>
    <t>3396-JULVINGC</t>
  </si>
  <si>
    <t>3395-JULVINGC</t>
  </si>
  <si>
    <t>3397-JULVINGC</t>
  </si>
  <si>
    <t>3398-JULVINGC</t>
  </si>
  <si>
    <t>3392-JULVINGC</t>
  </si>
  <si>
    <t>3386-JULVINGC</t>
  </si>
  <si>
    <t>Audiencia</t>
  </si>
  <si>
    <t>Llamados
Realizados</t>
  </si>
  <si>
    <t>Llamados
Atendidos</t>
  </si>
  <si>
    <t>Escucharon
 +75%</t>
  </si>
  <si>
    <t>Marque 1</t>
  </si>
  <si>
    <t>1249-ABRINFAG</t>
  </si>
  <si>
    <t>1248-ABREPHAG</t>
  </si>
  <si>
    <t>1272-MAYSEGAG</t>
  </si>
  <si>
    <t>0495-SEPSALGC</t>
  </si>
  <si>
    <t>1851-AGOVINGC</t>
  </si>
  <si>
    <t>2004-SEPVINGC</t>
  </si>
  <si>
    <t>ID Cuentas</t>
  </si>
  <si>
    <t>Base enviada</t>
  </si>
  <si>
    <t>Base barrida</t>
  </si>
  <si>
    <t>Contactados</t>
  </si>
  <si>
    <t>Efectivos</t>
  </si>
  <si>
    <t>0002-DICEDUGC</t>
  </si>
  <si>
    <t>0001-DICSALGC</t>
  </si>
  <si>
    <t>0009-ENEVINGC</t>
  </si>
  <si>
    <t>0003-DICSECGC</t>
  </si>
  <si>
    <t>0004-DICEPHGC</t>
  </si>
  <si>
    <t>0015-ENESALGC</t>
  </si>
  <si>
    <t>0045-MARSALGC</t>
  </si>
  <si>
    <t>0028-FEBSEGGC</t>
  </si>
  <si>
    <t>0145-MAYVINVC</t>
  </si>
  <si>
    <t>0162-JUNSEGVC</t>
  </si>
  <si>
    <t>0163-JUNSEGVC</t>
  </si>
  <si>
    <t>0187-JUNVINVC</t>
  </si>
  <si>
    <t>0196-JUNVINVC</t>
  </si>
  <si>
    <t>0201-JUNVINVC</t>
  </si>
  <si>
    <t>0220-JUNVINVC</t>
  </si>
  <si>
    <t>0229-JUNVINVC</t>
  </si>
  <si>
    <t>0240-JULVINVC</t>
  </si>
  <si>
    <t>0294-JULVINVC</t>
  </si>
  <si>
    <t>0298-JULVINVC</t>
  </si>
  <si>
    <t>0306-JULVINVC</t>
  </si>
  <si>
    <t>0305-JULVINVC</t>
  </si>
  <si>
    <t>0313-JULVINVC</t>
  </si>
  <si>
    <t>0319-JULVINVC</t>
  </si>
  <si>
    <t>0322-JULVINVC</t>
  </si>
  <si>
    <t>0323-JULVINVC</t>
  </si>
  <si>
    <t>0345-JULVINVC</t>
  </si>
  <si>
    <t>0325-JULVINVC</t>
  </si>
  <si>
    <t>0334-JULVINVC</t>
  </si>
  <si>
    <t>0338-JULVINVC</t>
  </si>
  <si>
    <t>0243-JULVINVC</t>
  </si>
  <si>
    <t>0365-AGOVINVC</t>
  </si>
  <si>
    <t>0378-AGOVINVC</t>
  </si>
  <si>
    <t>0381-AGOVINVC</t>
  </si>
  <si>
    <t>0470-SEPVINVC</t>
  </si>
  <si>
    <t>0506-SEPSECVC</t>
  </si>
  <si>
    <t>0534-SEPVINVC</t>
  </si>
  <si>
    <t>0530-SEPVINVC</t>
  </si>
  <si>
    <t>0569-OCTVINVC</t>
  </si>
  <si>
    <t>0614-OCTVINVC</t>
  </si>
  <si>
    <t>0622-OCTSALVC</t>
  </si>
  <si>
    <t>0690-NOVVINVC</t>
  </si>
  <si>
    <t>0718-NOVVINVC</t>
  </si>
  <si>
    <t>0730-NOVVINVC</t>
  </si>
  <si>
    <t>0741-NOVVINVC</t>
  </si>
  <si>
    <t>0783-NOVVINVC</t>
  </si>
  <si>
    <t>0784-NOVVINVC</t>
  </si>
  <si>
    <t>0793-DICVINVC</t>
  </si>
  <si>
    <t>0808-DICVINVC</t>
  </si>
  <si>
    <t>0801-DICVINVC</t>
  </si>
  <si>
    <t>0910-ENEVINVC</t>
  </si>
  <si>
    <t>0946-FEBVINVC</t>
  </si>
  <si>
    <t>0950-FEBPCCVC</t>
  </si>
  <si>
    <t>0991-FEBJDGGC</t>
  </si>
  <si>
    <t>1022-MARVINGC</t>
  </si>
  <si>
    <t>1077-MARPCCVC</t>
  </si>
  <si>
    <t>1012-MARJUSGC</t>
  </si>
  <si>
    <t>1284-MAYPCCVC</t>
  </si>
  <si>
    <t>1337-MAYPCCVC</t>
  </si>
  <si>
    <t>1383-JUNPCCVC</t>
  </si>
  <si>
    <t>1387-JUNPCCVC</t>
  </si>
  <si>
    <t>1498-JUNPCCVC</t>
  </si>
  <si>
    <t>1528-JULPCCVC</t>
  </si>
  <si>
    <t>1542-JULPCCAG</t>
  </si>
  <si>
    <t>1627-JULDECVC</t>
  </si>
  <si>
    <t>1612-JULDHHVC</t>
  </si>
  <si>
    <t>1762-AGOJUSVC</t>
  </si>
  <si>
    <t>1780-AGOSALVC</t>
  </si>
  <si>
    <t>1823-AGOINFVC</t>
  </si>
  <si>
    <t>1863-AGOJDGVC</t>
  </si>
  <si>
    <t>2153-OCTINFVC</t>
  </si>
  <si>
    <t>2346-NOVJDGAG</t>
  </si>
  <si>
    <t>2438-DICEMECG</t>
  </si>
  <si>
    <t>2655-FEBJDGAG</t>
  </si>
  <si>
    <t>2691-MAREDUVC</t>
  </si>
  <si>
    <t>2779-MAREPHVC</t>
  </si>
  <si>
    <t>2802-MARJDGAG</t>
  </si>
  <si>
    <t>3191-JUNJDGVC</t>
  </si>
  <si>
    <t>3217-JUNJDGAG</t>
  </si>
  <si>
    <t>Id cuentas</t>
  </si>
  <si>
    <t>Plataforma</t>
  </si>
  <si>
    <t>Impresiones</t>
  </si>
  <si>
    <t>Visualizaciones</t>
  </si>
  <si>
    <t>Meta</t>
  </si>
  <si>
    <t>Red de Atención - Comuna 2</t>
  </si>
  <si>
    <t>Infraestructura | Cierre Estación Loria Línea A</t>
  </si>
  <si>
    <t>2415-DICINFGC</t>
  </si>
  <si>
    <t>INFRAESTRUCTURA | Cortes y Desvíos del finde 13 y 14 Dic</t>
  </si>
  <si>
    <t>RDV JM | Caballito 17/12</t>
  </si>
  <si>
    <t>TikTok</t>
  </si>
  <si>
    <t>Twitter</t>
  </si>
  <si>
    <t>Google ads</t>
  </si>
  <si>
    <t>DV360</t>
  </si>
  <si>
    <t>Inauguración Estación Amigable</t>
  </si>
  <si>
    <t>Cancelada</t>
  </si>
  <si>
    <t>2514-ENEINFGJ</t>
  </si>
  <si>
    <t>2671-FEBJDGVC</t>
  </si>
  <si>
    <t>RDV MINISTROS | GABRIEL SÁNCHEZ ZINNY 9/3 VILLA REAL</t>
  </si>
  <si>
    <t>RDV JM 13/3 VÉLEZ SARSFIELD</t>
  </si>
  <si>
    <t>RDV MINISTROS | MERCEDES MIGUEL 10/3 COMUNA 13</t>
  </si>
  <si>
    <t>RDV MINISTROS | GABRIEL SÁNCHEZ ZINNY 28/3 SAN CRISTÓBAL</t>
  </si>
  <si>
    <t>RDV JM | 10/4 BALVANERA</t>
  </si>
  <si>
    <t>RDV Mercedes Miguel 22/4 comuna 15</t>
  </si>
  <si>
    <t>RDV JM | 24/4 BALVANERA</t>
  </si>
  <si>
    <t>RDV JM TEMÁTICA | TE CUENTO BS AS 14/05 ORDEN PÚBLICO EJE SUR</t>
  </si>
  <si>
    <t>3069-MAYJDGAG</t>
  </si>
  <si>
    <t>1 A 1 JM | Comuna 7 27/05</t>
  </si>
  <si>
    <t>RDV JM | 5/6 Agronomía</t>
  </si>
  <si>
    <t>3179-JUNJDGAG</t>
  </si>
  <si>
    <t>1 A 1 JM | 17/6 COMUNA 8 17/6</t>
  </si>
  <si>
    <t>3198-JUNJDGAG</t>
  </si>
  <si>
    <t>1 A 1 JM | COMUNA 11 17/6</t>
  </si>
  <si>
    <t>3261-JUNJDGAG</t>
  </si>
  <si>
    <t>1 A 1 JM | COMUNA 11 | 3/7</t>
  </si>
  <si>
    <t>TE CUENTO BS AS JM | 21/7 ORDEN PÚBLICO EJE NORTE</t>
  </si>
  <si>
    <t>Vacaciones de Invierno | Afters BA 24 hs</t>
  </si>
  <si>
    <t>RDV Ministros | Gabriela Ricardes 20/7 Comuna 8</t>
  </si>
  <si>
    <t>RDV MINISTROS | IGNACIO BAISTROCCHI 22/7 COMUNA 11</t>
  </si>
  <si>
    <t>REVISAR</t>
  </si>
  <si>
    <t>Talento Tech: inscripción</t>
  </si>
  <si>
    <t>3389-JULJDGAG</t>
  </si>
  <si>
    <t>1 A 1 JM | 29/7 NUEVA POMPEYA</t>
  </si>
  <si>
    <t>Mercado Libre</t>
  </si>
  <si>
    <t>3390-JULJDGAG</t>
  </si>
  <si>
    <t>1 A 1 JM | 31/7 Almagro</t>
  </si>
  <si>
    <t>Alcance</t>
  </si>
  <si>
    <t>Frecuencia</t>
  </si>
  <si>
    <t>Dellepiane</t>
  </si>
  <si>
    <t>Red de Atención en Comuna 14</t>
  </si>
  <si>
    <t>Obras en parques y plazas</t>
  </si>
  <si>
    <t>Sistema de Salud</t>
  </si>
  <si>
    <t>Seguridad en subte</t>
  </si>
  <si>
    <t>Cortes y desvíos por eventos</t>
  </si>
  <si>
    <t>La Ciudad más linda del mundo</t>
  </si>
  <si>
    <t>ECVs Jorge Macri</t>
  </si>
  <si>
    <t>Reels Experiencias BA</t>
  </si>
  <si>
    <t>Red de Atención en Comuna 2</t>
  </si>
  <si>
    <t>Verano en la Ciudad</t>
  </si>
  <si>
    <t>TUMO</t>
  </si>
  <si>
    <t>Recuperación de propiedades</t>
  </si>
  <si>
    <t>Estaciones de subte</t>
  </si>
  <si>
    <t>Estaciones amigables</t>
  </si>
  <si>
    <t>Cortes y desvíos por obras</t>
  </si>
  <si>
    <t>Trambús</t>
  </si>
  <si>
    <t>PBN | Inicio, durante o fin de obra</t>
  </si>
  <si>
    <t>Líneas de colectivo</t>
  </si>
  <si>
    <t>Cambio de sentido de calles</t>
  </si>
  <si>
    <t>Más servicios en tu barrio</t>
  </si>
  <si>
    <t>Obras en hospitales</t>
  </si>
  <si>
    <t>ECVs Ignacio Baistrocchi</t>
  </si>
  <si>
    <t>ECVs Gabriel Sánchez Zinny</t>
  </si>
  <si>
    <t>ECVs Gabino Tapia</t>
  </si>
  <si>
    <t>ECVs Ruth Landerreche</t>
  </si>
  <si>
    <t>ECVs Maximiliano Piñeiro</t>
  </si>
  <si>
    <t>ECVs Horacio Giménez</t>
  </si>
  <si>
    <t>ECVs Gabriel Mraida</t>
  </si>
  <si>
    <t>ECVs Ezequiel Sabor</t>
  </si>
  <si>
    <t>ECVs Mercedes Miguel</t>
  </si>
  <si>
    <t>CESACs</t>
  </si>
  <si>
    <t>ECVs Gabriela Ricardes</t>
  </si>
  <si>
    <t>ECVs Fernán Quirós</t>
  </si>
  <si>
    <t>Convivencia</t>
  </si>
  <si>
    <t>ECVs Pablo Bereciartua</t>
  </si>
  <si>
    <t>Recuperación de espacios públicos</t>
  </si>
  <si>
    <t>ECVs Clara Muzzio</t>
  </si>
  <si>
    <t>Megaoperativo motochorros PDLC</t>
  </si>
  <si>
    <t>Puesta en valor calles y avenidas</t>
  </si>
  <si>
    <t>ECVs Hernán Lombardi</t>
  </si>
  <si>
    <t>Área Cuentas</t>
  </si>
  <si>
    <t>Proyecto</t>
  </si>
  <si>
    <t>Nombre campaña | Cuentas</t>
  </si>
  <si>
    <t>Calles y avenidas | Inicio, durante o fin de obra</t>
  </si>
  <si>
    <t>Suscripciones</t>
  </si>
  <si>
    <t>Experiencias BA</t>
  </si>
  <si>
    <t>Encuentros temáticos</t>
  </si>
  <si>
    <t>Pascuas en la Ciudad 2026</t>
  </si>
  <si>
    <t>Recorrido Obras Hospitales</t>
  </si>
  <si>
    <t>Uno a uno</t>
  </si>
  <si>
    <t>AGIP (ABL)</t>
  </si>
  <si>
    <t>Programas de acompañamiento y adopción</t>
  </si>
  <si>
    <t>Vacunación</t>
  </si>
  <si>
    <t>Otros | Inicio, durante o fin de obra</t>
  </si>
  <si>
    <t>Grandes generadores</t>
  </si>
  <si>
    <t>Francisco Quintana</t>
  </si>
  <si>
    <t>Primera Persona</t>
  </si>
  <si>
    <t>Linda</t>
  </si>
  <si>
    <t>Prioridad porteña</t>
  </si>
  <si>
    <t>BA Celebra</t>
  </si>
  <si>
    <t>90 años Obelisco</t>
  </si>
  <si>
    <t>Tormenta negra</t>
  </si>
  <si>
    <t>Sorteos Linda</t>
  </si>
  <si>
    <t>Orden y seguridad</t>
  </si>
  <si>
    <t>Barrios a la carta</t>
  </si>
  <si>
    <t>Mundial 2026</t>
  </si>
  <si>
    <t>BA Capital del deporte</t>
  </si>
  <si>
    <t xml:space="preserve">Sorteos </t>
  </si>
  <si>
    <t>Avenidas Porteñas</t>
  </si>
  <si>
    <t>Always On</t>
  </si>
  <si>
    <t>Vacaciones de invierno 2026</t>
  </si>
  <si>
    <t>Nombre ok</t>
  </si>
  <si>
    <t>Nombre digital</t>
  </si>
  <si>
    <t>Alcance unificado</t>
  </si>
  <si>
    <t>Agenda Hospital Santojanni - Nueva Guardia Pediatrica</t>
  </si>
  <si>
    <t>2025 | Agosto | Meta | 18 | Reach | Salud | Agenda Hospital Santojanni - Nueva Guardia Pediatrica</t>
  </si>
  <si>
    <t>facebook</t>
  </si>
  <si>
    <t>2025 | Agosto | Meta | 18 | Clics | Salud | Agenda Hospital Santojanni - Nueva Guardia Pediatrica</t>
  </si>
  <si>
    <t>Mas servicios en tu barrio 2025</t>
  </si>
  <si>
    <t>2025 | Agosto | Meta | 15 | Clics | Vinculo Ciudadano | Mas servicios en tu barrio 2025</t>
  </si>
  <si>
    <t>Operativo anti trapitos en River - San Lorenzo</t>
  </si>
  <si>
    <t>2025 | Agosto | Meta | 29 | Views | Seguridad | Operativo anti trapitos en River - San Lorenzo</t>
  </si>
  <si>
    <t>instagram</t>
  </si>
  <si>
    <t>Evento Dia del Nino</t>
  </si>
  <si>
    <t>2025 | Agosto | Meta | 15 | Reach | Encuentro | Evento Dia del Nino</t>
  </si>
  <si>
    <t>Cierre de Estacion Plaza Italia</t>
  </si>
  <si>
    <t>2025 | Agosto | Meta | 15 | Reach | Infraestructura | Cierre de Estacion Plaza Italia</t>
  </si>
  <si>
    <t>2025 | Agosto | Meta | 15 | Clics | Encuentro | Evento Dia del Nino</t>
  </si>
  <si>
    <t>Adicional Desalojo Bonpland</t>
  </si>
  <si>
    <t>2025 | Agosto | Meta | 18 | Reach | Seguridad | Adicional Desalojo Bonpland</t>
  </si>
  <si>
    <t>Alerta Amarilla 18/8</t>
  </si>
  <si>
    <t>2025 | Agosto | Meta | 15 | Reach | Emergencias | Alerta Amarilla 18/8</t>
  </si>
  <si>
    <t>1,605,032</t>
  </si>
  <si>
    <t>Cortes y desvios por Media Maraton</t>
  </si>
  <si>
    <t>2025 | Agosto | Meta | 15 | Reach | Seguridad | Cortes y desvios por Media Maraton</t>
  </si>
  <si>
    <t>Festival y Mundial de Tango 2025</t>
  </si>
  <si>
    <t>2025 | Agosto | Meta | 15 | Reach | Cultura | Festival y Mundial de Tango 2025</t>
  </si>
  <si>
    <t>1,158,251</t>
  </si>
  <si>
    <t>2025 | Agosto | Meta | 15 | Views | Cultura | Festival y Mundial de Tango 2025</t>
  </si>
  <si>
    <t>Puntos seguros 2025</t>
  </si>
  <si>
    <t>2025 | Agosto | Meta | 15 | Views | Seguridad | Puntos seguros 2025</t>
  </si>
  <si>
    <t>1,226,724</t>
  </si>
  <si>
    <t>2025 | Agosto | Meta | 15 | Reach | Seguridad | Puntos seguros 2025</t>
  </si>
  <si>
    <t>Cafecito BA en Belgrano</t>
  </si>
  <si>
    <t>2025 | Agosto | Meta | 15 | Clics | Desarrollo Economico | Cafecito BA en Belgrano</t>
  </si>
  <si>
    <t>Agenda RDV Nunez con 1</t>
  </si>
  <si>
    <t>2025 | Agosto | Meta | 15 | Clics | Vinculo Ciudadano | Agenda RDV Nunez con 1</t>
  </si>
  <si>
    <t>Agenda RDV Retiro con 1</t>
  </si>
  <si>
    <t>2025 | Agosto | Meta | 15 | Clics | Vinculo Ciudadano | Agenda RDV Retiro con 1</t>
  </si>
  <si>
    <t>ADICIONAL INSCRIPCIONES TUMO</t>
  </si>
  <si>
    <t>2025 | Agosto | Meta | 15 | Clics | Educación | ADICIONAL INSCRIPCIONES TUMO</t>
  </si>
  <si>
    <t>Maraton 42k 2025</t>
  </si>
  <si>
    <t>2025 | Agosto | Meta | 15 | Reach | Encuentro | Maraton 42k 2025</t>
  </si>
  <si>
    <t>Agenda RDV Puerto Madero con 1</t>
  </si>
  <si>
    <t>2025 | Agosto | Meta | 15 | Clics | Vinculo Ciudadano | Agenda RDV Puerto Madero con 1</t>
  </si>
  <si>
    <t>RDV Ministros con 6 - Caballito 6/8</t>
  </si>
  <si>
    <t>2025 | Agosto | Meta | 21 | Reach | Vinculo Ciudadano | RDV Ministros con 6 - Caballito 6/8</t>
  </si>
  <si>
    <t>RDV Ministros con 6 - Palermo 8/8</t>
  </si>
  <si>
    <t>2025 | Agosto | Meta | 21 | Reach | Vinculo Ciudadano | RDV Ministros con 6 - Palermo 8/8</t>
  </si>
  <si>
    <t>Agenda RDV Villa Ortuzar con 1</t>
  </si>
  <si>
    <t>2025 | Agosto | Meta | 15 | Clics | Vinculo Ciudadano | Agenda RDV Villa Ortuzar con 1</t>
  </si>
  <si>
    <t>2025 | Agosto | Meta | 15 | Reach | Educación | ADICIONAL INSCRIPCIONES TUMO</t>
  </si>
  <si>
    <t>Agenda RDV Liniers con 1</t>
  </si>
  <si>
    <t>2025 | Agosto | Meta | 15 | Clics | Vinculo Ciudadano | Agenda RDV Liniers con 1</t>
  </si>
  <si>
    <t>2025 | Agosto | Meta | 15 | Reach | Vinculo Ciudadano | Agenda RDV Nunez con 1</t>
  </si>
  <si>
    <t>Reel Invierno en la Ciudad</t>
  </si>
  <si>
    <t>2025 | Agosto | Meta | 21 | Reach | Vinculo Ciudadano | Reel Invierno en la Ciudad</t>
  </si>
  <si>
    <t>RDV Ministros con 5 - Belgrano 6/8</t>
  </si>
  <si>
    <t>2025 | Agosto | Meta | 21 | Reach | Vinculo Ciudadano | RDV Ministros con 5 - Belgrano 6/8</t>
  </si>
  <si>
    <t>2025 | Agosto | Meta | 15 | Reach | Vinculo Ciudadano | Agenda RDV Retiro con 1</t>
  </si>
  <si>
    <t>RDV Ministros con 16 - Boedo 6/8</t>
  </si>
  <si>
    <t>2025 | Agosto | Meta | 21 | Reach | Vinculo Ciudadano | RDV Ministros con 16 - Boedo 6/8</t>
  </si>
  <si>
    <t>2025 | Agosto | Meta | 15 | Reach | Vinculo Ciudadano | Agenda RDV Liniers con 1</t>
  </si>
  <si>
    <t>Cierre de estacion Carlos Gardel</t>
  </si>
  <si>
    <t>2025 | Agosto | Meta | 15 | Reach | Infraestructura | Cierre de estacion Carlos Gardel</t>
  </si>
  <si>
    <t>2025 | Agosto | Meta | 15 | Views | Encuentro | Maraton 42k 2025</t>
  </si>
  <si>
    <t>Agenda RDV Monte Castro con 1</t>
  </si>
  <si>
    <t>2025 | Agosto | Meta | 15 | Clics | Vinculo Ciudadano | Agenda RDV Monte Castro con 1</t>
  </si>
  <si>
    <t>2025 | Agosto | Meta | 15 | Reach | Vinculo Ciudadano | Agenda RDV Puerto Madero con 1</t>
  </si>
  <si>
    <t>Agenda RDV Villa Santa Rita con 1</t>
  </si>
  <si>
    <t>2025 | Agosto | Meta | 15 | Clics | Vinculo Ciudadano | Agenda RDV Villa Santa Rita con 1</t>
  </si>
  <si>
    <t>2025 | Agosto | Meta | 15 | Reach | Vinculo Ciudadano | Agenda RDV Villa Santa Rita con 1</t>
  </si>
  <si>
    <t>2025 | Agosto | Meta | 15 | Reach | Vinculo Ciudadano | Agenda RDV Villa Ortuzar con 1</t>
  </si>
  <si>
    <t>Reel Colecta de Juguetes por el Dia del Nino</t>
  </si>
  <si>
    <t>2025 | Agosto | Meta | 21 | Reach | Vinculo Ciudadano | Reel Colecta de Juguetes por el Dia del Nino</t>
  </si>
  <si>
    <t>Agenda RDV Caballito con 1</t>
  </si>
  <si>
    <t>2025 | Agosto | Meta | 15 | Clics | Vinculo Ciudadano | Agenda RDV Caballito con 1</t>
  </si>
  <si>
    <t>RDV Ministros con 11 - Recoleta 23/8</t>
  </si>
  <si>
    <t>2025 | Agosto | Meta | 21 | Reach | Vinculo Ciudadano | RDV Ministros con 11 - Recoleta 23/8</t>
  </si>
  <si>
    <t>2025 | Agosto | Meta | 15 | Clics | Encuentro | Maraton 42k 2025</t>
  </si>
  <si>
    <t>Cortes y desvios por evento deportivo 9/8</t>
  </si>
  <si>
    <t>2025 | Agosto | Meta | 16 | Reach | Seguridad | Cortes y desvios por evento deportivo 9/8</t>
  </si>
  <si>
    <t xml:space="preserve"> Desalojo Alvarez Thomas - Villa Urquiza</t>
  </si>
  <si>
    <t>2025 | Agosto | Meta | 15 | Views | Seguridad |  Desalojo Alvarez Thomas - Villa Urquiza</t>
  </si>
  <si>
    <t>Adicional PBN Irigoyen</t>
  </si>
  <si>
    <t>2025 | Agosto | Meta | 18 | Reach | Infraestructura | Adicional PBN Irigoyen</t>
  </si>
  <si>
    <t>RDV Ministros con 13 - Villa Pueyrredon 11/8</t>
  </si>
  <si>
    <t>2025 | Agosto | Meta | 21 | Reach | Vinculo Ciudadano | RDV Ministros con 13 - Villa Pueyrredon 11/8</t>
  </si>
  <si>
    <t>Agenda RDV Villa Devoto con 1</t>
  </si>
  <si>
    <t>2025 | Agosto | Meta | 15 | Clics | Vinculo Ciudadano | Agenda RDV Villa Devoto con 1</t>
  </si>
  <si>
    <t>RDV Ministros con 3 - Constitucion 14/8</t>
  </si>
  <si>
    <t>2025 | Agosto | Meta | 21 | Reach | Vinculo Ciudadano | RDV Ministros con 3 - Constitucion 14/8</t>
  </si>
  <si>
    <t>RDV Ministros con 14 - Villa General Mitre 11/8</t>
  </si>
  <si>
    <t>2025 | Agosto | Meta | 21 | Reach | Vinculo Ciudadano | RDV Ministros con 14 - Villa General Mitre 11/8</t>
  </si>
  <si>
    <t>RDV Ministros con 9 - Villa Luro 8/8</t>
  </si>
  <si>
    <t>2025 | Agosto | Meta | 21 | Reach | Vinculo Ciudadano | RDV Ministros con 9 - Villa Luro 8/8</t>
  </si>
  <si>
    <t>RDV Ministros con 14 - Coghlan 14/8</t>
  </si>
  <si>
    <t>2025 | Agosto | Meta | 21 | Reach | Vinculo Ciudadano | RDV Ministros con 14 - Coghlan 14/8</t>
  </si>
  <si>
    <t>RDV Ministros con 7 - Villa Luro 16/8</t>
  </si>
  <si>
    <t>2025 | Agosto | Meta | 21 | Reach | Vinculo Ciudadano | RDV Ministros con 7 - Villa Luro 16/8</t>
  </si>
  <si>
    <t>RDV Ministros con 2 - Parque Avellaneda 13/8</t>
  </si>
  <si>
    <t>2025 | Agosto | Meta | 21 | Reach | Vinculo Ciudadano | RDV Ministros con 2 - Parque Avellaneda 13/8</t>
  </si>
  <si>
    <t>2025 | Agosto | Meta | 15 | Reach | Vinculo Ciudadano | Agenda RDV Monte Castro con 1</t>
  </si>
  <si>
    <t>RDV Ministros con 14 - Belgrano 16/8</t>
  </si>
  <si>
    <t>2025 | Agosto | Meta | 21 | Reach | Vinculo Ciudadano | RDV Ministros con 14 - Belgrano 16/8</t>
  </si>
  <si>
    <t>RDV Ministros con 6 - Parque Patricios 13/8</t>
  </si>
  <si>
    <t>2025 | Agosto | Meta | 21 | Reach | Vinculo Ciudadano | RDV Ministros con 6 - Parque Patricios 13/8</t>
  </si>
  <si>
    <t>2025 | Agosto | Meta | 15 | Reach | Desarrollo Economico | Cafecito BA en Belgrano</t>
  </si>
  <si>
    <t>RDV Ministros con 14 - Villa Soldati 12/8</t>
  </si>
  <si>
    <t>2025 | Agosto | Meta | 21 | Reach | Vinculo Ciudadano | RDV Ministros con 14 - Villa Soldati 12/8</t>
  </si>
  <si>
    <t>RDV Ministros con 2 - Chacarita 12/8</t>
  </si>
  <si>
    <t>2025 | Agosto | Meta | 21 | Reach | Vinculo Ciudadano | RDV Ministros con 2 - Chacarita 12/8</t>
  </si>
  <si>
    <t>Agenda RDV Villa General Mitre con 1</t>
  </si>
  <si>
    <t>2025 | Agosto | Meta | 15 | Reach | Vinculo Ciudadano | Agenda RDV Villa General Mitre con 1</t>
  </si>
  <si>
    <t>RDV Ministros con 11 - Agronomia 11/8</t>
  </si>
  <si>
    <t>2025 | Agosto | Meta | 21 | Reach | Vinculo Ciudadano | RDV Ministros con 11 - Agronomia 11/8</t>
  </si>
  <si>
    <t>RDV Ministros con 9 - Boedo 13/8</t>
  </si>
  <si>
    <t>2025 | Agosto | Meta | 21 | Reach | Vinculo Ciudadano | RDV Ministros con 9 - Boedo 13/8</t>
  </si>
  <si>
    <t>RDV Ministros con 9 - Caballito 18/8</t>
  </si>
  <si>
    <t>2025 | Agosto | Meta | 21 | Reach | Vinculo Ciudadano | RDV Ministros con 9 - Caballito 18/8</t>
  </si>
  <si>
    <t>RDV Ministros con 3 - Parque Chas 8/8</t>
  </si>
  <si>
    <t>2025 | Agosto | Meta | 21 | Reach | Vinculo Ciudadano | RDV Ministros con 3 - Parque Chas 8/8</t>
  </si>
  <si>
    <t>Agenda RDV Colegiales con 1</t>
  </si>
  <si>
    <t>2025 | Agosto | Meta | 15 | Clics | Vinculo Ciudadano | Agenda RDV Colegiales con 1</t>
  </si>
  <si>
    <t>2025 | Agosto | Meta | 15 | Reach | Vinculo Ciudadano | Agenda RDV Colegiales con 1</t>
  </si>
  <si>
    <t>RDV Ministros con 12 - Flores 18/8</t>
  </si>
  <si>
    <t>2025 | Agosto | Meta | 21 | Reach | Vinculo Ciudadano | RDV Ministros con 12 - Flores 18/8</t>
  </si>
  <si>
    <t>RDV Ministros con 13 - La Boca 9/8</t>
  </si>
  <si>
    <t>2025 | Agosto | Meta | 21 | Reach | Vinculo Ciudadano | RDV Ministros con 13 - La Boca 9/8</t>
  </si>
  <si>
    <t>RDV Ministros con 11 - Villa Urquiza 13/8</t>
  </si>
  <si>
    <t>2025 | Agosto | Meta | 21 | Reach | Vinculo Ciudadano | RDV Ministros con 11 - Villa Urquiza 13/8</t>
  </si>
  <si>
    <t>RDV Ministros con 12 - Villa Crespo 25/8</t>
  </si>
  <si>
    <t>2025 | Agosto | Meta | 21 | Reach | Vinculo Ciudadano | RDV Ministros con 12 - Villa Crespo 25/8</t>
  </si>
  <si>
    <t>RDV Ministros con 7 - Liniers 6/8</t>
  </si>
  <si>
    <t>2025 | Agosto | Meta | 21 | Reach | Vinculo Ciudadano | RDV Ministros con 7 - Liniers 6/8</t>
  </si>
  <si>
    <t>Voluntarios BA: Plantacion Dia del Arbol - 29/8</t>
  </si>
  <si>
    <t>2025 | Agosto | Meta | 21 | Clics | Vinculo Ciudadano | Voluntarios BA: Plantacion Dia del Arbol - 29/8</t>
  </si>
  <si>
    <t>Agenda RDV Monserrat con 1</t>
  </si>
  <si>
    <t>2025 | Agosto | Meta | 15 | Clics | Vinculo Ciudadano | Agenda RDV Monserrat con 1</t>
  </si>
  <si>
    <t>2025 | Agosto | Meta | 15 | Reach | Seguridad |  Desalojo Alvarez Thomas - Villa Urquiza</t>
  </si>
  <si>
    <t>Desalojo Balvanera</t>
  </si>
  <si>
    <t>2025 | Agosto | Meta | 15 | Reach | Seguridad | Desalojo Balvanera</t>
  </si>
  <si>
    <t>RDV Ministros con 6 - Flores 27/8</t>
  </si>
  <si>
    <t>2025 | Agosto | Meta | 21 | Reach | Vinculo Ciudadano | RDV Ministros con 6 - Flores 27/8</t>
  </si>
  <si>
    <t>Desalojo en propiedad Nueva Pompeya</t>
  </si>
  <si>
    <t>2025 | Agosto | Meta | 15 | Reach | Seguridad | Desalojo en propiedad Nueva Pompeya</t>
  </si>
  <si>
    <t>RDV Ministros con 5 - Villa Real 12/8</t>
  </si>
  <si>
    <t>2025 | Agosto | Meta | 21 | Reach | Vinculo Ciudadano | RDV Ministros con 5 - Villa Real 12/8</t>
  </si>
  <si>
    <t>Desalojo Casa Blaquier</t>
  </si>
  <si>
    <t>2025 | Agosto | Meta | 15 | Views | Seguridad | Desalojo Casa Blaquier</t>
  </si>
  <si>
    <t>2025 | Agosto | Meta | 15 | Views | Seguridad | Desalojo Balvanera</t>
  </si>
  <si>
    <t>Agenda RDV San Nicolas con 1</t>
  </si>
  <si>
    <t>2025 | Agosto | Meta | 15 | Clics | Vinculo Ciudadano | Agenda RDV San Nicolas con 1</t>
  </si>
  <si>
    <t>Experiencia BA: Circuito Riachuelo - 14/08</t>
  </si>
  <si>
    <t>2025 | Agosto | Meta | 21 | Clics | Vinculo Ciudadano | Experiencia BA: Circuito Riachuelo - 14/08</t>
  </si>
  <si>
    <t>Agenda RDV Parque Chacabuco con 1</t>
  </si>
  <si>
    <t>2025 | Agosto | Meta | 15 | Reach | Vinculo Ciudadano | Agenda RDV Parque Chacabuco con 1</t>
  </si>
  <si>
    <t>Agenda RDV Agronomia con 1</t>
  </si>
  <si>
    <t>2025 | Agosto | Meta | 15 | Clics | Vinculo Ciudadano | Agenda RDV Agronomia con 1</t>
  </si>
  <si>
    <t>Agenda RDV Villa Urquiza con 1</t>
  </si>
  <si>
    <t>2025 | Agosto | Meta | 15 | Reach | Vinculo Ciudadano | Agenda RDV Villa Urquiza con 1</t>
  </si>
  <si>
    <t>2025 | Agosto | Meta | 15 | Clics | Vinculo Ciudadano | Agenda RDV Villa General Mitre con 1</t>
  </si>
  <si>
    <t>RDV Ministros con 16 - Villa Lugano 22/8</t>
  </si>
  <si>
    <t>2025 | Agosto | Meta | 21 | Reach | Vinculo Ciudadano | RDV Ministros con 16 - Villa Lugano 22/8</t>
  </si>
  <si>
    <t>2025 | Agosto | Meta | 15 | Clics | Vinculo Ciudadano | Agenda RDV Parque Chacabuco con 1</t>
  </si>
  <si>
    <t>Agenda Post RDV Liniers con 1</t>
  </si>
  <si>
    <t>2025 | Agosto | Meta | 15 | Views | Vinculo Ciudadano | Agenda Post RDV Liniers con 1</t>
  </si>
  <si>
    <t>RDV Ministros con 5 - San Cristobal 18/8</t>
  </si>
  <si>
    <t>2025 | Agosto | Meta | 21 | Reach | Vinculo Ciudadano | RDV Ministros con 5 - San Cristobal 18/8</t>
  </si>
  <si>
    <t>RDV Ministros con 11 - Barracas 19/8</t>
  </si>
  <si>
    <t>2025 | Agosto | Meta | 21 | Reach | Vinculo Ciudadano | RDV Ministros con 11 - Barracas 19/8</t>
  </si>
  <si>
    <t>2025 | Agosto | Meta | 15 | Reach | Vinculo Ciudadano | Agenda RDV Villa Devoto con 1</t>
  </si>
  <si>
    <t>Agenda RDV Constitucion con 1</t>
  </si>
  <si>
    <t>2025 | Agosto | Meta | 15 | Clics | Vinculo Ciudadano | Agenda RDV Constitucion con 1</t>
  </si>
  <si>
    <t>RDV Ministros con 4 - Villa del Parque 19/8</t>
  </si>
  <si>
    <t>2025 | Agosto | Meta | 21 | Reach | Vinculo Ciudadano | RDV Ministros con 4 - Villa del Parque 19/8</t>
  </si>
  <si>
    <t>RDV Ministros con 4 - Nunez 20/8</t>
  </si>
  <si>
    <t>2025 | Agosto | Meta | 21 | Reach | Vinculo Ciudadano | RDV Ministros con 4 - Nunez 20/8</t>
  </si>
  <si>
    <t>2025 | Agosto | Meta | 15 | Reach | Vinculo Ciudadano | Agenda RDV Agronomia con 1</t>
  </si>
  <si>
    <t>2025 | Agosto | Meta | 15 | Reach | Seguridad | Desalojo Casa Blaquier</t>
  </si>
  <si>
    <t>RDV Ministros con 6 - Almagro 22/8</t>
  </si>
  <si>
    <t>2025 | Agosto | Meta | 21 | Reach | Vinculo Ciudadano | RDV Ministros con 6 - Almagro 22/8</t>
  </si>
  <si>
    <t>RDV Ministros con 6 - Boedo 20/8</t>
  </si>
  <si>
    <t>2025 | Agosto | Meta | 21 | Reach | Vinculo Ciudadano | RDV Ministros con 6 - Boedo 20/8</t>
  </si>
  <si>
    <t>2025 | Agosto | Meta | 15 | Reach | Vinculo Ciudadano | Agenda RDV San Nicolas con 1</t>
  </si>
  <si>
    <t>RDV Ministros con 15 - San Nicolas 19/8</t>
  </si>
  <si>
    <t>2025 | Agosto | Meta | 21 | Reach | Vinculo Ciudadano | RDV Ministros con 15 - San Nicolas 19/8</t>
  </si>
  <si>
    <t>RDV Ministros con 5 - Mataderos 21/8</t>
  </si>
  <si>
    <t>2025 | Agosto | Meta | 21 | Reach | Vinculo Ciudadano | RDV Ministros con 5 - Mataderos 21/8</t>
  </si>
  <si>
    <t>2025 | Agosto | Meta | 15 | Clics | Vinculo Ciudadano | Agenda RDV Villa Urquiza con 1</t>
  </si>
  <si>
    <t>RDV Ministros con 16 - Velez Sarsfield 19/8</t>
  </si>
  <si>
    <t>2025 | Agosto | Meta | 21 | Reach | Vinculo Ciudadano | RDV Ministros con 16 - Velez Sarsfield 19/8</t>
  </si>
  <si>
    <t>2025 | Agosto | Meta | 15 | Reach | Vinculo Ciudadano | Agenda RDV Constitucion con 1</t>
  </si>
  <si>
    <t>RDV Ministros con 16 - Villa Luro 23/8</t>
  </si>
  <si>
    <t>2025 | Agosto | Meta | 21 | Reach | Vinculo Ciudadano | RDV Ministros con 16 - Villa Luro 23/8</t>
  </si>
  <si>
    <t>RDV Ministros con 9 - San Cristobal 26/8</t>
  </si>
  <si>
    <t>2025 | Agosto | Meta | 21 | Reach | Vinculo Ciudadano | RDV Ministros con 9 - San Cristobal 26/8</t>
  </si>
  <si>
    <t>RDV Ministros con 13 - Balvanera 20/8</t>
  </si>
  <si>
    <t>2025 | Agosto | Meta | 21 | Reach | Vinculo Ciudadano | RDV Ministros con 13 - Balvanera 20/8</t>
  </si>
  <si>
    <t>RDV Ministros con 15 - Villa General Mitre 25/8</t>
  </si>
  <si>
    <t>2025 | Agosto | Meta | 21 | Reach | Vinculo Ciudadano | RDV Ministros con 15 - Villa General Mitre 25/8</t>
  </si>
  <si>
    <t>2025 | Agosto | Meta | 15 | Reach | Vinculo Ciudadano | Agenda Post RDV Liniers con 1</t>
  </si>
  <si>
    <t>Agenda RDV Versalles con 1</t>
  </si>
  <si>
    <t>2025 | Agosto | Meta | 15 | Clics | Vinculo Ciudadano | Agenda RDV Versalles con 1</t>
  </si>
  <si>
    <t>RDV Ministros con 12 - Nueva Pompeya 26/8</t>
  </si>
  <si>
    <t>2025 | Agosto | Meta | 21 | Reach | Vinculo Ciudadano | RDV Ministros con 12 - Nueva Pompeya 26/8</t>
  </si>
  <si>
    <t>RDV Ministros con 3 - Saavedra 21/8</t>
  </si>
  <si>
    <t>2025 | Agosto | Meta | 21 | Reach | Vinculo Ciudadano | RDV Ministros con 3 - Saavedra 21/8</t>
  </si>
  <si>
    <t>2025 | Agosto | Meta | 16 | Views | Seguridad | Operativo anti trapitos en River - San Lorenzo</t>
  </si>
  <si>
    <t>RDV Ministros con 15 - Villa Pueyrredon 20/8</t>
  </si>
  <si>
    <t>2025 | Agosto | Meta | 21 | Reach | Vinculo Ciudadano | RDV Ministros con 15 - Villa Pueyrredon 20/8</t>
  </si>
  <si>
    <t>RDV Ministros con 13  - Coghlan 22/8</t>
  </si>
  <si>
    <t>2025 | Agosto | Meta | 21 | Reach | Vinculo Ciudadano | RDV Ministros con 13  - Coghlan 22/8</t>
  </si>
  <si>
    <t>2025 | Agosto | Meta | 15 | Reach | Vinculo Ciudadano | Agenda RDV Monserrat con 1</t>
  </si>
  <si>
    <t>RDV Ministros con 9 - La Paternal 21/8</t>
  </si>
  <si>
    <t>2025 | Agosto | Meta | 21 | Reach | Vinculo Ciudadano | RDV Ministros con 9 - La Paternal 21/8</t>
  </si>
  <si>
    <t>Agenda RDV Boedo con 1</t>
  </si>
  <si>
    <t>2025 | Agosto | Meta | 15 | Clics | Vinculo Ciudadano | Agenda RDV Boedo con 1</t>
  </si>
  <si>
    <t>RDV Ministros con 14 - Parque Chas 23/8</t>
  </si>
  <si>
    <t>2025 | Agosto | Meta | 21 | Reach | Vinculo Ciudadano | RDV Ministros con 14 - Parque Chas 23/8</t>
  </si>
  <si>
    <t>RDV Ministros con 8 - Villa Santa Rita 27/8</t>
  </si>
  <si>
    <t>2025 | Agosto | Meta | 21 | Reach | Vinculo Ciudadano | RDV Ministros con 8 - Villa Santa Rita 27/8</t>
  </si>
  <si>
    <t>2025 | Agosto | Meta | 15 | Reach | Vinculo Ciudadano | Agenda RDV Boedo con 1</t>
  </si>
  <si>
    <t>RDV Ministros con 9 - San Telmo 22/8</t>
  </si>
  <si>
    <t>2025 | Agosto | Meta | 21 | Reach | Vinculo Ciudadano | RDV Ministros con 9 - San Telmo 22/8</t>
  </si>
  <si>
    <t>RDV Ministros con 2 - Chacarita 8/8</t>
  </si>
  <si>
    <t>2025 | Agosto | Meta | 21 | Reach | Vinculo Ciudadano | RDV Ministros con 2 - Chacarita 8/8</t>
  </si>
  <si>
    <t>2025 | Agosto | Meta | 15 | Reach | Vinculo Ciudadano | Agenda RDV Versalles con 1</t>
  </si>
  <si>
    <t>Adicional Desalojo Nueva Pompeya</t>
  </si>
  <si>
    <t>2025 | Agosto | Meta | 15 | Views | Seguridad | Adicional Desalojo Nueva Pompeya</t>
  </si>
  <si>
    <t>RDV Ministros con 3 - Chacarita 28/8</t>
  </si>
  <si>
    <t>2025 | Agosto | Meta | 21 | Reach | Vinculo Ciudadano | RDV Ministros con 3 - Chacarita 28/8</t>
  </si>
  <si>
    <t>RDV Ministros con 7 - Agronomia 26/8</t>
  </si>
  <si>
    <t>2025 | Agosto | Meta | 21 | Reach | Vinculo Ciudadano | RDV Ministros con 7 - Agronomia 26/8</t>
  </si>
  <si>
    <t>2025 | Agosto | Meta | 15 | Reach | Seguridad | Adicional Desalojo Nueva Pompeya</t>
  </si>
  <si>
    <t>RDV Ministros con 16 - Villa Pueyrredon 28/8</t>
  </si>
  <si>
    <t>2025 | Agosto | Meta | 21 | Reach | Vinculo Ciudadano | RDV Ministros con 16 - Villa Pueyrredon 28/8</t>
  </si>
  <si>
    <t>RDV Ministros con 15 - Colegiales 28/8</t>
  </si>
  <si>
    <t>2025 | Agosto | Meta | 21 | Reach | Vinculo Ciudadano | RDV Ministros con 15 - Colegiales 28/8</t>
  </si>
  <si>
    <t>2025 | Agosto | Meta | 15 | Reach | Vinculo Ciudadano | Agenda RDV Caballito con 1</t>
  </si>
  <si>
    <t>RDV Ministros con 3 - Villa Soldati 27/8</t>
  </si>
  <si>
    <t>2025 | Agosto | Meta | 21 | Reach | Vinculo Ciudadano | RDV Ministros con 3 - Villa Soldati 27/8</t>
  </si>
  <si>
    <t>Segmentacion</t>
  </si>
  <si>
    <t>Tipo</t>
  </si>
  <si>
    <t>Audiencias Potenciales</t>
  </si>
  <si>
    <t>Área</t>
  </si>
  <si>
    <t>Tipo de pedido</t>
  </si>
  <si>
    <t>Recategorización</t>
  </si>
  <si>
    <t>Equipo</t>
  </si>
  <si>
    <t>Estado</t>
  </si>
  <si>
    <t>Campaña GCBA</t>
  </si>
  <si>
    <t>GCBA</t>
  </si>
  <si>
    <t>Call Center</t>
  </si>
  <si>
    <t>Contenido adicional GCBA</t>
  </si>
  <si>
    <t>En curso</t>
  </si>
  <si>
    <t>Agenda JM</t>
  </si>
  <si>
    <t>JM</t>
  </si>
  <si>
    <t>Proyectada</t>
  </si>
  <si>
    <t>Contenido adicional JM</t>
  </si>
  <si>
    <t>Anuncio JM</t>
  </si>
  <si>
    <t>Campaña VC</t>
  </si>
  <si>
    <t>PC</t>
  </si>
  <si>
    <t>Directa</t>
  </si>
  <si>
    <t>Implementado</t>
  </si>
  <si>
    <t>Formularios</t>
  </si>
  <si>
    <t>-</t>
  </si>
  <si>
    <t>Proyectado</t>
  </si>
  <si>
    <t>Digital</t>
  </si>
  <si>
    <t>De 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</si>
</sst>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dd/mm/yy"/>
    <numFmt numFmtId="166" formatCode="dd&quot;/&quot;mm&quot;/&quot;yyyy"/>
    <numFmt numFmtId="167" formatCode="&quot;$&quot;#,##0"/>
    <numFmt numFmtId="168" formatCode="0.0%"/>
    <numFmt numFmtId="169" formatCode="[$$]#,##0"/>
    <numFmt numFmtId="170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color rgb="FFFFFFFF"/>
      <name val="Archivo"/>
    </font>
    <font>
      <color theme="1"/>
      <name val="Archivo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4" xfId="0" applyFont="1" applyNumberFormat="1"/>
    <xf borderId="0" fillId="0" fontId="1" numFmtId="0" xfId="0" applyFont="1"/>
    <xf borderId="0" fillId="0" fontId="1" numFmtId="14" xfId="0" applyFont="1" applyNumberFormat="1"/>
    <xf borderId="0" fillId="0" fontId="1" numFmtId="165" xfId="0" applyFont="1" applyNumberFormat="1"/>
    <xf borderId="0" fillId="0" fontId="1" numFmtId="9" xfId="0" applyFont="1" applyNumberForma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1" numFmtId="170" xfId="0" applyAlignment="1" applyFont="1" applyNumberFormat="1">
      <alignment readingOrder="0"/>
    </xf>
    <xf borderId="0" fillId="0" fontId="1" numFmtId="2" xfId="0" applyFont="1" applyNumberFormat="1"/>
    <xf borderId="0" fillId="0" fontId="1" numFmtId="170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2" fontId="6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7" fontId="7" numFmtId="0" xfId="0" applyAlignment="1" applyBorder="1" applyFill="1" applyFont="1">
      <alignment horizontal="center" readingOrder="0" vertical="center"/>
    </xf>
    <xf borderId="1" fillId="8" fontId="7" numFmtId="0" xfId="0" applyAlignment="1" applyBorder="1" applyFill="1" applyFont="1">
      <alignment horizontal="center" readingOrder="0" vertical="center"/>
    </xf>
    <xf borderId="1" fillId="7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5c9a.mailupclient.com/f/rnl.aspx/?jhe=vwurvxsx/&amp;x=pv&amp;bdi=tzfd&amp;=st_tr/7f1-a=5k9hibg&amp;x=pv&amp;9a&amp;-c4&amp;501&amp;x=pp&amp;u_9f1-a2&amp;.b/&amp;:d=rsw3usNCLM" TargetMode="External"/><Relationship Id="rId194" Type="http://schemas.openxmlformats.org/officeDocument/2006/relationships/hyperlink" Target="https://e5c9a.mailupclient.com/f/rnl.aspx/?jhe=vwurvxsx/&amp;x=pv&amp;bdi=tzfd&amp;=st_ns/7f1-a=5k9hibg&amp;x=pv&amp;9a&amp;-c4&amp;501&amp;x=pp&amp;u_9f1-a2&amp;.b/&amp;:d=rsv/rrNCLM" TargetMode="External"/><Relationship Id="rId193" Type="http://schemas.openxmlformats.org/officeDocument/2006/relationships/hyperlink" Target="https://e5c9a.mailupclient.com/f/rnl.aspx/?jhe=vwurvxsx/&amp;x=pv&amp;bdi=tzfd&amp;=st/o_/7f1-a=5k9hibg&amp;x=pv&amp;9a&amp;-c4&amp;501&amp;x=pp&amp;u_9f1-a2&amp;.b/&amp;:d=rswwurNCLM" TargetMode="External"/><Relationship Id="rId192" Type="http://schemas.openxmlformats.org/officeDocument/2006/relationships/hyperlink" Target="https://e5c9a.mailupclient.com/f/rnl.aspx/?jhe=vwurvxsx/&amp;x=pv&amp;bdi=tzfd&amp;=st_pr/7f1-a=5k9hibg&amp;x=pv&amp;9a&amp;-c4&amp;501&amp;x=pp&amp;u_9f1-a2&amp;.b/&amp;:d=rsv2vwNCLM" TargetMode="External"/><Relationship Id="rId191" Type="http://schemas.openxmlformats.org/officeDocument/2006/relationships/hyperlink" Target="https://e5c9a.mailupclient.com/f/rnl.aspx/?jhe=vwvwwvrv/&amp;x=pv&amp;bdi=tzfd&amp;=st_rv/7f1-a=8e.dgcn&amp;&amp;x=pp&amp;u_9f1-a2&amp;.b/&amp;:d=rsw3szNCLM" TargetMode="External"/><Relationship Id="rId187" Type="http://schemas.openxmlformats.org/officeDocument/2006/relationships/hyperlink" Target="https://e5c9a.mailupclient.com/f/rnl.aspx/?jhe=vwurvxsx/&amp;x=pv&amp;bdi=tzfd&amp;=st/rs/7f1-a=5k9hibg&amp;x=pv&amp;9a&amp;-c4&amp;501&amp;x=pp&amp;u_9f1-a2&amp;.b/&amp;:d=rswyquNCLM" TargetMode="External"/><Relationship Id="rId186" Type="http://schemas.openxmlformats.org/officeDocument/2006/relationships/hyperlink" Target="https://e5c9a.mailupclient.com/f/rnl.aspx/?jhe=vwvwwvrv/&amp;x=pv&amp;bdi=tzfd&amp;=st_p_/7f1-a=8e.dgcn&amp;&amp;x=pp&amp;u_9f1-a2&amp;.b/&amp;:d=rsv2nwNCLM" TargetMode="External"/><Relationship Id="rId185" Type="http://schemas.openxmlformats.org/officeDocument/2006/relationships/hyperlink" Target="https://e5c9a.mailupclient.com/f/rnl.aspx/?jhe=vwvwwvrv/&amp;x=pv&amp;bdi=tzfd&amp;=st_wz/7f1-a=8e.dgcn&amp;&amp;x=pp&amp;u_9f1-a2&amp;.b/&amp;:d=rsv/qvNCLM" TargetMode="External"/><Relationship Id="rId184" Type="http://schemas.openxmlformats.org/officeDocument/2006/relationships/hyperlink" Target="https://e5c9a.mailupclient.com/f/rnl.aspx/?jhe=vwurvxsx/&amp;x=pv&amp;bdi=tzfd&amp;=st_w_/7f1-a=5k9hibg&amp;x=pv&amp;9a&amp;-c4&amp;501&amp;x=pp&amp;u_9f1-a2&amp;.b/&amp;:d=rsv/wvNCLM" TargetMode="External"/><Relationship Id="rId189" Type="http://schemas.openxmlformats.org/officeDocument/2006/relationships/hyperlink" Target="https://e5c9a.mailupclient.com/f/rnl.aspx/?jhe=1r_yq2o/a&amp;le=t/.l7=svvvt/9.99a=59ndi-a&amp;9g-7e:-49&amp;25&amp;x=pp&amp;uy.-5-&amp;x=pv&amp;83dbzb4h=rq1owrNCLM" TargetMode="External"/><Relationship Id="rId188" Type="http://schemas.openxmlformats.org/officeDocument/2006/relationships/hyperlink" Target="https://e5c9a.mailupclient.com/f/rnl.aspx/?jhe=vwurvxsx/&amp;x=pv&amp;bdi=tzfd&amp;=st/wr/7f1-a=5k9hibg&amp;x=pv&amp;9a&amp;-c4&amp;501&amp;x=pp&amp;u_9f1-a2&amp;.b/&amp;:d=rswvvrNCLM" TargetMode="External"/><Relationship Id="rId183" Type="http://schemas.openxmlformats.org/officeDocument/2006/relationships/hyperlink" Target="https://e5c9a.mailupclient.com/f/rnl.aspx/?jhe=vwurvxsx/&amp;x=pv&amp;bdi=tzfd&amp;=st_u_/7f1-a=5k9hibg&amp;x=pv&amp;9a&amp;-c4&amp;501&amp;x=pp&amp;u_9f1-a2&amp;.b/&amp;:d=rswvwwNCLM" TargetMode="External"/><Relationship Id="rId182" Type="http://schemas.openxmlformats.org/officeDocument/2006/relationships/hyperlink" Target="https://a2g9b4.emailsp.com/f/rnl.aspx/?fei=1wqvoxxy.9ek=vyad8=/2twx6d90.=3d.lfc&amp;x=pv&amp;.&amp;e08c1-&amp;34&amp;x=pp&amp;qx-f2::19h&amp;x=pv&amp;_95j=yrzpsNCLM" TargetMode="External"/><Relationship Id="rId181" Type="http://schemas.openxmlformats.org/officeDocument/2006/relationships/hyperlink" Target="https://e5c9a.mailupclient.com/f/rnl.aspx/?jhe=vwvwwvrv/&amp;x=pv&amp;bdi=tzfd&amp;=stzvz/7f1-a=8e.dgcn&amp;&amp;x=pp&amp;u_9f1-a2&amp;.b/&amp;:d=rsv_u_NCLM" TargetMode="External"/><Relationship Id="rId180" Type="http://schemas.openxmlformats.org/officeDocument/2006/relationships/hyperlink" Target="https://e5c9a.mailupclient.com/f/rnl.aspx/?jhe=vwvwwvrv/&amp;x=pv&amp;bdi=tzfd&amp;=stztz/7f1-a=8e.dgcn&amp;&amp;x=pp&amp;u_9f1-a2&amp;.b/&amp;:d=rsvzvwNCLM" TargetMode="External"/><Relationship Id="rId176" Type="http://schemas.openxmlformats.org/officeDocument/2006/relationships/hyperlink" Target="https://e5c9a.mailupclient.com/f/rnl.aspx/?jhe=1r_yq2o/a&amp;le=t/.l7=svt2p/9.99a=59ndi-a&amp;9g-7e:-49&amp;25&amp;x=pp&amp;uy.-5-&amp;x=pv&amp;83dbzb4h=rq/svzNCLM" TargetMode="External"/><Relationship Id="rId175" Type="http://schemas.openxmlformats.org/officeDocument/2006/relationships/hyperlink" Target="https://e5c9a.mailupclient.com/f/rnl.aspx/?jhe=vwurvxsx/&amp;x=pv&amp;bdi=tzfd&amp;=stzus/7f1-a=5k9hibg&amp;x=pv&amp;9a&amp;-c4&amp;501&amp;x=pp&amp;u_9f1-a2&amp;.b/&amp;:d=rsv_wsNCLM" TargetMode="External"/><Relationship Id="rId174" Type="http://schemas.openxmlformats.org/officeDocument/2006/relationships/hyperlink" Target="https://e5c9a.mailupclient.com/f/rnl.aspx/?jhe=vwurvxsx/&amp;x=pv&amp;bdi=tzfd&amp;=stztw/7f1-a=5k9hibg&amp;x=pv&amp;9a&amp;-c4&amp;501&amp;x=pp&amp;u_9f1-a2&amp;.b/&amp;:d=rsvzsyNCLM" TargetMode="External"/><Relationship Id="rId173" Type="http://schemas.openxmlformats.org/officeDocument/2006/relationships/hyperlink" Target="https://e5c9a.mailupclient.com/f/rnl.aspx/?jhe=vwurvxsx/&amp;x=pv&amp;bdi=tzfd&amp;=stzvu/7f1-a=5k9hibg&amp;x=pv&amp;9a&amp;-c4&amp;501&amp;x=pp&amp;u_9f1-a2&amp;.b/&amp;:d=rsv_qvNCLM" TargetMode="External"/><Relationship Id="rId179" Type="http://schemas.openxmlformats.org/officeDocument/2006/relationships/hyperlink" Target="https://e5c9a.mailupclient.com/f/rnl.aspx/?jhe=vwurvxsx/&amp;x=pv&amp;bdi=tzfd&amp;=stzty/7f1-a=5k9hibg&amp;x=pv&amp;9a&amp;-c4&amp;501&amp;x=pp&amp;u_9f1-a2&amp;.b/&amp;:d=rsvzutNCLM" TargetMode="External"/><Relationship Id="rId178" Type="http://schemas.openxmlformats.org/officeDocument/2006/relationships/hyperlink" Target="https://e5c9a.mailupclient.com/f/rnl.aspx/?jhe=vwurvxsx/&amp;x=pv&amp;bdi=tzfd&amp;=stzu_/7f1-a=5k9hibg&amp;x=pv&amp;9a&amp;-c4&amp;501&amp;x=pp&amp;u_9f1-a2&amp;.b/&amp;:d=rsv_wrNCLM" TargetMode="External"/><Relationship Id="rId177" Type="http://schemas.openxmlformats.org/officeDocument/2006/relationships/hyperlink" Target="https://e5c9a.mailupclient.com/f/rnl.aspx/?jhe=1r_yq2o/a&amp;le=t/.l7=svt_o/9.99a=59ndi-a&amp;9g-7e:-49&amp;25&amp;x=pp&amp;uy.-5-&amp;x=pv&amp;83dbzb4h=rq/rrsNCLM" TargetMode="External"/><Relationship Id="rId198" Type="http://schemas.openxmlformats.org/officeDocument/2006/relationships/hyperlink" Target="https://e5c9a.mailupclient.com/f/rnl.aspx/?jhe=vwurvxsx/&amp;x=pv&amp;bdi=tzfd&amp;=st/os/7f1-a=5k9hibg&amp;x=pv&amp;9a&amp;-c4&amp;501&amp;x=pp&amp;u_9f1-a2&amp;.b/&amp;:d=rswwuxNCLM" TargetMode="External"/><Relationship Id="rId197" Type="http://schemas.openxmlformats.org/officeDocument/2006/relationships/hyperlink" Target="https://a2g9b4.emailsp.com/f/rnl.aspx/?fei=2orws1vy.9ek=vyad8=/2wyx6d90.=6-fhddf:&amp;x=pp&amp;w38a10c84c-y.:e=tqp1xNCLM" TargetMode="External"/><Relationship Id="rId196" Type="http://schemas.openxmlformats.org/officeDocument/2006/relationships/hyperlink" Target="https://e5c9a.mailupclient.com/f/rnl.aspx/?jhe=vwvwwvrv/&amp;x=pv&amp;bdi=tzfd&amp;=st_pz/7f1-a=8e.dgcn&amp;&amp;x=pp&amp;u_9f1-a2&amp;.b/&amp;:d=rsv2t_NCLM" TargetMode="External"/><Relationship Id="rId195" Type="http://schemas.openxmlformats.org/officeDocument/2006/relationships/hyperlink" Target="https://e5c9a.mailupclient.com/f/rnl.aspx/?jhe=vwurvxsx/&amp;x=pv&amp;bdi=tzfd&amp;=st_pw/7f1-a=5k9hibg&amp;x=pv&amp;9a&amp;-c4&amp;501&amp;x=pp&amp;u_9f1-a2&amp;.b/&amp;:d=rsv1tyNCLM" TargetMode="External"/><Relationship Id="rId199" Type="http://schemas.openxmlformats.org/officeDocument/2006/relationships/hyperlink" Target="https://e5c9a.mailupclient.com/f/rnl.aspx/?jhe=vwurvxsx/&amp;x=pv&amp;bdi=tzfd&amp;=st_ow/7f1-a=5k9hibg&amp;x=pv&amp;9a&amp;-c4&amp;501&amp;x=pp&amp;u_9f1-a2&amp;.b/&amp;:d=rsv1n_NCLM" TargetMode="External"/><Relationship Id="rId150" Type="http://schemas.openxmlformats.org/officeDocument/2006/relationships/hyperlink" Target="https://e5c9a.mailupclient.com/f/rnl.aspx/?jhe=vwurvxsx/&amp;x=pv&amp;bdi=tzfd&amp;=stzpr/7f1-a=5k9hibg&amp;x=pv&amp;9a&amp;-c4&amp;501&amp;x=pp&amp;u_9f1-a2&amp;.b/&amp;:d=rsvxquNCLM" TargetMode="External"/><Relationship Id="rId392" Type="http://schemas.openxmlformats.org/officeDocument/2006/relationships/hyperlink" Target="https://www.facebook.com/reel/975781694862173" TargetMode="External"/><Relationship Id="rId391" Type="http://schemas.openxmlformats.org/officeDocument/2006/relationships/hyperlink" Target="https://e5c9a.mailupclient.com/f/rnl.aspx/?jhe=vwurvxsx/&amp;x=pv&amp;bdi=tzfd&amp;=su3qu/7f1-a=5k9hibg&amp;x=pv&amp;9a&amp;-c4&amp;501&amp;x=pp&amp;u_9f1-a2&amp;.b/&amp;:d=rsx1orNCLM" TargetMode="External"/><Relationship Id="rId390" Type="http://schemas.openxmlformats.org/officeDocument/2006/relationships/hyperlink" Target="https://www.facebook.com/GCBA/posts/pfbid0sjsw4fmaZgH69Leu9Xq1bGvySQmZsbQtRcg9RLZrzuPWEHQATgDdDX3DKPknXAmKl" TargetMode="External"/><Relationship Id="rId1" Type="http://schemas.openxmlformats.org/officeDocument/2006/relationships/hyperlink" Target="https://www.facebook.com/reel/818777800864033" TargetMode="External"/><Relationship Id="rId2" Type="http://schemas.openxmlformats.org/officeDocument/2006/relationships/hyperlink" Target="https://e5c9a.mailupclient.com/f/rnl.aspx/?jhe=vwurvxsx/&amp;x=pv&amp;bdi=tzfd&amp;=stzot/7f1-a=5k9hibg&amp;x=pv&amp;9a&amp;-c4&amp;501&amp;x=pp&amp;u_9f1-a2&amp;.b/&amp;:d=rsvxtvNCLM" TargetMode="External"/><Relationship Id="rId3" Type="http://schemas.openxmlformats.org/officeDocument/2006/relationships/hyperlink" Target="https://e5c9a.mailupclient.com/f/rnl.aspx/?jhe=vwt_y1w_/&amp;x=pv&amp;bdi=tzfd&amp;=stxuv/7f1-a=&amp;x=pv&amp;n1&amp;j&amp;kc949&amp;25&amp;x=pp&amp;uy.-5-&amp;x=pv&amp;83dbzb4h=rq_rttNCLM" TargetMode="External"/><Relationship Id="rId149" Type="http://schemas.openxmlformats.org/officeDocument/2006/relationships/hyperlink" Target="https://e5c9a.mailupclient.com/f/rnl.aspx/?jhe=vwvwwvrv/&amp;x=pv&amp;bdi=tzfd&amp;=stzqv/7f1-a=8e.dgcn&amp;&amp;x=pp&amp;u_9f1-a2&amp;.b/&amp;:d=rsvypvNCLM" TargetMode="External"/><Relationship Id="rId4" Type="http://schemas.openxmlformats.org/officeDocument/2006/relationships/hyperlink" Target="https://www.facebook.com/GCBA/posts/pfbid02ySETv8mbLPx3NFrrHh1eRhVRmMimid99iTcJQu2RtwUS7KCAiwKP9qoSStF1cMSml" TargetMode="External"/><Relationship Id="rId148" Type="http://schemas.openxmlformats.org/officeDocument/2006/relationships/hyperlink" Target="https://e5c9a.mailupclient.com/f/rnl.aspx/?jhe=vwvwwvrv/&amp;x=pv&amp;bdi=tzfd&amp;=stzqs/7f1-a=8e.dgcn&amp;&amp;x=pp&amp;u_9f1-a2&amp;.b/&amp;:d=rsvyovNCLM" TargetMode="External"/><Relationship Id="rId9" Type="http://schemas.openxmlformats.org/officeDocument/2006/relationships/hyperlink" Target="https://e5c9a.mailupclient.com/f/rnl.aspx/?jhe=vwurvxsx/&amp;x=pv&amp;bdi=tzfd&amp;=st_r_/7f1-a=5k9hibg&amp;x=pv&amp;9a&amp;-c4&amp;501&amp;x=pp&amp;u_9f1-a2&amp;.b/&amp;:d=rsv2qwNCLM" TargetMode="External"/><Relationship Id="rId143" Type="http://schemas.openxmlformats.org/officeDocument/2006/relationships/hyperlink" Target="https://e5c9a.mailupclient.com/f/rnl.aspx/?jhe=1r_yq2o/a&amp;le=t/.l7=svtyq/9.99a=59ndi-a&amp;9g-7e:-49&amp;25&amp;x=pp&amp;uy.-5-&amp;x=pv&amp;83dbzb4h=rq/qrzNCLM" TargetMode="External"/><Relationship Id="rId385" Type="http://schemas.openxmlformats.org/officeDocument/2006/relationships/hyperlink" Target="https://fb.me/adspreview/facebook/2gC1YOO7LmB8gHB" TargetMode="External"/><Relationship Id="rId142" Type="http://schemas.openxmlformats.org/officeDocument/2006/relationships/hyperlink" Target="https://e5c9a.mailupclient.com/f/rnl.aspx/?jhe=vwurvxsx/&amp;x=pv&amp;bdi=tzfd&amp;=stzwy/7f1-a=5k9hibg&amp;x=pv&amp;9a&amp;-c4&amp;501&amp;x=pp&amp;u_9f1-a2&amp;.b/&amp;:d=rsvwq_NCLM" TargetMode="External"/><Relationship Id="rId384" Type="http://schemas.openxmlformats.org/officeDocument/2006/relationships/hyperlink" Target="https://a2g9b4.emailsp.com/f/rnl.aspx/?fei=1vvoo1vy.9ek=vyad8=t3pqty&amp;f2::=-l98i9di-10337&amp;x=pp&amp;yx0-2.e16.&amp;x=pv&amp;2b5g=qsuztNCLM" TargetMode="External"/><Relationship Id="rId141" Type="http://schemas.openxmlformats.org/officeDocument/2006/relationships/hyperlink" Target="https://e5c9a.mailupclient.com/f/rnl.aspx/?jhe=vwt_y1w_/&amp;x=pv&amp;bdi=tzfd&amp;=stzor/7f1-a=&amp;x=pv&amp;n1&amp;j&amp;kc949&amp;25&amp;x=pp&amp;uy.-5-&amp;x=pv&amp;83dbzb4h=rq/ptvNCLM" TargetMode="External"/><Relationship Id="rId383" Type="http://schemas.openxmlformats.org/officeDocument/2006/relationships/hyperlink" Target="https://www.facebook.com/baparticipacion/posts/pfbid0onKVqtxQyKuaY6vdX5cuEeKkdaUBMSx3oBipA1aaj3zAZ1AbiGza2kvH4bRfBxDcl" TargetMode="External"/><Relationship Id="rId140" Type="http://schemas.openxmlformats.org/officeDocument/2006/relationships/hyperlink" Target="https://e5c9a.mailupclient.com/f/rnl.aspx/?jhe=vwvwwvrv/&amp;x=pv&amp;bdi=tzfd&amp;=stzqr/7f1-a=8e.dgcn&amp;&amp;x=pp&amp;u_9f1-a2&amp;.b/&amp;:d=rsvywrNCLM" TargetMode="External"/><Relationship Id="rId382" Type="http://schemas.openxmlformats.org/officeDocument/2006/relationships/hyperlink" Target="https://a2g9b4.emailsp.com/f/rnl.aspx/?fei=1wqvoxxy.9ek=vyad8=t3pqoy&amp;f2::=4ibeh..e--:5d6.451&amp;x=pp&amp;r1.&amp;x=pv&amp;49-6&amp;aax00l=ruoo_NCLM" TargetMode="External"/><Relationship Id="rId5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147" Type="http://schemas.openxmlformats.org/officeDocument/2006/relationships/hyperlink" Target="https://e5c9a.mailupclient.com/f/rnl.aspx/?jhe=vwurvxsx/&amp;x=pv&amp;bdi=tzfd&amp;=stzsv/7f1-a=5k9hibg&amp;x=pv&amp;9a&amp;-c4&amp;501&amp;x=pp&amp;u_9f1-a2&amp;.b/&amp;:d=rsvznwNCLM" TargetMode="External"/><Relationship Id="rId389" Type="http://schemas.openxmlformats.org/officeDocument/2006/relationships/hyperlink" Target="https://e5c9a.mailupclient.com/f/rnl.aspx/?jhe=vwurvxsx/&amp;x=pv&amp;bdi=tzfd&amp;=st2rz/7f1-a=5k9hibg&amp;x=pv&amp;9a&amp;-c4&amp;501&amp;x=pp&amp;u_9f1-a2&amp;.b/&amp;:d=rsxypsNCLM" TargetMode="External"/><Relationship Id="rId6" Type="http://schemas.openxmlformats.org/officeDocument/2006/relationships/hyperlink" Target="https://e5c9a.mailupclient.com/f/rnl.aspx/?jhe=vwt_y1w_/&amp;x=pv&amp;bdi=tzfd&amp;=stxsw/7f1-a=&amp;x=pv&amp;n1&amp;j&amp;kc949&amp;25&amp;x=pp&amp;uy.-5-&amp;x=pv&amp;83dbzb4h=rq_qswNCLM" TargetMode="External"/><Relationship Id="rId146" Type="http://schemas.openxmlformats.org/officeDocument/2006/relationships/hyperlink" Target="https://a2g9b4.emailsp.com/f/rnl.aspx/?fei=1vvoo1vy.9ek=vyad8=/2rux6d90.=:g7.g:cd&amp;88622&amp;x=pp&amp;w38a10c84c-y.:e=tpwv3NCLM" TargetMode="External"/><Relationship Id="rId388" Type="http://schemas.openxmlformats.org/officeDocument/2006/relationships/hyperlink" Target="https://www.facebook.com/GCBA/posts/pfbid0DZRfNQeZrb83xQQThogTYk4iP8kcW2amjyuLxfjmWuqZ8ndhe4MCUQ8gWzU3EDial" TargetMode="External"/><Relationship Id="rId7" Type="http://schemas.openxmlformats.org/officeDocument/2006/relationships/hyperlink" Target="https://e5c9a.mailupclient.com/f/rnl.aspx/?jhe=vwt_y1w_/&amp;x=pv&amp;bdi=tzfd&amp;=stxvv/7f1-a=&amp;x=pv&amp;n1&amp;j&amp;kc949&amp;25&amp;x=pp&amp;uy.-5-&amp;x=pv&amp;83dbzb4h=rq_rytNCLM" TargetMode="External"/><Relationship Id="rId145" Type="http://schemas.openxmlformats.org/officeDocument/2006/relationships/hyperlink" Target="https://a2g9b4.emailsp.com/f/rnl.aspx/?fei=1wqvoxxy.9ek=vyad8=/2rsx6d90.=3d.lfc&amp;x=pv&amp;.&amp;e08c1-&amp;34&amp;x=pp&amp;qx-f2::19h&amp;x=pv&amp;_95j=yqynvNCLM" TargetMode="External"/><Relationship Id="rId387" Type="http://schemas.openxmlformats.org/officeDocument/2006/relationships/hyperlink" Target="https://a2g9b4.emailsp.com/f/rnl.aspx/?fei=2orws1vy.9ek=vyad8=t3pqqy&amp;f2::=7chafagb&amp;x=pp&amp;yx0-2.e16.&amp;x=pv&amp;2b5g=qsuypNCLM" TargetMode="External"/><Relationship Id="rId8" Type="http://schemas.openxmlformats.org/officeDocument/2006/relationships/hyperlink" Target="https://e5c9a.mailupclient.com/f/rnl.aspx/?jhe=vwt_y1w_/&amp;x=pv&amp;bdi=tzfd&amp;=styqt/7f1-a=&amp;x=pv&amp;n1&amp;j&amp;kc949&amp;25&amp;x=pp&amp;uy.-5-&amp;x=pv&amp;83dbzb4h=rq_uu_NCLM" TargetMode="External"/><Relationship Id="rId144" Type="http://schemas.openxmlformats.org/officeDocument/2006/relationships/hyperlink" Target="https://e5c9a.mailupclient.com/f/rnl.aspx/?jhe=vwt_y1w_/&amp;x=pv&amp;bdi=tzfd&amp;=stznt/7f1-a=&amp;x=pv&amp;n1&amp;j&amp;kc949&amp;25&amp;x=pp&amp;uy.-5-&amp;x=pv&amp;83dbzb4h=rq/oyuNCLM" TargetMode="External"/><Relationship Id="rId386" Type="http://schemas.openxmlformats.org/officeDocument/2006/relationships/hyperlink" Target="https://www.facebook.com/baparticipacion/posts/pfbid0kSaekN4E3crjZQsVx9VCKmGYdJREhLpffevxyskotGVh6WeB1QTfyfTdLHN2WyrMl" TargetMode="External"/><Relationship Id="rId381" Type="http://schemas.openxmlformats.org/officeDocument/2006/relationships/hyperlink" Target="https://www.facebook.com/baparticipacion/posts/pfbid02DivgCpQoC2fB8rwvnUqqNXsH435uSvuKmTJWpHsUiWMVXZoqfLQpDKiziP5Rd3yQl" TargetMode="External"/><Relationship Id="rId380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139" Type="http://schemas.openxmlformats.org/officeDocument/2006/relationships/hyperlink" Target="https://e5c9a.mailupclient.com/f/rnl.aspx/?jhe=vwurvxsx/&amp;x=pv&amp;bdi=tzfd&amp;=stzns/7f1-a=5k9hibg&amp;x=pv&amp;9a&amp;-c4&amp;501&amp;x=pp&amp;u_9f1-a2&amp;.b/&amp;:d=rsvwptNCLM" TargetMode="External"/><Relationship Id="rId138" Type="http://schemas.openxmlformats.org/officeDocument/2006/relationships/hyperlink" Target="https://e5c9a.mailupclient.com/f/rnl.aspx/?jhe=vwvwwvrv/&amp;x=pv&amp;bdi=tzfd&amp;=stzpv/7f1-a=8e.dgcn&amp;&amp;x=pp&amp;u_9f1-a2&amp;.b/&amp;:d=rsvxsvNCLM" TargetMode="External"/><Relationship Id="rId137" Type="http://schemas.openxmlformats.org/officeDocument/2006/relationships/hyperlink" Target="https://e5c9a.mailupclient.com/f/rnl.aspx/?jhe=1r_yq2o/a&amp;le=t/.l7=svtzs/9.99a=59ndi-a&amp;9g-7e:-49&amp;25&amp;x=pp&amp;uy.-5-&amp;x=pv&amp;83dbzb4h=rq/rxzNCLM" TargetMode="External"/><Relationship Id="rId379" Type="http://schemas.openxmlformats.org/officeDocument/2006/relationships/hyperlink" Target="https://www.facebook.com/baparticipacion/posts/pfbid02W7pSHStUWAuVKanDN3fimepsME7cCDqvUC8LutXXxMXHYJdFubCRQ9vL8A6WTUMZl" TargetMode="External"/><Relationship Id="rId132" Type="http://schemas.openxmlformats.org/officeDocument/2006/relationships/hyperlink" Target="https://e5c9a.mailupclient.com/f/rnl.aspx/?jhe=1r_yq2o/a&amp;le=t/.l7=svtwr/9.99a=59ndi-a&amp;9g-7e:-49&amp;25&amp;x=pp&amp;uy.-5-&amp;x=pv&amp;83dbzb4h=rq/px_NCLM" TargetMode="External"/><Relationship Id="rId374" Type="http://schemas.openxmlformats.org/officeDocument/2006/relationships/hyperlink" Target="https://a2g9b4.emailsp.com/f/rnl.aspx/?fei=1vvoo_2y.9ek=vyad8=t3oyvy&amp;f2::=k702m1k6.451&amp;x=pp&amp;r1.&amp;x=pv&amp;49-6&amp;aax00l=runs_NCLM" TargetMode="External"/><Relationship Id="rId131" Type="http://schemas.openxmlformats.org/officeDocument/2006/relationships/hyperlink" Target="https://e5c9a.mailupclient.com/f/rnl.aspx/?jhe=1r_yq2o/a&amp;le=t/.l7=svtyw/9.99a=59ndi-a&amp;9g-7e:-49&amp;25&amp;x=pp&amp;uy.-5-&amp;x=pv&amp;83dbzb4h=rq/qv_NCLM" TargetMode="External"/><Relationship Id="rId373" Type="http://schemas.openxmlformats.org/officeDocument/2006/relationships/hyperlink" Target="https://www.facebook.com/reel/1636840367449927" TargetMode="External"/><Relationship Id="rId130" Type="http://schemas.openxmlformats.org/officeDocument/2006/relationships/hyperlink" Target="https://e5c9a.mailupclient.com/f/rnl.aspx/?jhe=1r_yq2o/a&amp;le=t/.l7=svtvr/9.99a=59ndi-a&amp;9g-7e:-49&amp;25&amp;x=pp&amp;uy.-5-&amp;x=pv&amp;83dbzb4h=rq/qvzNCLM" TargetMode="External"/><Relationship Id="rId372" Type="http://schemas.openxmlformats.org/officeDocument/2006/relationships/hyperlink" Target="https://e5c9a.mailupclient.com/f/rnl.aspx/?jhe=vwurvxsx/&amp;x=pv&amp;bdi=tzfd&amp;=st2pr/7f1-a=5k9hibg&amp;x=pv&amp;9a&amp;-c4&amp;501&amp;x=pp&amp;u_9f1-a2&amp;.b/&amp;:d=rsxwvvNCLM" TargetMode="External"/><Relationship Id="rId371" Type="http://schemas.openxmlformats.org/officeDocument/2006/relationships/hyperlink" Target="https://www.facebook.com/baparticipacion/posts/pfbid0qEJVDkM6tZVZ58Uu6pBmkE3n7D6gMe3zzAcvFfipACKprK91q7VNQGgdpEywzXsul" TargetMode="External"/><Relationship Id="rId136" Type="http://schemas.openxmlformats.org/officeDocument/2006/relationships/hyperlink" Target="https://e5c9a.mailupclient.com/f/rnl.aspx/?jhe=vwurvxsx/&amp;x=pv&amp;bdi=tzfd&amp;=stzr_/7f1-a=5k9hibg&amp;x=pv&amp;9a&amp;-c4&amp;501&amp;x=pp&amp;u_9f1-a2&amp;.b/&amp;:d=rsvzowNCLM" TargetMode="External"/><Relationship Id="rId378" Type="http://schemas.openxmlformats.org/officeDocument/2006/relationships/hyperlink" Target="https://a2g9b4.emailsp.com/f/rnl.aspx/?fei=1vvoo_2y.9ek=vyad8=t3pzqy&amp;f2::=k702m1k6.451&amp;x=pp&amp;r1.&amp;x=pv&amp;49-6&amp;aax00l=runwzNCLM" TargetMode="External"/><Relationship Id="rId135" Type="http://schemas.openxmlformats.org/officeDocument/2006/relationships/hyperlink" Target="https://e5c9a.mailupclient.com/f/rnl.aspx/?jhe=vwvwwvrv/&amp;x=pv&amp;bdi=tzfd&amp;=stzwx/7f1-a=8e.dgcn&amp;&amp;x=pp&amp;u_9f1-a2&amp;.b/&amp;:d=rsvwoyNCLM" TargetMode="External"/><Relationship Id="rId377" Type="http://schemas.openxmlformats.org/officeDocument/2006/relationships/hyperlink" Target="https://www.facebook.com/baparticipacion/posts/pfbid02D4p3c61TC3iLaUufcUgkSy9YMaWZLpCQywL3zSV1MRMjfcFgJzcgDzqwp3kQ2a2Vl" TargetMode="External"/><Relationship Id="rId134" Type="http://schemas.openxmlformats.org/officeDocument/2006/relationships/hyperlink" Target="https://e5c9a.mailupclient.com/f/rnl.aspx/?jhe=1r_yq2o/a&amp;le=t/.l7=svs3o/9.99a=59ndi-a&amp;9g-7e:-49&amp;25&amp;x=pp&amp;uy.-5-&amp;x=pv&amp;83dbzb4h=rq_tsyNCLM" TargetMode="External"/><Relationship Id="rId376" Type="http://schemas.openxmlformats.org/officeDocument/2006/relationships/hyperlink" Target="https://a2g9b4.emailsp.com/f/rnl.aspx/?fei=1vvoo1vy.9ek=vyad8=t3pzwy&amp;f2::=-l98i9di-10337&amp;x=pp&amp;yx0-2.e16.&amp;x=pv&amp;2b5g=qst_rNCLM" TargetMode="External"/><Relationship Id="rId133" Type="http://schemas.openxmlformats.org/officeDocument/2006/relationships/hyperlink" Target="https://e5c9a.mailupclient.com/f/rnl.aspx/?jhe=1r_yq2o/a&amp;le=t/.l7=svtvu/9.99a=59ndi-a&amp;9g-7e:-49&amp;25&amp;x=pp&amp;uy.-5-&amp;x=pv&amp;83dbzb4h=rq/ovzNCLM" TargetMode="External"/><Relationship Id="rId375" Type="http://schemas.openxmlformats.org/officeDocument/2006/relationships/hyperlink" Target="https://www.facebook.com/baparticipacion/posts/pfbid02RUBMaJ62CajB3ZiaerUP7LxWT4fQZwdFBu1CD5j9gNTftoQtd27fNxQPcswxDdd2l" TargetMode="External"/><Relationship Id="rId172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171" Type="http://schemas.openxmlformats.org/officeDocument/2006/relationships/hyperlink" Target="https://e5c9a.mailupclient.com/f/rnl.aspx/?jhe=vwurvxsx/&amp;x=pv&amp;bdi=tzfd&amp;=stzvx/7f1-a=5k9hibg&amp;x=pv&amp;9a&amp;-c4&amp;501&amp;x=pp&amp;u_9f1-a2&amp;.b/&amp;:d=rsv_ssNCLM" TargetMode="External"/><Relationship Id="rId170" Type="http://schemas.openxmlformats.org/officeDocument/2006/relationships/hyperlink" Target="https://e5c9a.mailupclient.com/f/rnl.aspx/?jhe=vwvwwvrv/&amp;x=pv&amp;bdi=tzfd&amp;=stzvw/7f1-a=8e.dgcn&amp;&amp;x=pp&amp;u_9f1-a2&amp;.b/&amp;:d=rsv_tyNCLM" TargetMode="External"/><Relationship Id="rId165" Type="http://schemas.openxmlformats.org/officeDocument/2006/relationships/hyperlink" Target="https://e5c9a.mailupclient.com/f/rnl.aspx/?jhe=vwurvxsx/&amp;x=pv&amp;bdi=tzfd&amp;=st_wr/7f1-a=5k9hibg&amp;x=pv&amp;9a&amp;-c4&amp;501&amp;x=pp&amp;u_9f1-a2&amp;.b/&amp;:d=rsv/wwNCLM" TargetMode="External"/><Relationship Id="rId164" Type="http://schemas.openxmlformats.org/officeDocument/2006/relationships/hyperlink" Target="https://e5c9a.mailupclient.com/f/rnl.aspx/?jhe=vwurvxsx/&amp;x=pv&amp;bdi=tzfd&amp;=stzsx/7f1-a=5k9hibg&amp;x=pv&amp;9a&amp;-c4&amp;501&amp;x=pp&amp;u_9f1-a2&amp;.b/&amp;:d=rsvzpyNCLM" TargetMode="External"/><Relationship Id="rId163" Type="http://schemas.openxmlformats.org/officeDocument/2006/relationships/hyperlink" Target="https://e5c9a.mailupclient.com/f/rnl.aspx/?jhe=vwurvxsx/&amp;x=pv&amp;bdi=tzfd&amp;=st_ws/7f1-a=5k9hibg&amp;x=pv&amp;9a&amp;-c4&amp;501&amp;x=pp&amp;u_9f1-a2&amp;.b/&amp;:d=rsv/vvNCLM" TargetMode="External"/><Relationship Id="rId162" Type="http://schemas.openxmlformats.org/officeDocument/2006/relationships/hyperlink" Target="https://e5c9a.mailupclient.com/f/rnl.aspx/?jhe=vwurvxsx/&amp;x=pv&amp;bdi=tzfd&amp;=st_nu/7f1-a=5k9hibg&amp;x=pv&amp;9a&amp;-c4&amp;501&amp;x=pp&amp;u_9f1-a2&amp;.b/&amp;:d=rsv1oxNCLM" TargetMode="External"/><Relationship Id="rId169" Type="http://schemas.openxmlformats.org/officeDocument/2006/relationships/hyperlink" Target="https://e5c9a.mailupclient.com/f/rnl.aspx/?jhe=1r_yq2o/a&amp;le=t/.l7=svt/t/9.99a=59ndi-a&amp;9g-7e:-49&amp;25&amp;x=pp&amp;uy.-5-&amp;x=pv&amp;83dbzb4h=rq/rzvNCLM" TargetMode="External"/><Relationship Id="rId168" Type="http://schemas.openxmlformats.org/officeDocument/2006/relationships/hyperlink" Target="https://a2g9b4.emailsp.com/f/rnl.aspx/?fei=1wqvoxxy.9ek=vyad8=/2trx6d90.=3d.lfc&amp;x=pv&amp;.&amp;e08c1-&amp;34&amp;x=pp&amp;qx-f2::19h&amp;x=pv&amp;_95j=yrzorNCLM" TargetMode="External"/><Relationship Id="rId167" Type="http://schemas.openxmlformats.org/officeDocument/2006/relationships/hyperlink" Target="https://e5c9a.mailupclient.com/f/rnl.aspx/?jhe=vwurvxsx/&amp;x=pv&amp;bdi=tzfd&amp;=st_s_/7f1-a=5k9hibg&amp;x=pv&amp;9a&amp;-c4&amp;501&amp;x=pp&amp;u_9f1-a2&amp;.b/&amp;:d=rsw3nuNCLM" TargetMode="External"/><Relationship Id="rId166" Type="http://schemas.openxmlformats.org/officeDocument/2006/relationships/hyperlink" Target="https://e5c9a.mailupclient.com/f/rnl.aspx/?jhe=vwvwwvrv/&amp;x=pv&amp;bdi=tzfd&amp;=st_oy/7f1-a=8e.dgcn&amp;&amp;x=pp&amp;u_9f1-a2&amp;.b/&amp;:d=rsv1uuNCLM" TargetMode="External"/><Relationship Id="rId161" Type="http://schemas.openxmlformats.org/officeDocument/2006/relationships/hyperlink" Target="https://e5c9a.mailupclient.com/f/rnl.aspx/?jhe=vwurvxsx/&amp;x=pv&amp;bdi=tzfd&amp;=stzqz/7f1-a=5k9hibg&amp;x=pv&amp;9a&amp;-c4&amp;501&amp;x=pp&amp;u_9f1-a2&amp;.b/&amp;:d=rsvysuNCLM" TargetMode="External"/><Relationship Id="rId160" Type="http://schemas.openxmlformats.org/officeDocument/2006/relationships/hyperlink" Target="https://e5c9a.mailupclient.com/f/rnl.aspx/?jhe=1r_yq2o/a&amp;le=t/.l7=svt_s/9.99a=59ndi-a&amp;9g-7e:-49&amp;25&amp;x=pp&amp;uy.-5-&amp;x=pv&amp;83dbzb4h=rq/sw_NCLM" TargetMode="External"/><Relationship Id="rId159" Type="http://schemas.openxmlformats.org/officeDocument/2006/relationships/hyperlink" Target="https://e5c9a.mailupclient.com/f/rnl.aspx/?jhe=1r_yq2o/a&amp;le=t/.l7=svtzq/9.99a=59ndi-a&amp;9g-7e:-49&amp;25&amp;x=pp&amp;uy.-5-&amp;x=pv&amp;83dbzb4h=rq/tvvNCLM" TargetMode="External"/><Relationship Id="rId154" Type="http://schemas.openxmlformats.org/officeDocument/2006/relationships/hyperlink" Target="https://e5c9a.mailupclient.com/f/rnl.aspx/?jhe=vwvwwvrv/&amp;x=pv&amp;bdi=tzfd&amp;=st_ou/7f1-a=8e.dgcn&amp;&amp;x=pp&amp;u_9f1-a2&amp;.b/&amp;:d=rsv2tyNCLM" TargetMode="External"/><Relationship Id="rId396" Type="http://schemas.openxmlformats.org/officeDocument/2006/relationships/hyperlink" Target="https://a2g9b4.emailsp.com/f/rnl.aspx/?fei=1wqvoxxy.9ek=vyad8=t3qqny&amp;f2::=4ibeh..e--:5d6.451&amp;x=pp&amp;r1.&amp;x=pv&amp;49-6&amp;aax00l=rutx/NCLM" TargetMode="External"/><Relationship Id="rId153" Type="http://schemas.openxmlformats.org/officeDocument/2006/relationships/hyperlink" Target="https://e5c9a.mailupclient.com/f/rnl.aspx/?jhe=vwvwwvrv/&amp;x=pv&amp;bdi=tzfd&amp;=st_oz/7f1-a=8e.dgcn&amp;&amp;x=pp&amp;u_9f1-a2&amp;.b/&amp;:d=rsw3orNCLM" TargetMode="External"/><Relationship Id="rId395" Type="http://schemas.openxmlformats.org/officeDocument/2006/relationships/hyperlink" Target="https://www.facebook.com/reel/1004337665882718" TargetMode="External"/><Relationship Id="rId152" Type="http://schemas.openxmlformats.org/officeDocument/2006/relationships/hyperlink" Target="https://e5c9a.mailupclient.com/f/rnl.aspx/?jhe=vwvwwvrv/&amp;x=pv&amp;bdi=tzfd&amp;=st_rr/7f1-a=8e.dgcn&amp;&amp;x=pp&amp;u_9f1-a2&amp;.b/&amp;:d=rsw3txNCLM" TargetMode="External"/><Relationship Id="rId394" Type="http://schemas.openxmlformats.org/officeDocument/2006/relationships/hyperlink" Target="https://a2g9b4.emailsp.com/f/rnl.aspx/?fei=1vvoo_2y.9ek=vyad8=t3prwy&amp;f2::=k702m1k6.451&amp;x=pp&amp;r1.&amp;x=pv&amp;49-6&amp;aax00l=ruotuNCLM" TargetMode="External"/><Relationship Id="rId151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393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158" Type="http://schemas.openxmlformats.org/officeDocument/2006/relationships/hyperlink" Target="https://a2g9b4.emailsp.com/f/rnl.aspx/?fei=1wqvoxxy.9ek=vyad8=/2ryx6d90.=3d.lfc&amp;x=pv&amp;.&amp;e08c1-&amp;34&amp;x=pp&amp;qx-f2::19h&amp;x=pv&amp;_95j=yqyqvNCLM" TargetMode="External"/><Relationship Id="rId157" Type="http://schemas.openxmlformats.org/officeDocument/2006/relationships/hyperlink" Target="https://e5c9a.mailupclient.com/f/rnl.aspx/?jhe=1r_yq2o/a&amp;le=t/.l7=svtyp/9.99a=59ndi-a&amp;9g-7e:-49&amp;25&amp;x=pp&amp;uy.-5-&amp;x=pv&amp;83dbzb4h=rq/qvtNCLM" TargetMode="External"/><Relationship Id="rId399" Type="http://schemas.openxmlformats.org/officeDocument/2006/relationships/hyperlink" Target="https://e5c9a.mailupclient.com/f/rnl.aspx/?jhe=1r_yq2o/a&amp;le=t/.l7=svxzw/9.99a=59ndi-a&amp;9g-7e:-49&amp;25&amp;x=pp&amp;uy.-5-&amp;x=pv&amp;83dbzb4h=rq2pzuNCLM" TargetMode="External"/><Relationship Id="rId156" Type="http://schemas.openxmlformats.org/officeDocument/2006/relationships/hyperlink" Target="https://e5c9a.mailupclient.com/f/rnl.aspx/?jhe=vwurvxsx/&amp;x=pv&amp;bdi=tzfd&amp;=st_nz/7f1-a=5k9hibg&amp;x=pv&amp;9a&amp;-c4&amp;501&amp;x=pp&amp;u_9f1-a2&amp;.b/&amp;:d=rsv/vzNCLM" TargetMode="External"/><Relationship Id="rId398" Type="http://schemas.openxmlformats.org/officeDocument/2006/relationships/hyperlink" Target="https://www.facebook.com/baparticipacion/posts/pfbid02KZUeu6698ybfHTdaJoen8nwGxjQMYPVAUZo6TqMhxiRskpv9L6Z7oJ5rhfhFrU8Sl" TargetMode="External"/><Relationship Id="rId155" Type="http://schemas.openxmlformats.org/officeDocument/2006/relationships/hyperlink" Target="https://e5c9a.mailupclient.com/f/rnl.aspx/?jhe=vwvwwvrv/&amp;x=pv&amp;bdi=tzfd&amp;=stzts/7f1-a=8e.dgcn&amp;&amp;x=pp&amp;u_9f1-a2&amp;.b/&amp;:d=rsvzsxNCLM" TargetMode="External"/><Relationship Id="rId397" Type="http://schemas.openxmlformats.org/officeDocument/2006/relationships/hyperlink" Target="https://www.facebook.com/GCBA/posts/pfbid02qaBDzBApaakXi9SjeBNn6xUvgrazcp7PbQLusMapiN1AqwWSP4P9owjRg47fKsvxl" TargetMode="External"/><Relationship Id="rId808" Type="http://schemas.openxmlformats.org/officeDocument/2006/relationships/hyperlink" Target="https://e5c9a.mailupclient.com/f/rnl.aspx/?jhe=1r_yq2o/a&amp;le=t/.l7=sws3w/9.99a=59ndi-a&amp;9g-7e:-49&amp;25&amp;x=pp&amp;uy.-5-&amp;x=pv&amp;83dbzb4h=rrvrxxNCLM" TargetMode="External"/><Relationship Id="rId807" Type="http://schemas.openxmlformats.org/officeDocument/2006/relationships/hyperlink" Target="https://e5c9a.mailupclient.com/f/rnl.aspx/?jhe=vwszuxsy/&amp;x=pv&amp;bdi=tzfd&amp;=suxrv/7f1-a=l925n3r/&amp;749&amp;x=pp&amp;q_&amp;.99a45h-/-6l=ntrr_oNCLM" TargetMode="External"/><Relationship Id="rId806" Type="http://schemas.openxmlformats.org/officeDocument/2006/relationships/hyperlink" Target="https://e5c9a.mailupclient.com/f/rnl.aspx/?jhe=vwt_y1w_/&amp;x=pv&amp;bdi=tzfd&amp;=suxru/7f1-a=&amp;x=pv&amp;n1&amp;j&amp;kc949&amp;25&amp;x=pp&amp;uy.-5-&amp;x=pv&amp;83dbzb4h=rrvpysNCLM" TargetMode="External"/><Relationship Id="rId805" Type="http://schemas.openxmlformats.org/officeDocument/2006/relationships/hyperlink" Target="https://e5c9a.mailupclient.com/f/rnl.aspx/?jhe=vwvwwvrv/&amp;x=pv&amp;bdi=tzfd&amp;=suxqy/7f1-a=8e.dgcn&amp;&amp;x=pp&amp;u_9f1-a2&amp;.b/&amp;:d=rtpxqwNCLM" TargetMode="External"/><Relationship Id="rId809" Type="http://schemas.openxmlformats.org/officeDocument/2006/relationships/hyperlink" Target="https://a2g9b4.emailsp.com/f/rnl.aspx/?fei=1vvoo_2y.9ek=vyad8=t3ssqy&amp;f2::=k702m1k6.451&amp;x=pp&amp;r1.&amp;x=pv&amp;49-6&amp;aax00l=rvvqzNCLM" TargetMode="External"/><Relationship Id="rId800" Type="http://schemas.openxmlformats.org/officeDocument/2006/relationships/hyperlink" Target="https://a2g9b4.emailsp.com/f/rnl.aspx/?fei=1uwuq_vy.9ek=vyad8=t3sqqy&amp;f2::=2-neh9.9bd:5-cb10337&amp;x=pp&amp;yx0-2.e16.&amp;x=pv&amp;2b5g=qty1qNCLM" TargetMode="External"/><Relationship Id="rId804" Type="http://schemas.openxmlformats.org/officeDocument/2006/relationships/hyperlink" Target="https://e5c9a.mailupclient.com/f/rnl.aspx/?jhe=vwurvxsx/&amp;x=pv&amp;bdi=tzfd&amp;=suxqy/7f1-a=5k9hibg&amp;x=pv&amp;9a&amp;-c4&amp;501&amp;x=pp&amp;u_9f1-a2&amp;.b/&amp;:d=rtpxoyNCLM" TargetMode="External"/><Relationship Id="rId803" Type="http://schemas.openxmlformats.org/officeDocument/2006/relationships/hyperlink" Target="https://e5c9a.mailupclient.com/f/rnl.aspx/?jhe=vwurvxsx/&amp;x=pv&amp;bdi=tzfd&amp;=suxpz/7f1-a=5k9hibg&amp;x=pv&amp;9a&amp;-c4&amp;501&amp;x=pp&amp;u_9f1-a2&amp;.b/&amp;:d=rtpwtuNCLM" TargetMode="External"/><Relationship Id="rId802" Type="http://schemas.openxmlformats.org/officeDocument/2006/relationships/hyperlink" Target="https://www.facebook.com/reel/1538966754240714" TargetMode="External"/><Relationship Id="rId801" Type="http://schemas.openxmlformats.org/officeDocument/2006/relationships/hyperlink" Target="https://e5c9a.mailupclient.com/f/rnl.aspx/?jhe=vwszuxsy/&amp;x=pv&amp;bdi=tzfd&amp;=suxov/7f1-a=l925n3r/&amp;749&amp;x=pp&amp;q_&amp;.99a45h-/-6l=ntrqwtNCLM" TargetMode="External"/><Relationship Id="rId40" Type="http://schemas.openxmlformats.org/officeDocument/2006/relationships/hyperlink" Target="https://www.facebook.com/reel/1401103571662551" TargetMode="External"/><Relationship Id="rId42" Type="http://schemas.openxmlformats.org/officeDocument/2006/relationships/hyperlink" Target="https://www.facebook.com/reel/1385888349747054/" TargetMode="External"/><Relationship Id="rId41" Type="http://schemas.openxmlformats.org/officeDocument/2006/relationships/hyperlink" Target="https://e5c9a.mailupclient.com/f/rnl.aspx/?jhe=vwvwwvrv/&amp;x=pv&amp;bdi=tzfd&amp;=stynw/7f1-a=8e.dgcn&amp;&amp;x=pp&amp;u_9f1-a2&amp;.b/&amp;:d=rsu/q_NCLM" TargetMode="External"/><Relationship Id="rId44" Type="http://schemas.openxmlformats.org/officeDocument/2006/relationships/hyperlink" Target="https://www.facebook.com/GCBA/posts/pfbid0rLEuW4M93zccXsLKxEbAgdx71UvEEJJusTpaAfZzdSBaQDr7KZx36ckPuiwG1Rhql" TargetMode="External"/><Relationship Id="rId43" Type="http://schemas.openxmlformats.org/officeDocument/2006/relationships/hyperlink" Target="https://e5c9a.mailupclient.com/f/rnl.aspx/?jhe=vwvwwvrv/&amp;x=pv&amp;bdi=tzfd&amp;=stynz/7f1-a=8e.dgcn&amp;&amp;x=pp&amp;u_9f1-a2&amp;.b/&amp;:d=rsu/tuNCLM" TargetMode="External"/><Relationship Id="rId46" Type="http://schemas.openxmlformats.org/officeDocument/2006/relationships/hyperlink" Target="https://www.facebook.com/GCBA/posts/pfbid032UmvaRZ3eAJNRC4zHziYpyXVaPbbTucP4LKQNEh1BSxa3mTrzNz6mZGgDzRqYkTel" TargetMode="External"/><Relationship Id="rId45" Type="http://schemas.openxmlformats.org/officeDocument/2006/relationships/hyperlink" Target="https://e5c9a.mailupclient.com/f/rnl.aspx/?jhe=vwvwwvrv/&amp;x=pv&amp;bdi=tzfd&amp;=stypu/7f1-a=8e.dgcn&amp;&amp;x=pp&amp;u_9f1-a2&amp;.b/&amp;:d=rsu1nxNCLM" TargetMode="External"/><Relationship Id="rId509" Type="http://schemas.openxmlformats.org/officeDocument/2006/relationships/hyperlink" Target="https://e5c9a.mailupclient.com/f/rnl.aspx/?jhe=vwt_y1w_/&amp;x=pv&amp;bdi=tzfd&amp;=suvou/7f1-a=&amp;x=pv&amp;n1&amp;j&amp;kc949&amp;25&amp;x=pp&amp;uy.-5-&amp;x=pv&amp;83dbzb4h=rr3otzNCLM" TargetMode="External"/><Relationship Id="rId508" Type="http://schemas.openxmlformats.org/officeDocument/2006/relationships/hyperlink" Target="https://www.facebook.com/reel/1353968750115839" TargetMode="External"/><Relationship Id="rId503" Type="http://schemas.openxmlformats.org/officeDocument/2006/relationships/hyperlink" Target="https://a2g9b4.emailsp.com/f/rnl.aspx/?fei=1vvoo1vy.9ek=vyad8=t3pwny&amp;f2::=-l98i9di-10337&amp;x=pp&amp;yx0-2.e16.&amp;x=pv&amp;2b5g=qsx1rNCLM" TargetMode="External"/><Relationship Id="rId745" Type="http://schemas.openxmlformats.org/officeDocument/2006/relationships/hyperlink" Target="https://fb.me/adspreview/facebook/29v3ZVzI16CjokC" TargetMode="External"/><Relationship Id="rId987" Type="http://schemas.openxmlformats.org/officeDocument/2006/relationships/hyperlink" Target="https://www.facebook.com/baparticipacion/posts/pfbid02XEBH1C6eXF5FMWMBqVy33XjkV4nVdrbGr88SK89TcvW4R3RUqfFhT383jA4b9xWNl" TargetMode="External"/><Relationship Id="rId502" Type="http://schemas.openxmlformats.org/officeDocument/2006/relationships/hyperlink" Target="https://e5c9a.mailupclient.com/f/rnl.aspx/?jhe=vwt_y1w_/&amp;x=pv&amp;bdi=tzfd&amp;=su3nr/7f1-a=&amp;x=pv&amp;n1&amp;j&amp;kc949&amp;25&amp;x=pp&amp;uy.-5-&amp;x=pv&amp;83dbzb4h=rq2szwNCLM" TargetMode="External"/><Relationship Id="rId744" Type="http://schemas.openxmlformats.org/officeDocument/2006/relationships/hyperlink" Target="https://e5c9a.mailupclient.com/f/rnl.aspx/?jhe=1r_yq2o/a&amp;le=t/.l7=swrvp/9.99a=59ndi-a&amp;9g-7e:-49&amp;25&amp;x=pp&amp;uy.-5-&amp;x=pv&amp;83dbzb4h=rrvnv_NCLM" TargetMode="External"/><Relationship Id="rId986" Type="http://schemas.openxmlformats.org/officeDocument/2006/relationships/hyperlink" Target="https://www.facebook.com/GCBA/posts/pfbid0k9U4ik32JNdW6AhwuhJKguBPXstCSyDS8XB9upp1Cv1N4yJ9YMvFHHbuCKgi3aQql" TargetMode="External"/><Relationship Id="rId501" Type="http://schemas.openxmlformats.org/officeDocument/2006/relationships/hyperlink" Target="https://www.facebook.com/baparticipacion/posts/pfbid02M8tPjxSc2H8DjmzfToUw7QqZxQaiiMtFjRaLwGMPpFzkeya6D1oUxgYPVd57Szw8l" TargetMode="External"/><Relationship Id="rId743" Type="http://schemas.openxmlformats.org/officeDocument/2006/relationships/hyperlink" Target="https://e5c9a.mailupclient.com/f/rnl.aspx/?jhe=1r_yq2o/a&amp;le=t/.l7=swrvo/9.99a=59ndi-a&amp;9g-7e:-49&amp;25&amp;x=pp&amp;uy.-5-&amp;x=pv&amp;83dbzb4h=rrvnuzNCLM" TargetMode="External"/><Relationship Id="rId985" Type="http://schemas.openxmlformats.org/officeDocument/2006/relationships/hyperlink" Target="https://e5c9a.mailupclient.com/f/rnl.aspx/?jhe=vwvwwvrv/&amp;x=pv&amp;bdi=tzfd&amp;=suzou/7f1-a=8e.dgcn&amp;&amp;x=pp&amp;u_9f1-a2&amp;.b/&amp;:d=rtqvsxNCLM%7D" TargetMode="External"/><Relationship Id="rId500" Type="http://schemas.openxmlformats.org/officeDocument/2006/relationships/hyperlink" Target="https://e5c9a.mailupclient.com/f/rnl.aspx/?jhe=1r_yq2o/a&amp;le=t/.l7=svtzq/9.99a=59ndi-a&amp;9g-7e:-49&amp;25&amp;x=pp&amp;uy.-5-&amp;x=pv&amp;83dbzb4h=rq/qyuNCLM" TargetMode="External"/><Relationship Id="rId742" Type="http://schemas.openxmlformats.org/officeDocument/2006/relationships/hyperlink" Target="https://a2g9b4.emailsp.com/f/rnl.aspx/?fei=1uwuq_vy.9ek=vyad8=t3ryoy&amp;f2::=2-neh9.9bd:5-cb10337&amp;x=pp&amp;yx0-2.e16.&amp;x=pv&amp;2b5g=qtxzpNCLM" TargetMode="External"/><Relationship Id="rId984" Type="http://schemas.openxmlformats.org/officeDocument/2006/relationships/hyperlink" Target="https://e5c9a.mailupclient.com/f/rnl.aspx/?jhe=vwvwwvrv/&amp;x=pv&amp;bdi=tzfd&amp;=suzn_/7f1-a=8e.dgcn&amp;&amp;x=pp&amp;u_9f1-a2&amp;.b/&amp;:d=rtq3usNCLM" TargetMode="External"/><Relationship Id="rId507" Type="http://schemas.openxmlformats.org/officeDocument/2006/relationships/hyperlink" Target="https://e5c9a.mailupclient.com/f/rnl.aspx/?jhe=vwt_y1w_/&amp;x=pv&amp;bdi=tzfd&amp;=suvty/7f1-a=&amp;x=pv&amp;n1&amp;j&amp;kc949&amp;25&amp;x=pp&amp;uy.-5-&amp;x=pv&amp;83dbzb4h=rr3vuyNCLM" TargetMode="External"/><Relationship Id="rId749" Type="http://schemas.openxmlformats.org/officeDocument/2006/relationships/hyperlink" Target="https://www.facebook.com/reel/2392892084530463" TargetMode="External"/><Relationship Id="rId506" Type="http://schemas.openxmlformats.org/officeDocument/2006/relationships/hyperlink" Target="https://www.facebook.com/reel/978161711529047" TargetMode="External"/><Relationship Id="rId748" Type="http://schemas.openxmlformats.org/officeDocument/2006/relationships/hyperlink" Target="https://e5c9a.mailupclient.com/f/rnl.aspx/?jhe=vwurvxsx/&amp;x=pv&amp;bdi=tzfd&amp;=suwvt/7f1-a=5k9hibg&amp;x=pv&amp;9a&amp;-c4&amp;501&amp;x=pp&amp;u_9f1-a2&amp;.b/&amp;:d=rty2vrNCLM" TargetMode="External"/><Relationship Id="rId505" Type="http://schemas.openxmlformats.org/officeDocument/2006/relationships/hyperlink" Target="https://e5c9a.mailupclient.com/f/rnl.aspx/?jhe=vwurvxsx/&amp;x=pv&amp;bdi=tzfd&amp;=suvrv/7f1-a=5k9hibg&amp;x=pv&amp;9a&amp;-c4&amp;501&amp;x=pp&amp;u_9f1-a2&amp;.b/&amp;:d=rtyxtwNCLM" TargetMode="External"/><Relationship Id="rId747" Type="http://schemas.openxmlformats.org/officeDocument/2006/relationships/hyperlink" Target="https://a2g9b4.emailsp.com/f/rnl.aspx/?fei=1wqvoxxy.9ek=vyad8=t3szpy&amp;f2::=4ibeh..e--:5d6.451&amp;x=pp&amp;r1.&amp;x=pv&amp;49-6&amp;aax00l=rvsqzNCLM" TargetMode="External"/><Relationship Id="rId989" Type="http://schemas.openxmlformats.org/officeDocument/2006/relationships/hyperlink" Target="https://www.facebook.com/baparticipacion/posts/pfbid0EB4cQrN1iH3u7G4YZcMwmp6NPeGqEmr5n4cD2wPMmMrYjPCd1s9d1H9Ha4CwQJs4l" TargetMode="External"/><Relationship Id="rId504" Type="http://schemas.openxmlformats.org/officeDocument/2006/relationships/hyperlink" Target="https://www.facebook.com/GCBA/posts/pfbid02mkiG9nFm5G63BVhZ6shaxyJDi3PhXf8wDbRbxigJ6yVPAknPZnidDSzLGXnRj91Dl" TargetMode="External"/><Relationship Id="rId746" Type="http://schemas.openxmlformats.org/officeDocument/2006/relationships/hyperlink" Target="https://www.facebook.com/reel/3916775938627139" TargetMode="External"/><Relationship Id="rId988" Type="http://schemas.openxmlformats.org/officeDocument/2006/relationships/hyperlink" Target="https://e5c9a.mailupclient.com/f/rnl.aspx/?jhe=vwurvxsx/&amp;x=pv&amp;bdi=tzfd&amp;=suznv/7f1-a=5k9hibg&amp;x=pv&amp;9a&amp;-c4&amp;501&amp;x=pp&amp;u_9f1-a2&amp;.b/&amp;:d=rtq3vsNCLM" TargetMode="External"/><Relationship Id="rId48" Type="http://schemas.openxmlformats.org/officeDocument/2006/relationships/hyperlink" Target="https://www.facebook.com/GCBA/posts/pfbid08jZno8hyH4wUURfHDj5eKgWYFcmdn1Lqh1sjbw1zmwZJ4dSZGEmpAeit2EdCjTLal" TargetMode="External"/><Relationship Id="rId47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49" Type="http://schemas.openxmlformats.org/officeDocument/2006/relationships/hyperlink" Target="https://e5c9a.mailupclient.com/f/rnl.aspx/?jhe=vwurvxsx/&amp;x=pv&amp;bdi=tzfd&amp;=stxrx/7f1-a=5k9hibg&amp;x=pv&amp;9a&amp;-c4&amp;501&amp;x=pp&amp;u_9f1-a2&amp;.b/&amp;:d=rsuyqwNCLM" TargetMode="External"/><Relationship Id="rId741" Type="http://schemas.openxmlformats.org/officeDocument/2006/relationships/hyperlink" Target="https://e5c9a.mailupclient.com/f/rnl.aspx/?jhe=1r_yq2o/a&amp;le=t/.l7=swr3q/9.99a=59ndi-a&amp;9g-7e:-49&amp;25&amp;x=pp&amp;uy.-5-&amp;x=pv&amp;83dbzb4h=rrvwxuNCLM" TargetMode="External"/><Relationship Id="rId983" Type="http://schemas.openxmlformats.org/officeDocument/2006/relationships/hyperlink" Target="https://www.facebook.com/GCBA/posts/pfbid0NZouXVjpaRX7dWN4duRKXkSB2SFM7V8kETW9PxprU5sVCx7fMuzF9a9Dt3LGaH5Zl" TargetMode="External"/><Relationship Id="rId740" Type="http://schemas.openxmlformats.org/officeDocument/2006/relationships/hyperlink" Target="https://a2g9b4.emailsp.com/f/rnl.aspx/?fei=1wqvoxxy.9ek=vyad8=t3rusy&amp;f2::=4ibeh..e--:5d6.451&amp;x=pp&amp;r1.&amp;x=pv&amp;49-6&amp;aax00l=rvpvwNCLM" TargetMode="External"/><Relationship Id="rId982" Type="http://schemas.openxmlformats.org/officeDocument/2006/relationships/hyperlink" Target="https://e5c9a.mailupclient.com/f/rnl.aspx/?jhe=vwvwwvrv/&amp;x=pv&amp;bdi=tzfd&amp;=suyvz/7f1-a=8e.dgcn&amp;&amp;x=pp&amp;u_9f1-a2&amp;.b/&amp;:d=rtq3ozNCLM" TargetMode="External"/><Relationship Id="rId981" Type="http://schemas.openxmlformats.org/officeDocument/2006/relationships/hyperlink" Target="https://www.facebook.com/GCBA/posts/pfbid0A5kQ9DgeXP1KjXiXGvawRDSoK3g2jUFh52oVeNqUNwtKdBcfjwvEXPd23hetHUadl" TargetMode="External"/><Relationship Id="rId980" Type="http://schemas.openxmlformats.org/officeDocument/2006/relationships/hyperlink" Target="https://e5c9a.mailupclient.com/f/rnl.aspx/?jhe=vwurvxsx/&amp;x=pv&amp;bdi=tzfd&amp;=suznt/7f1-a=5k9hibg&amp;x=pv&amp;9a&amp;-c4&amp;501&amp;x=pp&amp;u_9f1-a2&amp;.b/&amp;:d=rtq3uyNCLM" TargetMode="External"/><Relationship Id="rId31" Type="http://schemas.openxmlformats.org/officeDocument/2006/relationships/hyperlink" Target="https://www.facebook.com/reel/1259490412867632" TargetMode="External"/><Relationship Id="rId30" Type="http://schemas.openxmlformats.org/officeDocument/2006/relationships/hyperlink" Target="https://e5c9a.mailupclient.com/f/rnl.aspx/?jhe=vwvwwvrv/&amp;x=pv&amp;bdi=tzfd&amp;=styry/7f1-a=8e.dgcn&amp;&amp;x=pp&amp;u_9f1-a2&amp;.b/&amp;:d=rsu2ryNCLM" TargetMode="External"/><Relationship Id="rId33" Type="http://schemas.openxmlformats.org/officeDocument/2006/relationships/hyperlink" Target="https://www.facebook.com/GCBA/posts/pfbid034rFdFhu5CMuLHbUxCF393aMxjQ6Uzsq6seyeRjcjNKtzSymPzkApKt81BUxEeVj3l" TargetMode="External"/><Relationship Id="rId32" Type="http://schemas.openxmlformats.org/officeDocument/2006/relationships/hyperlink" Target="https://a2g9b4.emailsp.com/f/rnl.aspx/?fei=1vvoo/3y.9ek=vyad8=/2qqx6d90.=g2c-.a1di910337&amp;x=pp&amp;yx0-2.e16.&amp;x=pv&amp;2b5g=qq__pNCLM" TargetMode="External"/><Relationship Id="rId35" Type="http://schemas.openxmlformats.org/officeDocument/2006/relationships/hyperlink" Target="https://www.facebook.com/GCBA/posts/pfbid02PmAtvdzD176mjzPpPRZmFQTNXzNjqoKr7o9wByEVUtzkzYpigMPqtXRGysNDa6Wjl" TargetMode="External"/><Relationship Id="rId34" Type="http://schemas.openxmlformats.org/officeDocument/2006/relationships/hyperlink" Target="https://e5c9a.mailupclient.com/f/rnl.aspx/?jhe=vwurvxsx/&amp;x=pv&amp;bdi=tzfd&amp;=stxur/7f1-a=5k9hibg&amp;x=pv&amp;9a&amp;-c4&amp;501&amp;x=pp&amp;u_9f1-a2&amp;.b/&amp;:d=rsu_rtNCLM" TargetMode="External"/><Relationship Id="rId739" Type="http://schemas.openxmlformats.org/officeDocument/2006/relationships/hyperlink" Target="https://a2g9b4.emailsp.com/f/rnl.aspx/?fei=1vvoo1vy.9ek=vyad8=t3ruqy&amp;f2::=-l98i9di-10337&amp;x=pp&amp;yx0-2.e16.&amp;x=pv&amp;2b5g=qtv2wNCLM" TargetMode="External"/><Relationship Id="rId734" Type="http://schemas.openxmlformats.org/officeDocument/2006/relationships/hyperlink" Target="https://www.facebook.com/GCBA/posts/pfbid037B8Kb6DQ6dKt9mS5CNx7XqZfYqf2Rutt5WqAUp3FvUcdgydtH3fEPUXdETEYvDZdl" TargetMode="External"/><Relationship Id="rId976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733" Type="http://schemas.openxmlformats.org/officeDocument/2006/relationships/hyperlink" Target="https://e5c9a.mailupclient.com/f/rnl.aspx/?jhe=1r_yq2o/a&amp;le=t/.l7=swq2r/9.99a=59ndi-a&amp;9g-7e:-49&amp;25&amp;x=pp&amp;uy.-5-&amp;x=pv&amp;83dbzb4h=rrvw_vNCLM" TargetMode="External"/><Relationship Id="rId975" Type="http://schemas.openxmlformats.org/officeDocument/2006/relationships/hyperlink" Target="https://e5c9a.mailupclient.com/f/rnl.aspx/?jhe=1r_yq2o/a&amp;le=t/.l7=swt3t/9.99a=59ndi-a&amp;9g-7e:-49&amp;25&amp;x=pp&amp;uy.-5-&amp;x=pv&amp;83dbzb4h=rrwwwvNCLM" TargetMode="External"/><Relationship Id="rId732" Type="http://schemas.openxmlformats.org/officeDocument/2006/relationships/hyperlink" Target="https://www.facebook.com/GCBA/posts/pfbid02zcWPtZhb5DmpnPQUbSwYBXw9JWAGMsoYzE8YZHie7PVdcBL5B8dd21dgf2P4Uzg3l" TargetMode="External"/><Relationship Id="rId974" Type="http://schemas.openxmlformats.org/officeDocument/2006/relationships/hyperlink" Target="https://e5c9a.mailupclient.com/f/rnl.aspx/?jhe=1r_yq2o/a&amp;le=t/.l7=swt3n/9.99a=59ndi-a&amp;9g-7e:-49&amp;25&amp;x=pp&amp;uy.-5-&amp;x=pv&amp;83dbzb4h=rrwwu_NCLM" TargetMode="External"/><Relationship Id="rId731" Type="http://schemas.openxmlformats.org/officeDocument/2006/relationships/hyperlink" Target="https://a2g9b4.emailsp.com/f/rnl.aspx/?fei=1wqvoxxy.9ek=vyad8=t3rypy&amp;f2::=4ibeh..e--:5d6.451&amp;x=pp&amp;r1.&amp;x=pv&amp;49-6&amp;aax00l=rvruuNCLM" TargetMode="External"/><Relationship Id="rId973" Type="http://schemas.openxmlformats.org/officeDocument/2006/relationships/hyperlink" Target="https://e5c9a.mailupclient.com/f/rnl.aspx/?jhe=1r_yq2o/a&amp;le=t/.l7=swt3w/9.99a=59ndi-a&amp;9g-7e:-49&amp;25&amp;x=pp&amp;uy.-5-&amp;x=pv&amp;83dbzb4h=rrwwtzNCLM" TargetMode="External"/><Relationship Id="rId738" Type="http://schemas.openxmlformats.org/officeDocument/2006/relationships/hyperlink" Target="https://e5c9a.mailupclient.com/f/rnl.aspx/?jhe=1r_yq2o/a&amp;le=t/.l7=swrvr/9.99a=59ndi-a&amp;9g-7e:-49&amp;25&amp;x=pp&amp;uy.-5-&amp;x=pv&amp;83dbzb4h=rrvnxvNCLM" TargetMode="External"/><Relationship Id="rId737" Type="http://schemas.openxmlformats.org/officeDocument/2006/relationships/hyperlink" Target="https://a2g9b4.emailsp.com/f/rnl.aspx/?fei=1uwuq_vy.9ek=vyad8=t3ruoy&amp;f2::=2-neh9.9bd:5-cb10337&amp;x=pp&amp;yx0-2.e16.&amp;x=pv&amp;2b5g=qtv_qNCLM" TargetMode="External"/><Relationship Id="rId979" Type="http://schemas.openxmlformats.org/officeDocument/2006/relationships/hyperlink" Target="https://fb.me/adspreview/facebook/2a5pbu8JLbl6vVK" TargetMode="External"/><Relationship Id="rId736" Type="http://schemas.openxmlformats.org/officeDocument/2006/relationships/hyperlink" Target="https://a2g9b4.emailsp.com/f/rnl.aspx/?fei=1wqvoxxy.9ek=vyad8=t3rvwy&amp;f2::=4ibeh..e--:5d6.451&amp;x=pp&amp;r1.&amp;x=pv&amp;49-6&amp;aax00l=rvqo1NCLM" TargetMode="External"/><Relationship Id="rId978" Type="http://schemas.openxmlformats.org/officeDocument/2006/relationships/hyperlink" Target="https://e5c9a.mailupclient.com/f/rnl.aspx/?jhe=vwszuxsy/&amp;x=pv&amp;bdi=tzfd&amp;=suzov/7f1-a=l925n3r/&amp;749&amp;x=pp&amp;q_&amp;.99a45h-/-6l=ntsp1sNCLM" TargetMode="External"/><Relationship Id="rId735" Type="http://schemas.openxmlformats.org/officeDocument/2006/relationships/hyperlink" Target="https://e5c9a.mailupclient.com/f/rnl.aspx/?jhe=vwt_y1w_/&amp;x=pv&amp;bdi=tzfd&amp;=suxnw/7f1-a=&amp;x=pv&amp;n1&amp;j&amp;kc949&amp;25&amp;x=pp&amp;uy.-5-&amp;x=pv&amp;83dbzb4h=rrvnyvNCLM" TargetMode="External"/><Relationship Id="rId977" Type="http://schemas.openxmlformats.org/officeDocument/2006/relationships/hyperlink" Target="https://e5c9a.mailupclient.com/f/rnl.aspx/?jhe=1r_yq2o/a&amp;le=t/.l7=swt3v/9.99a=59ndi-a&amp;9g-7e:-49&amp;25&amp;x=pp&amp;uy.-5-&amp;x=pv&amp;83dbzb4h=rrwwwsNCLM" TargetMode="External"/><Relationship Id="rId37" Type="http://schemas.openxmlformats.org/officeDocument/2006/relationships/hyperlink" Target="https://e5c9a.mailupclient.com/f/rnl.aspx/?jhe=vwt_y1w_/&amp;x=pv&amp;bdi=tzfd&amp;=suwtx/7f1-a=&amp;x=pv&amp;n1&amp;j&amp;kc949&amp;25&amp;x=pp&amp;uy.-5-&amp;x=pv&amp;83dbzb4h=rr3vwvNCLM" TargetMode="External"/><Relationship Id="rId36" Type="http://schemas.openxmlformats.org/officeDocument/2006/relationships/hyperlink" Target="https://e5c9a.mailupclient.com/f/rnl.aspx/?jhe=vwvwwvrv/&amp;x=pv&amp;bdi=tzfd&amp;=stynv/7f1-a=8e.dgcn&amp;&amp;x=pp&amp;u_9f1-a2&amp;.b/&amp;:d=rsu/u_NCLM" TargetMode="External"/><Relationship Id="rId39" Type="http://schemas.openxmlformats.org/officeDocument/2006/relationships/hyperlink" Target="https://e5c9a.mailupclient.com/f/rnl.aspx/?jhe=vwurvxsx/&amp;x=pv&amp;bdi=tzfd&amp;=stxqw/7f1-a=5k9hibg&amp;x=pv&amp;9a&amp;-c4&amp;501&amp;x=pp&amp;u_9f1-a2&amp;.b/&amp;:d=rsuzpyNCLM" TargetMode="External"/><Relationship Id="rId38" Type="http://schemas.openxmlformats.org/officeDocument/2006/relationships/hyperlink" Target="https://a2g9b4.emailsp.com/f/rnl.aspx/?fei=1wqvoxxy.9ek=vyad8=/2prx6d90.=3d.lfc&amp;x=pv&amp;.&amp;e08c1-&amp;34&amp;x=pp&amp;qx-f2::19h&amp;x=pv&amp;_95j=yqxpxNCLM" TargetMode="External"/><Relationship Id="rId730" Type="http://schemas.openxmlformats.org/officeDocument/2006/relationships/hyperlink" Target="https://www.facebook.com/GCBA/posts/pfbid02bokjMrMJfAUJTRekqX3qNa2ukQi4b9YXRgJC1kDcm4tsXho31hj5hpJhHG6XHVvpl" TargetMode="External"/><Relationship Id="rId972" Type="http://schemas.openxmlformats.org/officeDocument/2006/relationships/hyperlink" Target="https://e5c9a.mailupclient.com/f/rnl.aspx/?jhe=vwvwwvrv/&amp;x=pv&amp;bdi=tzfd&amp;=suyuw/7f1-a=8e.dgcn&amp;&amp;x=pp&amp;u_9f1-a2&amp;.b/&amp;:d=rtq3nxNCLM" TargetMode="External"/><Relationship Id="rId971" Type="http://schemas.openxmlformats.org/officeDocument/2006/relationships/hyperlink" Target="https://www.facebook.com/baparticipacion/posts/pfbid02E5P9braUAV2GccdDoU5XnWpQdunbKyp2euecdWbPyj6YjMiHkcYcwf1byNzqryFpl" TargetMode="External"/><Relationship Id="rId970" Type="http://schemas.openxmlformats.org/officeDocument/2006/relationships/hyperlink" Target="https://e5c9a.mailupclient.com/f/rnl.aspx/?jhe=vwt_y1w_/&amp;x=pv&amp;bdi=tzfd&amp;=suyux/7f1-a=&amp;x=pv&amp;n1&amp;j&amp;kc949&amp;25&amp;x=pp&amp;uy.-5-&amp;x=pv&amp;83dbzb4h=rrwwrwNCLM" TargetMode="External"/><Relationship Id="rId20" Type="http://schemas.openxmlformats.org/officeDocument/2006/relationships/hyperlink" Target="https://e5c9a.mailupclient.com/f/rnl.aspx/?jhe=vwt_y1w_/&amp;x=pv&amp;bdi=tzfd&amp;=stws_/7f1-a=&amp;x=pv&amp;n1&amp;j&amp;kc949&amp;25&amp;x=pp&amp;uy.-5-&amp;x=pv&amp;83dbzb4h=rq_r_xNCLM" TargetMode="External"/><Relationship Id="rId22" Type="http://schemas.openxmlformats.org/officeDocument/2006/relationships/hyperlink" Target="https://e5c9a.mailupclient.com/f/rnl.aspx/?jhe=vwt_y1w_/&amp;x=pv&amp;bdi=tzfd&amp;=stxov/7f1-a=&amp;x=pv&amp;n1&amp;j&amp;kc949&amp;25&amp;x=pp&amp;uy.-5-&amp;x=pv&amp;83dbzb4h=rq_osyNCLM" TargetMode="External"/><Relationship Id="rId21" Type="http://schemas.openxmlformats.org/officeDocument/2006/relationships/hyperlink" Target="https://www.facebook.com/GCBA/posts/pfbid02XEqLAZ3ja1iUkCQ1AFBkuUXwxFv9zsX5K86BwUhreM4wjGsmh9yx8x8cEFwBnwo1l" TargetMode="External"/><Relationship Id="rId24" Type="http://schemas.openxmlformats.org/officeDocument/2006/relationships/hyperlink" Target="https://www.facebook.com/GCBA/posts/pfbid02dx5PKW9dhfnoR52qjj3Cxnq9opfoRmH6HwTJx9uacynmmZet5vn1FL6Xavv3J8ZXl" TargetMode="External"/><Relationship Id="rId23" Type="http://schemas.openxmlformats.org/officeDocument/2006/relationships/hyperlink" Target="https://www.facebook.com/GCBA/posts/pfbid02j9NjjKC7QJSSUrKxkX55nDiWFRmCpVKSS3w7J3VpQA3DakuvLQQ5B3z96orCNRMUl" TargetMode="External"/><Relationship Id="rId525" Type="http://schemas.openxmlformats.org/officeDocument/2006/relationships/hyperlink" Target="https://www.facebook.com/reel/1524051432758941" TargetMode="External"/><Relationship Id="rId767" Type="http://schemas.openxmlformats.org/officeDocument/2006/relationships/hyperlink" Target="https://fb.me/adspreview/facebook/1V9apKFmivykDG0" TargetMode="External"/><Relationship Id="rId524" Type="http://schemas.openxmlformats.org/officeDocument/2006/relationships/hyperlink" Target="https://www.facebook.com/reel/2170033937131074" TargetMode="External"/><Relationship Id="rId766" Type="http://schemas.openxmlformats.org/officeDocument/2006/relationships/hyperlink" Target="https://www.facebook.com/GCBA/posts/pfbid02X3EqtHQ4G8RWZddMqFzHzAmnB1b1B9BKCa6WaMikSbSdaXKfn3VD8dWT4NG2cMAfl" TargetMode="External"/><Relationship Id="rId523" Type="http://schemas.openxmlformats.org/officeDocument/2006/relationships/hyperlink" Target="https://a2g9b4.emailsp.com/f/rnl.aspx/?fei=1wqvoxxy.9ek=vyad8=t3pxoy&amp;f2::=4ibeh..e--:5d6.451&amp;x=pp&amp;r1.&amp;x=pv&amp;49-6&amp;aax00l=rurtyNCLM" TargetMode="External"/><Relationship Id="rId765" Type="http://schemas.openxmlformats.org/officeDocument/2006/relationships/hyperlink" Target="https://a2g9b4.emailsp.com/f/rnl.aspx/?fei=2orws1vy.9ek=vyad8=t3rxty&amp;f2::=7chafagb&amp;x=pp&amp;yx0-2.e16.&amp;x=pv&amp;2b5g=qtxyvNCLM" TargetMode="External"/><Relationship Id="rId522" Type="http://schemas.openxmlformats.org/officeDocument/2006/relationships/hyperlink" Target="https://fb.me/adspreview/facebook/1U1zeapxpCivxwe" TargetMode="External"/><Relationship Id="rId764" Type="http://schemas.openxmlformats.org/officeDocument/2006/relationships/hyperlink" Target="https://e5c9a.mailupclient.com/f/rnl.aspx/?jhe=1r_yq2o/a&amp;le=t/.l7=swr3o/9.99a=59ndi-a&amp;9g-7e:-49&amp;25&amp;x=pp&amp;uy.-5-&amp;x=pv&amp;83dbzb4h=rrvwuxNCLM" TargetMode="External"/><Relationship Id="rId529" Type="http://schemas.openxmlformats.org/officeDocument/2006/relationships/hyperlink" Target="https://e5c9a.mailupclient.com/f/rnl.aspx/?jhe=vwt_y1w_/&amp;x=pv&amp;bdi=tzfd&amp;=suvwu/7f1-a=&amp;x=pv&amp;n1&amp;j&amp;kc949&amp;25&amp;x=pp&amp;uy.-5-&amp;x=pv&amp;83dbzb4h=rr3nwuNCLM" TargetMode="External"/><Relationship Id="rId528" Type="http://schemas.openxmlformats.org/officeDocument/2006/relationships/hyperlink" Target="https://www.facebook.com/GCBA/posts/pfbid02aNCMtfa2ugz4oUAhKsTz8d9nWexr2u33cXHACEdWgPBU9sw8nFwG6qceFSSgEHyVl" TargetMode="External"/><Relationship Id="rId527" Type="http://schemas.openxmlformats.org/officeDocument/2006/relationships/hyperlink" Target="https://e5c9a.mailupclient.com/f/rnl.aspx/?jhe=1r_yq2o/a&amp;le=t/.l7=swy_r/9.99a=59ndi-a&amp;9g-7e:-49&amp;25&amp;x=pp&amp;uy.-5-&amp;x=pv&amp;83dbzb4h=rq2vwvNCLM" TargetMode="External"/><Relationship Id="rId769" Type="http://schemas.openxmlformats.org/officeDocument/2006/relationships/hyperlink" Target="https://a2g9b4.emailsp.com/f/rnl.aspx/?fei=1vvoo_2y.9ek=vyad8=t3rxry&amp;f2::=k702m1k6.451&amp;x=pp&amp;r1.&amp;x=pv&amp;49-6&amp;aax00l=rvrowNCLM" TargetMode="External"/><Relationship Id="rId526" Type="http://schemas.openxmlformats.org/officeDocument/2006/relationships/hyperlink" Target="https://e5c9a.mailupclient.com/f/rnl.aspx/?jhe=1r_yq2o/a&amp;le=t/.l7=swy/p/9.99a=59ndi-a&amp;9g-7e:-49&amp;25&amp;x=pp&amp;uy.-5-&amp;x=pv&amp;83dbzb4h=rq2vvzNCLM" TargetMode="External"/><Relationship Id="rId768" Type="http://schemas.openxmlformats.org/officeDocument/2006/relationships/hyperlink" Target="https://e5c9a.mailupclient.com/f/rnl.aspx/?jhe=vwurvxsx/&amp;x=pv&amp;bdi=tzfd&amp;=suwvs/7f1-a=5k9hibg&amp;x=pv&amp;9a&amp;-c4&amp;501&amp;x=pp&amp;u_9f1-a2&amp;.b/&amp;:d=rty2uxNCLM" TargetMode="External"/><Relationship Id="rId26" Type="http://schemas.openxmlformats.org/officeDocument/2006/relationships/hyperlink" Target="https://www.facebook.com/GCBA/posts/pfbid02SB5PG237gJvSQGMPLHpQAP5b6uxqxh8AqRUS3csVWmCnYyvd77i8d67LSBMnBtg8l" TargetMode="External"/><Relationship Id="rId25" Type="http://schemas.openxmlformats.org/officeDocument/2006/relationships/hyperlink" Target="https://e5c9a.mailupclient.com/f/rnl.aspx/?jhe=vwt_y1w_/&amp;x=pv&amp;bdi=tzfd&amp;=stxnz/7f1-a=&amp;x=pv&amp;n1&amp;j&amp;kc949&amp;25&amp;x=pp&amp;uy.-5-&amp;x=pv&amp;83dbzb4h=rq_o_rNCLM" TargetMode="External"/><Relationship Id="rId28" Type="http://schemas.openxmlformats.org/officeDocument/2006/relationships/hyperlink" Target="https://www.facebook.com/GCBA/posts/pfbid0yZFqpziwsSvEpGHnbKnvgTkMNo6Ys8gfLmUBqRKhRCH71tiHcf1cXzt2RhCmokjMl" TargetMode="External"/><Relationship Id="rId27" Type="http://schemas.openxmlformats.org/officeDocument/2006/relationships/hyperlink" Target="https://e5c9a.mailupclient.com/f/rnl.aspx/?jhe=vwt_y1w_/&amp;x=pv&amp;bdi=tzfd&amp;=stywy/7f1-a=&amp;x=pv&amp;n1&amp;j&amp;kc949&amp;25&amp;x=pp&amp;uy.-5-&amp;x=pv&amp;83dbzb4h=rq/wssNCLM" TargetMode="External"/><Relationship Id="rId521" Type="http://schemas.openxmlformats.org/officeDocument/2006/relationships/hyperlink" Target="https://a2g9b4.emailsp.com/f/rnl.aspx/?fei=1wqvoxxy.9ek=vyad8=t3pxpy&amp;f2::=4ibeh..e--:5d6.451&amp;x=pp&amp;r1.&amp;x=pv&amp;49-6&amp;aax00l=rurtuNCLM" TargetMode="External"/><Relationship Id="rId763" Type="http://schemas.openxmlformats.org/officeDocument/2006/relationships/hyperlink" Target="https://a2g9b4.emailsp.com/f/rnl.aspx/?fei=1wqvoxxy.9ek=vyad8=t3rxny&amp;f2::=4ibeh..e--:5d6.451&amp;x=pp&amp;r1.&amp;x=pv&amp;49-6&amp;aax00l=rvrxzNCLM" TargetMode="External"/><Relationship Id="rId29" Type="http://schemas.openxmlformats.org/officeDocument/2006/relationships/hyperlink" Target="https://www.facebook.com/GCBA/posts/pfbid02fhrsXdCgnCn19Gs1k1PTjbTdAfYLBMqW3w4zhQLgJqH8r8uW4azYikpQk6Js8WNcl" TargetMode="External"/><Relationship Id="rId520" Type="http://schemas.openxmlformats.org/officeDocument/2006/relationships/hyperlink" Target="https://fb.me/adspreview/facebook/28Yf2et3oSUA5wW" TargetMode="External"/><Relationship Id="rId762" Type="http://schemas.openxmlformats.org/officeDocument/2006/relationships/hyperlink" Target="https://e5c9a.mailupclient.com/f/rnl.aspx/?jhe=vwszuxsy/&amp;x=pv&amp;bdi=tzfd&amp;=suxwt/7f1-a=l925n3r/&amp;749&amp;x=pp&amp;q_&amp;.99a45h-/-6l=ntryzwNCLM" TargetMode="External"/><Relationship Id="rId761" Type="http://schemas.openxmlformats.org/officeDocument/2006/relationships/hyperlink" Target="https://e5c9a.mailupclient.com/f/rnl.aspx/?jhe=vwurvxsx/&amp;x=pv&amp;bdi=tzfd&amp;=suwvz/7f1-a=5k9hibg&amp;x=pv&amp;9a&amp;-c4&amp;501&amp;x=pp&amp;u_9f1-a2&amp;.b/&amp;:d=rtp3puNCLM" TargetMode="External"/><Relationship Id="rId760" Type="http://schemas.openxmlformats.org/officeDocument/2006/relationships/hyperlink" Target="https://fb.me/adspreview/facebook/1SpONunatJUaAO1" TargetMode="External"/><Relationship Id="rId11" Type="http://schemas.openxmlformats.org/officeDocument/2006/relationships/hyperlink" Target="https://www.facebook.com/GCBA/posts/1295953569230956" TargetMode="External"/><Relationship Id="rId10" Type="http://schemas.openxmlformats.org/officeDocument/2006/relationships/hyperlink" Target="https://e5c9a.mailupclient.com/f/rnl.aspx/?jhe=vwt_y1w_/&amp;x=pv&amp;bdi=tzfd&amp;=styor/7f1-a=&amp;x=pv&amp;n1&amp;j&amp;kc949&amp;25&amp;x=pp&amp;uy.-5-&amp;x=pv&amp;83dbzb4h=rq_trxNCLM" TargetMode="External"/><Relationship Id="rId13" Type="http://schemas.openxmlformats.org/officeDocument/2006/relationships/hyperlink" Target="https://e5c9a.mailupclient.com/f/rnl.aspx/?jhe=vwt_y1w_/&amp;x=pv&amp;bdi=tzfd&amp;=stzwz/7f1-a=&amp;x=pv&amp;n1&amp;j&amp;kc949&amp;25&amp;x=pp&amp;uy.-5-&amp;x=pv&amp;83dbzb4h=rq/oruNCLM" TargetMode="External"/><Relationship Id="rId12" Type="http://schemas.openxmlformats.org/officeDocument/2006/relationships/hyperlink" Target="https://e5c9a.mailupclient.com/f/rnl.aspx/?jhe=vwt_y1w_/&amp;x=pv&amp;bdi=tzfd&amp;=stxrw/7f1-a=&amp;x=pv&amp;n1&amp;j&amp;kc949&amp;25&amp;x=pp&amp;uy.-5-&amp;x=pv&amp;83dbzb4h=rq_pzrNCLM" TargetMode="External"/><Relationship Id="rId519" Type="http://schemas.openxmlformats.org/officeDocument/2006/relationships/hyperlink" Target="https://a2g9b4.emailsp.com/f/rnl.aspx/?fei=2orws1vy.9ek=vyad8=t3qsvy&amp;f2::=7chafagb&amp;x=pp&amp;yx0-2.e16.&amp;x=pv&amp;2b5g=qs_ywNCLM" TargetMode="External"/><Relationship Id="rId514" Type="http://schemas.openxmlformats.org/officeDocument/2006/relationships/hyperlink" Target="https://a2g9b4.emailsp.com/f/rnl.aspx/?fei=1wqvoxxy.9ek=vyad8=t3pwoy&amp;f2::=4ibeh..e--:5d6.451&amp;x=pp&amp;r1.&amp;x=pv&amp;49-6&amp;aax00l=rurotNCLM" TargetMode="External"/><Relationship Id="rId756" Type="http://schemas.openxmlformats.org/officeDocument/2006/relationships/hyperlink" Target="https://www.facebook.com/GCBA/posts/pfbid0oY9243eQEN1s4vr3q4i9c9MTkWTtfjzAv2zSMDXHTwtEwBnaXoezgKYx4ARYMWVwl" TargetMode="External"/><Relationship Id="rId998" Type="http://schemas.openxmlformats.org/officeDocument/2006/relationships/hyperlink" Target="https://e5c9a.mailupclient.com/f/rnl.aspx/?jhe=1r_yq2o/a&amp;le=t/.l7=swtxs/9.99a=59ndi-a&amp;9g-7e:-49&amp;25&amp;x=pp&amp;uy.-5-&amp;x=pv&amp;83dbzb4h=rrwovuNCLM" TargetMode="External"/><Relationship Id="rId513" Type="http://schemas.openxmlformats.org/officeDocument/2006/relationships/hyperlink" Target="https://e5c9a.mailupclient.com/f/rnl.aspx/?jhe=vwvwwvrv/&amp;x=pv&amp;bdi=tzfd&amp;=su3ps/7f1-a=8e.dgcn&amp;&amp;x=pp&amp;u_9f1-a2&amp;.b/&amp;:d=rsx1w_NCLM" TargetMode="External"/><Relationship Id="rId755" Type="http://schemas.openxmlformats.org/officeDocument/2006/relationships/hyperlink" Target="https://e5c9a.mailupclient.com/f/rnl.aspx/?jhe=vwurvxsx/&amp;x=pv&amp;bdi=tzfd&amp;=suwvy/7f1-a=5k9hibg&amp;x=pv&amp;9a&amp;-c4&amp;501&amp;x=pp&amp;u_9f1-a2&amp;.b/&amp;:d=rtp3prNCLM" TargetMode="External"/><Relationship Id="rId997" Type="http://schemas.openxmlformats.org/officeDocument/2006/relationships/hyperlink" Target="https://e5c9a.mailupclient.com/f/rnl.aspx/?jhe=1r_yq2o/a&amp;le=t/.l7=swtyr/9.99a=59ndi-a&amp;9g-7e:-49&amp;25&amp;x=pp&amp;uy.-5-&amp;x=pv&amp;83dbzb4h=rrwovyNCLM" TargetMode="External"/><Relationship Id="rId512" Type="http://schemas.openxmlformats.org/officeDocument/2006/relationships/hyperlink" Target="https://www.facebook.com/GCBA/posts/pfbid02yZmqzW27WZWmV78Fctq2sNgCipDpR11wQfc5ArDrGXxh4ExLJX9nJtQtEzD3rTDGl" TargetMode="External"/><Relationship Id="rId754" Type="http://schemas.openxmlformats.org/officeDocument/2006/relationships/hyperlink" Target="https://e5c9a.mailupclient.com/f/rnl.aspx/?jhe=vwvwwvrv/&amp;x=pv&amp;bdi=tzfd&amp;=suxnr/7f1-a=8e.dgcn&amp;&amp;x=pp&amp;u_9f1-a2&amp;.b/&amp;:d=rtpvsvNCLM" TargetMode="External"/><Relationship Id="rId996" Type="http://schemas.openxmlformats.org/officeDocument/2006/relationships/hyperlink" Target="https://e5c9a.mailupclient.com/f/rnl.aspx/?jhe=vwt_y1w_/&amp;x=pv&amp;bdi=tzfd&amp;=suzps/7f1-a=&amp;x=pv&amp;n1&amp;j&amp;kc949&amp;25&amp;x=pp&amp;uy.-5-&amp;x=pv&amp;83dbzb4h=rrwos_NCLM" TargetMode="External"/><Relationship Id="rId511" Type="http://schemas.openxmlformats.org/officeDocument/2006/relationships/hyperlink" Target="https://e5c9a.mailupclient.com/f/rnl.aspx/?jhe=vwszuxsy/&amp;x=pv&amp;bdi=tzfd&amp;=su3pr/7f1-a=l925n3r/&amp;749&amp;x=pp&amp;q_&amp;.99a45h-/-6l=nszv1tNCLM" TargetMode="External"/><Relationship Id="rId753" Type="http://schemas.openxmlformats.org/officeDocument/2006/relationships/hyperlink" Target="https://e5c9a.mailupclient.com/f/rnl.aspx/?jhe=vwt_y1w_/&amp;x=pv&amp;bdi=tzfd&amp;=suwvu/7f1-a=&amp;x=pv&amp;n1&amp;j&amp;kc949&amp;25&amp;x=pp&amp;uy.-5-&amp;x=pv&amp;83dbzb4h=rrvwsxNCLM" TargetMode="External"/><Relationship Id="rId995" Type="http://schemas.openxmlformats.org/officeDocument/2006/relationships/hyperlink" Target="https://www.facebook.com/reel/1333766678147057" TargetMode="External"/><Relationship Id="rId518" Type="http://schemas.openxmlformats.org/officeDocument/2006/relationships/hyperlink" Target="https://www.facebook.com/GCBA/posts/pfbid02oc4eGpxiTuWbRHkbF7CMFJgXHy2yjdoztoFr8hDs9YJLbAr91HSjsiqNqAK4F7opl" TargetMode="External"/><Relationship Id="rId517" Type="http://schemas.openxmlformats.org/officeDocument/2006/relationships/hyperlink" Target="https://a2g9b4.emailsp.com/f/rnl.aspx/?fei=1wqvoxxy.9ek=vyad8=t3pwqy&amp;f2::=4ibeh..e--:5d6.451&amp;x=pp&amp;r1.&amp;x=pv&amp;49-6&amp;aax00l=rurpzNCLM" TargetMode="External"/><Relationship Id="rId759" Type="http://schemas.openxmlformats.org/officeDocument/2006/relationships/hyperlink" Target="https://fb.me/adspreview/facebook/2qtNxRexPCxzyL9" TargetMode="External"/><Relationship Id="rId516" Type="http://schemas.openxmlformats.org/officeDocument/2006/relationships/hyperlink" Target="https://www.facebook.com/GCBA/posts/pfbid0oQofRyGp5qUhzGprJBX3geZJ71j9yNm2xJPKdPnP1j15Ftg9N3Bn5bVngUmVYNVnl" TargetMode="External"/><Relationship Id="rId758" Type="http://schemas.openxmlformats.org/officeDocument/2006/relationships/hyperlink" Target="https://e5c9a.mailupclient.com/f/rnl.aspx/?jhe=vwszuxsy/&amp;x=pv&amp;bdi=tzfd&amp;=suxwr/7f1-a=l925n3r/&amp;749&amp;x=pp&amp;q_&amp;.99a45h-/-6l=ntryyqNCLM" TargetMode="External"/><Relationship Id="rId515" Type="http://schemas.openxmlformats.org/officeDocument/2006/relationships/hyperlink" Target="https://a2g9b4.emailsp.com/f/rnl.aspx/?fei=1vvoo1vy.9ek=vyad8=t3pwpy&amp;f2::=-l98i9di-10337&amp;x=pp&amp;yx0-2.e16.&amp;x=pv&amp;2b5g=qszvqNCLM" TargetMode="External"/><Relationship Id="rId757" Type="http://schemas.openxmlformats.org/officeDocument/2006/relationships/hyperlink" Target="https://e5c9a.mailupclient.com/f/rnl.aspx/?jhe=1r_yq2o/a&amp;le=t/.l7=swrwn/9.99a=59ndi-a&amp;9g-7e:-49&amp;25&amp;x=pp&amp;uy.-5-&amp;x=pv&amp;83dbzb4h=rrvorrNCLM" TargetMode="External"/><Relationship Id="rId999" Type="http://schemas.openxmlformats.org/officeDocument/2006/relationships/hyperlink" Target="https://a2g9b4.emailsp.com/f/rnl.aspx/?fei=1vvoo1vy.9ek=vyad8=t3twny&amp;f2::=-l98i9di-10337&amp;x=pp&amp;yx0-2.e16.&amp;x=pv&amp;2b5g=quyzqNCLM" TargetMode="External"/><Relationship Id="rId15" Type="http://schemas.openxmlformats.org/officeDocument/2006/relationships/hyperlink" Target="https://e5c9a.mailupclient.com/f/rnl.aspx/?jhe=vwt_y1w_/&amp;x=pv&amp;bdi=tzfd&amp;=stxvr/7f1-a=&amp;x=pv&amp;n1&amp;j&amp;kc949&amp;25&amp;x=pp&amp;uy.-5-&amp;x=pv&amp;83dbzb4h=rq_rvwNCLM" TargetMode="External"/><Relationship Id="rId990" Type="http://schemas.openxmlformats.org/officeDocument/2006/relationships/hyperlink" Target="https://e5c9a.mailupclient.com/f/rnl.aspx/?jhe=vwvwwvrv/&amp;x=pv&amp;bdi=tzfd&amp;=suzp_/7f1-a=8e.dgcn&amp;&amp;x=pp&amp;u_9f1-a2&amp;.b/&amp;:d=rtqvv_NCLM" TargetMode="External"/><Relationship Id="rId14" Type="http://schemas.openxmlformats.org/officeDocument/2006/relationships/hyperlink" Target="https://www.facebook.com/GCBA/posts/pfbid02j9NjjKC7QJSSUrKxkX55nDiWFRmCpVKSS3w7J3VpQA3DakuvLQQ5B3z96orCNRMUl" TargetMode="External"/><Relationship Id="rId17" Type="http://schemas.openxmlformats.org/officeDocument/2006/relationships/hyperlink" Target="https://www.facebook.com/GCBA/posts/pfbid0swuyoC42Lys1AAsD6UQ7EPU5B43KXVdVXxxXU4X9oHEJ7DjKXtavLAdDHd6BpccBl" TargetMode="External"/><Relationship Id="rId16" Type="http://schemas.openxmlformats.org/officeDocument/2006/relationships/hyperlink" Target="https://www.facebook.com/GCBA/posts/pfbid02QwxLwyKnw9PCTX9BXhgSSH5hJ3u56noy7igZq9orxmSsVPqjj4MMUZ5SD9xXWWQ3l" TargetMode="External"/><Relationship Id="rId19" Type="http://schemas.openxmlformats.org/officeDocument/2006/relationships/hyperlink" Target="https://www.facebook.com/GCBA/posts/pfbid02fZ6eoJSg8zqDVE3RogP3nnn5hqo9sxTPxRzzs7HgyWNUmM6XZmtSLLNohgBDJZ2xl" TargetMode="External"/><Relationship Id="rId510" Type="http://schemas.openxmlformats.org/officeDocument/2006/relationships/hyperlink" Target="https://www.facebook.com/baparticipacion/posts/pfbid026g3Uz2gbNkm5uvV6VthN6oicMxWbg3GjhLLUX2GDNFuTZHzqY6MqveU9jfBMid9ul" TargetMode="External"/><Relationship Id="rId752" Type="http://schemas.openxmlformats.org/officeDocument/2006/relationships/hyperlink" Target="https://e5c9a.mailupclient.com/f/rnl.aspx/?jhe=vwurvxsx/&amp;x=pv&amp;bdi=tzfd&amp;=suxwx/7f1-a=5k9hibg&amp;x=pv&amp;9a&amp;-c4&amp;501&amp;x=pp&amp;u_9f1-a2&amp;.b/&amp;:d=rtpvorNCLM" TargetMode="External"/><Relationship Id="rId994" Type="http://schemas.openxmlformats.org/officeDocument/2006/relationships/hyperlink" Target="https://e5c9a.mailupclient.com/f/rnl.aspx/?jhe=1r_yq2o/a&amp;le=t/.l7=swtvq/9.99a=59ndi-a&amp;9g-7e:-49&amp;25&amp;x=pp&amp;uy.-5-&amp;x=pv&amp;83dbzb4h=rrwwyvNCLM" TargetMode="External"/><Relationship Id="rId18" Type="http://schemas.openxmlformats.org/officeDocument/2006/relationships/hyperlink" Target="https://e5c9a.mailupclient.com/f/rnl.aspx/?jhe=vwvwwvrv/&amp;x=pv&amp;bdi=tzfd&amp;=stxus/7f1-a=8e.dgcn&amp;&amp;x=pp&amp;u_9f1-a2&amp;.b/&amp;:d=rsuzqtNCLM" TargetMode="External"/><Relationship Id="rId751" Type="http://schemas.openxmlformats.org/officeDocument/2006/relationships/hyperlink" Target="https://www.facebook.com/GCBA/posts/pfbid0xUSsN2VyZ89gZ4mJrc7vg28WsLE9vppNRqYiwKwMvybMGDnTY5wEDsosBfdX4qtQl" TargetMode="External"/><Relationship Id="rId993" Type="http://schemas.openxmlformats.org/officeDocument/2006/relationships/hyperlink" Target="https://www.facebook.com/baparticipacion/posts/pfbid037qtw3oWHq5jBhk3YywZcc5Ujr5fwx5JCM42MJ8PEp9kgNoC2JZT8ZJdZk9iwKRZyl" TargetMode="External"/><Relationship Id="rId750" Type="http://schemas.openxmlformats.org/officeDocument/2006/relationships/hyperlink" Target="https://e5c9a.mailupclient.com/f/rnl.aspx/?jhe=vwszuxsy/&amp;x=pv&amp;bdi=tzfd&amp;=suxwv/7f1-a=l925n3r/&amp;749&amp;x=pp&amp;q_&amp;.99a45h-/-6l=ntrpvrNCLM" TargetMode="External"/><Relationship Id="rId992" Type="http://schemas.openxmlformats.org/officeDocument/2006/relationships/hyperlink" Target="https://e5c9a.mailupclient.com/f/rnl.aspx/?jhe=vwurvxsx/&amp;x=pv&amp;bdi=tzfd&amp;=suzns/7f1-a=5k9hibg&amp;x=pv&amp;9a&amp;-c4&amp;501&amp;x=pp&amp;u_9f1-a2&amp;.b/&amp;:d=rtq3uuNCLM" TargetMode="External"/><Relationship Id="rId991" Type="http://schemas.openxmlformats.org/officeDocument/2006/relationships/hyperlink" Target="https://www.facebook.com/baparticipacion/posts/pfbid04rFhL1GxaswabuW6oAd8UqBuFvenPdwNSiRaYPh5agZp5WKUReLrPFTbh8zm9cW4l" TargetMode="External"/><Relationship Id="rId84" Type="http://schemas.openxmlformats.org/officeDocument/2006/relationships/hyperlink" Target="https://fb.me/adspreview/facebook/xMT36MnFuXZIDzt" TargetMode="External"/><Relationship Id="rId83" Type="http://schemas.openxmlformats.org/officeDocument/2006/relationships/hyperlink" Target="https://e5c9a.mailupclient.com/f/rnl.aspx/?jhe=vwvwwvrv/&amp;x=pv&amp;bdi=tzfd&amp;=stynr/7f1-a=8e.dgcn&amp;&amp;x=pp&amp;u_9f1-a2&amp;.b/&amp;:d=rsu/pvNCLM" TargetMode="External"/><Relationship Id="rId86" Type="http://schemas.openxmlformats.org/officeDocument/2006/relationships/hyperlink" Target="https://www.facebook.com/GCBA/posts/pfbid0337UG4zRXFbMrDgWhEvo65XfwWurZKf1GK8RZQ5Pka9jErhk36TCLtEoR98b6H6GGl" TargetMode="External"/><Relationship Id="rId85" Type="http://schemas.openxmlformats.org/officeDocument/2006/relationships/hyperlink" Target="https://e5c9a.mailupclient.com/f/rnl.aspx/?jhe=vwurvxsx/&amp;x=pv&amp;bdi=tzfd&amp;=styov/7f1-a=5k9hibg&amp;x=pv&amp;9a&amp;-c4&amp;501&amp;x=pp&amp;u_9f1-a2&amp;.b/&amp;:d=rsu/pwNCLM" TargetMode="External"/><Relationship Id="rId88" Type="http://schemas.openxmlformats.org/officeDocument/2006/relationships/hyperlink" Target="https://www.facebook.com/reel/25959631640339458" TargetMode="External"/><Relationship Id="rId87" Type="http://schemas.openxmlformats.org/officeDocument/2006/relationships/hyperlink" Target="https://e5c9a.mailupclient.com/f/rnl.aspx/?jhe=vwvwwvrv/&amp;x=pv&amp;bdi=tzfd&amp;=stysr/7f1-a=8e.dgcn&amp;&amp;x=pp&amp;u_9f1-a2&amp;.b/&amp;:d=rsu2swNCLM" TargetMode="External"/><Relationship Id="rId89" Type="http://schemas.openxmlformats.org/officeDocument/2006/relationships/hyperlink" Target="https://e5c9a.mailupclient.com/f/rnl.aspx/?jhe=vwvwwvrv/&amp;x=pv&amp;bdi=tzfd&amp;=styqv/7f1-a=8e.dgcn&amp;&amp;x=pp&amp;u_9f1-a2&amp;.b/&amp;:d=rsu2wvNCLM" TargetMode="External"/><Relationship Id="rId709" Type="http://schemas.openxmlformats.org/officeDocument/2006/relationships/hyperlink" Target="https://fb.me/adspreview/facebook/qyoI6VfQlN9eSCR" TargetMode="External"/><Relationship Id="rId708" Type="http://schemas.openxmlformats.org/officeDocument/2006/relationships/hyperlink" Target="https://e5c9a.mailupclient.com/f/rnl.aspx/?jhe=1r_yq2o/a&amp;le=t/.l7=swqxn/9.99a=59ndi-a&amp;9g-7e:-49&amp;25&amp;x=pp&amp;uy.-5-&amp;x=pv&amp;83dbzb4h=rr3ttuNCLM" TargetMode="External"/><Relationship Id="rId707" Type="http://schemas.openxmlformats.org/officeDocument/2006/relationships/hyperlink" Target="https://e5c9a.mailupclient.com/f/rnl.aspx/?jhe=vwvwwvrv/&amp;x=pv&amp;bdi=tzfd&amp;=suwsy/7f1-a=8e.dgcn&amp;&amp;x=pp&amp;u_9f1-a2&amp;.b/&amp;:d=rty2n_NCLM" TargetMode="External"/><Relationship Id="rId949" Type="http://schemas.openxmlformats.org/officeDocument/2006/relationships/hyperlink" Target="https://a2g9b4.emailsp.com/f/rnl.aspx/?fei=1vvoo_2y.9ek=vyad8=t3trny&amp;f2::=k702m1k6.451&amp;x=pp&amp;r1.&amp;x=pv&amp;49-6&amp;aax00l=rwou/NCLM" TargetMode="External"/><Relationship Id="rId706" Type="http://schemas.openxmlformats.org/officeDocument/2006/relationships/hyperlink" Target="https://e5c9a.mailupclient.com/f/rnl.aspx/?jhe=vwvwwvrv/&amp;x=pv&amp;bdi=tzfd&amp;=suwpw/7f1-a=8e.dgcn&amp;&amp;x=pp&amp;u_9f1-a2&amp;.b/&amp;:d=rty/syNCLM" TargetMode="External"/><Relationship Id="rId948" Type="http://schemas.openxmlformats.org/officeDocument/2006/relationships/hyperlink" Target="https://www.facebook.com/baparticipacion/posts/pfbid0AkC4KnzR9iBBuhU6CXSHuh8oigcs8PqAGLqY24QrzkeNApBzBKw5VGLqTzb9C5aWl" TargetMode="External"/><Relationship Id="rId80" Type="http://schemas.openxmlformats.org/officeDocument/2006/relationships/hyperlink" Target="https://fb.me/adspreview/facebook/27utMxPibDIBULh" TargetMode="External"/><Relationship Id="rId82" Type="http://schemas.openxmlformats.org/officeDocument/2006/relationships/hyperlink" Target="https://www.facebook.com/GCBA/posts/pfbid02skUdtrbsimuTryUG4RHgFZofPSnLrmz2LKHSqBZbBiyVryTXEaMk43DgH54kd2xbl" TargetMode="External"/><Relationship Id="rId81" Type="http://schemas.openxmlformats.org/officeDocument/2006/relationships/hyperlink" Target="https://e5c9a.mailupclient.com/f/rnl.aspx/?jhe=vwurvxsx/&amp;x=pv&amp;bdi=tzfd&amp;=stywu/7f1-a=5k9hibg&amp;x=pv&amp;9a&amp;-c4&amp;501&amp;x=pp&amp;u_9f1-a2&amp;.b/&amp;:d=rsu_prNCLM" TargetMode="External"/><Relationship Id="rId701" Type="http://schemas.openxmlformats.org/officeDocument/2006/relationships/hyperlink" Target="https://a2g9b4.emailsp.com/f/rnl.aspx/?fei=1vvoo1vy.9ek=vyad8=t3rqty&amp;f2::=-l98i9di-10337&amp;x=pp&amp;yx0-2.e16.&amp;x=pv&amp;2b5g=qtu_tNCLM" TargetMode="External"/><Relationship Id="rId943" Type="http://schemas.openxmlformats.org/officeDocument/2006/relationships/hyperlink" Target="https://e5c9a.mailupclient.com/f/rnl.aspx/?jhe=vwt_y1w_/&amp;x=pv&amp;bdi=tzfd&amp;=suzuz/7f1-a=&amp;x=pv&amp;n1&amp;j&amp;kc949&amp;25&amp;x=pp&amp;uy.-5-&amp;x=pv&amp;83dbzb4h=rrwqyuNCLM" TargetMode="External"/><Relationship Id="rId700" Type="http://schemas.openxmlformats.org/officeDocument/2006/relationships/hyperlink" Target="https://a2g9b4.emailsp.com/f/rnl.aspx/?fei=2orws1vy.9ek=vyad8=t3rury&amp;f2::=7chafagb&amp;x=pp&amp;yx0-2.e16.&amp;x=pv&amp;2b5g=qtwvsNCLM" TargetMode="External"/><Relationship Id="rId942" Type="http://schemas.openxmlformats.org/officeDocument/2006/relationships/hyperlink" Target="https://www.facebook.com/GCBA/posts/pfbid0hL6DnVWapHTEjHavJnJmhZrAV1oeXCFP5cu7KwkKVcgsUFRBsTZSBTT4W1LM6t76l" TargetMode="External"/><Relationship Id="rId941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940" Type="http://schemas.openxmlformats.org/officeDocument/2006/relationships/hyperlink" Target="https://www.facebook.com/reel/1658547745215552" TargetMode="External"/><Relationship Id="rId705" Type="http://schemas.openxmlformats.org/officeDocument/2006/relationships/hyperlink" Target="https://e5c9a.mailupclient.com/f/rnl.aspx/?jhe=vwurvxsx/&amp;x=pv&amp;bdi=tzfd&amp;=suwp_/7f1-a=5k9hibg&amp;x=pv&amp;9a&amp;-c4&amp;501&amp;x=pp&amp;u_9f1-a2&amp;.b/&amp;:d=rty/ryNCLM" TargetMode="External"/><Relationship Id="rId947" Type="http://schemas.openxmlformats.org/officeDocument/2006/relationships/hyperlink" Target="https://www.facebook.com/GCBA/posts/pfbid037MiiHWnSJuAZbmEN4MWTeQWEiyEjLemT7MWQ7YXNnyJyeft5nCp6qUnvRCj7uv2Yl" TargetMode="External"/><Relationship Id="rId704" Type="http://schemas.openxmlformats.org/officeDocument/2006/relationships/hyperlink" Target="https://www.facebook.com/GCBA/posts/pfbid0huhtVvM2wGsnS6Tn4qvs9bifh35JSbYkVvsT81dLqZXDA8gA5VNEYq5LE1TS1BXhl" TargetMode="External"/><Relationship Id="rId946" Type="http://schemas.openxmlformats.org/officeDocument/2006/relationships/hyperlink" Target="https://e5c9a.mailupclient.com/f/rnl.aspx/?jhe=vwurvxsx/&amp;x=pv&amp;bdi=tzfd&amp;=suyqx/7f1-a=5k9hibg&amp;x=pv&amp;9a&amp;-c4&amp;501&amp;x=pp&amp;u_9f1-a2&amp;.b/&amp;:d=rtp1ovNCLM" TargetMode="External"/><Relationship Id="rId703" Type="http://schemas.openxmlformats.org/officeDocument/2006/relationships/hyperlink" Target="https://e5c9a.mailupclient.com/f/rnl.aspx/?jhe=vwurvxsx/&amp;x=pv&amp;bdi=tzfd&amp;=suwrw/7f1-a=5k9hibg&amp;x=pv&amp;9a&amp;-c4&amp;501&amp;x=pp&amp;u_9f1-a2&amp;.b/&amp;:d=rty1qxNCLM" TargetMode="External"/><Relationship Id="rId945" Type="http://schemas.openxmlformats.org/officeDocument/2006/relationships/hyperlink" Target="https://e5c9a.mailupclient.com/f/rnl.aspx/?jhe=vwt_y1w_/&amp;x=pv&amp;bdi=tzfd&amp;=suzuy/7f1-a=&amp;x=pv&amp;n1&amp;j&amp;kc949&amp;25&amp;x=pp&amp;uy.-5-&amp;x=pv&amp;83dbzb4h=rrwqyyNCLM" TargetMode="External"/><Relationship Id="rId702" Type="http://schemas.openxmlformats.org/officeDocument/2006/relationships/hyperlink" Target="https://www.facebook.com/GCBA/posts/pfbid02a12FFVZSMZjQ3ZJfe2Ss5pqzSM8cvYyREmX99cqDxCiUDTRUWmrKMethJ8WXNsAyl" TargetMode="External"/><Relationship Id="rId944" Type="http://schemas.openxmlformats.org/officeDocument/2006/relationships/hyperlink" Target="https://www.facebook.com/GCBA/posts/pfbid02yWyBiqhzRGVqqWo4wAFMjpuCdCXBAKuNVMMEAvS8QuuNwD6NK6T56RXZ9yfwrvXjl" TargetMode="External"/><Relationship Id="rId73" Type="http://schemas.openxmlformats.org/officeDocument/2006/relationships/hyperlink" Target="https://e5c9a.mailupclient.com/f/rnl.aspx/?jhe=vwurvxsx/&amp;x=pv&amp;bdi=tzfd&amp;=styw_/7f1-a=5k9hibg&amp;x=pv&amp;9a&amp;-c4&amp;501&amp;x=pp&amp;u_9f1-a2&amp;.b/&amp;:d=rsu_usNCLM" TargetMode="External"/><Relationship Id="rId72" Type="http://schemas.openxmlformats.org/officeDocument/2006/relationships/hyperlink" Target="https://www.facebook.com/GCBA/posts/pfbid0BsWeHieuJG1uGtxTuMBe5GYGU77PsY829qhF8HeGWpSsWmLpxTT9CTzWTUa3pxfbl" TargetMode="External"/><Relationship Id="rId75" Type="http://schemas.openxmlformats.org/officeDocument/2006/relationships/hyperlink" Target="https://e5c9a.mailupclient.com/f/rnl.aspx/?jhe=vwvwwvrv/&amp;x=pv&amp;bdi=tzfd&amp;=stysz/7f1-a=8e.dgcn&amp;&amp;x=pp&amp;u_9f1-a2&amp;.b/&amp;:d=rsv3oyNCLM" TargetMode="External"/><Relationship Id="rId74" Type="http://schemas.openxmlformats.org/officeDocument/2006/relationships/hyperlink" Target="https://www.facebook.com/reel/1985348935347886" TargetMode="External"/><Relationship Id="rId77" Type="http://schemas.openxmlformats.org/officeDocument/2006/relationships/hyperlink" Target="https://www.facebook.com/GCBA/posts/pfbid034yhPZN5yb3JKe4gVWvnfg3JxEqjRYwvE5KVfa8FhtU9xnt4fvGGv6PfcJxxWU5qNl" TargetMode="External"/><Relationship Id="rId76" Type="http://schemas.openxmlformats.org/officeDocument/2006/relationships/hyperlink" Target="https://e5c9a.mailupclient.com/f/rnl.aspx/?jhe=vwvwwvrv/&amp;x=pv&amp;bdi=tzfd&amp;=styvz/7f1-a=8e.dgcn&amp;&amp;x=pp&amp;u_9f1-a2&amp;.b/&amp;:d=rsvvttNCLM" TargetMode="External"/><Relationship Id="rId79" Type="http://schemas.openxmlformats.org/officeDocument/2006/relationships/hyperlink" Target="https://e5c9a.mailupclient.com/f/rnl.aspx/?jhe=1r_yq2o/a&amp;le=t/.l7=svs1o/9.99a=59ndi-a&amp;9g-7e:-49&amp;25&amp;x=pp&amp;uy.-5-&amp;x=pv&amp;83dbzb4h=rq/wytNCLM" TargetMode="External"/><Relationship Id="rId78" Type="http://schemas.openxmlformats.org/officeDocument/2006/relationships/hyperlink" Target="https://e5c9a.mailupclient.com/f/rnl.aspx/?jhe=vwt_y1w_/&amp;x=pv&amp;bdi=tzfd&amp;=stxvz/7f1-a=&amp;x=pv&amp;n1&amp;j&amp;kc949&amp;25&amp;x=pp&amp;uy.-5-&amp;x=pv&amp;83dbzb4h=rq_ssxNCLM" TargetMode="External"/><Relationship Id="rId939" Type="http://schemas.openxmlformats.org/officeDocument/2006/relationships/hyperlink" Target="https://e5c9a.mailupclient.com/f/rnl.aspx/?jhe=1r_yq2o/a&amp;le=t/.l7=sws_p/9.99a=59ndi-a&amp;9g-7e:-49&amp;25&amp;x=pp&amp;uy.-5-&amp;x=pv&amp;83dbzb4h=rrvuzzNCLM" TargetMode="External"/><Relationship Id="rId938" Type="http://schemas.openxmlformats.org/officeDocument/2006/relationships/hyperlink" Target="https://www.facebook.com/baparticipacion/posts/pfbid02LGuHo3AYMjoh7SpohtcvXqENEmnQxe15cNqbzjAnKFtQJKaQXTbb8aG8sa29nbdWl" TargetMode="External"/><Relationship Id="rId937" Type="http://schemas.openxmlformats.org/officeDocument/2006/relationships/hyperlink" Target="https://a2g9b4.emailsp.com/f/rnl.aspx/?fei=2orws1vy.9ek=vyad8=t3tqsy&amp;f2::=7chafagb&amp;x=pp&amp;yx0-2.e16.&amp;x=pv&amp;2b5g=quuwtNCLM" TargetMode="External"/><Relationship Id="rId71" Type="http://schemas.openxmlformats.org/officeDocument/2006/relationships/hyperlink" Target="https://mu-messages.mailupclient.com/55391/messages/email/25426/preview?sourceCode=listemail&amp;idTriggered=0" TargetMode="External"/><Relationship Id="rId70" Type="http://schemas.openxmlformats.org/officeDocument/2006/relationships/hyperlink" Target="https://www.facebook.com/GCBA/posts/pfbid036pqFXR7zAF8PvFnxngTEwxPE9PqKmWq4AHHELyLosNtsxKY2jxKJRGQJxGk3ecSbl" TargetMode="External"/><Relationship Id="rId932" Type="http://schemas.openxmlformats.org/officeDocument/2006/relationships/hyperlink" Target="https://www.facebook.com/GCBA/posts/pfbid0SCv36fUn9suSse5UeEgMhVjYT6xS8nEu9sNA4EDWjSv4HxcYY4oCzaUMJs2J9HQbl" TargetMode="External"/><Relationship Id="rId931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930" Type="http://schemas.openxmlformats.org/officeDocument/2006/relationships/hyperlink" Target="https://www.facebook.com/GCBA/posts/pfbid0pDN1KSpcwNmdzK3WhsivCjjDVoj8acsicMjBZk8kkhQjxJ74xtbXqJzP3PR3irb4l" TargetMode="External"/><Relationship Id="rId936" Type="http://schemas.openxmlformats.org/officeDocument/2006/relationships/hyperlink" Target="https://www.facebook.com/baparticipacion/posts/pfbid02dDTzKg9xjhAVC2WdsjHreqxFyff2zsh7nP49E7r1n24kuEcSLcnJXv9hSybPAvyEl" TargetMode="External"/><Relationship Id="rId935" Type="http://schemas.openxmlformats.org/officeDocument/2006/relationships/hyperlink" Target="https://a2g9b4.emailsp.com/f/rnl.aspx/?fei=1vvoo1vy.9ek=vyad8=t3tqpy&amp;f2::=-l98i9di-10337&amp;x=pp&amp;yx0-2.e16.&amp;x=pv&amp;2b5g=qut2wNCLM" TargetMode="External"/><Relationship Id="rId934" Type="http://schemas.openxmlformats.org/officeDocument/2006/relationships/hyperlink" Target="https://www.facebook.com/baparticipacion/posts/pfbid02JSro6FKNuoj4uvyZXx5EHrXMwoTS4uThvqZXGWQ3vQgxb67TRXw2nRcEkHWR9eNVl" TargetMode="External"/><Relationship Id="rId933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62" Type="http://schemas.openxmlformats.org/officeDocument/2006/relationships/hyperlink" Target="https://e5c9a.mailupclient.com/f/rnl.aspx/?jhe=vwurvxsx/&amp;x=pv&amp;bdi=tzfd&amp;=stywt/7f1-a=5k9hibg&amp;x=pv&amp;9a&amp;-c4&amp;501&amp;x=pp&amp;u_9f1-a2&amp;.b/&amp;:d=rsu_otNCLM" TargetMode="External"/><Relationship Id="rId61" Type="http://schemas.openxmlformats.org/officeDocument/2006/relationships/hyperlink" Target="https://e5c9a.mailupclient.com/f/rnl.aspx/?jhe=vwurvxsx/&amp;x=pv&amp;bdi=tzfd&amp;=stxvy/7f1-a=5k9hibg&amp;x=pv&amp;9a&amp;-c4&amp;501&amp;x=pp&amp;u_9f1-a2&amp;.b/&amp;:d=rsu_rvNCLM" TargetMode="External"/><Relationship Id="rId64" Type="http://schemas.openxmlformats.org/officeDocument/2006/relationships/hyperlink" Target="http://facebook.com/reel/654304614371554/" TargetMode="External"/><Relationship Id="rId63" Type="http://schemas.openxmlformats.org/officeDocument/2006/relationships/hyperlink" Target="https://e5c9a.mailupclient.com/f/rnl.aspx/?jhe=vwurvxsx/&amp;x=pv&amp;bdi=tzfd&amp;=styws/7f1-a=5k9hibg&amp;x=pv&amp;9a&amp;-c4&amp;501&amp;x=pp&amp;u_9f1-a2&amp;.b/&amp;:d=rsu/oyNCLM" TargetMode="External"/><Relationship Id="rId66" Type="http://schemas.openxmlformats.org/officeDocument/2006/relationships/hyperlink" Target="http://facebook.com/reel/1964189401115594/" TargetMode="External"/><Relationship Id="rId65" Type="http://schemas.openxmlformats.org/officeDocument/2006/relationships/hyperlink" Target="https://e5c9a.mailupclient.com/f/rnl.aspx/?jhe=vwvwwvrv/&amp;x=pv&amp;bdi=tzfd&amp;=stxv_/7f1-a=8e.dgcn&amp;&amp;x=pp&amp;u_9f1-a2&amp;.b/&amp;:d=rsuzqxNCLM" TargetMode="External"/><Relationship Id="rId68" Type="http://schemas.openxmlformats.org/officeDocument/2006/relationships/hyperlink" Target="https://e5c9a.mailupclient.com/f/rnl.aspx/?jhe=vwvwwvrv/&amp;x=pv&amp;bdi=tzfd&amp;=stzrx/7f1-a=8e.dgcn&amp;&amp;x=pp&amp;u_9f1-a2&amp;.b/&amp;:d=rsvzpzNCLM" TargetMode="External"/><Relationship Id="rId67" Type="http://schemas.openxmlformats.org/officeDocument/2006/relationships/hyperlink" Target="https://e5c9a.mailupclient.com/f/rnl.aspx/?jhe=vwvwwvrv/&amp;x=pv&amp;bdi=tzfd&amp;=stxvs/7f1-a=8e.dgcn&amp;&amp;x=pp&amp;u_9f1-a2&amp;.b/&amp;:d=rsuzt_NCLM" TargetMode="External"/><Relationship Id="rId729" Type="http://schemas.openxmlformats.org/officeDocument/2006/relationships/hyperlink" Target="https://a2g9b4.emailsp.com/f/rnl.aspx/?fei=1uwuq_vy.9ek=vyad8=t3rwny&amp;f2::=2-neh9.9bd:5-cb10337&amp;x=pp&amp;yx0-2.e16.&amp;x=pv&amp;2b5g=qtw_tNCLM" TargetMode="External"/><Relationship Id="rId728" Type="http://schemas.openxmlformats.org/officeDocument/2006/relationships/hyperlink" Target="https://www.facebook.com/lindaenvivo/posts/pfbid0fvVKe76oWTtnnJy12unQ1G3Rk5KrG5A4fkk9ZsxXafbJqf1b8dmGjXb3tqGsguyBl" TargetMode="External"/><Relationship Id="rId60" Type="http://schemas.openxmlformats.org/officeDocument/2006/relationships/hyperlink" Target="https://e5c9a.mailupclient.com/f/rnl.aspx/?jhe=vwurvxsx/&amp;x=pv&amp;bdi=tzfd&amp;=stxvx/7f1-a=5k9hibg&amp;x=pv&amp;9a&amp;-c4&amp;501&amp;x=pp&amp;u_9f1-a2&amp;.b/&amp;:d=rsv3n_NCLM" TargetMode="External"/><Relationship Id="rId723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965" Type="http://schemas.openxmlformats.org/officeDocument/2006/relationships/hyperlink" Target="https://a2g9b4.emailsp.com/f/rnl.aspx/?fei=1vvoo_2y.9ek=vyad8=t3ttuy&amp;f2::=k702m1k6.451&amp;x=pp&amp;r1.&amp;x=pv&amp;49-6&amp;aax00l=rwpq_NCLM" TargetMode="External"/><Relationship Id="rId722" Type="http://schemas.openxmlformats.org/officeDocument/2006/relationships/hyperlink" Target="https://www.facebook.com/reel/1000083625809942/" TargetMode="External"/><Relationship Id="rId964" Type="http://schemas.openxmlformats.org/officeDocument/2006/relationships/hyperlink" Target="https://www.facebook.com/baparticipacion/posts/pfbid02XyXvYR65F9FBrjQUsz3KfFBJaixgH4QL6YFKe2iQydGqmGAJP2WGj79Te26zjz64l" TargetMode="External"/><Relationship Id="rId721" Type="http://schemas.openxmlformats.org/officeDocument/2006/relationships/hyperlink" Target="https://e5c9a.mailupclient.com/f/rnl.aspx/?jhe=vwvwwvrv/&amp;x=pv&amp;bdi=tzfd&amp;=suwst/7f1-a=8e.dgcn&amp;&amp;x=pp&amp;u_9f1-a2&amp;.b/&amp;:d=rty1v_NCLM" TargetMode="External"/><Relationship Id="rId963" Type="http://schemas.openxmlformats.org/officeDocument/2006/relationships/hyperlink" Target="https://e5c9a.mailupclient.com/f/rnl.aspx/?jhe=vwvwwvrv/&amp;x=pv&amp;bdi=tzfd&amp;=suyuu/7f1-a=8e.dgcn&amp;&amp;x=pp&amp;u_9f1-a2&amp;.b/&amp;:d=rtq3wtNCLM" TargetMode="External"/><Relationship Id="rId720" Type="http://schemas.openxmlformats.org/officeDocument/2006/relationships/hyperlink" Target="https://e5c9a.mailupclient.com/f/rnl.aspx/?jhe=vwurvxsx/&amp;x=pv&amp;bdi=tzfd&amp;=suwrz/7f1-a=5k9hibg&amp;x=pv&amp;9a&amp;-c4&amp;501&amp;x=pp&amp;u_9f1-a2&amp;.b/&amp;:d=rty1ruNCLM" TargetMode="External"/><Relationship Id="rId962" Type="http://schemas.openxmlformats.org/officeDocument/2006/relationships/hyperlink" Target="https://www.facebook.com/baparticipacion/posts/pfbid02DnZgeeMBCDtZf7ce2QRBReuqmNbgkG4184fUgsZLfnguymsSr4nRaT9fY5Zfety7l" TargetMode="External"/><Relationship Id="rId727" Type="http://schemas.openxmlformats.org/officeDocument/2006/relationships/hyperlink" Target="https://e5c9a.mailupclient.com/f/rnl.aspx/?jhe=1r_yq2o/a&amp;le=t/.l7=swq/q/9.99a=59ndi-a&amp;9g-7e:-49&amp;25&amp;x=pp&amp;uy.-5-&amp;x=pv&amp;83dbzb4h=rr3vwxNCLM" TargetMode="External"/><Relationship Id="rId969" Type="http://schemas.openxmlformats.org/officeDocument/2006/relationships/hyperlink" Target="https://www.facebook.com/baparticipacion/posts/pfbid031oDtJGh4fxxuqVbmdz9z7keGnQQ6obNMcK8X5dA6zoZqFBNKw3sdx1u38eRB2AP5l" TargetMode="External"/><Relationship Id="rId726" Type="http://schemas.openxmlformats.org/officeDocument/2006/relationships/hyperlink" Target="https://www.facebook.com/lindaenvivo/posts/pfbid0LweiyDNZYMJ7vAHSFdQey9MS4DSwJKwujgJxx2QAqrVZZnnBo8QvWd6VyTfLWiBdl" TargetMode="External"/><Relationship Id="rId968" Type="http://schemas.openxmlformats.org/officeDocument/2006/relationships/hyperlink" Target="https://a2g9b4.emailsp.com/f/rnl.aspx/?fei=1vvoo_2y.9ek=vyad8=t3tupy&amp;f2::=k702m1k6.451&amp;x=pp&amp;r1.&amp;x=pv&amp;49-6&amp;aax00l=rwpw_NCLM" TargetMode="External"/><Relationship Id="rId725" Type="http://schemas.openxmlformats.org/officeDocument/2006/relationships/hyperlink" Target="https://e5c9a.mailupclient.com/f/rnl.aspx/?jhe=vwurvxsx/&amp;x=pv&amp;bdi=tzfd&amp;=suwtt/7f1-a=5k9hibg&amp;x=pv&amp;9a&amp;-c4&amp;501&amp;x=pp&amp;u_9f1-a2&amp;.b/&amp;:d=rty2oxNCLM" TargetMode="External"/><Relationship Id="rId967" Type="http://schemas.openxmlformats.org/officeDocument/2006/relationships/hyperlink" Target="https://www.facebook.com/baparticipacion/posts/pfbid0srFKWoDRckyinLXUSPUHxt84fw2YQ18pC2hLHNdh2DLZtcrJAN5HNqLoeLJgFRVel" TargetMode="External"/><Relationship Id="rId724" Type="http://schemas.openxmlformats.org/officeDocument/2006/relationships/hyperlink" Target="https://www.facebook.com/GCBA/posts/pfbid0muZPdRHfhwuL5qge1q6LmfYei68f4ZPaD1cPMpKxHCdsfDgdDfhLfCpvcgkWKLHPl" TargetMode="External"/><Relationship Id="rId966" Type="http://schemas.openxmlformats.org/officeDocument/2006/relationships/hyperlink" Target="https://e5c9a.mailupclient.com/f/rnl.aspx/?jhe=vwurvxsx/&amp;x=pv&amp;bdi=tzfd&amp;=su_rx/7f1-a=5k9hibg&amp;x=pv&amp;9a&amp;-c4&amp;501&amp;x=pp&amp;u_9f1-a2&amp;.b/&amp;:d=rtq1quNCLM" TargetMode="External"/><Relationship Id="rId69" Type="http://schemas.openxmlformats.org/officeDocument/2006/relationships/hyperlink" Target="https://a2g9b4.emailsp.com/f/rnl.aspx/?fei=1wqvoxxy.9ek=vyad8=/2qux6d90.=3d.lfc&amp;x=pv&amp;.&amp;e08c1-&amp;34&amp;x=pp&amp;qx-f2::19h&amp;x=pv&amp;_95j=yqxttNCLM" TargetMode="External"/><Relationship Id="rId961" Type="http://schemas.openxmlformats.org/officeDocument/2006/relationships/hyperlink" Target="https://e5c9a.mailupclient.com/f/rnl.aspx/?jhe=1r_yq2o/a&amp;le=t/.l7=sws1r/9.99a=59ndi-a&amp;9g-7e:-49&amp;25&amp;x=pp&amp;uy.-5-&amp;x=pv&amp;83dbzb4h=rrvvyxNCLM" TargetMode="External"/><Relationship Id="rId960" Type="http://schemas.openxmlformats.org/officeDocument/2006/relationships/hyperlink" Target="https://www.facebook.com/baparticipacion/posts/pfbid02WG9qdDvGGcxL9cvnqRGU2tutBeSufD7CYVK55FL34L5Zz81iuVtzo5eXcc1BPgptl" TargetMode="External"/><Relationship Id="rId51" Type="http://schemas.openxmlformats.org/officeDocument/2006/relationships/hyperlink" Target="https://e5c9a.mailupclient.com/f/rnl.aspx/?jhe=vwurvxsx/&amp;x=pv&amp;bdi=tzfd&amp;=stxt_/7f1-a=5k9hibg&amp;x=pv&amp;9a&amp;-c4&amp;501&amp;x=pp&amp;u_9f1-a2&amp;.b/&amp;:d=rsuypuNCLM" TargetMode="External"/><Relationship Id="rId50" Type="http://schemas.openxmlformats.org/officeDocument/2006/relationships/hyperlink" Target="https://www.facebook.com/GCBA/posts/pfbid0nA1q3xBcy1eJcYdmUe5hTkrG2zrbURY6VnDCqEubzKtTg6UhWBiGjhgYWJQUsK86l" TargetMode="External"/><Relationship Id="rId53" Type="http://schemas.openxmlformats.org/officeDocument/2006/relationships/hyperlink" Target="https://fb.me/adspreview/facebook/1RMCueLZDYjPeIW" TargetMode="External"/><Relationship Id="rId52" Type="http://schemas.openxmlformats.org/officeDocument/2006/relationships/hyperlink" Target="https://www.facebook.com/GCBA/posts/pfbid0N5sbH3engzLHtbfZQM61dN6d9zBMxwsp4N1bpfX76sx6bnCZy4398mqDoXuTfdX5l" TargetMode="External"/><Relationship Id="rId55" Type="http://schemas.openxmlformats.org/officeDocument/2006/relationships/hyperlink" Target="https://e5c9a.mailupclient.com/f/rnl.aspx/?jhe=1r_yq2o/a&amp;le=t/.l7=svr/o/9.99a=59ndi-a&amp;9g-7e:-49&amp;25&amp;x=pp&amp;uy.-5-&amp;x=pv&amp;83dbzb4h=rq_swxNCLM" TargetMode="External"/><Relationship Id="rId54" Type="http://schemas.openxmlformats.org/officeDocument/2006/relationships/hyperlink" Target="https://e5c9a.mailupclient.com/f/rnl.aspx/?jhe=vwurvxsx/&amp;x=pv&amp;bdi=tzfd&amp;=stxrv/7f1-a=5k9hibg&amp;x=pv&amp;9a&amp;-c4&amp;501&amp;x=pp&amp;u_9f1-a2&amp;.b/&amp;:d=rsuxuwNCLM" TargetMode="External"/><Relationship Id="rId57" Type="http://schemas.openxmlformats.org/officeDocument/2006/relationships/hyperlink" Target="https://www.facebook.com/reel/850462247854341" TargetMode="External"/><Relationship Id="rId56" Type="http://schemas.openxmlformats.org/officeDocument/2006/relationships/hyperlink" Target="https://e5c9a.mailupclient.com/f/rnl.aspx/?jhe=1r_yq2o/a&amp;le=t/.l7=svr/q/9.99a=59ndi-a&amp;9g-7e:-49&amp;25&amp;x=pp&amp;uy.-5-&amp;x=pv&amp;83dbzb4h=rq_qwyNCLM" TargetMode="External"/><Relationship Id="rId719" Type="http://schemas.openxmlformats.org/officeDocument/2006/relationships/hyperlink" Target="https://a2g9b4.emailsp.com/f/rnl.aspx/?fei=1uwuq_vy.9ek=vyad8=t3rsoy&amp;f2::=2-neh9.9bd:5-cb10337&amp;x=pp&amp;yx0-2.e16.&amp;x=pv&amp;2b5g=qtu2pNCLM" TargetMode="External"/><Relationship Id="rId718" Type="http://schemas.openxmlformats.org/officeDocument/2006/relationships/hyperlink" Target="https://www.facebook.com/reel/1719824132483599" TargetMode="External"/><Relationship Id="rId717" Type="http://schemas.openxmlformats.org/officeDocument/2006/relationships/hyperlink" Target="https://e5c9a.mailupclient.com/f/rnl.aspx/?jhe=vwurvxsx/&amp;x=pv&amp;bdi=tzfd&amp;=suws_/7f1-a=5k9hibg&amp;x=pv&amp;9a&amp;-c4&amp;501&amp;x=pp&amp;u_9f1-a2&amp;.b/&amp;:d=rty1rvNCLM" TargetMode="External"/><Relationship Id="rId959" Type="http://schemas.openxmlformats.org/officeDocument/2006/relationships/hyperlink" Target="https://e5c9a.mailupclient.com/f/rnl.aspx/?jhe=vwurvxsx/&amp;x=pv&amp;bdi=tzfd&amp;=suyut/7f1-a=5k9hibg&amp;x=pv&amp;9a&amp;-c4&amp;501&amp;x=pp&amp;u_9f1-a2&amp;.b/&amp;:d=rtp2uuNCLM" TargetMode="External"/><Relationship Id="rId712" Type="http://schemas.openxmlformats.org/officeDocument/2006/relationships/hyperlink" Target="https://a2g9b4.emailsp.com/f/rnl.aspx/?fei=1wqvoxxy.9ek=vyad8=t3rrty&amp;f2::=4ibeh..e--:5d6.451&amp;x=pp&amp;r1.&amp;x=pv&amp;49-6&amp;aax00l=rvot1NCLM" TargetMode="External"/><Relationship Id="rId954" Type="http://schemas.openxmlformats.org/officeDocument/2006/relationships/hyperlink" Target="https://fb.me/adspreview/facebook/22CmxRCVtbzCnkb" TargetMode="External"/><Relationship Id="rId711" Type="http://schemas.openxmlformats.org/officeDocument/2006/relationships/hyperlink" Target="https://fb.me/adspreview/facebook/1TRzHvWq8RXQ8WU" TargetMode="External"/><Relationship Id="rId953" Type="http://schemas.openxmlformats.org/officeDocument/2006/relationships/hyperlink" Target="https://a2g9b4.emailsp.com/f/rnl.aspx/?fei=1wqvoxxy.9ek=vyad8=t3tsny&amp;f2::=4ibeh..e--:5d6.451&amp;x=pp&amp;r1.&amp;x=pv&amp;49-6&amp;aax00l=rwovtNCLM" TargetMode="External"/><Relationship Id="rId710" Type="http://schemas.openxmlformats.org/officeDocument/2006/relationships/hyperlink" Target="https://a2g9b4.emailsp.com/f/rnl.aspx/?fei=1wqvoxxy.9ek=vyad8=t3rrsy&amp;f2::=4ibeh..e--:5d6.451&amp;x=pp&amp;r1.&amp;x=pv&amp;49-6&amp;aax00l=rvosyNCLM" TargetMode="External"/><Relationship Id="rId952" Type="http://schemas.openxmlformats.org/officeDocument/2006/relationships/hyperlink" Target="https://fb.me/adspreview/facebook/2qUC8erS5AyVmEE" TargetMode="External"/><Relationship Id="rId951" Type="http://schemas.openxmlformats.org/officeDocument/2006/relationships/hyperlink" Target="https://fb.me/adspreview/facebook/26tQ7QVYkRlhgEw" TargetMode="External"/><Relationship Id="rId716" Type="http://schemas.openxmlformats.org/officeDocument/2006/relationships/hyperlink" Target="https://e5c9a.mailupclient.com/f/rnl.aspx/?jhe=vwurvxsx/&amp;x=pv&amp;bdi=tzfd&amp;=suwss/7f1-a=5k9hibg&amp;x=pv&amp;9a&amp;-c4&amp;501&amp;x=pp&amp;u_9f1-a2&amp;.b/&amp;:d=rty1sxNCLM" TargetMode="External"/><Relationship Id="rId958" Type="http://schemas.openxmlformats.org/officeDocument/2006/relationships/hyperlink" Target="https://www.facebook.com/baparticipacion/posts/pfbid02S3JZwcAT2QCRPGavfdj36Ff7GYhqYXebVRTUJarmHgb7qDRbUF2FW6s4chXjBynnl" TargetMode="External"/><Relationship Id="rId715" Type="http://schemas.openxmlformats.org/officeDocument/2006/relationships/hyperlink" Target="https://e5c9a.mailupclient.com/f/rnl.aspx/?jhe=1r_yq2o/a&amp;le=t/.l7=sws_w/9.99a=59ndi-a&amp;9g-7e:-49&amp;25&amp;x=pp&amp;uy.-5-&amp;x=pv&amp;83dbzb4h=rrvuyrNCLM" TargetMode="External"/><Relationship Id="rId957" Type="http://schemas.openxmlformats.org/officeDocument/2006/relationships/hyperlink" Target="https://a2g9b4.emailsp.com/f/rnl.aspx/?fei=1vvoo1vy.9ek=vyad8=t3trsy&amp;f2::=-l98i9di-10337&amp;x=pp&amp;yx0-2.e16.&amp;x=pv&amp;2b5g=quv3tNCLM" TargetMode="External"/><Relationship Id="rId714" Type="http://schemas.openxmlformats.org/officeDocument/2006/relationships/hyperlink" Target="https://www.facebook.com/reel/2081566192790744" TargetMode="External"/><Relationship Id="rId956" Type="http://schemas.openxmlformats.org/officeDocument/2006/relationships/hyperlink" Target="https://www.facebook.com/GCBA/posts/pfbid0b4e3p1kdCqSay8vtiHJSCCVLY7GjUq3R1LwXjZ4orfdwFFTNqqNXeh8NDwZcZNoTl" TargetMode="External"/><Relationship Id="rId713" Type="http://schemas.openxmlformats.org/officeDocument/2006/relationships/hyperlink" Target="https://a2g9b4.emailsp.com/f/rnl.aspx/?fei=1wqvoxxy.9ek=vyad8=t3rtty&amp;f2::=4ibeh..e--:5d6.451&amp;x=pp&amp;r1.&amp;x=pv&amp;49-6&amp;aax00l=rvps1NCLM" TargetMode="External"/><Relationship Id="rId955" Type="http://schemas.openxmlformats.org/officeDocument/2006/relationships/hyperlink" Target="https://a2g9b4.emailsp.com/f/rnl.aspx/?fei=1wqvoxxy.9ek=vyad8=t3tsoy&amp;f2::=4ibeh..e--:5d6.451&amp;x=pp&amp;r1.&amp;x=pv&amp;49-6&amp;aax00l=rwovyNCLM" TargetMode="External"/><Relationship Id="rId59" Type="http://schemas.openxmlformats.org/officeDocument/2006/relationships/hyperlink" Target="https://www.facebook.com/100064853673908/posts/1304262748412169/" TargetMode="External"/><Relationship Id="rId58" Type="http://schemas.openxmlformats.org/officeDocument/2006/relationships/hyperlink" Target="https://e5c9a.mailupclient.com/f/rnl.aspx/?jhe=vwt_ywsx/&amp;x=pv&amp;bdi=tzfd&amp;=stxtt/7f1-a=i9:9c.9cg52.365&amp;x=pp&amp;s37b5&amp;e/7d.498h=pwsuxuNCLM" TargetMode="External"/><Relationship Id="rId950" Type="http://schemas.openxmlformats.org/officeDocument/2006/relationships/hyperlink" Target="https://a2g9b4.emailsp.com/f/rnl.aspx/?fei=1vvoo1vy.9ek=vyad8=t3tquy&amp;f2::=-l98i9di-10337&amp;x=pp&amp;yx0-2.e16.&amp;x=pv&amp;2b5g=quuxsNCLM" TargetMode="External"/><Relationship Id="rId590" Type="http://schemas.openxmlformats.org/officeDocument/2006/relationships/hyperlink" Target="https://e5c9a.mailupclient.com/f/rnl.aspx/?jhe=1r_yq2o/a&amp;le=t/.l7=swpwp/9.99a=59ndi-a&amp;9g-7e:-49&amp;25&amp;x=pp&amp;uy.-5-&amp;x=pv&amp;83dbzb4h=rr3puzNCLM" TargetMode="External"/><Relationship Id="rId107" Type="http://schemas.openxmlformats.org/officeDocument/2006/relationships/hyperlink" Target="https://www.facebook.com/GCBA/posts/pfbid02BLwc5PnG5EYzbVeS3qNZ6Nb5in3PifakagmTh6BFX3zNQZ1rLsJ3FsQx9JDG2gFdl" TargetMode="External"/><Relationship Id="rId349" Type="http://schemas.openxmlformats.org/officeDocument/2006/relationships/hyperlink" Target="https://e5c9a.mailupclient.com/f/rnl.aspx/?jhe=vwvwwvrv/&amp;x=pv&amp;bdi=tzfd&amp;=st1vx/7f1-a=8e.dgcn&amp;&amp;x=pp&amp;u_9f1-a2&amp;.b/&amp;:d=rsxvpuNCLM" TargetMode="External"/><Relationship Id="rId106" Type="http://schemas.openxmlformats.org/officeDocument/2006/relationships/hyperlink" Target="https://e5c9a.mailupclient.com/f/rnl.aspx/?jhe=1r_yq2o/a&amp;le=t/.l7=svuyq/9.99a=59ndi-a&amp;9g-7e:-49&amp;25&amp;x=pp&amp;uy.-5-&amp;x=pv&amp;83dbzb4h=rq/vv_NCLM" TargetMode="External"/><Relationship Id="rId348" Type="http://schemas.openxmlformats.org/officeDocument/2006/relationships/hyperlink" Target="https://e5c9a.mailupclient.com/f/rnl.aspx/?jhe=1r_yq2o/a&amp;le=t/.l7=svx3p/9.99a=59ndi-a&amp;9g-7e:-49&amp;25&amp;x=pp&amp;uy.-5-&amp;x=pv&amp;83dbzb4h=rq2nvvNCLM" TargetMode="External"/><Relationship Id="rId105" Type="http://schemas.openxmlformats.org/officeDocument/2006/relationships/hyperlink" Target="https://e5c9a.mailupclient.com/f/rnl.aspx/?jhe=1r_yq2o/a&amp;le=t/.l7=svt_w/9.99a=59ndi-a&amp;9g-7e:-49&amp;25&amp;x=pp&amp;uy.-5-&amp;x=pv&amp;83dbzb4h=rq/qzwNCLM" TargetMode="External"/><Relationship Id="rId347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589" Type="http://schemas.openxmlformats.org/officeDocument/2006/relationships/hyperlink" Target="https://e5c9a.mailupclient.com/f/rnl.aspx/?jhe=1r_yq2o/a&amp;le=t/.l7=swpwo/9.99a=59ndi-a&amp;9g-7e:-49&amp;25&amp;x=pp&amp;uy.-5-&amp;x=pv&amp;83dbzb4h=rr3os_NCLM" TargetMode="External"/><Relationship Id="rId104" Type="http://schemas.openxmlformats.org/officeDocument/2006/relationships/hyperlink" Target="https://e5c9a.mailupclient.com/f/rnl.aspx/?jhe=1r_yq2o/a&amp;le=t/.l7=svtzv/9.99a=59ndi-a&amp;9g-7e:-49&amp;25&amp;x=pp&amp;uy.-5-&amp;x=pv&amp;83dbzb4h=rq/sswNCLM" TargetMode="External"/><Relationship Id="rId346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588" Type="http://schemas.openxmlformats.org/officeDocument/2006/relationships/hyperlink" Target="https://e5c9a.mailupclient.com/f/rnl.aspx/?jhe=1r_yq2o/a&amp;le=t/.l7=swpwn/9.99a=59ndi-a&amp;9g-7e:-49&amp;25&amp;x=pp&amp;uy.-5-&amp;x=pv&amp;83dbzb4h=rr3orzNCLM" TargetMode="External"/><Relationship Id="rId109" Type="http://schemas.openxmlformats.org/officeDocument/2006/relationships/hyperlink" Target="https://e5c9a.mailupclient.com/f/rnl.aspx/?jhe=1r_yq2o/a&amp;le=t/.l7=svu1t/9.99a=59ndi-a&amp;9g-7e:-49&amp;25&amp;x=pp&amp;uy.-5-&amp;x=pv&amp;83dbzb4h=rq1nuxNCLM" TargetMode="External"/><Relationship Id="rId108" Type="http://schemas.openxmlformats.org/officeDocument/2006/relationships/hyperlink" Target="https://e5c9a.mailupclient.com/f/rnl.aspx/?jhe=1r_yq2o/a&amp;le=t/.l7=svu2p/9.99a=59ndi-a&amp;9g-7e:-49&amp;25&amp;x=pp&amp;uy.-5-&amp;x=pv&amp;83dbzb4h=rq1nwuNCLM" TargetMode="External"/><Relationship Id="rId341" Type="http://schemas.openxmlformats.org/officeDocument/2006/relationships/hyperlink" Target="https://a2g9b4.emailsp.com/f/rnl.aspx/?fei=1uwuq_vy.9ek=vyad8=t3outy&amp;f2::=2-neh9.9bd:5-cb10337&amp;x=pp&amp;yx0-2.e16.&amp;x=pv&amp;2b5g=qr//pNCLM" TargetMode="External"/><Relationship Id="rId583" Type="http://schemas.openxmlformats.org/officeDocument/2006/relationships/hyperlink" Target="https://www.facebook.com/reel/1661938441623776" TargetMode="External"/><Relationship Id="rId340" Type="http://schemas.openxmlformats.org/officeDocument/2006/relationships/hyperlink" Target="https://e5c9a.mailupclient.com/f/rnl.aspx/?jhe=vwurvxsx/&amp;x=pv&amp;bdi=tzfd&amp;=st1us/7f1-a=5k9hibg&amp;x=pv&amp;9a&amp;-c4&amp;501&amp;x=pp&amp;u_9f1-a2&amp;.b/&amp;:d=rsx3r_NCLM" TargetMode="External"/><Relationship Id="rId582" Type="http://schemas.openxmlformats.org/officeDocument/2006/relationships/hyperlink" Target="https://e5c9a.mailupclient.com/f/rnl.aspx/?jhe=vwvwwvrv/&amp;x=pv&amp;bdi=tzfd&amp;=suvny/7f1-a=8e.dgcn&amp;&amp;x=pp&amp;u_9f1-a2&amp;.b/&amp;:d=rtywnuNCLM" TargetMode="External"/><Relationship Id="rId581" Type="http://schemas.openxmlformats.org/officeDocument/2006/relationships/hyperlink" Target="https://www.facebook.com/reel/1350977913533302" TargetMode="External"/><Relationship Id="rId580" Type="http://schemas.openxmlformats.org/officeDocument/2006/relationships/hyperlink" Target="https://e5c9a.mailupclient.com/f/rnl.aspx/?jhe=vwt_y1w_/&amp;x=pv&amp;bdi=tzfd&amp;=suvus/7f1-a=&amp;x=pv&amp;n1&amp;j&amp;kc949&amp;25&amp;x=pp&amp;uy.-5-&amp;x=pv&amp;83dbzb4h=rr3sx_NCLM" TargetMode="External"/><Relationship Id="rId103" Type="http://schemas.openxmlformats.org/officeDocument/2006/relationships/hyperlink" Target="https://e5c9a.mailupclient.com/f/rnl.aspx/?jhe=1r_yq2o/a&amp;le=t/.l7=svtzu/9.99a=59ndi-a&amp;9g-7e:-49&amp;25&amp;x=pp&amp;uy.-5-&amp;x=pv&amp;83dbzb4h=rq/srxNCLM" TargetMode="External"/><Relationship Id="rId345" Type="http://schemas.openxmlformats.org/officeDocument/2006/relationships/hyperlink" Target="https://a2g9b4.emailsp.com/f/rnl.aspx/?fei=1vvoo1vy.9ek=vyad8=t3ovty&amp;f2::=-l98i9di-10337&amp;x=pp&amp;yx0-2.e16.&amp;x=pv&amp;2b5g=qr/2rNCLM" TargetMode="External"/><Relationship Id="rId587" Type="http://schemas.openxmlformats.org/officeDocument/2006/relationships/hyperlink" Target="https://e5c9a.mailupclient.com/f/rnl.aspx/?jhe=1r_yq2o/a&amp;le=t/.l7=swpww/9.99a=59ndi-a&amp;9g-7e:-49&amp;25&amp;x=pp&amp;uy.-5-&amp;x=pv&amp;83dbzb4h=rr3oryNCLM" TargetMode="External"/><Relationship Id="rId102" Type="http://schemas.openxmlformats.org/officeDocument/2006/relationships/hyperlink" Target="https://e5c9a.mailupclient.com/f/rnl.aspx/?jhe=1r_yq2o/a&amp;le=t/.l7=svt3o/9.99a=59ndi-a&amp;9g-7e:-49&amp;25&amp;x=pp&amp;uy.-5-&amp;x=pv&amp;83dbzb4h=rq/osuNCLM" TargetMode="External"/><Relationship Id="rId344" Type="http://schemas.openxmlformats.org/officeDocument/2006/relationships/hyperlink" Target="https://a2g9b4.emailsp.com/f/rnl.aspx/?fei=1vvoo1vy.9ek=vyad8=t3ouoy&amp;f2::=-l98i9di-10337&amp;x=pp&amp;yx0-2.e16.&amp;x=pv&amp;2b5g=qr/xoNCLM" TargetMode="External"/><Relationship Id="rId586" Type="http://schemas.openxmlformats.org/officeDocument/2006/relationships/hyperlink" Target="https://e5c9a.mailupclient.com/f/rnl.aspx/?jhe=vwt_y1w_/&amp;x=pv&amp;bdi=tzfd&amp;=suywy/7f1-a=&amp;x=pv&amp;n1&amp;j&amp;kc949&amp;25&amp;x=pp&amp;uy.-5-&amp;x=pv&amp;83dbzb4h=rrvsrsNCLM" TargetMode="External"/><Relationship Id="rId101" Type="http://schemas.openxmlformats.org/officeDocument/2006/relationships/hyperlink" Target="https://e5c9a.mailupclient.com/f/rnl.aspx/?jhe=1r_yq2o/a&amp;le=t/.l7=svt3n/9.99a=59ndi-a&amp;9g-7e:-49&amp;25&amp;x=pp&amp;uy.-5-&amp;x=pv&amp;83dbzb4h=rq/ostNCLM" TargetMode="External"/><Relationship Id="rId343" Type="http://schemas.openxmlformats.org/officeDocument/2006/relationships/hyperlink" Target="https://e5c9a.mailupclient.com/f/rnl.aspx/?jhe=vwvwwvrv/&amp;x=pv&amp;bdi=tzfd&amp;=st2tu/7f1-a=8e.dgcn&amp;&amp;x=pp&amp;u_9f1-a2&amp;.b/&amp;:d=rsx1rsNCLM" TargetMode="External"/><Relationship Id="rId585" Type="http://schemas.openxmlformats.org/officeDocument/2006/relationships/hyperlink" Target="https://www.facebook.com/GCBA/posts/pfbid0aBxKSdHUmjtuwXeFb8ASPceQu2KgZjKW3Br8u72xk58sWkLAexGHWAqE8TGKmoTLl" TargetMode="External"/><Relationship Id="rId100" Type="http://schemas.openxmlformats.org/officeDocument/2006/relationships/hyperlink" Target="https://e5c9a.mailupclient.com/f/rnl.aspx/?jhe=1r_yq2o/a&amp;le=t/.l7=svt3w/9.99a=59ndi-a&amp;9g-7e:-49&amp;25&amp;x=pp&amp;uy.-5-&amp;x=pv&amp;83dbzb4h=rq/ossNCLM" TargetMode="External"/><Relationship Id="rId342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584" Type="http://schemas.openxmlformats.org/officeDocument/2006/relationships/hyperlink" Target="https://a2g9b4.emailsp.com/f/rnl.aspx/?fei=1wqvoxxy.9ek=vyad8=t3quvy&amp;f2::=4ibeh..e--:5d6.451&amp;x=pp&amp;r1.&amp;x=pv&amp;49-6&amp;aax00l=ruvq/NCLM" TargetMode="External"/><Relationship Id="rId338" Type="http://schemas.openxmlformats.org/officeDocument/2006/relationships/hyperlink" Target="https://e5c9a.mailupclient.com/f/rnl.aspx/?jhe=vwurvxsx/&amp;x=pv&amp;bdi=tzfd&amp;=st1uw/7f1-a=5k9hibg&amp;x=pv&amp;9a&amp;-c4&amp;501&amp;x=pp&amp;u_9f1-a2&amp;.b/&amp;:d=rsx3trNCLM" TargetMode="External"/><Relationship Id="rId337" Type="http://schemas.openxmlformats.org/officeDocument/2006/relationships/hyperlink" Target="https://e5c9a.mailupclient.com/f/rnl.aspx/?jhe=vwurvxsx/&amp;x=pv&amp;bdi=tzfd&amp;=st2ny/7f1-a=5k9hibg&amp;x=pv&amp;9a&amp;-c4&amp;501&amp;x=pp&amp;u_9f1-a2&amp;.b/&amp;:d=rsxwouNCLM" TargetMode="External"/><Relationship Id="rId579" Type="http://schemas.openxmlformats.org/officeDocument/2006/relationships/hyperlink" Target="https://www.facebook.com/GCBA/posts/pfbid02s3FadHkMcs1KPejoRvT7cNbSZg8SAwtbQqyenJWmhWjZzhBZFXKB6TGjKT85xmuEl" TargetMode="External"/><Relationship Id="rId336" Type="http://schemas.openxmlformats.org/officeDocument/2006/relationships/hyperlink" Target="https://e5c9a.mailupclient.com/f/rnl.aspx/?jhe=vwvwwvrv/&amp;x=pv&amp;bdi=tzfd&amp;=st1rz/7f1-a=8e.dgcn&amp;&amp;x=pp&amp;u_9f1-a2&amp;.b/&amp;:d=rsw2ttNCLM" TargetMode="External"/><Relationship Id="rId578" Type="http://schemas.openxmlformats.org/officeDocument/2006/relationships/hyperlink" Target="https://e5c9a.mailupclient.com/f/rnl.aspx/?jhe=1r_yq2o/a&amp;le=t/.l7=swpxw/9.99a=59ndi-a&amp;9g-7e:-49&amp;25&amp;x=pp&amp;uy.-5-&amp;x=pv&amp;83dbzb4h=rr3ouyNCLM" TargetMode="External"/><Relationship Id="rId335" Type="http://schemas.openxmlformats.org/officeDocument/2006/relationships/hyperlink" Target="https://e5c9a.mailupclient.com/f/rnl.aspx/?jhe=vwurvxsx/&amp;x=pv&amp;bdi=tzfd&amp;=st1su/7f1-a=5k9hibg&amp;x=pv&amp;9a&amp;-c4&amp;501&amp;x=pp&amp;u_9f1-a2&amp;.b/&amp;:d=rsw2t_NCLM" TargetMode="External"/><Relationship Id="rId577" Type="http://schemas.openxmlformats.org/officeDocument/2006/relationships/hyperlink" Target="https://e5c9a.mailupclient.com/f/rnl.aspx/?jhe=vwszuxsy/&amp;x=pv&amp;bdi=tzfd&amp;=suvwx/7f1-a=l925n3r/&amp;749&amp;x=pp&amp;q_&amp;.99a45h-/-6l=nt_pvwNCLM" TargetMode="External"/><Relationship Id="rId339" Type="http://schemas.openxmlformats.org/officeDocument/2006/relationships/hyperlink" Target="https://a2g9b4.emailsp.com/f/rnl.aspx/?fei=1vvoo1vy.9ek=vyad8=t3ouqy&amp;f2::=-l98i9di-10337&amp;x=pp&amp;yx0-2.e16.&amp;x=pv&amp;2b5g=qs11oNCLM" TargetMode="External"/><Relationship Id="rId330" Type="http://schemas.openxmlformats.org/officeDocument/2006/relationships/hyperlink" Target="https://e5c9a.mailupclient.com/f/rnl.aspx/?jhe=vwszuxsy/&amp;x=pv&amp;bdi=tzfd&amp;=st1s_/7f1-a=l925n3r/&amp;749&amp;x=pp&amp;q_&amp;.99a45h-/-6l=nsyxypNCLM" TargetMode="External"/><Relationship Id="rId572" Type="http://schemas.openxmlformats.org/officeDocument/2006/relationships/hyperlink" Target="https://e5c9a.mailupclient.com/f/rnl.aspx/?jhe=vwvwwvrv/&amp;x=pv&amp;bdi=tzfd&amp;=suvwz/7f1-a=8e.dgcn&amp;&amp;x=pp&amp;u_9f1-a2&amp;.b/&amp;:d=rtyvqvNCLM" TargetMode="External"/><Relationship Id="rId571" Type="http://schemas.openxmlformats.org/officeDocument/2006/relationships/hyperlink" Target="https://www.facebook.com/baparticipacion/posts/pfbid034YdpP2aCj4a3NF71q3dkVsnDbhNPMVqYjNZAKFyzDYxuFdcvFhUqS7oDMYJ9dSUQl" TargetMode="External"/><Relationship Id="rId570" Type="http://schemas.openxmlformats.org/officeDocument/2006/relationships/hyperlink" Target="https://e5c9a.mailupclient.com/f/rnl.aspx/?jhe=vwvwwvrv/&amp;x=pv&amp;bdi=tzfd&amp;=suvnr/7f1-a=8e.dgcn&amp;&amp;x=pp&amp;u_9f1-a2&amp;.b/&amp;:d=rtyvrvNCLM" TargetMode="External"/><Relationship Id="rId334" Type="http://schemas.openxmlformats.org/officeDocument/2006/relationships/hyperlink" Target="https://e5c9a.mailupclient.com/f/rnl.aspx/?jhe=vwt_y1w_/&amp;x=pv&amp;bdi=tzfd&amp;=st1ss/7f1-a=&amp;x=pv&amp;n1&amp;j&amp;kc949&amp;25&amp;x=pp&amp;uy.-5-&amp;x=pv&amp;83dbzb4h=rq1vz_NCLM" TargetMode="External"/><Relationship Id="rId576" Type="http://schemas.openxmlformats.org/officeDocument/2006/relationships/hyperlink" Target="https://www.facebook.com/baparticipacion/posts/pfbid0fFhtpJqpsLYvKCoQdrSx9qawc4fNkRYx3sJRrh7NgP1kmb6eJyjAvRTLvHGRvbuEl" TargetMode="External"/><Relationship Id="rId333" Type="http://schemas.openxmlformats.org/officeDocument/2006/relationships/hyperlink" Target="https://a2g9b4.emailsp.com/f/rnl.aspx/?fei=1wqvoxxy.9ek=vyad8=t3oyoy&amp;f2::=4ibeh..e--:5d6.451&amp;x=pp&amp;r1.&amp;x=pv&amp;49-6&amp;aax00l=runpyNCLM" TargetMode="External"/><Relationship Id="rId575" Type="http://schemas.openxmlformats.org/officeDocument/2006/relationships/hyperlink" Target="https://e5c9a.mailupclient.com/f/rnl.aspx/?jhe=1r_yq2o/a&amp;le=t/.l7=swp3p/9.99a=59ndi-a&amp;9g-7e:-49&amp;25&amp;x=pp&amp;uy.-5-&amp;x=pv&amp;83dbzb4h=rr3wyyNCLM" TargetMode="External"/><Relationship Id="rId332" Type="http://schemas.openxmlformats.org/officeDocument/2006/relationships/hyperlink" Target="https://e5c9a.mailupclient.com/f/rnl.aspx/?jhe=vwvwwvrv/&amp;x=pv&amp;bdi=tzfd&amp;=st1st/7f1-a=8e.dgcn&amp;&amp;x=pp&amp;u_9f1-a2&amp;.b/&amp;:d=rsw2uvNCLM" TargetMode="External"/><Relationship Id="rId574" Type="http://schemas.openxmlformats.org/officeDocument/2006/relationships/hyperlink" Target="https://e5c9a.mailupclient.com/f/rnl.aspx/?jhe=vwt_y1w_/&amp;x=pv&amp;bdi=tzfd&amp;=suwov/7f1-a=&amp;x=pv&amp;n1&amp;j&amp;kc949&amp;25&amp;x=pp&amp;uy.-5-&amp;x=pv&amp;83dbzb4h=rr3uruNCLM" TargetMode="External"/><Relationship Id="rId331" Type="http://schemas.openxmlformats.org/officeDocument/2006/relationships/hyperlink" Target="https://e5c9a.mailupclient.com/f/rnl.aspx/?jhe=vwurvxsx/&amp;x=pv&amp;bdi=tzfd&amp;=st1rx/7f1-a=5k9hibg&amp;x=pv&amp;9a&amp;-c4&amp;501&amp;x=pp&amp;u_9f1-a2&amp;.b/&amp;:d=rsw2quNCLM" TargetMode="External"/><Relationship Id="rId573" Type="http://schemas.openxmlformats.org/officeDocument/2006/relationships/hyperlink" Target="https://www.facebook.com/GCBA/posts/pfbid02om29QPQdx9biG61u6BbBky6d5wspZwCXoTWdjfupSHCvfZkz4Luw6CqrKFG4nv4Xl" TargetMode="External"/><Relationship Id="rId370" Type="http://schemas.openxmlformats.org/officeDocument/2006/relationships/hyperlink" Target="https://a2g9b4.emailsp.com/f/rnl.aspx/?fei=2orws1vy.9ek=vyad8=t3pzny&amp;f2::=7chafagb&amp;x=pp&amp;yx0-2.e16.&amp;x=pv&amp;2b5g=qst/pNCLM" TargetMode="External"/><Relationship Id="rId129" Type="http://schemas.openxmlformats.org/officeDocument/2006/relationships/hyperlink" Target="https://e5c9a.mailupclient.com/f/rnl.aspx/?jhe=vwurvxsx/&amp;x=pv&amp;bdi=tzfd&amp;=stzqx/7f1-a=5k9hibg&amp;x=pv&amp;9a&amp;-c4&amp;501&amp;x=pp&amp;u_9f1-a2&amp;.b/&amp;:d=rsw3vwNCLM" TargetMode="External"/><Relationship Id="rId128" Type="http://schemas.openxmlformats.org/officeDocument/2006/relationships/hyperlink" Target="https://e5c9a.mailupclient.com/f/rnl.aspx/?jhe=vwurvxsx/&amp;x=pv&amp;bdi=tzfd&amp;=stzwv/7f1-a=5k9hibg&amp;x=pv&amp;9a&amp;-c4&amp;501&amp;x=pp&amp;u_9f1-a2&amp;.b/&amp;:d=rsvvusNCLM" TargetMode="External"/><Relationship Id="rId127" Type="http://schemas.openxmlformats.org/officeDocument/2006/relationships/hyperlink" Target="https://e5c9a.mailupclient.com/f/rnl.aspx/?jhe=vwurvxsx/&amp;x=pv&amp;bdi=tzfd&amp;=stznw/7f1-a=5k9hibg&amp;x=pv&amp;9a&amp;-c4&amp;501&amp;x=pp&amp;u_9f1-a2&amp;.b/&amp;:d=rsvxwrNCLM" TargetMode="External"/><Relationship Id="rId369" Type="http://schemas.openxmlformats.org/officeDocument/2006/relationships/hyperlink" Target="https://www.facebook.com/baparticipacion/posts/pfbid025eXMMaMRR3xtuDzYFXpTi4Ew9wWyJ4dFKqVhL6K7ZPYi2WqphriDmGj6njpAB1uGl" TargetMode="External"/><Relationship Id="rId126" Type="http://schemas.openxmlformats.org/officeDocument/2006/relationships/hyperlink" Target="https://e5c9a.mailupclient.com/f/rnl.aspx/?jhe=vwurvxsx/&amp;x=pv&amp;bdi=tzfd&amp;=styvu/7f1-a=5k9hibg&amp;x=pv&amp;9a&amp;-c4&amp;501&amp;x=pp&amp;u_9f1-a2&amp;.b/&amp;:d=rsvvprNCLM" TargetMode="External"/><Relationship Id="rId368" Type="http://schemas.openxmlformats.org/officeDocument/2006/relationships/hyperlink" Target="https://e5c9a.mailupclient.com/f/rnl.aspx/?jhe=1r_yq2o/a&amp;le=t/.l7=svxyo/9.99a=59ndi-a&amp;9g-7e:-49&amp;25&amp;x=pp&amp;uy.-5-&amp;x=pv&amp;83dbzb4h=rq2pryNCLM" TargetMode="External"/><Relationship Id="rId121" Type="http://schemas.openxmlformats.org/officeDocument/2006/relationships/hyperlink" Target="https://e5c9a.mailupclient.com/f/rnl.aspx/?jhe=vwurvxsx/&amp;x=pv&amp;bdi=tzfd&amp;=stznz/7f1-a=5k9hibg&amp;x=pv&amp;9a&amp;-c4&amp;501&amp;x=pp&amp;u_9f1-a2&amp;.b/&amp;:d=rsvws_NCLM" TargetMode="External"/><Relationship Id="rId363" Type="http://schemas.openxmlformats.org/officeDocument/2006/relationships/hyperlink" Target="https://e5c9a.mailupclient.com/f/rnl.aspx/?jhe=vwurvxsx/&amp;x=pv&amp;bdi=tzfd&amp;=st2sv/7f1-a=5k9hibg&amp;x=pv&amp;9a&amp;-c4&amp;501&amp;x=pp&amp;u_9f1-a2&amp;.b/&amp;:d=rsxznyNCLM" TargetMode="External"/><Relationship Id="rId120" Type="http://schemas.openxmlformats.org/officeDocument/2006/relationships/hyperlink" Target="https://e5c9a.mailupclient.com/f/rnl.aspx/?jhe=vwurvxsx/&amp;x=pv&amp;bdi=tzfd&amp;=styur/7f1-a=5k9hibg&amp;x=pv&amp;9a&amp;-c4&amp;501&amp;x=pp&amp;u_9f1-a2&amp;.b/&amp;:d=rsv3trNCLM" TargetMode="External"/><Relationship Id="rId362" Type="http://schemas.openxmlformats.org/officeDocument/2006/relationships/hyperlink" Target="https://e5c9a.mailupclient.com/f/rnl.aspx/?jhe=1r_yq2o/a&amp;le=t/.l7=svxwq/9.99a=59ndi-a&amp;9g-7e:-49&amp;25&amp;x=pp&amp;uy.-5-&amp;x=pv&amp;83dbzb4h=rq2ovxNCLM" TargetMode="External"/><Relationship Id="rId361" Type="http://schemas.openxmlformats.org/officeDocument/2006/relationships/hyperlink" Target="https://e5c9a.mailupclient.com/f/rnl.aspx/?jhe=1r_yq2o/a&amp;le=t/.l7=swy_s/9.99a=59ndi-a&amp;9g-7e:-49&amp;25&amp;x=pp&amp;uy.-5-&amp;x=pv&amp;83dbzb4h=rq2vwwNCLM" TargetMode="External"/><Relationship Id="rId360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125" Type="http://schemas.openxmlformats.org/officeDocument/2006/relationships/hyperlink" Target="https://www.facebook.com/reel/26974859272149704" TargetMode="External"/><Relationship Id="rId367" Type="http://schemas.openxmlformats.org/officeDocument/2006/relationships/hyperlink" Target="https://a2g9b4.emailsp.com/f/rnl.aspx/?fei=1vvoo_2y.9ek=vyad8=t3pzsy&amp;f2::=k702m1k6.451&amp;x=pp&amp;r1.&amp;x=pv&amp;49-6&amp;aax00l=ruoxwNCLM" TargetMode="External"/><Relationship Id="rId124" Type="http://schemas.openxmlformats.org/officeDocument/2006/relationships/hyperlink" Target="https://e5c9a.mailupclient.com/f/rnl.aspx/?jhe=vwurvxsx/&amp;x=pv&amp;bdi=tzfd&amp;=suvtv/7f1-a=5k9hibg&amp;x=pv&amp;9a&amp;-c4&amp;501&amp;x=pp&amp;u_9f1-a2&amp;.b/&amp;:d=rtyyvsNCLM" TargetMode="External"/><Relationship Id="rId366" Type="http://schemas.openxmlformats.org/officeDocument/2006/relationships/hyperlink" Target="https://www.facebook.com/GCBA/posts/pfbid02kJAqNJQKHkr6HnTWhtj4EoMmoQkvchXoGoksdB483aiZM8mHCyBfuzEiebUqSfgCl" TargetMode="External"/><Relationship Id="rId123" Type="http://schemas.openxmlformats.org/officeDocument/2006/relationships/hyperlink" Target="https://e5c9a.mailupclient.com/f/rnl.aspx/?jhe=1r_yq2o/a&amp;le=t/.l7=svt3q/9.99a=59ndi-a&amp;9g-7e:-49&amp;25&amp;x=pp&amp;uy.-5-&amp;x=pv&amp;83dbzb4h=rq/qwtNCLM" TargetMode="External"/><Relationship Id="rId365" Type="http://schemas.openxmlformats.org/officeDocument/2006/relationships/hyperlink" Target="https://e5c9a.mailupclient.com/f/rnl.aspx/?jhe=vwurvxsx/&amp;x=pv&amp;bdi=tzfd&amp;=st2st/7f1-a=5k9hibg&amp;x=pv&amp;9a&amp;-c4&amp;501&amp;x=pp&amp;u_9f1-a2&amp;.b/&amp;:d=rsxyqtNCLM" TargetMode="External"/><Relationship Id="rId122" Type="http://schemas.openxmlformats.org/officeDocument/2006/relationships/hyperlink" Target="https://a2g9b4.emailsp.com/f/rnl.aspx/?fei=1vvoo1vy.9ek=vyad8=/2rrx6d90.=:g7.g:cd&amp;88622&amp;x=pp&amp;w38a10c84c-y.:e=tpwtyNCLM" TargetMode="External"/><Relationship Id="rId364" Type="http://schemas.openxmlformats.org/officeDocument/2006/relationships/hyperlink" Target="https://www.facebook.com/reel/1297000715746820" TargetMode="External"/><Relationship Id="rId95" Type="http://schemas.openxmlformats.org/officeDocument/2006/relationships/hyperlink" Target="https://a2g9b4.emailsp.com/f/rnl.aspx/?fei=1wqvoxxy.9ek=vyad8=/2qvx6d90.=3d.lfc&amp;x=pv&amp;.&amp;e08c1-&amp;34&amp;x=pp&amp;qx-f2::19h&amp;x=pv&amp;_95j=yqxuoNCLM" TargetMode="External"/><Relationship Id="rId94" Type="http://schemas.openxmlformats.org/officeDocument/2006/relationships/hyperlink" Target="https://e5c9a.mailupclient.com/f/rnl.aspx/?jhe=1r_yq2o/a&amp;le=t/.l7=svvyv/9.99a=59ndi-a&amp;9g-7e:-49&amp;25&amp;x=pp&amp;uy.-5-&amp;x=pv&amp;83dbzb4h=rq1qsxNCLM" TargetMode="External"/><Relationship Id="rId97" Type="http://schemas.openxmlformats.org/officeDocument/2006/relationships/hyperlink" Target="https://www.facebook.com/reel/1332009022300877" TargetMode="External"/><Relationship Id="rId96" Type="http://schemas.openxmlformats.org/officeDocument/2006/relationships/hyperlink" Target="https://a2g9b4.emailsp.com/f/rnl.aspx/?fei=1wqvoxxy.9ek=vyad8=/2qxx6d90.=3d.lfc&amp;x=pv&amp;.&amp;e08c1-&amp;34&amp;x=pp&amp;qx-f2::19h&amp;x=pv&amp;_95j=yqxuvNCLM" TargetMode="External"/><Relationship Id="rId99" Type="http://schemas.openxmlformats.org/officeDocument/2006/relationships/hyperlink" Target="https://e5c9a.mailupclient.com/f/rnl.aspx/?jhe=vwvwwvrv/&amp;x=pv&amp;bdi=tzfd&amp;=styuv/7f1-a=8e.dgcn&amp;&amp;x=pp&amp;u_9f1-a2&amp;.b/&amp;:d=rsvvowNCLM" TargetMode="External"/><Relationship Id="rId98" Type="http://schemas.openxmlformats.org/officeDocument/2006/relationships/hyperlink" Target="https://e5c9a.mailupclient.com/f/rnl.aspx/?jhe=vwurvxsx/&amp;x=pv&amp;bdi=tzfd&amp;=styqu/7f1-a=5k9hibg&amp;x=pv&amp;9a&amp;-c4&amp;501&amp;x=pp&amp;u_9f1-a2&amp;.b/&amp;:d=rsu2wuNCLM" TargetMode="External"/><Relationship Id="rId91" Type="http://schemas.openxmlformats.org/officeDocument/2006/relationships/hyperlink" Target="https://e5c9a.mailupclient.com/f/rnl.aspx/?jhe=vwvwwvrv/&amp;x=pv&amp;bdi=tzfd&amp;=stytw/7f1-a=8e.dgcn&amp;&amp;x=pp&amp;u_9f1-a2&amp;.b/&amp;:d=rsv3s_NCLM" TargetMode="External"/><Relationship Id="rId90" Type="http://schemas.openxmlformats.org/officeDocument/2006/relationships/hyperlink" Target="https://www.facebook.com/reel/1376298900359413" TargetMode="External"/><Relationship Id="rId93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92" Type="http://schemas.openxmlformats.org/officeDocument/2006/relationships/hyperlink" Target="https://mu-messages.mailupclient.com/55391/messages/email/25438/preview?sourceCode=listemail&amp;idTriggered=0" TargetMode="External"/><Relationship Id="rId118" Type="http://schemas.openxmlformats.org/officeDocument/2006/relationships/hyperlink" Target="https://e5c9a.mailupclient.com/f/rnl.aspx/?jhe=1r_yq2o/a&amp;le=t/.l7=svs1v/9.99a=59ndi-a&amp;9g-7e:-49&amp;25&amp;x=pp&amp;uy.-5-&amp;x=pv&amp;83dbzb4h=rq/ns_NCLM" TargetMode="External"/><Relationship Id="rId117" Type="http://schemas.openxmlformats.org/officeDocument/2006/relationships/hyperlink" Target="https://e5c9a.mailupclient.com/f/rnl.aspx/?jhe=1r_yq2o/a&amp;le=t/.l7=svs2w/9.99a=59ndi-a&amp;9g-7e:-49&amp;25&amp;x=pp&amp;uy.-5-&amp;x=pv&amp;83dbzb4h=rq/o_sNCLM" TargetMode="External"/><Relationship Id="rId359" Type="http://schemas.openxmlformats.org/officeDocument/2006/relationships/hyperlink" Target="https://e5c9a.mailupclient.com/f/rnl.aspx/?jhe=vwurvxsx/&amp;x=pv&amp;bdi=tzfd&amp;=st2nz/7f1-a=5k9hibg&amp;x=pv&amp;9a&amp;-c4&amp;501&amp;x=pp&amp;u_9f1-a2&amp;.b/&amp;:d=rsxwowNCLM" TargetMode="External"/><Relationship Id="rId116" Type="http://schemas.openxmlformats.org/officeDocument/2006/relationships/hyperlink" Target="https://e5c9a.mailupclient.com/f/rnl.aspx/?jhe=1r_yq2o/a&amp;le=t/.l7=svt3p/9.99a=59ndi-a&amp;9g-7e:-49&amp;25&amp;x=pp&amp;uy.-5-&amp;x=pv&amp;83dbzb4h=rq/o_rNCLM" TargetMode="External"/><Relationship Id="rId358" Type="http://schemas.openxmlformats.org/officeDocument/2006/relationships/hyperlink" Target="https://e5c9a.mailupclient.com/f/rnl.aspx/?jhe=vwurvxsx/&amp;x=pv&amp;bdi=tzfd&amp;=st2o_/7f1-a=5k9hibg&amp;x=pv&amp;9a&amp;-c4&amp;501&amp;x=pp&amp;u_9f1-a2&amp;.b/&amp;:d=rsxwptNCLM" TargetMode="External"/><Relationship Id="rId115" Type="http://schemas.openxmlformats.org/officeDocument/2006/relationships/hyperlink" Target="https://e5c9a.mailupclient.com/f/rnl.aspx/?jhe=1r_yq2o/a&amp;le=t/.l7=svs1p/9.99a=59ndi-a&amp;9g-7e:-49&amp;25&amp;x=pp&amp;uy.-5-&amp;x=pv&amp;83dbzb4h=rq/osxNCLM" TargetMode="External"/><Relationship Id="rId357" Type="http://schemas.openxmlformats.org/officeDocument/2006/relationships/hyperlink" Target="https://e5c9a.mailupclient.com/f/rnl.aspx/?jhe=vwt_y1w_/&amp;x=pv&amp;bdi=tzfd&amp;=su3tv/7f1-a=&amp;x=pv&amp;n1&amp;j&amp;kc949&amp;25&amp;x=pp&amp;uy.-5-&amp;x=pv&amp;83dbzb4h=rr3ovrNCLM" TargetMode="External"/><Relationship Id="rId599" Type="http://schemas.openxmlformats.org/officeDocument/2006/relationships/hyperlink" Target="https://www.facebook.com/GCBA/posts/pfbid02HcEpZ4qXy9tSUmWmhFECdEBMEEypzXRaEHr8wrQGJ4tE1ML1sNV2V5RTo2hHAsfUl" TargetMode="External"/><Relationship Id="rId119" Type="http://schemas.openxmlformats.org/officeDocument/2006/relationships/hyperlink" Target="https://e5c9a.mailupclient.com/f/rnl.aspx/?jhe=vwurvxsx/&amp;x=pv&amp;bdi=tzfd&amp;=styuu/7f1-a=5k9hibg&amp;x=pv&amp;9a&amp;-c4&amp;501&amp;x=pp&amp;u_9f1-a2&amp;.b/&amp;:d=rsv3vvNCLM" TargetMode="External"/><Relationship Id="rId110" Type="http://schemas.openxmlformats.org/officeDocument/2006/relationships/hyperlink" Target="https://e5c9a.mailupclient.com/f/rnl.aspx/?jhe=1r_yq2o/a&amp;le=t/.l7=svuww/9.99a=59ndi-a&amp;9g-7e:-49&amp;25&amp;x=pp&amp;uy.-5-&amp;x=pv&amp;83dbzb4h=rq/tyrNCLM" TargetMode="External"/><Relationship Id="rId352" Type="http://schemas.openxmlformats.org/officeDocument/2006/relationships/hyperlink" Target="https://e5c9a.mailupclient.com/f/rnl.aspx/?jhe=vwszuxsy/&amp;x=pv&amp;bdi=tzfd&amp;=st2wy/7f1-a=l925n3r/&amp;749&amp;x=pp&amp;q_&amp;.99a45h-/-6l=nszp_sNCLM" TargetMode="External"/><Relationship Id="rId594" Type="http://schemas.openxmlformats.org/officeDocument/2006/relationships/hyperlink" Target="https://e5c9a.mailupclient.com/f/rnl.aspx/?jhe=1r_yq2o/a&amp;le=t/.l7=swpzw/9.99a=59ndi-a&amp;9g-7e:-49&amp;25&amp;x=pp&amp;uy.-5-&amp;x=pv&amp;83dbzb4h=rr3pssNCLM" TargetMode="External"/><Relationship Id="rId351" Type="http://schemas.openxmlformats.org/officeDocument/2006/relationships/hyperlink" Target="https://e5c9a.mailupclient.com/f/rnl.aspx/?jhe=vwurvxsx/&amp;x=pv&amp;bdi=tzfd&amp;=st2wx/7f1-a=5k9hibg&amp;x=pv&amp;9a&amp;-c4&amp;501&amp;x=pp&amp;u_9f1-a2&amp;.b/&amp;:d=rsxvsxNCLM" TargetMode="External"/><Relationship Id="rId593" Type="http://schemas.openxmlformats.org/officeDocument/2006/relationships/hyperlink" Target="https://e5c9a.mailupclient.com/f/rnl.aspx/?jhe=vwurvxsx/&amp;x=pv&amp;bdi=tzfd&amp;=suvr_/7f1-a=5k9hibg&amp;x=pv&amp;9a&amp;-c4&amp;501&amp;x=pp&amp;u_9f1-a2&amp;.b/&amp;:d=rtyxoyNCLM" TargetMode="External"/><Relationship Id="rId350" Type="http://schemas.openxmlformats.org/officeDocument/2006/relationships/hyperlink" Target="https://e5c9a.mailupclient.com/f/rnl.aspx/?jhe=vwszuxsy/&amp;x=pv&amp;bdi=tzfd&amp;=st2wv/7f1-a=l925n3r/&amp;749&amp;x=pp&amp;q_&amp;.99a45h-/-6l=nszp_qNCLM" TargetMode="External"/><Relationship Id="rId592" Type="http://schemas.openxmlformats.org/officeDocument/2006/relationships/hyperlink" Target="https://www.facebook.com/GCBA/posts/pfbid0n8SL6JhJG2DYBnBuXA56cNcseBLQBtds3LtZADwxhq47vo6euiGAyGpW9YPdZyLil" TargetMode="External"/><Relationship Id="rId591" Type="http://schemas.openxmlformats.org/officeDocument/2006/relationships/hyperlink" Target="https://e5c9a.mailupclient.com/f/rnl.aspx/?jhe=1r_yq2o/a&amp;le=t/.l7=swpvv/9.99a=59ndi-a&amp;9g-7e:-49&amp;25&amp;x=pp&amp;uy.-5-&amp;x=pv&amp;83dbzb4h=rr3pv_NCLM" TargetMode="External"/><Relationship Id="rId114" Type="http://schemas.openxmlformats.org/officeDocument/2006/relationships/hyperlink" Target="https://e5c9a.mailupclient.com/f/rnl.aspx/?jhe=vwurvxsx/&amp;x=pv&amp;bdi=tzfd&amp;=stytt/7f1-a=5k9hibg&amp;x=pv&amp;9a&amp;-c4&amp;501&amp;x=pp&amp;u_9f1-a2&amp;.b/&amp;:d=rsv3rrNCLM" TargetMode="External"/><Relationship Id="rId356" Type="http://schemas.openxmlformats.org/officeDocument/2006/relationships/hyperlink" Target="https://www.facebook.com/reel/1330701805649297" TargetMode="External"/><Relationship Id="rId598" Type="http://schemas.openxmlformats.org/officeDocument/2006/relationships/hyperlink" Target="https://e5c9a.mailupclient.com/f/rnl.aspx/?jhe=vwt_y1w_/&amp;x=pv&amp;bdi=tzfd&amp;=suwr_/7f1-a=&amp;x=pv&amp;n1&amp;j&amp;kc949&amp;25&amp;x=pp&amp;uy.-5-&amp;x=pv&amp;83dbzb4h=rr3urzNCLM" TargetMode="External"/><Relationship Id="rId113" Type="http://schemas.openxmlformats.org/officeDocument/2006/relationships/hyperlink" Target="https://e5c9a.mailupclient.com/f/rnl.aspx/?jhe=vwurvxsx/&amp;x=pv&amp;bdi=tzfd&amp;=stytr/7f1-a=5k9hibg&amp;x=pv&amp;9a&amp;-c4&amp;501&amp;x=pp&amp;u_9f1-a2&amp;.b/&amp;:d=rsv3qyNCLM" TargetMode="External"/><Relationship Id="rId355" Type="http://schemas.openxmlformats.org/officeDocument/2006/relationships/hyperlink" Target="https://e5c9a.mailupclient.com/f/rnl.aspx/?jhe=1r_yq2o/a&amp;le=t/.l7=svxvn/9.99a=59ndi-a&amp;9g-7e:-49&amp;25&amp;x=pp&amp;uy.-5-&amp;x=pv&amp;83dbzb4h=rq2nyvNCLM" TargetMode="External"/><Relationship Id="rId597" Type="http://schemas.openxmlformats.org/officeDocument/2006/relationships/hyperlink" Target="https://www.facebook.com/reel/1590318498709651/" TargetMode="External"/><Relationship Id="rId112" Type="http://schemas.openxmlformats.org/officeDocument/2006/relationships/hyperlink" Target="https://www.facebook.com/reel/1297793642108690" TargetMode="External"/><Relationship Id="rId354" Type="http://schemas.openxmlformats.org/officeDocument/2006/relationships/hyperlink" Target="https://e5c9a.mailupclient.com/f/rnl.aspx/?jhe=vwvwwvrv/&amp;x=pv&amp;bdi=tzfd&amp;=st1vy/7f1-a=8e.dgcn&amp;&amp;x=pp&amp;u_9f1-a2&amp;.b/&amp;:d=rsxvqsNCLM" TargetMode="External"/><Relationship Id="rId596" Type="http://schemas.openxmlformats.org/officeDocument/2006/relationships/hyperlink" Target="https://e5c9a.mailupclient.com/f/rnl.aspx/?jhe=1r_yq2o/a&amp;le=t/.l7=swqxo/9.99a=59ndi-a&amp;9g-7e:-49&amp;25&amp;x=pp&amp;uy.-5-&amp;x=pv&amp;83dbzb4h=rr3ttxNCLM" TargetMode="External"/><Relationship Id="rId111" Type="http://schemas.openxmlformats.org/officeDocument/2006/relationships/hyperlink" Target="https://e5c9a.mailupclient.com/f/rnl.aspx/?jhe=1r_yq2o/a&amp;le=t/.l7=svuwo/9.99a=59ndi-a&amp;9g-7e:-49&amp;25&amp;x=pp&amp;uy.-5-&amp;x=pv&amp;83dbzb4h=rq/vwwNCLM" TargetMode="External"/><Relationship Id="rId353" Type="http://schemas.openxmlformats.org/officeDocument/2006/relationships/hyperlink" Target="https://e5c9a.mailupclient.com/f/rnl.aspx/?jhe=1r_yq2o/a&amp;le=t/.l7=svx3w/9.99a=59ndi-a&amp;9g-7e:-49&amp;25&amp;x=pp&amp;uy.-5-&amp;x=pv&amp;83dbzb4h=rq2nuxNCLM" TargetMode="External"/><Relationship Id="rId595" Type="http://schemas.openxmlformats.org/officeDocument/2006/relationships/hyperlink" Target="https://www.facebook.com/GCBA/posts/pfbid0ZhY9HNw5XyVPq9LPPWvSnUBGrzWXjMx66cykS25RXtuo4kREkyYSVqz9iN4gWoVKl" TargetMode="External"/><Relationship Id="rId305" Type="http://schemas.openxmlformats.org/officeDocument/2006/relationships/hyperlink" Target="https://e5c9a.mailupclient.com/f/rnl.aspx/?jhe=vwszuxsy/&amp;x=pv&amp;bdi=tzfd&amp;=st1or/7f1-a=l925n3r/&amp;749&amp;x=pp&amp;q_&amp;.99a45h-/-6l=nsyv/rNCLM" TargetMode="External"/><Relationship Id="rId547" Type="http://schemas.openxmlformats.org/officeDocument/2006/relationships/hyperlink" Target="https://www.facebook.com/baparticipacion/posts/pfbid0XEULNebDXk1ywWcpcojCyfFSneCeUgxVJu926P5wGVrJP3Qwru1tRir4rro7HusWl" TargetMode="External"/><Relationship Id="rId789" Type="http://schemas.openxmlformats.org/officeDocument/2006/relationships/hyperlink" Target="https://e5c9a.mailupclient.com/f/rnl.aspx/?jhe=vwszuxsy/&amp;x=pv&amp;bdi=tzfd&amp;=suxnz/7f1-a=l925n3r/&amp;749&amp;x=pp&amp;q_&amp;.99a45h-/-6l=ntrq3wNCLM" TargetMode="External"/><Relationship Id="rId304" Type="http://schemas.openxmlformats.org/officeDocument/2006/relationships/hyperlink" Target="https://a2g9b4.emailsp.com/f/rnl.aspx/?fei=1wqvoxxy.9ek=vyad8=t3oqny&amp;f2::=4ibeh..e--:5d6.451&amp;x=pp&amp;r1.&amp;x=pv&amp;49-6&amp;aax00l=rttqxNCLM" TargetMode="External"/><Relationship Id="rId546" Type="http://schemas.openxmlformats.org/officeDocument/2006/relationships/hyperlink" Target="https://e5c9a.mailupclient.com/f/rnl.aspx/?jhe=1r_yq2o/a&amp;le=t/.l7=swpvw/9.99a=59ndi-a&amp;9g-7e:-49&amp;25&amp;x=pp&amp;uy.-5-&amp;x=pv&amp;83dbzb4h=rr3ntyNCLM" TargetMode="External"/><Relationship Id="rId788" Type="http://schemas.openxmlformats.org/officeDocument/2006/relationships/hyperlink" Target="https://e5c9a.mailupclient.com/f/rnl.aspx/?jhe=vwszuxsy/&amp;x=pv&amp;bdi=tzfd&amp;=suxqs/7f1-a=l925n3r/&amp;749&amp;x=pp&amp;q_&amp;.99a45h-/-6l=ntrq2qNCLM" TargetMode="External"/><Relationship Id="rId303" Type="http://schemas.openxmlformats.org/officeDocument/2006/relationships/hyperlink" Target="https://e5c9a.mailupclient.com/f/rnl.aspx/?jhe=vwszuxsy/&amp;x=pv&amp;bdi=tzfd&amp;=st1o_/7f1-a=l925n3r/&amp;749&amp;x=pp&amp;q_&amp;.99a45h-/-6l=nsyv_wNCLM" TargetMode="External"/><Relationship Id="rId545" Type="http://schemas.openxmlformats.org/officeDocument/2006/relationships/hyperlink" Target="https://e5c9a.mailupclient.com/f/rnl.aspx/?jhe=1r_yq2o/a&amp;le=t/.l7=swy2v/9.99a=59ndi-a&amp;9g-7e:-49&amp;25&amp;x=pp&amp;uy.-5-&amp;x=pv&amp;83dbzb4h=rr3wusNCLM" TargetMode="External"/><Relationship Id="rId787" Type="http://schemas.openxmlformats.org/officeDocument/2006/relationships/hyperlink" Target="https://www.facebook.com/GCBA/posts/pfbid0VNG57qB3nVTqxBJbJM9RhGy6zLbn37no46DKGefcch7YeFSakEZK1y1zaycboqGXl" TargetMode="External"/><Relationship Id="rId302" Type="http://schemas.openxmlformats.org/officeDocument/2006/relationships/hyperlink" Target="https://e5c9a.mailupclient.com/f/rnl.aspx/?jhe=vwszuxsy/&amp;x=pv&amp;bdi=tzfd&amp;=st1py/7f1-a=l925n3r/&amp;749&amp;x=pp&amp;q_&amp;.99a45h-/-6l=nsywxpNCLM" TargetMode="External"/><Relationship Id="rId544" Type="http://schemas.openxmlformats.org/officeDocument/2006/relationships/hyperlink" Target="https://e5c9a.mailupclient.com/f/rnl.aspx/?jhe=1r_yq2o/a&amp;le=t/.l7=swy2u/9.99a=59ndi-a&amp;9g-7e:-49&amp;25&amp;x=pp&amp;uy.-5-&amp;x=pv&amp;83dbzb4h=rr3wurNCLM" TargetMode="External"/><Relationship Id="rId786" Type="http://schemas.openxmlformats.org/officeDocument/2006/relationships/hyperlink" Target="https://e5c9a.mailupclient.com/f/rnl.aspx/?jhe=vwurvxsx/&amp;x=pv&amp;bdi=tzfd&amp;=suxot/7f1-a=5k9hibg&amp;x=pv&amp;9a&amp;-c4&amp;501&amp;x=pp&amp;u_9f1-a2&amp;.b/&amp;:d=rtpwnuNCLM" TargetMode="External"/><Relationship Id="rId309" Type="http://schemas.openxmlformats.org/officeDocument/2006/relationships/hyperlink" Target="https://e5c9a.mailupclient.com/f/rnl.aspx/?jhe=vwvwwvrv/&amp;x=pv&amp;bdi=tzfd&amp;=st1pw/7f1-a=8e.dgcn&amp;&amp;x=pp&amp;u_9f1-a2&amp;.b/&amp;:d=rsw1qrNCLM" TargetMode="External"/><Relationship Id="rId308" Type="http://schemas.openxmlformats.org/officeDocument/2006/relationships/hyperlink" Target="https://e5c9a.mailupclient.com/f/rnl.aspx/?jhe=vwt_y1w_/&amp;x=pv&amp;bdi=tzfd&amp;=st1qt/7f1-a=&amp;x=pv&amp;n1&amp;j&amp;kc949&amp;25&amp;x=pp&amp;uy.-5-&amp;x=pv&amp;83dbzb4h=rq1uwwNCLM" TargetMode="External"/><Relationship Id="rId307" Type="http://schemas.openxmlformats.org/officeDocument/2006/relationships/hyperlink" Target="https://e5c9a.mailupclient.com/f/rnl.aspx/?jhe=vwurvxsx/&amp;x=pv&amp;bdi=tzfd&amp;=st1oz/7f1-a=5k9hibg&amp;x=pv&amp;9a&amp;-c4&amp;501&amp;x=pp&amp;u_9f1-a2&amp;.b/&amp;:d=rsw1rwNCLM" TargetMode="External"/><Relationship Id="rId549" Type="http://schemas.openxmlformats.org/officeDocument/2006/relationships/hyperlink" Target="https://www.facebook.com/baparticipacion/posts/pfbid09GkkAAkqoFPGdoydEHzWi3RWWfTrmQnxpo6ZWXqCf26wuME2jVZEq4GMgRy9rm8yl" TargetMode="External"/><Relationship Id="rId306" Type="http://schemas.openxmlformats.org/officeDocument/2006/relationships/hyperlink" Target="https://e5c9a.mailupclient.com/f/rnl.aspx/?jhe=1r_yq2o/a&amp;le=t/.l7=svwxn/9.99a=59ndi-a&amp;9g-7e:-49&amp;25&amp;x=pp&amp;uy.-5-&amp;x=pv&amp;83dbzb4h=rq1tzvNCLM" TargetMode="External"/><Relationship Id="rId548" Type="http://schemas.openxmlformats.org/officeDocument/2006/relationships/hyperlink" Target="https://e5c9a.mailupclient.com/f/rnl.aspx/?jhe=1r_yq2o/a&amp;le=t/.l7=swy2r/9.99a=59ndi-a&amp;9g-7e:-49&amp;25&amp;x=pp&amp;uy.-5-&amp;x=pv&amp;83dbzb4h=rr3wu_NCLM" TargetMode="External"/><Relationship Id="rId781" Type="http://schemas.openxmlformats.org/officeDocument/2006/relationships/hyperlink" Target="https://fb.me/adspreview/facebook/26hl3ef2PRp2J1x" TargetMode="External"/><Relationship Id="rId780" Type="http://schemas.openxmlformats.org/officeDocument/2006/relationships/hyperlink" Target="https://www.facebook.com/GCBA/posts/pfbid0BWWbjFzHSvy2akkqzkGyUfsJ8AtVqaA5yBerrhCbwJs151HBF3J9V24vnFCkvNixl" TargetMode="External"/><Relationship Id="rId301" Type="http://schemas.openxmlformats.org/officeDocument/2006/relationships/hyperlink" Target="https://e5c9a.mailupclient.com/f/rnl.aspx/?jhe=vwurvxsx/&amp;x=pv&amp;bdi=tzfd&amp;=st1ww/7f1-a=5k9hibg&amp;x=pv&amp;9a&amp;-c4&amp;501&amp;x=pp&amp;u_9f1-a2&amp;.b/&amp;:d=rsw_vyNCLM" TargetMode="External"/><Relationship Id="rId543" Type="http://schemas.openxmlformats.org/officeDocument/2006/relationships/hyperlink" Target="https://e5c9a.mailupclient.com/f/rnl.aspx/?jhe=1r_yq2o/a&amp;le=t/.l7=swy2t/9.99a=59ndi-a&amp;9g-7e:-49&amp;25&amp;x=pp&amp;uy.-5-&amp;x=pv&amp;83dbzb4h=rr3wsxNCLM" TargetMode="External"/><Relationship Id="rId785" Type="http://schemas.openxmlformats.org/officeDocument/2006/relationships/hyperlink" Target="https://fb.me/adspreview/facebook/1OGmm67Q9rcuEQr" TargetMode="External"/><Relationship Id="rId300" Type="http://schemas.openxmlformats.org/officeDocument/2006/relationships/hyperlink" Target="https://e5c9a.mailupclient.com/f/rnl.aspx/?jhe=vwurvxsx/&amp;x=pv&amp;bdi=tzfd&amp;=st1nz/7f1-a=5k9hibg&amp;x=pv&amp;9a&amp;-c4&amp;501&amp;x=pp&amp;u_9f1-a2&amp;.b/&amp;:d=rsw/qzNCLM" TargetMode="External"/><Relationship Id="rId542" Type="http://schemas.openxmlformats.org/officeDocument/2006/relationships/hyperlink" Target="https://a2g9b4.emailsp.com/f/rnl.aspx/?fei=1wqvoxxy.9ek=vyad8=t3suwy&amp;f2::=4ibeh..e--:5d6.451&amp;x=pp&amp;r1.&amp;x=pv&amp;49-6&amp;aax00l=rvuu/NCLM" TargetMode="External"/><Relationship Id="rId784" Type="http://schemas.openxmlformats.org/officeDocument/2006/relationships/hyperlink" Target="https://a2g9b4.emailsp.com/f/rnl.aspx/?fei=2orws1vy.9ek=vyad8=t3srny&amp;f2::=7chafagb&amp;x=pp&amp;yx0-2.e16.&amp;x=pv&amp;2b5g=qtzwxNCLM" TargetMode="External"/><Relationship Id="rId541" Type="http://schemas.openxmlformats.org/officeDocument/2006/relationships/hyperlink" Target="https://www.facebook.com/GCBA/posts/pfbid02ZZNyUrpY1B4MgUutqorhDq8cCURfSLLjs4WQV7Jf9V5BvNoViXF6BneUAHD7zymql" TargetMode="External"/><Relationship Id="rId783" Type="http://schemas.openxmlformats.org/officeDocument/2006/relationships/hyperlink" Target="https://www.facebook.com/GCBA/posts/pfbid033kEjE9yaGrFdxuHniPNcM7sGu1ettWqv5TxYnj5GWzq8VFtkgjaXQMhw3oghr4Rdl" TargetMode="External"/><Relationship Id="rId540" Type="http://schemas.openxmlformats.org/officeDocument/2006/relationships/hyperlink" Target="https://e5c9a.mailupclient.com/f/rnl.aspx/?jhe=1r_yq2o/a&amp;le=t/.l7=swy/u/9.99a=59ndi-a&amp;9g-7e:-49&amp;25&amp;x=pp&amp;uy.-5-&amp;x=pv&amp;83dbzb4h=rq2vxzNCLM" TargetMode="External"/><Relationship Id="rId782" Type="http://schemas.openxmlformats.org/officeDocument/2006/relationships/hyperlink" Target="https://e5c9a.mailupclient.com/f/rnl.aspx/?jhe=vwszuxsy/&amp;x=pv&amp;bdi=tzfd&amp;=suxsy/7f1-a=l925n3r/&amp;749&amp;x=pp&amp;q_&amp;.99a45h-/-6l=ntrsxuNCLM" TargetMode="External"/><Relationship Id="rId536" Type="http://schemas.openxmlformats.org/officeDocument/2006/relationships/hyperlink" Target="https://www.facebook.com/reel/2478921712565121/" TargetMode="External"/><Relationship Id="rId778" Type="http://schemas.openxmlformats.org/officeDocument/2006/relationships/hyperlink" Target="https://e5c9a.mailupclient.com/f/rnl.aspx/?jhe=vwurvxsx/&amp;x=pv&amp;bdi=tzfd&amp;=suxrs/7f1-a=5k9hibg&amp;x=pv&amp;9a&amp;-c4&amp;501&amp;x=pp&amp;u_9f1-a2&amp;.b/&amp;:d=rtpxpyNCLM" TargetMode="External"/><Relationship Id="rId535" Type="http://schemas.openxmlformats.org/officeDocument/2006/relationships/hyperlink" Target="https://a2g9b4.emailsp.com/f/rnl.aspx/?fei=1wqvoxxy.9ek=vyad8=t3qqqy&amp;f2::=4ibeh..e--:5d6.451&amp;x=pp&amp;r1.&amp;x=pv&amp;49-6&amp;aax00l=rutptNCLM" TargetMode="External"/><Relationship Id="rId777" Type="http://schemas.openxmlformats.org/officeDocument/2006/relationships/hyperlink" Target="https://e5c9a.mailupclient.com/f/rnl.aspx/?jhe=vwurvxsx/&amp;x=pv&amp;bdi=tzfd&amp;=suxrr/7f1-a=5k9hibg&amp;x=pv&amp;9a&amp;-c4&amp;501&amp;x=pp&amp;u_9f1-a2&amp;.b/&amp;:d=rtpxptNCLM" TargetMode="External"/><Relationship Id="rId534" Type="http://schemas.openxmlformats.org/officeDocument/2006/relationships/hyperlink" Target="https://fb.me/adspreview/facebook/1U53Ljp62nKtRhr" TargetMode="External"/><Relationship Id="rId776" Type="http://schemas.openxmlformats.org/officeDocument/2006/relationships/hyperlink" Target="https://a2g9b4.emailsp.com/f/rnl.aspx/?fei=1uwuq_vy.9ek=vyad8=t3sqty&amp;f2::=2-neh9.9bd:5-cb10337&amp;x=pp&amp;yx0-2.e16.&amp;x=pv&amp;2b5g=qty2qNCLM" TargetMode="External"/><Relationship Id="rId533" Type="http://schemas.openxmlformats.org/officeDocument/2006/relationships/hyperlink" Target="https://e5c9a.mailupclient.com/f/rnl.aspx/?jhe=vwt_y1w_/&amp;x=pv&amp;bdi=tzfd&amp;=suxnu/7f1-a=&amp;x=pv&amp;n1&amp;j&amp;kc949&amp;25&amp;x=pp&amp;uy.-5-&amp;x=pv&amp;83dbzb4h=rrvortNCLM" TargetMode="External"/><Relationship Id="rId775" Type="http://schemas.openxmlformats.org/officeDocument/2006/relationships/hyperlink" Target="https://a2g9b4.emailsp.com/f/rnl.aspx/?fei=1uwuq_vy.9ek=vyad8=t3sqsy&amp;f2::=2-neh9.9bd:5-cb10337&amp;x=pp&amp;yx0-2.e16.&amp;x=pv&amp;2b5g=qty2pNCLM" TargetMode="External"/><Relationship Id="rId539" Type="http://schemas.openxmlformats.org/officeDocument/2006/relationships/hyperlink" Target="https://a2g9b4.emailsp.com/f/rnl.aspx/?fei=2orws1vy.9ek=vyad8=t3pyvy&amp;f2::=7chafagb&amp;x=pp&amp;yx0-2.e16.&amp;x=pv&amp;2b5g=qsz/rNCLM" TargetMode="External"/><Relationship Id="rId538" Type="http://schemas.openxmlformats.org/officeDocument/2006/relationships/hyperlink" Target="https://e5c9a.mailupclient.com/f/rnl.aspx/?jhe=vwszuxsy/&amp;x=pv&amp;bdi=tzfd&amp;=su3st/7f1-a=l925n3r/&amp;749&amp;x=pp&amp;q_&amp;.99a45h-/-6l=nszxwuNCLM" TargetMode="External"/><Relationship Id="rId537" Type="http://schemas.openxmlformats.org/officeDocument/2006/relationships/hyperlink" Target="https://www.facebook.com/baparticipacion/posts/pfbid0hwDpoNs6YYRf2X8atuVpFA7YNkjojnRYuAHyU2s44oECEmY4MhgAsFCauC7bfWevl" TargetMode="External"/><Relationship Id="rId779" Type="http://schemas.openxmlformats.org/officeDocument/2006/relationships/hyperlink" Target="https://e5c9a.mailupclient.com/f/rnl.aspx/?jhe=vwurvxsx/&amp;x=pv&amp;bdi=tzfd&amp;=suxrt/7f1-a=5k9hibg&amp;x=pv&amp;9a&amp;-c4&amp;501&amp;x=pp&amp;u_9f1-a2&amp;.b/&amp;:d=rtpxpvNCLM" TargetMode="External"/><Relationship Id="rId770" Type="http://schemas.openxmlformats.org/officeDocument/2006/relationships/hyperlink" Target="https://fb.me/adspreview/facebook/1UgfjdmX0MBxywR" TargetMode="External"/><Relationship Id="rId532" Type="http://schemas.openxmlformats.org/officeDocument/2006/relationships/hyperlink" Target="https://www.facebook.com/GCBA/posts/pfbid0277YpxeHyUczhXNK3u8A7tDDmhV8R9AGH6TF7HV7vK9Lp44oZbVyEwKMpjdVQqRml" TargetMode="External"/><Relationship Id="rId774" Type="http://schemas.openxmlformats.org/officeDocument/2006/relationships/hyperlink" Target="https://e5c9a.mailupclient.com/f/rnl.aspx/?jhe=1r_yq2o/a&amp;le=t/.l7=swrwo/9.99a=59ndi-a&amp;9g-7e:-49&amp;25&amp;x=pp&amp;uy.-5-&amp;x=pv&amp;83dbzb4h=rrvorsNCLM" TargetMode="External"/><Relationship Id="rId531" Type="http://schemas.openxmlformats.org/officeDocument/2006/relationships/hyperlink" Target="https://e5c9a.mailupclient.com/f/rnl.aspx/?jhe=vwszuxsy/&amp;x=pv&amp;bdi=tzfd&amp;=suvw_/7f1-a=l925n3r/&amp;749&amp;x=pp&amp;q_&amp;.99a45h-/-6l=nt_y_wNCLM" TargetMode="External"/><Relationship Id="rId773" Type="http://schemas.openxmlformats.org/officeDocument/2006/relationships/hyperlink" Target="https://e5c9a.mailupclient.com/f/rnl.aspx/?jhe=vwurvxsx/&amp;x=pv&amp;bdi=tzfd&amp;=suyqs/7f1-a=5k9hibg&amp;x=pv&amp;9a&amp;-c4&amp;501&amp;x=pp&amp;u_9f1-a2&amp;.b/&amp;:d=rtp1wzNCLM" TargetMode="External"/><Relationship Id="rId530" Type="http://schemas.openxmlformats.org/officeDocument/2006/relationships/hyperlink" Target="https://www.facebook.com/GCBA/posts/pfbid0UXKR5mtRmWYXP5cTzNVa3FmB9ij1evJuxPD588yGyfBNCcZ154rcMRwSRNXUtSDwl" TargetMode="External"/><Relationship Id="rId772" Type="http://schemas.openxmlformats.org/officeDocument/2006/relationships/hyperlink" Target="https://www.facebook.com/GCBA/posts/pfbid02E4wp53ZNT6GqD98pYbzNyRQnXPk7oybZTfo6UaqKbzJK3SpDnwAj8YPuFvK2ESjLl" TargetMode="External"/><Relationship Id="rId771" Type="http://schemas.openxmlformats.org/officeDocument/2006/relationships/hyperlink" Target="https://a2g9b4.emailsp.com/f/rnl.aspx/?fei=1wqvoxxy.9ek=vyad8=t3ryvy&amp;f2::=4ibeh..e--:5d6.451&amp;x=pp&amp;r1.&amp;x=pv&amp;49-6&amp;aax00l=rvrwvNCLM" TargetMode="External"/><Relationship Id="rId327" Type="http://schemas.openxmlformats.org/officeDocument/2006/relationships/hyperlink" Target="https://e5c9a.mailupclient.com/f/rnl.aspx/?jhe=vwurvxsx/&amp;x=pv&amp;bdi=tzfd&amp;=st1qz/7f1-a=5k9hibg&amp;x=pv&amp;9a&amp;-c4&amp;501&amp;x=pp&amp;u_9f1-a2&amp;.b/&amp;:d=rsw2wyNCLM" TargetMode="External"/><Relationship Id="rId569" Type="http://schemas.openxmlformats.org/officeDocument/2006/relationships/hyperlink" Target="https://www.facebook.com/baparticipacion/posts/pfbid0aiHtMwhdKZKogzkdAm5sZjZ8RPpvY4pTg5x8Pf26m1cy2KiC6hbiuG4THxXjumTBl" TargetMode="External"/><Relationship Id="rId326" Type="http://schemas.openxmlformats.org/officeDocument/2006/relationships/hyperlink" Target="https://a2g9b4.emailsp.com/f/rnl.aspx/?fei=1vvoo_2y.9ek=vyad8=t3szqy&amp;f2::=k702m1k6.451&amp;x=pp&amp;r1.&amp;x=pv&amp;49-6&amp;aax00l=rvsr_NCLM" TargetMode="External"/><Relationship Id="rId568" Type="http://schemas.openxmlformats.org/officeDocument/2006/relationships/hyperlink" Target="https://e5c9a.mailupclient.com/f/rnl.aspx/?jhe=vwt_y1w_/&amp;x=pv&amp;bdi=tzfd&amp;=suvnu/7f1-a=&amp;x=pv&amp;n1&amp;j&amp;kc949&amp;25&amp;x=pp&amp;uy.-5-&amp;x=pv&amp;83dbzb4h=rr3nxwNCLM" TargetMode="External"/><Relationship Id="rId325" Type="http://schemas.openxmlformats.org/officeDocument/2006/relationships/hyperlink" Target="https://e5c9a.mailupclient.com/f/rnl.aspx/?jhe=1r_yq2o/a&amp;le=t/.l7=svw_v/9.99a=59ndi-a&amp;9g-7e:-49&amp;25&amp;x=pp&amp;uy.-5-&amp;x=pv&amp;83dbzb4h=rq1vzxNCLM" TargetMode="External"/><Relationship Id="rId567" Type="http://schemas.openxmlformats.org/officeDocument/2006/relationships/hyperlink" Target="https://www.facebook.com/baparticipacion/posts/pfbid02Cd9WeTeR2MvAMMwZfG6fiw1RXx9T8DrkaBsfjpLgT1xQZFq9pRVZBMTcw4KKgQDPl" TargetMode="External"/><Relationship Id="rId324" Type="http://schemas.openxmlformats.org/officeDocument/2006/relationships/hyperlink" Target="https://e5c9a.mailupclient.com/f/rnl.aspx/?jhe=vwt_y1w_/&amp;x=pv&amp;bdi=tzfd&amp;=st2vy/7f1-a=&amp;x=pv&amp;n1&amp;j&amp;kc949&amp;25&amp;x=pp&amp;uy.-5-&amp;x=pv&amp;83dbzb4h=rq2strNCLM" TargetMode="External"/><Relationship Id="rId566" Type="http://schemas.openxmlformats.org/officeDocument/2006/relationships/hyperlink" Target="https://e5c9a.mailupclient.com/f/rnl.aspx/?jhe=1r_yq2o/a&amp;le=t/.l7=swp3u/9.99a=59ndi-a&amp;9g-7e:-49&amp;25&amp;x=pp&amp;uy.-5-&amp;x=pv&amp;83dbzb4h=rr3nttNCLM" TargetMode="External"/><Relationship Id="rId329" Type="http://schemas.openxmlformats.org/officeDocument/2006/relationships/hyperlink" Target="https://e5c9a.mailupclient.com/f/rnl.aspx/?jhe=vwt_y1w_/&amp;x=pv&amp;bdi=tzfd&amp;=st1ry/7f1-a=&amp;x=pv&amp;n1&amp;j&amp;kc949&amp;25&amp;x=pp&amp;uy.-5-&amp;x=pv&amp;83dbzb4h=rq1vxuNCLM" TargetMode="External"/><Relationship Id="rId328" Type="http://schemas.openxmlformats.org/officeDocument/2006/relationships/hyperlink" Target="https://a2g9b4.emailsp.com/f/rnl.aspx/?fei=1vvoo1vy.9ek=vyad8=t3ospy&amp;f2::=-l98i9di-10337&amp;x=pp&amp;yx0-2.e16.&amp;x=pv&amp;2b5g=qr/ysNCLM" TargetMode="External"/><Relationship Id="rId561" Type="http://schemas.openxmlformats.org/officeDocument/2006/relationships/hyperlink" Target="https://e5c9a.mailupclient.com/f/rnl.aspx/?jhe=vwurvxsx/&amp;x=pv&amp;bdi=tzfd&amp;=suvpr/7f1-a=5k9hibg&amp;x=pv&amp;9a&amp;-c4&amp;501&amp;x=pp&amp;u_9f1-a2&amp;.b/&amp;:d=rtywrwNCLM" TargetMode="External"/><Relationship Id="rId560" Type="http://schemas.openxmlformats.org/officeDocument/2006/relationships/hyperlink" Target="https://fb.me/adspreview/facebook/1TkeqwIzNSX2150" TargetMode="External"/><Relationship Id="rId323" Type="http://schemas.openxmlformats.org/officeDocument/2006/relationships/hyperlink" Target="https://www.facebook.com/reel/1862137061117644" TargetMode="External"/><Relationship Id="rId565" Type="http://schemas.openxmlformats.org/officeDocument/2006/relationships/hyperlink" Target="https://www.facebook.com/baparticipacion/posts/pfbid0Ed8Uev5EPAvAM9UfPvra2XCBo8zCNAc9sygYL7GXb6eMNXrC2PoUzhEK76CY3riYl" TargetMode="External"/><Relationship Id="rId322" Type="http://schemas.openxmlformats.org/officeDocument/2006/relationships/hyperlink" Target="https://e5c9a.mailupclient.com/f/rnl.aspx/?jhe=1r_yq2o/a&amp;le=t/.l7=svw_s/9.99a=59ndi-a&amp;9g-7e:-49&amp;25&amp;x=pp&amp;uy.-5-&amp;x=pv&amp;83dbzb4h=rq1vywNCLM" TargetMode="External"/><Relationship Id="rId564" Type="http://schemas.openxmlformats.org/officeDocument/2006/relationships/hyperlink" Target="https://e5c9a.mailupclient.com/f/rnl.aspx/?jhe=vwszuxsy/&amp;x=pv&amp;bdi=tzfd&amp;=suvww/7f1-a=l925n3r/&amp;749&amp;x=pp&amp;q_&amp;.99a45h-/-6l=nt_pvuNCLM" TargetMode="External"/><Relationship Id="rId321" Type="http://schemas.openxmlformats.org/officeDocument/2006/relationships/hyperlink" Target="https://e5c9a.mailupclient.com/f/rnl.aspx/?jhe=1r_yq2o/a&amp;le=t/.l7=svwzw/9.99a=59ndi-a&amp;9g-7e:-49&amp;25&amp;x=pp&amp;uy.-5-&amp;x=pv&amp;83dbzb4h=rq1uzxNCLM" TargetMode="External"/><Relationship Id="rId563" Type="http://schemas.openxmlformats.org/officeDocument/2006/relationships/hyperlink" Target="https://www.facebook.com/reel/1214416363924445" TargetMode="External"/><Relationship Id="rId320" Type="http://schemas.openxmlformats.org/officeDocument/2006/relationships/hyperlink" Target="https://e5c9a.mailupclient.com/f/rnl.aspx/?jhe=vwvwwvrv/&amp;x=pv&amp;bdi=tzfd&amp;=st1sr/7f1-a=8e.dgcn&amp;&amp;x=pp&amp;u_9f1-a2&amp;.b/&amp;:d=rsw2qzNCLM" TargetMode="External"/><Relationship Id="rId562" Type="http://schemas.openxmlformats.org/officeDocument/2006/relationships/hyperlink" Target="https://fb.me/adspreview/facebook/1TLrgWWjgfhGCM8" TargetMode="External"/><Relationship Id="rId316" Type="http://schemas.openxmlformats.org/officeDocument/2006/relationships/hyperlink" Target="https://e5c9a.mailupclient.com/f/rnl.aspx/?jhe=vwvwwvrv/&amp;x=pv&amp;bdi=tzfd&amp;=st1qs/7f1-a=8e.dgcn&amp;&amp;x=pp&amp;u_9f1-a2&amp;.b/&amp;:d=rsw1suNCLM" TargetMode="External"/><Relationship Id="rId558" Type="http://schemas.openxmlformats.org/officeDocument/2006/relationships/hyperlink" Target="https://e5c9a.mailupclient.com/f/rnl.aspx/?jhe=1r_yq2o/a&amp;le=t/.l7=swpvs/9.99a=59ndi-a&amp;9g-7e:-49&amp;25&amp;x=pp&amp;uy.-5-&amp;x=pv&amp;83dbzb4h=rr3ps_NCLM" TargetMode="External"/><Relationship Id="rId315" Type="http://schemas.openxmlformats.org/officeDocument/2006/relationships/hyperlink" Target="https://e5c9a.mailupclient.com/f/rnl.aspx/?jhe=vwvwwvrv/&amp;x=pv&amp;bdi=tzfd&amp;=st1uv/7f1-a=8e.dgcn&amp;&amp;x=pp&amp;u_9f1-a2&amp;.b/&amp;:d=rsx3suNCLM" TargetMode="External"/><Relationship Id="rId557" Type="http://schemas.openxmlformats.org/officeDocument/2006/relationships/hyperlink" Target="https://e5c9a.mailupclient.com/f/rnl.aspx/?jhe=1r_yq2o/a&amp;le=t/.l7=swpvt/9.99a=59ndi-a&amp;9g-7e:-49&amp;25&amp;x=pp&amp;uy.-5-&amp;x=pv&amp;83dbzb4h=rr3prwNCLM" TargetMode="External"/><Relationship Id="rId799" Type="http://schemas.openxmlformats.org/officeDocument/2006/relationships/hyperlink" Target="https://e5c9a.mailupclient.com/f/rnl.aspx/?jhe=1r_yq2o/a&amp;le=t/.l7=swryn/9.99a=59ndi-a&amp;9g-7e:-49&amp;25&amp;x=pp&amp;uy.-5-&amp;x=pv&amp;83dbzb4h=rrvoxxNCLM" TargetMode="External"/><Relationship Id="rId314" Type="http://schemas.openxmlformats.org/officeDocument/2006/relationships/hyperlink" Target="https://a2g9b4.emailsp.com/f/rnl.aspx/?fei=1vvoo_2y.9ek=vyad8=t3owny&amp;f2::=k702m1k6.451&amp;x=pp&amp;r1.&amp;x=pv&amp;49-6&amp;aax00l=runxvNCLM" TargetMode="External"/><Relationship Id="rId556" Type="http://schemas.openxmlformats.org/officeDocument/2006/relationships/hyperlink" Target="https://e5c9a.mailupclient.com/f/rnl.aspx/?jhe=vwvwwvrv/&amp;x=pv&amp;bdi=tzfd&amp;=su3ux/7f1-a=8e.dgcn&amp;&amp;x=pp&amp;u_9f1-a2&amp;.b/&amp;:d=rty3syNCLM" TargetMode="External"/><Relationship Id="rId798" Type="http://schemas.openxmlformats.org/officeDocument/2006/relationships/hyperlink" Target="https://www.facebook.com/GCBA/posts/pfbid02YqCxszGQER7gereM4ViB14xmZazWkNprFWcAsBzNXzW8JyUUYZjtfcSfzQvqcjD7l" TargetMode="External"/><Relationship Id="rId313" Type="http://schemas.openxmlformats.org/officeDocument/2006/relationships/hyperlink" Target="https://a2g9b4.emailsp.com/f/rnl.aspx/?fei=2orws1vy.9ek=vyad8=t3oqpy&amp;f2::=7chafagb&amp;x=pp&amp;yx0-2.e16.&amp;x=pv&amp;2b5g=qr_vwNCLM" TargetMode="External"/><Relationship Id="rId555" Type="http://schemas.openxmlformats.org/officeDocument/2006/relationships/hyperlink" Target="https://www.facebook.com/baparticipacion/posts/pfbid0NsuYsQqCMf2nfQNUxYatuEnSRbrSBKmf4sB6ZgcyQ4AwVpSiXVGsQC78JgT44Ny9l" TargetMode="External"/><Relationship Id="rId797" Type="http://schemas.openxmlformats.org/officeDocument/2006/relationships/hyperlink" Target="https://www.facebook.com/GCBA/posts/pfbid0wziBcRv2TwNN7k4WpjsGNTQd32LKhWeQSdjA5RfvCtL7hYf1wG5P6Es1azPTeKyjl" TargetMode="External"/><Relationship Id="rId319" Type="http://schemas.openxmlformats.org/officeDocument/2006/relationships/hyperlink" Target="https://a2g9b4.emailsp.com/f/rnl.aspx/?fei=1wqvoxxy.9ek=vyad8=t3pqpy&amp;f2::=4ibeh..e--:5d6.451&amp;x=pp&amp;r1.&amp;x=pv&amp;49-6&amp;aax00l=ruottNCLM" TargetMode="External"/><Relationship Id="rId318" Type="http://schemas.openxmlformats.org/officeDocument/2006/relationships/hyperlink" Target="https://www.facebook.com/reel/1095770269437604" TargetMode="External"/><Relationship Id="rId317" Type="http://schemas.openxmlformats.org/officeDocument/2006/relationships/hyperlink" Target="https://e5c9a.mailupclient.com/f/rnl.aspx/?jhe=vwt_y1w_/&amp;x=pv&amp;bdi=tzfd&amp;=st2os/7f1-a=&amp;x=pv&amp;n1&amp;j&amp;kc949&amp;25&amp;x=pp&amp;uy.-5-&amp;x=pv&amp;83dbzb4h=rq2oyvNCLM" TargetMode="External"/><Relationship Id="rId559" Type="http://schemas.openxmlformats.org/officeDocument/2006/relationships/hyperlink" Target="https://www.facebook.com/GCBA/posts/pfbid0yJbTFZ1bu3XPMWb9zMuZCve5X87Q4ugRLcfLkSzVdBZ4wp7SvnPjPrQnwKh2Q7CTl" TargetMode="External"/><Relationship Id="rId550" Type="http://schemas.openxmlformats.org/officeDocument/2006/relationships/hyperlink" Target="https://e5c9a.mailupclient.com/f/rnl.aspx/?jhe=vwvwwvrv/&amp;x=pv&amp;bdi=tzfd&amp;=su3tz/7f1-a=8e.dgcn&amp;&amp;x=pp&amp;u_9f1-a2&amp;.b/&amp;:d=rty3o_NCLM" TargetMode="External"/><Relationship Id="rId792" Type="http://schemas.openxmlformats.org/officeDocument/2006/relationships/hyperlink" Target="https://e5c9a.mailupclient.com/f/rnl.aspx/?jhe=vwvwwvrv/&amp;x=pv&amp;bdi=tzfd&amp;=suxow/7f1-a=8e.dgcn&amp;&amp;x=pp&amp;u_9f1-a2&amp;.b/&amp;:d=rtpwqrNCLM" TargetMode="External"/><Relationship Id="rId791" Type="http://schemas.openxmlformats.org/officeDocument/2006/relationships/hyperlink" Target="https://e5c9a.mailupclient.com/f/rnl.aspx/?jhe=vwt_y1w_/&amp;x=pv&amp;bdi=tzfd&amp;=suxss/7f1-a=&amp;x=pv&amp;n1&amp;j&amp;kc949&amp;25&amp;x=pp&amp;uy.-5-&amp;x=pv&amp;83dbzb4h=rrvq_zNCLM" TargetMode="External"/><Relationship Id="rId790" Type="http://schemas.openxmlformats.org/officeDocument/2006/relationships/hyperlink" Target="https://www.facebook.com/GCBA/posts/pfbid02Q2YxCRks1Ca59MFpy4T62W8UZyrKbDhXFonmqY44F2dXSwp69Yp757AgVKfBgPETl" TargetMode="External"/><Relationship Id="rId312" Type="http://schemas.openxmlformats.org/officeDocument/2006/relationships/hyperlink" Target="https://e5c9a.mailupclient.com/f/rnl.aspx/?jhe=vwurvxsx/&amp;x=pv&amp;bdi=tzfd&amp;=st1rw/7f1-a=5k9hibg&amp;x=pv&amp;9a&amp;-c4&amp;501&amp;x=pp&amp;u_9f1-a2&amp;.b/&amp;:d=rsw2psNCLM" TargetMode="External"/><Relationship Id="rId554" Type="http://schemas.openxmlformats.org/officeDocument/2006/relationships/hyperlink" Target="https://e5c9a.mailupclient.com/f/rnl.aspx/?jhe=vwszuxsy/&amp;x=pv&amp;bdi=tzfd&amp;=su3vw/7f1-a=l925n3r/&amp;749&amp;x=pp&amp;q_&amp;.99a45h-/-6l=nt_yztNCLM" TargetMode="External"/><Relationship Id="rId796" Type="http://schemas.openxmlformats.org/officeDocument/2006/relationships/hyperlink" Target="https://e5c9a.mailupclient.com/f/rnl.aspx/?jhe=vwvwwvrv/&amp;x=pv&amp;bdi=tzfd&amp;=suxou/7f1-a=8e.dgcn&amp;&amp;x=pp&amp;u_9f1-a2&amp;.b/&amp;:d=rtpwquNCLM" TargetMode="External"/><Relationship Id="rId311" Type="http://schemas.openxmlformats.org/officeDocument/2006/relationships/hyperlink" Target="https://e5c9a.mailupclient.com/f/rnl.aspx/?jhe=1r_yq2o/a&amp;le=t/.l7=svwxt/9.99a=59ndi-a&amp;9g-7e:-49&amp;25&amp;x=pp&amp;uy.-5-&amp;x=pv&amp;83dbzb4h=rq1utyNCLM" TargetMode="External"/><Relationship Id="rId553" Type="http://schemas.openxmlformats.org/officeDocument/2006/relationships/hyperlink" Target="https://www.facebook.com/baparticipacion/posts/pfbid0KLowxoSSsyPpnxzoG5kuw1zrmDKcvdiDrZyXprZBLCSbaHeF3NxNiMzHqaFMdnSdl" TargetMode="External"/><Relationship Id="rId795" Type="http://schemas.openxmlformats.org/officeDocument/2006/relationships/hyperlink" Target="https://www.facebook.com/GCBA/posts/pfbid0yNKogB7jFPoddY254ViUCjQMASFGzkNsvYdNCaLZM1xpD1tMtpFGeutoLQCfH9qYl" TargetMode="External"/><Relationship Id="rId310" Type="http://schemas.openxmlformats.org/officeDocument/2006/relationships/hyperlink" Target="https://e5c9a.mailupclient.com/f/rnl.aspx/?jhe=vwurvxsx/&amp;x=pv&amp;bdi=tzfd&amp;=st1pu/7f1-a=5k9hibg&amp;x=pv&amp;9a&amp;-c4&amp;501&amp;x=pp&amp;u_9f1-a2&amp;.b/&amp;:d=rsw1nrNCLM" TargetMode="External"/><Relationship Id="rId552" Type="http://schemas.openxmlformats.org/officeDocument/2006/relationships/hyperlink" Target="https://e5c9a.mailupclient.com/f/rnl.aspx/?jhe=vwvwwvrv/&amp;x=pv&amp;bdi=tzfd&amp;=su3uv/7f1-a=8e.dgcn&amp;&amp;x=pp&amp;u_9f1-a2&amp;.b/&amp;:d=rty3prNCLM" TargetMode="External"/><Relationship Id="rId794" Type="http://schemas.openxmlformats.org/officeDocument/2006/relationships/hyperlink" Target="https://e5c9a.mailupclient.com/f/rnl.aspx/?jhe=vwszuxsy/&amp;x=pv&amp;bdi=tzfd&amp;=suxq_/7f1-a=l925n3r/&amp;749&amp;x=pp&amp;q_&amp;.99a45h-/-6l=ntrq2wNCLM" TargetMode="External"/><Relationship Id="rId551" Type="http://schemas.openxmlformats.org/officeDocument/2006/relationships/hyperlink" Target="https://www.facebook.com/baparticipacion/posts/pfbid0brFm1bCbtuAtW9tkjBSjQLmnYttosXrpaAzso8fwbQuuLicQZWbN76MWrN71RekHl" TargetMode="External"/><Relationship Id="rId793" Type="http://schemas.openxmlformats.org/officeDocument/2006/relationships/hyperlink" Target="https://e5c9a.mailupclient.com/f/rnl.aspx/?jhe=vwt_y1w_/&amp;x=pv&amp;bdi=tzfd&amp;=suxox/7f1-a=&amp;x=pv&amp;n1&amp;j&amp;kc949&amp;25&amp;x=pp&amp;uy.-5-&amp;x=pv&amp;83dbzb4h=rrvotzNCLM" TargetMode="External"/><Relationship Id="rId297" Type="http://schemas.openxmlformats.org/officeDocument/2006/relationships/hyperlink" Target="https://www.facebook.com/reel/1974761746764395" TargetMode="External"/><Relationship Id="rId296" Type="http://schemas.openxmlformats.org/officeDocument/2006/relationships/hyperlink" Target="https://e5c9a.mailupclient.com/f/rnl.aspx/?jhe=vwvwwvrv/&amp;x=pv&amp;bdi=tzfd&amp;=st1v_/7f1-a=8e.dgcn&amp;&amp;x=pp&amp;u_9f1-a2&amp;.b/&amp;:d=rsxwqvNCLM" TargetMode="External"/><Relationship Id="rId295" Type="http://schemas.openxmlformats.org/officeDocument/2006/relationships/hyperlink" Target="https://e5c9a.mailupclient.com/f/rnl.aspx/?jhe=vwvwwvrv/&amp;x=pv&amp;bdi=tzfd&amp;=st2or/7f1-a=8e.dgcn&amp;&amp;x=pp&amp;u_9f1-a2&amp;.b/&amp;:d=rsxwutNCLM" TargetMode="External"/><Relationship Id="rId294" Type="http://schemas.openxmlformats.org/officeDocument/2006/relationships/hyperlink" Target="https://e5c9a.mailupclient.com/f/rnl.aspx/?jhe=1r_yq2o/a&amp;le=t/.l7=svwvw/9.99a=59ndi-a&amp;9g-7e:-49&amp;25&amp;x=pp&amp;uy.-5-&amp;x=pv&amp;83dbzb4h=rq1tsuNCLM" TargetMode="External"/><Relationship Id="rId299" Type="http://schemas.openxmlformats.org/officeDocument/2006/relationships/hyperlink" Target="https://e5c9a.mailupclient.com/f/rnl.aspx/?jhe=vwt_y1w_/&amp;x=pv&amp;bdi=tzfd&amp;=st1nw/7f1-a=&amp;x=pv&amp;n1&amp;j&amp;kc949&amp;25&amp;x=pp&amp;uy.-5-&amp;x=pv&amp;83dbzb4h=rq1tusNCLM" TargetMode="External"/><Relationship Id="rId298" Type="http://schemas.openxmlformats.org/officeDocument/2006/relationships/hyperlink" Target="https://e5c9a.mailupclient.com/f/rnl.aspx/?jhe=vwt_y1w_/&amp;x=pv&amp;bdi=tzfd&amp;=st2ut/7f1-a=&amp;x=pv&amp;n1&amp;j&amp;kc949&amp;25&amp;x=pp&amp;uy.-5-&amp;x=pv&amp;83dbzb4h=rq2ssvNCLM" TargetMode="External"/><Relationship Id="rId271" Type="http://schemas.openxmlformats.org/officeDocument/2006/relationships/hyperlink" Target="https://e5c9a.mailupclient.com/f/rnl.aspx/?jhe=vwvwwvrv/&amp;x=pv&amp;bdi=tzfd&amp;=st/v_/7f1-a=8e.dgcn&amp;&amp;x=pp&amp;u_9f1-a2&amp;.b/&amp;:d=rsw_pxNCLM" TargetMode="External"/><Relationship Id="rId270" Type="http://schemas.openxmlformats.org/officeDocument/2006/relationships/hyperlink" Target="https://a2g9b4.emailsp.com/f/rnl.aspx/?fei=1uwuq_vy.9ek=vyad8=t3xxpy&amp;f2::=2-neh9.9bd:5-cb10337&amp;x=pp&amp;yx0-2.e16.&amp;x=pv&amp;2b5g=qrx1uNCLM" TargetMode="External"/><Relationship Id="rId269" Type="http://schemas.openxmlformats.org/officeDocument/2006/relationships/hyperlink" Target="https://e5c9a.mailupclient.com/f/rnl.aspx/?jhe=vwvwwvrv/&amp;x=pv&amp;bdi=tzfd&amp;=st1ns/7f1-a=8e.dgcn&amp;&amp;x=pp&amp;u_9f1-a2&amp;.b/&amp;:d=rsw/nzNCLM" TargetMode="External"/><Relationship Id="rId264" Type="http://schemas.openxmlformats.org/officeDocument/2006/relationships/hyperlink" Target="https://e5c9a.mailupclient.com/f/rnl.aspx/?jhe=vwszuxsy/&amp;x=pv&amp;bdi=tzfd&amp;=st/r_/7f1-a=l925n3r/&amp;749&amp;x=pp&amp;q_&amp;.99a45h-/-6l=nsys/tNCLM" TargetMode="External"/><Relationship Id="rId263" Type="http://schemas.openxmlformats.org/officeDocument/2006/relationships/hyperlink" Target="https://e5c9a.mailupclient.com/f/rnl.aspx/?jhe=vwt_y1w_/&amp;x=pv&amp;bdi=tzfd&amp;=st1qv/7f1-a=&amp;x=pv&amp;n1&amp;j&amp;kc949&amp;25&amp;x=pp&amp;uy.-5-&amp;x=pv&amp;83dbzb4h=rq1vzsNCLM" TargetMode="External"/><Relationship Id="rId262" Type="http://schemas.openxmlformats.org/officeDocument/2006/relationships/hyperlink" Target="https://e5c9a.mailupclient.com/f/rnl.aspx/?jhe=vwt_y1w_/&amp;x=pv&amp;bdi=tzfd&amp;=st1ur/7f1-a=&amp;x=pv&amp;n1&amp;j&amp;kc949&amp;25&amp;x=pp&amp;uy.-5-&amp;x=pv&amp;83dbzb4h=rq2ntwNCLM" TargetMode="External"/><Relationship Id="rId261" Type="http://schemas.openxmlformats.org/officeDocument/2006/relationships/hyperlink" Target="https://e5c9a.mailupclient.com/f/rnl.aspx/?jhe=1r_yq2o/a&amp;le=t/.l7=svvzs/9.99a=59ndi-a&amp;9g-7e:-49&amp;25&amp;x=pp&amp;uy.-5-&amp;x=pv&amp;83dbzb4h=rq1qvzNCLM" TargetMode="External"/><Relationship Id="rId268" Type="http://schemas.openxmlformats.org/officeDocument/2006/relationships/hyperlink" Target="https://e5c9a.mailupclient.com/f/rnl.aspx/?jhe=vwurvxsx/&amp;x=pv&amp;bdi=tzfd&amp;=st1nv/7f1-a=5k9hibg&amp;x=pv&amp;9a&amp;-c4&amp;501&amp;x=pp&amp;u_9f1-a2&amp;.b/&amp;:d=rsw/ozNCLM" TargetMode="External"/><Relationship Id="rId267" Type="http://schemas.openxmlformats.org/officeDocument/2006/relationships/hyperlink" Target="https://e5c9a.mailupclient.com/f/rnl.aspx/?jhe=vwurvxsx/&amp;x=pv&amp;bdi=tzfd&amp;=su3wu/7f1-a=5k9hibg&amp;x=pv&amp;9a&amp;-c4&amp;501&amp;x=pp&amp;u_9f1-a2&amp;.b/&amp;:d=rsx_quNCLM" TargetMode="External"/><Relationship Id="rId266" Type="http://schemas.openxmlformats.org/officeDocument/2006/relationships/hyperlink" Target="https://www.facebook.com/photo?fbid=1447021517457493&amp;set=p.1447021517457493" TargetMode="External"/><Relationship Id="rId265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260" Type="http://schemas.openxmlformats.org/officeDocument/2006/relationships/hyperlink" Target="https://e5c9a.mailupclient.com/f/rnl.aspx/?jhe=vwvwwvrv/&amp;x=pv&amp;bdi=tzfd&amp;=st/qx/7f1-a=8e.dgcn&amp;&amp;x=pp&amp;u_9f1-a2&amp;.b/&amp;:d=rswyotNCLM" TargetMode="External"/><Relationship Id="rId259" Type="http://schemas.openxmlformats.org/officeDocument/2006/relationships/hyperlink" Target="https://e5c9a.mailupclient.com/f/rnl.aspx/?jhe=vwurvxsx/&amp;x=pv&amp;bdi=tzfd&amp;=st/qy/7f1-a=5k9hibg&amp;x=pv&amp;9a&amp;-c4&amp;501&amp;x=pp&amp;u_9f1-a2&amp;.b/&amp;:d=rswynwNCLM" TargetMode="External"/><Relationship Id="rId258" Type="http://schemas.openxmlformats.org/officeDocument/2006/relationships/hyperlink" Target="https://e5c9a.mailupclient.com/f/rnl.aspx/?jhe=1r_yq2o/a&amp;le=t/.l7=svv_t/9.99a=59ndi-a&amp;9g-7e:-49&amp;25&amp;x=pp&amp;uy.-5-&amp;x=pv&amp;83dbzb4h=rq1rruNCLM" TargetMode="External"/><Relationship Id="rId253" Type="http://schemas.openxmlformats.org/officeDocument/2006/relationships/hyperlink" Target="https://e5c9a.mailupclient.com/f/rnl.aspx/?jhe=vwurvxsx/&amp;x=pv&amp;bdi=tzfd&amp;=st/qv/7f1-a=5k9hibg&amp;x=pv&amp;9a&amp;-c4&amp;501&amp;x=pp&amp;u_9f1-a2&amp;.b/&amp;:d=rswxuwNCLM" TargetMode="External"/><Relationship Id="rId495" Type="http://schemas.openxmlformats.org/officeDocument/2006/relationships/hyperlink" Target="https://www.facebook.com/baparticipacion/posts/pfbid02Be94pfg4R6beCoTSePetEMVwLBbqTFd7CU3H6VoGozETniqhyxCakokCAeFUihLAl" TargetMode="External"/><Relationship Id="rId252" Type="http://schemas.openxmlformats.org/officeDocument/2006/relationships/hyperlink" Target="https://e5c9a.mailupclient.com/f/rnl.aspx/?jhe=1r_yq2o/a&amp;le=t/.l7=svv3w/9.99a=59ndi-a&amp;9g-7e:-49&amp;25&amp;x=pp&amp;uy.-5-&amp;x=pv&amp;83dbzb4h=rq1nz_NCLM" TargetMode="External"/><Relationship Id="rId494" Type="http://schemas.openxmlformats.org/officeDocument/2006/relationships/hyperlink" Target="https://e5c9a.mailupclient.com/f/rnl.aspx/?jhe=vwvwwvrv/&amp;x=pv&amp;bdi=tzfd&amp;=su3qx/7f1-a=8e.dgcn&amp;&amp;x=pp&amp;u_9f1-a2&amp;.b/&amp;:d=rsx1qrNCLM" TargetMode="External"/><Relationship Id="rId251" Type="http://schemas.openxmlformats.org/officeDocument/2006/relationships/hyperlink" Target="https://e5c9a.mailupclient.com/f/rnl.aspx/?jhe=vwurvxsx/&amp;x=pv&amp;bdi=tzfd&amp;=st/pu/7f1-a=5k9hibg&amp;x=pv&amp;9a&amp;-c4&amp;501&amp;x=pp&amp;u_9f1-a2&amp;.b/&amp;:d=rswxoxNCLM" TargetMode="External"/><Relationship Id="rId493" Type="http://schemas.openxmlformats.org/officeDocument/2006/relationships/hyperlink" Target="https://www.facebook.com/baparticipacion/posts/pfbid02eHMU8DRFv5G7uj3fSY81NkcpYcFi9JTxfeNqhYnvkBPVgfv5NXU5kdufEvM2rof3l" TargetMode="External"/><Relationship Id="rId250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492" Type="http://schemas.openxmlformats.org/officeDocument/2006/relationships/hyperlink" Target="https://e5c9a.mailupclient.com/f/rnl.aspx/?jhe=vwt_y1w_/&amp;x=pv&amp;bdi=tzfd&amp;=su3ru/7f1-a=&amp;x=pv&amp;n1&amp;j&amp;kc949&amp;25&amp;x=pp&amp;uy.-5-&amp;x=pv&amp;83dbzb4h=rq2uyxNCLM" TargetMode="External"/><Relationship Id="rId257" Type="http://schemas.openxmlformats.org/officeDocument/2006/relationships/hyperlink" Target="https://e5c9a.mailupclient.com/f/rnl.aspx/?jhe=1r_yq2o/a&amp;le=t/.l7=svvzv/9.99a=59ndi-a&amp;9g-7e:-49&amp;25&amp;x=pp&amp;uy.-5-&amp;x=pv&amp;83dbzb4h=rq1qwtNCLM" TargetMode="External"/><Relationship Id="rId499" Type="http://schemas.openxmlformats.org/officeDocument/2006/relationships/hyperlink" Target="https://www.facebook.com/GCBA/posts/pfbid03uqGShkH3wDvPES2L1MKqxUrozrLNQSBWNBChNAwiwT9xs68ezppMcmScRX5Y3VPl" TargetMode="External"/><Relationship Id="rId256" Type="http://schemas.openxmlformats.org/officeDocument/2006/relationships/hyperlink" Target="https://e5c9a.mailupclient.com/f/rnl.aspx/?jhe=vwszuxsy/&amp;x=pv&amp;bdi=tzfd&amp;=st/rr/7f1-a=l925n3r/&amp;749&amp;x=pp&amp;q_&amp;.99a45h-/-6l=nsyszpNCLM" TargetMode="External"/><Relationship Id="rId498" Type="http://schemas.openxmlformats.org/officeDocument/2006/relationships/hyperlink" Target="https://e5c9a.mailupclient.com/f/rnl.aspx/?jhe=1r_yq2o/a&amp;le=t/.l7=swyxv/9.99a=59ndi-a&amp;9g-7e:-49&amp;25&amp;x=pp&amp;uy.-5-&amp;x=pv&amp;83dbzb4h=rq2tzvNCLM" TargetMode="External"/><Relationship Id="rId255" Type="http://schemas.openxmlformats.org/officeDocument/2006/relationships/hyperlink" Target="https://e5c9a.mailupclient.com/f/rnl.aspx/?jhe=vwvwwvrv/&amp;x=pv&amp;bdi=tzfd&amp;=st/q_/7f1-a=8e.dgcn&amp;&amp;x=pp&amp;u_9f1-a2&amp;.b/&amp;:d=rswxurNCLM" TargetMode="External"/><Relationship Id="rId497" Type="http://schemas.openxmlformats.org/officeDocument/2006/relationships/hyperlink" Target="https://www.facebook.com/GCBA/posts/pfbid054fnijeMDNVJV1K4PTsWQtpWYmhmsHdb2niaFKoc9N1b8LPNcda5napYbUXdJbdql" TargetMode="External"/><Relationship Id="rId254" Type="http://schemas.openxmlformats.org/officeDocument/2006/relationships/hyperlink" Target="https://e5c9a.mailupclient.com/f/rnl.aspx/?jhe=vwszuxsy/&amp;x=pv&amp;bdi=tzfd&amp;=st/qu/7f1-a=l925n3r/&amp;749&amp;x=pp&amp;q_&amp;.99a45h-/-6l=nsyr/vNCLM" TargetMode="External"/><Relationship Id="rId496" Type="http://schemas.openxmlformats.org/officeDocument/2006/relationships/hyperlink" Target="https://e5c9a.mailupclient.com/f/rnl.aspx/?jhe=vwurvxsx/&amp;x=pv&amp;bdi=tzfd&amp;=su3qy/7f1-a=5k9hibg&amp;x=pv&amp;9a&amp;-c4&amp;501&amp;x=pp&amp;u_9f1-a2&amp;.b/&amp;:d=rsx1oyNCLM" TargetMode="External"/><Relationship Id="rId293" Type="http://schemas.openxmlformats.org/officeDocument/2006/relationships/hyperlink" Target="https://e5c9a.mailupclient.com/f/rnl.aspx/?jhe=1r_yq2o/a&amp;le=t/.l7=svw3u/9.99a=59ndi-a&amp;9g-7e:-49&amp;25&amp;x=pp&amp;uy.-5-&amp;x=pv&amp;83dbzb4h=rq1ttsNCLM" TargetMode="External"/><Relationship Id="rId292" Type="http://schemas.openxmlformats.org/officeDocument/2006/relationships/hyperlink" Target="https://a2g9b4.emailsp.com/f/rnl.aspx/?fei=1vvoo1vy.9ek=vyad8=t3ozwy&amp;f2::=-l98i9di-10337&amp;x=pp&amp;yx0-2.e16.&amp;x=pv&amp;2b5g=qrzzuNCLM" TargetMode="External"/><Relationship Id="rId291" Type="http://schemas.openxmlformats.org/officeDocument/2006/relationships/hyperlink" Target="https://e5c9a.mailupclient.com/f/rnl.aspx/?jhe=1r_yq2o/a&amp;le=t/.l7=svw3q/9.99a=59ndi-a&amp;9g-7e:-49&amp;25&amp;x=pp&amp;uy.-5-&amp;x=pv&amp;83dbzb4h=rq1sy_NCLM" TargetMode="External"/><Relationship Id="rId290" Type="http://schemas.openxmlformats.org/officeDocument/2006/relationships/hyperlink" Target="https://e5c9a.mailupclient.com/f/rnl.aspx/?jhe=vwurvxsx/&amp;x=pv&amp;bdi=tzfd&amp;=st1q_/7f1-a=5k9hibg&amp;x=pv&amp;9a&amp;-c4&amp;501&amp;x=pp&amp;u_9f1-a2&amp;.b/&amp;:d=rsw1vsNCLM" TargetMode="External"/><Relationship Id="rId286" Type="http://schemas.openxmlformats.org/officeDocument/2006/relationships/hyperlink" Target="https://e5c9a.mailupclient.com/f/rnl.aspx/?jhe=vwvwwvrv/&amp;x=pv&amp;bdi=tzfd&amp;=st/vy/7f1-a=8e.dgcn&amp;&amp;x=pp&amp;u_9f1-a2&amp;.b/&amp;:d=rsw_s_NCLM" TargetMode="External"/><Relationship Id="rId285" Type="http://schemas.openxmlformats.org/officeDocument/2006/relationships/hyperlink" Target="https://e5c9a.mailupclient.com/f/rnl.aspx/?jhe=vwvwwvrv/&amp;x=pv&amp;bdi=tzfd&amp;=st/vz/7f1-a=8e.dgcn&amp;&amp;x=pp&amp;u_9f1-a2&amp;.b/&amp;:d=rsw_tzNCLM" TargetMode="External"/><Relationship Id="rId284" Type="http://schemas.openxmlformats.org/officeDocument/2006/relationships/hyperlink" Target="https://e5c9a.mailupclient.com/f/rnl.aspx/?jhe=vwvwwvrv/&amp;x=pv&amp;bdi=tzfd&amp;=st/ur/7f1-a=8e.dgcn&amp;&amp;x=pp&amp;u_9f1-a2&amp;.b/&amp;:d=rswztxNCLM" TargetMode="External"/><Relationship Id="rId283" Type="http://schemas.openxmlformats.org/officeDocument/2006/relationships/hyperlink" Target="https://e5c9a.mailupclient.com/f/rnl.aspx/?jhe=vwurvxsx/&amp;x=pv&amp;bdi=tzfd&amp;=st/ut/7f1-a=5k9hibg&amp;x=pv&amp;9a&amp;-c4&amp;501&amp;x=pp&amp;u_9f1-a2&amp;.b/&amp;:d=rswzuwNCLM" TargetMode="External"/><Relationship Id="rId289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288" Type="http://schemas.openxmlformats.org/officeDocument/2006/relationships/hyperlink" Target="https://www.facebook.com/reel/1445769290004552" TargetMode="External"/><Relationship Id="rId287" Type="http://schemas.openxmlformats.org/officeDocument/2006/relationships/hyperlink" Target="https://e5c9a.mailupclient.com/f/rnl.aspx/?jhe=1r_yq2o/a&amp;le=t/.l7=svv2t/9.99a=59ndi-a&amp;9g-7e:-49&amp;25&amp;x=pp&amp;uy.-5-&amp;x=pv&amp;83dbzb4h=rq1sv_NCLM" TargetMode="External"/><Relationship Id="rId282" Type="http://schemas.openxmlformats.org/officeDocument/2006/relationships/hyperlink" Target="https://a2g9b4.emailsp.com/f/rnl.aspx/?fei=1vvoo1vy.9ek=vyad8=t3xyry&amp;f2::=-l98i9di-10337&amp;x=pp&amp;yx0-2.e16.&amp;x=pv&amp;2b5g=qry2qNCLM" TargetMode="External"/><Relationship Id="rId281" Type="http://schemas.openxmlformats.org/officeDocument/2006/relationships/hyperlink" Target="https://e5c9a.mailupclient.com/f/rnl.aspx/?jhe=vwvwwvrv/&amp;x=pv&amp;bdi=tzfd&amp;=st1pt/7f1-a=8e.dgcn&amp;&amp;x=pp&amp;u_9f1-a2&amp;.b/&amp;:d=rsw1oyNCLM" TargetMode="External"/><Relationship Id="rId280" Type="http://schemas.openxmlformats.org/officeDocument/2006/relationships/hyperlink" Target="https://e5c9a.mailupclient.com/f/rnl.aspx/?jhe=vwurvxsx/&amp;x=pv&amp;bdi=tzfd&amp;=st/vt/7f1-a=5k9hibg&amp;x=pv&amp;9a&amp;-c4&amp;501&amp;x=pp&amp;u_9f1-a2&amp;.b/&amp;:d=rsw_pzNCLM" TargetMode="External"/><Relationship Id="rId275" Type="http://schemas.openxmlformats.org/officeDocument/2006/relationships/hyperlink" Target="https://e5c9a.mailupclient.com/f/rnl.aspx/?jhe=vwt_y1w_/&amp;x=pv&amp;bdi=tzfd&amp;=st/vw/7f1-a=&amp;x=pv&amp;n1&amp;j&amp;kc949&amp;25&amp;x=pp&amp;uy.-5-&amp;x=pv&amp;83dbzb4h=rq1sutNCLM" TargetMode="External"/><Relationship Id="rId274" Type="http://schemas.openxmlformats.org/officeDocument/2006/relationships/hyperlink" Target="https://e5c9a.mailupclient.com/f/rnl.aspx/?jhe=vwt_y1w_/&amp;x=pv&amp;bdi=tzfd&amp;=st/vv/7f1-a=&amp;x=pv&amp;n1&amp;j&amp;kc949&amp;25&amp;x=pp&amp;uy.-5-&amp;x=pv&amp;83dbzb4h=rq1swtNCLM" TargetMode="External"/><Relationship Id="rId273" Type="http://schemas.openxmlformats.org/officeDocument/2006/relationships/hyperlink" Target="https://e5c9a.mailupclient.com/f/rnl.aspx/?jhe=1r_yq2o/a&amp;le=t/.l7=svv2n/9.99a=59ndi-a&amp;9g-7e:-49&amp;25&amp;x=pp&amp;uy.-5-&amp;x=pv&amp;83dbzb4h=rq1rzyNCLM" TargetMode="External"/><Relationship Id="rId272" Type="http://schemas.openxmlformats.org/officeDocument/2006/relationships/hyperlink" Target="https://e5c9a.mailupclient.com/f/rnl.aspx/?jhe=vwurvxsx/&amp;x=pv&amp;bdi=tzfd&amp;=st/uz/7f1-a=5k9hibg&amp;x=pv&amp;9a&amp;-c4&amp;501&amp;x=pp&amp;u_9f1-a2&amp;.b/&amp;:d=rsw_w_NCLM" TargetMode="External"/><Relationship Id="rId279" Type="http://schemas.openxmlformats.org/officeDocument/2006/relationships/hyperlink" Target="https://e5c9a.mailupclient.com/f/rnl.aspx/?jhe=vwurvxsx/&amp;x=pv&amp;bdi=tzfd&amp;=st/uu/7f1-a=5k9hibg&amp;x=pv&amp;9a&amp;-c4&amp;501&amp;x=pp&amp;u_9f1-a2&amp;.b/&amp;:d=rswzurNCLM" TargetMode="External"/><Relationship Id="rId278" Type="http://schemas.openxmlformats.org/officeDocument/2006/relationships/hyperlink" Target="https://a2g9b4.emailsp.com/f/rnl.aspx/?fei=1wqvoxxy.9ek=vyad8=t3xyty&amp;f2::=4ibeh..e--:5d6.451&amp;x=pp&amp;r1.&amp;x=pv&amp;49-6&amp;aax00l=rttptNCLM" TargetMode="External"/><Relationship Id="rId277" Type="http://schemas.openxmlformats.org/officeDocument/2006/relationships/hyperlink" Target="https://e5c9a.mailupclient.com/f/rnl.aspx/?jhe=vwszuxsy/&amp;x=pv&amp;bdi=tzfd&amp;=st/u_/7f1-a=l925n3r/&amp;749&amp;x=pp&amp;q_&amp;.99a45h-/-6l=nsytzrNCLM" TargetMode="External"/><Relationship Id="rId276" Type="http://schemas.openxmlformats.org/officeDocument/2006/relationships/hyperlink" Target="https://e5c9a.mailupclient.com/f/rnl.aspx/?jhe=vwurvxsx/&amp;x=pv&amp;bdi=tzfd&amp;=st/st/7f1-a=5k9hibg&amp;x=pv&amp;9a&amp;-c4&amp;501&amp;x=pp&amp;u_9f1-a2&amp;.b/&amp;:d=rswyvxNCLM" TargetMode="External"/><Relationship Id="rId907" Type="http://schemas.openxmlformats.org/officeDocument/2006/relationships/hyperlink" Target="https://www.facebook.com/GCBA/posts/pfbid0hGpDjeWSoe8Gqw2N9T8VHKQMT4vT7GrXwibd72SVb33WbSymwwnpGdmZbQH9bvyXl" TargetMode="External"/><Relationship Id="rId906" Type="http://schemas.openxmlformats.org/officeDocument/2006/relationships/hyperlink" Target="https://e5c9a.mailupclient.com/f/rnl.aspx/?jhe=vwurvxsx/&amp;x=pv&amp;bdi=tzfd&amp;=suyny/7f1-a=5k9hibg&amp;x=pv&amp;9a&amp;-c4&amp;501&amp;x=pp&amp;u_9f1-a2&amp;.b/&amp;:d=rtp_sxNCLM" TargetMode="External"/><Relationship Id="rId905" Type="http://schemas.openxmlformats.org/officeDocument/2006/relationships/hyperlink" Target="https://www.facebook.com/baparticipacion/posts/pfbid0gAi2bSqe1peo1vJipGzeNYvLfpKmmqRR3dtLpZaFoPyqDTBTLrSCJcZkXEx3f5yml" TargetMode="External"/><Relationship Id="rId904" Type="http://schemas.openxmlformats.org/officeDocument/2006/relationships/hyperlink" Target="https://a2g9b4.emailsp.com/f/rnl.aspx/?fei=1vvoo_2y.9ek=vyad8=t3tzoy&amp;f2::=k702m1k6.451&amp;x=pp&amp;r1.&amp;x=pv&amp;49-6&amp;aax00l=rwnryNCLM" TargetMode="External"/><Relationship Id="rId909" Type="http://schemas.openxmlformats.org/officeDocument/2006/relationships/hyperlink" Target="https://www.facebook.com/GCBA/posts/pfbid09t4eBXvmBvMhaY6ZDfZBBJcTJy8a2tQ9AGN9TfUiSexR55gisERziVp2BXK5HpeXl" TargetMode="External"/><Relationship Id="rId908" Type="http://schemas.openxmlformats.org/officeDocument/2006/relationships/hyperlink" Target="https://e5c9a.mailupclient.com/f/rnl.aspx/?jhe=vwszuxsy/&amp;x=pv&amp;bdi=tzfd&amp;=suyru/7f1-a=l925n3r/&amp;749&amp;x=pp&amp;q_&amp;.99a45h-/-6l=ntrxvoNCLM" TargetMode="External"/><Relationship Id="rId903" Type="http://schemas.openxmlformats.org/officeDocument/2006/relationships/hyperlink" Target="https://www.facebook.com/baparticipacion/posts/pfbid0QriDSP1vyJgGzKZMqwZZhMaeY1zhSaf1EpNzfNJAXmWaniVaM1JBgh4NXNkg2xYtl" TargetMode="External"/><Relationship Id="rId902" Type="http://schemas.openxmlformats.org/officeDocument/2006/relationships/hyperlink" Target="https://a2g9b4.emailsp.com/f/rnl.aspx/?fei=1vvoo_2y.9ek=vyad8=t3swqy&amp;f2::=k702m1k6.451&amp;x=pp&amp;r1.&amp;x=pv&amp;49-6&amp;aax00l=rvvvtNCLM" TargetMode="External"/><Relationship Id="rId901" Type="http://schemas.openxmlformats.org/officeDocument/2006/relationships/hyperlink" Target="https://www.facebook.com/baparticipacion/posts/pfbid0PPRDU6ZwuwtDKS6M8fqGVTmkHF8eQuGdLUy7Sp4yTH3w3gK56kNNxAJkjLc6mfaTl" TargetMode="External"/><Relationship Id="rId900" Type="http://schemas.openxmlformats.org/officeDocument/2006/relationships/hyperlink" Target="https://e5c9a.mailupclient.com/f/rnl.aspx/?jhe=vwvwwvrv/&amp;x=pv&amp;bdi=tzfd&amp;=suyps/7f1-a=8e.dgcn&amp;&amp;x=pp&amp;u_9f1-a2&amp;.b/&amp;:d=rtp/tyNCLM" TargetMode="External"/><Relationship Id="rId929" Type="http://schemas.openxmlformats.org/officeDocument/2006/relationships/hyperlink" Target="https://e5c9a.mailupclient.com/f/rnl.aspx/?jhe=vwvwwvrv/&amp;x=pv&amp;bdi=tzfd&amp;=suytx/7f1-a=8e.dgcn&amp;&amp;x=pp&amp;u_9f1-a2&amp;.b/&amp;:d=rtp2s_NCLM" TargetMode="External"/><Relationship Id="rId928" Type="http://schemas.openxmlformats.org/officeDocument/2006/relationships/hyperlink" Target="https://www.facebook.com/reel/1739191770421854/" TargetMode="External"/><Relationship Id="rId927" Type="http://schemas.openxmlformats.org/officeDocument/2006/relationships/hyperlink" Target="https://e5c9a.mailupclient.com/f/rnl.aspx/?jhe=vwszuxsy/&amp;x=pv&amp;bdi=tzfd&amp;=suyrx/7f1-a=l925n3r/&amp;749&amp;x=pp&amp;q_&amp;.99a45h-/-6l=ntrw_rNCLM" TargetMode="External"/><Relationship Id="rId926" Type="http://schemas.openxmlformats.org/officeDocument/2006/relationships/hyperlink" Target="https://www.facebook.com/baparticipacion/posts/pfbid0321EGt37mCXnC23xuUfcZTrfDWmFiMzCQUjwqnMXJpMNzHrT1tnG2HALHeHoTgDyXl" TargetMode="External"/><Relationship Id="rId921" Type="http://schemas.openxmlformats.org/officeDocument/2006/relationships/hyperlink" Target="https://e5c9a.mailupclient.com/f/rnl.aspx/?jhe=1r_yq2o/a&amp;le=t/.l7=sws1n/9.99a=59ndi-a&amp;9g-7e:-49&amp;25&amp;x=pp&amp;uy.-5-&amp;x=pv&amp;83dbzb4h=rrvvwzNCLM" TargetMode="External"/><Relationship Id="rId920" Type="http://schemas.openxmlformats.org/officeDocument/2006/relationships/hyperlink" Target="https://e5c9a.mailupclient.com/f/rnl.aspx/?jhe=1r_yq2o/a&amp;le=t/.l7=sws1w/9.99a=59ndi-a&amp;9g-7e:-49&amp;25&amp;x=pp&amp;uy.-5-&amp;x=pv&amp;83dbzb4h=rrvvwyNCLM" TargetMode="External"/><Relationship Id="rId925" Type="http://schemas.openxmlformats.org/officeDocument/2006/relationships/hyperlink" Target="https://a2g9b4.emailsp.com/f/rnl.aspx/?fei=1wqvoxxy.9ek=vyad8=t3twoy&amp;f2::=4ibeh..e--:5d6.451&amp;x=pp&amp;r1.&amp;x=pv&amp;49-6&amp;aax00l=rwqvzNCLM" TargetMode="External"/><Relationship Id="rId924" Type="http://schemas.openxmlformats.org/officeDocument/2006/relationships/hyperlink" Target="https://www.facebook.com/GCBA/posts/pfbid08rDXqhyNHHgaXhxwyanZTXHtfRLQs15AaRbPk5k938ZVPg7ZL3Ea9rz5rPCgKLXEl" TargetMode="External"/><Relationship Id="rId923" Type="http://schemas.openxmlformats.org/officeDocument/2006/relationships/hyperlink" Target="https://e5c9a.mailupclient.com/f/rnl.aspx/?jhe=1r_yq2o/a&amp;le=t/.l7=sws2u/9.99a=59ndi-a&amp;9g-7e:-49&amp;25&amp;x=pp&amp;uy.-5-&amp;x=pv&amp;83dbzb4h=rrwwttNCLM" TargetMode="External"/><Relationship Id="rId922" Type="http://schemas.openxmlformats.org/officeDocument/2006/relationships/hyperlink" Target="https://fb.me/adspreview/facebook/2isGbgWtxB7icBB" TargetMode="External"/><Relationship Id="rId918" Type="http://schemas.openxmlformats.org/officeDocument/2006/relationships/hyperlink" Target="https://a2g9b4.emailsp.com/f/rnl.aspx/?fei=1uwuq_vy.9ek=vyad8=t3trvy&amp;f2::=2-neh9.9bd:5-cb10337&amp;x=pp&amp;yx0-2.e16.&amp;x=pv&amp;2b5g=quuyuNCLM" TargetMode="External"/><Relationship Id="rId917" Type="http://schemas.openxmlformats.org/officeDocument/2006/relationships/hyperlink" Target="https://a2g9b4.emailsp.com/f/rnl.aspx/?fei=1uwuq_vy.9ek=vyad8=t3truy&amp;f2::=2-neh9.9bd:5-cb10337&amp;x=pp&amp;yx0-2.e16.&amp;x=pv&amp;2b5g=quuytNCLM" TargetMode="External"/><Relationship Id="rId916" Type="http://schemas.openxmlformats.org/officeDocument/2006/relationships/hyperlink" Target="https://a2g9b4.emailsp.com/f/rnl.aspx/?fei=1uwuq_vy.9ek=vyad8=t3trty&amp;f2::=2-neh9.9bd:5-cb10337&amp;x=pp&amp;yx0-2.e16.&amp;x=pv&amp;2b5g=quuyvNCLM" TargetMode="External"/><Relationship Id="rId915" Type="http://schemas.openxmlformats.org/officeDocument/2006/relationships/hyperlink" Target="https://a2g9b4.emailsp.com/f/rnl.aspx/?fei=1vvoo1vy.9ek=vyad8=t3syry&amp;f2::=-l98i9di-10337&amp;x=pp&amp;yx0-2.e16.&amp;x=pv&amp;2b5g=qutvwNCLM" TargetMode="External"/><Relationship Id="rId919" Type="http://schemas.openxmlformats.org/officeDocument/2006/relationships/hyperlink" Target="https://e5c9a.mailupclient.com/f/rnl.aspx/?jhe=1r_yq2o/a&amp;le=t/.l7=sws/v/9.99a=59ndi-a&amp;9g-7e:-49&amp;25&amp;x=pp&amp;uy.-5-&amp;x=pv&amp;83dbzb4h=rrvvwxNCLM" TargetMode="External"/><Relationship Id="rId910" Type="http://schemas.openxmlformats.org/officeDocument/2006/relationships/hyperlink" Target="https://a2g9b4.emailsp.com/f/rnl.aspx/?fei=1uwuq_vy.9ek=vyad8=t3trqy&amp;f2::=2-neh9.9bd:5-cb10337&amp;x=pp&amp;yx0-2.e16.&amp;x=pv&amp;2b5g=quuxuNCLM" TargetMode="External"/><Relationship Id="rId914" Type="http://schemas.openxmlformats.org/officeDocument/2006/relationships/hyperlink" Target="https://www.facebook.com/GCBA/posts/pfbid02MczFwBSVys4DXC1DTtBcRmUPG1xohZxGSR3kUcX6QRVEMJHG2uCNpVNnkXbMhTK8l" TargetMode="External"/><Relationship Id="rId913" Type="http://schemas.openxmlformats.org/officeDocument/2006/relationships/hyperlink" Target="https://e5c9a.mailupclient.com/f/rnl.aspx/?jhe=vwszuxsy/&amp;x=pv&amp;bdi=tzfd&amp;=suypy/7f1-a=l925n3r/&amp;749&amp;x=pp&amp;q_&amp;.99a45h-/-6l=ntrvyvNCLM" TargetMode="External"/><Relationship Id="rId912" Type="http://schemas.openxmlformats.org/officeDocument/2006/relationships/hyperlink" Target="https://www.facebook.com/reel/869377568978479" TargetMode="External"/><Relationship Id="rId911" Type="http://schemas.openxmlformats.org/officeDocument/2006/relationships/hyperlink" Target="https://a2g9b4.emailsp.com/f/rnl.aspx/?fei=1vvoo_2y.9ek=vyad8=t3twqy&amp;f2::=k702m1k6.451&amp;x=pp&amp;r1.&amp;x=pv&amp;49-6&amp;aax00l=rwqwyNCLM" TargetMode="External"/><Relationship Id="rId629" Type="http://schemas.openxmlformats.org/officeDocument/2006/relationships/hyperlink" Target="https://e5c9a.mailupclient.com/f/rnl.aspx/?jhe=vwvwwvrv/&amp;x=pv&amp;bdi=tzfd&amp;=suvvs/7f1-a=8e.dgcn&amp;&amp;x=pp&amp;u_9f1-a2&amp;.b/&amp;:d=rtyzv_NCLM" TargetMode="External"/><Relationship Id="rId624" Type="http://schemas.openxmlformats.org/officeDocument/2006/relationships/hyperlink" Target="https://www.facebook.com/baparticipacion/posts/pfbid02wRBHGdv3dYBDksfeYTp6Z6mCuyLLBie92PbuasD8kyFmpXQfXjTJJApAEq2BL4PQl" TargetMode="External"/><Relationship Id="rId866" Type="http://schemas.openxmlformats.org/officeDocument/2006/relationships/hyperlink" Target="https://a2g9b4.emailsp.com/f/rnl.aspx/?fei=1vvoo1vy.9ek=vyad8=t3suoy&amp;f2::=-l98i9di-10337&amp;x=pp&amp;yx0-2.e16.&amp;x=pv&amp;2b5g=qu1_oNCLM" TargetMode="External"/><Relationship Id="rId623" Type="http://schemas.openxmlformats.org/officeDocument/2006/relationships/hyperlink" Target="https://e5c9a.mailupclient.com/f/rnl.aspx/?jhe=vwurvxsx/&amp;x=pv&amp;bdi=tzfd&amp;=suvsr/7f1-a=5k9hibg&amp;x=pv&amp;9a&amp;-c4&amp;501&amp;x=pp&amp;u_9f1-a2&amp;.b/&amp;:d=rtyxsvNCLM" TargetMode="External"/><Relationship Id="rId865" Type="http://schemas.openxmlformats.org/officeDocument/2006/relationships/hyperlink" Target="https://fb.me/adspreview/facebook/1UqPoZLiUaD4oNO" TargetMode="External"/><Relationship Id="rId622" Type="http://schemas.openxmlformats.org/officeDocument/2006/relationships/hyperlink" Target="https://www.facebook.com/baparticipacion/posts/pfbid0Kk5r87c8AodVCta9pZq3XRWo9fV95javxAd6YrUKdHFGmLqZUAnLXyCXoA1MsjCyl" TargetMode="External"/><Relationship Id="rId864" Type="http://schemas.openxmlformats.org/officeDocument/2006/relationships/hyperlink" Target="https://e5c9a.mailupclient.com/f/rnl.aspx/?jhe=vwszuxsy/&amp;x=pv&amp;bdi=tzfd&amp;=suyr_/7f1-a=l925n3r/&amp;749&amp;x=pp&amp;q_&amp;.99a45h-/-6l=ntrwyrNCLM" TargetMode="External"/><Relationship Id="rId621" Type="http://schemas.openxmlformats.org/officeDocument/2006/relationships/hyperlink" Target="https://a2g9b4.emailsp.com/f/rnl.aspx/?fei=1wqvoxxy.9ek=vyad8=t3qvsy&amp;f2::=4ibeh..e--:5d6.451&amp;x=pp&amp;r1.&amp;x=pv&amp;49-6&amp;aax00l=ruvtvNCLM" TargetMode="External"/><Relationship Id="rId863" Type="http://schemas.openxmlformats.org/officeDocument/2006/relationships/hyperlink" Target="https://a2g9b4.emailsp.com/f/rnl.aspx/?fei=1uwuq_vy.9ek=vyad8=t3svoy&amp;f2::=2-neh9.9bd:5-cb10337&amp;x=pp&amp;yx0-2.e16.&amp;x=pv&amp;2b5g=qt/xpNCLM" TargetMode="External"/><Relationship Id="rId628" Type="http://schemas.openxmlformats.org/officeDocument/2006/relationships/hyperlink" Target="https://www.facebook.com/100064489762372/posts/1473265644833080/" TargetMode="External"/><Relationship Id="rId627" Type="http://schemas.openxmlformats.org/officeDocument/2006/relationships/hyperlink" Target="https://e5c9a.mailupclient.com/f/rnl.aspx/?jhe=vwvwwvrv/&amp;x=pv&amp;bdi=tzfd&amp;=suwtr/7f1-a=8e.dgcn&amp;&amp;x=pp&amp;u_9f1-a2&amp;.b/&amp;:d=rty2o_NCLM" TargetMode="External"/><Relationship Id="rId869" Type="http://schemas.openxmlformats.org/officeDocument/2006/relationships/hyperlink" Target="https://e5c9a.mailupclient.com/f/rnl.aspx/?jhe=vwurvxsx/&amp;x=pv&amp;bdi=tzfd&amp;=suyww/7f1-a=5k9hibg&amp;x=pv&amp;9a&amp;-c4&amp;501&amp;x=pp&amp;u_9f1-a2&amp;.b/&amp;:d=rtpzvuNCLM" TargetMode="External"/><Relationship Id="rId626" Type="http://schemas.openxmlformats.org/officeDocument/2006/relationships/hyperlink" Target="https://www.facebook.com/GCBA/posts/pfbid0Pznwvb2iEUy69CbGNn1ijyJpDoT3MVoMAqbjE7dnaLmy1nJ4umHMbEApNRFwAHiMl" TargetMode="External"/><Relationship Id="rId868" Type="http://schemas.openxmlformats.org/officeDocument/2006/relationships/hyperlink" Target="https://www.facebook.com/baparticipacion/posts/pfbid02GfDeov5FtT8tkhx573Mwt2gxPrXwq7d6bzrWxUci54vGS89V8kY6ptSF391Q2sWTl" TargetMode="External"/><Relationship Id="rId625" Type="http://schemas.openxmlformats.org/officeDocument/2006/relationships/hyperlink" Target="https://e5c9a.mailupclient.com/f/rnl.aspx/?jhe=vwvwwvrv/&amp;x=pv&amp;bdi=tzfd&amp;=suvrw/7f1-a=8e.dgcn&amp;&amp;x=pp&amp;u_9f1-a2&amp;.b/&amp;:d=rtyxuzNCLM" TargetMode="External"/><Relationship Id="rId867" Type="http://schemas.openxmlformats.org/officeDocument/2006/relationships/hyperlink" Target="https://e5c9a.mailupclient.com/f/rnl.aspx/?jhe=1r_yq2o/a&amp;le=t/.l7=swszv/9.99a=59ndi-a&amp;9g-7e:-49&amp;25&amp;x=pp&amp;uy.-5-&amp;x=pv&amp;83dbzb4h=rrvuy_NCLM" TargetMode="External"/><Relationship Id="rId620" Type="http://schemas.openxmlformats.org/officeDocument/2006/relationships/hyperlink" Target="https://www.facebook.com/baparticipacion/posts/pfbid02GuVdByPd1h6dfYw9DmTBhSDw1t4WzDNQ2VyEiv7L6KKRL3AnfAt99Cx8syRc48W2l" TargetMode="External"/><Relationship Id="rId862" Type="http://schemas.openxmlformats.org/officeDocument/2006/relationships/hyperlink" Target="https://e5c9a.mailupclient.com/f/rnl.aspx/?jhe=vwurvxsx/&amp;x=pv&amp;bdi=tzfd&amp;=suxvx/7f1-a=5k9hibg&amp;x=pv&amp;9a&amp;-c4&amp;501&amp;x=pp&amp;u_9f1-a2&amp;.b/&amp;:d=rtpzsrNCLM" TargetMode="External"/><Relationship Id="rId861" Type="http://schemas.openxmlformats.org/officeDocument/2006/relationships/hyperlink" Target="https://www.facebook.com/baparticipacion/posts/pfbid02NCHVWQiwdKoPJYTiGSe1oLfSPKrunnHx6GMdNT6gwfAT4rYFNUbNCvbLDTUbaLM4l" TargetMode="External"/><Relationship Id="rId860" Type="http://schemas.openxmlformats.org/officeDocument/2006/relationships/hyperlink" Target="https://e5c9a.mailupclient.com/f/rnl.aspx/?jhe=vwvwwvrv/&amp;x=pv&amp;bdi=tzfd&amp;=suxvy/7f1-a=8e.dgcn&amp;&amp;x=pp&amp;u_9f1-a2&amp;.b/&amp;:d=rtpztyNCLM" TargetMode="External"/><Relationship Id="rId619" Type="http://schemas.openxmlformats.org/officeDocument/2006/relationships/hyperlink" Target="https://e5c9a.mailupclient.com/f/rnl.aspx/?jhe=vwurvxsx/&amp;x=pv&amp;bdi=tzfd&amp;=suvs_/7f1-a=5k9hibg&amp;x=pv&amp;9a&amp;-c4&amp;501&amp;x=pp&amp;u_9f1-a2&amp;.b/&amp;:d=rtyxvtNCLM" TargetMode="External"/><Relationship Id="rId618" Type="http://schemas.openxmlformats.org/officeDocument/2006/relationships/hyperlink" Target="https://www.facebook.com/baparticipacion/posts/pfbid098U3FgAYxFaNBJnrhtaM3H8D92aATVS4EYb888eof5ByRFNJd7bn7FybtN1wwci7l" TargetMode="External"/><Relationship Id="rId613" Type="http://schemas.openxmlformats.org/officeDocument/2006/relationships/hyperlink" Target="https://e5c9a.mailupclient.com/f/rnl.aspx/?jhe=vwurvxsx/&amp;x=pv&amp;bdi=tzfd&amp;=suvpu/7f1-a=5k9hibg&amp;x=pv&amp;9a&amp;-c4&amp;501&amp;x=pp&amp;u_9f1-a2&amp;.b/&amp;:d=rtyws_NCLM" TargetMode="External"/><Relationship Id="rId855" Type="http://schemas.openxmlformats.org/officeDocument/2006/relationships/hyperlink" Target="https://a2g9b4.emailsp.com/f/rnl.aspx/?fei=1vvoo1vy.9ek=vyad8=t3stoy&amp;f2::=-l98i9di-10337&amp;x=pp&amp;yx0-2.e16.&amp;x=pv&amp;2b5g=qt__oNCLM" TargetMode="External"/><Relationship Id="rId612" Type="http://schemas.openxmlformats.org/officeDocument/2006/relationships/hyperlink" Target="https://www.facebook.com/baparticipacion/posts/pfbid02EMWgKBXVsjaCKma2N7M6AjPPM6wR3Q3bJG32D1ExDHmXmDhXnfHWCieewQECNF6Ll" TargetMode="External"/><Relationship Id="rId854" Type="http://schemas.openxmlformats.org/officeDocument/2006/relationships/hyperlink" Target="https://a2g9b4.emailsp.com/f/rnl.aspx/?fei=2orws1vy.9ek=vyad8=t3suvy&amp;f2::=7chafagb&amp;x=pp&amp;yx0-2.e16.&amp;x=pv&amp;2b5g=qt/_oNCLM" TargetMode="External"/><Relationship Id="rId611" Type="http://schemas.openxmlformats.org/officeDocument/2006/relationships/hyperlink" Target="https://e5c9a.mailupclient.com/f/rnl.aspx/?jhe=vwvwwvrv/&amp;x=pv&amp;bdi=tzfd&amp;=suvpt/7f1-a=8e.dgcn&amp;&amp;x=pp&amp;u_9f1-a2&amp;.b/&amp;:d=rtywsyNCLM" TargetMode="External"/><Relationship Id="rId853" Type="http://schemas.openxmlformats.org/officeDocument/2006/relationships/hyperlink" Target="https://www.facebook.com/GCBA/posts/pfbid02ARWpxgPh8MbcMjL4p1ziWEphpQgYE7tNb1YyS4XDt1wgTXixtYcSd5PZeo6EVSUml" TargetMode="External"/><Relationship Id="rId610" Type="http://schemas.openxmlformats.org/officeDocument/2006/relationships/hyperlink" Target="https://www.facebook.com/baparticipacion/posts/pfbid02ACp8cW6DkLqKbEH3wL2wqe24LPhy8wctFBcStRDJwm1Nah5h1Em563xRxD5L7qH5l" TargetMode="External"/><Relationship Id="rId852" Type="http://schemas.openxmlformats.org/officeDocument/2006/relationships/hyperlink" Target="https://e5c9a.mailupclient.com/f/rnl.aspx/?jhe=vwszuxsy/&amp;x=pv&amp;bdi=tzfd&amp;=suxtx/7f1-a=l925n3r/&amp;749&amp;x=pp&amp;q_&amp;.99a45h-/-6l=ntrs1wNCLM" TargetMode="External"/><Relationship Id="rId617" Type="http://schemas.openxmlformats.org/officeDocument/2006/relationships/hyperlink" Target="https://e5c9a.mailupclient.com/f/rnl.aspx/?jhe=vwurvxsx/&amp;x=pv&amp;bdi=tzfd&amp;=suvpz/7f1-a=5k9hibg&amp;x=pv&amp;9a&amp;-c4&amp;501&amp;x=pp&amp;u_9f1-a2&amp;.b/&amp;:d=rtywvsNCLM" TargetMode="External"/><Relationship Id="rId859" Type="http://schemas.openxmlformats.org/officeDocument/2006/relationships/hyperlink" Target="https://www.facebook.com/baparticipacion/posts/pfbid02MY4W6EviriP8wbDK8NuGjG77cVQEUJCufJ5ycDYUdAqkQxqEn1twUdaNGSyYsurKl" TargetMode="External"/><Relationship Id="rId616" Type="http://schemas.openxmlformats.org/officeDocument/2006/relationships/hyperlink" Target="https://www.facebook.com/baparticipacion/posts/pfbid09AS49KkVfKMf62fEQRz6iXUsEG2fjaqVfPmuCCC58f5UWFYJ8TB1ta22KU6ER8Tkl" TargetMode="External"/><Relationship Id="rId858" Type="http://schemas.openxmlformats.org/officeDocument/2006/relationships/hyperlink" Target="https://a2g9b4.emailsp.com/f/rnl.aspx/?fei=1vvoo_2y.9ek=vyad8=t3suty&amp;f2::=k702m1k6.451&amp;x=pp&amp;r1.&amp;x=pv&amp;49-6&amp;aax00l=rwwx_NCLM" TargetMode="External"/><Relationship Id="rId615" Type="http://schemas.openxmlformats.org/officeDocument/2006/relationships/hyperlink" Target="https://e5c9a.mailupclient.com/f/rnl.aspx/?jhe=vwt_y1w_/&amp;x=pv&amp;bdi=tzfd&amp;=suvpw/7f1-a=&amp;x=pv&amp;n1&amp;j&amp;kc949&amp;25&amp;x=pp&amp;uy.-5-&amp;x=pv&amp;83dbzb4h=rr3ozvNCLM" TargetMode="External"/><Relationship Id="rId857" Type="http://schemas.openxmlformats.org/officeDocument/2006/relationships/hyperlink" Target="https://www.facebook.com/baparticipacion/posts/pfbid02w5yj5xhr45yUEBFo1bmCXhFSsXGrEgrdMcBbCPUwXRaEJC4eNQUzDQwLaooyMPhWl" TargetMode="External"/><Relationship Id="rId614" Type="http://schemas.openxmlformats.org/officeDocument/2006/relationships/hyperlink" Target="https://www.facebook.com/baparticipacion/posts/pfbid0a9Khp7pULiMMYQMkVT5D2gf2S9fkMgKRvS25bmiT6zTf782A6KfUtBxnjv5etnv8l" TargetMode="External"/><Relationship Id="rId856" Type="http://schemas.openxmlformats.org/officeDocument/2006/relationships/hyperlink" Target="https://e5c9a.mailupclient.com/f/rnl.aspx/?jhe=vwurvxsx/&amp;x=pv&amp;bdi=tzfd&amp;=suyqt/7f1-a=5k9hibg&amp;x=pv&amp;9a&amp;-c4&amp;501&amp;x=pp&amp;u_9f1-a2&amp;.b/&amp;:d=rtp1wtNCLM" TargetMode="External"/><Relationship Id="rId851" Type="http://schemas.openxmlformats.org/officeDocument/2006/relationships/hyperlink" Target="https://www.facebook.com/baparticipacion/posts/pfbid02Fs1VxfMNKgUaZcZqm7N8ZqmkKLCKHuXGcuaXVqBXbeUxzFEfxpRcHPTvcCuqCzDEl" TargetMode="External"/><Relationship Id="rId850" Type="http://schemas.openxmlformats.org/officeDocument/2006/relationships/hyperlink" Target="https://e5c9a.mailupclient.com/f/rnl.aspx/?jhe=vwvwwvrv/&amp;x=pv&amp;bdi=tzfd&amp;=suxts/7f1-a=8e.dgcn&amp;&amp;x=pp&amp;u_9f1-a2&amp;.b/&amp;:d=rtpyuxNCLM" TargetMode="External"/><Relationship Id="rId409" Type="http://schemas.openxmlformats.org/officeDocument/2006/relationships/hyperlink" Target="https://www.facebook.com/GCBA/posts/pfbid0HDjJ7ADLmVV9qRNGYyC1QmhZKHE6gr3HcD2wiXfT8Uf1PBKo7aaWtbNktXYwgoBCl" TargetMode="External"/><Relationship Id="rId404" Type="http://schemas.openxmlformats.org/officeDocument/2006/relationships/hyperlink" Target="https://a2g9b4.emailsp.com/f/rnl.aspx/?fei=1wqvoxxy.9ek=vyad8=t3psvy&amp;f2::=4ibeh..e--:5d6.451&amp;x=pp&amp;r1.&amp;x=pv&amp;49-6&amp;aax00l=rupr_NCLM" TargetMode="External"/><Relationship Id="rId646" Type="http://schemas.openxmlformats.org/officeDocument/2006/relationships/hyperlink" Target="https://www.facebook.com/baparticipacion/posts/pfbid02kBQrh7f57xSAed9pAWm5Xm3igPzVuFVHzBPzdYDUnwqN475VdCFadqRZQrv2RvRxl" TargetMode="External"/><Relationship Id="rId888" Type="http://schemas.openxmlformats.org/officeDocument/2006/relationships/hyperlink" Target="https://www.facebook.com/lindaenvivo/posts/pfbid09kXBonchhUbNRHaBLgWDu9viZES3ekYQrjxFFSuE91tNjXeSEvgQinuY72zthh3pl" TargetMode="External"/><Relationship Id="rId403" Type="http://schemas.openxmlformats.org/officeDocument/2006/relationships/hyperlink" Target="https://e5c9a.mailupclient.com/f/rnl.aspx/?jhe=vwt_y1w_/&amp;x=pv&amp;bdi=tzfd&amp;=su3ns/7f1-a=&amp;x=pv&amp;n1&amp;j&amp;kc949&amp;25&amp;x=pp&amp;uy.-5-&amp;x=pv&amp;83dbzb4h=rr3orxNCLM" TargetMode="External"/><Relationship Id="rId645" Type="http://schemas.openxmlformats.org/officeDocument/2006/relationships/hyperlink" Target="https://e5c9a.mailupclient.com/f/rnl.aspx/?jhe=vwszuxsy/&amp;x=pv&amp;bdi=tzfd&amp;=suvsv/7f1-a=l925n3r/&amp;749&amp;x=pp&amp;q_&amp;.99a45h-/-6l=nt_syvNCLM" TargetMode="External"/><Relationship Id="rId887" Type="http://schemas.openxmlformats.org/officeDocument/2006/relationships/hyperlink" Target="https://a2g9b4.emailsp.com/f/rnl.aspx/?fei=1wqvoxxy.9ek=vyad8=t3syny&amp;f2::=4ibeh..e--:5d6.451&amp;x=pp&amp;r1.&amp;x=pv&amp;49-6&amp;aax00l=rwwwvNCLM" TargetMode="External"/><Relationship Id="rId402" Type="http://schemas.openxmlformats.org/officeDocument/2006/relationships/hyperlink" Target="https://www.facebook.com/GCBA/posts/pfbid0E16AtoNWBXLpWUXesZd3cPNQWebLVihxqQHLM15qSupdZQf2fk4wY3XMMtcEtzkfl" TargetMode="External"/><Relationship Id="rId644" Type="http://schemas.openxmlformats.org/officeDocument/2006/relationships/hyperlink" Target="https://www.facebook.com/baparticipacion/posts/pfbid02kngpmp5NpkrpsfoDNX5m7KFxEXGgfPkrB5wTh1aNycn479e4nyUAJdzsKqFd34tfl" TargetMode="External"/><Relationship Id="rId886" Type="http://schemas.openxmlformats.org/officeDocument/2006/relationships/hyperlink" Target="https://fb.me/adspreview/facebook/25lew4sNjO49s77" TargetMode="External"/><Relationship Id="rId401" Type="http://schemas.openxmlformats.org/officeDocument/2006/relationships/hyperlink" Target="https://www.facebook.com/reel/1441473893755475" TargetMode="External"/><Relationship Id="rId643" Type="http://schemas.openxmlformats.org/officeDocument/2006/relationships/hyperlink" Target="https://a2g9b4.emailsp.com/f/rnl.aspx/?fei=1wqvoxxy.9ek=vyad8=t3qwuy&amp;f2::=4ibeh..e--:5d6.451&amp;x=pp&amp;r1.&amp;x=pv&amp;49-6&amp;aax00l=rvwqwNCLM" TargetMode="External"/><Relationship Id="rId885" Type="http://schemas.openxmlformats.org/officeDocument/2006/relationships/hyperlink" Target="https://e5c9a.mailupclient.com/f/rnl.aspx/?jhe=vwvwwvrv/&amp;x=pv&amp;bdi=tzfd&amp;=suyqy/7f1-a=8e.dgcn&amp;&amp;x=pp&amp;u_9f1-a2&amp;.b/&amp;:d=rtp1qzNCLM" TargetMode="External"/><Relationship Id="rId408" Type="http://schemas.openxmlformats.org/officeDocument/2006/relationships/hyperlink" Target="https://e5c9a.mailupclient.com/f/rnl.aspx/?jhe=vwt_y1w_/&amp;x=pv&amp;bdi=tzfd&amp;=st2ru/7f1-a=&amp;x=pv&amp;n1&amp;j&amp;kc949&amp;25&amp;x=pp&amp;uy.-5-&amp;x=pv&amp;83dbzb4h=rq2qtyNCLM" TargetMode="External"/><Relationship Id="rId407" Type="http://schemas.openxmlformats.org/officeDocument/2006/relationships/hyperlink" Target="https://e5c9a.mailupclient.com/f/rnl.aspx/?jhe=vwurvxsx/&amp;x=pv&amp;bdi=tzfd&amp;=su3rx/7f1-a=5k9hibg&amp;x=pv&amp;9a&amp;-c4&amp;501&amp;x=pp&amp;u_9f1-a2&amp;.b/&amp;:d=rsx1vwNCLM" TargetMode="External"/><Relationship Id="rId649" Type="http://schemas.openxmlformats.org/officeDocument/2006/relationships/hyperlink" Target="https://e5c9a.mailupclient.com/f/rnl.aspx/?jhe=vwurvxsx/&amp;x=pv&amp;bdi=tzfd&amp;=suvts/7f1-a=5k9hibg&amp;x=pv&amp;9a&amp;-c4&amp;501&amp;x=pp&amp;u_9f1-a2&amp;.b/&amp;:d=rtyytuNCLM" TargetMode="External"/><Relationship Id="rId406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648" Type="http://schemas.openxmlformats.org/officeDocument/2006/relationships/hyperlink" Target="https://fb.me/adspreview/facebook/2qgzug1GUWftxho" TargetMode="External"/><Relationship Id="rId405" Type="http://schemas.openxmlformats.org/officeDocument/2006/relationships/hyperlink" Target="https://www.facebook.com/reel/1214416363924445" TargetMode="External"/><Relationship Id="rId647" Type="http://schemas.openxmlformats.org/officeDocument/2006/relationships/hyperlink" Target="https://e5c9a.mailupclient.com/f/rnl.aspx/?jhe=vwvwwvrv/&amp;x=pv&amp;bdi=tzfd&amp;=suvsw/7f1-a=8e.dgcn&amp;&amp;x=pp&amp;u_9f1-a2&amp;.b/&amp;:d=rtyyqyNCLM" TargetMode="External"/><Relationship Id="rId889" Type="http://schemas.openxmlformats.org/officeDocument/2006/relationships/hyperlink" Target="https://e5c9a.mailupclient.com/f/rnl.aspx/?jhe=vwurvxsx/&amp;x=pv&amp;bdi=tzfd&amp;=suyqv/7f1-a=5k9hibg&amp;x=pv&amp;9a&amp;-c4&amp;501&amp;x=pp&amp;u_9f1-a2&amp;.b/&amp;:d=rtp1orNCLM" TargetMode="External"/><Relationship Id="rId880" Type="http://schemas.openxmlformats.org/officeDocument/2006/relationships/hyperlink" Target="https://e5c9a.mailupclient.com/f/rnl.aspx/?jhe=vwvwwvrv/&amp;x=pv&amp;bdi=tzfd&amp;=suynw/7f1-a=8e.dgcn&amp;&amp;x=pp&amp;u_9f1-a2&amp;.b/&amp;:d=rtp_rxNCLM" TargetMode="External"/><Relationship Id="rId400" Type="http://schemas.openxmlformats.org/officeDocument/2006/relationships/hyperlink" Target="https://a2g9b4.emailsp.com/f/rnl.aspx/?fei=2orws1vy.9ek=vyad8=t3pruy&amp;f2::=7chafagb&amp;x=pp&amp;yx0-2.e16.&amp;x=pv&amp;2b5g=qsv3qNCLM" TargetMode="External"/><Relationship Id="rId642" Type="http://schemas.openxmlformats.org/officeDocument/2006/relationships/hyperlink" Target="https://e5c9a.mailupclient.com/f/rnl.aspx/?jhe=vwurvxsx/&amp;x=pv&amp;bdi=tzfd&amp;=suvtu/7f1-a=5k9hibg&amp;x=pv&amp;9a&amp;-c4&amp;501&amp;x=pp&amp;u_9f1-a2&amp;.b/&amp;:d=rtyyuuNCLM" TargetMode="External"/><Relationship Id="rId884" Type="http://schemas.openxmlformats.org/officeDocument/2006/relationships/hyperlink" Target="https://www.facebook.com/reel/963476160027647" TargetMode="External"/><Relationship Id="rId641" Type="http://schemas.openxmlformats.org/officeDocument/2006/relationships/hyperlink" Target="https://www.facebook.com/GCBA/posts/pfbid035McDB5ssdrJJa3P1dLQ3VYe2fbmQjPYatRBMRSA5ESWE5wNQ1v9qUxjbi2UBZnVKl" TargetMode="External"/><Relationship Id="rId883" Type="http://schemas.openxmlformats.org/officeDocument/2006/relationships/hyperlink" Target="https://www.facebook.com/reel/26383961307943675" TargetMode="External"/><Relationship Id="rId640" Type="http://schemas.openxmlformats.org/officeDocument/2006/relationships/hyperlink" Target="https://e5c9a.mailupclient.com/f/rnl.aspx/?jhe=1r_yq2o/a&amp;le=t/.l7=swp_p/9.99a=59ndi-a&amp;9g-7e:-49&amp;25&amp;x=pp&amp;uy.-5-&amp;x=pv&amp;83dbzb4h=rr3qruNCLM" TargetMode="External"/><Relationship Id="rId882" Type="http://schemas.openxmlformats.org/officeDocument/2006/relationships/hyperlink" Target="https://a2g9b4.emailsp.com/f/rnl.aspx/?fei=1wqvoxxy.9ek=vyad8=t3sxuy&amp;f2::=4ibeh..e--:5d6.451&amp;x=pp&amp;r1.&amp;x=pv&amp;49-6&amp;aax00l=rwwuuNCLM" TargetMode="External"/><Relationship Id="rId881" Type="http://schemas.openxmlformats.org/officeDocument/2006/relationships/hyperlink" Target="https://fb.me/adspreview/facebook/29gh3TVKAXDRWc7" TargetMode="External"/><Relationship Id="rId635" Type="http://schemas.openxmlformats.org/officeDocument/2006/relationships/hyperlink" Target="https://e5c9a.mailupclient.com/f/rnl.aspx/?jhe=vwvwwvrv/&amp;x=pv&amp;bdi=tzfd&amp;=suvrz/7f1-a=8e.dgcn&amp;&amp;x=pp&amp;u_9f1-a2&amp;.b/&amp;:d=rtyxtxNCLM" TargetMode="External"/><Relationship Id="rId877" Type="http://schemas.openxmlformats.org/officeDocument/2006/relationships/hyperlink" Target="https://e5c9a.mailupclient.com/f/rnl.aspx/?jhe=vwszuxsy/&amp;x=pv&amp;bdi=tzfd&amp;=suypz/7f1-a=l925n3r/&amp;749&amp;x=pp&amp;q_&amp;.99a45h-/-6l=ntrv_uNCLM" TargetMode="External"/><Relationship Id="rId634" Type="http://schemas.openxmlformats.org/officeDocument/2006/relationships/hyperlink" Target="https://www.facebook.com/baparticipacion/posts/pfbid0tMGx9iMLkHP8vjC2RBPG99swE4bWxAUgGgc8aocCDeVjXFAvXrPdbyPD4Apz1wohl" TargetMode="External"/><Relationship Id="rId876" Type="http://schemas.openxmlformats.org/officeDocument/2006/relationships/hyperlink" Target="https://www.facebook.com/reel/1910025833718608" TargetMode="External"/><Relationship Id="rId633" Type="http://schemas.openxmlformats.org/officeDocument/2006/relationships/hyperlink" Target="http://facebook.com/reel/1634422507650526/" TargetMode="External"/><Relationship Id="rId875" Type="http://schemas.openxmlformats.org/officeDocument/2006/relationships/hyperlink" Target="https://e5c9a.mailupclient.com/f/rnl.aspx/?jhe=1r_yq2o/a&amp;le=t/.l7=swsvr/9.99a=59ndi-a&amp;9g-7e:-49&amp;25&amp;x=pp&amp;uy.-5-&amp;x=pv&amp;83dbzb4h=rrvstwNCLM" TargetMode="External"/><Relationship Id="rId632" Type="http://schemas.openxmlformats.org/officeDocument/2006/relationships/hyperlink" Target="http://facebook.com/reel/1023934959977410/" TargetMode="External"/><Relationship Id="rId874" Type="http://schemas.openxmlformats.org/officeDocument/2006/relationships/hyperlink" Target="https://e5c9a.mailupclient.com/f/rnl.aspx/?jhe=1r_yq2o/a&amp;le=t/.l7=swsvq/9.99a=59ndi-a&amp;9g-7e:-49&amp;25&amp;x=pp&amp;uy.-5-&amp;x=pv&amp;83dbzb4h=rrvstvNCLM" TargetMode="External"/><Relationship Id="rId639" Type="http://schemas.openxmlformats.org/officeDocument/2006/relationships/hyperlink" Target="https://a2g9b4.emailsp.com/f/rnl.aspx/?fei=1wqvoxxy.9ek=vyad8=t3qwpy&amp;f2::=4ibeh..e--:5d6.451&amp;x=pp&amp;r1.&amp;x=pv&amp;49-6&amp;aax00l=ruvvyNCLM" TargetMode="External"/><Relationship Id="rId638" Type="http://schemas.openxmlformats.org/officeDocument/2006/relationships/hyperlink" Target="https://business.facebook.com/ads/experience/confirmation/?is_responsive=0&amp;encrypted_experience_id=Q8DfBAIJ4IBHp0mhmk-iDWyPWKt9YFowWQwEAROfG4INdTlC9vbi4Pmf8nVrOSBRwASGk0bYyS7Dtizj" TargetMode="External"/><Relationship Id="rId637" Type="http://schemas.openxmlformats.org/officeDocument/2006/relationships/hyperlink" Target="https://www.facebook.com/reel/1958104631478571" TargetMode="External"/><Relationship Id="rId879" Type="http://schemas.openxmlformats.org/officeDocument/2006/relationships/hyperlink" Target="https://www.facebook.com/GCBA/posts/pfbid02ZZG3f1iLvkWubHjhaECJSre4Kzvz1XfSfBj1BTiNeBk4AoX762iy2Tr6oLewgit3l" TargetMode="External"/><Relationship Id="rId636" Type="http://schemas.openxmlformats.org/officeDocument/2006/relationships/hyperlink" Target="https://www.facebook.com/reel/1530291025201574" TargetMode="External"/><Relationship Id="rId878" Type="http://schemas.openxmlformats.org/officeDocument/2006/relationships/hyperlink" Target="https://e5c9a.mailupclient.com/f/rnl.aspx/?jhe=vwurvxsx/&amp;x=pv&amp;bdi=tzfd&amp;=suywv/7f1-a=5k9hibg&amp;x=pv&amp;9a&amp;-c4&amp;501&amp;x=pp&amp;u_9f1-a2&amp;.b/&amp;:d=rtpzuyNCLM" TargetMode="External"/><Relationship Id="rId631" Type="http://schemas.openxmlformats.org/officeDocument/2006/relationships/hyperlink" Target="https://e5c9a.mailupclient.com/f/rnl.aspx/?jhe=vwvwwvrv/&amp;x=pv&amp;bdi=tzfd&amp;=suvvt/7f1-a=8e.dgcn&amp;&amp;x=pp&amp;u_9f1-a2&amp;.b/&amp;:d=rty_ssNCLM" TargetMode="External"/><Relationship Id="rId873" Type="http://schemas.openxmlformats.org/officeDocument/2006/relationships/hyperlink" Target="https://e5c9a.mailupclient.com/f/rnl.aspx/?jhe=1r_yq2o/a&amp;le=t/.l7=swsvp/9.99a=59ndi-a&amp;9g-7e:-49&amp;25&amp;x=pp&amp;uy.-5-&amp;x=pv&amp;83dbzb4h=rrvstuNCLM" TargetMode="External"/><Relationship Id="rId630" Type="http://schemas.openxmlformats.org/officeDocument/2006/relationships/hyperlink" Target="https://www.facebook.com/GCBA/posts/pfbid02mwrKmDbfvoUhtss5fmCX5RnWGcAg34Rc3HFNP4sMhzYsoGdi8qyBFSCq8v3Vw9wml" TargetMode="External"/><Relationship Id="rId872" Type="http://schemas.openxmlformats.org/officeDocument/2006/relationships/hyperlink" Target="https://e5c9a.mailupclient.com/f/rnl.aspx/?jhe=vwt_y1w_/&amp;x=pv&amp;bdi=tzfd&amp;=suzsu/7f1-a=&amp;x=pv&amp;n1&amp;j&amp;kc949&amp;25&amp;x=pp&amp;uy.-5-&amp;x=pv&amp;83dbzb4h=rrwqyzNCLM" TargetMode="External"/><Relationship Id="rId871" Type="http://schemas.openxmlformats.org/officeDocument/2006/relationships/hyperlink" Target="https://e5c9a.mailupclient.com/f/rnl.aspx/?jhe=vwurvxsx/&amp;x=pv&amp;bdi=tzfd&amp;=suywx/7f1-a=5k9hibg&amp;x=pv&amp;9a&amp;-c4&amp;501&amp;x=pp&amp;u_9f1-a2&amp;.b/&amp;:d=rtp_wrNCLM" TargetMode="External"/><Relationship Id="rId870" Type="http://schemas.openxmlformats.org/officeDocument/2006/relationships/hyperlink" Target="https://www.facebook.com/baparticipacion/posts/pfbid0228E4wXGuoRBDL9cJH7U1e91PuBepsm5jab8oPnfnutyXwzhy1enE8K5vr345yk5gl" TargetMode="External"/><Relationship Id="rId829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828" Type="http://schemas.openxmlformats.org/officeDocument/2006/relationships/hyperlink" Target="https://www.facebook.com/GCBA/posts/pfbid0YhueYGpntBgMxwJ72kfke9vjquz5VNdcd1gvDFdyw1CYKUTWgM3YrprNGk6n7F7Bl" TargetMode="External"/><Relationship Id="rId827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822" Type="http://schemas.openxmlformats.org/officeDocument/2006/relationships/hyperlink" Target="https://www.facebook.com/GCBA/posts/pfbid0MuG7Sbo5joqEuk2UWgNsVURV9frh2FTUkY1aQoaNkgEbc3aeURAPiq423LHA7Mwyl" TargetMode="External"/><Relationship Id="rId821" Type="http://schemas.openxmlformats.org/officeDocument/2006/relationships/hyperlink" Target="https://a2g9b4.emailsp.com/f/rnl.aspx/?fei=1vvoo_2y.9ek=vyad8=t3trry&amp;f2::=k702m1k6.451&amp;x=pp&amp;r1.&amp;x=pv&amp;49-6&amp;aax00l=rwqovNCLM" TargetMode="External"/><Relationship Id="rId820" Type="http://schemas.openxmlformats.org/officeDocument/2006/relationships/hyperlink" Target="https://www.facebook.com/GCBA/posts/pfbid0ST19UoqhurJhZPhq7dJfEkZrJhyH4rZPrLJ7W6zqymdatS9zfuz5QK26T3aXaWbkl" TargetMode="External"/><Relationship Id="rId826" Type="http://schemas.openxmlformats.org/officeDocument/2006/relationships/hyperlink" Target="https://www.facebook.com/GCBA/posts/pfbid024E73awCVhiQrQKaLTpJhPgLnsy9nahcRRpUuZQFjWPWPjfEGoSmZCvcRp75tDHfLl" TargetMode="External"/><Relationship Id="rId825" Type="http://schemas.openxmlformats.org/officeDocument/2006/relationships/hyperlink" Target="https://e5c9a.mailupclient.com/f/rnl.aspx/?jhe=vwvwwvrv/&amp;x=pv&amp;bdi=tzfd&amp;=suxsz/7f1-a=8e.dgcn&amp;&amp;x=pp&amp;u_9f1-a2&amp;.b/&amp;:d=rtpyqwNCLM" TargetMode="External"/><Relationship Id="rId824" Type="http://schemas.openxmlformats.org/officeDocument/2006/relationships/hyperlink" Target="https://www.facebook.com/lindaenvivo/posts/pfbid0WbNiU7em6L5KUdaebD122aT5xjmK2yfL1LygibKDJeYrhx8KUeorGiHzg252ZdW8l" TargetMode="External"/><Relationship Id="rId823" Type="http://schemas.openxmlformats.org/officeDocument/2006/relationships/hyperlink" Target="https://e5c9a.mailupclient.com/f/rnl.aspx/?jhe=vwurvxsx/&amp;x=pv&amp;bdi=tzfd&amp;=suxtr/7f1-a=5k9hibg&amp;x=pv&amp;9a&amp;-c4&amp;501&amp;x=pp&amp;u_9f1-a2&amp;.b/&amp;:d=rtpyrtNCLM" TargetMode="External"/><Relationship Id="rId819" Type="http://schemas.openxmlformats.org/officeDocument/2006/relationships/hyperlink" Target="https://e5c9a.mailupclient.com/f/rnl.aspx/?jhe=1r_yq2o/a&amp;le=t/.l7=swr_r/9.99a=59ndi-a&amp;9g-7e:-49&amp;25&amp;x=pp&amp;uy.-5-&amp;x=pv&amp;83dbzb4h=rrvqssNCLM" TargetMode="External"/><Relationship Id="rId818" Type="http://schemas.openxmlformats.org/officeDocument/2006/relationships/hyperlink" Target="https://e5c9a.mailupclient.com/f/rnl.aspx/?jhe=1r_yq2o/a&amp;le=t/.l7=swr_q/9.99a=59ndi-a&amp;9g-7e:-49&amp;25&amp;x=pp&amp;uy.-5-&amp;x=pv&amp;83dbzb4h=rrvqsrNCLM" TargetMode="External"/><Relationship Id="rId817" Type="http://schemas.openxmlformats.org/officeDocument/2006/relationships/hyperlink" Target="https://e5c9a.mailupclient.com/f/rnl.aspx/?jhe=vwurvxsx/&amp;x=pv&amp;bdi=tzfd&amp;=suxsr/7f1-a=5k9hibg&amp;x=pv&amp;9a&amp;-c4&amp;501&amp;x=pp&amp;u_9f1-a2&amp;.b/&amp;:d=rtpxvxNCLM" TargetMode="External"/><Relationship Id="rId816" Type="http://schemas.openxmlformats.org/officeDocument/2006/relationships/hyperlink" Target="http://pieza/" TargetMode="External"/><Relationship Id="rId811" Type="http://schemas.openxmlformats.org/officeDocument/2006/relationships/hyperlink" Target="https://e5c9a.mailupclient.com/f/rnl.aspx/?jhe=1ovurwr/a&amp;le=t/.l7=swryr/9.99a=hbea9g7s35hgk.4&amp;501&amp;x=pp&amp;u_9f1-a2&amp;.b/&amp;:d=rtpxnuNCLM" TargetMode="External"/><Relationship Id="rId810" Type="http://schemas.openxmlformats.org/officeDocument/2006/relationships/hyperlink" Target="https://www.facebook.com/reel/1793775995332544" TargetMode="External"/><Relationship Id="rId815" Type="http://schemas.openxmlformats.org/officeDocument/2006/relationships/hyperlink" Target="https://e5c9a.mailupclient.com/f/rnl.aspx/?jhe=1r_yq2o/a&amp;le=t/.l7=sws3o/9.99a=59ndi-a&amp;9g-7e:-49&amp;25&amp;x=pp&amp;uy.-5-&amp;x=pv&amp;83dbzb4h=rrvsszNCLM" TargetMode="External"/><Relationship Id="rId814" Type="http://schemas.openxmlformats.org/officeDocument/2006/relationships/hyperlink" Target="https://e5c9a.mailupclient.com/f/rnl.aspx/?jhe=vwurvxsx/&amp;x=pv&amp;bdi=tzfd&amp;=suxtt/7f1-a=5k9hibg&amp;x=pv&amp;9a&amp;-c4&amp;501&amp;x=pp&amp;u_9f1-a2&amp;.b/&amp;:d=rtpyrxNCLM" TargetMode="External"/><Relationship Id="rId813" Type="http://schemas.openxmlformats.org/officeDocument/2006/relationships/hyperlink" Target="https://www.instagram.com/p/DZNNxE-DBNw/" TargetMode="External"/><Relationship Id="rId812" Type="http://schemas.openxmlformats.org/officeDocument/2006/relationships/hyperlink" Target="https://a2g9b4.emailsp.com/f/rnl.aspx/?fei=1vvoo1vy.9ek=vyad8=t3srry&amp;f2::=-l98i9di-10337&amp;x=pp&amp;yx0-2.e16.&amp;x=pv&amp;2b5g=qtz/oNCLM" TargetMode="External"/><Relationship Id="rId609" Type="http://schemas.openxmlformats.org/officeDocument/2006/relationships/hyperlink" Target="https://e5c9a.mailupclient.com/f/rnl.aspx/?jhe=vwurvxsx/&amp;x=pv&amp;bdi=tzfd&amp;=suvpv/7f1-a=5k9hibg&amp;x=pv&amp;9a&amp;-c4&amp;501&amp;x=pp&amp;u_9f1-a2&amp;.b/&amp;:d=rtywszNCLM" TargetMode="External"/><Relationship Id="rId608" Type="http://schemas.openxmlformats.org/officeDocument/2006/relationships/hyperlink" Target="https://www.facebook.com/baparticipacion/posts/pfbid0337DDYLN4zwtQBEmADu3hineCWrEYsHQXX7s4zt7dBM7hPiahrNoqW1stMWqRwLKol" TargetMode="External"/><Relationship Id="rId607" Type="http://schemas.openxmlformats.org/officeDocument/2006/relationships/hyperlink" Target="https://e5c9a.mailupclient.com/f/rnl.aspx/?jhe=vwurvxsx/&amp;x=pv&amp;bdi=tzfd&amp;=suvqr/7f1-a=5k9hibg&amp;x=pv&amp;9a&amp;-c4&amp;501&amp;x=pp&amp;u_9f1-a2&amp;.b/&amp;:d=rtyxwzNCLM" TargetMode="External"/><Relationship Id="rId849" Type="http://schemas.openxmlformats.org/officeDocument/2006/relationships/hyperlink" Target="https://www.facebook.com/baparticipacion/posts/pfbid0ypt2Y4k6GB9rZzQSTHsh86ty9JfhykvTJJ58EnGB9kt16zTZsHwDSPPNaPdyC2ATl" TargetMode="External"/><Relationship Id="rId602" Type="http://schemas.openxmlformats.org/officeDocument/2006/relationships/hyperlink" Target="https://a2g9b4.emailsp.com/f/rnl.aspx/?fei=1vvoo_2y.9ek=vyad8=t3qury&amp;f2::=k702m1k6.451&amp;x=pp&amp;r1.&amp;x=pv&amp;49-6&amp;aax00l=ruvrwNCLM" TargetMode="External"/><Relationship Id="rId844" Type="http://schemas.openxmlformats.org/officeDocument/2006/relationships/hyperlink" Target="https://www.facebook.com/GCBA/posts/pfbid02S69HL7Rh16mEJr6jPS2GDu5yeREJSdMYDeJtCjgnjAJ9ye7imvJZemK4w8BrttQTl" TargetMode="External"/><Relationship Id="rId601" Type="http://schemas.openxmlformats.org/officeDocument/2006/relationships/hyperlink" Target="https://www.facebook.com/reel/2613717612355871" TargetMode="External"/><Relationship Id="rId843" Type="http://schemas.openxmlformats.org/officeDocument/2006/relationships/hyperlink" Target="https://e5c9a.mailupclient.com/f/rnl.aspx/?jhe=1r_yq2o/a&amp;le=t/.l7=swr2p/9.99a=59ndi-a&amp;9g-7e:-49&amp;25&amp;x=pp&amp;uy.-5-&amp;x=pv&amp;83dbzb4h=rrvrtwNCLM" TargetMode="External"/><Relationship Id="rId600" Type="http://schemas.openxmlformats.org/officeDocument/2006/relationships/hyperlink" Target="https://e5c9a.mailupclient.com/f/rnl.aspx/?jhe=vwvwwvrv/&amp;x=pv&amp;bdi=tzfd&amp;=suvpx/7f1-a=8e.dgcn&amp;&amp;x=pp&amp;u_9f1-a2&amp;.b/&amp;:d=rtyxorNCLM" TargetMode="External"/><Relationship Id="rId842" Type="http://schemas.openxmlformats.org/officeDocument/2006/relationships/hyperlink" Target="https://a2g9b4.emailsp.com/f/rnl.aspx/?fei=1vvoo1vy.9ek=vyad8=t3svny&amp;f2::=-l98i9di-10337&amp;x=pp&amp;yx0-2.e16.&amp;x=pv&amp;2b5g=qt/1xNCLM" TargetMode="External"/><Relationship Id="rId841" Type="http://schemas.openxmlformats.org/officeDocument/2006/relationships/hyperlink" Target="https://e5c9a.mailupclient.com/f/rnl.aspx/?jhe=vwurvxsx/&amp;x=pv&amp;bdi=tzfd&amp;=suxs_/7f1-a=5k9hibg&amp;x=pv&amp;9a&amp;-c4&amp;501&amp;x=pp&amp;u_9f1-a2&amp;.b/&amp;:d=rtpxvwNCLM" TargetMode="External"/><Relationship Id="rId606" Type="http://schemas.openxmlformats.org/officeDocument/2006/relationships/hyperlink" Target="https://www.facebook.com/baparticipacion/posts/pfbid02hwLB24e1ZTxjY3XgRNitembhPzcmefEqr4EW1gEX9jroGvKZmLqQUB2HNVpy79Pal" TargetMode="External"/><Relationship Id="rId848" Type="http://schemas.openxmlformats.org/officeDocument/2006/relationships/hyperlink" Target="https://e5c9a.mailupclient.com/f/rnl.aspx/?jhe=vwszuxsy/&amp;x=pv&amp;bdi=tzfd&amp;=suxtw/7f1-a=l925n3r/&amp;749&amp;x=pp&amp;q_&amp;.99a45h-/-6l=ntrs/pNCLM" TargetMode="External"/><Relationship Id="rId605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847" Type="http://schemas.openxmlformats.org/officeDocument/2006/relationships/hyperlink" Target="https://www.facebook.com/reel/3600929573393750" TargetMode="External"/><Relationship Id="rId604" Type="http://schemas.openxmlformats.org/officeDocument/2006/relationships/hyperlink" Target="https://www.facebook.com/reel/1458725662138823" TargetMode="External"/><Relationship Id="rId846" Type="http://schemas.openxmlformats.org/officeDocument/2006/relationships/hyperlink" Target="https://e5c9a.mailupclient.com/f/rnl.aspx/?jhe=vwt_y1w_/&amp;x=pv&amp;bdi=tzfd&amp;=suxtv/7f1-a=&amp;x=pv&amp;n1&amp;j&amp;kc949&amp;25&amp;x=pp&amp;uy.-5-&amp;x=pv&amp;83dbzb4h=rrvqz_NCLM" TargetMode="External"/><Relationship Id="rId603" Type="http://schemas.openxmlformats.org/officeDocument/2006/relationships/hyperlink" Target="https://www.facebook.com/GCBA/posts/pfbid02piHF6wJbhqe8kwXMsA6anj6iCoiQq4eEf5Dxw2jWsfXvACz8eyAfYWCrjKKt98wsl" TargetMode="External"/><Relationship Id="rId845" Type="http://schemas.openxmlformats.org/officeDocument/2006/relationships/hyperlink" Target="https://www.facebook.com/baparticipacion/posts/pfbid04t14tUzTH3nATFWGt42FSJRpMsj6b9dieVEasDeuDKkB3v26n78QDqpUVz8cVrETl" TargetMode="External"/><Relationship Id="rId840" Type="http://schemas.openxmlformats.org/officeDocument/2006/relationships/hyperlink" Target="https://a2g9b4.emailsp.com/f/rnl.aspx/?fei=1wqvoxxy.9ek=vyad8=t3stuy&amp;f2::=4ibeh..e--:5d6.451&amp;x=pp&amp;r1.&amp;x=pv&amp;49-6&amp;aax00l=rvuuwNCLM" TargetMode="External"/><Relationship Id="rId839" Type="http://schemas.openxmlformats.org/officeDocument/2006/relationships/hyperlink" Target="https://fb.me/adspreview/facebook/1Tz9GO0nHrINRCx" TargetMode="External"/><Relationship Id="rId838" Type="http://schemas.openxmlformats.org/officeDocument/2006/relationships/hyperlink" Target="https://e5c9a.mailupclient.com/f/rnl.aspx/?jhe=vwvwwvrv/&amp;x=pv&amp;bdi=tzfd&amp;=suypw/7f1-a=8e.dgcn&amp;&amp;x=pp&amp;u_9f1-a2&amp;.b/&amp;:d=rtp/sxNCLM" TargetMode="External"/><Relationship Id="rId833" Type="http://schemas.openxmlformats.org/officeDocument/2006/relationships/hyperlink" Target="https://www.facebook.com/GCBA/posts/pfbid02iNNf4Ns7gcEo4HWoJUSAjz6751M9Kkh3PeVP3UnroYxyFBXFwehL5Y79KBHQHattl" TargetMode="External"/><Relationship Id="rId832" Type="http://schemas.openxmlformats.org/officeDocument/2006/relationships/hyperlink" Target="https://e5c9a.mailupclient.com/f/rnl.aspx/?jhe=vwvwwvrv/&amp;x=pv&amp;bdi=tzfd&amp;=suysr/7f1-a=8e.dgcn&amp;&amp;x=pp&amp;u_9f1-a2&amp;.b/&amp;:d=rtp1vxNCLM" TargetMode="External"/><Relationship Id="rId831" Type="http://schemas.openxmlformats.org/officeDocument/2006/relationships/hyperlink" Target="https://www.facebook.com/baparticipacion/posts/pfbid037D5wWyZjNg97cDckHgFEvdVpvx7PvEGibc8TBFmc2DQrjtCTs1fS44Akw5kynYeRl" TargetMode="External"/><Relationship Id="rId830" Type="http://schemas.openxmlformats.org/officeDocument/2006/relationships/hyperlink" Target="https://e5c9a.mailupclient.com/f/rnl.aspx/?jhe=vwszuxsy/&amp;x=pv&amp;bdi=tzfd&amp;=suztv/7f1-a=l925n3r/&amp;749&amp;x=pp&amp;q_&amp;.99a45h-/-6l=ntssvnNCLM" TargetMode="External"/><Relationship Id="rId837" Type="http://schemas.openxmlformats.org/officeDocument/2006/relationships/hyperlink" Target="https://www.facebook.com/GCBA/posts/pfbid028fd4Eps4oJxQsp4oAr6gZWZZhqEkZDaxYsaCDqH2Q51tJXZa9VMm2TngH3mfoR2Al" TargetMode="External"/><Relationship Id="rId836" Type="http://schemas.openxmlformats.org/officeDocument/2006/relationships/hyperlink" Target="https://e5c9a.mailupclient.com/f/rnl.aspx/?jhe=vwvwwvrv/&amp;x=pv&amp;bdi=tzfd&amp;=suxuy/7f1-a=8e.dgcn&amp;&amp;x=pp&amp;u_9f1-a2&amp;.b/&amp;:d=rtpzpxNCLM" TargetMode="External"/><Relationship Id="rId835" Type="http://schemas.openxmlformats.org/officeDocument/2006/relationships/hyperlink" Target="https://www.facebook.com/GCBA/posts/pfbid0d9XT1CAvSPLyt1aN1NNjVkP91s34wkPBECWCb8oPxCM6nzXnWfoskFD65xDwnRRsl" TargetMode="External"/><Relationship Id="rId834" Type="http://schemas.openxmlformats.org/officeDocument/2006/relationships/hyperlink" Target="https://e5c9a.mailupclient.com/f/rnl.aspx/?jhe=vwurvxsx/&amp;x=pv&amp;bdi=tzfd&amp;=suytw/7f1-a=5k9hibg&amp;x=pv&amp;9a&amp;-c4&amp;501&amp;x=pp&amp;u_9f1-a2&amp;.b/&amp;:d=rtp2rrNCLM" TargetMode="External"/><Relationship Id="rId1059" Type="http://schemas.openxmlformats.org/officeDocument/2006/relationships/hyperlink" Target="https://e5c9a.mailupclient.com/f/rnl.aspx/?jhe=vwurvxsx/&amp;x=pv&amp;bdi=tzfd&amp;=su_pv/7f1-a=5k9hibg&amp;x=pv&amp;9a&amp;-c4&amp;501&amp;x=pp&amp;u_9f1-a2&amp;.b/&amp;:d=rtq/sxNCLM" TargetMode="External"/><Relationship Id="rId228" Type="http://schemas.openxmlformats.org/officeDocument/2006/relationships/hyperlink" Target="https://e5c9a.mailupclient.com/f/rnl.aspx/?jhe=vwurvxsx/&amp;x=pv&amp;bdi=tzfd&amp;=st_v_/7f1-a=5k9hibg&amp;x=pv&amp;9a&amp;-c4&amp;501&amp;x=pp&amp;u_9f1-a2&amp;.b/&amp;:d=rswvsrNCLM" TargetMode="External"/><Relationship Id="rId227" Type="http://schemas.openxmlformats.org/officeDocument/2006/relationships/hyperlink" Target="https://e5c9a.mailupclient.com/f/rnl.aspx/?jhe=vwurvxsx/&amp;x=pv&amp;bdi=tzfd&amp;=st_vr/7f1-a=5k9hibg&amp;x=pv&amp;9a&amp;-c4&amp;501&amp;x=pp&amp;u_9f1-a2&amp;.b/&amp;:d=rswvrtNCLM" TargetMode="External"/><Relationship Id="rId469" Type="http://schemas.openxmlformats.org/officeDocument/2006/relationships/hyperlink" Target="https://a2g9b4.emailsp.com/f/rnl.aspx/?fei=1wqvoxxy.9ek=vyad8=t3qzty&amp;f2::=4ibeh..e--:5d6.451&amp;x=pp&amp;r1.&amp;x=pv&amp;49-6&amp;aax00l=rusvzNCLM" TargetMode="External"/><Relationship Id="rId226" Type="http://schemas.openxmlformats.org/officeDocument/2006/relationships/hyperlink" Target="https://a2g9b4.emailsp.com/f/rnl.aspx/?fei=1wqvoxxy.9ek=vyad8=t3xsoy&amp;f2::=4ibeh..e--:5d6.451&amp;x=pp&amp;r1.&amp;x=pv&amp;49-6&amp;aax00l=rtprwNCLM" TargetMode="External"/><Relationship Id="rId468" Type="http://schemas.openxmlformats.org/officeDocument/2006/relationships/hyperlink" Target="https://www.facebook.com/reel/837422675431289" TargetMode="External"/><Relationship Id="rId225" Type="http://schemas.openxmlformats.org/officeDocument/2006/relationships/hyperlink" Target="https://e5c9a.mailupclient.com/f/rnl.aspx/?jhe=vwvwwvrv/&amp;x=pv&amp;bdi=tzfd&amp;=st_tw/7f1-a=8e.dgcn&amp;&amp;x=pp&amp;u_9f1-a2&amp;.b/&amp;:d=rswvwyNCLM" TargetMode="External"/><Relationship Id="rId467" Type="http://schemas.openxmlformats.org/officeDocument/2006/relationships/hyperlink" Target="https://fb.me/adspreview/facebook/23PWppQrHRi6nAk" TargetMode="External"/><Relationship Id="rId229" Type="http://schemas.openxmlformats.org/officeDocument/2006/relationships/hyperlink" Target="https://e5c9a.mailupclient.com/f/rnl.aspx/?jhe=vwurvxsx/&amp;x=pv&amp;bdi=tzfd&amp;=st_tz/7f1-a=5k9hibg&amp;x=pv&amp;9a&amp;-c4&amp;501&amp;x=pp&amp;u_9f1-a2&amp;.b/&amp;:d=rswvwsNCLM" TargetMode="External"/><Relationship Id="rId1050" Type="http://schemas.openxmlformats.org/officeDocument/2006/relationships/hyperlink" Target="https://e5c9a.mailupclient.com/f/rnl.aspx/?jhe=1r_yq2o/a&amp;le=t/.l7=swu3p/9.99a=59ndi-a&amp;9g-7e:-49&amp;25&amp;x=pp&amp;uy.-5-&amp;x=pv&amp;83dbzb4h=rrwrvzNCLM" TargetMode="External"/><Relationship Id="rId220" Type="http://schemas.openxmlformats.org/officeDocument/2006/relationships/hyperlink" Target="https://e5c9a.mailupclient.com/f/rnl.aspx/?jhe=1r_yq2o/a&amp;le=t/.l7=svvxp/9.99a=59ndi-a&amp;9g-7e:-49&amp;25&amp;x=pp&amp;uy.-5-&amp;x=pv&amp;83dbzb4h=rq1pvrNCLM" TargetMode="External"/><Relationship Id="rId462" Type="http://schemas.openxmlformats.org/officeDocument/2006/relationships/hyperlink" Target="https://e5c9a.mailupclient.com/f/rnl.aspx/?jhe=vwurvxsx/&amp;x=pv&amp;bdi=tzfd&amp;=su3ts/7f1-a=5k9hibg&amp;x=pv&amp;9a&amp;-c4&amp;501&amp;x=pp&amp;u_9f1-a2&amp;.b/&amp;:d=rtyvqxNCLM" TargetMode="External"/><Relationship Id="rId1051" Type="http://schemas.openxmlformats.org/officeDocument/2006/relationships/hyperlink" Target="https://e5c9a.mailupclient.com/f/rnl.aspx/?jhe=vwt_y1w_/&amp;x=pv&amp;bdi=tzfd&amp;=suzux/7f1-a=&amp;x=pv&amp;n1&amp;j&amp;kc949&amp;25&amp;x=pp&amp;uy.-5-&amp;x=pv&amp;83dbzb4h=rrwqysNCLM" TargetMode="External"/><Relationship Id="rId461" Type="http://schemas.openxmlformats.org/officeDocument/2006/relationships/hyperlink" Target="https://e5c9a.mailupclient.com/f/rnl.aspx/?jhe=vwt_y1w_/&amp;x=pv&amp;bdi=tzfd&amp;=su3sx/7f1-a=&amp;x=pv&amp;n1&amp;j&amp;kc949&amp;25&amp;x=pp&amp;uy.-5-&amp;x=pv&amp;83dbzb4h=rr3nyuNCLM" TargetMode="External"/><Relationship Id="rId1052" Type="http://schemas.openxmlformats.org/officeDocument/2006/relationships/hyperlink" Target="https://e5c9a.mailupclient.com/f/rnl.aspx/?jhe=1r_yq2o/a&amp;le=t/.l7=swt1r/9.99a=59ndi-a&amp;9g-7e:-49&amp;25&amp;x=pp&amp;uy.-5-&amp;x=pv&amp;83dbzb4h=rrwqvvNCLM" TargetMode="External"/><Relationship Id="rId460" Type="http://schemas.openxmlformats.org/officeDocument/2006/relationships/hyperlink" Target="https://www.facebook.com/GCBA/posts/pfbid0Dny5QJbX8hitGkDGBX9fHSDtTyn9e8hwh6zqgx9pvN8fpmf7kpFKshgUjB7jDUFFl" TargetMode="External"/><Relationship Id="rId1053" Type="http://schemas.openxmlformats.org/officeDocument/2006/relationships/hyperlink" Target="https://a2g9b4.emailsp.com/f/rnl.aspx/?fei=1vvoo1vy.9ek=vyad8=t3uqvy&amp;f2::=-l98i9di-10337&amp;x=pp&amp;yx0-2.e16.&amp;x=pv&amp;2b5g=qu_vpNCLM" TargetMode="External"/><Relationship Id="rId1054" Type="http://schemas.openxmlformats.org/officeDocument/2006/relationships/hyperlink" Target="https://a2g9b4.emailsp.com/f/rnl.aspx/?fei=2orws1vy.9ek=vyad8=t3urwy&amp;f2::=7chafagb&amp;x=pp&amp;yx0-2.e16.&amp;x=pv&amp;2b5g=quzwvNCLM" TargetMode="External"/><Relationship Id="rId224" Type="http://schemas.openxmlformats.org/officeDocument/2006/relationships/hyperlink" Target="https://e5c9a.mailupclient.com/f/rnl.aspx/?jhe=vwurvxsx/&amp;x=pv&amp;bdi=tzfd&amp;=st_sx/7f1-a=5k9hibg&amp;x=pv&amp;9a&amp;-c4&amp;501&amp;x=pp&amp;u_9f1-a2&amp;.b/&amp;:d=rsw3qyNCLM" TargetMode="External"/><Relationship Id="rId466" Type="http://schemas.openxmlformats.org/officeDocument/2006/relationships/hyperlink" Target="https://e5c9a.mailupclient.com/f/rnl.aspx/?jhe=vwszuxsy/&amp;x=pv&amp;bdi=tzfd&amp;=st2vx/7f1-a=l925n3r/&amp;749&amp;x=pp&amp;q_&amp;.99a45h-/-6l=nszu3sNCLM" TargetMode="External"/><Relationship Id="rId1055" Type="http://schemas.openxmlformats.org/officeDocument/2006/relationships/hyperlink" Target="https://www.facebook.com/GCBA/posts/pfbid0YMAvJ4FjX7KdajVkgZaHfBTwQEpQRxi93KfW8bgbZknTXoa1s4k7jCHYxXPqmqS3l" TargetMode="External"/><Relationship Id="rId223" Type="http://schemas.openxmlformats.org/officeDocument/2006/relationships/hyperlink" Target="https://e5c9a.mailupclient.com/f/rnl.aspx/?jhe=vwurvxsx/&amp;x=pv&amp;bdi=tzfd&amp;=st_vz/7f1-a=5k9hibg&amp;x=pv&amp;9a&amp;-c4&amp;501&amp;x=pp&amp;u_9f1-a2&amp;.b/&amp;:d=rswvuzNCLM" TargetMode="External"/><Relationship Id="rId465" Type="http://schemas.openxmlformats.org/officeDocument/2006/relationships/hyperlink" Target="https://www.facebook.com/baparticipacion/posts/pfbid02dYYU4mZbzbHf5X6ZFcqJ8TJYAY5MCT3iFADCVgrDQgaZbbd7b6zgxeegzcn8zGMLl" TargetMode="External"/><Relationship Id="rId1056" Type="http://schemas.openxmlformats.org/officeDocument/2006/relationships/hyperlink" Target="https://e5c9a.mailupclient.com/f/rnl.aspx/?jhe=vwszuxsy/&amp;x=pv&amp;bdi=tzfd&amp;=su_py/7f1-a=l925n3r/&amp;749&amp;x=pp&amp;q_&amp;.99a45h-/-6l=ntsvvrNCLM" TargetMode="External"/><Relationship Id="rId222" Type="http://schemas.openxmlformats.org/officeDocument/2006/relationships/hyperlink" Target="https://e5c9a.mailupclient.com/f/rnl.aspx/?jhe=vwurvxsx/&amp;x=pv&amp;bdi=tzfd&amp;=st_uz/7f1-a=5k9hibg&amp;x=pv&amp;9a&amp;-c4&amp;501&amp;x=pp&amp;u_9f1-a2&amp;.b/&amp;:d=rswvquNCLM" TargetMode="External"/><Relationship Id="rId464" Type="http://schemas.openxmlformats.org/officeDocument/2006/relationships/hyperlink" Target="https://a2g9b4.emailsp.com/f/rnl.aspx/?fei=1wqvoxxy.9ek=vyad8=t3puty&amp;f2::=4ibeh..e--:5d6.451&amp;x=pp&amp;r1.&amp;x=pv&amp;49-6&amp;aax00l=ruqpyNCLM" TargetMode="External"/><Relationship Id="rId1057" Type="http://schemas.openxmlformats.org/officeDocument/2006/relationships/hyperlink" Target="https://a2g9b4.emailsp.com/f/rnl.aspx/?fei=2orws1vy.9ek=vyad8=t3usny&amp;f2::=7chafagb&amp;x=pp&amp;yx0-2.e16.&amp;x=pv&amp;2b5g=quz1uNCLM" TargetMode="External"/><Relationship Id="rId221" Type="http://schemas.openxmlformats.org/officeDocument/2006/relationships/hyperlink" Target="https://e5c9a.mailupclient.com/f/rnl.aspx/?jhe=vwurvxsx/&amp;x=pv&amp;bdi=tzfd&amp;=st_t_/7f1-a=5k9hibg&amp;x=pv&amp;9a&amp;-c4&amp;501&amp;x=pp&amp;u_9f1-a2&amp;.b/&amp;:d=rsw3sxNCLM" TargetMode="External"/><Relationship Id="rId463" Type="http://schemas.openxmlformats.org/officeDocument/2006/relationships/hyperlink" Target="https://fb.me/adspreview/facebook/1SWH8f44c3Zvh9M" TargetMode="External"/><Relationship Id="rId1058" Type="http://schemas.openxmlformats.org/officeDocument/2006/relationships/hyperlink" Target="https://e5c9a.mailupclient.com/f/rnl.aspx/?jhe=vwurvxsx/&amp;x=pv&amp;bdi=tzfd&amp;=su_nx/7f1-a=5k9hibg&amp;x=pv&amp;9a&amp;-c4&amp;501&amp;x=pp&amp;u_9f1-a2&amp;.b/&amp;:d=rtq_qrNCLM" TargetMode="External"/><Relationship Id="rId1048" Type="http://schemas.openxmlformats.org/officeDocument/2006/relationships/hyperlink" Target="https://e5c9a.mailupclient.com/f/rnl.aspx/?jhe=1r_yq2o/a&amp;le=t/.l7=swt/p/9.99a=59ndi-a&amp;9g-7e:-49&amp;25&amp;x=pp&amp;uy.-5-&amp;x=pv&amp;83dbzb4h=rrwq_yNCLM" TargetMode="External"/><Relationship Id="rId1049" Type="http://schemas.openxmlformats.org/officeDocument/2006/relationships/hyperlink" Target="https://e5c9a.mailupclient.com/f/rnl.aspx/?jhe=1r_yq2o/a&amp;le=t/.l7=swu3o/9.99a=59ndi-a&amp;9g-7e:-49&amp;25&amp;x=pp&amp;uy.-5-&amp;x=pv&amp;83dbzb4h=rrwrvyNCLM" TargetMode="External"/><Relationship Id="rId217" Type="http://schemas.openxmlformats.org/officeDocument/2006/relationships/hyperlink" Target="https://e5c9a.mailupclient.com/f/rnl.aspx/?jhe=vwvwwvrv/&amp;x=pv&amp;bdi=tzfd&amp;=st_rx/7f1-a=8e.dgcn&amp;&amp;x=pp&amp;u_9f1-a2&amp;.b/&amp;:d=rsw3pvNCLM" TargetMode="External"/><Relationship Id="rId459" Type="http://schemas.openxmlformats.org/officeDocument/2006/relationships/hyperlink" Target="https://e5c9a.mailupclient.com/f/rnl.aspx/?jhe=vwt_y1w_/&amp;x=pv&amp;bdi=tzfd&amp;=suxwy/7f1-a=&amp;x=pv&amp;n1&amp;j&amp;kc949&amp;25&amp;x=pp&amp;uy.-5-&amp;x=pv&amp;83dbzb4h=rrvnwyNCLM" TargetMode="External"/><Relationship Id="rId216" Type="http://schemas.openxmlformats.org/officeDocument/2006/relationships/hyperlink" Target="https://a2g9b4.emailsp.com/f/rnl.aspx/?fei=1wqvoxxy.9ek=vyad8=t3xzwy&amp;f2::=4ibeh..e--:5d6.451&amp;x=pp&amp;r1.&amp;x=pv&amp;49-6&amp;aax00l=rtnwuNCLM" TargetMode="External"/><Relationship Id="rId458" Type="http://schemas.openxmlformats.org/officeDocument/2006/relationships/hyperlink" Target="https://e5c9a.mailupclient.com/f/rnl.aspx/?jhe=1r_yq2o/a&amp;le=t/.l7=swyzo/9.99a=59ndi-a&amp;9g-7e:-49&amp;25&amp;x=pp&amp;uy.-5-&amp;x=pv&amp;83dbzb4h=rq2uuwNCLM" TargetMode="External"/><Relationship Id="rId215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457" Type="http://schemas.openxmlformats.org/officeDocument/2006/relationships/hyperlink" Target="https://e5c9a.mailupclient.com/f/rnl.aspx/?jhe=1r_yq2o/a&amp;le=t/.l7=swyzn/9.99a=59ndi-a&amp;9g-7e:-49&amp;25&amp;x=pp&amp;uy.-5-&amp;x=pv&amp;83dbzb4h=rq2vtwNCLM" TargetMode="External"/><Relationship Id="rId699" Type="http://schemas.openxmlformats.org/officeDocument/2006/relationships/hyperlink" Target="https://www.facebook.com/reel/1303979117863829/" TargetMode="External"/><Relationship Id="rId214" Type="http://schemas.openxmlformats.org/officeDocument/2006/relationships/hyperlink" Target="https://e5c9a.mailupclient.com/f/rnl.aspx/?jhe=1r_yq2o/a&amp;le=t/.l7=svw3o/9.99a=59ndi-a&amp;9g-7e:-49&amp;25&amp;x=pp&amp;uy.-5-&amp;x=pv&amp;83dbzb4h=rq1trwNCLM" TargetMode="External"/><Relationship Id="rId456" Type="http://schemas.openxmlformats.org/officeDocument/2006/relationships/hyperlink" Target="https://e5c9a.mailupclient.com/f/rnl.aspx/?jhe=1r_yq2o/a&amp;le=t/.l7=swyyv/9.99a=59ndi-a&amp;9g-7e:-49&amp;25&amp;x=pp&amp;uy.-5-&amp;x=pv&amp;83dbzb4h=rq2vtvNCLM" TargetMode="External"/><Relationship Id="rId698" Type="http://schemas.openxmlformats.org/officeDocument/2006/relationships/hyperlink" Target="https://e5c9a.mailupclient.com/f/rnl.aspx/?jhe=vwurvxsx/&amp;x=pv&amp;bdi=tzfd&amp;=suwpx/7f1-a=5k9hibg&amp;x=pv&amp;9a&amp;-c4&amp;501&amp;x=pp&amp;u_9f1-a2&amp;.b/&amp;:d=rty/t_NCLM" TargetMode="External"/><Relationship Id="rId219" Type="http://schemas.openxmlformats.org/officeDocument/2006/relationships/hyperlink" Target="https://e5c9a.mailupclient.com/f/rnl.aspx/?jhe=1r_yq2o/a&amp;le=t/.l7=svu2o/9.99a=59ndi-a&amp;9g-7e:-49&amp;25&amp;x=pp&amp;uy.-5-&amp;x=pv&amp;83dbzb4h=rq1nwtNCLM" TargetMode="External"/><Relationship Id="rId218" Type="http://schemas.openxmlformats.org/officeDocument/2006/relationships/hyperlink" Target="https://e5c9a.mailupclient.com/f/rnl.aspx/?jhe=vwurvxsx/&amp;x=pv&amp;bdi=tzfd&amp;=st/ws/7f1-a=5k9hibg&amp;x=pv&amp;9a&amp;-c4&amp;501&amp;x=pp&amp;u_9f1-a2&amp;.b/&amp;:d=rswvvsNCLM" TargetMode="External"/><Relationship Id="rId451" Type="http://schemas.openxmlformats.org/officeDocument/2006/relationships/hyperlink" Target="https://a2g9b4.emailsp.com/f/rnl.aspx/?fei=1wqvoxxy.9ek=vyad8=t3puuy&amp;f2::=4ibeh..e--:5d6.451&amp;x=pp&amp;r1.&amp;x=pv&amp;49-6&amp;aax00l=ruqqwNCLM" TargetMode="External"/><Relationship Id="rId693" Type="http://schemas.openxmlformats.org/officeDocument/2006/relationships/hyperlink" Target="https://www.facebook.com/reel/1472318561601142" TargetMode="External"/><Relationship Id="rId1040" Type="http://schemas.openxmlformats.org/officeDocument/2006/relationships/hyperlink" Target="https://e5c9a.mailupclient.com/f/rnl.aspx/?jhe=1r_yq2o/a&amp;le=t/.l7=swt2v/9.99a=59ndi-a&amp;9g-7e:-49&amp;25&amp;x=pp&amp;uy.-5-&amp;x=pv&amp;83dbzb4h=rrwru_NCLM" TargetMode="External"/><Relationship Id="rId450" Type="http://schemas.openxmlformats.org/officeDocument/2006/relationships/hyperlink" Target="https://fb.me/adspreview/facebook/23HuMg8PbM643Dh" TargetMode="External"/><Relationship Id="rId692" Type="http://schemas.openxmlformats.org/officeDocument/2006/relationships/hyperlink" Target="https://www.facebook.com/reel/1324354759615538" TargetMode="External"/><Relationship Id="rId1041" Type="http://schemas.openxmlformats.org/officeDocument/2006/relationships/hyperlink" Target="https://www.facebook.com/baparticipacion/posts/pfbid02CLhVvTsBABiNShNb6Ww6g2RXmyXEifyxTwhLpRuypur1NchYCicREEsoHp37kfEkl" TargetMode="External"/><Relationship Id="rId691" Type="http://schemas.openxmlformats.org/officeDocument/2006/relationships/hyperlink" Target="https://e5c9a.mailupclient.com/f/rnl.aspx/?jhe=1r_yq2o/a&amp;le=t/.l7=swqxq/9.99a=59ndi-a&amp;9g-7e:-49&amp;25&amp;x=pp&amp;uy.-5-&amp;x=pv&amp;83dbzb4h=rr3ttzNCLM" TargetMode="External"/><Relationship Id="rId1042" Type="http://schemas.openxmlformats.org/officeDocument/2006/relationships/hyperlink" Target="https://e5c9a.mailupclient.com/f/rnl.aspx/?jhe=vwvwwvrv/&amp;x=pv&amp;bdi=tzfd&amp;=suzvw/7f1-a=8e.dgcn&amp;&amp;x=pp&amp;u_9f1-a2&amp;.b/&amp;:d=rtqzqwNCLM" TargetMode="External"/><Relationship Id="rId690" Type="http://schemas.openxmlformats.org/officeDocument/2006/relationships/hyperlink" Target="https://e5c9a.mailupclient.com/f/rnl.aspx/?jhe=vwurvxsx/&amp;x=pv&amp;bdi=tzfd&amp;=suwpt/7f1-a=5k9hibg&amp;x=pv&amp;9a&amp;-c4&amp;501&amp;x=pp&amp;u_9f1-a2&amp;.b/&amp;:d=rty2rrNCLM" TargetMode="External"/><Relationship Id="rId1043" Type="http://schemas.openxmlformats.org/officeDocument/2006/relationships/hyperlink" Target="https://e5c9a.mailupclient.com/f/rnl.aspx/?jhe=vwszuxsy/&amp;x=pv&amp;bdi=tzfd&amp;=suzvx/7f1-a=l925n3r/&amp;749&amp;x=pp&amp;q_&amp;.99a45h-/-6l=ntstxvNCLM" TargetMode="External"/><Relationship Id="rId213" Type="http://schemas.openxmlformats.org/officeDocument/2006/relationships/hyperlink" Target="https://e5c9a.mailupclient.com/f/rnl.aspx/?jhe=vwt_y1w_/&amp;x=pv&amp;bdi=tzfd&amp;=st1wt/7f1-a=&amp;x=pv&amp;n1&amp;j&amp;kc949&amp;25&amp;x=pp&amp;uy.-5-&amp;x=pv&amp;83dbzb4h=rq1tyzNCLM" TargetMode="External"/><Relationship Id="rId455" Type="http://schemas.openxmlformats.org/officeDocument/2006/relationships/hyperlink" Target="https://e5c9a.mailupclient.com/f/rnl.aspx/?jhe=1r_yq2o/a&amp;le=t/.l7=svx2s/9.99a=59ndi-a&amp;9g-7e:-49&amp;25&amp;x=pp&amp;uy.-5-&amp;x=pv&amp;83dbzb4h=rq2sswNCLM" TargetMode="External"/><Relationship Id="rId697" Type="http://schemas.openxmlformats.org/officeDocument/2006/relationships/hyperlink" Target="https://www.facebook.com/GCBA/posts/pfbid0CjVfwajBrL248dximdxT5xR5EBXpQ8HpeiLdS9TU5ma5MBaLJwpztFdWH4djbDnxl" TargetMode="External"/><Relationship Id="rId1044" Type="http://schemas.openxmlformats.org/officeDocument/2006/relationships/hyperlink" Target="https://e5c9a.mailupclient.com/f/rnl.aspx/?jhe=1r_yq2o/a&amp;le=t/.l7=swt1s/9.99a=59ndi-a&amp;9g-7e:-49&amp;25&amp;x=pp&amp;uy.-5-&amp;x=pv&amp;83dbzb4h=rrwqvyNCLM" TargetMode="External"/><Relationship Id="rId212" Type="http://schemas.openxmlformats.org/officeDocument/2006/relationships/hyperlink" Target="https://a2g9b4.emailsp.com/f/rnl.aspx/?fei=1wqvoxxy.9ek=vyad8=/2wvx6d90.=3d.lfc&amp;x=pv&amp;.&amp;e08c1-&amp;34&amp;x=pp&amp;qx-f2::19h&amp;x=pv&amp;_95j=yrqutNCLM" TargetMode="External"/><Relationship Id="rId454" Type="http://schemas.openxmlformats.org/officeDocument/2006/relationships/hyperlink" Target="https://e5c9a.mailupclient.com/f/rnl.aspx/?jhe=1r_yq2o/a&amp;le=t/.l7=svx2r/9.99a=59ndi-a&amp;9g-7e:-49&amp;25&amp;x=pp&amp;uy.-5-&amp;x=pv&amp;83dbzb4h=rq2ssuNCLM" TargetMode="External"/><Relationship Id="rId696" Type="http://schemas.openxmlformats.org/officeDocument/2006/relationships/hyperlink" Target="https://e5c9a.mailupclient.com/f/rnl.aspx/?jhe=vwurvxsx/&amp;x=pv&amp;bdi=tzfd&amp;=suxo_/7f1-a=5k9hibg&amp;x=pv&amp;9a&amp;-c4&amp;501&amp;x=pp&amp;u_9f1-a2&amp;.b/&amp;:d=rtpwrtNCLM" TargetMode="External"/><Relationship Id="rId1045" Type="http://schemas.openxmlformats.org/officeDocument/2006/relationships/hyperlink" Target="https://e5c9a.mailupclient.com/f/rnl.aspx/?jhe=1r_yq2o/a&amp;le=t/.l7=swt_v/9.99a=59ndi-a&amp;9g-7e:-49&amp;25&amp;x=pp&amp;uy.-5-&amp;x=pv&amp;83dbzb4h=rrwq_vNCLM" TargetMode="External"/><Relationship Id="rId211" Type="http://schemas.openxmlformats.org/officeDocument/2006/relationships/hyperlink" Target="https://a2g9b4.emailsp.com/f/rnl.aspx/?fei=1wqvoxxy.9ek=vyad8=/2wux6d90.=3d.lfc&amp;x=pv&amp;.&amp;e08c1-&amp;34&amp;x=pp&amp;qx-f2::19h&amp;x=pv&amp;_95j=yrquoNCLM" TargetMode="External"/><Relationship Id="rId453" Type="http://schemas.openxmlformats.org/officeDocument/2006/relationships/hyperlink" Target="https://www.facebook.com/baparticipacion/posts/pfbid02aS24Hkz9QALBv87g781wnbe4o3cNyAz4sbbsfiF9EtiQJzY3iyNNpAMCJRdAs3PEl" TargetMode="External"/><Relationship Id="rId695" Type="http://schemas.openxmlformats.org/officeDocument/2006/relationships/hyperlink" Target="https://fb.me/adspreview/facebook/2kOc7goI7sZAeKe" TargetMode="External"/><Relationship Id="rId1046" Type="http://schemas.openxmlformats.org/officeDocument/2006/relationships/hyperlink" Target="https://e5c9a.mailupclient.com/f/rnl.aspx/?jhe=1r_yq2o/a&amp;le=t/.l7=swt/w/9.99a=59ndi-a&amp;9g-7e:-49&amp;25&amp;x=pp&amp;uy.-5-&amp;x=pv&amp;83dbzb4h=rrwq_wNCLM" TargetMode="External"/><Relationship Id="rId210" Type="http://schemas.openxmlformats.org/officeDocument/2006/relationships/hyperlink" Target="https://e5c9a.mailupclient.com/f/rnl.aspx/?jhe=vwurvxsx/&amp;x=pv&amp;bdi=tzfd&amp;=st_qy/7f1-a=5k9hibg&amp;x=pv&amp;9a&amp;-c4&amp;501&amp;x=pp&amp;u_9f1-a2&amp;.b/&amp;:d=rsv2quNCLM" TargetMode="External"/><Relationship Id="rId452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694" Type="http://schemas.openxmlformats.org/officeDocument/2006/relationships/hyperlink" Target="https://e5c9a.mailupclient.com/f/rnl.aspx/?jhe=vwurvxsx/&amp;x=pv&amp;bdi=tzfd&amp;=suwsu/7f1-a=5k9hibg&amp;x=pv&amp;9a&amp;-c4&amp;501&amp;x=pp&amp;u_9f1-a2&amp;.b/&amp;:d=rtpvpvNCLM" TargetMode="External"/><Relationship Id="rId1047" Type="http://schemas.openxmlformats.org/officeDocument/2006/relationships/hyperlink" Target="https://e5c9a.mailupclient.com/f/rnl.aspx/?jhe=1r_yq2o/a&amp;le=t/.l7=swt/n/9.99a=59ndi-a&amp;9g-7e:-49&amp;25&amp;x=pp&amp;uy.-5-&amp;x=pv&amp;83dbzb4h=rrwq_xNCLM" TargetMode="External"/><Relationship Id="rId491" Type="http://schemas.openxmlformats.org/officeDocument/2006/relationships/hyperlink" Target="https://www.facebook.com/baparticipacion/posts/pfbid02yG5kr92pnz4PNTvonpNcoGVwjaaR1Nrpx57TxisAnuiWH4bComAFZDpSEKbgBcwql" TargetMode="External"/><Relationship Id="rId490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49" Type="http://schemas.openxmlformats.org/officeDocument/2006/relationships/hyperlink" Target="https://e5c9a.mailupclient.com/f/rnl.aspx/?jhe=1r_yq2o/a&amp;le=t/.l7=svvwr/9.99a=59ndi-a&amp;9g-7e:-49&amp;25&amp;x=pp&amp;uy.-5-&amp;x=pv&amp;83dbzb4h=rq1ozzNCLM" TargetMode="External"/><Relationship Id="rId248" Type="http://schemas.openxmlformats.org/officeDocument/2006/relationships/hyperlink" Target="https://e5c9a.mailupclient.com/f/rnl.aspx/?jhe=vwszuxsy/&amp;x=pv&amp;bdi=tzfd&amp;=stzvw/7f1-a=l925n3r/&amp;749&amp;x=pp&amp;q_&amp;.99a45h-/-6l=nsxu/uNCLM" TargetMode="External"/><Relationship Id="rId247" Type="http://schemas.openxmlformats.org/officeDocument/2006/relationships/hyperlink" Target="https://e5c9a.mailupclient.com/f/rnl.aspx/?jhe=vwurvxsx/&amp;x=pv&amp;bdi=tzfd&amp;=st/ow/7f1-a=5k9hibg&amp;x=pv&amp;9a&amp;-c4&amp;501&amp;x=pp&amp;u_9f1-a2&amp;.b/&amp;:d=rswxntNCLM" TargetMode="External"/><Relationship Id="rId489" Type="http://schemas.openxmlformats.org/officeDocument/2006/relationships/hyperlink" Target="https://www.facebook.com/baparticipacion/posts/pfbid02nk9JT1CS1a3bwqK9m4xA2WAJPiPVaUrd6moFywPNX5UVzJ31Y1z7mZVRDeT3Tshcl" TargetMode="External"/><Relationship Id="rId1070" Type="http://schemas.openxmlformats.org/officeDocument/2006/relationships/hyperlink" Target="https://e5c9a.mailupclient.com/f/rnl.aspx/?jhe=vwurvxsx/&amp;x=pv&amp;bdi=tzfd&amp;=su_qy/7f1-a=5k9hibg&amp;x=pv&amp;9a&amp;-c4&amp;501&amp;x=pp&amp;u_9f1-a2&amp;.b/&amp;:d=rtq/s_NCLM" TargetMode="External"/><Relationship Id="rId1071" Type="http://schemas.openxmlformats.org/officeDocument/2006/relationships/hyperlink" Target="https://www.facebook.com/baparticipacion/posts/pfbid0sf1chk2ZLs8xzfJKggcMabUds4L66pkAMnx5yj54hmP2xVDQKxBNadhjKcHcs13fl" TargetMode="External"/><Relationship Id="rId1072" Type="http://schemas.openxmlformats.org/officeDocument/2006/relationships/hyperlink" Target="https://e5c9a.mailupclient.com/f/rnl.aspx/?jhe=vwvwwvrv/&amp;x=pv&amp;bdi=tzfd&amp;=su_r_/7f1-a=8e.dgcn&amp;&amp;x=pp&amp;u_9f1-a2&amp;.b/&amp;:d=rtq/twNCLM" TargetMode="External"/><Relationship Id="rId242" Type="http://schemas.openxmlformats.org/officeDocument/2006/relationships/hyperlink" Target="https://e5c9a.mailupclient.com/f/rnl.aspx/?jhe=1r_yq2o/a&amp;le=t/.l7=svvxu/9.99a=59ndi-a&amp;9g-7e:-49&amp;25&amp;x=pp&amp;uy.-5-&amp;x=pv&amp;83dbzb4h=rq1pvwNCLM" TargetMode="External"/><Relationship Id="rId484" Type="http://schemas.openxmlformats.org/officeDocument/2006/relationships/hyperlink" Target="https://e5c9a.mailupclient.com/f/rnl.aspx/?jhe=vwszuxsy/&amp;x=pv&amp;bdi=tzfd&amp;=su3nt/7f1-a=l925n3r/&amp;749&amp;x=pp&amp;q_&amp;.99a45h-/-6l=nszvynNCLM" TargetMode="External"/><Relationship Id="rId1073" Type="http://schemas.openxmlformats.org/officeDocument/2006/relationships/hyperlink" Target="https://e5c9a.mailupclient.com/f/rnl.aspx/?jhe=vwx_s/vu/&amp;x=pv&amp;bdi=tzfd&amp;=su_qz/7f1-a=.b:a5a-d4&amp;501&amp;x=pp&amp;u_9f1-a2&amp;.b/&amp;:d=rtq/srNCLM" TargetMode="External"/><Relationship Id="rId241" Type="http://schemas.openxmlformats.org/officeDocument/2006/relationships/hyperlink" Target="https://e5c9a.mailupclient.com/f/rnl.aspx/?jhe=1r_yq2o/a&amp;le=t/.l7=svvwp/9.99a=59ndi-a&amp;9g-7e:-49&amp;25&amp;x=pp&amp;uy.-5-&amp;x=pv&amp;83dbzb4h=rq1ozuNCLM" TargetMode="External"/><Relationship Id="rId483" Type="http://schemas.openxmlformats.org/officeDocument/2006/relationships/hyperlink" Target="https://www.facebook.com/baparticipacion/posts/pfbid02gLwQJ8rUUwQKTwkFGuLMEizLGGHtJvgGnM1hRJbj39URHPCysj85vKBzjs8hXcYql" TargetMode="External"/><Relationship Id="rId1074" Type="http://schemas.openxmlformats.org/officeDocument/2006/relationships/hyperlink" Target="https://e5c9a.mailupclient.com/f/rnl.aspx/?jhe=vwvwwvrv/&amp;x=pv&amp;bdi=tzfd&amp;=su_sy/7f1-a=8e.dgcn&amp;&amp;x=pp&amp;u_9f1-a2&amp;.b/&amp;:d=rtq1uvNCLM" TargetMode="External"/><Relationship Id="rId240" Type="http://schemas.openxmlformats.org/officeDocument/2006/relationships/hyperlink" Target="https://e5c9a.mailupclient.com/f/rnl.aspx/?jhe=1r_yq2o/a&amp;le=t/.l7=svvwn/9.99a=59ndi-a&amp;9g-7e:-49&amp;25&amp;x=pp&amp;uy.-5-&amp;x=pv&amp;83dbzb4h=rq1pszNCLM" TargetMode="External"/><Relationship Id="rId482" Type="http://schemas.openxmlformats.org/officeDocument/2006/relationships/hyperlink" Target="https://a2g9b4.emailsp.com/f/rnl.aspx/?fei=1uwuq_vy.9ek=vyad8=t3pvvy&amp;f2::=2-neh9.9bd:5-cb10337&amp;x=pp&amp;yx0-2.e16.&amp;x=pv&amp;2b5g=qsw2sNCLM" TargetMode="External"/><Relationship Id="rId1075" Type="http://schemas.openxmlformats.org/officeDocument/2006/relationships/drawing" Target="../drawings/drawing1.xml"/><Relationship Id="rId481" Type="http://schemas.openxmlformats.org/officeDocument/2006/relationships/hyperlink" Target="https://www.facebook.com/baparticipacion/posts/pfbid0GzWuf7Ap7Y7Pi378gVersFXJagxXrdxWYBrV99tEWcMDBYws33j1RDahyAyJsMVAl" TargetMode="External"/><Relationship Id="rId246" Type="http://schemas.openxmlformats.org/officeDocument/2006/relationships/hyperlink" Target="https://e5c9a.mailupclient.com/f/rnl.aspx/?jhe=vwszuxsy/&amp;x=pv&amp;bdi=tzfd&amp;=st/oy/7f1-a=l925n3r/&amp;749&amp;x=pp&amp;q_&amp;.99a45h-/-6l=nsyrvvNCLM" TargetMode="External"/><Relationship Id="rId488" Type="http://schemas.openxmlformats.org/officeDocument/2006/relationships/hyperlink" Target="https://e5c9a.mailupclient.com/f/rnl.aspx/?jhe=vwurvxsx/&amp;x=pv&amp;bdi=tzfd&amp;=su3oz/7f1-a=5k9hibg&amp;x=pv&amp;9a&amp;-c4&amp;501&amp;x=pp&amp;u_9f1-a2&amp;.b/&amp;:d=rsx/ptNCLM" TargetMode="External"/><Relationship Id="rId245" Type="http://schemas.openxmlformats.org/officeDocument/2006/relationships/hyperlink" Target="https://e5c9a.mailupclient.com/f/rnl.aspx/?jhe=vwvwwvrv/&amp;x=pv&amp;bdi=tzfd&amp;=st1uu/7f1-a=8e.dgcn&amp;&amp;x=pp&amp;u_9f1-a2&amp;.b/&amp;:d=rsxvnuNCLM" TargetMode="External"/><Relationship Id="rId487" Type="http://schemas.openxmlformats.org/officeDocument/2006/relationships/hyperlink" Target="https://www.facebook.com/baparticipacion/posts/pfbid023kLA75ppgyAUB3JBniZYYWvaAcZEGdPafxcfYGXSZUC7duoVETcQ7eGLZT9WFWk4l" TargetMode="External"/><Relationship Id="rId244" Type="http://schemas.openxmlformats.org/officeDocument/2006/relationships/hyperlink" Target="https://www.facebook.com/GCBA/posts/pfbid02yGxP3HnpYHFD9KgthW4dZJADq6KNSb78N1gpPo3Qyn5rcWTEddUtRf8A7kPqvWe6l" TargetMode="External"/><Relationship Id="rId486" Type="http://schemas.openxmlformats.org/officeDocument/2006/relationships/hyperlink" Target="https://e5c9a.mailupclient.com/f/rnl.aspx/?jhe=vwvwwvrv/&amp;x=pv&amp;bdi=tzfd&amp;=su3qs/7f1-a=8e.dgcn&amp;&amp;x=pp&amp;u_9f1-a2&amp;.b/&amp;:d=rsx1ozNCLM" TargetMode="External"/><Relationship Id="rId243" Type="http://schemas.openxmlformats.org/officeDocument/2006/relationships/hyperlink" Target="https://a2g9b4.emailsp.com/f/rnl.aspx/?fei=1wqvoxxy.9ek=vyad8=t3xury&amp;f2::=4ibeh..e--:5d6.451&amp;x=pp&amp;r1.&amp;x=pv&amp;49-6&amp;aax00l=rtqtuNCLM" TargetMode="External"/><Relationship Id="rId485" Type="http://schemas.openxmlformats.org/officeDocument/2006/relationships/hyperlink" Target="https://www.facebook.com/baparticipacion/posts/pfbid02RfD5oXgA8P3q6zwVkAp9uJLa6fSFfvvACB7em7W2hGYtZzw9idT2qE5zVd4nGrkfl" TargetMode="External"/><Relationship Id="rId480" Type="http://schemas.openxmlformats.org/officeDocument/2006/relationships/hyperlink" Target="https://e5c9a.mailupclient.com/f/rnl.aspx/?jhe=vwurvxsx/&amp;x=pv&amp;bdi=tzfd&amp;=su3wy/7f1-a=5k9hibg&amp;x=pv&amp;9a&amp;-c4&amp;501&amp;x=pp&amp;u_9f1-a2&amp;.b/&amp;:d=rsx_stNCLM" TargetMode="External"/><Relationship Id="rId239" Type="http://schemas.openxmlformats.org/officeDocument/2006/relationships/hyperlink" Target="https://e5c9a.mailupclient.com/f/rnl.aspx/?jhe=vwurvxsx/&amp;x=pv&amp;bdi=tzfd&amp;=st/nt/7f1-a=5k9hibg&amp;x=pv&amp;9a&amp;-c4&amp;501&amp;x=pp&amp;u_9f1-a2&amp;.b/&amp;:d=rswwpxNCLM" TargetMode="External"/><Relationship Id="rId238" Type="http://schemas.openxmlformats.org/officeDocument/2006/relationships/hyperlink" Target="https://e5c9a.mailupclient.com/f/rnl.aspx/?jhe=vwurvxsx/&amp;x=pv&amp;bdi=tzfd&amp;=st/nz/7f1-a=5k9hibg&amp;x=pv&amp;9a&amp;-c4&amp;501&amp;x=pp&amp;u_9f1-a2&amp;.b/&amp;:d=rswwu_NCLM" TargetMode="External"/><Relationship Id="rId237" Type="http://schemas.openxmlformats.org/officeDocument/2006/relationships/hyperlink" Target="https://a2g9b4.emailsp.com/f/rnl.aspx/?fei=1wqvoxxy.9ek=vyad8=t3xtwy&amp;f2::=4ibeh..e--:5d6.451&amp;x=pp&amp;r1.&amp;x=pv&amp;49-6&amp;aax00l=rtpvtNCLM" TargetMode="External"/><Relationship Id="rId479" Type="http://schemas.openxmlformats.org/officeDocument/2006/relationships/hyperlink" Target="https://www.facebook.com/baparticipacion/posts/pfbid0shocE44xmL2Vp7Tf1bcMpEmtkzJXvuTJnqoAci9tyUQJmP8yW437B7GM7q2rMt3kl" TargetMode="External"/><Relationship Id="rId236" Type="http://schemas.openxmlformats.org/officeDocument/2006/relationships/hyperlink" Target="https://e5c9a.mailupclient.com/f/rnl.aspx/?jhe=1r_yq2o/a&amp;le=t/.l7=svvyn/9.99a=59ndi-a&amp;9g-7e:-49&amp;25&amp;x=pp&amp;uy.-5-&amp;x=pv&amp;83dbzb4h=rq1qutNCLM" TargetMode="External"/><Relationship Id="rId478" Type="http://schemas.openxmlformats.org/officeDocument/2006/relationships/hyperlink" Target="https://e5c9a.mailupclient.com/f/rnl.aspx/?jhe=1r_yq2o/a&amp;le=t/.l7=swyvq/9.99a=59ndi-a&amp;9g-7e:-49&amp;25&amp;x=pp&amp;uy.-5-&amp;x=pv&amp;83dbzb4h=rq2syzNCLM" TargetMode="External"/><Relationship Id="rId1060" Type="http://schemas.openxmlformats.org/officeDocument/2006/relationships/hyperlink" Target="https://e5c9a.mailupclient.com/f/rnl.aspx/?jhe=vwurvxsx/&amp;x=pv&amp;bdi=tzfd&amp;=su_wu/7f1-a=5k9hibg&amp;x=pv&amp;9a&amp;-c4&amp;501&amp;x=pp&amp;u_9f1-a2&amp;.b/&amp;:d=rtqztuNCLM" TargetMode="External"/><Relationship Id="rId1061" Type="http://schemas.openxmlformats.org/officeDocument/2006/relationships/hyperlink" Target="https://e5c9a.mailupclient.com/f/rnl.aspx/?jhe=vwszuxsy/&amp;x=pv&amp;bdi=tzfd&amp;=su_ww/7f1-a=l925n3r/&amp;749&amp;x=pp&amp;q_&amp;.99a45h-/-6l=ntst2oNCLM" TargetMode="External"/><Relationship Id="rId231" Type="http://schemas.openxmlformats.org/officeDocument/2006/relationships/hyperlink" Target="https://e5c9a.mailupclient.com/f/rnl.aspx/?jhe=vwurvxsx/&amp;x=pv&amp;bdi=tzfd&amp;=st_uu/7f1-a=5k9hibg&amp;x=pv&amp;9a&amp;-c4&amp;501&amp;x=pp&amp;u_9f1-a2&amp;.b/&amp;:d=rswvoyNCLM" TargetMode="External"/><Relationship Id="rId473" Type="http://schemas.openxmlformats.org/officeDocument/2006/relationships/hyperlink" Target="https://fb.me/adspreview/facebook/25gmQAFKJnaEZvw" TargetMode="External"/><Relationship Id="rId1062" Type="http://schemas.openxmlformats.org/officeDocument/2006/relationships/hyperlink" Target="https://e5c9a.mailupclient.com/f/rnl.aspx/?jhe=1r_yq2o/a&amp;le=t/.l7=swuvn/9.99a=59ndi-a&amp;9g-7e:-49&amp;25&amp;x=pp&amp;uy.-5-&amp;x=pv&amp;83dbzb4h=rrwstvNCLM" TargetMode="External"/><Relationship Id="rId230" Type="http://schemas.openxmlformats.org/officeDocument/2006/relationships/hyperlink" Target="https://a2g9b4.emailsp.com/f/rnl.aspx/?fei=1vvoo_2y.9ek=vyad8=t3xtoy&amp;f2::=k702m1k6.451&amp;x=pp&amp;r1.&amp;x=pv&amp;49-6&amp;aax00l=rtpwuNCLM" TargetMode="External"/><Relationship Id="rId472" Type="http://schemas.openxmlformats.org/officeDocument/2006/relationships/hyperlink" Target="https://fb.me/adspreview/facebook/25924LzCyb9nNj7" TargetMode="External"/><Relationship Id="rId1063" Type="http://schemas.openxmlformats.org/officeDocument/2006/relationships/hyperlink" Target="https://e5c9a.mailupclient.com/f/rnl.aspx/?jhe=1r_yq2o/a&amp;le=t/.l7=swuvo/9.99a=59ndi-a&amp;9g-7e:-49&amp;25&amp;x=pp&amp;uy.-5-&amp;x=pv&amp;83dbzb4h=rrwstwNCLM" TargetMode="External"/><Relationship Id="rId471" Type="http://schemas.openxmlformats.org/officeDocument/2006/relationships/hyperlink" Target="https://a2g9b4.emailsp.com/f/rnl.aspx/?fei=1vvoo1vy.9ek=vyad8=t3pvoy&amp;f2::=-l98i9di-10337&amp;x=pp&amp;yx0-2.e16.&amp;x=pv&amp;2b5g=qsw1tNCLM" TargetMode="External"/><Relationship Id="rId1064" Type="http://schemas.openxmlformats.org/officeDocument/2006/relationships/hyperlink" Target="https://e5c9a.mailupclient.com/f/rnl.aspx/?jhe=1r_yq2o/a&amp;le=t/.l7=swuvp/9.99a=59ndi-a&amp;9g-7e:-49&amp;25&amp;x=pp&amp;uy.-5-&amp;x=pv&amp;83dbzb4h=rrwstxNCLM" TargetMode="External"/><Relationship Id="rId470" Type="http://schemas.openxmlformats.org/officeDocument/2006/relationships/hyperlink" Target="https://a2g9b4.emailsp.com/f/rnl.aspx/?fei=1vvoo1vy.9ek=vyad8=t3pvny&amp;f2::=-l98i9di-10337&amp;x=pp&amp;yx0-2.e16.&amp;x=pv&amp;2b5g=qsw1sNCLM" TargetMode="External"/><Relationship Id="rId1065" Type="http://schemas.openxmlformats.org/officeDocument/2006/relationships/hyperlink" Target="https://a2g9b4.emailsp.com/f/rnl.aspx/?fei=1wqvoxxy.9ek=vyad8=t3uuny&amp;f2::=4ibeh..e--:5d6.451&amp;x=pp&amp;r1.&amp;x=pv&amp;49-6&amp;aax00l=rwuv1NCLM" TargetMode="External"/><Relationship Id="rId235" Type="http://schemas.openxmlformats.org/officeDocument/2006/relationships/hyperlink" Target="https://e5c9a.mailupclient.com/f/rnl.aspx/?jhe=1r_yq2o/a&amp;le=t/.l7=svv3s/9.99a=59ndi-a&amp;9g-7e:-49&amp;25&amp;x=pp&amp;uy.-5-&amp;x=pv&amp;83dbzb4h=rq1ortNCLM" TargetMode="External"/><Relationship Id="rId477" Type="http://schemas.openxmlformats.org/officeDocument/2006/relationships/hyperlink" Target="https://www.facebook.com/baparticipacion/posts/pfbid02U9UYVFgSW2u5YjDU3i6PnjkKoDXdwit5RC5jce6zaVMsps6G5JLhHCz2o19MJc7Yl" TargetMode="External"/><Relationship Id="rId1066" Type="http://schemas.openxmlformats.org/officeDocument/2006/relationships/hyperlink" Target="https://e5c9a.mailupclient.com/f/rnl.aspx/?jhe=vwurvxsx/&amp;x=pv&amp;bdi=tzfd&amp;=su_sw/7f1-a=5k9hibg&amp;x=pv&amp;9a&amp;-c4&amp;501&amp;x=pp&amp;u_9f1-a2&amp;.b/&amp;:d=rtq1vrNCLM" TargetMode="External"/><Relationship Id="rId234" Type="http://schemas.openxmlformats.org/officeDocument/2006/relationships/hyperlink" Target="https://e5c9a.mailupclient.com/f/rnl.aspx/?jhe=1r_yq2o/a&amp;le=t/.l7=svv3r/9.99a=59ndi-a&amp;9g-7e:-49&amp;25&amp;x=pp&amp;uy.-5-&amp;x=pv&amp;83dbzb4h=rq1ow_NCLM" TargetMode="External"/><Relationship Id="rId476" Type="http://schemas.openxmlformats.org/officeDocument/2006/relationships/hyperlink" Target="https://e5c9a.mailupclient.com/f/rnl.aspx/?jhe=vwvwwvrv/&amp;x=pv&amp;bdi=tzfd&amp;=su3ws/7f1-a=8e.dgcn&amp;&amp;x=pp&amp;u_9f1-a2&amp;.b/&amp;:d=rsx_qyNCLM" TargetMode="External"/><Relationship Id="rId1067" Type="http://schemas.openxmlformats.org/officeDocument/2006/relationships/hyperlink" Target="https://a2g9b4.emailsp.com/f/rnl.aspx/?fei=1wqvoxxy.9ek=vyad8=t3uwuy&amp;f2::=4ibeh..e--:5d6.451&amp;x=pp&amp;r1.&amp;x=pv&amp;49-6&amp;aax00l=rwvwxNCLM" TargetMode="External"/><Relationship Id="rId233" Type="http://schemas.openxmlformats.org/officeDocument/2006/relationships/hyperlink" Target="https://e5c9a.mailupclient.com/f/rnl.aspx/?jhe=1r_yq2o/a&amp;le=t/.l7=svv3q/9.99a=59ndi-a&amp;9g-7e:-49&amp;25&amp;x=pp&amp;uy.-5-&amp;x=pv&amp;83dbzb4h=rq1ovzNCLM" TargetMode="External"/><Relationship Id="rId475" Type="http://schemas.openxmlformats.org/officeDocument/2006/relationships/hyperlink" Target="https://www.facebook.com/reel/4417118131938305" TargetMode="External"/><Relationship Id="rId1068" Type="http://schemas.openxmlformats.org/officeDocument/2006/relationships/hyperlink" Target="https://e5c9a.mailupclient.com/f/rnl.aspx/?jhe=vwszuxsy/&amp;x=pv&amp;bdi=tzfd&amp;=su_pt/7f1-a=l925n3r/&amp;749&amp;x=pp&amp;q_&amp;.99a45h-/-6l=ntsu2wNCLM" TargetMode="External"/><Relationship Id="rId232" Type="http://schemas.openxmlformats.org/officeDocument/2006/relationships/hyperlink" Target="https://e5c9a.mailupclient.com/f/rnl.aspx/?jhe=1r_yq2o/a&amp;le=t/.l7=svu2r/9.99a=59ndi-a&amp;9g-7e:-49&amp;25&amp;x=pp&amp;uy.-5-&amp;x=pv&amp;83dbzb4h=rq1nxvNCLM" TargetMode="External"/><Relationship Id="rId474" Type="http://schemas.openxmlformats.org/officeDocument/2006/relationships/hyperlink" Target="https://e5c9a.mailupclient.com/f/rnl.aspx/?jhe=vwurvxsx/&amp;x=pv&amp;bdi=tzfd&amp;=su3wz/7f1-a=5k9hibg&amp;x=pv&amp;9a&amp;-c4&amp;501&amp;x=pp&amp;u_9f1-a2&amp;.b/&amp;:d=rsx/nrNCLM" TargetMode="External"/><Relationship Id="rId1069" Type="http://schemas.openxmlformats.org/officeDocument/2006/relationships/hyperlink" Target="https://e5c9a.mailupclient.com/f/rnl.aspx/?jhe=vwurvxsx/&amp;x=pv&amp;bdi=tzfd&amp;=su_q_/7f1-a=5k9hibg&amp;x=pv&amp;9a&amp;-c4&amp;501&amp;x=pp&amp;u_9f1-a2&amp;.b/&amp;:d=rtq/otNCLM" TargetMode="External"/><Relationship Id="rId1015" Type="http://schemas.openxmlformats.org/officeDocument/2006/relationships/hyperlink" Target="https://e5c9a.mailupclient.com/f/rnl.aspx/?jhe=vwszuxsy/&amp;x=pv&amp;bdi=tzfd&amp;=suzpy/7f1-a=l925n3r/&amp;749&amp;x=pp&amp;q_&amp;.99a45h-/-6l=ntsqwvNCLM" TargetMode="External"/><Relationship Id="rId1016" Type="http://schemas.openxmlformats.org/officeDocument/2006/relationships/hyperlink" Target="https://e5c9a.mailupclient.com/f/rnl.aspx/?jhe=vwurvxsx/&amp;x=pv&amp;bdi=tzfd&amp;=suzpx/7f1-a=5k9hibg&amp;x=pv&amp;9a&amp;-c4&amp;501&amp;x=pp&amp;u_9f1-a2&amp;.b/&amp;:d=rtqwosNCLM" TargetMode="External"/><Relationship Id="rId1017" Type="http://schemas.openxmlformats.org/officeDocument/2006/relationships/hyperlink" Target="https://e5c9a.mailupclient.com/f/rnl.aspx/?jhe=vwszuxsy/&amp;x=pv&amp;bdi=tzfd&amp;=suzq_/7f1-a=l925n3r/&amp;749&amp;x=pp&amp;q_&amp;.99a45h-/-6l=ntsqypNCLM" TargetMode="External"/><Relationship Id="rId1018" Type="http://schemas.openxmlformats.org/officeDocument/2006/relationships/hyperlink" Target="https://e5c9a.mailupclient.com/f/rnl.aspx/?jhe=1r_yq2o/a&amp;le=t/.l7=swt_t/9.99a=59ndi-a&amp;9g-7e:-49&amp;25&amp;x=pp&amp;uy.-5-&amp;x=pv&amp;83dbzb4h=rrwpzrNCLM" TargetMode="External"/><Relationship Id="rId1019" Type="http://schemas.openxmlformats.org/officeDocument/2006/relationships/hyperlink" Target="https://e5c9a.mailupclient.com/f/rnl.aspx/?jhe=vwszuxsy/&amp;x=pv&amp;bdi=tzfd&amp;=su_rw/7f1-a=l925n3r/&amp;749&amp;x=pp&amp;q_&amp;.99a45h-/-6l=ntswwoNCLM" TargetMode="External"/><Relationship Id="rId426" Type="http://schemas.openxmlformats.org/officeDocument/2006/relationships/hyperlink" Target="https://e5c9a.mailupclient.com/f/rnl.aspx/?jhe=vwurvxsx/&amp;x=pv&amp;bdi=tzfd&amp;=st2ss/7f1-a=5k9hibg&amp;x=pv&amp;9a&amp;-c4&amp;501&amp;x=pp&amp;u_9f1-a2&amp;.b/&amp;:d=rsxyqsNCLM" TargetMode="External"/><Relationship Id="rId668" Type="http://schemas.openxmlformats.org/officeDocument/2006/relationships/hyperlink" Target="https://e5c9a.mailupclient.com/f/rnl.aspx/?jhe=1r_yq2o/a&amp;le=t/.l7=swqwn/9.99a=59ndi-a&amp;9g-7e:-49&amp;25&amp;x=pp&amp;uy.-5-&amp;x=pv&amp;83dbzb4h=rr3syxNCLM" TargetMode="External"/><Relationship Id="rId425" Type="http://schemas.openxmlformats.org/officeDocument/2006/relationships/hyperlink" Target="https://e5c9a.mailupclient.com/f/rnl.aspx/?jhe=vwvwwvrv/&amp;x=pv&amp;bdi=tzfd&amp;=st2ux/7f1-a=8e.dgcn&amp;&amp;x=pp&amp;u_9f1-a2&amp;.b/&amp;:d=rsxzstNCLM" TargetMode="External"/><Relationship Id="rId667" Type="http://schemas.openxmlformats.org/officeDocument/2006/relationships/hyperlink" Target="https://e5c9a.mailupclient.com/f/rnl.aspx/?jhe=1r_yq2o/a&amp;le=t/.l7=swp1s/9.99a=59ndi-a&amp;9g-7e:-49&amp;25&amp;x=pp&amp;uy.-5-&amp;x=pv&amp;83dbzb4h=rr3rsvNCLM" TargetMode="External"/><Relationship Id="rId424" Type="http://schemas.openxmlformats.org/officeDocument/2006/relationships/hyperlink" Target="https://www.facebook.com/baparticipacion/posts/pfbid02GaNy9rqMfsWNqVtKyk7cAG7YPM1x6zjFDkpX4NVkpqD7L6ytK7EqqXfmCBRHBocdl" TargetMode="External"/><Relationship Id="rId666" Type="http://schemas.openxmlformats.org/officeDocument/2006/relationships/hyperlink" Target="https://a2g9b4.emailsp.com/f/rnl.aspx/?fei=1wqvoxxy.9ek=vyad8=t3rzsy&amp;f2::=4ibeh..e--:5d6.451&amp;x=pp&amp;r1.&amp;x=pv&amp;49-6&amp;aax00l=rvnsyNCLM" TargetMode="External"/><Relationship Id="rId423" Type="http://schemas.openxmlformats.org/officeDocument/2006/relationships/hyperlink" Target="https://e5c9a.mailupclient.com/f/rnl.aspx/?jhe=vwurvxsx/&amp;x=pv&amp;bdi=tzfd&amp;=st2uw/7f1-a=5k9hibg&amp;x=pv&amp;9a&amp;-c4&amp;501&amp;x=pp&amp;u_9f1-a2&amp;.b/&amp;:d=rsxzqyNCLM" TargetMode="External"/><Relationship Id="rId665" Type="http://schemas.openxmlformats.org/officeDocument/2006/relationships/hyperlink" Target="https://a2g9b4.emailsp.com/f/rnl.aspx/?fei=1vvoo1vy.9ek=vyad8=t3rqwy&amp;f2::=-l98i9di-10337&amp;x=pp&amp;yx0-2.e16.&amp;x=pv&amp;2b5g=qtt_wNCLM" TargetMode="External"/><Relationship Id="rId429" Type="http://schemas.openxmlformats.org/officeDocument/2006/relationships/hyperlink" Target="https://e5c9a.mailupclient.com/f/rnl.aspx/?jhe=vwurvxsx/&amp;x=pv&amp;bdi=tzfd&amp;=st2tr/7f1-a=5k9hibg&amp;x=pv&amp;9a&amp;-c4&amp;501&amp;x=pp&amp;u_9f1-a2&amp;.b/&amp;:d=rsxytsNCLM" TargetMode="External"/><Relationship Id="rId428" Type="http://schemas.openxmlformats.org/officeDocument/2006/relationships/hyperlink" Target="https://e5c9a.mailupclient.com/f/rnl.aspx/?jhe=vwurvxsx/&amp;x=pv&amp;bdi=tzfd&amp;=st2t_/7f1-a=5k9hibg&amp;x=pv&amp;9a&amp;-c4&amp;501&amp;x=pp&amp;u_9f1-a2&amp;.b/&amp;:d=rsxytrNCLM" TargetMode="External"/><Relationship Id="rId427" Type="http://schemas.openxmlformats.org/officeDocument/2006/relationships/hyperlink" Target="https://e5c9a.mailupclient.com/f/rnl.aspx/?jhe=vwurvxsx/&amp;x=pv&amp;bdi=tzfd&amp;=st2st/7f1-a=5k9hibg&amp;x=pv&amp;9a&amp;-c4&amp;501&amp;x=pp&amp;u_9f1-a2&amp;.b/&amp;:d=rsxyrsNCLM" TargetMode="External"/><Relationship Id="rId669" Type="http://schemas.openxmlformats.org/officeDocument/2006/relationships/hyperlink" Target="https://a2g9b4.emailsp.com/f/rnl.aspx/?fei=1uwuq_vy.9ek=vyad8=t3qxuy&amp;f2::=2-neh9.9bd:5-cb10337&amp;x=pp&amp;yx0-2.e16.&amp;x=pv&amp;2b5g=qt1/wNCLM" TargetMode="External"/><Relationship Id="rId660" Type="http://schemas.openxmlformats.org/officeDocument/2006/relationships/hyperlink" Target="https://e5c9a.mailupclient.com/f/rnl.aspx/?jhe=vwurvxsx/&amp;x=pv&amp;bdi=tzfd&amp;=suvt_/7f1-a=5k9hibg&amp;x=pv&amp;9a&amp;-c4&amp;501&amp;x=pp&amp;u_9f1-a2&amp;.b/&amp;:d=rtyyttNCLM" TargetMode="External"/><Relationship Id="rId1010" Type="http://schemas.openxmlformats.org/officeDocument/2006/relationships/hyperlink" Target="https://e5c9a.mailupclient.com/f/rnl.aspx/?jhe=1r_yq2o/a&amp;le=t/.l7=swtyq/9.99a=59ndi-a&amp;9g-7e:-49&amp;25&amp;x=pp&amp;uy.-5-&amp;x=pv&amp;83dbzb4h=rrwowsNCLM" TargetMode="External"/><Relationship Id="rId422" Type="http://schemas.openxmlformats.org/officeDocument/2006/relationships/hyperlink" Target="https://www.facebook.com/baparticipacion/posts/pfbid083zAfc3nNeS5Eqp7S1h3sXJAHVZ85HXeAHzorPa2k6QAc4RY9ex2S3XdfhzYgt1Ml" TargetMode="External"/><Relationship Id="rId664" Type="http://schemas.openxmlformats.org/officeDocument/2006/relationships/hyperlink" Target="https://e5c9a.mailupclient.com/f/rnl.aspx/?jhe=vwvwwvrv/&amp;x=pv&amp;bdi=tzfd&amp;=suwwv/7f1-a=8e.dgcn&amp;&amp;x=pp&amp;u_9f1-a2&amp;.b/&amp;:d=rty_qrNCLM" TargetMode="External"/><Relationship Id="rId1011" Type="http://schemas.openxmlformats.org/officeDocument/2006/relationships/hyperlink" Target="https://e5c9a.mailupclient.com/f/rnl.aspx/?jhe=vwurvxsx/&amp;x=pv&amp;bdi=tzfd&amp;=suzpz/7f1-a=5k9hibg&amp;x=pv&amp;9a&amp;-c4&amp;501&amp;x=pp&amp;u_9f1-a2&amp;.b/&amp;:d=rtqwqvNCLM" TargetMode="External"/><Relationship Id="rId421" Type="http://schemas.openxmlformats.org/officeDocument/2006/relationships/hyperlink" Target="https://e5c9a.mailupclient.com/f/rnl.aspx/?jhe=1r_yq2o/a&amp;le=t/.l7=svxyv/9.99a=59ndi-a&amp;9g-7e:-49&amp;25&amp;x=pp&amp;uy.-5-&amp;x=pv&amp;83dbzb4h=rq2pvrNCLM" TargetMode="External"/><Relationship Id="rId663" Type="http://schemas.openxmlformats.org/officeDocument/2006/relationships/hyperlink" Target="https://e5c9a.mailupclient.com/f/rnl.aspx/?jhe=vwurvxsx/&amp;x=pv&amp;bdi=tzfd&amp;=suwww/7f1-a=5k9hibg&amp;x=pv&amp;9a&amp;-c4&amp;501&amp;x=pp&amp;u_9f1-a2&amp;.b/&amp;:d=rty_nrNCLM" TargetMode="External"/><Relationship Id="rId1012" Type="http://schemas.openxmlformats.org/officeDocument/2006/relationships/hyperlink" Target="https://e5c9a.mailupclient.com/f/rnl.aspx/?jhe=vwvwwvrv/&amp;x=pv&amp;bdi=tzfd&amp;=suzs_/7f1-a=8e.dgcn&amp;&amp;x=pp&amp;u_9f1-a2&amp;.b/&amp;:d=rtqxurNCLM" TargetMode="External"/><Relationship Id="rId420" Type="http://schemas.openxmlformats.org/officeDocument/2006/relationships/hyperlink" Target="https://www.facebook.com/baparticipacion/posts/pfbid025EiXLdTesVNC45LnEp63AusvMG7DbCeSrJur6BFVkh6LDHS5tmrVPgPUZNLQWkAwl" TargetMode="External"/><Relationship Id="rId662" Type="http://schemas.openxmlformats.org/officeDocument/2006/relationships/hyperlink" Target="https://a2g9b4.emailsp.com/f/rnl.aspx/?fei=1wqvoxxy.9ek=vyad8=t3rvoy&amp;f2::=4ibeh..e--:5d6.451&amp;x=pp&amp;r1.&amp;x=pv&amp;49-6&amp;aax00l=rvqp/NCLM" TargetMode="External"/><Relationship Id="rId1013" Type="http://schemas.openxmlformats.org/officeDocument/2006/relationships/hyperlink" Target="https://a2g9b4.emailsp.com/f/rnl.aspx/?fei=2orws1vy.9ek=vyad8=t3tyty&amp;f2::=7chafagb&amp;x=pp&amp;yx0-2.e16.&amp;x=pv&amp;2b5g=quyvvNCLM" TargetMode="External"/><Relationship Id="rId661" Type="http://schemas.openxmlformats.org/officeDocument/2006/relationships/hyperlink" Target="https://www.facebook.com/GCBA/posts/pfbid06U9dsRcCSya23RratQKfB5rFy7uQyMQzgwoEaiHX8xrz2KH75AChLPST7uKpyQmVl" TargetMode="External"/><Relationship Id="rId1014" Type="http://schemas.openxmlformats.org/officeDocument/2006/relationships/hyperlink" Target="https://www.facebook.com/baparticipacion/posts/pfbid0EB4cQrN1iH3u7G4YZcMwmp6NPeGqEmr5n4cD2wPMmMrYjPCd1s9d1H9Ha4CwQJs4l" TargetMode="External"/><Relationship Id="rId1004" Type="http://schemas.openxmlformats.org/officeDocument/2006/relationships/hyperlink" Target="https://www.facebook.com/baparticipacion/posts/pfbid026rzt5SBsadw9mUfeiZnXRzw82KKCw9hrLaStHhkE38toe7FY9NXm1N7TmsCbdraol" TargetMode="External"/><Relationship Id="rId1005" Type="http://schemas.openxmlformats.org/officeDocument/2006/relationships/hyperlink" Target="https://e5c9a.mailupclient.com/f/rnl.aspx/?jhe=vwszuxsy/&amp;x=pv&amp;bdi=tzfd&amp;=suzoz/7f1-a=l925n3r/&amp;749&amp;x=pp&amp;q_&amp;.99a45h-/-6l=ntsqwuNCLM" TargetMode="External"/><Relationship Id="rId1006" Type="http://schemas.openxmlformats.org/officeDocument/2006/relationships/hyperlink" Target="https://www.facebook.com/baparticipacion/posts/pfbid0axrMxWPfqiqEgW2TPGJVJ7z6iCVkmyNhVnWv5W4f71YR7nzFvcZW3y5d8b9sHVYNl" TargetMode="External"/><Relationship Id="rId1007" Type="http://schemas.openxmlformats.org/officeDocument/2006/relationships/hyperlink" Target="https://e5c9a.mailupclient.com/f/rnl.aspx/?jhe=vwvwwvrv/&amp;x=pv&amp;bdi=tzfd&amp;=suzow/7f1-a=8e.dgcn&amp;&amp;x=pp&amp;u_9f1-a2&amp;.b/&amp;:d=rtqvtzNCLM" TargetMode="External"/><Relationship Id="rId1008" Type="http://schemas.openxmlformats.org/officeDocument/2006/relationships/hyperlink" Target="https://e5c9a.mailupclient.com/f/rnl.aspx/?jhe=1r_yq2o/a&amp;le=t/.l7=swtyo/9.99a=59ndi-a&amp;9g-7e:-49&amp;25&amp;x=pp&amp;uy.-5-&amp;x=pv&amp;83dbzb4h=rrwow_NCLM" TargetMode="External"/><Relationship Id="rId1009" Type="http://schemas.openxmlformats.org/officeDocument/2006/relationships/hyperlink" Target="https://e5c9a.mailupclient.com/f/rnl.aspx/?jhe=1r_yq2o/a&amp;le=t/.l7=swtyp/9.99a=59ndi-a&amp;9g-7e:-49&amp;25&amp;x=pp&amp;uy.-5-&amp;x=pv&amp;83dbzb4h=rrwowrNCLM" TargetMode="External"/><Relationship Id="rId415" Type="http://schemas.openxmlformats.org/officeDocument/2006/relationships/hyperlink" Target="https://www.facebook.com/baparticipacion/posts/pfbid02YRVUqWgcq9vykKsseVnPrFPvU3JAquodw9G3ixGSq1yrcVoABoHnYHW3xZpxs6v5l" TargetMode="External"/><Relationship Id="rId657" Type="http://schemas.openxmlformats.org/officeDocument/2006/relationships/hyperlink" Target="https://fb.me/adspreview/facebook/2pSx4DDCV6w5IsE" TargetMode="External"/><Relationship Id="rId899" Type="http://schemas.openxmlformats.org/officeDocument/2006/relationships/hyperlink" Target="https://www.facebook.com/baparticipacion/posts/pfbid0DaymyDB1kYsK3vhHa9PGNH4zfbBtVMmHhr92vsCJPo4oNPRDNfqMVjP5Dt1fLZbNl" TargetMode="External"/><Relationship Id="rId414" Type="http://schemas.openxmlformats.org/officeDocument/2006/relationships/hyperlink" Target="https://a2g9b4.emailsp.com/f/rnl.aspx/?fei=1vvoo1vy.9ek=vyad8=t3psry&amp;f2::=-l98i9di-10337&amp;x=pp&amp;yx0-2.e16.&amp;x=pv&amp;2b5g=qsvyrNCLM" TargetMode="External"/><Relationship Id="rId656" Type="http://schemas.openxmlformats.org/officeDocument/2006/relationships/hyperlink" Target="https://e5c9a.mailupclient.com/f/rnl.aspx/?jhe=1r_yq2o/a&amp;le=t/.l7=swqww/9.99a=59ndi-a&amp;9g-7e:-49&amp;25&amp;x=pp&amp;uy.-5-&amp;x=pv&amp;83dbzb4h=rr3sywNCLM" TargetMode="External"/><Relationship Id="rId898" Type="http://schemas.openxmlformats.org/officeDocument/2006/relationships/hyperlink" Target="https://e5c9a.mailupclient.com/f/rnl.aspx/?jhe=vwurvxsx/&amp;x=pv&amp;bdi=tzfd&amp;=suypr/7f1-a=5k9hibg&amp;x=pv&amp;9a&amp;-c4&amp;501&amp;x=pp&amp;u_9f1-a2&amp;.b/&amp;:d=rtp/rvNCLM" TargetMode="External"/><Relationship Id="rId413" Type="http://schemas.openxmlformats.org/officeDocument/2006/relationships/hyperlink" Target="https://www.facebook.com/baparticipacion/posts/pfbid02GLBYpkMkpgWMkCjsDo6d1qPvK3Fkx2kgUm6iEaXxovXXzd3UA7HdqNKbZdBWQaXtl" TargetMode="External"/><Relationship Id="rId655" Type="http://schemas.openxmlformats.org/officeDocument/2006/relationships/hyperlink" Target="https://e5c9a.mailupclient.com/f/rnl.aspx/?jhe=1r_yq2o/a&amp;le=t/.l7=swqvv/9.99a=59ndi-a&amp;9g-7e:-49&amp;25&amp;x=pp&amp;uy.-5-&amp;x=pv&amp;83dbzb4h=rr3syuNCLM" TargetMode="External"/><Relationship Id="rId897" Type="http://schemas.openxmlformats.org/officeDocument/2006/relationships/hyperlink" Target="https://www.facebook.com/baparticipacion/posts/pfbid07VoazC5BiDZDj3GHPeXe55UQEznMHhozx8PUuwHTF79BK72tb5HxzKnsXY3sQ4jyl" TargetMode="External"/><Relationship Id="rId412" Type="http://schemas.openxmlformats.org/officeDocument/2006/relationships/hyperlink" Target="https://a2g9b4.emailsp.com/f/rnl.aspx/?fei=1uwuq_vy.9ek=vyad8=t3ptty&amp;f2::=2-neh9.9bd:5-cb10337&amp;x=pp&amp;yx0-2.e16.&amp;x=pv&amp;2b5g=qsv1rNCLM" TargetMode="External"/><Relationship Id="rId654" Type="http://schemas.openxmlformats.org/officeDocument/2006/relationships/hyperlink" Target="https://e5c9a.mailupclient.com/f/rnl.aspx/?jhe=1r_yq2o/a&amp;le=t/.l7=swp1v/9.99a=59ndi-a&amp;9g-7e:-49&amp;25&amp;x=pp&amp;uy.-5-&amp;x=pv&amp;83dbzb4h=rr3rtwNCLM" TargetMode="External"/><Relationship Id="rId896" Type="http://schemas.openxmlformats.org/officeDocument/2006/relationships/hyperlink" Target="https://a2g9b4.emailsp.com/f/rnl.aspx/?fei=1vvoo_2y.9ek=vyad8=t3sxsy&amp;f2::=k702m1k6.451&amp;x=pp&amp;r1.&amp;x=pv&amp;49-6&amp;aax00l=rwwtwNCLM" TargetMode="External"/><Relationship Id="rId419" Type="http://schemas.openxmlformats.org/officeDocument/2006/relationships/hyperlink" Target="https://e5c9a.mailupclient.com/f/rnl.aspx/?jhe=vwurvxsx/&amp;x=pv&amp;bdi=tzfd&amp;=st2ry/7f1-a=5k9hibg&amp;x=pv&amp;9a&amp;-c4&amp;501&amp;x=pp&amp;u_9f1-a2&amp;.b/&amp;:d=rsxyoxNCLM" TargetMode="External"/><Relationship Id="rId418" Type="http://schemas.openxmlformats.org/officeDocument/2006/relationships/hyperlink" Target="https://e5c9a.mailupclient.com/f/rnl.aspx/?jhe=vwvwwvrv/&amp;x=pv&amp;bdi=tzfd&amp;=st2uy/7f1-a=8e.dgcn&amp;&amp;x=pp&amp;u_9f1-a2&amp;.b/&amp;:d=rsxzsxNCLM" TargetMode="External"/><Relationship Id="rId417" Type="http://schemas.openxmlformats.org/officeDocument/2006/relationships/hyperlink" Target="https://www.facebook.com/baparticipacion/posts/pfbid0ZNryPVEWwptixW2udVwy57jBnx2ZYBpc5reETSdaQPu1dtAQD4Wd1QTEiBXG2Kdul" TargetMode="External"/><Relationship Id="rId659" Type="http://schemas.openxmlformats.org/officeDocument/2006/relationships/hyperlink" Target="https://www.facebook.com/GCBA/posts/pfbid02j1Uzb4DFfv6YsGCqVkmzxyECsgA7zkVG3iuP7oYY19wRRMsH9twtXPA2PisDPnsKl" TargetMode="External"/><Relationship Id="rId416" Type="http://schemas.openxmlformats.org/officeDocument/2006/relationships/hyperlink" Target="https://e5c9a.mailupclient.com/f/rnl.aspx/?jhe=vwvwwvrv/&amp;x=pv&amp;bdi=tzfd&amp;=st2s_/7f1-a=8e.dgcn&amp;&amp;x=pp&amp;u_9f1-a2&amp;.b/&amp;:d=rsxyvxNCLM" TargetMode="External"/><Relationship Id="rId658" Type="http://schemas.openxmlformats.org/officeDocument/2006/relationships/hyperlink" Target="https://e5c9a.mailupclient.com/f/rnl.aspx/?jhe=vwt_y1w_/&amp;x=pv&amp;bdi=tzfd&amp;=suvu_/7f1-a=&amp;x=pv&amp;n1&amp;j&amp;kc949&amp;25&amp;x=pp&amp;uy.-5-&amp;x=pv&amp;83dbzb4h=rr3t__NCLM" TargetMode="External"/><Relationship Id="rId891" Type="http://schemas.openxmlformats.org/officeDocument/2006/relationships/hyperlink" Target="https://a2g9b4.emailsp.com/f/rnl.aspx/?fei=2orws1vy.9ek=vyad8=t3sxvy&amp;f2::=7chafagb&amp;x=pp&amp;yx0-2.e16.&amp;x=pv&amp;2b5g=qu12pNCLM" TargetMode="External"/><Relationship Id="rId890" Type="http://schemas.openxmlformats.org/officeDocument/2006/relationships/hyperlink" Target="https://www.facebook.com/reel/1951168715581742" TargetMode="External"/><Relationship Id="rId411" Type="http://schemas.openxmlformats.org/officeDocument/2006/relationships/hyperlink" Target="https://www.facebook.com/baparticipacion/posts/pfbid0UjssYKKcNNnjMP4wc9VnxyE2iRb1qJMDHDBAqV42U4dF3szvJTKxo9ksjwZTjkZvl" TargetMode="External"/><Relationship Id="rId653" Type="http://schemas.openxmlformats.org/officeDocument/2006/relationships/hyperlink" Target="https://e5c9a.mailupclient.com/f/rnl.aspx/?jhe=1r_yq2o/a&amp;le=t/.l7=swp1r/9.99a=59ndi-a&amp;9g-7e:-49&amp;25&amp;x=pp&amp;uy.-5-&amp;x=pv&amp;83dbzb4h=rr3rsrNCLM" TargetMode="External"/><Relationship Id="rId895" Type="http://schemas.openxmlformats.org/officeDocument/2006/relationships/hyperlink" Target="https://www.facebook.com/baparticipacion/posts/pfbid05JZe9CpEB52zA3crM7ZyMytReeTkcmtCV4nPKv2WANoDMJr8ACvccqpJzcRBYMtsl" TargetMode="External"/><Relationship Id="rId1000" Type="http://schemas.openxmlformats.org/officeDocument/2006/relationships/hyperlink" Target="https://www.facebook.com/baparticipacion/posts/pfbid0cqdBo8U6f7icGwi1UgY64Dq9b7kJVms3oxUzJRvEnieMK5d2eTXsYd7Ky2JVkPdnl" TargetMode="External"/><Relationship Id="rId410" Type="http://schemas.openxmlformats.org/officeDocument/2006/relationships/hyperlink" Target="https://e5c9a.mailupclient.com/f/rnl.aspx/?jhe=vwszuxsy/&amp;x=pv&amp;bdi=tzfd&amp;=su3nw/7f1-a=l925n3r/&amp;749&amp;x=pp&amp;q_&amp;.99a45h-/-6l=nszvwrNCLM" TargetMode="External"/><Relationship Id="rId652" Type="http://schemas.openxmlformats.org/officeDocument/2006/relationships/hyperlink" Target="https://www.facebook.com/GCBA/posts/pfbid05AMSQrvjixn7RJ56zP2SUcvbfsiZL479ZfZHea63dWwcwa6cdkQH3xVs42yGbdW2l" TargetMode="External"/><Relationship Id="rId894" Type="http://schemas.openxmlformats.org/officeDocument/2006/relationships/hyperlink" Target="https://e5c9a.mailupclient.com/f/rnl.aspx/?jhe=vwt_y1w_/&amp;x=pv&amp;bdi=tzfd&amp;=suynx/7f1-a=&amp;x=pv&amp;n1&amp;j&amp;kc949&amp;25&amp;x=pp&amp;uy.-5-&amp;x=pv&amp;83dbzb4h=rrvswzNCLM" TargetMode="External"/><Relationship Id="rId1001" Type="http://schemas.openxmlformats.org/officeDocument/2006/relationships/hyperlink" Target="https://e5c9a.mailupclient.com/f/rnl.aspx/?jhe=1r_yq2o/a&amp;le=t/.l7=swtwu/9.99a=59ndi-a&amp;9g-7e:-49&amp;25&amp;x=pp&amp;uy.-5-&amp;x=pv&amp;83dbzb4h=rrwnwrNCLM" TargetMode="External"/><Relationship Id="rId651" Type="http://schemas.openxmlformats.org/officeDocument/2006/relationships/hyperlink" Target="https://e5c9a.mailupclient.com/f/rnl.aspx/?jhe=vwvwwvrv/&amp;x=pv&amp;bdi=tzfd&amp;=suww_/7f1-a=8e.dgcn&amp;&amp;x=pp&amp;u_9f1-a2&amp;.b/&amp;:d=rtyzurNCLM" TargetMode="External"/><Relationship Id="rId893" Type="http://schemas.openxmlformats.org/officeDocument/2006/relationships/hyperlink" Target="https://www.facebook.com/baparticipacion/posts/pfbid028buhDwCjERQtoEkvPzyyQXjLesGLBHVK72J59pwqNuvmAR1czprvDuYfpkf8Kqk1l" TargetMode="External"/><Relationship Id="rId1002" Type="http://schemas.openxmlformats.org/officeDocument/2006/relationships/hyperlink" Target="https://www.facebook.com/baparticipacion/posts/pfbid02rYnMxmS6XD3RCsx9M9KBg9kR6JcG4PhAtUs7mrFDM5VFoD6HvNvYFGHsStd5qSRBl" TargetMode="External"/><Relationship Id="rId650" Type="http://schemas.openxmlformats.org/officeDocument/2006/relationships/hyperlink" Target="https://www.facebook.com/reel/990960590089250" TargetMode="External"/><Relationship Id="rId892" Type="http://schemas.openxmlformats.org/officeDocument/2006/relationships/hyperlink" Target="https://a2g9b4.emailsp.com/f/rnl.aspx/?fei=1vvoo_2y.9ek=vyad8=t3sxry&amp;f2::=k702m1k6.451&amp;x=pp&amp;r1.&amp;x=pv&amp;49-6&amp;aax00l=rwwswNCLM" TargetMode="External"/><Relationship Id="rId1003" Type="http://schemas.openxmlformats.org/officeDocument/2006/relationships/hyperlink" Target="https://e5c9a.mailupclient.com/f/rnl.aspx/?jhe=vwurvxsx/&amp;x=pv&amp;bdi=tzfd&amp;=suzox/7f1-a=5k9hibg&amp;x=pv&amp;9a&amp;-c4&amp;501&amp;x=pp&amp;u_9f1-a2&amp;.b/&amp;:d=rtqvqzNCLM" TargetMode="External"/><Relationship Id="rId1037" Type="http://schemas.openxmlformats.org/officeDocument/2006/relationships/hyperlink" Target="https://e5c9a.mailupclient.com/f/rnl.aspx/?jhe=vwvwwvrv/&amp;x=pv&amp;bdi=tzfd&amp;=suzuu/7f1-a=8e.dgcn&amp;&amp;x=pp&amp;u_9f1-a2&amp;.b/&amp;:d=rtqyuvNCLM" TargetMode="External"/><Relationship Id="rId1038" Type="http://schemas.openxmlformats.org/officeDocument/2006/relationships/hyperlink" Target="https://e5c9a.mailupclient.com/f/rnl.aspx/?jhe=vwurvxsx/&amp;x=pv&amp;bdi=tzfd&amp;=suzvy/7f1-a=5k9hibg&amp;x=pv&amp;9a&amp;-c4&amp;501&amp;x=pp&amp;u_9f1-a2&amp;.b/&amp;:d=rtqzpuNCLM" TargetMode="External"/><Relationship Id="rId1039" Type="http://schemas.openxmlformats.org/officeDocument/2006/relationships/hyperlink" Target="https://www.facebook.com/baparticipacion/posts/pfbid08qne98U5gKrZJwYvNh71QvrTAnzTK3pionNhXwGcsD4TnBsSK5MaoWPCKUnu8UNbl" TargetMode="External"/><Relationship Id="rId206" Type="http://schemas.openxmlformats.org/officeDocument/2006/relationships/hyperlink" Target="https://e5c9a.mailupclient.com/f/rnl.aspx/?jhe=vwurvxsx/&amp;x=pv&amp;bdi=tzfd&amp;=st_ox/7f1-a=5k9hibg&amp;x=pv&amp;9a&amp;-c4&amp;501&amp;x=pp&amp;u_9f1-a2&amp;.b/&amp;:d=rsv1otNCLM" TargetMode="External"/><Relationship Id="rId448" Type="http://schemas.openxmlformats.org/officeDocument/2006/relationships/hyperlink" Target="https://fb.me/adspreview/facebook/21gIh31pujWSpw4" TargetMode="External"/><Relationship Id="rId205" Type="http://schemas.openxmlformats.org/officeDocument/2006/relationships/hyperlink" Target="https://e5c9a.mailupclient.com/f/rnl.aspx/?jhe=vwvwwvrv/&amp;x=pv&amp;bdi=tzfd&amp;=st_pt/7f1-a=8e.dgcn&amp;&amp;x=pp&amp;u_9f1-a2&amp;.b/&amp;:d=rsv2nsNCLM" TargetMode="External"/><Relationship Id="rId447" Type="http://schemas.openxmlformats.org/officeDocument/2006/relationships/hyperlink" Target="https://a2g9b4.emailsp.com/f/rnl.aspx/?fei=1wqvoxxy.9ek=vyad8=t3pxuy&amp;f2::=4ibeh..e--:5d6.451&amp;x=pp&amp;r1.&amp;x=pv&amp;49-6&amp;aax00l=rurwtNCLM" TargetMode="External"/><Relationship Id="rId689" Type="http://schemas.openxmlformats.org/officeDocument/2006/relationships/hyperlink" Target="https://e5c9a.mailupclient.com/f/rnl.aspx/?jhe=vwurvxsx/&amp;x=pv&amp;bdi=tzfd&amp;=suwps/7f1-a=5k9hibg&amp;x=pv&amp;9a&amp;-c4&amp;501&amp;x=pp&amp;u_9f1-a2&amp;.b/&amp;:d=rty2stNCLM" TargetMode="External"/><Relationship Id="rId204" Type="http://schemas.openxmlformats.org/officeDocument/2006/relationships/hyperlink" Target="https://e5c9a.mailupclient.com/f/rnl.aspx/?jhe=vwvwwvrv/&amp;x=pv&amp;bdi=tzfd&amp;=st_ps/7f1-a=8e.dgcn&amp;&amp;x=pp&amp;u_9f1-a2&amp;.b/&amp;:d=rsv2wxNCLM" TargetMode="External"/><Relationship Id="rId446" Type="http://schemas.openxmlformats.org/officeDocument/2006/relationships/hyperlink" Target="https://www.facebook.com/GCBA/posts/pfbid0vT9BjkE9FtvnueXVa8bYmHyqadrpFHMZciLcgCAjaEUKTjCNojm5Do5ioaeMxA3Hl" TargetMode="External"/><Relationship Id="rId688" Type="http://schemas.openxmlformats.org/officeDocument/2006/relationships/hyperlink" Target="https://e5c9a.mailupclient.com/f/rnl.aspx/?jhe=1r_yq2o/a&amp;le=t/.l7=swqwv/9.99a=59ndi-a&amp;9g-7e:-49&amp;25&amp;x=pp&amp;uy.-5-&amp;x=pv&amp;83dbzb4h=rr3ttrNCLM" TargetMode="External"/><Relationship Id="rId203" Type="http://schemas.openxmlformats.org/officeDocument/2006/relationships/hyperlink" Target="https://e5c9a.mailupclient.com/f/rnl.aspx/?jhe=vwurvxsx/&amp;x=pv&amp;bdi=tzfd&amp;=st_qx/7f1-a=5k9hibg&amp;x=pv&amp;9a&amp;-c4&amp;501&amp;x=pp&amp;u_9f1-a2&amp;.b/&amp;:d=rsv2qvNCLM" TargetMode="External"/><Relationship Id="rId445" Type="http://schemas.openxmlformats.org/officeDocument/2006/relationships/hyperlink" Target="https://e5c9a.mailupclient.com/f/rnl.aspx/?jhe=vwvwwvrv/&amp;x=pv&amp;bdi=tzfd&amp;=st2uz/7f1-a=8e.dgcn&amp;&amp;x=pp&amp;u_9f1-a2&amp;.b/&amp;:d=rsxzt_NCLM" TargetMode="External"/><Relationship Id="rId687" Type="http://schemas.openxmlformats.org/officeDocument/2006/relationships/hyperlink" Target="https://e5c9a.mailupclient.com/f/rnl.aspx/?jhe=1r_yq2o/a&amp;le=t/.l7=swqwu/9.99a=59ndi-a&amp;9g-7e:-49&amp;25&amp;x=pp&amp;uy.-5-&amp;x=pv&amp;83dbzb4h=rr3tt_NCLM" TargetMode="External"/><Relationship Id="rId209" Type="http://schemas.openxmlformats.org/officeDocument/2006/relationships/hyperlink" Target="https://e5c9a.mailupclient.com/f/rnl.aspx/?jhe=vwvwwvrv/&amp;x=pv&amp;bdi=tzfd&amp;=st_px/7f1-a=8e.dgcn&amp;&amp;x=pp&amp;u_9f1-a2&amp;.b/&amp;:d=rsv2puNCLM" TargetMode="External"/><Relationship Id="rId208" Type="http://schemas.openxmlformats.org/officeDocument/2006/relationships/hyperlink" Target="https://e5c9a.mailupclient.com/f/rnl.aspx/?jhe=vwurvxsx/&amp;x=pv&amp;bdi=tzfd&amp;=st_ot/7f1-a=5k9hibg&amp;x=pv&amp;9a&amp;-c4&amp;501&amp;x=pp&amp;u_9f1-a2&amp;.b/&amp;:d=rsv1wtNCLM" TargetMode="External"/><Relationship Id="rId207" Type="http://schemas.openxmlformats.org/officeDocument/2006/relationships/hyperlink" Target="https://e5c9a.mailupclient.com/f/rnl.aspx/?jhe=1r_yq2o/a&amp;le=t/.l7=svuyp/9.99a=59ndi-a&amp;9g-7e:-49&amp;25&amp;x=pp&amp;uy.-5-&amp;x=pv&amp;83dbzb4h=rq/vrvNCLM" TargetMode="External"/><Relationship Id="rId449" Type="http://schemas.openxmlformats.org/officeDocument/2006/relationships/hyperlink" Target="https://a2g9b4.emailsp.com/f/rnl.aspx/?fei=1wqvoxxy.9ek=vyad8=t3ptuy&amp;f2::=4ibeh..e--:5d6.451&amp;x=pp&amp;r1.&amp;x=pv&amp;49-6&amp;aax00l=rupwwNCLM" TargetMode="External"/><Relationship Id="rId440" Type="http://schemas.openxmlformats.org/officeDocument/2006/relationships/hyperlink" Target="https://e5c9a.mailupclient.com/f/rnl.aspx/?jhe=vwt_y1w_/&amp;x=pv&amp;bdi=tzfd&amp;=su3rt/7f1-a=&amp;x=pv&amp;n1&amp;j&amp;kc949&amp;25&amp;x=pp&amp;uy.-5-&amp;x=pv&amp;83dbzb4h=rr3rvzNCLM" TargetMode="External"/><Relationship Id="rId682" Type="http://schemas.openxmlformats.org/officeDocument/2006/relationships/hyperlink" Target="https://www.facebook.com/GCBA/posts/pfbid0oTTfRyRDjRtSWz1D2DEHt74VHK6N6rLVjYhLoitVw74XKk9AP7kXKcdgB2HbFSBTl" TargetMode="External"/><Relationship Id="rId681" Type="http://schemas.openxmlformats.org/officeDocument/2006/relationships/hyperlink" Target="https://e5c9a.mailupclient.com/f/rnl.aspx/?jhe=vwurvxsx/&amp;x=pv&amp;bdi=tzfd&amp;=suxvs/7f1-a=5k9hibg&amp;x=pv&amp;9a&amp;-c4&amp;501&amp;x=pp&amp;u_9f1-a2&amp;.b/&amp;:d=rtpzowNCLM" TargetMode="External"/><Relationship Id="rId1030" Type="http://schemas.openxmlformats.org/officeDocument/2006/relationships/hyperlink" Target="https://a2g9b4.emailsp.com/f/rnl.aspx/?fei=2orws1vy.9ek=vyad8=t3uzqy&amp;f2::=7chafagb&amp;x=pp&amp;yx0-2.e16.&amp;x=pv&amp;2b5g=quy_wNCLM" TargetMode="External"/><Relationship Id="rId680" Type="http://schemas.openxmlformats.org/officeDocument/2006/relationships/hyperlink" Target="https://www.facebook.com/reel/2212657036254593" TargetMode="External"/><Relationship Id="rId1031" Type="http://schemas.openxmlformats.org/officeDocument/2006/relationships/hyperlink" Target="https://a2g9b4.emailsp.com/f/rnl.aspx/?fei=1uwuq_vy.9ek=vyad8=t3usoy&amp;f2::=2-neh9.9bd:5-cb10337&amp;x=pp&amp;yx0-2.e16.&amp;x=pv&amp;2b5g=quz1pNCLM" TargetMode="External"/><Relationship Id="rId1032" Type="http://schemas.openxmlformats.org/officeDocument/2006/relationships/hyperlink" Target="https://e5c9a.mailupclient.com/f/rnl.aspx/?jhe=vwvwwvrv/&amp;x=pv&amp;bdi=tzfd&amp;=su_pr/7f1-a=8e.dgcn&amp;&amp;x=pp&amp;u_9f1-a2&amp;.b/&amp;:d=rtq/nrNCLM" TargetMode="External"/><Relationship Id="rId202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444" Type="http://schemas.openxmlformats.org/officeDocument/2006/relationships/hyperlink" Target="https://www.facebook.com/baparticipacion/posts/pfbid0KU21EBFa9ohX5iTUwZQc18vqoPQ3yh1diytwSNduJyoSMoRhK6eudsgtSDcy3udMl" TargetMode="External"/><Relationship Id="rId686" Type="http://schemas.openxmlformats.org/officeDocument/2006/relationships/hyperlink" Target="https://e5c9a.mailupclient.com/f/rnl.aspx/?jhe=vwvwwvrv/&amp;x=pv&amp;bdi=tzfd&amp;=suxt_/7f1-a=8e.dgcn&amp;&amp;x=pp&amp;u_9f1-a2&amp;.b/&amp;:d=rtpyuyNCLM" TargetMode="External"/><Relationship Id="rId1033" Type="http://schemas.openxmlformats.org/officeDocument/2006/relationships/hyperlink" Target="https://e5c9a.mailupclient.com/f/rnl.aspx/?jhe=1ovurwr/a&amp;le=t/.l7=swt/s/9.99a=hbea9g7s35hgk.4&amp;501&amp;x=pp&amp;u_9f1-a2&amp;.b/&amp;:d=rtqyozNCLM" TargetMode="External"/><Relationship Id="rId201" Type="http://schemas.openxmlformats.org/officeDocument/2006/relationships/hyperlink" Target="https://e5c9a.mailupclient.com/f/rnl.aspx/?jhe=vwvwwvrv/&amp;x=pv&amp;bdi=tzfd&amp;=st_pv/7f1-a=8e.dgcn&amp;&amp;x=pp&amp;u_9f1-a2&amp;.b/&amp;:d=rsv2uzNCLM" TargetMode="External"/><Relationship Id="rId443" Type="http://schemas.openxmlformats.org/officeDocument/2006/relationships/hyperlink" Target="http://e5c9a.mailupclient.com/f/rnl.aspx/?jhe=1r_yq2o/a&amp;le=t/.l7=swy3n/9.99a=59ndi-a&amp;9g-7e:-49&amp;25&amp;x=pp&amp;uy.-5-&amp;x=pv&amp;83dbzb4h=rq2stsNCLM" TargetMode="External"/><Relationship Id="rId685" Type="http://schemas.openxmlformats.org/officeDocument/2006/relationships/hyperlink" Target="https://www.facebook.com/GCBA/posts/pfbid02NBCqry61rDc7ny2faGYE5aG134woXzwj9FJzpP1Sz2LokwQCrJaBKMFXMRJYrVZ1l" TargetMode="External"/><Relationship Id="rId1034" Type="http://schemas.openxmlformats.org/officeDocument/2006/relationships/hyperlink" Target="https://a2g9b4.emailsp.com/f/rnl.aspx/?fei=1uwuq_vy.9ek=vyad8=t3uspy&amp;f2::=2-neh9.9bd:5-cb10337&amp;x=pp&amp;yx0-2.e16.&amp;x=pv&amp;2b5g=quz2qNCLM" TargetMode="External"/><Relationship Id="rId200" Type="http://schemas.openxmlformats.org/officeDocument/2006/relationships/hyperlink" Target="http://e5c9a.mailupclient.com/f/rnl.aspx/?jhe=1r_yq2o/a&amp;le=t/.l7=svuyn/9.99a=59ndi-a&amp;9g-7e:-49&amp;25&amp;x=pp&amp;uy.-5-&amp;x=pv&amp;83dbzb4h=rq/vrtNCLM" TargetMode="External"/><Relationship Id="rId442" Type="http://schemas.openxmlformats.org/officeDocument/2006/relationships/hyperlink" Target="https://a2g9b4.emailsp.com/f/rnl.aspx/?fei=1wqvoxxy.9ek=vyad8=t3pywy&amp;f2::=4ibeh..e--:5d6.451&amp;x=pp&amp;r1.&amp;x=pv&amp;49-6&amp;aax00l=rusxwNCLM" TargetMode="External"/><Relationship Id="rId684" Type="http://schemas.openxmlformats.org/officeDocument/2006/relationships/hyperlink" Target="https://e5c9a.mailupclient.com/f/rnl.aspx/?jhe=vwszuxsy/&amp;x=pv&amp;bdi=tzfd&amp;=suwsr/7f1-a=l925n3r/&amp;749&amp;x=pp&amp;q_&amp;.99a45h-/-6l=nt_wztNCLM" TargetMode="External"/><Relationship Id="rId1035" Type="http://schemas.openxmlformats.org/officeDocument/2006/relationships/hyperlink" Target="https://www.facebook.com/GCBA/posts/pfbid02RS9HLQTL1GR6aqKApdtYULFTkSKZbxwp6JpHphRhLNsHj1CqG1aMDGj3Phcw748Ul" TargetMode="External"/><Relationship Id="rId441" Type="http://schemas.openxmlformats.org/officeDocument/2006/relationships/hyperlink" Target="https://fb.me/adspreview/facebook/2F5N1HlfWgdYQBf" TargetMode="External"/><Relationship Id="rId683" Type="http://schemas.openxmlformats.org/officeDocument/2006/relationships/hyperlink" Target="https://www.facebook.com/GCBA/posts/pfbid02KByZYYTKe4Kj2HbuZR8a5mv7ptRq1E2aWhAC6TFrkcBbVwgWAfwyCP2uWbLnUjXol" TargetMode="External"/><Relationship Id="rId1036" Type="http://schemas.openxmlformats.org/officeDocument/2006/relationships/hyperlink" Target="https://www.facebook.com/GCBA/posts/pfbid02E1tkaC6tXj44NDQ9wzrkGosi4PqV2XUtQTMpcjo4J31tLPRfaLMhDGf1nvcVT4SUl" TargetMode="External"/><Relationship Id="rId1026" Type="http://schemas.openxmlformats.org/officeDocument/2006/relationships/hyperlink" Target="https://www.facebook.com/baparticipacion/posts/pfbid03nShGhw8AcRPUh8GTva7BXUhnPPEwnVDqp1DvY4vYB37kRU3pHSiRAzy8njd9J1kl" TargetMode="External"/><Relationship Id="rId1027" Type="http://schemas.openxmlformats.org/officeDocument/2006/relationships/hyperlink" Target="https://a2g9b4.emailsp.com/f/rnl.aspx/?fei=2orws1vy.9ek=vyad8=t3uzwy&amp;f2::=7chafagb&amp;x=pp&amp;yx0-2.e16.&amp;x=pv&amp;2b5g=quyyvNCLM" TargetMode="External"/><Relationship Id="rId1028" Type="http://schemas.openxmlformats.org/officeDocument/2006/relationships/hyperlink" Target="https://a2g9b4.emailsp.com/f/rnl.aspx/?fei=2orws1vy.9ek=vyad8=t3uuvy&amp;f2::=7chafagb&amp;x=pp&amp;yx0-2.e16.&amp;x=pv&amp;2b5g=qu/vwNCLM" TargetMode="External"/><Relationship Id="rId1029" Type="http://schemas.openxmlformats.org/officeDocument/2006/relationships/hyperlink" Target="https://www.facebook.com/GCBA/posts/pfbid02MhamHAHwvVGP2bmq1bwnjG4fMgD6ZzhHXjj1DBLZpD637Kof28Ry1HXnAt6SuqM7l" TargetMode="External"/><Relationship Id="rId437" Type="http://schemas.openxmlformats.org/officeDocument/2006/relationships/hyperlink" Target="https://fb.me/adspreview/facebook/2dJpeAUOaCB7apk" TargetMode="External"/><Relationship Id="rId679" Type="http://schemas.openxmlformats.org/officeDocument/2006/relationships/hyperlink" Target="https://a2g9b4.emailsp.com/f/rnl.aspx/?fei=1vvoo_2y.9ek=vyad8=t3rzpy&amp;f2::=k702m1k6.451&amp;x=pp&amp;r1.&amp;x=pv&amp;49-6&amp;aax00l=rvpq/NCLM" TargetMode="External"/><Relationship Id="rId436" Type="http://schemas.openxmlformats.org/officeDocument/2006/relationships/hyperlink" Target="https://e5c9a.mailupclient.com/f/rnl.aspx/?jhe=vwurvxsx/&amp;x=pv&amp;bdi=tzfd&amp;=st2tt/7f1-a=5k9hibg&amp;x=pv&amp;9a&amp;-c4&amp;501&amp;x=pp&amp;u_9f1-a2&amp;.b/&amp;:d=rsxzwzNCLM" TargetMode="External"/><Relationship Id="rId678" Type="http://schemas.openxmlformats.org/officeDocument/2006/relationships/hyperlink" Target="https://e5c9a.mailupclient.com/f/rnl.aspx/?jhe=vwvwwvrv/&amp;x=pv&amp;bdi=tzfd&amp;=suwnt/7f1-a=8e.dgcn&amp;&amp;x=pp&amp;u_9f1-a2&amp;.b/&amp;:d=rty_utNCLM" TargetMode="External"/><Relationship Id="rId435" Type="http://schemas.openxmlformats.org/officeDocument/2006/relationships/hyperlink" Target="https://www.facebook.com/GCBA/posts/pfbid0dTC8Lpqi6cP6mAMw4ceVVAx4C7fS6XDo5PzuFWLRgZkCGzvHMGB3PVJGmHyuSHS3l" TargetMode="External"/><Relationship Id="rId677" Type="http://schemas.openxmlformats.org/officeDocument/2006/relationships/hyperlink" Target="https://e5c9a.mailupclient.com/f/rnl.aspx/?jhe=vwurvxsx/&amp;x=pv&amp;bdi=tzfd&amp;=suwwy/7f1-a=5k9hibg&amp;x=pv&amp;9a&amp;-c4&amp;501&amp;x=pp&amp;u_9f1-a2&amp;.b/&amp;:d=rty_qsNCLM" TargetMode="External"/><Relationship Id="rId434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676" Type="http://schemas.openxmlformats.org/officeDocument/2006/relationships/hyperlink" Target="https://e5c9a.mailupclient.com/f/rnl.aspx/?jhe=vwurvxsx/&amp;x=pv&amp;bdi=tzfd&amp;=suxv_/7f1-a=5k9hibg&amp;x=pv&amp;9a&amp;-c4&amp;501&amp;x=pp&amp;u_9f1-a2&amp;.b/&amp;:d=rtpznzNCLM" TargetMode="External"/><Relationship Id="rId439" Type="http://schemas.openxmlformats.org/officeDocument/2006/relationships/hyperlink" Target="https://www.facebook.com/GCBA/posts/pfbid03potqP2eLt1quBeScj472G3XvQX7GKsrikv4qrT6WmgaAwGAKgpnViaxrhGzELgNl" TargetMode="External"/><Relationship Id="rId438" Type="http://schemas.openxmlformats.org/officeDocument/2006/relationships/hyperlink" Target="https://a2g9b4.emailsp.com/f/rnl.aspx/?fei=1wqvoxxy.9ek=vyad8=t3ptwy&amp;f2::=4ibeh..e--:5d6.451&amp;x=pp&amp;r1.&amp;x=pv&amp;49-6&amp;aax00l=rupswNCLM" TargetMode="External"/><Relationship Id="rId671" Type="http://schemas.openxmlformats.org/officeDocument/2006/relationships/hyperlink" Target="https://a2g9b4.emailsp.com/f/rnl.aspx/?fei=2orws1vy.9ek=vyad8=t3qxvy&amp;f2::=7chafagb&amp;x=pp&amp;yx0-2.e16.&amp;x=pv&amp;2b5g=qttvoNCLM" TargetMode="External"/><Relationship Id="rId670" Type="http://schemas.openxmlformats.org/officeDocument/2006/relationships/hyperlink" Target="https://e5c9a.mailupclient.com/f/rnl.aspx/?jhe=vwt_y1w_/&amp;x=pv&amp;bdi=tzfd&amp;=suvvr/7f1-a=&amp;x=pv&amp;n1&amp;j&amp;kc949&amp;25&amp;x=pp&amp;uy.-5-&amp;x=pv&amp;83dbzb4h=rr3rv_NCLM" TargetMode="External"/><Relationship Id="rId1020" Type="http://schemas.openxmlformats.org/officeDocument/2006/relationships/hyperlink" Target="https://e5c9a.mailupclient.com/f/rnl.aspx/?jhe=1r_yq2o/a&amp;le=t/.l7=swt_u/9.99a=59ndi-a&amp;9g-7e:-49&amp;25&amp;x=pp&amp;uy.-5-&amp;x=pv&amp;83dbzb4h=rrwpzxNCLM" TargetMode="External"/><Relationship Id="rId1021" Type="http://schemas.openxmlformats.org/officeDocument/2006/relationships/hyperlink" Target="https://e5c9a.mailupclient.com/f/rnl.aspx/?jhe=1r_yq2o/a&amp;le=t/.l7=swu3w/9.99a=59ndi-a&amp;9g-7e:-49&amp;25&amp;x=pp&amp;uy.-5-&amp;x=pv&amp;83dbzb4h=rrwrvvNCLM" TargetMode="External"/><Relationship Id="rId433" Type="http://schemas.openxmlformats.org/officeDocument/2006/relationships/hyperlink" Target="https://www.facebook.com/GCBA/posts/pfbid0rZJ4fPo7YnA9AeScq2R7cxcdv5KyU4Q5Vbs7jAwpryZn8LuSdd5z1Z6QyCncHxsil" TargetMode="External"/><Relationship Id="rId675" Type="http://schemas.openxmlformats.org/officeDocument/2006/relationships/hyperlink" Target="https://www.facebook.com/reel/1368798341811054/" TargetMode="External"/><Relationship Id="rId1022" Type="http://schemas.openxmlformats.org/officeDocument/2006/relationships/hyperlink" Target="https://a2g9b4.emailsp.com/f/rnl.aspx/?fei=1vvoo_2y.9ek=vyad8=t3uzoy&amp;f2::=k702m1k6.451&amp;x=pp&amp;r1.&amp;x=pv&amp;49-6&amp;aax00l=rwsrzNCLM" TargetMode="External"/><Relationship Id="rId432" Type="http://schemas.openxmlformats.org/officeDocument/2006/relationships/hyperlink" Target="https://a2g9b4.emailsp.com/f/rnl.aspx/?fei=1wqvoxxy.9ek=vyad8=t3psqy&amp;f2::=4ibeh..e--:5d6.451&amp;x=pp&amp;r1.&amp;x=pv&amp;49-6&amp;aax00l=ruppxNCLM" TargetMode="External"/><Relationship Id="rId674" Type="http://schemas.openxmlformats.org/officeDocument/2006/relationships/hyperlink" Target="https://www.facebook.com/GCBA/posts/pfbid0G5E6dntuJfgbkjrZpgu4zJiAXKNv9Eh8hYSHAZzMaakFv6vZKkDSBFv5mV9DHkpEl" TargetMode="External"/><Relationship Id="rId1023" Type="http://schemas.openxmlformats.org/officeDocument/2006/relationships/hyperlink" Target="https://a2g9b4.emailsp.com/f/rnl.aspx/?fei=1vvoo_2y.9ek=vyad8=t3uqwy&amp;f2::=k702m1k6.451&amp;x=pp&amp;r1.&amp;x=pv&amp;49-6&amp;aax00l=rwsvtNCLM" TargetMode="External"/><Relationship Id="rId431" Type="http://schemas.openxmlformats.org/officeDocument/2006/relationships/hyperlink" Target="https://www.facebook.com/reel/1430192845027079" TargetMode="External"/><Relationship Id="rId673" Type="http://schemas.openxmlformats.org/officeDocument/2006/relationships/hyperlink" Target="https://e5c9a.mailupclient.com/f/rnl.aspx/?jhe=1r_yq2o/a&amp;le=t/.l7=swq3p/9.99a=59ndi-a&amp;9g-7e:-49&amp;25&amp;x=pp&amp;uy.-5-&amp;x=pv&amp;83dbzb4h=rr3srvNCLM" TargetMode="External"/><Relationship Id="rId1024" Type="http://schemas.openxmlformats.org/officeDocument/2006/relationships/hyperlink" Target="https://www.facebook.com/baparticipacion/posts/pfbid02xPmu6xtSjfYqJgYT8HVdMi7mxE3FPErbVzTv2ZFK5PhNpzatcGxDE4SMWxcb7p2Vl" TargetMode="External"/><Relationship Id="rId430" Type="http://schemas.openxmlformats.org/officeDocument/2006/relationships/hyperlink" Target="https://e5c9a.mailupclient.com/f/rnl.aspx/?jhe=vwurvxsx/&amp;x=pv&amp;bdi=tzfd&amp;=st2ts/7f1-a=5k9hibg&amp;x=pv&amp;9a&amp;-c4&amp;501&amp;x=pp&amp;u_9f1-a2&amp;.b/&amp;:d=rsxyttNCLM" TargetMode="External"/><Relationship Id="rId672" Type="http://schemas.openxmlformats.org/officeDocument/2006/relationships/hyperlink" Target="https://a2g9b4.emailsp.com/f/rnl.aspx/?fei=2orws1vy.9ek=vyad8=t3qxty&amp;f2::=7chafagb&amp;x=pp&amp;yx0-2.e16.&amp;x=pv&amp;2b5g=qttytNCLM" TargetMode="External"/><Relationship Id="rId1025" Type="http://schemas.openxmlformats.org/officeDocument/2006/relationships/hyperlink" Target="https://a2g9b4.emailsp.com/f/rnl.aspx/?fei=1vvoo1vy.9ek=vyad8=t3uzry&amp;f2::=-l98i9di-10337&amp;x=pp&amp;yx0-2.e16.&amp;x=pv&amp;2b5g=quyzsNCLM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cebook.com/reel/1472318561601142" TargetMode="External"/><Relationship Id="rId194" Type="http://schemas.openxmlformats.org/officeDocument/2006/relationships/hyperlink" Target="https://www.facebook.com/GCBA/posts/pfbid02a12FFVZSMZjQ3ZJfe2Ss5pqzSM8cvYyREmX99cqDxCiUDTRUWmrKMethJ8WXNsAyl" TargetMode="External"/><Relationship Id="rId193" Type="http://schemas.openxmlformats.org/officeDocument/2006/relationships/hyperlink" Target="https://www.facebook.com/reel/1303979117863829/" TargetMode="External"/><Relationship Id="rId192" Type="http://schemas.openxmlformats.org/officeDocument/2006/relationships/hyperlink" Target="https://www.facebook.com/GCBA/posts/pfbid0CjVfwajBrL248dximdxT5xR5EBXpQ8HpeiLdS9TU5ma5MBaLJwpztFdWH4djbDnxl" TargetMode="External"/><Relationship Id="rId191" Type="http://schemas.openxmlformats.org/officeDocument/2006/relationships/hyperlink" Target="https://fb.me/adspreview/facebook/2kOc7goI7sZAeKe" TargetMode="External"/><Relationship Id="rId187" Type="http://schemas.openxmlformats.org/officeDocument/2006/relationships/hyperlink" Target="https://www.facebook.com/GCBA/posts/pfbid02KByZYYTKe4Kj2HbuZR8a5mv7ptRq1E2aWhAC6TFrkcBbVwgWAfwyCP2uWbLnUjXol" TargetMode="External"/><Relationship Id="rId186" Type="http://schemas.openxmlformats.org/officeDocument/2006/relationships/hyperlink" Target="https://www.facebook.com/GCBA/posts/pfbid0oTTfRyRDjRtSWz1D2DEHt74VHK6N6rLVjYhLoitVw74XKk9AP7kXKcdgB2HbFSBTl" TargetMode="External"/><Relationship Id="rId185" Type="http://schemas.openxmlformats.org/officeDocument/2006/relationships/hyperlink" Target="https://www.facebook.com/reel/2212657036254593" TargetMode="External"/><Relationship Id="rId184" Type="http://schemas.openxmlformats.org/officeDocument/2006/relationships/hyperlink" Target="https://www.facebook.com/reel/1368798341811054/" TargetMode="External"/><Relationship Id="rId189" Type="http://schemas.openxmlformats.org/officeDocument/2006/relationships/hyperlink" Target="https://www.facebook.com/reel/1324354759615538" TargetMode="External"/><Relationship Id="rId188" Type="http://schemas.openxmlformats.org/officeDocument/2006/relationships/hyperlink" Target="https://www.facebook.com/GCBA/posts/pfbid02NBCqry61rDc7ny2faGYE5aG134woXzwj9FJzpP1Sz2LokwQCrJaBKMFXMRJYrVZ1l" TargetMode="External"/><Relationship Id="rId183" Type="http://schemas.openxmlformats.org/officeDocument/2006/relationships/hyperlink" Target="https://www.facebook.com/GCBA/posts/pfbid0G5E6dntuJfgbkjrZpgu4zJiAXKNv9Eh8hYSHAZzMaakFv6vZKkDSBFv5mV9DHkpEl" TargetMode="External"/><Relationship Id="rId182" Type="http://schemas.openxmlformats.org/officeDocument/2006/relationships/hyperlink" Target="https://www.facebook.com/GCBA/posts/pfbid06U9dsRcCSya23RratQKfB5rFy7uQyMQzgwoEaiHX8xrz2KH75AChLPST7uKpyQmVl" TargetMode="External"/><Relationship Id="rId181" Type="http://schemas.openxmlformats.org/officeDocument/2006/relationships/hyperlink" Target="https://www.facebook.com/GCBA/posts/pfbid02j1Uzb4DFfv6YsGCqVkmzxyECsgA7zkVG3iuP7oYY19wRRMsH9twtXPA2PisDPnsKl" TargetMode="External"/><Relationship Id="rId180" Type="http://schemas.openxmlformats.org/officeDocument/2006/relationships/hyperlink" Target="https://fb.me/adspreview/facebook/2pSx4DDCV6w5IsE" TargetMode="External"/><Relationship Id="rId176" Type="http://schemas.openxmlformats.org/officeDocument/2006/relationships/hyperlink" Target="https://www.facebook.com/baparticipacion/posts/pfbid02kBQrh7f57xSAed9pAWm5Xm3igPzVuFVHzBPzdYDUnwqN475VdCFadqRZQrv2RvRxl" TargetMode="External"/><Relationship Id="rId175" Type="http://schemas.openxmlformats.org/officeDocument/2006/relationships/hyperlink" Target="https://www.facebook.com/baparticipacion/posts/pfbid02kngpmp5NpkrpsfoDNX5m7KFxEXGgfPkrB5wTh1aNycn479e4nyUAJdzsKqFd34tfl" TargetMode="External"/><Relationship Id="rId174" Type="http://schemas.openxmlformats.org/officeDocument/2006/relationships/hyperlink" Target="https://www.facebook.com/GCBA/posts/pfbid035McDB5ssdrJJa3P1dLQ3VYe2fbmQjPYatRBMRSA5ESWE5wNQ1v9qUxjbi2UBZnVKl" TargetMode="External"/><Relationship Id="rId173" Type="http://schemas.openxmlformats.org/officeDocument/2006/relationships/hyperlink" Target="https://business.facebook.com/ads/experience/confirmation/?is_responsive=0&amp;encrypted_experience_id=Q8DfBAIJ4IBHp0mhmk-iDWyPWKt9YFowWQwEAROfG4INdTlC9vbi4Pmf8nVrOSBRwASGk0bYyS7Dtizj" TargetMode="External"/><Relationship Id="rId179" Type="http://schemas.openxmlformats.org/officeDocument/2006/relationships/hyperlink" Target="https://www.facebook.com/GCBA/posts/pfbid05AMSQrvjixn7RJ56zP2SUcvbfsiZL479ZfZHea63dWwcwa6cdkQH3xVs42yGbdW2l" TargetMode="External"/><Relationship Id="rId178" Type="http://schemas.openxmlformats.org/officeDocument/2006/relationships/hyperlink" Target="https://www.facebook.com/reel/990960590089250" TargetMode="External"/><Relationship Id="rId177" Type="http://schemas.openxmlformats.org/officeDocument/2006/relationships/hyperlink" Target="https://fb.me/adspreview/facebook/2qgzug1GUWftxho" TargetMode="External"/><Relationship Id="rId198" Type="http://schemas.openxmlformats.org/officeDocument/2006/relationships/hyperlink" Target="https://www.facebook.com/reel/2081566192790744" TargetMode="External"/><Relationship Id="rId197" Type="http://schemas.openxmlformats.org/officeDocument/2006/relationships/hyperlink" Target="https://fb.me/adspreview/facebook/1TRzHvWq8RXQ8WU" TargetMode="External"/><Relationship Id="rId196" Type="http://schemas.openxmlformats.org/officeDocument/2006/relationships/hyperlink" Target="https://fb.me/adspreview/facebook/qyoI6VfQlN9eSCR" TargetMode="External"/><Relationship Id="rId195" Type="http://schemas.openxmlformats.org/officeDocument/2006/relationships/hyperlink" Target="https://www.facebook.com/GCBA/posts/pfbid0huhtVvM2wGsnS6Tn4qvs9bifh35JSbYkVvsT81dLqZXDA8gA5VNEYq5LE1TS1BXhl" TargetMode="External"/><Relationship Id="rId199" Type="http://schemas.openxmlformats.org/officeDocument/2006/relationships/hyperlink" Target="https://www.facebook.com/reel/1719824132483599" TargetMode="External"/><Relationship Id="rId150" Type="http://schemas.openxmlformats.org/officeDocument/2006/relationships/hyperlink" Target="https://www.facebook.com/reel/1590318498709651/" TargetMode="External"/><Relationship Id="rId1" Type="http://schemas.openxmlformats.org/officeDocument/2006/relationships/hyperlink" Target="https://www.facebook.com/reel/818777800864033" TargetMode="External"/><Relationship Id="rId2" Type="http://schemas.openxmlformats.org/officeDocument/2006/relationships/hyperlink" Target="https://www.facebook.com/GCBA/posts/pfbid02ySETv8mbLPx3NFrrHh1eRhVRmMimid99iTcJQu2RtwUS7KCAiwKP9qoSStF1cMSml" TargetMode="External"/><Relationship Id="rId3" Type="http://schemas.openxmlformats.org/officeDocument/2006/relationships/hyperlink" Target="https://www.facebook.com/GCBA/posts/1295953569230956" TargetMode="External"/><Relationship Id="rId149" Type="http://schemas.openxmlformats.org/officeDocument/2006/relationships/hyperlink" Target="https://www.facebook.com/GCBA/posts/pfbid0ZhY9HNw5XyVPq9LPPWvSnUBGrzWXjMx66cykS25RXtuo4kREkyYSVqz9iN4gWoVKl" TargetMode="External"/><Relationship Id="rId4" Type="http://schemas.openxmlformats.org/officeDocument/2006/relationships/hyperlink" Target="https://www.facebook.com/GCBA/posts/pfbid02j9NjjKC7QJSSUrKxkX55nDiWFRmCpVKSS3w7J3VpQA3DakuvLQQ5B3z96orCNRMUl" TargetMode="External"/><Relationship Id="rId148" Type="http://schemas.openxmlformats.org/officeDocument/2006/relationships/hyperlink" Target="https://www.facebook.com/GCBA/posts/pfbid0n8SL6JhJG2DYBnBuXA56cNcseBLQBtds3LtZADwxhq47vo6euiGAyGpW9YPdZyLil" TargetMode="External"/><Relationship Id="rId9" Type="http://schemas.openxmlformats.org/officeDocument/2006/relationships/hyperlink" Target="https://www.facebook.com/GCBA/posts/pfbid02j9NjjKC7QJSSUrKxkX55nDiWFRmCpVKSS3w7J3VpQA3DakuvLQQ5B3z96orCNRMUl" TargetMode="External"/><Relationship Id="rId143" Type="http://schemas.openxmlformats.org/officeDocument/2006/relationships/hyperlink" Target="https://www.facebook.com/baparticipacion/posts/pfbid0fFhtpJqpsLYvKCoQdrSx9qawc4fNkRYx3sJRrh7NgP1kmb6eJyjAvRTLvHGRvbuEl" TargetMode="External"/><Relationship Id="rId142" Type="http://schemas.openxmlformats.org/officeDocument/2006/relationships/hyperlink" Target="https://www.facebook.com/GCBA/posts/pfbid02om29QPQdx9biG61u6BbBky6d5wspZwCXoTWdjfupSHCvfZkz4Luw6CqrKFG4nv4Xl" TargetMode="External"/><Relationship Id="rId141" Type="http://schemas.openxmlformats.org/officeDocument/2006/relationships/hyperlink" Target="https://www.facebook.com/baparticipacion/posts/pfbid034YdpP2aCj4a3NF71q3dkVsnDbhNPMVqYjNZAKFyzDYxuFdcvFhUqS7oDMYJ9dSUQl" TargetMode="External"/><Relationship Id="rId140" Type="http://schemas.openxmlformats.org/officeDocument/2006/relationships/hyperlink" Target="https://www.facebook.com/baparticipacion/posts/pfbid0aiHtMwhdKZKogzkdAm5sZjZ8RPpvY4pTg5x8Pf26m1cy2KiC6hbiuG4THxXjumTBl" TargetMode="External"/><Relationship Id="rId5" Type="http://schemas.openxmlformats.org/officeDocument/2006/relationships/hyperlink" Target="https://www.facebook.com/GCBA/posts/pfbid02QwxLwyKnw9PCTX9BXhgSSH5hJ3u56noy7igZq9orxmSsVPqjj4MMUZ5SD9xXWWQ3l" TargetMode="External"/><Relationship Id="rId147" Type="http://schemas.openxmlformats.org/officeDocument/2006/relationships/hyperlink" Target="https://www.facebook.com/GCBA/posts/pfbid0aBxKSdHUmjtuwXeFb8ASPceQu2KgZjKW3Br8u72xk58sWkLAexGHWAqE8TGKmoTLl" TargetMode="External"/><Relationship Id="rId6" Type="http://schemas.openxmlformats.org/officeDocument/2006/relationships/hyperlink" Target="https://www.facebook.com/GCBA/posts/pfbid0swuyoC42Lys1AAsD6UQ7EPU5B43KXVdVXxxXU4X9oHEJ7DjKXtavLAdDHd6BpccBl" TargetMode="External"/><Relationship Id="rId146" Type="http://schemas.openxmlformats.org/officeDocument/2006/relationships/hyperlink" Target="https://www.facebook.com/reel/1661938441623776" TargetMode="External"/><Relationship Id="rId7" Type="http://schemas.openxmlformats.org/officeDocument/2006/relationships/hyperlink" Target="https://www.facebook.com/GCBA/posts/pfbid02fZ6eoJSg8zqDVE3RogP3nnn5hqo9sxTPxRzzs7HgyWNUmM6XZmtSLLNohgBDJZ2xl" TargetMode="External"/><Relationship Id="rId145" Type="http://schemas.openxmlformats.org/officeDocument/2006/relationships/hyperlink" Target="https://www.facebook.com/reel/1350977913533302" TargetMode="External"/><Relationship Id="rId8" Type="http://schemas.openxmlformats.org/officeDocument/2006/relationships/hyperlink" Target="https://www.facebook.com/GCBA/posts/pfbid02XEqLAZ3ja1iUkCQ1AFBkuUXwxFv9zsX5K86BwUhreM4wjGsmh9yx8x8cEFwBnwo1l" TargetMode="External"/><Relationship Id="rId144" Type="http://schemas.openxmlformats.org/officeDocument/2006/relationships/hyperlink" Target="https://www.facebook.com/GCBA/posts/pfbid02s3FadHkMcs1KPejoRvT7cNbSZg8SAwtbQqyenJWmhWjZzhBZFXKB6TGjKT85xmuEl" TargetMode="External"/><Relationship Id="rId139" Type="http://schemas.openxmlformats.org/officeDocument/2006/relationships/hyperlink" Target="https://www.facebook.com/baparticipacion/posts/pfbid02Cd9WeTeR2MvAMMwZfG6fiw1RXx9T8DrkaBsfjpLgT1xQZFq9pRVZBMTcw4KKgQDPl" TargetMode="External"/><Relationship Id="rId138" Type="http://schemas.openxmlformats.org/officeDocument/2006/relationships/hyperlink" Target="https://www.facebook.com/baparticipacion/posts/pfbid0Ed8Uev5EPAvAM9UfPvra2XCBo8zCNAc9sygYL7GXb6eMNXrC2PoUzhEK76CY3riYl" TargetMode="External"/><Relationship Id="rId137" Type="http://schemas.openxmlformats.org/officeDocument/2006/relationships/hyperlink" Target="https://www.facebook.com/reel/1214416363924445" TargetMode="External"/><Relationship Id="rId132" Type="http://schemas.openxmlformats.org/officeDocument/2006/relationships/hyperlink" Target="https://www.facebook.com/baparticipacion/posts/pfbid0KLowxoSSsyPpnxzoG5kuw1zrmDKcvdiDrZyXprZBLCSbaHeF3NxNiMzHqaFMdnSdl" TargetMode="External"/><Relationship Id="rId131" Type="http://schemas.openxmlformats.org/officeDocument/2006/relationships/hyperlink" Target="https://www.facebook.com/baparticipacion/posts/pfbid0brFm1bCbtuAtW9tkjBSjQLmnYttosXrpaAzso8fwbQuuLicQZWbN76MWrN71RekHl" TargetMode="External"/><Relationship Id="rId130" Type="http://schemas.openxmlformats.org/officeDocument/2006/relationships/hyperlink" Target="https://www.facebook.com/baparticipacion/posts/pfbid09GkkAAkqoFPGdoydEHzWi3RWWfTrmQnxpo6ZWXqCf26wuME2jVZEq4GMgRy9rm8yl" TargetMode="External"/><Relationship Id="rId136" Type="http://schemas.openxmlformats.org/officeDocument/2006/relationships/hyperlink" Target="https://fb.me/adspreview/facebook/1TLrgWWjgfhGCM8" TargetMode="External"/><Relationship Id="rId135" Type="http://schemas.openxmlformats.org/officeDocument/2006/relationships/hyperlink" Target="https://fb.me/adspreview/facebook/1TkeqwIzNSX2150" TargetMode="External"/><Relationship Id="rId134" Type="http://schemas.openxmlformats.org/officeDocument/2006/relationships/hyperlink" Target="https://www.facebook.com/GCBA/posts/pfbid0yJbTFZ1bu3XPMWb9zMuZCve5X87Q4ugRLcfLkSzVdBZ4wp7SvnPjPrQnwKh2Q7CTl" TargetMode="External"/><Relationship Id="rId133" Type="http://schemas.openxmlformats.org/officeDocument/2006/relationships/hyperlink" Target="https://www.facebook.com/baparticipacion/posts/pfbid0NsuYsQqCMf2nfQNUxYatuEnSRbrSBKmf4sB6ZgcyQ4AwVpSiXVGsQC78JgT44Ny9l" TargetMode="External"/><Relationship Id="rId172" Type="http://schemas.openxmlformats.org/officeDocument/2006/relationships/hyperlink" Target="https://www.facebook.com/reel/1958104631478571" TargetMode="External"/><Relationship Id="rId171" Type="http://schemas.openxmlformats.org/officeDocument/2006/relationships/hyperlink" Target="https://www.facebook.com/reel/1530291025201574" TargetMode="External"/><Relationship Id="rId170" Type="http://schemas.openxmlformats.org/officeDocument/2006/relationships/hyperlink" Target="https://www.facebook.com/baparticipacion/posts/pfbid0tMGx9iMLkHP8vjC2RBPG99swE4bWxAUgGgc8aocCDeVjXFAvXrPdbyPD4Apz1wohl" TargetMode="External"/><Relationship Id="rId165" Type="http://schemas.openxmlformats.org/officeDocument/2006/relationships/hyperlink" Target="https://www.facebook.com/GCBA/posts/pfbid0Pznwvb2iEUy69CbGNn1ijyJpDoT3MVoMAqbjE7dnaLmy1nJ4umHMbEApNRFwAHiMl" TargetMode="External"/><Relationship Id="rId164" Type="http://schemas.openxmlformats.org/officeDocument/2006/relationships/hyperlink" Target="https://www.facebook.com/baparticipacion/posts/pfbid02wRBHGdv3dYBDksfeYTp6Z6mCuyLLBie92PbuasD8kyFmpXQfXjTJJApAEq2BL4PQl" TargetMode="External"/><Relationship Id="rId163" Type="http://schemas.openxmlformats.org/officeDocument/2006/relationships/hyperlink" Target="https://www.facebook.com/baparticipacion/posts/pfbid0Kk5r87c8AodVCta9pZq3XRWo9fV95javxAd6YrUKdHFGmLqZUAnLXyCXoA1MsjCyl" TargetMode="External"/><Relationship Id="rId162" Type="http://schemas.openxmlformats.org/officeDocument/2006/relationships/hyperlink" Target="https://www.facebook.com/baparticipacion/posts/pfbid02GuVdByPd1h6dfYw9DmTBhSDw1t4WzDNQ2VyEiv7L6KKRL3AnfAt99Cx8syRc48W2l" TargetMode="External"/><Relationship Id="rId169" Type="http://schemas.openxmlformats.org/officeDocument/2006/relationships/hyperlink" Target="http://facebook.com/reel/1634422507650526/" TargetMode="External"/><Relationship Id="rId168" Type="http://schemas.openxmlformats.org/officeDocument/2006/relationships/hyperlink" Target="http://facebook.com/reel/1023934959977410/" TargetMode="External"/><Relationship Id="rId167" Type="http://schemas.openxmlformats.org/officeDocument/2006/relationships/hyperlink" Target="https://www.facebook.com/GCBA/posts/pfbid02mwrKmDbfvoUhtss5fmCX5RnWGcAg34Rc3HFNP4sMhzYsoGdi8qyBFSCq8v3Vw9wml" TargetMode="External"/><Relationship Id="rId166" Type="http://schemas.openxmlformats.org/officeDocument/2006/relationships/hyperlink" Target="https://www.facebook.com/100064489762372/posts/1473265644833080/" TargetMode="External"/><Relationship Id="rId161" Type="http://schemas.openxmlformats.org/officeDocument/2006/relationships/hyperlink" Target="https://www.facebook.com/baparticipacion/posts/pfbid098U3FgAYxFaNBJnrhtaM3H8D92aATVS4EYb888eof5ByRFNJd7bn7FybtN1wwci7l" TargetMode="External"/><Relationship Id="rId160" Type="http://schemas.openxmlformats.org/officeDocument/2006/relationships/hyperlink" Target="https://www.facebook.com/baparticipacion/posts/pfbid09AS49KkVfKMf62fEQRz6iXUsEG2fjaqVfPmuCCC58f5UWFYJ8TB1ta22KU6ER8Tkl" TargetMode="External"/><Relationship Id="rId159" Type="http://schemas.openxmlformats.org/officeDocument/2006/relationships/hyperlink" Target="https://www.facebook.com/baparticipacion/posts/pfbid0a9Khp7pULiMMYQMkVT5D2gf2S9fkMgKRvS25bmiT6zTf782A6KfUtBxnjv5etnv8l" TargetMode="External"/><Relationship Id="rId154" Type="http://schemas.openxmlformats.org/officeDocument/2006/relationships/hyperlink" Target="https://www.facebook.com/reel/1458725662138823" TargetMode="External"/><Relationship Id="rId153" Type="http://schemas.openxmlformats.org/officeDocument/2006/relationships/hyperlink" Target="https://www.facebook.com/GCBA/posts/pfbid02piHF6wJbhqe8kwXMsA6anj6iCoiQq4eEf5Dxw2jWsfXvACz8eyAfYWCrjKKt98wsl" TargetMode="External"/><Relationship Id="rId152" Type="http://schemas.openxmlformats.org/officeDocument/2006/relationships/hyperlink" Target="https://www.facebook.com/reel/2613717612355871" TargetMode="External"/><Relationship Id="rId151" Type="http://schemas.openxmlformats.org/officeDocument/2006/relationships/hyperlink" Target="https://www.facebook.com/GCBA/posts/pfbid02HcEpZ4qXy9tSUmWmhFECdEBMEEypzXRaEHr8wrQGJ4tE1ML1sNV2V5RTo2hHAsfUl" TargetMode="External"/><Relationship Id="rId158" Type="http://schemas.openxmlformats.org/officeDocument/2006/relationships/hyperlink" Target="https://www.facebook.com/baparticipacion/posts/pfbid02EMWgKBXVsjaCKma2N7M6AjPPM6wR3Q3bJG32D1ExDHmXmDhXnfHWCieewQECNF6Ll" TargetMode="External"/><Relationship Id="rId157" Type="http://schemas.openxmlformats.org/officeDocument/2006/relationships/hyperlink" Target="https://www.facebook.com/baparticipacion/posts/pfbid02ACp8cW6DkLqKbEH3wL2wqe24LPhy8wctFBcStRDJwm1Nah5h1Em563xRxD5L7qH5l" TargetMode="External"/><Relationship Id="rId156" Type="http://schemas.openxmlformats.org/officeDocument/2006/relationships/hyperlink" Target="https://www.facebook.com/baparticipacion/posts/pfbid0337DDYLN4zwtQBEmADu3hineCWrEYsHQXX7s4zt7dBM7hPiahrNoqW1stMWqRwLKol" TargetMode="External"/><Relationship Id="rId155" Type="http://schemas.openxmlformats.org/officeDocument/2006/relationships/hyperlink" Target="https://www.facebook.com/baparticipacion/posts/pfbid02hwLB24e1ZTxjY3XgRNitembhPzcmefEqr4EW1gEX9jroGvKZmLqQUB2HNVpy79Pal" TargetMode="External"/><Relationship Id="rId40" Type="http://schemas.openxmlformats.org/officeDocument/2006/relationships/hyperlink" Target="https://www.facebook.com/GCBA/posts/pfbid02BLwc5PnG5EYzbVeS3qNZ6Nb5in3PifakagmTh6BFX3zNQZ1rLsJ3FsQx9JDG2gFdl" TargetMode="External"/><Relationship Id="rId42" Type="http://schemas.openxmlformats.org/officeDocument/2006/relationships/hyperlink" Target="https://www.facebook.com/reel/26974859272149704" TargetMode="External"/><Relationship Id="rId41" Type="http://schemas.openxmlformats.org/officeDocument/2006/relationships/hyperlink" Target="https://www.facebook.com/reel/1297793642108690" TargetMode="External"/><Relationship Id="rId44" Type="http://schemas.openxmlformats.org/officeDocument/2006/relationships/hyperlink" Target="https://www.facebook.com/photo?fbid=1447021517457493&amp;set=p.1447021517457493" TargetMode="External"/><Relationship Id="rId43" Type="http://schemas.openxmlformats.org/officeDocument/2006/relationships/hyperlink" Target="https://www.facebook.com/GCBA/posts/pfbid02yGxP3HnpYHFD9KgthW4dZJADq6KNSb78N1gpPo3Qyn5rcWTEddUtRf8A7kPqvWe6l" TargetMode="External"/><Relationship Id="rId46" Type="http://schemas.openxmlformats.org/officeDocument/2006/relationships/hyperlink" Target="https://www.facebook.com/reel/1974761746764395" TargetMode="External"/><Relationship Id="rId45" Type="http://schemas.openxmlformats.org/officeDocument/2006/relationships/hyperlink" Target="https://www.facebook.com/reel/1445769290004552" TargetMode="External"/><Relationship Id="rId48" Type="http://schemas.openxmlformats.org/officeDocument/2006/relationships/hyperlink" Target="https://www.facebook.com/reel/1862137061117644" TargetMode="External"/><Relationship Id="rId47" Type="http://schemas.openxmlformats.org/officeDocument/2006/relationships/hyperlink" Target="https://www.facebook.com/reel/1095770269437604" TargetMode="External"/><Relationship Id="rId49" Type="http://schemas.openxmlformats.org/officeDocument/2006/relationships/hyperlink" Target="https://www.facebook.com/reel/1330701805649297" TargetMode="External"/><Relationship Id="rId31" Type="http://schemas.openxmlformats.org/officeDocument/2006/relationships/hyperlink" Target="https://www.facebook.com/reel/1985348935347886" TargetMode="External"/><Relationship Id="rId30" Type="http://schemas.openxmlformats.org/officeDocument/2006/relationships/hyperlink" Target="https://www.facebook.com/GCBA/posts/pfbid0BsWeHieuJG1uGtxTuMBe5GYGU77PsY829qhF8HeGWpSsWmLpxTT9CTzWTUa3pxfbl" TargetMode="External"/><Relationship Id="rId33" Type="http://schemas.openxmlformats.org/officeDocument/2006/relationships/hyperlink" Target="https://fb.me/adspreview/facebook/27utMxPibDIBULh" TargetMode="External"/><Relationship Id="rId32" Type="http://schemas.openxmlformats.org/officeDocument/2006/relationships/hyperlink" Target="https://www.facebook.com/GCBA/posts/pfbid034yhPZN5yb3JKe4gVWvnfg3JxEqjRYwvE5KVfa8FhtU9xnt4fvGGv6PfcJxxWU5qNl" TargetMode="External"/><Relationship Id="rId35" Type="http://schemas.openxmlformats.org/officeDocument/2006/relationships/hyperlink" Target="https://fb.me/adspreview/facebook/xMT36MnFuXZIDzt" TargetMode="External"/><Relationship Id="rId34" Type="http://schemas.openxmlformats.org/officeDocument/2006/relationships/hyperlink" Target="https://www.facebook.com/GCBA/posts/pfbid02skUdtrbsimuTryUG4RHgFZofPSnLrmz2LKHSqBZbBiyVryTXEaMk43DgH54kd2xbl" TargetMode="External"/><Relationship Id="rId37" Type="http://schemas.openxmlformats.org/officeDocument/2006/relationships/hyperlink" Target="https://www.facebook.com/reel/25959631640339458" TargetMode="External"/><Relationship Id="rId36" Type="http://schemas.openxmlformats.org/officeDocument/2006/relationships/hyperlink" Target="https://www.facebook.com/GCBA/posts/pfbid0337UG4zRXFbMrDgWhEvo65XfwWurZKf1GK8RZQ5Pka9jErhk36TCLtEoR98b6H6GGl" TargetMode="External"/><Relationship Id="rId39" Type="http://schemas.openxmlformats.org/officeDocument/2006/relationships/hyperlink" Target="https://www.facebook.com/reel/1332009022300877" TargetMode="External"/><Relationship Id="rId38" Type="http://schemas.openxmlformats.org/officeDocument/2006/relationships/hyperlink" Target="https://www.facebook.com/reel/1376298900359413" TargetMode="External"/><Relationship Id="rId20" Type="http://schemas.openxmlformats.org/officeDocument/2006/relationships/hyperlink" Target="https://www.facebook.com/GCBA/posts/pfbid032UmvaRZ3eAJNRC4zHziYpyXVaPbbTucP4LKQNEh1BSxa3mTrzNz6mZGgDzRqYkTel" TargetMode="External"/><Relationship Id="rId22" Type="http://schemas.openxmlformats.org/officeDocument/2006/relationships/hyperlink" Target="https://www.facebook.com/GCBA/posts/pfbid0nA1q3xBcy1eJcYdmUe5hTkrG2zrbURY6VnDCqEubzKtTg6UhWBiGjhgYWJQUsK86l" TargetMode="External"/><Relationship Id="rId21" Type="http://schemas.openxmlformats.org/officeDocument/2006/relationships/hyperlink" Target="https://www.facebook.com/GCBA/posts/pfbid08jZno8hyH4wUURfHDj5eKgWYFcmdn1Lqh1sjbw1zmwZJ4dSZGEmpAeit2EdCjTLal" TargetMode="External"/><Relationship Id="rId24" Type="http://schemas.openxmlformats.org/officeDocument/2006/relationships/hyperlink" Target="https://fb.me/adspreview/facebook/1RMCueLZDYjPeIW" TargetMode="External"/><Relationship Id="rId23" Type="http://schemas.openxmlformats.org/officeDocument/2006/relationships/hyperlink" Target="https://www.facebook.com/GCBA/posts/pfbid0N5sbH3engzLHtbfZQM61dN6d9zBMxwsp4N1bpfX76sx6bnCZy4398mqDoXuTfdX5l" TargetMode="External"/><Relationship Id="rId26" Type="http://schemas.openxmlformats.org/officeDocument/2006/relationships/hyperlink" Target="https://www.facebook.com/100064853673908/posts/1304262748412169/" TargetMode="External"/><Relationship Id="rId25" Type="http://schemas.openxmlformats.org/officeDocument/2006/relationships/hyperlink" Target="https://www.facebook.com/reel/850462247854341" TargetMode="External"/><Relationship Id="rId28" Type="http://schemas.openxmlformats.org/officeDocument/2006/relationships/hyperlink" Target="http://facebook.com/reel/1964189401115594/" TargetMode="External"/><Relationship Id="rId27" Type="http://schemas.openxmlformats.org/officeDocument/2006/relationships/hyperlink" Target="http://facebook.com/reel/654304614371554/" TargetMode="External"/><Relationship Id="rId29" Type="http://schemas.openxmlformats.org/officeDocument/2006/relationships/hyperlink" Target="https://www.facebook.com/GCBA/posts/pfbid036pqFXR7zAF8PvFnxngTEwxPE9PqKmWq4AHHELyLosNtsxKY2jxKJRGQJxGk3ecSbl" TargetMode="External"/><Relationship Id="rId11" Type="http://schemas.openxmlformats.org/officeDocument/2006/relationships/hyperlink" Target="https://www.facebook.com/GCBA/posts/pfbid02SB5PG237gJvSQGMPLHpQAP5b6uxqxh8AqRUS3csVWmCnYyvd77i8d67LSBMnBtg8l" TargetMode="External"/><Relationship Id="rId10" Type="http://schemas.openxmlformats.org/officeDocument/2006/relationships/hyperlink" Target="https://www.facebook.com/GCBA/posts/pfbid02dx5PKW9dhfnoR52qjj3Cxnq9opfoRmH6HwTJx9uacynmmZet5vn1FL6Xavv3J8ZXl" TargetMode="External"/><Relationship Id="rId13" Type="http://schemas.openxmlformats.org/officeDocument/2006/relationships/hyperlink" Target="https://www.facebook.com/GCBA/posts/pfbid02fhrsXdCgnCn19Gs1k1PTjbTdAfYLBMqW3w4zhQLgJqH8r8uW4azYikpQk6Js8WNcl" TargetMode="External"/><Relationship Id="rId12" Type="http://schemas.openxmlformats.org/officeDocument/2006/relationships/hyperlink" Target="https://www.facebook.com/GCBA/posts/pfbid0yZFqpziwsSvEpGHnbKnvgTkMNo6Ys8gfLmUBqRKhRCH71tiHcf1cXzt2RhCmokjMl" TargetMode="External"/><Relationship Id="rId15" Type="http://schemas.openxmlformats.org/officeDocument/2006/relationships/hyperlink" Target="https://www.facebook.com/GCBA/posts/pfbid034rFdFhu5CMuLHbUxCF393aMxjQ6Uzsq6seyeRjcjNKtzSymPzkApKt81BUxEeVj3l" TargetMode="External"/><Relationship Id="rId14" Type="http://schemas.openxmlformats.org/officeDocument/2006/relationships/hyperlink" Target="https://www.facebook.com/reel/1259490412867632" TargetMode="External"/><Relationship Id="rId17" Type="http://schemas.openxmlformats.org/officeDocument/2006/relationships/hyperlink" Target="https://www.facebook.com/reel/1401103571662551" TargetMode="External"/><Relationship Id="rId16" Type="http://schemas.openxmlformats.org/officeDocument/2006/relationships/hyperlink" Target="https://www.facebook.com/GCBA/posts/pfbid02PmAtvdzD176mjzPpPRZmFQTNXzNjqoKr7o9wByEVUtzkzYpigMPqtXRGysNDa6Wjl" TargetMode="External"/><Relationship Id="rId19" Type="http://schemas.openxmlformats.org/officeDocument/2006/relationships/hyperlink" Target="https://www.facebook.com/GCBA/posts/pfbid0rLEuW4M93zccXsLKxEbAgdx71UvEEJJusTpaAfZzdSBaQDr7KZx36ckPuiwG1Rhql" TargetMode="External"/><Relationship Id="rId18" Type="http://schemas.openxmlformats.org/officeDocument/2006/relationships/hyperlink" Target="https://www.facebook.com/reel/1385888349747054/" TargetMode="External"/><Relationship Id="rId84" Type="http://schemas.openxmlformats.org/officeDocument/2006/relationships/hyperlink" Target="https://fb.me/adspreview/facebook/2F5N1HlfWgdYQBf" TargetMode="External"/><Relationship Id="rId83" Type="http://schemas.openxmlformats.org/officeDocument/2006/relationships/hyperlink" Target="https://www.facebook.com/GCBA/posts/pfbid03potqP2eLt1quBeScj472G3XvQX7GKsrikv4qrT6WmgaAwGAKgpnViaxrhGzELgNl" TargetMode="External"/><Relationship Id="rId86" Type="http://schemas.openxmlformats.org/officeDocument/2006/relationships/hyperlink" Target="https://www.facebook.com/GCBA/posts/pfbid0vT9BjkE9FtvnueXVa8bYmHyqadrpFHMZciLcgCAjaEUKTjCNojm5Do5ioaeMxA3Hl" TargetMode="External"/><Relationship Id="rId85" Type="http://schemas.openxmlformats.org/officeDocument/2006/relationships/hyperlink" Target="https://www.facebook.com/baparticipacion/posts/pfbid0KU21EBFa9ohX5iTUwZQc18vqoPQ3yh1diytwSNduJyoSMoRhK6eudsgtSDcy3udMl" TargetMode="External"/><Relationship Id="rId88" Type="http://schemas.openxmlformats.org/officeDocument/2006/relationships/hyperlink" Target="https://fb.me/adspreview/facebook/23HuMg8PbM643Dh" TargetMode="External"/><Relationship Id="rId87" Type="http://schemas.openxmlformats.org/officeDocument/2006/relationships/hyperlink" Target="https://fb.me/adspreview/facebook/21gIh31pujWSpw4" TargetMode="External"/><Relationship Id="rId89" Type="http://schemas.openxmlformats.org/officeDocument/2006/relationships/hyperlink" Target="https://www.facebook.com/baparticipacion/posts/pfbid02aS24Hkz9QALBv87g781wnbe4o3cNyAz4sbbsfiF9EtiQJzY3iyNNpAMCJRdAs3PEl" TargetMode="External"/><Relationship Id="rId80" Type="http://schemas.openxmlformats.org/officeDocument/2006/relationships/hyperlink" Target="https://www.facebook.com/GCBA/posts/pfbid0rZJ4fPo7YnA9AeScq2R7cxcdv5KyU4Q5Vbs7jAwpryZn8LuSdd5z1Z6QyCncHxsil" TargetMode="External"/><Relationship Id="rId82" Type="http://schemas.openxmlformats.org/officeDocument/2006/relationships/hyperlink" Target="https://fb.me/adspreview/facebook/2dJpeAUOaCB7apk" TargetMode="External"/><Relationship Id="rId81" Type="http://schemas.openxmlformats.org/officeDocument/2006/relationships/hyperlink" Target="https://www.facebook.com/GCBA/posts/pfbid0dTC8Lpqi6cP6mAMw4ceVVAx4C7fS6XDo5PzuFWLRgZkCGzvHMGB3PVJGmHyuSHS3l" TargetMode="External"/><Relationship Id="rId73" Type="http://schemas.openxmlformats.org/officeDocument/2006/relationships/hyperlink" Target="https://www.facebook.com/baparticipacion/posts/pfbid02GLBYpkMkpgWMkCjsDo6d1qPvK3Fkx2kgUm6iEaXxovXXzd3UA7HdqNKbZdBWQaXtl" TargetMode="External"/><Relationship Id="rId72" Type="http://schemas.openxmlformats.org/officeDocument/2006/relationships/hyperlink" Target="https://www.facebook.com/baparticipacion/posts/pfbid0UjssYKKcNNnjMP4wc9VnxyE2iRb1qJMDHDBAqV42U4dF3szvJTKxo9ksjwZTjkZvl" TargetMode="External"/><Relationship Id="rId75" Type="http://schemas.openxmlformats.org/officeDocument/2006/relationships/hyperlink" Target="https://www.facebook.com/baparticipacion/posts/pfbid0ZNryPVEWwptixW2udVwy57jBnx2ZYBpc5reETSdaQPu1dtAQD4Wd1QTEiBXG2Kdul" TargetMode="External"/><Relationship Id="rId74" Type="http://schemas.openxmlformats.org/officeDocument/2006/relationships/hyperlink" Target="https://www.facebook.com/baparticipacion/posts/pfbid02YRVUqWgcq9vykKsseVnPrFPvU3JAquodw9G3ixGSq1yrcVoABoHnYHW3xZpxs6v5l" TargetMode="External"/><Relationship Id="rId77" Type="http://schemas.openxmlformats.org/officeDocument/2006/relationships/hyperlink" Target="https://www.facebook.com/baparticipacion/posts/pfbid083zAfc3nNeS5Eqp7S1h3sXJAHVZ85HXeAHzorPa2k6QAc4RY9ex2S3XdfhzYgt1Ml" TargetMode="External"/><Relationship Id="rId76" Type="http://schemas.openxmlformats.org/officeDocument/2006/relationships/hyperlink" Target="https://www.facebook.com/baparticipacion/posts/pfbid025EiXLdTesVNC45LnEp63AusvMG7DbCeSrJur6BFVkh6LDHS5tmrVPgPUZNLQWkAwl" TargetMode="External"/><Relationship Id="rId79" Type="http://schemas.openxmlformats.org/officeDocument/2006/relationships/hyperlink" Target="https://www.facebook.com/reel/1430192845027079" TargetMode="External"/><Relationship Id="rId78" Type="http://schemas.openxmlformats.org/officeDocument/2006/relationships/hyperlink" Target="https://www.facebook.com/baparticipacion/posts/pfbid02GaNy9rqMfsWNqVtKyk7cAG7YPM1x6zjFDkpX4NVkpqD7L6ytK7EqqXfmCBRHBocdl" TargetMode="External"/><Relationship Id="rId71" Type="http://schemas.openxmlformats.org/officeDocument/2006/relationships/hyperlink" Target="https://www.facebook.com/GCBA/posts/pfbid0HDjJ7ADLmVV9qRNGYyC1QmhZKHE6gr3HcD2wiXfT8Uf1PBKo7aaWtbNktXYwgoBCl" TargetMode="External"/><Relationship Id="rId70" Type="http://schemas.openxmlformats.org/officeDocument/2006/relationships/hyperlink" Target="https://www.facebook.com/reel/1214416363924445" TargetMode="External"/><Relationship Id="rId62" Type="http://schemas.openxmlformats.org/officeDocument/2006/relationships/hyperlink" Target="https://www.facebook.com/GCBA/posts/pfbid0DZRfNQeZrb83xQQThogTYk4iP8kcW2amjyuLxfjmWuqZ8ndhe4MCUQ8gWzU3EDial" TargetMode="External"/><Relationship Id="rId61" Type="http://schemas.openxmlformats.org/officeDocument/2006/relationships/hyperlink" Target="https://www.facebook.com/baparticipacion/posts/pfbid0kSaekN4E3crjZQsVx9VCKmGYdJREhLpffevxyskotGVh6WeB1QTfyfTdLHN2WyrMl" TargetMode="External"/><Relationship Id="rId64" Type="http://schemas.openxmlformats.org/officeDocument/2006/relationships/hyperlink" Target="https://www.facebook.com/reel/975781694862173" TargetMode="External"/><Relationship Id="rId63" Type="http://schemas.openxmlformats.org/officeDocument/2006/relationships/hyperlink" Target="https://www.facebook.com/GCBA/posts/pfbid0sjsw4fmaZgH69Leu9Xq1bGvySQmZsbQtRcg9RLZrzuPWEHQATgDdDX3DKPknXAmKl" TargetMode="External"/><Relationship Id="rId66" Type="http://schemas.openxmlformats.org/officeDocument/2006/relationships/hyperlink" Target="https://www.facebook.com/GCBA/posts/pfbid02qaBDzBApaakXi9SjeBNn6xUvgrazcp7PbQLusMapiN1AqwWSP4P9owjRg47fKsvxl" TargetMode="External"/><Relationship Id="rId65" Type="http://schemas.openxmlformats.org/officeDocument/2006/relationships/hyperlink" Target="https://www.facebook.com/reel/1004337665882718" TargetMode="External"/><Relationship Id="rId68" Type="http://schemas.openxmlformats.org/officeDocument/2006/relationships/hyperlink" Target="https://www.facebook.com/reel/1441473893755475" TargetMode="External"/><Relationship Id="rId67" Type="http://schemas.openxmlformats.org/officeDocument/2006/relationships/hyperlink" Target="https://www.facebook.com/baparticipacion/posts/pfbid02KZUeu6698ybfHTdaJoen8nwGxjQMYPVAUZo6TqMhxiRskpv9L6Z7oJ5rhfhFrU8Sl" TargetMode="External"/><Relationship Id="rId60" Type="http://schemas.openxmlformats.org/officeDocument/2006/relationships/hyperlink" Target="https://fb.me/adspreview/facebook/2gC1YOO7LmB8gHB" TargetMode="External"/><Relationship Id="rId69" Type="http://schemas.openxmlformats.org/officeDocument/2006/relationships/hyperlink" Target="https://www.facebook.com/GCBA/posts/pfbid0E16AtoNWBXLpWUXesZd3cPNQWebLVihxqQHLM15qSupdZQf2fk4wY3XMMtcEtzkfl" TargetMode="External"/><Relationship Id="rId51" Type="http://schemas.openxmlformats.org/officeDocument/2006/relationships/hyperlink" Target="https://www.facebook.com/GCBA/posts/pfbid02kJAqNJQKHkr6HnTWhtj4EoMmoQkvchXoGoksdB483aiZM8mHCyBfuzEiebUqSfgCl" TargetMode="External"/><Relationship Id="rId50" Type="http://schemas.openxmlformats.org/officeDocument/2006/relationships/hyperlink" Target="https://www.facebook.com/reel/1297000715746820" TargetMode="External"/><Relationship Id="rId53" Type="http://schemas.openxmlformats.org/officeDocument/2006/relationships/hyperlink" Target="https://www.facebook.com/baparticipacion/posts/pfbid0qEJVDkM6tZVZ58Uu6pBmkE3n7D6gMe3zzAcvFfipACKprK91q7VNQGgdpEywzXsul" TargetMode="External"/><Relationship Id="rId52" Type="http://schemas.openxmlformats.org/officeDocument/2006/relationships/hyperlink" Target="https://www.facebook.com/baparticipacion/posts/pfbid025eXMMaMRR3xtuDzYFXpTi4Ew9wWyJ4dFKqVhL6K7ZPYi2WqphriDmGj6njpAB1uGl" TargetMode="External"/><Relationship Id="rId55" Type="http://schemas.openxmlformats.org/officeDocument/2006/relationships/hyperlink" Target="https://www.facebook.com/baparticipacion/posts/pfbid02RUBMaJ62CajB3ZiaerUP7LxWT4fQZwdFBu1CD5j9gNTftoQtd27fNxQPcswxDdd2l" TargetMode="External"/><Relationship Id="rId54" Type="http://schemas.openxmlformats.org/officeDocument/2006/relationships/hyperlink" Target="https://www.facebook.com/reel/1636840367449927" TargetMode="External"/><Relationship Id="rId57" Type="http://schemas.openxmlformats.org/officeDocument/2006/relationships/hyperlink" Target="https://www.facebook.com/baparticipacion/posts/pfbid02W7pSHStUWAuVKanDN3fimepsME7cCDqvUC8LutXXxMXHYJdFubCRQ9vL8A6WTUMZl" TargetMode="External"/><Relationship Id="rId56" Type="http://schemas.openxmlformats.org/officeDocument/2006/relationships/hyperlink" Target="https://www.facebook.com/baparticipacion/posts/pfbid02D4p3c61TC3iLaUufcUgkSy9YMaWZLpCQywL3zSV1MRMjfcFgJzcgDzqwp3kQ2a2Vl" TargetMode="External"/><Relationship Id="rId59" Type="http://schemas.openxmlformats.org/officeDocument/2006/relationships/hyperlink" Target="https://www.facebook.com/baparticipacion/posts/pfbid0onKVqtxQyKuaY6vdX5cuEeKkdaUBMSx3oBipA1aaj3zAZ1AbiGza2kvH4bRfBxDcl" TargetMode="External"/><Relationship Id="rId58" Type="http://schemas.openxmlformats.org/officeDocument/2006/relationships/hyperlink" Target="https://www.facebook.com/baparticipacion/posts/pfbid02DivgCpQoC2fB8rwvnUqqNXsH435uSvuKmTJWpHsUiWMVXZoqfLQpDKiziP5Rd3yQl" TargetMode="External"/><Relationship Id="rId107" Type="http://schemas.openxmlformats.org/officeDocument/2006/relationships/hyperlink" Target="https://www.facebook.com/baparticipacion/posts/pfbid02Be94pfg4R6beCoTSePetEMVwLBbqTFd7CU3H6VoGozETniqhyxCakokCAeFUihLAl" TargetMode="External"/><Relationship Id="rId106" Type="http://schemas.openxmlformats.org/officeDocument/2006/relationships/hyperlink" Target="https://www.facebook.com/baparticipacion/posts/pfbid02eHMU8DRFv5G7uj3fSY81NkcpYcFi9JTxfeNqhYnvkBPVgfv5NXU5kdufEvM2rof3l" TargetMode="External"/><Relationship Id="rId105" Type="http://schemas.openxmlformats.org/officeDocument/2006/relationships/hyperlink" Target="https://www.facebook.com/baparticipacion/posts/pfbid02yG5kr92pnz4PNTvonpNcoGVwjaaR1Nrpx57TxisAnuiWH4bComAFZDpSEKbgBcwql" TargetMode="External"/><Relationship Id="rId104" Type="http://schemas.openxmlformats.org/officeDocument/2006/relationships/hyperlink" Target="https://www.facebook.com/baparticipacion/posts/pfbid02nk9JT1CS1a3bwqK9m4xA2WAJPiPVaUrd6moFywPNX5UVzJ31Y1z7mZVRDeT3Tshcl" TargetMode="External"/><Relationship Id="rId109" Type="http://schemas.openxmlformats.org/officeDocument/2006/relationships/hyperlink" Target="https://www.facebook.com/GCBA/posts/pfbid03uqGShkH3wDvPES2L1MKqxUrozrLNQSBWNBChNAwiwT9xs68ezppMcmScRX5Y3VPl" TargetMode="External"/><Relationship Id="rId108" Type="http://schemas.openxmlformats.org/officeDocument/2006/relationships/hyperlink" Target="https://www.facebook.com/GCBA/posts/pfbid054fnijeMDNVJV1K4PTsWQtpWYmhmsHdb2niaFKoc9N1b8LPNcda5napYbUXdJbdql" TargetMode="External"/><Relationship Id="rId103" Type="http://schemas.openxmlformats.org/officeDocument/2006/relationships/hyperlink" Target="https://www.facebook.com/baparticipacion/posts/pfbid023kLA75ppgyAUB3JBniZYYWvaAcZEGdPafxcfYGXSZUC7duoVETcQ7eGLZT9WFWk4l" TargetMode="External"/><Relationship Id="rId102" Type="http://schemas.openxmlformats.org/officeDocument/2006/relationships/hyperlink" Target="https://www.facebook.com/baparticipacion/posts/pfbid02RfD5oXgA8P3q6zwVkAp9uJLa6fSFfvvACB7em7W2hGYtZzw9idT2qE5zVd4nGrkfl" TargetMode="External"/><Relationship Id="rId101" Type="http://schemas.openxmlformats.org/officeDocument/2006/relationships/hyperlink" Target="https://www.facebook.com/baparticipacion/posts/pfbid02gLwQJ8rUUwQKTwkFGuLMEizLGGHtJvgGnM1hRJbj39URHPCysj85vKBzjs8hXcYql" TargetMode="External"/><Relationship Id="rId100" Type="http://schemas.openxmlformats.org/officeDocument/2006/relationships/hyperlink" Target="https://www.facebook.com/baparticipacion/posts/pfbid0GzWuf7Ap7Y7Pi378gVersFXJagxXrdxWYBrV99tEWcMDBYws33j1RDahyAyJsMVAl" TargetMode="External"/><Relationship Id="rId129" Type="http://schemas.openxmlformats.org/officeDocument/2006/relationships/hyperlink" Target="https://www.facebook.com/baparticipacion/posts/pfbid0XEULNebDXk1ywWcpcojCyfFSneCeUgxVJu926P5wGVrJP3Qwru1tRir4rro7HusWl" TargetMode="External"/><Relationship Id="rId128" Type="http://schemas.openxmlformats.org/officeDocument/2006/relationships/hyperlink" Target="https://www.facebook.com/GCBA/posts/pfbid02ZZNyUrpY1B4MgUutqorhDq8cCURfSLLjs4WQV7Jf9V5BvNoViXF6BneUAHD7zymql" TargetMode="External"/><Relationship Id="rId127" Type="http://schemas.openxmlformats.org/officeDocument/2006/relationships/hyperlink" Target="https://www.facebook.com/baparticipacion/posts/pfbid0hwDpoNs6YYRf2X8atuVpFA7YNkjojnRYuAHyU2s44oECEmY4MhgAsFCauC7bfWevl" TargetMode="External"/><Relationship Id="rId126" Type="http://schemas.openxmlformats.org/officeDocument/2006/relationships/hyperlink" Target="https://www.facebook.com/reel/2478921712565121/" TargetMode="External"/><Relationship Id="rId121" Type="http://schemas.openxmlformats.org/officeDocument/2006/relationships/hyperlink" Target="https://www.facebook.com/reel/1524051432758941" TargetMode="External"/><Relationship Id="rId120" Type="http://schemas.openxmlformats.org/officeDocument/2006/relationships/hyperlink" Target="https://www.facebook.com/reel/2170033937131074" TargetMode="External"/><Relationship Id="rId125" Type="http://schemas.openxmlformats.org/officeDocument/2006/relationships/hyperlink" Target="https://fb.me/adspreview/facebook/1U53Ljp62nKtRhr" TargetMode="External"/><Relationship Id="rId124" Type="http://schemas.openxmlformats.org/officeDocument/2006/relationships/hyperlink" Target="https://www.facebook.com/GCBA/posts/pfbid0277YpxeHyUczhXNK3u8A7tDDmhV8R9AGH6TF7HV7vK9Lp44oZbVyEwKMpjdVQqRml" TargetMode="External"/><Relationship Id="rId123" Type="http://schemas.openxmlformats.org/officeDocument/2006/relationships/hyperlink" Target="https://www.facebook.com/GCBA/posts/pfbid0UXKR5mtRmWYXP5cTzNVa3FmB9ij1evJuxPD588yGyfBNCcZ154rcMRwSRNXUtSDwl" TargetMode="External"/><Relationship Id="rId122" Type="http://schemas.openxmlformats.org/officeDocument/2006/relationships/hyperlink" Target="https://www.facebook.com/GCBA/posts/pfbid02aNCMtfa2ugz4oUAhKsTz8d9nWexr2u33cXHACEdWgPBU9sw8nFwG6qceFSSgEHyVl" TargetMode="External"/><Relationship Id="rId95" Type="http://schemas.openxmlformats.org/officeDocument/2006/relationships/hyperlink" Target="https://fb.me/adspreview/facebook/25924LzCyb9nNj7" TargetMode="External"/><Relationship Id="rId94" Type="http://schemas.openxmlformats.org/officeDocument/2006/relationships/hyperlink" Target="https://www.facebook.com/reel/837422675431289" TargetMode="External"/><Relationship Id="rId97" Type="http://schemas.openxmlformats.org/officeDocument/2006/relationships/hyperlink" Target="https://www.facebook.com/reel/4417118131938305" TargetMode="External"/><Relationship Id="rId96" Type="http://schemas.openxmlformats.org/officeDocument/2006/relationships/hyperlink" Target="https://fb.me/adspreview/facebook/25gmQAFKJnaEZvw" TargetMode="External"/><Relationship Id="rId99" Type="http://schemas.openxmlformats.org/officeDocument/2006/relationships/hyperlink" Target="https://www.facebook.com/baparticipacion/posts/pfbid0shocE44xmL2Vp7Tf1bcMpEmtkzJXvuTJnqoAci9tyUQJmP8yW437B7GM7q2rMt3kl" TargetMode="External"/><Relationship Id="rId98" Type="http://schemas.openxmlformats.org/officeDocument/2006/relationships/hyperlink" Target="https://www.facebook.com/baparticipacion/posts/pfbid02U9UYVFgSW2u5YjDU3i6PnjkKoDXdwit5RC5jce6zaVMsps6G5JLhHCz2o19MJc7Yl" TargetMode="External"/><Relationship Id="rId91" Type="http://schemas.openxmlformats.org/officeDocument/2006/relationships/hyperlink" Target="https://fb.me/adspreview/facebook/1SWH8f44c3Zvh9M" TargetMode="External"/><Relationship Id="rId90" Type="http://schemas.openxmlformats.org/officeDocument/2006/relationships/hyperlink" Target="https://www.facebook.com/GCBA/posts/pfbid0Dny5QJbX8hitGkDGBX9fHSDtTyn9e8hwh6zqgx9pvN8fpmf7kpFKshgUjB7jDUFFl" TargetMode="External"/><Relationship Id="rId93" Type="http://schemas.openxmlformats.org/officeDocument/2006/relationships/hyperlink" Target="https://fb.me/adspreview/facebook/23PWppQrHRi6nAk" TargetMode="External"/><Relationship Id="rId92" Type="http://schemas.openxmlformats.org/officeDocument/2006/relationships/hyperlink" Target="https://www.facebook.com/baparticipacion/posts/pfbid02dYYU4mZbzbHf5X6ZFcqJ8TJYAY5MCT3iFADCVgrDQgaZbbd7b6zgxeegzcn8zGMLl" TargetMode="External"/><Relationship Id="rId118" Type="http://schemas.openxmlformats.org/officeDocument/2006/relationships/hyperlink" Target="https://fb.me/adspreview/facebook/28Yf2et3oSUA5wW" TargetMode="External"/><Relationship Id="rId117" Type="http://schemas.openxmlformats.org/officeDocument/2006/relationships/hyperlink" Target="https://www.facebook.com/GCBA/posts/pfbid02oc4eGpxiTuWbRHkbF7CMFJgXHy2yjdoztoFr8hDs9YJLbAr91HSjsiqNqAK4F7opl" TargetMode="External"/><Relationship Id="rId116" Type="http://schemas.openxmlformats.org/officeDocument/2006/relationships/hyperlink" Target="https://www.facebook.com/GCBA/posts/pfbid0oQofRyGp5qUhzGprJBX3geZJ71j9yNm2xJPKdPnP1j15Ftg9N3Bn5bVngUmVYNVnl" TargetMode="External"/><Relationship Id="rId115" Type="http://schemas.openxmlformats.org/officeDocument/2006/relationships/hyperlink" Target="https://www.facebook.com/GCBA/posts/pfbid02yZmqzW27WZWmV78Fctq2sNgCipDpR11wQfc5ArDrGXxh4ExLJX9nJtQtEzD3rTDGl" TargetMode="External"/><Relationship Id="rId119" Type="http://schemas.openxmlformats.org/officeDocument/2006/relationships/hyperlink" Target="https://fb.me/adspreview/facebook/1U1zeapxpCivxwe" TargetMode="External"/><Relationship Id="rId110" Type="http://schemas.openxmlformats.org/officeDocument/2006/relationships/hyperlink" Target="https://www.facebook.com/baparticipacion/posts/pfbid02M8tPjxSc2H8DjmzfToUw7QqZxQaiiMtFjRaLwGMPpFzkeya6D1oUxgYPVd57Szw8l" TargetMode="External"/><Relationship Id="rId114" Type="http://schemas.openxmlformats.org/officeDocument/2006/relationships/hyperlink" Target="https://www.facebook.com/baparticipacion/posts/pfbid026g3Uz2gbNkm5uvV6VthN6oicMxWbg3GjhLLUX2GDNFuTZHzqY6MqveU9jfBMid9ul" TargetMode="External"/><Relationship Id="rId113" Type="http://schemas.openxmlformats.org/officeDocument/2006/relationships/hyperlink" Target="https://www.facebook.com/reel/1353968750115839" TargetMode="External"/><Relationship Id="rId112" Type="http://schemas.openxmlformats.org/officeDocument/2006/relationships/hyperlink" Target="https://www.facebook.com/reel/978161711529047" TargetMode="External"/><Relationship Id="rId111" Type="http://schemas.openxmlformats.org/officeDocument/2006/relationships/hyperlink" Target="https://www.facebook.com/GCBA/posts/pfbid02mkiG9nFm5G63BVhZ6shaxyJDi3PhXf8wDbRbxigJ6yVPAknPZnidDSzLGXnRj91Dl" TargetMode="External"/><Relationship Id="rId305" Type="http://schemas.openxmlformats.org/officeDocument/2006/relationships/hyperlink" Target="https://www.facebook.com/baparticipacion/posts/pfbid0cqdBo8U6f7icGwi1UgY64Dq9b7kJVms3oxUzJRvEnieMK5d2eTXsYd7Ky2JVkPdnl" TargetMode="External"/><Relationship Id="rId304" Type="http://schemas.openxmlformats.org/officeDocument/2006/relationships/hyperlink" Target="https://www.facebook.com/reel/1333766678147057" TargetMode="External"/><Relationship Id="rId303" Type="http://schemas.openxmlformats.org/officeDocument/2006/relationships/hyperlink" Target="https://www.facebook.com/baparticipacion/posts/pfbid037qtw3oWHq5jBhk3YywZcc5Ujr5fwx5JCM42MJ8PEp9kgNoC2JZT8ZJdZk9iwKRZyl" TargetMode="External"/><Relationship Id="rId302" Type="http://schemas.openxmlformats.org/officeDocument/2006/relationships/hyperlink" Target="https://www.facebook.com/baparticipacion/posts/pfbid04rFhL1GxaswabuW6oAd8UqBuFvenPdwNSiRaYPh5agZp5WKUReLrPFTbh8zm9cW4l" TargetMode="External"/><Relationship Id="rId309" Type="http://schemas.openxmlformats.org/officeDocument/2006/relationships/hyperlink" Target="https://www.facebook.com/baparticipacion/posts/pfbid0EB4cQrN1iH3u7G4YZcMwmp6NPeGqEmr5n4cD2wPMmMrYjPCd1s9d1H9Ha4CwQJs4l" TargetMode="External"/><Relationship Id="rId308" Type="http://schemas.openxmlformats.org/officeDocument/2006/relationships/hyperlink" Target="https://www.facebook.com/baparticipacion/posts/pfbid0axrMxWPfqiqEgW2TPGJVJ7z6iCVkmyNhVnWv5W4f71YR7nzFvcZW3y5d8b9sHVYNl" TargetMode="External"/><Relationship Id="rId307" Type="http://schemas.openxmlformats.org/officeDocument/2006/relationships/hyperlink" Target="https://www.facebook.com/baparticipacion/posts/pfbid026rzt5SBsadw9mUfeiZnXRzw82KKCw9hrLaStHhkE38toe7FY9NXm1N7TmsCbdraol" TargetMode="External"/><Relationship Id="rId306" Type="http://schemas.openxmlformats.org/officeDocument/2006/relationships/hyperlink" Target="https://www.facebook.com/baparticipacion/posts/pfbid02rYnMxmS6XD3RCsx9M9KBg9kR6JcG4PhAtUs7mrFDM5VFoD6HvNvYFGHsStd5qSRBl" TargetMode="External"/><Relationship Id="rId301" Type="http://schemas.openxmlformats.org/officeDocument/2006/relationships/hyperlink" Target="https://www.facebook.com/baparticipacion/posts/pfbid0EB4cQrN1iH3u7G4YZcMwmp6NPeGqEmr5n4cD2wPMmMrYjPCd1s9d1H9Ha4CwQJs4l" TargetMode="External"/><Relationship Id="rId300" Type="http://schemas.openxmlformats.org/officeDocument/2006/relationships/hyperlink" Target="https://www.facebook.com/baparticipacion/posts/pfbid02XEBH1C6eXF5FMWMBqVy33XjkV4nVdrbGr88SK89TcvW4R3RUqfFhT383jA4b9xWNl" TargetMode="External"/><Relationship Id="rId316" Type="http://schemas.openxmlformats.org/officeDocument/2006/relationships/hyperlink" Target="https://www.facebook.com/baparticipacion/posts/pfbid02CLhVvTsBABiNShNb6Ww6g2RXmyXEifyxTwhLpRuypur1NchYCicREEsoHp37kfEkl" TargetMode="External"/><Relationship Id="rId315" Type="http://schemas.openxmlformats.org/officeDocument/2006/relationships/hyperlink" Target="https://www.facebook.com/baparticipacion/posts/pfbid08qne98U5gKrZJwYvNh71QvrTAnzTK3pionNhXwGcsD4TnBsSK5MaoWPCKUnu8UNbl" TargetMode="External"/><Relationship Id="rId314" Type="http://schemas.openxmlformats.org/officeDocument/2006/relationships/hyperlink" Target="https://www.facebook.com/GCBA/posts/pfbid02E1tkaC6tXj44NDQ9wzrkGosi4PqV2XUtQTMpcjo4J31tLPRfaLMhDGf1nvcVT4SUl" TargetMode="External"/><Relationship Id="rId313" Type="http://schemas.openxmlformats.org/officeDocument/2006/relationships/hyperlink" Target="https://www.facebook.com/GCBA/posts/pfbid02RS9HLQTL1GR6aqKApdtYULFTkSKZbxwp6JpHphRhLNsHj1CqG1aMDGj3Phcw748Ul" TargetMode="External"/><Relationship Id="rId319" Type="http://schemas.openxmlformats.org/officeDocument/2006/relationships/drawing" Target="../drawings/drawing2.xml"/><Relationship Id="rId318" Type="http://schemas.openxmlformats.org/officeDocument/2006/relationships/hyperlink" Target="https://www.facebook.com/baparticipacion/posts/pfbid0sf1chk2ZLs8xzfJKggcMabUds4L66pkAMnx5yj54hmP2xVDQKxBNadhjKcHcs13fl" TargetMode="External"/><Relationship Id="rId317" Type="http://schemas.openxmlformats.org/officeDocument/2006/relationships/hyperlink" Target="https://www.facebook.com/GCBA/posts/pfbid0YMAvJ4FjX7KdajVkgZaHfBTwQEpQRxi93KfW8bgbZknTXoa1s4k7jCHYxXPqmqS3l" TargetMode="External"/><Relationship Id="rId312" Type="http://schemas.openxmlformats.org/officeDocument/2006/relationships/hyperlink" Target="https://www.facebook.com/GCBA/posts/pfbid02MhamHAHwvVGP2bmq1bwnjG4fMgD6ZzhHXjj1DBLZpD637Kof28Ry1HXnAt6SuqM7l" TargetMode="External"/><Relationship Id="rId311" Type="http://schemas.openxmlformats.org/officeDocument/2006/relationships/hyperlink" Target="https://www.facebook.com/baparticipacion/posts/pfbid03nShGhw8AcRPUh8GTva7BXUhnPPEwnVDqp1DvY4vYB37kRU3pHSiRAzy8njd9J1kl" TargetMode="External"/><Relationship Id="rId310" Type="http://schemas.openxmlformats.org/officeDocument/2006/relationships/hyperlink" Target="https://www.facebook.com/baparticipacion/posts/pfbid02xPmu6xtSjfYqJgYT8HVdMi7mxE3FPErbVzTv2ZFK5PhNpzatcGxDE4SMWxcb7p2Vl" TargetMode="External"/><Relationship Id="rId297" Type="http://schemas.openxmlformats.org/officeDocument/2006/relationships/hyperlink" Target="https://www.facebook.com/GCBA/posts/pfbid0A5kQ9DgeXP1KjXiXGvawRDSoK3g2jUFh52oVeNqUNwtKdBcfjwvEXPd23hetHUadl" TargetMode="External"/><Relationship Id="rId296" Type="http://schemas.openxmlformats.org/officeDocument/2006/relationships/hyperlink" Target="https://fb.me/adspreview/facebook/2a5pbu8JLbl6vVK" TargetMode="External"/><Relationship Id="rId295" Type="http://schemas.openxmlformats.org/officeDocument/2006/relationships/hyperlink" Target="https://www.facebook.com/baparticipacion/posts/pfbid02E5P9braUAV2GccdDoU5XnWpQdunbKyp2euecdWbPyj6YjMiHkcYcwf1byNzqryFpl" TargetMode="External"/><Relationship Id="rId294" Type="http://schemas.openxmlformats.org/officeDocument/2006/relationships/hyperlink" Target="https://www.facebook.com/baparticipacion/posts/pfbid031oDtJGh4fxxuqVbmdz9z7keGnQQ6obNMcK8X5dA6zoZqFBNKw3sdx1u38eRB2AP5l" TargetMode="External"/><Relationship Id="rId299" Type="http://schemas.openxmlformats.org/officeDocument/2006/relationships/hyperlink" Target="https://www.facebook.com/GCBA/posts/pfbid0k9U4ik32JNdW6AhwuhJKguBPXstCSyDS8XB9upp1Cv1N4yJ9YMvFHHbuCKgi3aQql" TargetMode="External"/><Relationship Id="rId298" Type="http://schemas.openxmlformats.org/officeDocument/2006/relationships/hyperlink" Target="https://www.facebook.com/GCBA/posts/pfbid0NZouXVjpaRX7dWN4duRKXkSB2SFM7V8kETW9PxprU5sVCx7fMuzF9a9Dt3LGaH5Zl" TargetMode="External"/><Relationship Id="rId271" Type="http://schemas.openxmlformats.org/officeDocument/2006/relationships/hyperlink" Target="https://fb.me/adspreview/facebook/2isGbgWtxB7icBB" TargetMode="External"/><Relationship Id="rId270" Type="http://schemas.openxmlformats.org/officeDocument/2006/relationships/hyperlink" Target="https://www.facebook.com/GCBA/posts/pfbid02MczFwBSVys4DXC1DTtBcRmUPG1xohZxGSR3kUcX6QRVEMJHG2uCNpVNnkXbMhTK8l" TargetMode="External"/><Relationship Id="rId269" Type="http://schemas.openxmlformats.org/officeDocument/2006/relationships/hyperlink" Target="https://www.facebook.com/reel/869377568978479" TargetMode="External"/><Relationship Id="rId264" Type="http://schemas.openxmlformats.org/officeDocument/2006/relationships/hyperlink" Target="https://www.facebook.com/baparticipacion/posts/pfbid0PPRDU6ZwuwtDKS6M8fqGVTmkHF8eQuGdLUy7Sp4yTH3w3gK56kNNxAJkjLc6mfaTl" TargetMode="External"/><Relationship Id="rId263" Type="http://schemas.openxmlformats.org/officeDocument/2006/relationships/hyperlink" Target="https://www.facebook.com/baparticipacion/posts/pfbid0DaymyDB1kYsK3vhHa9PGNH4zfbBtVMmHhr92vsCJPo4oNPRDNfqMVjP5Dt1fLZbNl" TargetMode="External"/><Relationship Id="rId262" Type="http://schemas.openxmlformats.org/officeDocument/2006/relationships/hyperlink" Target="https://www.facebook.com/baparticipacion/posts/pfbid07VoazC5BiDZDj3GHPeXe55UQEznMHhozx8PUuwHTF79BK72tb5HxzKnsXY3sQ4jyl" TargetMode="External"/><Relationship Id="rId261" Type="http://schemas.openxmlformats.org/officeDocument/2006/relationships/hyperlink" Target="https://www.facebook.com/baparticipacion/posts/pfbid05JZe9CpEB52zA3crM7ZyMytReeTkcmtCV4nPKv2WANoDMJr8ACvccqpJzcRBYMtsl" TargetMode="External"/><Relationship Id="rId268" Type="http://schemas.openxmlformats.org/officeDocument/2006/relationships/hyperlink" Target="https://www.facebook.com/GCBA/posts/pfbid09t4eBXvmBvMhaY6ZDfZBBJcTJy8a2tQ9AGN9TfUiSexR55gisERziVp2BXK5HpeXl" TargetMode="External"/><Relationship Id="rId267" Type="http://schemas.openxmlformats.org/officeDocument/2006/relationships/hyperlink" Target="https://www.facebook.com/GCBA/posts/pfbid0hGpDjeWSoe8Gqw2N9T8VHKQMT4vT7GrXwibd72SVb33WbSymwwnpGdmZbQH9bvyXl" TargetMode="External"/><Relationship Id="rId266" Type="http://schemas.openxmlformats.org/officeDocument/2006/relationships/hyperlink" Target="https://www.facebook.com/baparticipacion/posts/pfbid0gAi2bSqe1peo1vJipGzeNYvLfpKmmqRR3dtLpZaFoPyqDTBTLrSCJcZkXEx3f5yml" TargetMode="External"/><Relationship Id="rId265" Type="http://schemas.openxmlformats.org/officeDocument/2006/relationships/hyperlink" Target="https://www.facebook.com/baparticipacion/posts/pfbid0QriDSP1vyJgGzKZMqwZZhMaeY1zhSaf1EpNzfNJAXmWaniVaM1JBgh4NXNkg2xYtl" TargetMode="External"/><Relationship Id="rId260" Type="http://schemas.openxmlformats.org/officeDocument/2006/relationships/hyperlink" Target="https://www.facebook.com/baparticipacion/posts/pfbid028buhDwCjERQtoEkvPzyyQXjLesGLBHVK72J59pwqNuvmAR1czprvDuYfpkf8Kqk1l" TargetMode="External"/><Relationship Id="rId259" Type="http://schemas.openxmlformats.org/officeDocument/2006/relationships/hyperlink" Target="https://www.facebook.com/reel/1951168715581742" TargetMode="External"/><Relationship Id="rId258" Type="http://schemas.openxmlformats.org/officeDocument/2006/relationships/hyperlink" Target="https://www.facebook.com/lindaenvivo/posts/pfbid09kXBonchhUbNRHaBLgWDu9viZES3ekYQrjxFFSuE91tNjXeSEvgQinuY72zthh3pl" TargetMode="External"/><Relationship Id="rId253" Type="http://schemas.openxmlformats.org/officeDocument/2006/relationships/hyperlink" Target="https://www.facebook.com/GCBA/posts/pfbid02ZZG3f1iLvkWubHjhaECJSre4Kzvz1XfSfBj1BTiNeBk4AoX762iy2Tr6oLewgit3l" TargetMode="External"/><Relationship Id="rId252" Type="http://schemas.openxmlformats.org/officeDocument/2006/relationships/hyperlink" Target="https://www.facebook.com/reel/1910025833718608" TargetMode="External"/><Relationship Id="rId251" Type="http://schemas.openxmlformats.org/officeDocument/2006/relationships/hyperlink" Target="https://www.facebook.com/baparticipacion/posts/pfbid0228E4wXGuoRBDL9cJH7U1e91PuBepsm5jab8oPnfnutyXwzhy1enE8K5vr345yk5gl" TargetMode="External"/><Relationship Id="rId250" Type="http://schemas.openxmlformats.org/officeDocument/2006/relationships/hyperlink" Target="https://www.facebook.com/baparticipacion/posts/pfbid02GfDeov5FtT8tkhx573Mwt2gxPrXwq7d6bzrWxUci54vGS89V8kY6ptSF391Q2sWTl" TargetMode="External"/><Relationship Id="rId257" Type="http://schemas.openxmlformats.org/officeDocument/2006/relationships/hyperlink" Target="https://fb.me/adspreview/facebook/25lew4sNjO49s77" TargetMode="External"/><Relationship Id="rId256" Type="http://schemas.openxmlformats.org/officeDocument/2006/relationships/hyperlink" Target="https://www.facebook.com/reel/963476160027647" TargetMode="External"/><Relationship Id="rId255" Type="http://schemas.openxmlformats.org/officeDocument/2006/relationships/hyperlink" Target="https://www.facebook.com/reel/26383961307943675" TargetMode="External"/><Relationship Id="rId254" Type="http://schemas.openxmlformats.org/officeDocument/2006/relationships/hyperlink" Target="https://fb.me/adspreview/facebook/29gh3TVKAXDRWc7" TargetMode="External"/><Relationship Id="rId293" Type="http://schemas.openxmlformats.org/officeDocument/2006/relationships/hyperlink" Target="https://www.facebook.com/baparticipacion/posts/pfbid0srFKWoDRckyinLXUSPUHxt84fw2YQ18pC2hLHNdh2DLZtcrJAN5HNqLoeLJgFRVel" TargetMode="External"/><Relationship Id="rId292" Type="http://schemas.openxmlformats.org/officeDocument/2006/relationships/hyperlink" Target="https://www.facebook.com/baparticipacion/posts/pfbid02XyXvYR65F9FBrjQUsz3KfFBJaixgH4QL6YFKe2iQydGqmGAJP2WGj79Te26zjz64l" TargetMode="External"/><Relationship Id="rId291" Type="http://schemas.openxmlformats.org/officeDocument/2006/relationships/hyperlink" Target="https://www.facebook.com/baparticipacion/posts/pfbid02DnZgeeMBCDtZf7ce2QRBReuqmNbgkG4184fUgsZLfnguymsSr4nRaT9fY5Zfety7l" TargetMode="External"/><Relationship Id="rId290" Type="http://schemas.openxmlformats.org/officeDocument/2006/relationships/hyperlink" Target="https://www.facebook.com/baparticipacion/posts/pfbid02WG9qdDvGGcxL9cvnqRGU2tutBeSufD7CYVK55FL34L5Zz81iuVtzo5eXcc1BPgptl" TargetMode="External"/><Relationship Id="rId286" Type="http://schemas.openxmlformats.org/officeDocument/2006/relationships/hyperlink" Target="https://fb.me/adspreview/facebook/2qUC8erS5AyVmEE" TargetMode="External"/><Relationship Id="rId285" Type="http://schemas.openxmlformats.org/officeDocument/2006/relationships/hyperlink" Target="https://fb.me/adspreview/facebook/26tQ7QVYkRlhgEw" TargetMode="External"/><Relationship Id="rId284" Type="http://schemas.openxmlformats.org/officeDocument/2006/relationships/hyperlink" Target="https://www.facebook.com/baparticipacion/posts/pfbid0AkC4KnzR9iBBuhU6CXSHuh8oigcs8PqAGLqY24QrzkeNApBzBKw5VGLqTzb9C5aWl" TargetMode="External"/><Relationship Id="rId283" Type="http://schemas.openxmlformats.org/officeDocument/2006/relationships/hyperlink" Target="https://www.facebook.com/GCBA/posts/pfbid037MiiHWnSJuAZbmEN4MWTeQWEiyEjLemT7MWQ7YXNnyJyeft5nCp6qUnvRCj7uv2Yl" TargetMode="External"/><Relationship Id="rId289" Type="http://schemas.openxmlformats.org/officeDocument/2006/relationships/hyperlink" Target="https://www.facebook.com/baparticipacion/posts/pfbid02S3JZwcAT2QCRPGavfdj36Ff7GYhqYXebVRTUJarmHgb7qDRbUF2FW6s4chXjBynnl" TargetMode="External"/><Relationship Id="rId288" Type="http://schemas.openxmlformats.org/officeDocument/2006/relationships/hyperlink" Target="https://www.facebook.com/GCBA/posts/pfbid0b4e3p1kdCqSay8vtiHJSCCVLY7GjUq3R1LwXjZ4orfdwFFTNqqNXeh8NDwZcZNoTl" TargetMode="External"/><Relationship Id="rId287" Type="http://schemas.openxmlformats.org/officeDocument/2006/relationships/hyperlink" Target="https://fb.me/adspreview/facebook/22CmxRCVtbzCnkb" TargetMode="External"/><Relationship Id="rId282" Type="http://schemas.openxmlformats.org/officeDocument/2006/relationships/hyperlink" Target="https://www.facebook.com/GCBA/posts/pfbid02yWyBiqhzRGVqqWo4wAFMjpuCdCXBAKuNVMMEAvS8QuuNwD6NK6T56RXZ9yfwrvXjl" TargetMode="External"/><Relationship Id="rId281" Type="http://schemas.openxmlformats.org/officeDocument/2006/relationships/hyperlink" Target="https://www.facebook.com/GCBA/posts/pfbid0hL6DnVWapHTEjHavJnJmhZrAV1oeXCFP5cu7KwkKVcgsUFRBsTZSBTT4W1LM6t76l" TargetMode="External"/><Relationship Id="rId280" Type="http://schemas.openxmlformats.org/officeDocument/2006/relationships/hyperlink" Target="https://www.facebook.com/reel/1658547745215552" TargetMode="External"/><Relationship Id="rId275" Type="http://schemas.openxmlformats.org/officeDocument/2006/relationships/hyperlink" Target="https://www.facebook.com/GCBA/posts/pfbid0pDN1KSpcwNmdzK3WhsivCjjDVoj8acsicMjBZk8kkhQjxJ74xtbXqJzP3PR3irb4l" TargetMode="External"/><Relationship Id="rId274" Type="http://schemas.openxmlformats.org/officeDocument/2006/relationships/hyperlink" Target="https://www.facebook.com/reel/1739191770421854/" TargetMode="External"/><Relationship Id="rId273" Type="http://schemas.openxmlformats.org/officeDocument/2006/relationships/hyperlink" Target="https://www.facebook.com/baparticipacion/posts/pfbid0321EGt37mCXnC23xuUfcZTrfDWmFiMzCQUjwqnMXJpMNzHrT1tnG2HALHeHoTgDyXl" TargetMode="External"/><Relationship Id="rId272" Type="http://schemas.openxmlformats.org/officeDocument/2006/relationships/hyperlink" Target="https://www.facebook.com/GCBA/posts/pfbid08rDXqhyNHHgaXhxwyanZTXHtfRLQs15AaRbPk5k938ZVPg7ZL3Ea9rz5rPCgKLXEl" TargetMode="External"/><Relationship Id="rId279" Type="http://schemas.openxmlformats.org/officeDocument/2006/relationships/hyperlink" Target="https://www.facebook.com/baparticipacion/posts/pfbid02LGuHo3AYMjoh7SpohtcvXqENEmnQxe15cNqbzjAnKFtQJKaQXTbb8aG8sa29nbdWl" TargetMode="External"/><Relationship Id="rId278" Type="http://schemas.openxmlformats.org/officeDocument/2006/relationships/hyperlink" Target="https://www.facebook.com/baparticipacion/posts/pfbid02dDTzKg9xjhAVC2WdsjHreqxFyff2zsh7nP49E7r1n24kuEcSLcnJXv9hSybPAvyEl" TargetMode="External"/><Relationship Id="rId277" Type="http://schemas.openxmlformats.org/officeDocument/2006/relationships/hyperlink" Target="https://www.facebook.com/baparticipacion/posts/pfbid02JSro6FKNuoj4uvyZXx5EHrXMwoTS4uThvqZXGWQ3vQgxb67TRXw2nRcEkHWR9eNVl" TargetMode="External"/><Relationship Id="rId276" Type="http://schemas.openxmlformats.org/officeDocument/2006/relationships/hyperlink" Target="https://www.facebook.com/GCBA/posts/pfbid0SCv36fUn9suSse5UeEgMhVjYT6xS8nEu9sNA4EDWjSv4HxcYY4oCzaUMJs2J9HQbl" TargetMode="External"/><Relationship Id="rId228" Type="http://schemas.openxmlformats.org/officeDocument/2006/relationships/hyperlink" Target="https://www.facebook.com/reel/1793775995332544" TargetMode="External"/><Relationship Id="rId227" Type="http://schemas.openxmlformats.org/officeDocument/2006/relationships/hyperlink" Target="https://www.facebook.com/reel/1538966754240714" TargetMode="External"/><Relationship Id="rId226" Type="http://schemas.openxmlformats.org/officeDocument/2006/relationships/hyperlink" Target="https://www.facebook.com/GCBA/posts/pfbid02YqCxszGQER7gereM4ViB14xmZazWkNprFWcAsBzNXzW8JyUUYZjtfcSfzQvqcjD7l" TargetMode="External"/><Relationship Id="rId225" Type="http://schemas.openxmlformats.org/officeDocument/2006/relationships/hyperlink" Target="https://www.facebook.com/GCBA/posts/pfbid0wziBcRv2TwNN7k4WpjsGNTQd32LKhWeQSdjA5RfvCtL7hYf1wG5P6Es1azPTeKyjl" TargetMode="External"/><Relationship Id="rId229" Type="http://schemas.openxmlformats.org/officeDocument/2006/relationships/hyperlink" Target="https://www.instagram.com/p/DZNNxE-DBNw/" TargetMode="External"/><Relationship Id="rId220" Type="http://schemas.openxmlformats.org/officeDocument/2006/relationships/hyperlink" Target="https://www.facebook.com/GCBA/posts/pfbid033kEjE9yaGrFdxuHniPNcM7sGu1ettWqv5TxYnj5GWzq8VFtkgjaXQMhw3oghr4Rdl" TargetMode="External"/><Relationship Id="rId224" Type="http://schemas.openxmlformats.org/officeDocument/2006/relationships/hyperlink" Target="https://www.facebook.com/GCBA/posts/pfbid0yNKogB7jFPoddY254ViUCjQMASFGzkNsvYdNCaLZM1xpD1tMtpFGeutoLQCfH9qYl" TargetMode="External"/><Relationship Id="rId223" Type="http://schemas.openxmlformats.org/officeDocument/2006/relationships/hyperlink" Target="https://www.facebook.com/GCBA/posts/pfbid02Q2YxCRks1Ca59MFpy4T62W8UZyrKbDhXFonmqY44F2dXSwp69Yp757AgVKfBgPETl" TargetMode="External"/><Relationship Id="rId222" Type="http://schemas.openxmlformats.org/officeDocument/2006/relationships/hyperlink" Target="https://www.facebook.com/GCBA/posts/pfbid0VNG57qB3nVTqxBJbJM9RhGy6zLbn37no46DKGefcch7YeFSakEZK1y1zaycboqGXl" TargetMode="External"/><Relationship Id="rId221" Type="http://schemas.openxmlformats.org/officeDocument/2006/relationships/hyperlink" Target="https://fb.me/adspreview/facebook/1OGmm67Q9rcuEQr" TargetMode="External"/><Relationship Id="rId217" Type="http://schemas.openxmlformats.org/officeDocument/2006/relationships/hyperlink" Target="https://www.facebook.com/GCBA/posts/pfbid02E4wp53ZNT6GqD98pYbzNyRQnXPk7oybZTfo6UaqKbzJK3SpDnwAj8YPuFvK2ESjLl" TargetMode="External"/><Relationship Id="rId216" Type="http://schemas.openxmlformats.org/officeDocument/2006/relationships/hyperlink" Target="https://fb.me/adspreview/facebook/1UgfjdmX0MBxywR" TargetMode="External"/><Relationship Id="rId215" Type="http://schemas.openxmlformats.org/officeDocument/2006/relationships/hyperlink" Target="https://fb.me/adspreview/facebook/1V9apKFmivykDG0" TargetMode="External"/><Relationship Id="rId214" Type="http://schemas.openxmlformats.org/officeDocument/2006/relationships/hyperlink" Target="https://www.facebook.com/GCBA/posts/pfbid02X3EqtHQ4G8RWZddMqFzHzAmnB1b1B9BKCa6WaMikSbSdaXKfn3VD8dWT4NG2cMAfl" TargetMode="External"/><Relationship Id="rId219" Type="http://schemas.openxmlformats.org/officeDocument/2006/relationships/hyperlink" Target="https://fb.me/adspreview/facebook/26hl3ef2PRp2J1x" TargetMode="External"/><Relationship Id="rId218" Type="http://schemas.openxmlformats.org/officeDocument/2006/relationships/hyperlink" Target="https://www.facebook.com/GCBA/posts/pfbid0BWWbjFzHSvy2akkqzkGyUfsJ8AtVqaA5yBerrhCbwJs151HBF3J9V24vnFCkvNixl" TargetMode="External"/><Relationship Id="rId213" Type="http://schemas.openxmlformats.org/officeDocument/2006/relationships/hyperlink" Target="https://fb.me/adspreview/facebook/1SpONunatJUaAO1" TargetMode="External"/><Relationship Id="rId212" Type="http://schemas.openxmlformats.org/officeDocument/2006/relationships/hyperlink" Target="https://fb.me/adspreview/facebook/2qtNxRexPCxzyL9" TargetMode="External"/><Relationship Id="rId211" Type="http://schemas.openxmlformats.org/officeDocument/2006/relationships/hyperlink" Target="https://www.facebook.com/GCBA/posts/pfbid0oY9243eQEN1s4vr3q4i9c9MTkWTtfjzAv2zSMDXHTwtEwBnaXoezgKYx4ARYMWVwl" TargetMode="External"/><Relationship Id="rId210" Type="http://schemas.openxmlformats.org/officeDocument/2006/relationships/hyperlink" Target="https://www.facebook.com/GCBA/posts/pfbid0xUSsN2VyZ89gZ4mJrc7vg28WsLE9vppNRqYiwKwMvybMGDnTY5wEDsosBfdX4qtQl" TargetMode="External"/><Relationship Id="rId249" Type="http://schemas.openxmlformats.org/officeDocument/2006/relationships/hyperlink" Target="https://fb.me/adspreview/facebook/1UqPoZLiUaD4oNO" TargetMode="External"/><Relationship Id="rId248" Type="http://schemas.openxmlformats.org/officeDocument/2006/relationships/hyperlink" Target="https://www.facebook.com/baparticipacion/posts/pfbid02NCHVWQiwdKoPJYTiGSe1oLfSPKrunnHx6GMdNT6gwfAT4rYFNUbNCvbLDTUbaLM4l" TargetMode="External"/><Relationship Id="rId247" Type="http://schemas.openxmlformats.org/officeDocument/2006/relationships/hyperlink" Target="https://www.facebook.com/baparticipacion/posts/pfbid02MY4W6EviriP8wbDK8NuGjG77cVQEUJCufJ5ycDYUdAqkQxqEn1twUdaNGSyYsurKl" TargetMode="External"/><Relationship Id="rId242" Type="http://schemas.openxmlformats.org/officeDocument/2006/relationships/hyperlink" Target="https://www.facebook.com/reel/3600929573393750" TargetMode="External"/><Relationship Id="rId241" Type="http://schemas.openxmlformats.org/officeDocument/2006/relationships/hyperlink" Target="https://www.facebook.com/baparticipacion/posts/pfbid04t14tUzTH3nATFWGt42FSJRpMsj6b9dieVEasDeuDKkB3v26n78QDqpUVz8cVrETl" TargetMode="External"/><Relationship Id="rId240" Type="http://schemas.openxmlformats.org/officeDocument/2006/relationships/hyperlink" Target="https://www.facebook.com/GCBA/posts/pfbid02S69HL7Rh16mEJr6jPS2GDu5yeREJSdMYDeJtCjgnjAJ9ye7imvJZemK4w8BrttQTl" TargetMode="External"/><Relationship Id="rId246" Type="http://schemas.openxmlformats.org/officeDocument/2006/relationships/hyperlink" Target="https://www.facebook.com/baparticipacion/posts/pfbid02w5yj5xhr45yUEBFo1bmCXhFSsXGrEgrdMcBbCPUwXRaEJC4eNQUzDQwLaooyMPhWl" TargetMode="External"/><Relationship Id="rId245" Type="http://schemas.openxmlformats.org/officeDocument/2006/relationships/hyperlink" Target="https://www.facebook.com/GCBA/posts/pfbid02ARWpxgPh8MbcMjL4p1ziWEphpQgYE7tNb1YyS4XDt1wgTXixtYcSd5PZeo6EVSUml" TargetMode="External"/><Relationship Id="rId244" Type="http://schemas.openxmlformats.org/officeDocument/2006/relationships/hyperlink" Target="https://www.facebook.com/baparticipacion/posts/pfbid02Fs1VxfMNKgUaZcZqm7N8ZqmkKLCKHuXGcuaXVqBXbeUxzFEfxpRcHPTvcCuqCzDEl" TargetMode="External"/><Relationship Id="rId243" Type="http://schemas.openxmlformats.org/officeDocument/2006/relationships/hyperlink" Target="https://www.facebook.com/baparticipacion/posts/pfbid0ypt2Y4k6GB9rZzQSTHsh86ty9JfhykvTJJ58EnGB9kt16zTZsHwDSPPNaPdyC2ATl" TargetMode="External"/><Relationship Id="rId239" Type="http://schemas.openxmlformats.org/officeDocument/2006/relationships/hyperlink" Target="https://fb.me/adspreview/facebook/1Tz9GO0nHrINRCx" TargetMode="External"/><Relationship Id="rId238" Type="http://schemas.openxmlformats.org/officeDocument/2006/relationships/hyperlink" Target="https://www.facebook.com/GCBA/posts/pfbid028fd4Eps4oJxQsp4oAr6gZWZZhqEkZDaxYsaCDqH2Q51tJXZa9VMm2TngH3mfoR2Al" TargetMode="External"/><Relationship Id="rId237" Type="http://schemas.openxmlformats.org/officeDocument/2006/relationships/hyperlink" Target="https://www.facebook.com/GCBA/posts/pfbid0d9XT1CAvSPLyt1aN1NNjVkP91s34wkPBECWCb8oPxCM6nzXnWfoskFD65xDwnRRsl" TargetMode="External"/><Relationship Id="rId236" Type="http://schemas.openxmlformats.org/officeDocument/2006/relationships/hyperlink" Target="https://www.facebook.com/GCBA/posts/pfbid02iNNf4Ns7gcEo4HWoJUSAjz6751M9Kkh3PeVP3UnroYxyFBXFwehL5Y79KBHQHattl" TargetMode="External"/><Relationship Id="rId231" Type="http://schemas.openxmlformats.org/officeDocument/2006/relationships/hyperlink" Target="https://www.facebook.com/GCBA/posts/pfbid0MuG7Sbo5joqEuk2UWgNsVURV9frh2FTUkY1aQoaNkgEbc3aeURAPiq423LHA7Mwyl" TargetMode="External"/><Relationship Id="rId230" Type="http://schemas.openxmlformats.org/officeDocument/2006/relationships/hyperlink" Target="https://www.facebook.com/GCBA/posts/pfbid0ST19UoqhurJhZPhq7dJfEkZrJhyH4rZPrLJ7W6zqymdatS9zfuz5QK26T3aXaWbkl" TargetMode="External"/><Relationship Id="rId235" Type="http://schemas.openxmlformats.org/officeDocument/2006/relationships/hyperlink" Target="https://www.facebook.com/baparticipacion/posts/pfbid037D5wWyZjNg97cDckHgFEvdVpvx7PvEGibc8TBFmc2DQrjtCTs1fS44Akw5kynYeRl" TargetMode="External"/><Relationship Id="rId234" Type="http://schemas.openxmlformats.org/officeDocument/2006/relationships/hyperlink" Target="https://www.facebook.com/GCBA/posts/pfbid0YhueYGpntBgMxwJ72kfke9vjquz5VNdcd1gvDFdyw1CYKUTWgM3YrprNGk6n7F7Bl" TargetMode="External"/><Relationship Id="rId233" Type="http://schemas.openxmlformats.org/officeDocument/2006/relationships/hyperlink" Target="https://www.facebook.com/GCBA/posts/pfbid024E73awCVhiQrQKaLTpJhPgLnsy9nahcRRpUuZQFjWPWPjfEGoSmZCvcRp75tDHfLl" TargetMode="External"/><Relationship Id="rId232" Type="http://schemas.openxmlformats.org/officeDocument/2006/relationships/hyperlink" Target="https://www.facebook.com/lindaenvivo/posts/pfbid0WbNiU7em6L5KUdaebD122aT5xjmK2yfL1LygibKDJeYrhx8KUeorGiHzg252ZdW8l" TargetMode="External"/><Relationship Id="rId206" Type="http://schemas.openxmlformats.org/officeDocument/2006/relationships/hyperlink" Target="https://www.facebook.com/GCBA/posts/pfbid037B8Kb6DQ6dKt9mS5CNx7XqZfYqf2Rutt5WqAUp3FvUcdgydtH3fEPUXdETEYvDZdl" TargetMode="External"/><Relationship Id="rId205" Type="http://schemas.openxmlformats.org/officeDocument/2006/relationships/hyperlink" Target="https://www.facebook.com/GCBA/posts/pfbid02zcWPtZhb5DmpnPQUbSwYBXw9JWAGMsoYzE8YZHie7PVdcBL5B8dd21dgf2P4Uzg3l" TargetMode="External"/><Relationship Id="rId204" Type="http://schemas.openxmlformats.org/officeDocument/2006/relationships/hyperlink" Target="https://www.facebook.com/GCBA/posts/pfbid02bokjMrMJfAUJTRekqX3qNa2ukQi4b9YXRgJC1kDcm4tsXho31hj5hpJhHG6XHVvpl" TargetMode="External"/><Relationship Id="rId203" Type="http://schemas.openxmlformats.org/officeDocument/2006/relationships/hyperlink" Target="https://www.facebook.com/lindaenvivo/posts/pfbid0fvVKe76oWTtnnJy12unQ1G3Rk5KrG5A4fkk9ZsxXafbJqf1b8dmGjXb3tqGsguyBl" TargetMode="External"/><Relationship Id="rId209" Type="http://schemas.openxmlformats.org/officeDocument/2006/relationships/hyperlink" Target="https://www.facebook.com/reel/2392892084530463" TargetMode="External"/><Relationship Id="rId208" Type="http://schemas.openxmlformats.org/officeDocument/2006/relationships/hyperlink" Target="https://www.facebook.com/reel/3916775938627139" TargetMode="External"/><Relationship Id="rId207" Type="http://schemas.openxmlformats.org/officeDocument/2006/relationships/hyperlink" Target="https://fb.me/adspreview/facebook/29v3ZVzI16CjokC" TargetMode="External"/><Relationship Id="rId202" Type="http://schemas.openxmlformats.org/officeDocument/2006/relationships/hyperlink" Target="https://www.facebook.com/lindaenvivo/posts/pfbid0LweiyDNZYMJ7vAHSFdQey9MS4DSwJKwujgJxx2QAqrVZZnnBo8QvWd6VyTfLWiBdl" TargetMode="External"/><Relationship Id="rId201" Type="http://schemas.openxmlformats.org/officeDocument/2006/relationships/hyperlink" Target="https://www.facebook.com/GCBA/posts/pfbid0muZPdRHfhwuL5qge1q6LmfYei68f4ZPaD1cPMpKxHCdsfDgdDfhLfCpvcgkWKLHPl" TargetMode="External"/><Relationship Id="rId200" Type="http://schemas.openxmlformats.org/officeDocument/2006/relationships/hyperlink" Target="https://www.facebook.com/reel/1000083625809942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e5c9a.mailupclient.com/f/rnl.aspx/?jhe=vwurvxsx/&amp;x=pv&amp;bdi=tzfd&amp;=stzqw/7f1-a=5k9hibg&amp;x=pv&amp;9a&amp;-c4&amp;501&amp;x=pp&amp;u_9f1-a2&amp;.b/&amp;:d=rsvyotNCLM" TargetMode="External"/><Relationship Id="rId391" Type="http://schemas.openxmlformats.org/officeDocument/2006/relationships/hyperlink" Target="https://www.facebook.com/reel/818777800864033" TargetMode="External"/><Relationship Id="rId390" Type="http://schemas.openxmlformats.org/officeDocument/2006/relationships/hyperlink" Target="https://e5c9a.mailupclient.com/f/rnl.aspx/?jhe=1r_yq2o/a&amp;le=t/.l7=svt3q/9.99a=59ndi-a&amp;9g-7e:-49&amp;25&amp;x=pp&amp;uy.-5-&amp;x=pv&amp;83dbzb4h=rq/qwtNCLM" TargetMode="External"/><Relationship Id="rId1" Type="http://schemas.openxmlformats.org/officeDocument/2006/relationships/hyperlink" Target="https://e5c9a.mailupclient.com/f/rnl.aspx/?jhe=vwurvxsx/&amp;x=pv&amp;bdi=tzfd&amp;=stxqy/7f1-a=5k9hibg&amp;x=pv&amp;9a&amp;-c4&amp;501&amp;x=pp&amp;u_9f1-a2&amp;.b/&amp;:d=rsuyprNCLM" TargetMode="External"/><Relationship Id="rId2" Type="http://schemas.openxmlformats.org/officeDocument/2006/relationships/hyperlink" Target="https://www.facebook.com/GCBA/posts/pfbid02fZ6eoJSg8zqDVE3RogP3nnn5hqo9sxTPxRzzs7HgyWNUmM6XZmtSLLNohgBDJZ2xl" TargetMode="External"/><Relationship Id="rId3" Type="http://schemas.openxmlformats.org/officeDocument/2006/relationships/hyperlink" Target="https://e5c9a.mailupclient.com/f/rnl.aspx/?jhe=vwurvxsx/&amp;x=pv&amp;bdi=tzfd&amp;=stxt_/7f1-a=5k9hibg&amp;x=pv&amp;9a&amp;-c4&amp;501&amp;x=pp&amp;u_9f1-a2&amp;.b/&amp;:d=rsuypuNCLM" TargetMode="External"/><Relationship Id="rId4" Type="http://schemas.openxmlformats.org/officeDocument/2006/relationships/hyperlink" Target="https://www.facebook.com/GCBA/posts/pfbid02mPYtZ1ifJgtqP1BErK7diVBSct6DxqP8sErjSBZhctMWB5jhJSGeDEk39DRDEYUml" TargetMode="External"/><Relationship Id="rId2180" Type="http://schemas.openxmlformats.org/officeDocument/2006/relationships/hyperlink" Target="https://a2g9b4.emailsp.com/f/rnl.aspx/?fei=1uwuq_vy.9ek=vyad8=t3rwpy&amp;f2::=2-neh9.9bd:5-cb10337&amp;x=pp&amp;yx0-2.e16.&amp;x=pv&amp;2b5g=qtw_vNCLM" TargetMode="External"/><Relationship Id="rId2181" Type="http://schemas.openxmlformats.org/officeDocument/2006/relationships/hyperlink" Target="https://www.facebook.com/GCBA/posts/pfbid0wwfh7zArrcy9SxKymxzrF81wbDKTyk4DhEibHMRC5hcvMHUSti1QfufYUt2mnEhTl" TargetMode="External"/><Relationship Id="rId2182" Type="http://schemas.openxmlformats.org/officeDocument/2006/relationships/hyperlink" Target="https://a2g9b4.emailsp.com/f/rnl.aspx/?fei=1uwuq_vy.9ek=vyad8=t3rwqy&amp;f2::=2-neh9.9bd:5-cb10337&amp;x=pp&amp;yx0-2.e16.&amp;x=pv&amp;2b5g=qtw_wNCLM" TargetMode="External"/><Relationship Id="rId2183" Type="http://schemas.openxmlformats.org/officeDocument/2006/relationships/hyperlink" Target="https://www.facebook.com/GCBA/posts/pfbid022MDgtEFVF42Tvm8XsTYcDSMao8KngHzUWKkXbk6QXeNBKu29MDHyQoJgiAHeik4Wl" TargetMode="External"/><Relationship Id="rId9" Type="http://schemas.openxmlformats.org/officeDocument/2006/relationships/hyperlink" Target="https://e5c9a.mailupclient.com/f/rnl.aspx/?jhe=1r_yq2o/a&amp;le=t/.l7=svryt/9.99a=59ndi-a&amp;9g-7e:-49&amp;25&amp;x=pp&amp;uy.-5-&amp;x=pv&amp;83dbzb4h=rq_ptvNCLM" TargetMode="External"/><Relationship Id="rId385" Type="http://schemas.openxmlformats.org/officeDocument/2006/relationships/hyperlink" Target="https://www.facebook.com/GCBA/posts/pfbid02ySETv8mbLPx3NFrrHh1eRhVRmMimid99iTcJQu2RtwUS7KCAiwKP9qoSStF1cMSml" TargetMode="External"/><Relationship Id="rId2184" Type="http://schemas.openxmlformats.org/officeDocument/2006/relationships/hyperlink" Target="https://e5c9a.mailupclient.com/f/rnl.aspx/?jhe=1r_yq2o/a&amp;le=t/.l7=swr3q/9.99a=59ndi-a&amp;9g-7e:-49&amp;25&amp;x=pp&amp;uy.-5-&amp;x=pv&amp;83dbzb4h=rrvwxuNCLM" TargetMode="External"/><Relationship Id="rId384" Type="http://schemas.openxmlformats.org/officeDocument/2006/relationships/hyperlink" Target="https://e5c9a.mailupclient.com/f/rnl.aspx/?jhe=vwvwwvrv/&amp;x=pv&amp;bdi=tzfd&amp;=stzpz/7f1-a=8e.dgcn&amp;&amp;x=pp&amp;u_9f1-a2&amp;.b/&amp;:d=rsvyw_NCLM" TargetMode="External"/><Relationship Id="rId2185" Type="http://schemas.openxmlformats.org/officeDocument/2006/relationships/hyperlink" Target="https://www.facebook.com/baparticipacion/posts/pfbid02XEBH1C6eXF5FMWMBqVy33XjkV4nVdrbGr88SK89TcvW4R3RUqfFhT383jA4b9xWNl" TargetMode="External"/><Relationship Id="rId383" Type="http://schemas.openxmlformats.org/officeDocument/2006/relationships/hyperlink" Target="https://www.facebook.com/GCBA/posts/pfbid02ySETv8mbLPx3NFrrHh1eRhVRmMimid99iTcJQu2RtwUS7KCAiwKP9qoSStF1cMSml" TargetMode="External"/><Relationship Id="rId2186" Type="http://schemas.openxmlformats.org/officeDocument/2006/relationships/hyperlink" Target="https://a2g9b4.emailsp.com/f/rnl.aspx/?fei=1wqvoxxy.9ek=vyad8=t3rtwy&amp;f2::=4ibeh..e--:5d6.451&amp;x=pp&amp;r1.&amp;x=pv&amp;49-6&amp;aax00l=rvpovNCLM" TargetMode="External"/><Relationship Id="rId382" Type="http://schemas.openxmlformats.org/officeDocument/2006/relationships/hyperlink" Target="https://a2g9b4.emailsp.com/f/rnl.aspx/?fei=1wqvoxxy.9ek=vyad8=/2rvx6d90.=3d.lfc&amp;x=pv&amp;.&amp;e08c1-&amp;34&amp;x=pp&amp;qx-f2::19h&amp;x=pv&amp;_95j=yqyprNCLM" TargetMode="External"/><Relationship Id="rId2187" Type="http://schemas.openxmlformats.org/officeDocument/2006/relationships/hyperlink" Target="https://www.facebook.com/GCBA/posts/pfbid0k9U4ik32JNdW6AhwuhJKguBPXstCSyDS8XB9upp1Cv1N4yJ9YMvFHHbuCKgi3aQql" TargetMode="External"/><Relationship Id="rId5" Type="http://schemas.openxmlformats.org/officeDocument/2006/relationships/hyperlink" Target="https://e5c9a.mailupclient.com/f/rnl.aspx/?jhe=vwurvxsx/&amp;x=pv&amp;bdi=tzfd&amp;=stxrv/7f1-a=5k9hibg&amp;x=pv&amp;9a&amp;-c4&amp;501&amp;x=pp&amp;u_9f1-a2&amp;.b/&amp;:d=rsuxuwNCLM" TargetMode="External"/><Relationship Id="rId389" Type="http://schemas.openxmlformats.org/officeDocument/2006/relationships/hyperlink" Target="https://www.facebook.com/reel/818777800864033" TargetMode="External"/><Relationship Id="rId2188" Type="http://schemas.openxmlformats.org/officeDocument/2006/relationships/hyperlink" Target="https://e5c9a.mailupclient.com/f/rnl.aspx/?jhe=vwurvxsx/&amp;x=pv&amp;bdi=tzfd&amp;=suwvs/7f1-a=5k9hibg&amp;x=pv&amp;9a&amp;-c4&amp;501&amp;x=pp&amp;u_9f1-a2&amp;.b/&amp;:d=rty2uxNCLM" TargetMode="External"/><Relationship Id="rId6" Type="http://schemas.openxmlformats.org/officeDocument/2006/relationships/hyperlink" Target="https://www.facebook.com/GCBA/posts/pfbid0Tvr1qfKc8DSpGYGQGNvXdzoG8ienpmfRqsKhH4Hu2KxGwPZpzT5Gi67RYJqC4YQql" TargetMode="External"/><Relationship Id="rId388" Type="http://schemas.openxmlformats.org/officeDocument/2006/relationships/hyperlink" Target="https://e5c9a.mailupclient.com/f/rnl.aspx/?jhe=vwvwwvrv/&amp;x=pv&amp;bdi=tzfd&amp;=stzpz/7f1-a=8e.dgcn&amp;&amp;x=pp&amp;u_9f1-a2&amp;.b/&amp;:d=rsvyw_NCLM" TargetMode="External"/><Relationship Id="rId2189" Type="http://schemas.openxmlformats.org/officeDocument/2006/relationships/hyperlink" Target="https://www.facebook.com/baparticipacion/posts/pfbid037qtw3oWHq5jBhk3YywZcc5Ujr5fwx5JCM42MJ8PEp9kgNoC2JZT8ZJdZk9iwKRZyl" TargetMode="External"/><Relationship Id="rId7" Type="http://schemas.openxmlformats.org/officeDocument/2006/relationships/hyperlink" Target="https://e5c9a.mailupclient.com/f/rnl.aspx/?jhe=vwt_y1w_/&amp;x=pv&amp;bdi=tzfd&amp;=stxsw/7f1-a=&amp;x=pv&amp;n1&amp;j&amp;kc949&amp;25&amp;x=pp&amp;uy.-5-&amp;x=pv&amp;83dbzb4h=rq_qswNCLM" TargetMode="External"/><Relationship Id="rId387" Type="http://schemas.openxmlformats.org/officeDocument/2006/relationships/hyperlink" Target="https://www.facebook.com/GCBA/posts/pfbid02ySETv8mbLPx3NFrrHh1eRhVRmMimid99iTcJQu2RtwUS7KCAiwKP9qoSStF1cMSml" TargetMode="External"/><Relationship Id="rId8" Type="http://schemas.openxmlformats.org/officeDocument/2006/relationships/hyperlink" Target="https://www.facebook.com/GCBA/posts/pfbid02XEqLAZ3ja1iUkCQ1AFBkuUXwxFv9zsX5K86BwUhreM4wjGsmh9yx8x8cEFwBnwo1l" TargetMode="External"/><Relationship Id="rId386" Type="http://schemas.openxmlformats.org/officeDocument/2006/relationships/hyperlink" Target="https://e5c9a.mailupclient.com/f/rnl.aspx/?jhe=vwvwwvrv/&amp;x=pv&amp;bdi=tzfd&amp;=stzp_/7f1-a=8e.dgcn&amp;&amp;x=pp&amp;u_9f1-a2&amp;.b/&amp;:d=rsvxqsNCLM" TargetMode="External"/><Relationship Id="rId381" Type="http://schemas.openxmlformats.org/officeDocument/2006/relationships/hyperlink" Target="https://www.facebook.com/GCBA/posts/pfbid02ySETv8mbLPx3NFrrHh1eRhVRmMimid99iTcJQu2RtwUS7KCAiwKP9qoSStF1cMSml" TargetMode="External"/><Relationship Id="rId380" Type="http://schemas.openxmlformats.org/officeDocument/2006/relationships/hyperlink" Target="https://e5c9a.mailupclient.com/f/rnl.aspx/?jhe=1r_yq2o/a&amp;le=t/.l7=svtyw/9.99a=59ndi-a&amp;9g-7e:-49&amp;25&amp;x=pp&amp;uy.-5-&amp;x=pv&amp;83dbzb4h=rq/qv_NCLM" TargetMode="External"/><Relationship Id="rId379" Type="http://schemas.openxmlformats.org/officeDocument/2006/relationships/hyperlink" Target="https://www.facebook.com/GCBA/posts/pfbid02SB5PG237gJvSQGMPLHpQAP5b6uxqxh8AqRUS3csVWmCnYyvd77i8d67LSBMnBtg8l" TargetMode="External"/><Relationship Id="rId2170" Type="http://schemas.openxmlformats.org/officeDocument/2006/relationships/hyperlink" Target="https://a2g9b4.emailsp.com/f/rnl.aspx/?fei=1uwuq_vy.9ek=vyad8=t3rvty&amp;f2::=2-neh9.9bd:5-cb10337&amp;x=pp&amp;yx0-2.e16.&amp;x=pv&amp;2b5g=qtwyqNCLM" TargetMode="External"/><Relationship Id="rId2171" Type="http://schemas.openxmlformats.org/officeDocument/2006/relationships/hyperlink" Target="https://www.facebook.com/GCBA/posts/pfbid0MuG7Sbo5joqEuk2UWgNsVURV9frh2FTUkY1aQoaNkgEbc3aeURAPiq423LHA7Mwyl" TargetMode="External"/><Relationship Id="rId2172" Type="http://schemas.openxmlformats.org/officeDocument/2006/relationships/hyperlink" Target="https://a2g9b4.emailsp.com/f/rnl.aspx/?fei=1uwuq_vy.9ek=vyad8=t3rvuy&amp;f2::=2-neh9.9bd:5-cb10337&amp;x=pp&amp;yx0-2.e16.&amp;x=pv&amp;2b5g=qtwysNCLM" TargetMode="External"/><Relationship Id="rId374" Type="http://schemas.openxmlformats.org/officeDocument/2006/relationships/hyperlink" Target="https://e5c9a.mailupclient.com/f/rnl.aspx/?jhe=1r_yq2o/a&amp;le=t/.l7=svtyq/9.99a=59ndi-a&amp;9g-7e:-49&amp;25&amp;x=pp&amp;uy.-5-&amp;x=pv&amp;83dbzb4h=rq/qrzNCLM" TargetMode="External"/><Relationship Id="rId2173" Type="http://schemas.openxmlformats.org/officeDocument/2006/relationships/hyperlink" Target="https://www.facebook.com/GCBA/posts/pfbid0A5kQ9DgeXP1KjXiXGvawRDSoK3g2jUFh52oVeNqUNwtKdBcfjwvEXPd23hetHUadl" TargetMode="External"/><Relationship Id="rId373" Type="http://schemas.openxmlformats.org/officeDocument/2006/relationships/hyperlink" Target="https://www.facebook.com/GCBA/posts/pfbid026bqVa3vmSFKKaSrJXL26kvTebyxBw49fQ6e6k96Lis65F3VpTnmHANncUHLfXeVvl" TargetMode="External"/><Relationship Id="rId2174" Type="http://schemas.openxmlformats.org/officeDocument/2006/relationships/hyperlink" Target="https://a2g9b4.emailsp.com/f/rnl.aspx/?fei=1uwuq_vy.9ek=vyad8=t3rwny&amp;f2::=2-neh9.9bd:5-cb10337&amp;x=pp&amp;yx0-2.e16.&amp;x=pv&amp;2b5g=qtw_tNCLM" TargetMode="External"/><Relationship Id="rId372" Type="http://schemas.openxmlformats.org/officeDocument/2006/relationships/hyperlink" Target="https://a2g9b4.emailsp.com/f/rnl.aspx/?fei=1vvoo1vy.9ek=vyad8=/2rux6d90.=:g7.g:cd&amp;88622&amp;x=pp&amp;w38a10c84c-y.:e=tpwv3NCLM" TargetMode="External"/><Relationship Id="rId2175" Type="http://schemas.openxmlformats.org/officeDocument/2006/relationships/hyperlink" Target="https://www.facebook.com/GCBA/posts/pfbid0NZouXVjpaRX7dWN4duRKXkSB2SFM7V8kETW9PxprU5sVCx7fMuzF9a9Dt3LGaH5Zl" TargetMode="External"/><Relationship Id="rId371" Type="http://schemas.openxmlformats.org/officeDocument/2006/relationships/hyperlink" Target="https://www.facebook.com/GCBA/posts/pfbid02GGXCtYjhgk74vKvTiihRfCeWpPvrtSdaqFFFVbf3rbsjhD5EpgogY7b1ZmsF2Ty3l" TargetMode="External"/><Relationship Id="rId2176" Type="http://schemas.openxmlformats.org/officeDocument/2006/relationships/hyperlink" Target="https://a2g9b4.emailsp.com/f/rnl.aspx/?fei=1uwuq_vy.9ek=vyad8=t3rwwy&amp;f2::=2-neh9.9bd:5-cb10337&amp;x=pp&amp;yx0-2.e16.&amp;x=pv&amp;2b5g=qtw_sNCLM" TargetMode="External"/><Relationship Id="rId378" Type="http://schemas.openxmlformats.org/officeDocument/2006/relationships/hyperlink" Target="https://e5c9a.mailupclient.com/f/rnl.aspx/?jhe=1r_yq2o/a&amp;le=t/.l7=svtvr/9.99a=59ndi-a&amp;9g-7e:-49&amp;25&amp;x=pp&amp;uy.-5-&amp;x=pv&amp;83dbzb4h=rq/qvzNCLM" TargetMode="External"/><Relationship Id="rId2177" Type="http://schemas.openxmlformats.org/officeDocument/2006/relationships/hyperlink" Target="https://www.facebook.com/GCBA/posts/pfbid0NZouXVjpaRX7dWN4duRKXkSB2SFM7V8kETW9PxprU5sVCx7fMuzF9a9Dt3LGaH5Zl" TargetMode="External"/><Relationship Id="rId377" Type="http://schemas.openxmlformats.org/officeDocument/2006/relationships/hyperlink" Target="https://www.facebook.com/GCBA/posts/pfbid02SB5PG237gJvSQGMPLHpQAP5b6uxqxh8AqRUS3csVWmCnYyvd77i8d67LSBMnBtg8l" TargetMode="External"/><Relationship Id="rId2178" Type="http://schemas.openxmlformats.org/officeDocument/2006/relationships/hyperlink" Target="https://a2g9b4.emailsp.com/f/rnl.aspx/?fei=1uwuq_vy.9ek=vyad8=t3rwoy&amp;f2::=2-neh9.9bd:5-cb10337&amp;x=pp&amp;yx0-2.e16.&amp;x=pv&amp;2b5g=qtw_uNCLM" TargetMode="External"/><Relationship Id="rId376" Type="http://schemas.openxmlformats.org/officeDocument/2006/relationships/hyperlink" Target="https://e5c9a.mailupclient.com/f/rnl.aspx/?jhe=1r_yq2o/a&amp;le=t/.l7=svtyp/9.99a=59ndi-a&amp;9g-7e:-49&amp;25&amp;x=pp&amp;uy.-5-&amp;x=pv&amp;83dbzb4h=rq/qvtNCLM" TargetMode="External"/><Relationship Id="rId2179" Type="http://schemas.openxmlformats.org/officeDocument/2006/relationships/hyperlink" Target="https://www.facebook.com/GCBA/posts/pfbid0NZouXVjpaRX7dWN4duRKXkSB2SFM7V8kETW9PxprU5sVCx7fMuzF9a9Dt3LGaH5Zl" TargetMode="External"/><Relationship Id="rId375" Type="http://schemas.openxmlformats.org/officeDocument/2006/relationships/hyperlink" Target="https://www.facebook.com/GCBA/posts/pfbid02moGGrDtH9UZ3PaQ5MUkoqn6Ss7u5ewbYyEbTUKZz4epcXjSAjjoYvFmbUfHqS3dCl" TargetMode="External"/><Relationship Id="rId2190" Type="http://schemas.openxmlformats.org/officeDocument/2006/relationships/hyperlink" Target="https://a2g9b4.emailsp.com/f/rnl.aspx/?fei=1wqvoxxy.9ek=vyad8=t3rvny&amp;f2::=4ibeh..e--:5d6.451&amp;x=pp&amp;r1.&amp;x=pv&amp;49-6&amp;aax00l=rvqo_NCLM" TargetMode="External"/><Relationship Id="rId2191" Type="http://schemas.openxmlformats.org/officeDocument/2006/relationships/hyperlink" Target="https://www.facebook.com/baparticipacion/posts/pfbid04rFhL1GxaswabuW6oAd8UqBuFvenPdwNSiRaYPh5agZp5WKUReLrPFTbh8zm9cW4l" TargetMode="External"/><Relationship Id="rId2192" Type="http://schemas.openxmlformats.org/officeDocument/2006/relationships/hyperlink" Target="https://a2g9b4.emailsp.com/f/rnl.aspx/?fei=1wqvoxxy.9ek=vyad8=t3rypy&amp;f2::=4ibeh..e--:5d6.451&amp;x=pp&amp;r1.&amp;x=pv&amp;49-6&amp;aax00l=rvruuNCLM" TargetMode="External"/><Relationship Id="rId2193" Type="http://schemas.openxmlformats.org/officeDocument/2006/relationships/hyperlink" Target="https://fb.me/adspreview/facebook/2a5pbu8JLbl6vVK" TargetMode="External"/><Relationship Id="rId2194" Type="http://schemas.openxmlformats.org/officeDocument/2006/relationships/hyperlink" Target="https://e5c9a.mailupclient.com/f/rnl.aspx/?jhe=vwurvxsx/&amp;x=pv&amp;bdi=tzfd&amp;=suxwx/7f1-a=5k9hibg&amp;x=pv&amp;9a&amp;-c4&amp;501&amp;x=pp&amp;u_9f1-a2&amp;.b/&amp;:d=rtpvorNCLM" TargetMode="External"/><Relationship Id="rId396" Type="http://schemas.openxmlformats.org/officeDocument/2006/relationships/hyperlink" Target="https://e5c9a.mailupclient.com/f/rnl.aspx/?jhe=vwurvxsx/&amp;x=pv&amp;bdi=tzfd&amp;=stzqy/7f1-a=5k9hibg&amp;x=pv&amp;9a&amp;-c4&amp;501&amp;x=pp&amp;u_9f1-a2&amp;.b/&amp;:d=rsvyrxNCLM" TargetMode="External"/><Relationship Id="rId2195" Type="http://schemas.openxmlformats.org/officeDocument/2006/relationships/hyperlink" Target="https://www.facebook.com/reel/2475612596197961" TargetMode="External"/><Relationship Id="rId395" Type="http://schemas.openxmlformats.org/officeDocument/2006/relationships/hyperlink" Target="https://www.facebook.com/reel/1259490412867632" TargetMode="External"/><Relationship Id="rId2196" Type="http://schemas.openxmlformats.org/officeDocument/2006/relationships/hyperlink" Target="https://e5c9a.mailupclient.com/f/rnl.aspx/?jhe=vwurvxsx/&amp;x=pv&amp;bdi=tzfd&amp;=suwvy/7f1-a=5k9hibg&amp;x=pv&amp;9a&amp;-c4&amp;501&amp;x=pp&amp;u_9f1-a2&amp;.b/&amp;:d=rtp3prNCLM" TargetMode="External"/><Relationship Id="rId394" Type="http://schemas.openxmlformats.org/officeDocument/2006/relationships/hyperlink" Target="https://a2g9b4.emailsp.com/f/rnl.aspx/?fei=1wqvoxxy.9ek=vyad8=/2sqx6d90.=3d.lfc&amp;x=pv&amp;.&amp;e08c1-&amp;34&amp;x=pp&amp;qx-f2::19h&amp;x=pv&amp;_95j=yqyrtNCLM" TargetMode="External"/><Relationship Id="rId2197" Type="http://schemas.openxmlformats.org/officeDocument/2006/relationships/hyperlink" Target="https://www.facebook.com/baparticipacion/posts/pfbid026rzt5SBsadw9mUfeiZnXRzw82KKCw9hrLaStHhkE38toe7FY9NXm1N7TmsCbdraol" TargetMode="External"/><Relationship Id="rId393" Type="http://schemas.openxmlformats.org/officeDocument/2006/relationships/hyperlink" Target="https://www.facebook.com/reel/818777800864033" TargetMode="External"/><Relationship Id="rId2198" Type="http://schemas.openxmlformats.org/officeDocument/2006/relationships/hyperlink" Target="https://e5c9a.mailupclient.com/f/rnl.aspx/?jhe=vwurvxsx/&amp;x=pv&amp;bdi=tzfd&amp;=suwvz/7f1-a=5k9hibg&amp;x=pv&amp;9a&amp;-c4&amp;501&amp;x=pp&amp;u_9f1-a2&amp;.b/&amp;:d=rtp3puNCLM" TargetMode="External"/><Relationship Id="rId2199" Type="http://schemas.openxmlformats.org/officeDocument/2006/relationships/hyperlink" Target="https://www.facebook.com/baparticipacion/posts/pfbid0cqdBo8U6f7icGwi1UgY64Dq9b7kJVms3oxUzJRvEnieMK5d2eTXsYd7Ky2JVkPdnl" TargetMode="External"/><Relationship Id="rId399" Type="http://schemas.openxmlformats.org/officeDocument/2006/relationships/hyperlink" Target="https://www.facebook.com/reel/818777800864033" TargetMode="External"/><Relationship Id="rId398" Type="http://schemas.openxmlformats.org/officeDocument/2006/relationships/hyperlink" Target="https://a2g9b4.emailsp.com/f/rnl.aspx/?fei=1wqvoxxy.9ek=vyad8=/2srx6d90.=3d.lfc&amp;x=pv&amp;.&amp;e08c1-&amp;34&amp;x=pp&amp;qx-f2::19h&amp;x=pv&amp;_95j=yqyrvNCLM" TargetMode="External"/><Relationship Id="rId397" Type="http://schemas.openxmlformats.org/officeDocument/2006/relationships/hyperlink" Target="https://www.facebook.com/reel/1259490412867632" TargetMode="External"/><Relationship Id="rId1730" Type="http://schemas.openxmlformats.org/officeDocument/2006/relationships/hyperlink" Target="https://a2g9b4.emailsp.com/f/rnl.aspx/?fei=1vvoo_2y.9ek=vyad8=t3qtqy&amp;f2::=k702m1k6.451&amp;x=pp&amp;r1.&amp;x=pv&amp;49-6&amp;aax00l=ruvx/NCLM" TargetMode="External"/><Relationship Id="rId1731" Type="http://schemas.openxmlformats.org/officeDocument/2006/relationships/hyperlink" Target="https://a2g9b4.emailsp.com/f/rnl.aspx/?fei=1vvoo_2y.9ek=vyad8=t3qury&amp;f2::=k702m1k6.451&amp;x=pp&amp;r1.&amp;x=pv&amp;49-6&amp;aax00l=ruvrwNCLM" TargetMode="External"/><Relationship Id="rId1732" Type="http://schemas.openxmlformats.org/officeDocument/2006/relationships/hyperlink" Target="https://www.facebook.com/GCBA/posts/pfbid0BWWbjFzHSvy2akkqzkGyUfsJ8AtVqaA5yBerrhCbwJs151HBF3J9V24vnFCkvNixl" TargetMode="External"/><Relationship Id="rId1733" Type="http://schemas.openxmlformats.org/officeDocument/2006/relationships/hyperlink" Target="https://e5c9a.mailupclient.com/f/rnl.aspx/?jhe=vwurvxsx/&amp;x=pv&amp;bdi=tzfd&amp;=suvpz/7f1-a=5k9hibg&amp;x=pv&amp;9a&amp;-c4&amp;501&amp;x=pp&amp;u_9f1-a2&amp;.b/&amp;:d=rtywvsNCLM" TargetMode="External"/><Relationship Id="rId1734" Type="http://schemas.openxmlformats.org/officeDocument/2006/relationships/hyperlink" Target="https://www.facebook.com/reel/1662789154842085/" TargetMode="External"/><Relationship Id="rId1735" Type="http://schemas.openxmlformats.org/officeDocument/2006/relationships/hyperlink" Target="https://a2g9b4.emailsp.com/f/rnl.aspx/?fei=1wqvoxxy.9ek=vyad8=t3quty&amp;f2::=4ibeh..e--:5d6.451&amp;x=pp&amp;r1.&amp;x=pv&amp;49-6&amp;aax00l=ruvpzNCLM" TargetMode="External"/><Relationship Id="rId1736" Type="http://schemas.openxmlformats.org/officeDocument/2006/relationships/hyperlink" Target="https://www.facebook.com/reel/3916775938627139" TargetMode="External"/><Relationship Id="rId1737" Type="http://schemas.openxmlformats.org/officeDocument/2006/relationships/hyperlink" Target="https://a2g9b4.emailsp.com/f/rnl.aspx/?fei=1wqvoxxy.9ek=vyad8=t3quvy&amp;f2::=4ibeh..e--:5d6.451&amp;x=pp&amp;r1.&amp;x=pv&amp;49-6&amp;aax00l=ruvq/NCLM" TargetMode="External"/><Relationship Id="rId1738" Type="http://schemas.openxmlformats.org/officeDocument/2006/relationships/hyperlink" Target="https://www.facebook.com/GCBA/posts/pfbid0VNG57qB3nVTqxBJbJM9RhGy6zLbn37no46DKGefcch7YeFSakEZK1y1zaycboqGXl" TargetMode="External"/><Relationship Id="rId1739" Type="http://schemas.openxmlformats.org/officeDocument/2006/relationships/hyperlink" Target="https://a2g9b4.emailsp.com/f/rnl.aspx/?fei=1wqvoxxy.9ek=vyad8=t3quuy&amp;f2::=4ibeh..e--:5d6.451&amp;x=pp&amp;r1.&amp;x=pv&amp;49-6&amp;aax00l=ruvqwNCLM" TargetMode="External"/><Relationship Id="rId1720" Type="http://schemas.openxmlformats.org/officeDocument/2006/relationships/hyperlink" Target="https://e5c9a.mailupclient.com/f/rnl.aspx/?jhe=vwvwwvrv/&amp;x=pv&amp;bdi=tzfd&amp;=suvpx/7f1-a=8e.dgcn&amp;&amp;x=pp&amp;u_9f1-a2&amp;.b/&amp;:d=rtyxorNCLM" TargetMode="External"/><Relationship Id="rId1721" Type="http://schemas.openxmlformats.org/officeDocument/2006/relationships/hyperlink" Target="https://www.facebook.com/GCBA/posts/pfbid0Pznwvb2iEUy69CbGNn1ijyJpDoT3MVoMAqbjE7dnaLmy1nJ4umHMbEApNRFwAHiMl" TargetMode="External"/><Relationship Id="rId1722" Type="http://schemas.openxmlformats.org/officeDocument/2006/relationships/hyperlink" Target="https://e5c9a.mailupclient.com/f/rnl.aspx/?jhe=vwt_y1w_/&amp;x=pv&amp;bdi=tzfd&amp;=suvpw/7f1-a=&amp;x=pv&amp;n1&amp;j&amp;kc949&amp;25&amp;x=pp&amp;uy.-5-&amp;x=pv&amp;83dbzb4h=rr3ozvNCLM" TargetMode="External"/><Relationship Id="rId1723" Type="http://schemas.openxmlformats.org/officeDocument/2006/relationships/hyperlink" Target="https://www.facebook.com/GCBA/posts/pfbid0xUSsN2VyZ89gZ4mJrc7vg28WsLE9vppNRqYiwKwMvybMGDnTY5wEDsosBfdX4qtQl" TargetMode="External"/><Relationship Id="rId1724" Type="http://schemas.openxmlformats.org/officeDocument/2006/relationships/hyperlink" Target="https://e5c9a.mailupclient.com/f/rnl.aspx/?jhe=vwt_y1w_/&amp;x=pv&amp;bdi=tzfd&amp;=suvpy/7f1-a=&amp;x=pv&amp;n1&amp;j&amp;kc949&amp;25&amp;x=pp&amp;uy.-5-&amp;x=pv&amp;83dbzb4h=rr3ozuNCLM" TargetMode="External"/><Relationship Id="rId1725" Type="http://schemas.openxmlformats.org/officeDocument/2006/relationships/hyperlink" Target="https://www.facebook.com/GCBA/posts/pfbid0xUSsN2VyZ89gZ4mJrc7vg28WsLE9vppNRqYiwKwMvybMGDnTY5wEDsosBfdX4qtQl" TargetMode="External"/><Relationship Id="rId1726" Type="http://schemas.openxmlformats.org/officeDocument/2006/relationships/hyperlink" Target="https://e5c9a.mailupclient.com/f/rnl.aspx/?jhe=vwt_y1w_/&amp;x=pv&amp;bdi=tzfd&amp;=suvq_/7f1-a=&amp;x=pv&amp;n1&amp;j&amp;kc949&amp;25&amp;x=pp&amp;uy.-5-&amp;x=pv&amp;83dbzb4h=rr3p__NCLM" TargetMode="External"/><Relationship Id="rId1727" Type="http://schemas.openxmlformats.org/officeDocument/2006/relationships/hyperlink" Target="https://www.facebook.com/reel/1458725662138823" TargetMode="External"/><Relationship Id="rId1728" Type="http://schemas.openxmlformats.org/officeDocument/2006/relationships/hyperlink" Target="https://a2g9b4.emailsp.com/f/rnl.aspx/?fei=1uwuq_vy.9ek=vyad8=t3qtny&amp;f2::=2-neh9.9bd:5-cb10337&amp;x=pp&amp;yx0-2.e16.&amp;x=pv&amp;2b5g=qs_zuNCLM" TargetMode="External"/><Relationship Id="rId1729" Type="http://schemas.openxmlformats.org/officeDocument/2006/relationships/hyperlink" Target="https://fb.me/adspreview/facebook/1UgfjdmX0MBxywR" TargetMode="External"/><Relationship Id="rId1752" Type="http://schemas.openxmlformats.org/officeDocument/2006/relationships/hyperlink" Target="https://www.facebook.com/GCBA/posts/pfbid0yNKogB7jFPoddY254ViUCjQMASFGzkNsvYdNCaLZM1xpD1tMtpFGeutoLQCfH9qYl" TargetMode="External"/><Relationship Id="rId1753" Type="http://schemas.openxmlformats.org/officeDocument/2006/relationships/hyperlink" Target="https://e5c9a.mailupclient.com/f/rnl.aspx/?jhe=1r_yq2o/a&amp;le=t/.l7=swpwp/9.99a=59ndi-a&amp;9g-7e:-49&amp;25&amp;x=pp&amp;uy.-5-&amp;x=pv&amp;83dbzb4h=rr3puzNCLM" TargetMode="External"/><Relationship Id="rId2600" Type="http://schemas.openxmlformats.org/officeDocument/2006/relationships/hyperlink" Target="https://a2g9b4.emailsp.com/f/rnl.aspx/?fei=1wqvoxxy.9ek=vyad8=t3ttqy&amp;f2::=4ibeh..e--:5d6.451&amp;x=pp&amp;r1.&amp;x=pv&amp;49-6&amp;aax00l=rwpt_NCLM" TargetMode="External"/><Relationship Id="rId1754" Type="http://schemas.openxmlformats.org/officeDocument/2006/relationships/hyperlink" Target="https://www.facebook.com/GCBA/posts/pfbid0yNKogB7jFPoddY254ViUCjQMASFGzkNsvYdNCaLZM1xpD1tMtpFGeutoLQCfH9qYl" TargetMode="External"/><Relationship Id="rId2601" Type="http://schemas.openxmlformats.org/officeDocument/2006/relationships/hyperlink" Target="https://a2g9b4.emailsp.com/f/rnl.aspx/?fei=1wqvoxxy.9ek=vyad8=t3ttry&amp;f2::=4ibeh..e--:5d6.451&amp;x=pp&amp;r1.&amp;x=pv&amp;49-6&amp;aax00l=rwpt/NCLM" TargetMode="External"/><Relationship Id="rId1755" Type="http://schemas.openxmlformats.org/officeDocument/2006/relationships/hyperlink" Target="https://e5c9a.mailupclient.com/f/rnl.aspx/?jhe=1r_yq2o/a&amp;le=t/.l7=swpzw/9.99a=59ndi-a&amp;9g-7e:-49&amp;25&amp;x=pp&amp;uy.-5-&amp;x=pv&amp;83dbzb4h=rr3pssNCLM" TargetMode="External"/><Relationship Id="rId2602" Type="http://schemas.openxmlformats.org/officeDocument/2006/relationships/hyperlink" Target="https://a2g9b4.emailsp.com/f/rnl.aspx/?fei=1wqvoxxy.9ek=vyad8=t3ttsy&amp;f2::=4ibeh..e--:5d6.451&amp;x=pp&amp;r1.&amp;x=pv&amp;49-6&amp;aax00l=rwpu1NCLM" TargetMode="External"/><Relationship Id="rId1756" Type="http://schemas.openxmlformats.org/officeDocument/2006/relationships/hyperlink" Target="https://www.facebook.com/reel/1458725662138823/" TargetMode="External"/><Relationship Id="rId2603" Type="http://schemas.openxmlformats.org/officeDocument/2006/relationships/hyperlink" Target="https://a2g9b4.emailsp.com/f/rnl.aspx/?fei=2orws1vy.9ek=vyad8=t3tqty&amp;f2::=7chafagb&amp;x=pp&amp;yx0-2.e16.&amp;x=pv&amp;2b5g=quv_xNCLM" TargetMode="External"/><Relationship Id="rId1757" Type="http://schemas.openxmlformats.org/officeDocument/2006/relationships/hyperlink" Target="https://a2g9b4.emailsp.com/f/rnl.aspx/?fei=1wqvoxxy.9ek=vyad8=t3qvsy&amp;f2::=4ibeh..e--:5d6.451&amp;x=pp&amp;r1.&amp;x=pv&amp;49-6&amp;aax00l=ruvtvNCLM" TargetMode="External"/><Relationship Id="rId2604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1758" Type="http://schemas.openxmlformats.org/officeDocument/2006/relationships/hyperlink" Target="https://www.facebook.com/reel/1458725662138823/" TargetMode="External"/><Relationship Id="rId2605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1759" Type="http://schemas.openxmlformats.org/officeDocument/2006/relationships/hyperlink" Target="https://a2g9b4.emailsp.com/f/rnl.aspx/?fei=1wqvoxxy.9ek=vyad8=t3qzsy&amp;f2::=4ibeh..e--:5d6.451&amp;x=pp&amp;r1.&amp;x=pv&amp;49-6&amp;aax00l=rusu1NCLM" TargetMode="External"/><Relationship Id="rId2606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808" Type="http://schemas.openxmlformats.org/officeDocument/2006/relationships/hyperlink" Target="https://e5c9a.mailupclient.com/f/rnl.aspx/?jhe=vwurvxsx/&amp;x=pv&amp;bdi=tzfd&amp;=st1nv/7f1-a=5k9hibg&amp;x=pv&amp;9a&amp;-c4&amp;501&amp;x=pp&amp;u_9f1-a2&amp;.b/&amp;:d=rsw/ozNCLM" TargetMode="External"/><Relationship Id="rId2607" Type="http://schemas.openxmlformats.org/officeDocument/2006/relationships/hyperlink" Target="https://e5c9a.mailupclient.com/f/rnl.aspx/?jhe=vwvwwvrv/&amp;x=pv&amp;bdi=tzfd&amp;=suyuu/7f1-a=8e.dgcn&amp;&amp;x=pp&amp;u_9f1-a2&amp;.b/&amp;:d=rtq3wtNCLM" TargetMode="External"/><Relationship Id="rId807" Type="http://schemas.openxmlformats.org/officeDocument/2006/relationships/hyperlink" Target="https://e5c9a.mailupclient.com/f/rnl.aspx/?jhe=1r_yq2o/a&amp;le=t/.l7=svwvw/9.99a=59ndi-a&amp;9g-7e:-49&amp;25&amp;x=pp&amp;uy.-5-&amp;x=pv&amp;83dbzb4h=rq1tsuNCLM" TargetMode="External"/><Relationship Id="rId2608" Type="http://schemas.openxmlformats.org/officeDocument/2006/relationships/hyperlink" Target="https://a2g9b4.emailsp.com/f/rnl.aspx/?fei=1vvoo1vy.9ek=vyad8=t3tquy&amp;f2::=-l98i9di-10337&amp;x=pp&amp;yx0-2.e16.&amp;x=pv&amp;2b5g=quuxsNCLM" TargetMode="External"/><Relationship Id="rId806" Type="http://schemas.openxmlformats.org/officeDocument/2006/relationships/hyperlink" Target="https://e5c9a.mailupclient.com/f/rnl.aspx/?jhe=1r_yq2o/a&amp;le=t/.l7=svw3u/9.99a=59ndi-a&amp;9g-7e:-49&amp;25&amp;x=pp&amp;uy.-5-&amp;x=pv&amp;83dbzb4h=rq1ttsNCLM" TargetMode="External"/><Relationship Id="rId2609" Type="http://schemas.openxmlformats.org/officeDocument/2006/relationships/hyperlink" Target="https://a2g9b4.emailsp.com/f/rnl.aspx/?fei=1vvoo_2y.9ek=vyad8=t3tzry&amp;f2::=k702m1k6.451&amp;x=pp&amp;r1.&amp;x=pv&amp;49-6&amp;aax00l=rwnrwNCLM" TargetMode="External"/><Relationship Id="rId805" Type="http://schemas.openxmlformats.org/officeDocument/2006/relationships/hyperlink" Target="https://e5c9a.mailupclient.com/f/rnl.aspx/?jhe=1r_yq2o/a&amp;le=t/.l7=svw3q/9.99a=59ndi-a&amp;9g-7e:-49&amp;25&amp;x=pp&amp;uy.-5-&amp;x=pv&amp;83dbzb4h=rq1sy_NCLM" TargetMode="External"/><Relationship Id="rId809" Type="http://schemas.openxmlformats.org/officeDocument/2006/relationships/hyperlink" Target="https://a2g9b4.emailsp.com/f/rnl.aspx/?fei=1wqvoxxy.9ek=vyad8=t3ozvy&amp;f2::=4ibeh..e--:5d6.451&amp;x=pp&amp;r1.&amp;x=pv&amp;49-6&amp;aax00l=rtts1NCLM" TargetMode="External"/><Relationship Id="rId800" Type="http://schemas.openxmlformats.org/officeDocument/2006/relationships/hyperlink" Target="https://e5c9a.mailupclient.com/f/rnl.aspx/?jhe=vwszuxsy/&amp;x=pv&amp;bdi=tzfd&amp;=st1nu/7f1-a=l925n3r/&amp;749&amp;x=pp&amp;q_&amp;.99a45h-/-6l=nsyvzrNCLM" TargetMode="External"/><Relationship Id="rId804" Type="http://schemas.openxmlformats.org/officeDocument/2006/relationships/hyperlink" Target="https://e5c9a.mailupclient.com/f/rnl.aspx/?jhe=1r_yq2o/a&amp;le=t/.l7=svw3o/9.99a=59ndi-a&amp;9g-7e:-49&amp;25&amp;x=pp&amp;uy.-5-&amp;x=pv&amp;83dbzb4h=rq1trwNCLM" TargetMode="External"/><Relationship Id="rId803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802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801" Type="http://schemas.openxmlformats.org/officeDocument/2006/relationships/hyperlink" Target="https://e5c9a.mailupclient.com/f/rnl.aspx/?jhe=vwszuxsy/&amp;x=pv&amp;bdi=tzfd&amp;=st1nu/7f1-a=l925n3r/&amp;749&amp;x=pp&amp;q_&amp;.99a45h-/-6l=nsyvzrNCLM" TargetMode="External"/><Relationship Id="rId1750" Type="http://schemas.openxmlformats.org/officeDocument/2006/relationships/hyperlink" Target="https://www.facebook.com/GCBA/posts/pfbid0wziBcRv2TwNN7k4WpjsGNTQd32LKhWeQSdjA5RfvCtL7hYf1wG5P6Es1azPTeKyjl" TargetMode="External"/><Relationship Id="rId1751" Type="http://schemas.openxmlformats.org/officeDocument/2006/relationships/hyperlink" Target="https://e5c9a.mailupclient.com/f/rnl.aspx/?jhe=1r_yq2o/a&amp;le=t/.l7=swpvv/9.99a=59ndi-a&amp;9g-7e:-49&amp;25&amp;x=pp&amp;uy.-5-&amp;x=pv&amp;83dbzb4h=rr3pv_NCLM" TargetMode="External"/><Relationship Id="rId1741" Type="http://schemas.openxmlformats.org/officeDocument/2006/relationships/hyperlink" Target="https://a2g9b4.emailsp.com/f/rnl.aspx/?fei=1wqvoxxy.9ek=vyad8=t3quqy&amp;f2::=4ibeh..e--:5d6.451&amp;x=pp&amp;r1.&amp;x=pv&amp;49-6&amp;aax00l=ruvruNCLM" TargetMode="External"/><Relationship Id="rId1742" Type="http://schemas.openxmlformats.org/officeDocument/2006/relationships/hyperlink" Target="https://fb.me/adspreview/facebook/26hl3ef2PRp2J1x" TargetMode="External"/><Relationship Id="rId1743" Type="http://schemas.openxmlformats.org/officeDocument/2006/relationships/hyperlink" Target="https://a2g9b4.emailsp.com/f/rnl.aspx/?fei=1wqvoxxy.9ek=vyad8=t3qtvy&amp;f2::=4ibeh..e--:5d6.451&amp;x=pp&amp;r1.&amp;x=pv&amp;49-6&amp;aax00l=ruuwzNCLM" TargetMode="External"/><Relationship Id="rId1744" Type="http://schemas.openxmlformats.org/officeDocument/2006/relationships/hyperlink" Target="https://fb.me/adspreview/facebook/2kOc7goI7sZAeKe" TargetMode="External"/><Relationship Id="rId1745" Type="http://schemas.openxmlformats.org/officeDocument/2006/relationships/hyperlink" Target="https://a2g9b4.emailsp.com/f/rnl.aspx/?fei=1wqvoxxy.9ek=vyad8=t3quwy&amp;f2::=4ibeh..e--:5d6.451&amp;x=pp&amp;r1.&amp;x=pv&amp;49-6&amp;aax00l=ruuw_NCLM" TargetMode="External"/><Relationship Id="rId1746" Type="http://schemas.openxmlformats.org/officeDocument/2006/relationships/hyperlink" Target="https://www.facebook.com/GCBA/posts/pfbid0oY9243eQEN1s4vr3q4i9c9MTkWTtfjzAv2zSMDXHTwtEwBnaXoezgKYx4ARYMWVwl" TargetMode="External"/><Relationship Id="rId1747" Type="http://schemas.openxmlformats.org/officeDocument/2006/relationships/hyperlink" Target="https://a2g9b4.emailsp.com/f/rnl.aspx/?fei=1wqvoxxy.9ek=vyad8=t3qury&amp;f2::=4ibeh..e--:5d6.451&amp;x=pp&amp;r1.&amp;x=pv&amp;49-6&amp;aax00l=ruvozNCLM" TargetMode="External"/><Relationship Id="rId1748" Type="http://schemas.openxmlformats.org/officeDocument/2006/relationships/hyperlink" Target="https://www.facebook.com/GCBA/posts/pfbid0oY9243eQEN1s4vr3q4i9c9MTkWTtfjzAv2zSMDXHTwtEwBnaXoezgKYx4ARYMWVwl" TargetMode="External"/><Relationship Id="rId1749" Type="http://schemas.openxmlformats.org/officeDocument/2006/relationships/hyperlink" Target="https://e5c9a.mailupclient.com/f/rnl.aspx/?jhe=1r_yq2o/a&amp;le=t/.l7=swpxw/9.99a=59ndi-a&amp;9g-7e:-49&amp;25&amp;x=pp&amp;uy.-5-&amp;x=pv&amp;83dbzb4h=rr3ouyNCLM" TargetMode="External"/><Relationship Id="rId1740" Type="http://schemas.openxmlformats.org/officeDocument/2006/relationships/hyperlink" Target="https://www.facebook.com/GCBA/posts/pfbid0VNG57qB3nVTqxBJbJM9RhGy6zLbn37no46DKGefcch7YeFSakEZK1y1zaycboqGXl" TargetMode="External"/><Relationship Id="rId1710" Type="http://schemas.openxmlformats.org/officeDocument/2006/relationships/hyperlink" Target="https://e5c9a.mailupclient.com/f/rnl.aspx/?jhe=vwurvxsx/&amp;x=pv&amp;bdi=tzfd&amp;=suvpr/7f1-a=5k9hibg&amp;x=pv&amp;9a&amp;-c4&amp;501&amp;x=pp&amp;u_9f1-a2&amp;.b/&amp;:d=rtywrwNCLM" TargetMode="External"/><Relationship Id="rId1711" Type="http://schemas.openxmlformats.org/officeDocument/2006/relationships/hyperlink" Target="https://e5c9a.mailupclient.com/f/rnl.aspx/?jhe=vwurvxsx/&amp;x=pv&amp;bdi=tzfd&amp;=suvpv/7f1-a=5k9hibg&amp;x=pv&amp;9a&amp;-c4&amp;501&amp;x=pp&amp;u_9f1-a2&amp;.b/&amp;:d=rtywszNCLM" TargetMode="External"/><Relationship Id="rId1712" Type="http://schemas.openxmlformats.org/officeDocument/2006/relationships/hyperlink" Target="https://www.facebook.com/reel/2392892084530463" TargetMode="External"/><Relationship Id="rId1713" Type="http://schemas.openxmlformats.org/officeDocument/2006/relationships/hyperlink" Target="https://e5c9a.mailupclient.com/f/rnl.aspx/?jhe=vwurvxsx/&amp;x=pv&amp;bdi=tzfd&amp;=suvpu/7f1-a=5k9hibg&amp;x=pv&amp;9a&amp;-c4&amp;501&amp;x=pp&amp;u_9f1-a2&amp;.b/&amp;:d=rtyws_NCLM" TargetMode="External"/><Relationship Id="rId1714" Type="http://schemas.openxmlformats.org/officeDocument/2006/relationships/hyperlink" Target="https://a2g9b4.emailsp.com/f/rnl.aspx/?fei=2orws1vy.9ek=vyad8=t3qtwy&amp;f2::=7chafagb&amp;x=pp&amp;yx0-2.e16.&amp;x=pv&amp;2b5g=qs__oNCLM" TargetMode="External"/><Relationship Id="rId1715" Type="http://schemas.openxmlformats.org/officeDocument/2006/relationships/hyperlink" Target="https://a2g9b4.emailsp.com/f/rnl.aspx/?fei=2orws1vy.9ek=vyad8=t3qtpy&amp;f2::=7chafagb&amp;x=pp&amp;yx0-2.e16.&amp;x=pv&amp;2b5g=qs__xNCLM" TargetMode="External"/><Relationship Id="rId1716" Type="http://schemas.openxmlformats.org/officeDocument/2006/relationships/hyperlink" Target="https://e5c9a.mailupclient.com/f/rnl.aspx/?jhe=vwvwwvrv/&amp;x=pv&amp;bdi=tzfd&amp;=suvoz/7f1-a=8e.dgcn&amp;&amp;x=pp&amp;u_9f1-a2&amp;.b/&amp;:d=rtywrxNCLM" TargetMode="External"/><Relationship Id="rId1717" Type="http://schemas.openxmlformats.org/officeDocument/2006/relationships/hyperlink" Target="https://www.facebook.com/GCBA/posts/pfbid0Pznwvb2iEUy69CbGNn1ijyJpDoT3MVoMAqbjE7dnaLmy1nJ4umHMbEApNRFwAHiMl" TargetMode="External"/><Relationship Id="rId1718" Type="http://schemas.openxmlformats.org/officeDocument/2006/relationships/hyperlink" Target="https://e5c9a.mailupclient.com/f/rnl.aspx/?jhe=vwvwwvrv/&amp;x=pv&amp;bdi=tzfd&amp;=suvpt/7f1-a=8e.dgcn&amp;&amp;x=pp&amp;u_9f1-a2&amp;.b/&amp;:d=rtywsyNCLM" TargetMode="External"/><Relationship Id="rId1719" Type="http://schemas.openxmlformats.org/officeDocument/2006/relationships/hyperlink" Target="https://www.facebook.com/GCBA/posts/pfbid0Pznwvb2iEUy69CbGNn1ijyJpDoT3MVoMAqbjE7dnaLmy1nJ4umHMbEApNRFwAHiMl" TargetMode="External"/><Relationship Id="rId1700" Type="http://schemas.openxmlformats.org/officeDocument/2006/relationships/hyperlink" Target="https://www.facebook.com/GCBA/posts/pfbid0KaN8VK5HPLqjRy6qRgxyBF2wmSBx5kdmXWyHo2mJKUmzLodczR2ze3E1CWbBxpinl" TargetMode="External"/><Relationship Id="rId1701" Type="http://schemas.openxmlformats.org/officeDocument/2006/relationships/hyperlink" Target="https://e5c9a.mailupclient.com/f/rnl.aspx/?jhe=1r_yq2o/a&amp;le=t/.l7=swpvt/9.99a=59ndi-a&amp;9g-7e:-49&amp;25&amp;x=pp&amp;uy.-5-&amp;x=pv&amp;83dbzb4h=rr3prwNCLM" TargetMode="External"/><Relationship Id="rId1702" Type="http://schemas.openxmlformats.org/officeDocument/2006/relationships/hyperlink" Target="https://www.facebook.com/GCBA/posts/pfbid0KaN8VK5HPLqjRy6qRgxyBF2wmSBx5kdmXWyHo2mJKUmzLodczR2ze3E1CWbBxpinl" TargetMode="External"/><Relationship Id="rId1703" Type="http://schemas.openxmlformats.org/officeDocument/2006/relationships/hyperlink" Target="https://e5c9a.mailupclient.com/f/rnl.aspx/?jhe=1r_yq2o/a&amp;le=t/.l7=swpvs/9.99a=59ndi-a&amp;9g-7e:-49&amp;25&amp;x=pp&amp;uy.-5-&amp;x=pv&amp;83dbzb4h=rr3ps_NCLM" TargetMode="External"/><Relationship Id="rId1704" Type="http://schemas.openxmlformats.org/officeDocument/2006/relationships/hyperlink" Target="https://e5c9a.mailupclient.com/f/rnl.aspx/?jhe=1r_yq2o/a&amp;le=t/.l7=swpwn/9.99a=59ndi-a&amp;9g-7e:-49&amp;25&amp;x=pp&amp;uy.-5-&amp;x=pv&amp;83dbzb4h=rr3orzNCLM" TargetMode="External"/><Relationship Id="rId1705" Type="http://schemas.openxmlformats.org/officeDocument/2006/relationships/hyperlink" Target="https://www.facebook.com/GCBA/posts/pfbid0277YpxeHyUczhXNK3u8A7tDDmhV8R9AGH6TF7HV7vK9Lp44oZbVyEwKMpjdVQqRml" TargetMode="External"/><Relationship Id="rId1706" Type="http://schemas.openxmlformats.org/officeDocument/2006/relationships/hyperlink" Target="https://e5c9a.mailupclient.com/f/rnl.aspx/?jhe=1r_yq2o/a&amp;le=t/.l7=swpwo/9.99a=59ndi-a&amp;9g-7e:-49&amp;25&amp;x=pp&amp;uy.-5-&amp;x=pv&amp;83dbzb4h=rr3os_NCLM" TargetMode="External"/><Relationship Id="rId1707" Type="http://schemas.openxmlformats.org/officeDocument/2006/relationships/hyperlink" Target="https://e5c9a.mailupclient.com/f/rnl.aspx/?jhe=vwurvxsx/&amp;x=pv&amp;bdi=tzfd&amp;=suvqr/7f1-a=5k9hibg&amp;x=pv&amp;9a&amp;-c4&amp;501&amp;x=pp&amp;u_9f1-a2&amp;.b/&amp;:d=rtyxwzNCLM" TargetMode="External"/><Relationship Id="rId1708" Type="http://schemas.openxmlformats.org/officeDocument/2006/relationships/hyperlink" Target="https://www.facebook.com/GCBA/posts/pfbid0277YpxeHyUczhXNK3u8A7tDDmhV8R9AGH6TF7HV7vK9Lp44oZbVyEwKMpjdVQqRml" TargetMode="External"/><Relationship Id="rId1709" Type="http://schemas.openxmlformats.org/officeDocument/2006/relationships/hyperlink" Target="https://a2g9b4.emailsp.com/f/rnl.aspx/?fei=1wqvoxxy.9ek=vyad8=t3qusy&amp;f2::=4ibeh..e--:5d6.451&amp;x=pp&amp;r1.&amp;x=pv&amp;49-6&amp;aax00l=ruvqtNCLM" TargetMode="External"/><Relationship Id="rId40" Type="http://schemas.openxmlformats.org/officeDocument/2006/relationships/hyperlink" Target="https://www.facebook.com/GCBA/posts/pfbid0swuyoC42Lys1AAsD6UQ7EPU5B43KXVdVXxxXU4X9oHEJ7DjKXtavLAdDHd6BpccBl" TargetMode="External"/><Relationship Id="rId1334" Type="http://schemas.openxmlformats.org/officeDocument/2006/relationships/hyperlink" Target="https://a2g9b4.emailsp.com/f/rnl.aspx/?fei=1vvoo_2y.9ek=vyad8=t3pvpy&amp;f2::=k702m1k6.451&amp;x=pp&amp;r1.&amp;x=pv&amp;49-6&amp;aax00l=ruqtxNCLM" TargetMode="External"/><Relationship Id="rId2665" Type="http://schemas.openxmlformats.org/officeDocument/2006/relationships/hyperlink" Target="https://a2g9b4.emailsp.com/f/rnl.aspx/?fei=2orws1vy.9ek=vyad8=t3ttty&amp;f2::=7chafagb&amp;x=pp&amp;yx0-2.e16.&amp;x=pv&amp;2b5g=quw/xNCLM" TargetMode="External"/><Relationship Id="rId1335" Type="http://schemas.openxmlformats.org/officeDocument/2006/relationships/hyperlink" Target="https://www.facebook.com/GCBA/posts/pfbid03nkHcuji6X3anVJ2Sd42mxzzM1TFKDY6Gur9BTKCkfWSTXrquDv96uj5yQ4v8hV5l" TargetMode="External"/><Relationship Id="rId2666" Type="http://schemas.openxmlformats.org/officeDocument/2006/relationships/hyperlink" Target="https://e5c9a.mailupclient.com/f/rnl.aspx/?jhe=vwvwwvrv/&amp;x=pv&amp;bdi=tzfd&amp;=suzou/7f1-a=8e.dgcn&amp;&amp;x=pp&amp;u_9f1-a2&amp;.b/&amp;:d=rtqvsxNCLM%7D" TargetMode="External"/><Relationship Id="rId42" Type="http://schemas.openxmlformats.org/officeDocument/2006/relationships/hyperlink" Target="http://facebook.com/GCBA/posts/pfbid02be3ZHu2v99MUHBNDJdA8zoW7fdKeXgoZvUsEKFJbatJMaqmfGhVfSuBTobPHZYPwl" TargetMode="External"/><Relationship Id="rId1336" Type="http://schemas.openxmlformats.org/officeDocument/2006/relationships/hyperlink" Target="https://a2g9b4.emailsp.com/f/rnl.aspx/?fei=1vvoo_2y.9ek=vyad8=t3puny&amp;f2::=k702m1k6.451&amp;x=pp&amp;r1.&amp;x=pv&amp;49-6&amp;aax00l=ruqxvNCLM" TargetMode="External"/><Relationship Id="rId2667" Type="http://schemas.openxmlformats.org/officeDocument/2006/relationships/hyperlink" Target="https://a2g9b4.emailsp.com/f/rnl.aspx/?fei=1vvoo_2y.9ek=vyad8=t3tuoy&amp;f2::=k702m1k6.451&amp;x=pp&amp;r1.&amp;x=pv&amp;49-6&amp;aax00l=rwpq/NCLM" TargetMode="External"/><Relationship Id="rId41" Type="http://schemas.openxmlformats.org/officeDocument/2006/relationships/hyperlink" Target="https://a2g9b4.emailsp.com/f/rnl.aspx/?fei=1wqvoxxy.9ek=vyad8=/2prx6d90.=3d.lfc&amp;x=pv&amp;.&amp;e08c1-&amp;34&amp;x=pp&amp;qx-f2::19h&amp;x=pv&amp;_95j=yqxpxNCLM" TargetMode="External"/><Relationship Id="rId1337" Type="http://schemas.openxmlformats.org/officeDocument/2006/relationships/hyperlink" Target="https://fb.me/adspreview/facebook/y6VFORCDbB9aJOH" TargetMode="External"/><Relationship Id="rId2668" Type="http://schemas.openxmlformats.org/officeDocument/2006/relationships/hyperlink" Target="https://a2g9b4.emailsp.com/f/rnl.aspx/?fei=1vvoo1vy.9ek=vyad8=t3tuuy&amp;f2::=-l98i9di-10337&amp;x=pp&amp;yx0-2.e16.&amp;x=pv&amp;2b5g=quw2wNCLM" TargetMode="External"/><Relationship Id="rId44" Type="http://schemas.openxmlformats.org/officeDocument/2006/relationships/hyperlink" Target="https://www.facebook.com/GCBA/posts/pfbid0fcGzp3aieAQ3ehBQkqAppssdXbVc6sQkfH1TUcyoYZMe19rPAMNJctKqaKWpJ3gFl" TargetMode="External"/><Relationship Id="rId1338" Type="http://schemas.openxmlformats.org/officeDocument/2006/relationships/hyperlink" Target="https://e5c9a.mailupclient.com/f/rnl.aspx/?jhe=1r_yq2o/a&amp;le=t/.l7=svx2s/9.99a=59ndi-a&amp;9g-7e:-49&amp;25&amp;x=pp&amp;uy.-5-&amp;x=pv&amp;83dbzb4h=rq2sswNCLM" TargetMode="External"/><Relationship Id="rId2669" Type="http://schemas.openxmlformats.org/officeDocument/2006/relationships/hyperlink" Target="https://a2g9b4.emailsp.com/f/rnl.aspx/?fei=1vvoo_2y.9ek=vyad8=t3twqy&amp;f2::=k702m1k6.451&amp;x=pp&amp;r1.&amp;x=pv&amp;49-6&amp;aax00l=rwqwyNCLM" TargetMode="External"/><Relationship Id="rId43" Type="http://schemas.openxmlformats.org/officeDocument/2006/relationships/hyperlink" Target="https://e5c9a.mailupclient.com/f/rnl.aspx/?jhe=vwvwwvrv/&amp;x=pv&amp;bdi=tzfd&amp;=stxut/7f1-a=8e.dgcn&amp;&amp;x=pp&amp;u_9f1-a2&amp;.b/&amp;:d=rsuznwNCLM" TargetMode="External"/><Relationship Id="rId1339" Type="http://schemas.openxmlformats.org/officeDocument/2006/relationships/hyperlink" Target="https://www.facebook.com/reel/1476952487457454" TargetMode="External"/><Relationship Id="rId46" Type="http://schemas.openxmlformats.org/officeDocument/2006/relationships/hyperlink" Target="https://www.facebook.com/GCBA/posts/pfbid02VzYFMoFY2NijAVktrLrY1boeG4Tegnt2ycveNuxJL1FTSfh2S7QvKr6gF74rR1Fxl" TargetMode="External"/><Relationship Id="rId45" Type="http://schemas.openxmlformats.org/officeDocument/2006/relationships/hyperlink" Target="https://e5c9a.mailupclient.com/f/rnl.aspx/?jhe=vwvwwvrv/&amp;x=pv&amp;bdi=tzfd&amp;=stxvs/7f1-a=8e.dgcn&amp;&amp;x=pp&amp;u_9f1-a2&amp;.b/&amp;:d=rsuzt_NCLM" TargetMode="External"/><Relationship Id="rId745" Type="http://schemas.openxmlformats.org/officeDocument/2006/relationships/hyperlink" Target="https://e5c9a.mailupclient.com/f/rnl.aspx/?jhe=vwt_y1w_/&amp;x=pv&amp;bdi=tzfd&amp;=st/us/7f1-a=&amp;x=pv&amp;n1&amp;j&amp;kc949&amp;25&amp;x=pp&amp;uy.-5-&amp;x=pv&amp;83dbzb4h=rq1rxzNCLM" TargetMode="External"/><Relationship Id="rId744" Type="http://schemas.openxmlformats.org/officeDocument/2006/relationships/hyperlink" Target="https://e5c9a.mailupclient.com/f/rnl.aspx/?jhe=vwt_y1w_/&amp;x=pv&amp;bdi=tzfd&amp;=st/qs/7f1-a=&amp;x=pv&amp;n1&amp;j&amp;kc949&amp;25&amp;x=pp&amp;uy.-5-&amp;x=pv&amp;83dbzb4h=rq1q__NCLM" TargetMode="External"/><Relationship Id="rId743" Type="http://schemas.openxmlformats.org/officeDocument/2006/relationships/hyperlink" Target="https://e5c9a.mailupclient.com/f/rnl.aspx/?jhe=vwt_y1w_/&amp;x=pv&amp;bdi=tzfd&amp;=st/tr/7f1-a=&amp;x=pv&amp;n1&amp;j&amp;kc949&amp;25&amp;x=pp&amp;uy.-5-&amp;x=pv&amp;83dbzb4h=rq1rwuNCLM" TargetMode="External"/><Relationship Id="rId742" Type="http://schemas.openxmlformats.org/officeDocument/2006/relationships/hyperlink" Target="https://e5c9a.mailupclient.com/f/rnl.aspx/?jhe=vwt_y1w_/&amp;x=pv&amp;bdi=tzfd&amp;=st/t_/7f1-a=&amp;x=pv&amp;n1&amp;j&amp;kc949&amp;25&amp;x=pp&amp;uy.-5-&amp;x=pv&amp;83dbzb4h=rq1ry_NCLM" TargetMode="External"/><Relationship Id="rId749" Type="http://schemas.openxmlformats.org/officeDocument/2006/relationships/hyperlink" Target="https://e5c9a.mailupclient.com/f/rnl.aspx/?jhe=vwszuxsy/&amp;x=pv&amp;bdi=tzfd&amp;=st/tx/7f1-a=l925n3r/&amp;749&amp;x=pp&amp;q_&amp;.99a45h-/-6l=nsyt_pNCLM" TargetMode="External"/><Relationship Id="rId748" Type="http://schemas.openxmlformats.org/officeDocument/2006/relationships/hyperlink" Target="https://e5c9a.mailupclient.com/f/rnl.aspx/?jhe=vwszuxsy/&amp;x=pv&amp;bdi=tzfd&amp;=st/tx/7f1-a=l925n3r/&amp;749&amp;x=pp&amp;q_&amp;.99a45h-/-6l=nsyt_pNCLM" TargetMode="External"/><Relationship Id="rId747" Type="http://schemas.openxmlformats.org/officeDocument/2006/relationships/hyperlink" Target="https://e5c9a.mailupclient.com/f/rnl.aspx/?jhe=vwt_y1w_/&amp;x=pv&amp;bdi=tzfd&amp;=st/uw/7f1-a=&amp;x=pv&amp;n1&amp;j&amp;kc949&amp;25&amp;x=pp&amp;uy.-5-&amp;x=pv&amp;83dbzb4h=rq1ryyNCLM" TargetMode="External"/><Relationship Id="rId746" Type="http://schemas.openxmlformats.org/officeDocument/2006/relationships/hyperlink" Target="https://e5c9a.mailupclient.com/f/rnl.aspx/?jhe=vwt_y1w_/&amp;x=pv&amp;bdi=tzfd&amp;=st/tz/7f1-a=&amp;x=pv&amp;n1&amp;j&amp;kc949&amp;25&amp;x=pp&amp;uy.-5-&amp;x=pv&amp;83dbzb4h=rq1rysNCLM" TargetMode="External"/><Relationship Id="rId48" Type="http://schemas.openxmlformats.org/officeDocument/2006/relationships/hyperlink" Target="https://www.facebook.com/GCBA/posts/pfbid02xwE7umkg4m8EJBep3eHiiaS4a1LkKiJkWtxXNUJmDGp6Qyz2KnG9BH44fGsCMb6ql" TargetMode="External"/><Relationship Id="rId47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49" Type="http://schemas.openxmlformats.org/officeDocument/2006/relationships/hyperlink" Target="https://a2g9b4.emailsp.com/f/rnl.aspx/?fei=1vvoo/3y.9ek=vyad8=/2qtx6d90.=g2c-.a1di910337&amp;x=pp&amp;yx0-2.e16.&amp;x=pv&amp;2b5g=qq_/sNCLM" TargetMode="External"/><Relationship Id="rId2660" Type="http://schemas.openxmlformats.org/officeDocument/2006/relationships/hyperlink" Target="https://a2g9b4.emailsp.com/f/rnl.aspx/?fei=1uwuq_vy.9ek=vyad8=t3trqy&amp;f2::=2-neh9.9bd:5-cb10337&amp;x=pp&amp;yx0-2.e16.&amp;x=pv&amp;2b5g=quuxuNCLM" TargetMode="External"/><Relationship Id="rId741" Type="http://schemas.openxmlformats.org/officeDocument/2006/relationships/hyperlink" Target="https://e5c9a.mailupclient.com/f/rnl.aspx/?jhe=vwt_y1w_/&amp;x=pv&amp;bdi=tzfd&amp;=st/sw/7f1-a=&amp;x=pv&amp;n1&amp;j&amp;kc949&amp;25&amp;x=pp&amp;uy.-5-&amp;x=pv&amp;83dbzb4h=rq1rrtNCLM" TargetMode="External"/><Relationship Id="rId1330" Type="http://schemas.openxmlformats.org/officeDocument/2006/relationships/hyperlink" Target="https://e5c9a.mailupclient.com/f/rnl.aspx/?jhe=vwszuxsy/&amp;x=pv&amp;bdi=tzfd&amp;=st2vx/7f1-a=l925n3r/&amp;749&amp;x=pp&amp;q_&amp;.99a45h-/-6l=nszu3sNCLM" TargetMode="External"/><Relationship Id="rId2661" Type="http://schemas.openxmlformats.org/officeDocument/2006/relationships/hyperlink" Target="https://e5c9a.mailupclient.com/f/rnl.aspx/?jhe=vwurvxsx/&amp;x=pv&amp;bdi=tzfd&amp;=suznv/7f1-a=5k9hibg&amp;x=pv&amp;9a&amp;-c4&amp;501&amp;x=pp&amp;u_9f1-a2&amp;.b/&amp;:d=rtq3vsNCLM" TargetMode="External"/><Relationship Id="rId740" Type="http://schemas.openxmlformats.org/officeDocument/2006/relationships/hyperlink" Target="https://e5c9a.mailupclient.com/f/rnl.aspx/?jhe=vwt_y1w_/&amp;x=pv&amp;bdi=tzfd&amp;=st/sv/7f1-a=&amp;x=pv&amp;n1&amp;j&amp;kc949&amp;25&amp;x=pp&amp;uy.-5-&amp;x=pv&amp;83dbzb4h=rq1r_xNCLM" TargetMode="External"/><Relationship Id="rId1331" Type="http://schemas.openxmlformats.org/officeDocument/2006/relationships/hyperlink" Target="https://www.facebook.com/GCBA/posts/pfbid02yZmqzW27WZWmV78Fctq2sNgCipDpR11wQfc5ArDrGXxh4ExLJX9nJtQtEzD3rTDGl" TargetMode="External"/><Relationship Id="rId2662" Type="http://schemas.openxmlformats.org/officeDocument/2006/relationships/hyperlink" Target="https://a2g9b4.emailsp.com/f/rnl.aspx/?fei=1wqvoxxy.9ek=vyad8=t3tsuy&amp;f2::=4ibeh..e--:5d6.451&amp;x=pp&amp;r1.&amp;x=pv&amp;49-6&amp;aax00l=rwpotNCLM" TargetMode="External"/><Relationship Id="rId1332" Type="http://schemas.openxmlformats.org/officeDocument/2006/relationships/hyperlink" Target="https://a2g9b4.emailsp.com/f/rnl.aspx/?fei=1vvoo_2y.9ek=vyad8=t3pury&amp;f2::=k702m1k6.451&amp;x=pp&amp;r1.&amp;x=pv&amp;49-6&amp;aax00l=ruqpvNCLM" TargetMode="External"/><Relationship Id="rId2663" Type="http://schemas.openxmlformats.org/officeDocument/2006/relationships/hyperlink" Target="https://e5c9a.mailupclient.com/f/rnl.aspx/?jhe=vwurvxsx/&amp;x=pv&amp;bdi=tzfd&amp;=suznt/7f1-a=5k9hibg&amp;x=pv&amp;9a&amp;-c4&amp;501&amp;x=pp&amp;u_9f1-a2&amp;.b/&amp;:d=rtq3uyNCLM" TargetMode="External"/><Relationship Id="rId1333" Type="http://schemas.openxmlformats.org/officeDocument/2006/relationships/hyperlink" Target="https://www.facebook.com/reel/892334696944794" TargetMode="External"/><Relationship Id="rId2664" Type="http://schemas.openxmlformats.org/officeDocument/2006/relationships/hyperlink" Target="https://e5c9a.mailupclient.com/f/rnl.aspx/?jhe=vwvwwvrv/&amp;x=pv&amp;bdi=tzfd&amp;=suzn_/7f1-a=8e.dgcn&amp;&amp;x=pp&amp;u_9f1-a2&amp;.b/&amp;:d=rtq3usNCLM" TargetMode="External"/><Relationship Id="rId1323" Type="http://schemas.openxmlformats.org/officeDocument/2006/relationships/hyperlink" Target="https://www.facebook.com/GCBA/posts/pfbid02s3FadHkMcs1KPejoRvT7cNbSZg8SAwtbQqyenJWmhWjZzhBZFXKB6TGjKT85xmuEl" TargetMode="External"/><Relationship Id="rId2654" Type="http://schemas.openxmlformats.org/officeDocument/2006/relationships/hyperlink" Target="https://a2g9b4.emailsp.com/f/rnl.aspx/?fei=1uwuq_vy.9ek=vyad8=t3tuny&amp;f2::=2-neh9.9bd:5-cb10337&amp;x=pp&amp;yx0-2.e16.&amp;x=pv&amp;2b5g=quvxuNCLM" TargetMode="External"/><Relationship Id="rId1324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2655" Type="http://schemas.openxmlformats.org/officeDocument/2006/relationships/hyperlink" Target="https://e5c9a.mailupclient.com/f/rnl.aspx/?jhe=1r_yq2o/a&amp;le=t/.l7=swt3t/9.99a=59ndi-a&amp;9g-7e:-49&amp;25&amp;x=pp&amp;uy.-5-&amp;x=pv&amp;83dbzb4h=rrwwwvNCLM" TargetMode="External"/><Relationship Id="rId31" Type="http://schemas.openxmlformats.org/officeDocument/2006/relationships/hyperlink" Target="https://e5c9a.mailupclient.com/f/rnl.aspx/?jhe=vwvwwvrv/&amp;x=pv&amp;bdi=tzfd&amp;=stxus/7f1-a=8e.dgcn&amp;&amp;x=pp&amp;u_9f1-a2&amp;.b/&amp;:d=rsuzqtNCLM" TargetMode="External"/><Relationship Id="rId1325" Type="http://schemas.openxmlformats.org/officeDocument/2006/relationships/hyperlink" Target="https://www.facebook.com/reel/1750042989745275" TargetMode="External"/><Relationship Id="rId2656" Type="http://schemas.openxmlformats.org/officeDocument/2006/relationships/hyperlink" Target="https://e5c9a.mailupclient.com/f/rnl.aspx/?jhe=1r_yq2o/a&amp;le=t/.l7=swt3o/9.99a=59ndi-a&amp;9g-7e:-49&amp;25&amp;x=pp&amp;uy.-5-&amp;x=pv&amp;83dbzb4h=rrwwuxNCLM" TargetMode="External"/><Relationship Id="rId30" Type="http://schemas.openxmlformats.org/officeDocument/2006/relationships/hyperlink" Target="https://www.facebook.com/GCBA/posts/pfbid02j9NjjKC7QJSSUrKxkX55nDiWFRmCpVKSS3w7J3VpQA3DakuvLQQ5B3z96orCNRMUl" TargetMode="External"/><Relationship Id="rId1326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2657" Type="http://schemas.openxmlformats.org/officeDocument/2006/relationships/hyperlink" Target="https://e5c9a.mailupclient.com/f/rnl.aspx/?jhe=1r_yq2o/a&amp;le=t/.l7=swt3p/9.99a=59ndi-a&amp;9g-7e:-49&amp;25&amp;x=pp&amp;uy.-5-&amp;x=pv&amp;83dbzb4h=rrwwuyNCLM" TargetMode="External"/><Relationship Id="rId33" Type="http://schemas.openxmlformats.org/officeDocument/2006/relationships/hyperlink" Target="https://e5c9a.mailupclient.com/f/rnl.aspx/?jhe=vwt_y1w_/&amp;x=pv&amp;bdi=tzfd&amp;=stwux/7f1-a=&amp;x=pv&amp;n1&amp;j&amp;kc949&amp;25&amp;x=pp&amp;uy.-5-&amp;x=pv&amp;83dbzb4h=rq_rsyNCLM" TargetMode="External"/><Relationship Id="rId1327" Type="http://schemas.openxmlformats.org/officeDocument/2006/relationships/hyperlink" Target="https://www.facebook.com/GCBA/posts/pfbid0ZhY9HNw5XyVPq9LPPWvSnUBGrzWXjMx66cykS25RXtuo4kREkyYSVqz9iN4gWoVKl" TargetMode="External"/><Relationship Id="rId2658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32" Type="http://schemas.openxmlformats.org/officeDocument/2006/relationships/hyperlink" Target="https://www.facebook.com/GCBA/posts/pfbid02QwxLwyKnw9PCTX9BXhgSSH5hJ3u56noy7igZq9orxmSsVPqjj4MMUZ5SD9xXWWQ3l" TargetMode="External"/><Relationship Id="rId1328" Type="http://schemas.openxmlformats.org/officeDocument/2006/relationships/hyperlink" Target="https://e5c9a.mailupclient.com/f/rnl.aspx/?jhe=vwszuxsy/&amp;x=pv&amp;bdi=tzfd&amp;=st2vt/7f1-a=l925n3r/&amp;749&amp;x=pp&amp;q_&amp;.99a45h-/-6l=nszt1rNCLM" TargetMode="External"/><Relationship Id="rId2659" Type="http://schemas.openxmlformats.org/officeDocument/2006/relationships/hyperlink" Target="https://e5c9a.mailupclient.com/f/rnl.aspx/?jhe=1r_yq2o/a&amp;le=t/.l7=swtvq/9.99a=59ndi-a&amp;9g-7e:-49&amp;25&amp;x=pp&amp;uy.-5-&amp;x=pv&amp;83dbzb4h=rrwwyvNCLM" TargetMode="External"/><Relationship Id="rId35" Type="http://schemas.openxmlformats.org/officeDocument/2006/relationships/hyperlink" Target="https://e5c9a.mailupclient.com/f/rnl.aspx/?jhe=vwt_y1w_/&amp;x=pv&amp;bdi=tzfd&amp;=stwuy/7f1-a=&amp;x=pv&amp;n1&amp;j&amp;kc949&amp;25&amp;x=pp&amp;uy.-5-&amp;x=pv&amp;83dbzb4h=rq_rszNCLM" TargetMode="External"/><Relationship Id="rId1329" Type="http://schemas.openxmlformats.org/officeDocument/2006/relationships/hyperlink" Target="https://www.facebook.com/GCBA/posts/pfbid0ZhY9HNw5XyVPq9LPPWvSnUBGrzWXjMx66cykS25RXtuo4kREkyYSVqz9iN4gWoVKl" TargetMode="External"/><Relationship Id="rId34" Type="http://schemas.openxmlformats.org/officeDocument/2006/relationships/hyperlink" Target="https://www.facebook.com/GCBA/posts/pfbid02QwxLwyKnw9PCTX9BXhgSSH5hJ3u56noy7igZq9orxmSsVPqjj4MMUZ5SD9xXWWQ3l" TargetMode="External"/><Relationship Id="rId739" Type="http://schemas.openxmlformats.org/officeDocument/2006/relationships/hyperlink" Target="https://e5c9a.mailupclient.com/f/rnl.aspx/?jhe=vwvwwvrv/&amp;x=pv&amp;bdi=tzfd&amp;=st/ur/7f1-a=8e.dgcn&amp;&amp;x=pp&amp;u_9f1-a2&amp;.b/&amp;:d=rswztxNCLM" TargetMode="External"/><Relationship Id="rId734" Type="http://schemas.openxmlformats.org/officeDocument/2006/relationships/hyperlink" Target="https://e5c9a.mailupclient.com/f/rnl.aspx/?jhe=vwurvxsx/&amp;x=pv&amp;bdi=tzfd&amp;=st/ut/7f1-a=5k9hibg&amp;x=pv&amp;9a&amp;-c4&amp;501&amp;x=pp&amp;u_9f1-a2&amp;.b/&amp;:d=rswzuwNCLM" TargetMode="External"/><Relationship Id="rId733" Type="http://schemas.openxmlformats.org/officeDocument/2006/relationships/hyperlink" Target="https://a2g9b4.emailsp.com/f/rnl.aspx/?fei=1wqvoxxy.9ek=vyad8=t3xvty&amp;f2::=4ibeh..e--:5d6.451&amp;x=pp&amp;r1.&amp;x=pv&amp;49-6&amp;aax00l=rtroyNCLM" TargetMode="External"/><Relationship Id="rId732" Type="http://schemas.openxmlformats.org/officeDocument/2006/relationships/hyperlink" Target="https://e5c9a.mailupclient.com/f/rnl.aspx/?jhe=vwurvxsx/&amp;x=pv&amp;bdi=tzfd&amp;=st/tv/7f1-a=5k9hibg&amp;x=pv&amp;9a&amp;-c4&amp;501&amp;x=pp&amp;u_9f1-a2&amp;.b/&amp;:d=rswzprNCLM" TargetMode="External"/><Relationship Id="rId731" Type="http://schemas.openxmlformats.org/officeDocument/2006/relationships/hyperlink" Target="https://a2g9b4.emailsp.com/f/rnl.aspx/?fei=1uwuq_vy.9ek=vyad8=t3xxpy&amp;f2::=2-neh9.9bd:5-cb10337&amp;x=pp&amp;yx0-2.e16.&amp;x=pv&amp;2b5g=qrx1uNCLM" TargetMode="External"/><Relationship Id="rId738" Type="http://schemas.openxmlformats.org/officeDocument/2006/relationships/hyperlink" Target="https://e5c9a.mailupclient.com/f/rnl.aspx/?jhe=vwvwwvrv/&amp;x=pv&amp;bdi=tzfd&amp;=st/ts/7f1-a=8e.dgcn&amp;&amp;x=pp&amp;u_9f1-a2&amp;.b/&amp;:d=rswzrtNCLM" TargetMode="External"/><Relationship Id="rId737" Type="http://schemas.openxmlformats.org/officeDocument/2006/relationships/hyperlink" Target="https://a2g9b4.emailsp.com/f/rnl.aspx/?fei=2orws1vy.9ek=vyad8=t3xxqy&amp;f2::=7chafagb&amp;x=pp&amp;yx0-2.e16.&amp;x=pv&amp;2b5g=qrx2qNCLM" TargetMode="External"/><Relationship Id="rId736" Type="http://schemas.openxmlformats.org/officeDocument/2006/relationships/hyperlink" Target="https://a2g9b4.emailsp.com/f/rnl.aspx/?fei=2orws1vy.9ek=vyad8=t3xvty&amp;f2::=7chafagb&amp;x=pp&amp;yx0-2.e16.&amp;x=pv&amp;2b5g=qrxzuNCLM" TargetMode="External"/><Relationship Id="rId735" Type="http://schemas.openxmlformats.org/officeDocument/2006/relationships/hyperlink" Target="https://e5c9a.mailupclient.com/f/rnl.aspx/?jhe=vwurvxsx/&amp;x=pv&amp;bdi=tzfd&amp;=st/uu/7f1-a=5k9hibg&amp;x=pv&amp;9a&amp;-c4&amp;501&amp;x=pp&amp;u_9f1-a2&amp;.b/&amp;:d=rswzurNCLM" TargetMode="External"/><Relationship Id="rId37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36" Type="http://schemas.openxmlformats.org/officeDocument/2006/relationships/hyperlink" Target="https://www.facebook.com/GCBA/posts/pfbid0swuyoC42Lys1AAsD6UQ7EPU5B43KXVdVXxxXU4X9oHEJ7DjKXtavLAdDHd6BpccBl" TargetMode="External"/><Relationship Id="rId39" Type="http://schemas.openxmlformats.org/officeDocument/2006/relationships/hyperlink" Target="https://a2g9b4.emailsp.com/f/rnl.aspx/?fei=1vvoo/3y.9ek=vyad8=/2qqx6d90.=g2c-.a1di910337&amp;x=pp&amp;yx0-2.e16.&amp;x=pv&amp;2b5g=qq__pNCLM" TargetMode="External"/><Relationship Id="rId38" Type="http://schemas.openxmlformats.org/officeDocument/2006/relationships/hyperlink" Target="https://www.facebook.com/GCBA/posts/pfbid0swuyoC42Lys1AAsD6UQ7EPU5B43KXVdVXxxXU4X9oHEJ7DjKXtavLAdDHd6BpccBl" TargetMode="External"/><Relationship Id="rId730" Type="http://schemas.openxmlformats.org/officeDocument/2006/relationships/hyperlink" Target="https://e5c9a.mailupclient.com/f/rnl.aspx/?jhe=1r_yq2o/a&amp;le=t/.l7=svv_n/9.99a=59ndi-a&amp;9g-7e:-49&amp;25&amp;x=pp&amp;uy.-5-&amp;x=pv&amp;83dbzb4h=rq1rrvNCLM" TargetMode="External"/><Relationship Id="rId2650" Type="http://schemas.openxmlformats.org/officeDocument/2006/relationships/hyperlink" Target="https://e5c9a.mailupclient.com/f/rnl.aspx/?jhe=vwt_y1w_/&amp;x=pv&amp;bdi=tzfd&amp;=suzny/7f1-a=&amp;x=pv&amp;n1&amp;j&amp;kc949&amp;25&amp;x=pp&amp;uy.-5-&amp;x=pv&amp;83dbzb4h=rrwnsyNCLM" TargetMode="External"/><Relationship Id="rId1320" Type="http://schemas.openxmlformats.org/officeDocument/2006/relationships/hyperlink" Target="https://e5c9a.mailupclient.com/f/rnl.aspx/?jhe=vwvwwvrv/&amp;x=pv&amp;bdi=tzfd&amp;=st2p_/7f1-a=8e.dgcn&amp;&amp;x=pp&amp;u_9f1-a2&amp;.b/&amp;:d=rsxzv_NCLM" TargetMode="External"/><Relationship Id="rId2651" Type="http://schemas.openxmlformats.org/officeDocument/2006/relationships/hyperlink" Target="https://e5c9a.mailupclient.com/f/rnl.aspx/?jhe=vwt_y1w_/&amp;x=pv&amp;bdi=tzfd&amp;=suznz/7f1-a=&amp;x=pv&amp;n1&amp;j&amp;kc949&amp;25&amp;x=pp&amp;uy.-5-&amp;x=pv&amp;83dbzb4h=rrwnt_NCLM" TargetMode="External"/><Relationship Id="rId1321" Type="http://schemas.openxmlformats.org/officeDocument/2006/relationships/hyperlink" Target="https://www.facebook.com/GCBA/posts/pfbid02s3FadHkMcs1KPejoRvT7cNbSZg8SAwtbQqyenJWmhWjZzhBZFXKB6TGjKT85xmuEl" TargetMode="External"/><Relationship Id="rId2652" Type="http://schemas.openxmlformats.org/officeDocument/2006/relationships/hyperlink" Target="https://e5c9a.mailupclient.com/f/rnl.aspx/?jhe=vwt_y1w_/&amp;x=pv&amp;bdi=tzfd&amp;=suzo_/7f1-a=&amp;x=pv&amp;n1&amp;j&amp;kc949&amp;25&amp;x=pp&amp;uy.-5-&amp;x=pv&amp;83dbzb4h=rrwnswNCLM" TargetMode="External"/><Relationship Id="rId1322" Type="http://schemas.openxmlformats.org/officeDocument/2006/relationships/hyperlink" Target="https://a2g9b4.emailsp.com/f/rnl.aspx/?fei=1vvoo_2y.9ek=vyad8=t3ptvy&amp;f2::=k702m1k6.451&amp;x=pp&amp;r1.&amp;x=pv&amp;49-6&amp;aax00l=ruqo_NCLM" TargetMode="External"/><Relationship Id="rId2653" Type="http://schemas.openxmlformats.org/officeDocument/2006/relationships/hyperlink" Target="https://e5c9a.mailupclient.com/f/rnl.aspx/?jhe=vwt_y1w_/&amp;x=pv&amp;bdi=tzfd&amp;=suzor/7f1-a=&amp;x=pv&amp;n1&amp;j&amp;kc949&amp;25&amp;x=pp&amp;uy.-5-&amp;x=pv&amp;83dbzb4h=rrwnsxNCLM" TargetMode="External"/><Relationship Id="rId1356" Type="http://schemas.openxmlformats.org/officeDocument/2006/relationships/hyperlink" Target="https://e5c9a.mailupclient.com/f/rnl.aspx/?jhe=vwt_y1w_/&amp;x=pv&amp;bdi=tzfd&amp;=st2vy/7f1-a=&amp;x=pv&amp;n1&amp;j&amp;kc949&amp;25&amp;x=pp&amp;uy.-5-&amp;x=pv&amp;83dbzb4h=rq2strNCLM" TargetMode="External"/><Relationship Id="rId2203" Type="http://schemas.openxmlformats.org/officeDocument/2006/relationships/hyperlink" Target="https://www.facebook.com/baparticipacion/posts/pfbid0axrMxWPfqiqEgW2TPGJVJ7z6iCVkmyNhVnWv5W4f71YR7nzFvcZW3y5d8b9sHVYNl" TargetMode="External"/><Relationship Id="rId2687" Type="http://schemas.openxmlformats.org/officeDocument/2006/relationships/hyperlink" Target="https://a2g9b4.emailsp.com/f/rnl.aspx/?fei=1wqvoxxy.9ek=vyad8=t3twwy&amp;f2::=4ibeh..e--:5d6.451&amp;x=pp&amp;r1.&amp;x=pv&amp;49-6&amp;aax00l=rwqtuNCLM" TargetMode="External"/><Relationship Id="rId1357" Type="http://schemas.openxmlformats.org/officeDocument/2006/relationships/hyperlink" Target="https://www.facebook.com/reel/1004337665882718" TargetMode="External"/><Relationship Id="rId2204" Type="http://schemas.openxmlformats.org/officeDocument/2006/relationships/hyperlink" Target="https://a2g9b4.emailsp.com/f/rnl.aspx/?fei=2orws1vy.9ek=vyad8=t3rxty&amp;f2::=7chafagb&amp;x=pp&amp;yx0-2.e16.&amp;x=pv&amp;2b5g=qtxyvNCLM" TargetMode="External"/><Relationship Id="rId2688" Type="http://schemas.openxmlformats.org/officeDocument/2006/relationships/hyperlink" Target="https://a2g9b4.emailsp.com/f/rnl.aspx/?fei=1wqvoxxy.9ek=vyad8=t3twry&amp;f2::=4ibeh..e--:5d6.451&amp;x=pp&amp;r1.&amp;x=pv&amp;49-6&amp;aax00l=rwrpuNCLM" TargetMode="External"/><Relationship Id="rId20" Type="http://schemas.openxmlformats.org/officeDocument/2006/relationships/hyperlink" Target="https://www.facebook.com/GCBA/posts/1295953569230956" TargetMode="External"/><Relationship Id="rId1358" Type="http://schemas.openxmlformats.org/officeDocument/2006/relationships/hyperlink" Target="https://e5c9a.mailupclient.com/f/rnl.aspx/?jhe=vwt_y1w_/&amp;x=pv&amp;bdi=tzfd&amp;=st2vz/7f1-a=&amp;x=pv&amp;n1&amp;j&amp;kc949&amp;25&amp;x=pp&amp;uy.-5-&amp;x=pv&amp;83dbzb4h=rq2stvNCLM" TargetMode="External"/><Relationship Id="rId2205" Type="http://schemas.openxmlformats.org/officeDocument/2006/relationships/hyperlink" Target="https://www.facebook.com/baparticipacion/posts/pfbid0EB4cQrN1iH3u7G4YZcMwmp6NPeGqEmr5n4cD2wPMmMrYjPCd1s9d1H9Ha4CwQJs4l" TargetMode="External"/><Relationship Id="rId2689" Type="http://schemas.openxmlformats.org/officeDocument/2006/relationships/hyperlink" Target="https://a2g9b4.emailsp.com/f/rnl.aspx/?fei=2orws1vy.9ek=vyad8=t3twuy&amp;f2::=7chafagb&amp;x=pp&amp;yx0-2.e16.&amp;x=pv&amp;2b5g=quxwsNCLM" TargetMode="External"/><Relationship Id="rId1359" Type="http://schemas.openxmlformats.org/officeDocument/2006/relationships/hyperlink" Target="https://www.facebook.com/reel/1214416363924445" TargetMode="External"/><Relationship Id="rId2206" Type="http://schemas.openxmlformats.org/officeDocument/2006/relationships/hyperlink" Target="https://e5c9a.mailupclient.com/f/rnl.aspx/?jhe=vwt_y1w_/&amp;x=pv&amp;bdi=tzfd&amp;=suwvu/7f1-a=&amp;x=pv&amp;n1&amp;j&amp;kc949&amp;25&amp;x=pp&amp;uy.-5-&amp;x=pv&amp;83dbzb4h=rrvwsxNCLM" TargetMode="External"/><Relationship Id="rId22" Type="http://schemas.openxmlformats.org/officeDocument/2006/relationships/hyperlink" Target="https://www.facebook.com/GCBA/posts/pfbid02j9NjjKC7QJSSUrKxkX55nDiWFRmCpVKSS3w7J3VpQA3DakuvLQQ5B3z96orCNRMUl" TargetMode="External"/><Relationship Id="rId2207" Type="http://schemas.openxmlformats.org/officeDocument/2006/relationships/hyperlink" Target="https://e5c9a.mailupclient.com/f/rnl.aspx/?jhe=vwt_y1w_/&amp;x=pv&amp;bdi=tzfd&amp;=suwu_/7f1-a=&amp;x=pv&amp;n1&amp;j&amp;kc949&amp;25&amp;x=pp&amp;uy.-5-&amp;x=pv&amp;83dbzb4h=rrvwzvNCLM" TargetMode="External"/><Relationship Id="rId21" Type="http://schemas.openxmlformats.org/officeDocument/2006/relationships/hyperlink" Target="https://e5c9a.mailupclient.com/f/rnl.aspx/?jhe=vwt_y1w_/&amp;x=pv&amp;bdi=tzfd&amp;=stxnz/7f1-a=&amp;x=pv&amp;n1&amp;j&amp;kc949&amp;25&amp;x=pp&amp;uy.-5-&amp;x=pv&amp;83dbzb4h=rq_o_rNCLM" TargetMode="External"/><Relationship Id="rId2208" Type="http://schemas.openxmlformats.org/officeDocument/2006/relationships/hyperlink" Target="https://www.facebook.com/baparticipacion/posts/pfbid0EB4cQrN1iH3u7G4YZcMwmp6NPeGqEmr5n4cD2wPMmMrYjPCd1s9d1H9Ha4CwQJs4l" TargetMode="External"/><Relationship Id="rId24" Type="http://schemas.openxmlformats.org/officeDocument/2006/relationships/hyperlink" Target="https://www.facebook.com/GCBA/posts/pfbid02j9NjjKC7QJSSUrKxkX55nDiWFRmCpVKSS3w7J3VpQA3DakuvLQQ5B3z96orCNRMUl" TargetMode="External"/><Relationship Id="rId2209" Type="http://schemas.openxmlformats.org/officeDocument/2006/relationships/hyperlink" Target="https://e5c9a.mailupclient.com/f/rnl.aspx/?jhe=vwt_y1w_/&amp;x=pv&amp;bdi=tzfd&amp;=suwus/7f1-a=&amp;x=pv&amp;n1&amp;j&amp;kc949&amp;25&amp;x=pp&amp;uy.-5-&amp;x=pv&amp;83dbzb4h=rrvn__NCLM" TargetMode="External"/><Relationship Id="rId23" Type="http://schemas.openxmlformats.org/officeDocument/2006/relationships/hyperlink" Target="https://e5c9a.mailupclient.com/f/rnl.aspx/?jhe=vwt_y1w_/&amp;x=pv&amp;bdi=tzfd&amp;=stwuw/7f1-a=&amp;x=pv&amp;n1&amp;j&amp;kc949&amp;25&amp;x=pp&amp;uy.-5-&amp;x=pv&amp;83dbzb4h=rq_wusNCLM" TargetMode="External"/><Relationship Id="rId767" Type="http://schemas.openxmlformats.org/officeDocument/2006/relationships/hyperlink" Target="https://www.facebook.com/reel/818777800864033" TargetMode="External"/><Relationship Id="rId766" Type="http://schemas.openxmlformats.org/officeDocument/2006/relationships/hyperlink" Target="https://e5c9a.mailupclient.com/f/rnl.aspx/?jhe=vwt_y1w_/&amp;x=pv&amp;bdi=tzfd&amp;=st/uy/7f1-a=&amp;x=pv&amp;n1&amp;j&amp;kc949&amp;25&amp;x=pp&amp;uy.-5-&amp;x=pv&amp;83dbzb4h=rq1s_sNCLM" TargetMode="External"/><Relationship Id="rId765" Type="http://schemas.openxmlformats.org/officeDocument/2006/relationships/hyperlink" Target="https://www.facebook.com/reel/818777800864033" TargetMode="External"/><Relationship Id="rId764" Type="http://schemas.openxmlformats.org/officeDocument/2006/relationships/hyperlink" Target="https://e5c9a.mailupclient.com/f/rnl.aspx/?jhe=vwt_y1w_/&amp;x=pv&amp;bdi=tzfd&amp;=st/uv/7f1-a=&amp;x=pv&amp;n1&amp;j&amp;kc949&amp;25&amp;x=pp&amp;uy.-5-&amp;x=pv&amp;83dbzb4h=rq1srvNCLM" TargetMode="External"/><Relationship Id="rId769" Type="http://schemas.openxmlformats.org/officeDocument/2006/relationships/hyperlink" Target="https://a2g9b4.emailsp.com/f/rnl.aspx/?fei=1wqvoxxy.9ek=vyad8=t3xwvy&amp;f2::=4ibeh..e--:5d6.451&amp;x=pp&amp;r1.&amp;x=pv&amp;49-6&amp;aax00l=rtrt/NCLM" TargetMode="External"/><Relationship Id="rId768" Type="http://schemas.openxmlformats.org/officeDocument/2006/relationships/hyperlink" Target="https://e5c9a.mailupclient.com/f/rnl.aspx/?jhe=vwt_y1w_/&amp;x=pv&amp;bdi=tzfd&amp;=st/vv/7f1-a=&amp;x=pv&amp;n1&amp;j&amp;kc949&amp;25&amp;x=pp&amp;uy.-5-&amp;x=pv&amp;83dbzb4h=rq1swtNCLM" TargetMode="External"/><Relationship Id="rId26" Type="http://schemas.openxmlformats.org/officeDocument/2006/relationships/hyperlink" Target="https://www.facebook.com/GCBA/posts/pfbid02j9NjjKC7QJSSUrKxkX55nDiWFRmCpVKSS3w7J3VpQA3DakuvLQQ5B3z96orCNRMUl" TargetMode="External"/><Relationship Id="rId25" Type="http://schemas.openxmlformats.org/officeDocument/2006/relationships/hyperlink" Target="https://e5c9a.mailupclient.com/f/rnl.aspx/?jhe=vwt_y1w_/&amp;x=pv&amp;bdi=tzfd&amp;=stxrw/7f1-a=&amp;x=pv&amp;n1&amp;j&amp;kc949&amp;25&amp;x=pp&amp;uy.-5-&amp;x=pv&amp;83dbzb4h=rq_pzrNCLM" TargetMode="External"/><Relationship Id="rId2680" Type="http://schemas.openxmlformats.org/officeDocument/2006/relationships/hyperlink" Target="https://e5c9a.mailupclient.com/f/rnl.aspx/?jhe=vwvwwvrv/&amp;x=pv&amp;bdi=tzfd&amp;=suzp_/7f1-a=8e.dgcn&amp;&amp;x=pp&amp;u_9f1-a2&amp;.b/&amp;:d=rtqvv_NCLM" TargetMode="External"/><Relationship Id="rId28" Type="http://schemas.openxmlformats.org/officeDocument/2006/relationships/hyperlink" Target="https://www.facebook.com/GCBA/posts/pfbid02j9NjjKC7QJSSUrKxkX55nDiWFRmCpVKSS3w7J3VpQA3DakuvLQQ5B3z96orCNRMUl" TargetMode="External"/><Relationship Id="rId1350" Type="http://schemas.openxmlformats.org/officeDocument/2006/relationships/hyperlink" Target="https://a2g9b4.emailsp.com/f/rnl.aspx/?fei=2orws1vy.9ek=vyad8=t3ptqy&amp;f2::=7chafagb&amp;x=pp&amp;yx0-2.e16.&amp;x=pv&amp;2b5g=qsw/vNCLM" TargetMode="External"/><Relationship Id="rId2681" Type="http://schemas.openxmlformats.org/officeDocument/2006/relationships/hyperlink" Target="https://a2g9b4.emailsp.com/f/rnl.aspx/?fei=2orws1vy.9ek=vyad8=t3twvy&amp;f2::=7chafagb&amp;x=pp&amp;yx0-2.e16.&amp;x=pv&amp;2b5g=quxvrNCLM" TargetMode="External"/><Relationship Id="rId27" Type="http://schemas.openxmlformats.org/officeDocument/2006/relationships/hyperlink" Target="https://e5c9a.mailupclient.com/f/rnl.aspx/?jhe=vwurvxsx/&amp;x=pv&amp;bdi=tzfd&amp;=stxqw/7f1-a=5k9hibg&amp;x=pv&amp;9a&amp;-c4&amp;501&amp;x=pp&amp;u_9f1-a2&amp;.b/&amp;:d=rsuzpyNCLM" TargetMode="External"/><Relationship Id="rId1351" Type="http://schemas.openxmlformats.org/officeDocument/2006/relationships/hyperlink" Target="https://www.facebook.com/GCBA/posts/pfbid0sjsw4fmaZgH69Leu9Xq1bGvySQmZsbQtRcg9RLZrzuPWEHQATgDdDX3DKPknXAmKl" TargetMode="External"/><Relationship Id="rId2682" Type="http://schemas.openxmlformats.org/officeDocument/2006/relationships/hyperlink" Target="https://a2g9b4.emailsp.com/f/rnl.aspx/?fei=2orws1vy.9ek=vyad8=t3twvy&amp;f2::=7chafagb&amp;x=pp&amp;yx0-2.e16.&amp;x=pv&amp;2b5g=quxvrNCLM" TargetMode="External"/><Relationship Id="rId763" Type="http://schemas.openxmlformats.org/officeDocument/2006/relationships/hyperlink" Target="https://www.facebook.com/reel/818777800864033" TargetMode="External"/><Relationship Id="rId1352" Type="http://schemas.openxmlformats.org/officeDocument/2006/relationships/hyperlink" Target="https://e5c9a.mailupclient.com/f/rnl.aspx/?jhe=vwvwwvrv/&amp;x=pv&amp;bdi=tzfd&amp;=su3ws/7f1-a=8e.dgcn&amp;&amp;x=pp&amp;u_9f1-a2&amp;.b/&amp;:d=rsx_qyNCLM" TargetMode="External"/><Relationship Id="rId2683" Type="http://schemas.openxmlformats.org/officeDocument/2006/relationships/hyperlink" Target="https://e5c9a.mailupclient.com/f/rnl.aspx/?jhe=vwvwwvrv/&amp;x=pv&amp;bdi=tzfd&amp;=suzwv/7f1-a=8e.dgcn&amp;&amp;x=pp&amp;u_9f1-a2&amp;.b/&amp;:d=rtqvvvNCLM" TargetMode="External"/><Relationship Id="rId29" Type="http://schemas.openxmlformats.org/officeDocument/2006/relationships/hyperlink" Target="https://e5c9a.mailupclient.com/f/rnl.aspx/?jhe=vwvwwvrv/&amp;x=pv&amp;bdi=tzfd&amp;=stxv_/7f1-a=8e.dgcn&amp;&amp;x=pp&amp;u_9f1-a2&amp;.b/&amp;:d=rsuzqxNCLM" TargetMode="External"/><Relationship Id="rId762" Type="http://schemas.openxmlformats.org/officeDocument/2006/relationships/hyperlink" Target="https://e5c9a.mailupclient.com/f/rnl.aspx/?jhe=vwvwwvrv/&amp;x=pv&amp;bdi=tzfd&amp;=st/v_/7f1-a=8e.dgcn&amp;&amp;x=pp&amp;u_9f1-a2&amp;.b/&amp;:d=rsw_pxNCLM" TargetMode="External"/><Relationship Id="rId1353" Type="http://schemas.openxmlformats.org/officeDocument/2006/relationships/hyperlink" Target="https://www.facebook.com/GCBA/posts/pfbid0sjsw4fmaZgH69Leu9Xq1bGvySQmZsbQtRcg9RLZrzuPWEHQATgDdDX3DKPknXAmKl" TargetMode="External"/><Relationship Id="rId2200" Type="http://schemas.openxmlformats.org/officeDocument/2006/relationships/hyperlink" Target="https://a2g9b4.emailsp.com/f/rnl.aspx/?fei=1wqvoxxy.9ek=vyad8=t3rxny&amp;f2::=4ibeh..e--:5d6.451&amp;x=pp&amp;r1.&amp;x=pv&amp;49-6&amp;aax00l=rvrxzNCLM" TargetMode="External"/><Relationship Id="rId2684" Type="http://schemas.openxmlformats.org/officeDocument/2006/relationships/hyperlink" Target="https://e5c9a.mailupclient.com/f/rnl.aspx/?jhe=vwszuxsy/&amp;x=pv&amp;bdi=tzfd&amp;=suzov/7f1-a=l925n3r/&amp;749&amp;x=pp&amp;q_&amp;.99a45h-/-6l=ntsp1sNCLM" TargetMode="External"/><Relationship Id="rId761" Type="http://schemas.openxmlformats.org/officeDocument/2006/relationships/hyperlink" Target="https://www.facebook.com/reel/818777800864033" TargetMode="External"/><Relationship Id="rId1354" Type="http://schemas.openxmlformats.org/officeDocument/2006/relationships/hyperlink" Target="https://e5c9a.mailupclient.com/f/rnl.aspx/?jhe=vwt_y1w_/&amp;x=pv&amp;bdi=tzfd&amp;=st2ut/7f1-a=&amp;x=pv&amp;n1&amp;j&amp;kc949&amp;25&amp;x=pp&amp;uy.-5-&amp;x=pv&amp;83dbzb4h=rq2ssvNCLM" TargetMode="External"/><Relationship Id="rId2201" Type="http://schemas.openxmlformats.org/officeDocument/2006/relationships/hyperlink" Target="https://www.facebook.com/baparticipacion/posts/pfbid02rYnMxmS6XD3RCsx9M9KBg9kR6JcG4PhAtUs7mrFDM5VFoD6HvNvYFGHsStd5qSRBl" TargetMode="External"/><Relationship Id="rId2685" Type="http://schemas.openxmlformats.org/officeDocument/2006/relationships/hyperlink" Target="https://e5c9a.mailupclient.com/f/rnl.aspx/?jhe=vwszuxsy/&amp;x=pv&amp;bdi=tzfd&amp;=suzov/7f1-a=l925n3r/&amp;749&amp;x=pp&amp;q_&amp;.99a45h-/-6l=ntsp1sNCLM" TargetMode="External"/><Relationship Id="rId760" Type="http://schemas.openxmlformats.org/officeDocument/2006/relationships/hyperlink" Target="https://a2g9b4.emailsp.com/f/rnl.aspx/?fei=2orws1vy.9ek=vyad8=t3xyqy&amp;f2::=7chafagb&amp;x=pp&amp;yx0-2.e16.&amp;x=pv&amp;2b5g=qry_xNCLM" TargetMode="External"/><Relationship Id="rId1355" Type="http://schemas.openxmlformats.org/officeDocument/2006/relationships/hyperlink" Target="https://www.facebook.com/reel/1004337665882718" TargetMode="External"/><Relationship Id="rId2202" Type="http://schemas.openxmlformats.org/officeDocument/2006/relationships/hyperlink" Target="https://e5c9a.mailupclient.com/f/rnl.aspx/?jhe=vwvwwvrv/&amp;x=pv&amp;bdi=tzfd&amp;=suwuw/7f1-a=8e.dgcn&amp;&amp;x=pp&amp;u_9f1-a2&amp;.b/&amp;:d=rty2uvNCLM" TargetMode="External"/><Relationship Id="rId2686" Type="http://schemas.openxmlformats.org/officeDocument/2006/relationships/hyperlink" Target="https://a2g9b4.emailsp.com/f/rnl.aspx/?fei=1wqvoxxy.9ek=vyad8=t3txny&amp;f2::=4ibeh..e--:5d6.451&amp;x=pp&amp;r1.&amp;x=pv&amp;49-6&amp;aax00l=rwrp/NCLM" TargetMode="External"/><Relationship Id="rId1345" Type="http://schemas.openxmlformats.org/officeDocument/2006/relationships/hyperlink" Target="https://www.facebook.com/reel/1330701805649297" TargetMode="External"/><Relationship Id="rId2676" Type="http://schemas.openxmlformats.org/officeDocument/2006/relationships/hyperlink" Target="https://a2g9b4.emailsp.com/f/rnl.aspx/?fei=1wqvoxxy.9ek=vyad8=t3twoy&amp;f2::=4ibeh..e--:5d6.451&amp;x=pp&amp;r1.&amp;x=pv&amp;49-6&amp;aax00l=rwqvzNCLM" TargetMode="External"/><Relationship Id="rId1346" Type="http://schemas.openxmlformats.org/officeDocument/2006/relationships/hyperlink" Target="https://a2g9b4.emailsp.com/f/rnl.aspx/?fei=1wqvoxxy.9ek=vyad8=t3ptny&amp;f2::=4ibeh..e--:5d6.451&amp;x=pp&amp;r1.&amp;x=pv&amp;49-6&amp;aax00l=rupttNCLM" TargetMode="External"/><Relationship Id="rId2677" Type="http://schemas.openxmlformats.org/officeDocument/2006/relationships/hyperlink" Target="https://e5c9a.mailupclient.com/f/rnl.aspx/?jhe=vwurvxsx/&amp;x=pv&amp;bdi=tzfd&amp;=suzox/7f1-a=5k9hibg&amp;x=pv&amp;9a&amp;-c4&amp;501&amp;x=pp&amp;u_9f1-a2&amp;.b/&amp;:d=rtqvqzNCLM" TargetMode="External"/><Relationship Id="rId1347" Type="http://schemas.openxmlformats.org/officeDocument/2006/relationships/hyperlink" Target="https://www.facebook.com/reel/1330701805649297" TargetMode="External"/><Relationship Id="rId2678" Type="http://schemas.openxmlformats.org/officeDocument/2006/relationships/hyperlink" Target="https://e5c9a.mailupclient.com/f/rnl.aspx/?jhe=vwvwwvrv/&amp;x=pv&amp;bdi=tzfd&amp;=suzwv/7f1-a=8e.dgcn&amp;&amp;x=pp&amp;u_9f1-a2&amp;.b/&amp;:d=rtqvvvNCLM" TargetMode="External"/><Relationship Id="rId1348" Type="http://schemas.openxmlformats.org/officeDocument/2006/relationships/hyperlink" Target="https://a2g9b4.emailsp.com/f/rnl.aspx/?fei=2orws1vy.9ek=vyad8=t3puwy&amp;f2::=7chafagb&amp;x=pp&amp;yx0-2.e16.&amp;x=pv&amp;2b5g=qswvxNCLM" TargetMode="External"/><Relationship Id="rId2679" Type="http://schemas.openxmlformats.org/officeDocument/2006/relationships/hyperlink" Target="https://e5c9a.mailupclient.com/f/rnl.aspx/?jhe=vwvwwvrv/&amp;x=pv&amp;bdi=tzfd&amp;=suzow/7f1-a=8e.dgcn&amp;&amp;x=pp&amp;u_9f1-a2&amp;.b/&amp;:d=rtqvtzNCLM" TargetMode="External"/><Relationship Id="rId11" Type="http://schemas.openxmlformats.org/officeDocument/2006/relationships/hyperlink" Target="https://e5c9a.mailupclient.com/f/rnl.aspx/?jhe=vwurvxsx/&amp;x=pv&amp;bdi=tzfd&amp;=stxrx/7f1-a=5k9hibg&amp;x=pv&amp;9a&amp;-c4&amp;501&amp;x=pp&amp;u_9f1-a2&amp;.b/&amp;:d=rsuyqwNCLM" TargetMode="External"/><Relationship Id="rId1349" Type="http://schemas.openxmlformats.org/officeDocument/2006/relationships/hyperlink" Target="https://www.facebook.com/GCBA/posts/pfbid0sjsw4fmaZgH69Leu9Xq1bGvySQmZsbQtRcg9RLZrzuPWEHQATgDdDX3DKPknXAmKl" TargetMode="External"/><Relationship Id="rId10" Type="http://schemas.openxmlformats.org/officeDocument/2006/relationships/hyperlink" Target="https://www.facebook.com/GCBA/posts/pfbid02j9NjjKC7QJSSUrKxkX55nDiWFRmCpVKSS3w7J3VpQA3DakuvLQQ5B3z96orCNRMUl" TargetMode="External"/><Relationship Id="rId13" Type="http://schemas.openxmlformats.org/officeDocument/2006/relationships/hyperlink" Target="https://e5c9a.mailupclient.com/f/rnl.aspx/?jhe=vwurvxsx/&amp;x=pv&amp;bdi=tzfd&amp;=stxrx/7f1-a=5k9hibg&amp;x=pv&amp;9a&amp;-c4&amp;501&amp;x=pp&amp;u_9f1-a2&amp;.b/&amp;:d=rsuyqwNCLM" TargetMode="External"/><Relationship Id="rId12" Type="http://schemas.openxmlformats.org/officeDocument/2006/relationships/hyperlink" Target="https://www.facebook.com/GCBA/posts/pfbid034rFdFhu5CMuLHbUxCF393aMxjQ6Uzsq6seyeRjcjNKtzSymPzkApKt81BUxEeVj3l" TargetMode="External"/><Relationship Id="rId756" Type="http://schemas.openxmlformats.org/officeDocument/2006/relationships/hyperlink" Target="https://a2g9b4.emailsp.com/f/rnl.aspx/?fei=2orws1vy.9ek=vyad8=t3xxry&amp;f2::=7chafagb&amp;x=pp&amp;yx0-2.e16.&amp;x=pv&amp;2b5g=qryvsNCLM" TargetMode="External"/><Relationship Id="rId755" Type="http://schemas.openxmlformats.org/officeDocument/2006/relationships/hyperlink" Target="https://e5c9a.mailupclient.com/f/rnl.aspx/?jhe=vwurvxsx/&amp;x=pv&amp;bdi=tzfd&amp;=st/vt/7f1-a=5k9hibg&amp;x=pv&amp;9a&amp;-c4&amp;501&amp;x=pp&amp;u_9f1-a2&amp;.b/&amp;:d=rsw_pzNCLM" TargetMode="External"/><Relationship Id="rId754" Type="http://schemas.openxmlformats.org/officeDocument/2006/relationships/hyperlink" Target="https://a2g9b4.emailsp.com/f/rnl.aspx/?fei=1wqvoxxy.9ek=vyad8=t3xxny&amp;f2::=4ibeh..e--:5d6.451&amp;x=pp&amp;r1.&amp;x=pv&amp;49-6&amp;aax00l=rtrvwNCLM" TargetMode="External"/><Relationship Id="rId753" Type="http://schemas.openxmlformats.org/officeDocument/2006/relationships/hyperlink" Target="https://e5c9a.mailupclient.com/f/rnl.aspx/?jhe=vwurvxsx/&amp;x=pv&amp;bdi=tzfd&amp;=st/uz/7f1-a=5k9hibg&amp;x=pv&amp;9a&amp;-c4&amp;501&amp;x=pp&amp;u_9f1-a2&amp;.b/&amp;:d=rsw_w_NCLM" TargetMode="External"/><Relationship Id="rId759" Type="http://schemas.openxmlformats.org/officeDocument/2006/relationships/hyperlink" Target="https://www.facebook.com/reel/818777800864033" TargetMode="External"/><Relationship Id="rId758" Type="http://schemas.openxmlformats.org/officeDocument/2006/relationships/hyperlink" Target="https://a2g9b4.emailsp.com/f/rnl.aspx/?fei=2orws1vy.9ek=vyad8=t3xxsy&amp;f2::=7chafagb&amp;x=pp&amp;yx0-2.e16.&amp;x=pv&amp;2b5g=qryypNCLM" TargetMode="External"/><Relationship Id="rId757" Type="http://schemas.openxmlformats.org/officeDocument/2006/relationships/hyperlink" Target="https://www.facebook.com/reel/818777800864033" TargetMode="External"/><Relationship Id="rId15" Type="http://schemas.openxmlformats.org/officeDocument/2006/relationships/hyperlink" Target="https://e5c9a.mailupclient.com/f/rnl.aspx/?jhe=vwt_ywsx/&amp;x=pv&amp;bdi=tzfd&amp;=stxtt/7f1-a=i9:9c.9cg52.365&amp;x=pp&amp;s37b5&amp;e/7d.498h=pwsuxuNCLM" TargetMode="External"/><Relationship Id="rId14" Type="http://schemas.openxmlformats.org/officeDocument/2006/relationships/hyperlink" Target="https://www.facebook.com/GCBA/posts/pfbid02j9NjjKC7QJSSUrKxkX55nDiWFRmCpVKSS3w7J3VpQA3DakuvLQQ5B3z96orCNRMUl" TargetMode="External"/><Relationship Id="rId17" Type="http://schemas.openxmlformats.org/officeDocument/2006/relationships/hyperlink" Target="https://e5c9a.mailupclient.com/f/rnl.aspx/?jhe=1r_yq2o/a&amp;le=t/.l7=svr/n/9.99a=59ndi-a&amp;9g-7e:-49&amp;25&amp;x=pp&amp;uy.-5-&amp;x=pv&amp;83dbzb4h=rq_qvrNCLM" TargetMode="External"/><Relationship Id="rId2670" Type="http://schemas.openxmlformats.org/officeDocument/2006/relationships/hyperlink" Target="https://a2g9b4.emailsp.com/f/rnl.aspx/?fei=1vvoo_2y.9ek=vyad8=t3twqy&amp;f2::=k702m1k6.451&amp;x=pp&amp;r1.&amp;x=pv&amp;49-6&amp;aax00l=rwqwyNCLM" TargetMode="External"/><Relationship Id="rId16" Type="http://schemas.openxmlformats.org/officeDocument/2006/relationships/hyperlink" Target="https://www.facebook.com/GCBA/posts/pfbid02j9NjjKC7QJSSUrKxkX55nDiWFRmCpVKSS3w7J3VpQA3DakuvLQQ5B3z96orCNRMUl" TargetMode="External"/><Relationship Id="rId1340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671" Type="http://schemas.openxmlformats.org/officeDocument/2006/relationships/hyperlink" Target="https://a2g9b4.emailsp.com/f/rnl.aspx/?fei=1uwuq_vy.9ek=vyad8=t3tvuy&amp;f2::=2-neh9.9bd:5-cb10337&amp;x=pp&amp;yx0-2.e16.&amp;x=pv&amp;2b5g=quwzvNCLM" TargetMode="External"/><Relationship Id="rId19" Type="http://schemas.openxmlformats.org/officeDocument/2006/relationships/hyperlink" Target="https://e5c9a.mailupclient.com/f/rnl.aspx/?jhe=1r_yq2o/a&amp;le=t/.l7=svr/u/9.99a=59ndi-a&amp;9g-7e:-49&amp;25&amp;x=pp&amp;uy.-5-&amp;x=pv&amp;83dbzb4h=rq_qyzNCLM" TargetMode="External"/><Relationship Id="rId752" Type="http://schemas.openxmlformats.org/officeDocument/2006/relationships/hyperlink" Target="https://e5c9a.mailupclient.com/f/rnl.aspx/?jhe=1r_yq2o/a&amp;le=t/.l7=svv2n/9.99a=59ndi-a&amp;9g-7e:-49&amp;25&amp;x=pp&amp;uy.-5-&amp;x=pv&amp;83dbzb4h=rq1rzyNCLM" TargetMode="External"/><Relationship Id="rId1341" Type="http://schemas.openxmlformats.org/officeDocument/2006/relationships/hyperlink" Target="https://www.facebook.com/reel/1476952487457454" TargetMode="External"/><Relationship Id="rId2672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18" Type="http://schemas.openxmlformats.org/officeDocument/2006/relationships/hyperlink" Target="https://www.facebook.com/GCBA/posts/1295953569230956" TargetMode="External"/><Relationship Id="rId751" Type="http://schemas.openxmlformats.org/officeDocument/2006/relationships/hyperlink" Target="https://a2g9b4.emailsp.com/f/rnl.aspx/?fei=1wqvoxxy.9ek=vyad8=t3xxpy&amp;f2::=4ibeh..e--:5d6.451&amp;x=pp&amp;r1.&amp;x=pv&amp;49-6&amp;aax00l=rtsx1NCLM" TargetMode="External"/><Relationship Id="rId1342" Type="http://schemas.openxmlformats.org/officeDocument/2006/relationships/hyperlink" Target="https://e5c9a.mailupclient.com/f/rnl.aspx/?jhe=1r_yq2o/a&amp;le=t/.l7=svxyv/9.99a=59ndi-a&amp;9g-7e:-49&amp;25&amp;x=pp&amp;uy.-5-&amp;x=pv&amp;83dbzb4h=rq2pvrNCLM" TargetMode="External"/><Relationship Id="rId2673" Type="http://schemas.openxmlformats.org/officeDocument/2006/relationships/hyperlink" Target="https://e5c9a.mailupclient.com/f/rnl.aspx/?jhe=1r_yq2o/a&amp;le=t/.l7=swt3v/9.99a=59ndi-a&amp;9g-7e:-49&amp;25&amp;x=pp&amp;uy.-5-&amp;x=pv&amp;83dbzb4h=rrwwwsNCLM" TargetMode="External"/><Relationship Id="rId750" Type="http://schemas.openxmlformats.org/officeDocument/2006/relationships/hyperlink" Target="https://e5c9a.mailupclient.com/f/rnl.aspx/?jhe=vwszuxsy/&amp;x=pv&amp;bdi=tzfd&amp;=st/u_/7f1-a=l925n3r/&amp;749&amp;x=pp&amp;q_&amp;.99a45h-/-6l=nsytzrNCLM" TargetMode="External"/><Relationship Id="rId1343" Type="http://schemas.openxmlformats.org/officeDocument/2006/relationships/hyperlink" Target="https://www.facebook.com/GCBA/posts/pfbid034cMBPvEYHoNPJuLPYdvqvHwWddQVjVhrUZSfBwZtbsKxFZ1t9TibhaDTjQBLJRK6l" TargetMode="External"/><Relationship Id="rId2674" Type="http://schemas.openxmlformats.org/officeDocument/2006/relationships/hyperlink" Target="https://a2g9b4.emailsp.com/f/rnl.aspx/?fei=1uwuq_vy.9ek=vyad8=t3tvvy&amp;f2::=2-neh9.9bd:5-cb10337&amp;x=pp&amp;yx0-2.e16.&amp;x=pv&amp;2b5g=quwzuNCLM" TargetMode="External"/><Relationship Id="rId1344" Type="http://schemas.openxmlformats.org/officeDocument/2006/relationships/hyperlink" Target="https://e5c9a.mailupclient.com/f/rnl.aspx/?jhe=1r_yq2o/a&amp;le=t/.l7=svxyv/9.99a=59ndi-a&amp;9g-7e:-49&amp;25&amp;x=pp&amp;uy.-5-&amp;x=pv&amp;83dbzb4h=rq2pvrNCLM" TargetMode="External"/><Relationship Id="rId2675" Type="http://schemas.openxmlformats.org/officeDocument/2006/relationships/hyperlink" Target="https://e5c9a.mailupclient.com/f/rnl.aspx/?jhe=1r_yq2o/a&amp;le=t/.l7=swtwu/9.99a=59ndi-a&amp;9g-7e:-49&amp;25&amp;x=pp&amp;uy.-5-&amp;x=pv&amp;83dbzb4h=rrwnwrNCLM" TargetMode="External"/><Relationship Id="rId84" Type="http://schemas.openxmlformats.org/officeDocument/2006/relationships/hyperlink" Target="https://www.facebook.com/GCBA/posts/pfbid02JAAkfG8XcGh1Fnbwh21z7jhQ2QhfZQPQncE8ehd4t8uNmhFPGw6q5FEBmTbZ7VzQl" TargetMode="External"/><Relationship Id="rId1774" Type="http://schemas.openxmlformats.org/officeDocument/2006/relationships/hyperlink" Target="https://www.facebook.com/reel/1458725662138823/" TargetMode="External"/><Relationship Id="rId2621" Type="http://schemas.openxmlformats.org/officeDocument/2006/relationships/hyperlink" Target="https://a2g9b4.emailsp.com/f/rnl.aspx/?fei=1vvoo_2y.9ek=vyad8=t3trry&amp;f2::=k702m1k6.451&amp;x=pp&amp;r1.&amp;x=pv&amp;49-6&amp;aax00l=rwqovNCLM" TargetMode="External"/><Relationship Id="rId83" Type="http://schemas.openxmlformats.org/officeDocument/2006/relationships/hyperlink" Target="https://e5c9a.mailupclient.com/f/rnl.aspx/?jhe=1r_yq2o/a&amp;le=t/.l7=svs3o/9.99a=59ndi-a&amp;9g-7e:-49&amp;25&amp;x=pp&amp;uy.-5-&amp;x=pv&amp;83dbzb4h=rq_tsyNCLM" TargetMode="External"/><Relationship Id="rId1775" Type="http://schemas.openxmlformats.org/officeDocument/2006/relationships/hyperlink" Target="https://a2g9b4.emailsp.com/f/rnl.aspx/?fei=1wqvoxxy.9ek=vyad8=t3qwpy&amp;f2::=4ibeh..e--:5d6.451&amp;x=pp&amp;r1.&amp;x=pv&amp;49-6&amp;aax00l=ruvvyNCLM" TargetMode="External"/><Relationship Id="rId2622" Type="http://schemas.openxmlformats.org/officeDocument/2006/relationships/hyperlink" Target="https://e5c9a.mailupclient.com/f/rnl.aspx/?jhe=vwszuxsy/&amp;x=pv&amp;bdi=tzfd&amp;=suyvv/7f1-a=l925n3r/&amp;749&amp;x=pp&amp;q_&amp;.99a45h-/-6l=ntsywwNCLM" TargetMode="External"/><Relationship Id="rId86" Type="http://schemas.openxmlformats.org/officeDocument/2006/relationships/hyperlink" Target="https://www.facebook.com/GCBA/posts/pfbid02L7RJdRnpKvxgHCHoFNVteFMhHth8wxoRi3CHktXJKcya5Avf88oHkMEarHpuxHy1l" TargetMode="External"/><Relationship Id="rId1776" Type="http://schemas.openxmlformats.org/officeDocument/2006/relationships/hyperlink" Target="https://www.facebook.com/reel/1458725662138823/" TargetMode="External"/><Relationship Id="rId2623" Type="http://schemas.openxmlformats.org/officeDocument/2006/relationships/hyperlink" Target="https://e5c9a.mailupclient.com/f/rnl.aspx/?jhe=vwszuxsy/&amp;x=pv&amp;bdi=tzfd&amp;=suyvv/7f1-a=l925n3r/&amp;749&amp;x=pp&amp;q_&amp;.99a45h-/-6l=ntsywwNCLM" TargetMode="External"/><Relationship Id="rId85" Type="http://schemas.openxmlformats.org/officeDocument/2006/relationships/hyperlink" Target="https://e5c9a.mailupclient.com/f/rnl.aspx/?jhe=vwvwwvrv/&amp;x=pv&amp;bdi=tzfd&amp;=stywr/7f1-a=8e.dgcn&amp;&amp;x=pp&amp;u_9f1-a2&amp;.b/&amp;:d=rsu_orNCLM" TargetMode="External"/><Relationship Id="rId1777" Type="http://schemas.openxmlformats.org/officeDocument/2006/relationships/hyperlink" Target="https://a2g9b4.emailsp.com/f/rnl.aspx/?fei=1wqvoxxy.9ek=vyad8=t3quny&amp;f2::=4ibeh..e--:5d6.451&amp;x=pp&amp;r1.&amp;x=pv&amp;49-6&amp;aax00l=ruvxxNCLM" TargetMode="External"/><Relationship Id="rId2624" Type="http://schemas.openxmlformats.org/officeDocument/2006/relationships/hyperlink" Target="https://a2g9b4.emailsp.com/f/rnl.aspx/?fei=1vvoo_2y.9ek=vyad8=t3troy&amp;f2::=k702m1k6.451&amp;x=pp&amp;r1.&amp;x=pv&amp;49-6&amp;aax00l=rwqozNCLM" TargetMode="External"/><Relationship Id="rId88" Type="http://schemas.openxmlformats.org/officeDocument/2006/relationships/hyperlink" Target="https://www.facebook.com/GCBA/posts/pfbid02GGXCtYjhgk74vKvTiihRfCeWpPvrtSdaqFFFVbf3rbsjhD5EpgogY7b1ZmsF2Ty3l" TargetMode="External"/><Relationship Id="rId1778" Type="http://schemas.openxmlformats.org/officeDocument/2006/relationships/hyperlink" Target="https://www.facebook.com/reel/1458725662138823/" TargetMode="External"/><Relationship Id="rId2625" Type="http://schemas.openxmlformats.org/officeDocument/2006/relationships/hyperlink" Target="https://a2g9b4.emailsp.com/f/rnl.aspx/?fei=1vvoo_2y.9ek=vyad8=t3trry&amp;f2::=k702m1k6.451&amp;x=pp&amp;r1.&amp;x=pv&amp;49-6&amp;aax00l=rwqovNCLM" TargetMode="External"/><Relationship Id="rId87" Type="http://schemas.openxmlformats.org/officeDocument/2006/relationships/hyperlink" Target="https://e5c9a.mailupclient.com/f/rnl.aspx/?jhe=vwvwwvrv/&amp;x=pv&amp;bdi=tzfd&amp;=styn_/7f1-a=8e.dgcn&amp;&amp;x=pp&amp;u_9f1-a2&amp;.b/&amp;:d=rsu_suNCLM" TargetMode="External"/><Relationship Id="rId1779" Type="http://schemas.openxmlformats.org/officeDocument/2006/relationships/hyperlink" Target="https://a2g9b4.emailsp.com/f/rnl.aspx/?fei=1wqvoxxy.9ek=vyad8=t3qvqy&amp;f2::=4ibeh..e--:5d6.451&amp;x=pp&amp;r1.&amp;x=pv&amp;49-6&amp;aax00l=ruvs/NCLM" TargetMode="External"/><Relationship Id="rId2626" Type="http://schemas.openxmlformats.org/officeDocument/2006/relationships/hyperlink" Target="https://a2g9b4.emailsp.com/f/rnl.aspx/?fei=1vvoo_2y.9ek=vyad8=t3tupy&amp;f2::=k702m1k6.451&amp;x=pp&amp;r1.&amp;x=pv&amp;49-6&amp;aax00l=rwpw_NCLM" TargetMode="External"/><Relationship Id="rId2627" Type="http://schemas.openxmlformats.org/officeDocument/2006/relationships/hyperlink" Target="https://a2g9b4.emailsp.com/f/rnl.aspx/?fei=1uwuq_vy.9ek=vyad8=t3trqy&amp;f2::=2-neh9.9bd:5-cb10337&amp;x=pp&amp;yx0-2.e16.&amp;x=pv&amp;2b5g=quuxuNCLM" TargetMode="External"/><Relationship Id="rId89" Type="http://schemas.openxmlformats.org/officeDocument/2006/relationships/hyperlink" Target="https://e5c9a.mailupclient.com/f/rnl.aspx/?jhe=vwvwwvrv/&amp;x=pv&amp;bdi=tzfd&amp;=stywr/7f1-a=8e.dgcn&amp;&amp;x=pp&amp;u_9f1-a2&amp;.b/&amp;:d=rsu_orNCLM" TargetMode="External"/><Relationship Id="rId2628" Type="http://schemas.openxmlformats.org/officeDocument/2006/relationships/hyperlink" Target="https://a2g9b4.emailsp.com/f/rnl.aspx/?fei=1uwuq_vy.9ek=vyad8=t3tuwy&amp;f2::=2-neh9.9bd:5-cb10337&amp;x=pp&amp;yx0-2.e16.&amp;x=pv&amp;2b5g=quvxtNCLM" TargetMode="External"/><Relationship Id="rId709" Type="http://schemas.openxmlformats.org/officeDocument/2006/relationships/hyperlink" Target="https://a2g9b4.emailsp.com/f/rnl.aspx/?fei=1wqvoxxy.9ek=vyad8=t3xvsy&amp;f2::=4ibeh..e--:5d6.451&amp;x=pp&amp;r1.&amp;x=pv&amp;49-6&amp;aax00l=rtroxNCLM" TargetMode="External"/><Relationship Id="rId2629" Type="http://schemas.openxmlformats.org/officeDocument/2006/relationships/hyperlink" Target="https://a2g9b4.emailsp.com/f/rnl.aspx/?fei=1wqvoxxy.9ek=vyad8=t3tvny&amp;f2::=4ibeh..e--:5d6.451&amp;x=pp&amp;r1.&amp;x=pv&amp;49-6&amp;aax00l=rwqp/NCLM" TargetMode="External"/><Relationship Id="rId708" Type="http://schemas.openxmlformats.org/officeDocument/2006/relationships/hyperlink" Target="https://e5c9a.mailupclient.com/f/rnl.aspx/?jhe=vwurvxsx/&amp;x=pv&amp;bdi=tzfd&amp;=st/rs/7f1-a=5k9hibg&amp;x=pv&amp;9a&amp;-c4&amp;501&amp;x=pp&amp;u_9f1-a2&amp;.b/&amp;:d=rswyquNCLM" TargetMode="External"/><Relationship Id="rId707" Type="http://schemas.openxmlformats.org/officeDocument/2006/relationships/hyperlink" Target="https://e5c9a.mailupclient.com/f/rnl.aspx/?jhe=1r_yq2o/a&amp;le=t/.l7=svvwr/9.99a=59ndi-a&amp;9g-7e:-49&amp;25&amp;x=pp&amp;uy.-5-&amp;x=pv&amp;83dbzb4h=rq1ozzNCLM" TargetMode="External"/><Relationship Id="rId706" Type="http://schemas.openxmlformats.org/officeDocument/2006/relationships/hyperlink" Target="https://a2g9b4.emailsp.com/f/rnl.aspx/?fei=1wqvoxxy.9ek=vyad8=t3xwry&amp;f2::=4ibeh..e--:5d6.451&amp;x=pp&amp;r1.&amp;x=pv&amp;49-6&amp;aax00l=rtrsuNCLM" TargetMode="External"/><Relationship Id="rId80" Type="http://schemas.openxmlformats.org/officeDocument/2006/relationships/hyperlink" Target="https://www.facebook.com/GCBA/posts/pfbid07LRumYp8mdLQqJfyaB5bdnX2XbK5UDyd5m34LT3Q3Pm6Vb4DyhT2MV3sr4XceJBfl" TargetMode="External"/><Relationship Id="rId82" Type="http://schemas.openxmlformats.org/officeDocument/2006/relationships/hyperlink" Target="https://www.facebook.com/GCBA/posts/pfbid02pEFi3sFKfrJrjXwNks9dhE7AB4JkXeumvQ8443GyMY8WyS2gzRVpjS8gMwSvDhXkl" TargetMode="External"/><Relationship Id="rId81" Type="http://schemas.openxmlformats.org/officeDocument/2006/relationships/hyperlink" Target="https://e5c9a.mailupclient.com/f/rnl.aspx/?jhe=1r_yq2o/a&amp;le=t/.l7=svr/o/9.99a=59ndi-a&amp;9g-7e:-49&amp;25&amp;x=pp&amp;uy.-5-&amp;x=pv&amp;83dbzb4h=rq_swxNCLM" TargetMode="External"/><Relationship Id="rId701" Type="http://schemas.openxmlformats.org/officeDocument/2006/relationships/hyperlink" Target="https://e5c9a.mailupclient.com/f/rnl.aspx/?jhe=vwurvxsx/&amp;x=pv&amp;bdi=tzfd&amp;=st/rt/7f1-a=5k9hibg&amp;x=pv&amp;9a&amp;-c4&amp;501&amp;x=pp&amp;u_9f1-a2&amp;.b/&amp;:d=rswyqvNCLM" TargetMode="External"/><Relationship Id="rId700" Type="http://schemas.openxmlformats.org/officeDocument/2006/relationships/hyperlink" Target="https://a2g9b4.emailsp.com/f/rnl.aspx/?fei=1wqvoxxy.9ek=vyad8=t3xvpy&amp;f2::=4ibeh..e--:5d6.451&amp;x=pp&amp;r1.&amp;x=pv&amp;49-6&amp;aax00l=rtqw_NCLM" TargetMode="External"/><Relationship Id="rId705" Type="http://schemas.openxmlformats.org/officeDocument/2006/relationships/hyperlink" Target="https://e5c9a.mailupclient.com/f/rnl.aspx/?jhe=vwszuxsy/&amp;x=pv&amp;bdi=tzfd&amp;=st/rr/7f1-a=l925n3r/&amp;749&amp;x=pp&amp;q_&amp;.99a45h-/-6l=nsyszpNCLM" TargetMode="External"/><Relationship Id="rId704" Type="http://schemas.openxmlformats.org/officeDocument/2006/relationships/hyperlink" Target="https://a2g9b4.emailsp.com/f/rnl.aspx/?fei=1vvoo_2y.9ek=vyad8=t3xvuy&amp;f2::=k702m1k6.451&amp;x=pp&amp;r1.&amp;x=pv&amp;49-6&amp;aax00l=rtrpxNCLM" TargetMode="External"/><Relationship Id="rId703" Type="http://schemas.openxmlformats.org/officeDocument/2006/relationships/hyperlink" Target="https://e5c9a.mailupclient.com/f/rnl.aspx/?jhe=vwvwwvrv/&amp;x=pv&amp;bdi=tzfd&amp;=st/qx/7f1-a=8e.dgcn&amp;&amp;x=pp&amp;u_9f1-a2&amp;.b/&amp;:d=rswyotNCLM" TargetMode="External"/><Relationship Id="rId702" Type="http://schemas.openxmlformats.org/officeDocument/2006/relationships/hyperlink" Target="https://a2g9b4.emailsp.com/f/rnl.aspx/?fei=1wqvoxxy.9ek=vyad8=t3xvry&amp;f2::=4ibeh..e--:5d6.451&amp;x=pp&amp;r1.&amp;x=pv&amp;49-6&amp;aax00l=rtrouNCLM" TargetMode="External"/><Relationship Id="rId1770" Type="http://schemas.openxmlformats.org/officeDocument/2006/relationships/hyperlink" Target="https://www.facebook.com/reel/1458725662138823/" TargetMode="External"/><Relationship Id="rId1771" Type="http://schemas.openxmlformats.org/officeDocument/2006/relationships/hyperlink" Target="https://e5c9a.mailupclient.com/f/rnl.aspx/?jhe=vwurvxsx/&amp;x=pv&amp;bdi=tzfd&amp;=suvs_/7f1-a=5k9hibg&amp;x=pv&amp;9a&amp;-c4&amp;501&amp;x=pp&amp;u_9f1-a2&amp;.b/&amp;:d=rtyxvtNCLM" TargetMode="External"/><Relationship Id="rId1772" Type="http://schemas.openxmlformats.org/officeDocument/2006/relationships/hyperlink" Target="https://www.facebook.com/reel/1458725662138823/" TargetMode="External"/><Relationship Id="rId1773" Type="http://schemas.openxmlformats.org/officeDocument/2006/relationships/hyperlink" Target="https://a2g9b4.emailsp.com/f/rnl.aspx/?fei=1wqvoxxy.9ek=vyad8=t3qvty&amp;f2::=4ibeh..e--:5d6.451&amp;x=pp&amp;r1.&amp;x=pv&amp;49-6&amp;aax00l=ruvutNCLM" TargetMode="External"/><Relationship Id="rId2620" Type="http://schemas.openxmlformats.org/officeDocument/2006/relationships/hyperlink" Target="https://e5c9a.mailupclient.com/f/rnl.aspx/?jhe=vwt_y1w_/&amp;x=pv&amp;bdi=tzfd&amp;=suyux/7f1-a=&amp;x=pv&amp;n1&amp;j&amp;kc949&amp;25&amp;x=pp&amp;uy.-5-&amp;x=pv&amp;83dbzb4h=rrwwrwNCLM" TargetMode="External"/><Relationship Id="rId73" Type="http://schemas.openxmlformats.org/officeDocument/2006/relationships/hyperlink" Target="https://e5c9a.mailupclient.com/f/rnl.aspx/?jhe=vwvwwvrv/&amp;x=pv&amp;bdi=tzfd&amp;=stxvu/7f1-a=8e.dgcn&amp;&amp;x=pp&amp;u_9f1-a2&amp;.b/&amp;:d=rsu_owNCLM" TargetMode="External"/><Relationship Id="rId1763" Type="http://schemas.openxmlformats.org/officeDocument/2006/relationships/hyperlink" Target="https://a2g9b4.emailsp.com/f/rnl.aspx/?fei=2orws1vy.9ek=vyad8=t3qruy&amp;f2::=7chafagb&amp;x=pp&amp;yx0-2.e16.&amp;x=pv&amp;2b5g=qs/zxNCLM" TargetMode="External"/><Relationship Id="rId2610" Type="http://schemas.openxmlformats.org/officeDocument/2006/relationships/hyperlink" Target="https://a2g9b4.emailsp.com/f/rnl.aspx/?fei=1vvoo_2y.9ek=vyad8=t3ttuy&amp;f2::=k702m1k6.451&amp;x=pp&amp;r1.&amp;x=pv&amp;49-6&amp;aax00l=rwpq_NCLM" TargetMode="External"/><Relationship Id="rId72" Type="http://schemas.openxmlformats.org/officeDocument/2006/relationships/hyperlink" Target="https://www.facebook.com/GCBA/posts/pfbid0aTVXgn1s1Sgz6VMABC7WuTKDmfNscAPsBZNyNt4nppB5eaYyKW6xitKZRsj1L8vcl" TargetMode="External"/><Relationship Id="rId1764" Type="http://schemas.openxmlformats.org/officeDocument/2006/relationships/hyperlink" Target="https://www.facebook.com/reel/1458725662138823/" TargetMode="External"/><Relationship Id="rId2611" Type="http://schemas.openxmlformats.org/officeDocument/2006/relationships/hyperlink" Target="https://a2g9b4.emailsp.com/f/rnl.aspx/?fei=1uwuq_vy.9ek=vyad8=t3tqvy&amp;f2::=2-neh9.9bd:5-cb10337&amp;x=pp&amp;yx0-2.e16.&amp;x=pv&amp;2b5g=quuxxNCLM" TargetMode="External"/><Relationship Id="rId75" Type="http://schemas.openxmlformats.org/officeDocument/2006/relationships/hyperlink" Target="https://e5c9a.mailupclient.com/f/rnl.aspx/?jhe=vwurvxsx/&amp;x=pv&amp;bdi=tzfd&amp;=stxtz/7f1-a=5k9hibg&amp;x=pv&amp;9a&amp;-c4&amp;501&amp;x=pp&amp;u_9f1-a2&amp;.b/&amp;:d=rsu_ovNCLM" TargetMode="External"/><Relationship Id="rId1765" Type="http://schemas.openxmlformats.org/officeDocument/2006/relationships/hyperlink" Target="https://e5c9a.mailupclient.com/f/rnl.aspx/?jhe=vwvwwvrv/&amp;x=pv&amp;bdi=tzfd&amp;=suvrz/7f1-a=8e.dgcn&amp;&amp;x=pp&amp;u_9f1-a2&amp;.b/&amp;:d=rtyxtxNCLM" TargetMode="External"/><Relationship Id="rId2612" Type="http://schemas.openxmlformats.org/officeDocument/2006/relationships/hyperlink" Target="https://a2g9b4.emailsp.com/f/rnl.aspx/?fei=1wqvoxxy.9ek=vyad8=t3tusy&amp;f2::=4ibeh..e--:5d6.451&amp;x=pp&amp;r1.&amp;x=pv&amp;49-6&amp;aax00l=rwpw/NCLM" TargetMode="External"/><Relationship Id="rId74" Type="http://schemas.openxmlformats.org/officeDocument/2006/relationships/hyperlink" Target="https://www.facebook.com/GCBA/posts/pfbid02Ekpsw3Kn3Y53hTrB8LF9tmwdLbWRnZbokEj8JCHh7QqsUu5iVwVCNkc93hqmsDCbl" TargetMode="External"/><Relationship Id="rId1766" Type="http://schemas.openxmlformats.org/officeDocument/2006/relationships/hyperlink" Target="https://www.facebook.com/reel/1458725662138823/" TargetMode="External"/><Relationship Id="rId2613" Type="http://schemas.openxmlformats.org/officeDocument/2006/relationships/hyperlink" Target="https://e5c9a.mailupclient.com/f/rnl.aspx/?jhe=vwvwwvrv/&amp;x=pv&amp;bdi=tzfd&amp;=suyus/7f1-a=8e.dgcn&amp;&amp;x=pp&amp;u_9f1-a2&amp;.b/&amp;:d=rtp2uvNCLM" TargetMode="External"/><Relationship Id="rId77" Type="http://schemas.openxmlformats.org/officeDocument/2006/relationships/hyperlink" Target="https://e5c9a.mailupclient.com/f/rnl.aspx/?jhe=vwurvxsx/&amp;x=pv&amp;bdi=tzfd&amp;=stxtw/7f1-a=5k9hibg&amp;x=pv&amp;9a&amp;-c4&amp;501&amp;x=pp&amp;u_9f1-a2&amp;.b/&amp;:d=rsu_swNCLM" TargetMode="External"/><Relationship Id="rId1767" Type="http://schemas.openxmlformats.org/officeDocument/2006/relationships/hyperlink" Target="https://e5c9a.mailupclient.com/f/rnl.aspx/?jhe=vwvwwvrv/&amp;x=pv&amp;bdi=tzfd&amp;=suvrw/7f1-a=8e.dgcn&amp;&amp;x=pp&amp;u_9f1-a2&amp;.b/&amp;:d=rtyxuzNCLM" TargetMode="External"/><Relationship Id="rId2614" Type="http://schemas.openxmlformats.org/officeDocument/2006/relationships/hyperlink" Target="https://mu-messages.mailupclient.com/55391/messages/email/26473/preview?sourceCode=listemail&amp;idTriggered=0" TargetMode="External"/><Relationship Id="rId76" Type="http://schemas.openxmlformats.org/officeDocument/2006/relationships/hyperlink" Target="https://www.facebook.com/GCBA/posts/pfbid0bpzpNKTnru2sf3kYgyMgoDJndBsp3pjhSjvXsRSwggvgxJLvxndRafT7Qo5ZVd1Rl" TargetMode="External"/><Relationship Id="rId1768" Type="http://schemas.openxmlformats.org/officeDocument/2006/relationships/hyperlink" Target="https://www.facebook.com/reel/1458725662138823/" TargetMode="External"/><Relationship Id="rId2615" Type="http://schemas.openxmlformats.org/officeDocument/2006/relationships/hyperlink" Target="https://a2g9b4.emailsp.com/f/rnl.aspx/?fei=2orws1vy.9ek=vyad8=t3tuqy&amp;f2::=7chafagb&amp;x=pp&amp;yx0-2.e16.&amp;x=pv&amp;2b5g=quwvtNCLM" TargetMode="External"/><Relationship Id="rId79" Type="http://schemas.openxmlformats.org/officeDocument/2006/relationships/hyperlink" Target="https://e5c9a.mailupclient.com/f/rnl.aspx/?jhe=vwurvxsx/&amp;x=pv&amp;bdi=tzfd&amp;=stywx/7f1-a=5k9hibg&amp;x=pv&amp;9a&amp;-c4&amp;501&amp;x=pp&amp;u_9f1-a2&amp;.b/&amp;:d=rsu_qvNCLM" TargetMode="External"/><Relationship Id="rId1769" Type="http://schemas.openxmlformats.org/officeDocument/2006/relationships/hyperlink" Target="https://e5c9a.mailupclient.com/f/rnl.aspx/?jhe=vwt_y1w_/&amp;x=pv&amp;bdi=tzfd&amp;=su3tx/7f1-a=&amp;x=pv&amp;n1&amp;j&amp;kc949&amp;25&amp;x=pp&amp;uy.-5-&amp;x=pv&amp;83dbzb4h=rr3pvrNCLM" TargetMode="External"/><Relationship Id="rId2616" Type="http://schemas.openxmlformats.org/officeDocument/2006/relationships/hyperlink" Target="https://e5c9a.mailupclient.com/f/rnl.aspx/?jhe=vwvwwvrv/&amp;x=pv&amp;bdi=tzfd&amp;=suyuw/7f1-a=8e.dgcn&amp;&amp;x=pp&amp;u_9f1-a2&amp;.b/&amp;:d=rtq3nxNCLM" TargetMode="External"/><Relationship Id="rId78" Type="http://schemas.openxmlformats.org/officeDocument/2006/relationships/hyperlink" Target="https://www.facebook.com/GCBA/posts/pfbid034AjgxDYtPXAVhBiqij3aC2isPwZvxP8uFR4GsfNR3tGmhS8XJXT4UUw48dyZAQiHl" TargetMode="External"/><Relationship Id="rId2617" Type="http://schemas.openxmlformats.org/officeDocument/2006/relationships/hyperlink" Target="https://e5c9a.mailupclient.com/f/rnl.aspx/?jhe=vwvwwvrv/&amp;x=pv&amp;bdi=tzfd&amp;=suyvz/7f1-a=8e.dgcn&amp;&amp;x=pp&amp;u_9f1-a2&amp;.b/&amp;:d=rtq3ozNCLM" TargetMode="External"/><Relationship Id="rId2618" Type="http://schemas.openxmlformats.org/officeDocument/2006/relationships/hyperlink" Target="https://a2g9b4.emailsp.com/f/rnl.aspx/?fei=1vvoo1vy.9ek=vyad8=t3tqry&amp;f2::=-l98i9di-10337&amp;x=pp&amp;yx0-2.e16.&amp;x=pv&amp;2b5g=quwwqNCLM" TargetMode="External"/><Relationship Id="rId2619" Type="http://schemas.openxmlformats.org/officeDocument/2006/relationships/hyperlink" Target="https://a2g9b4.emailsp.com/f/rnl.aspx/?fei=1vvoo1vy.9ek=vyad8=t3trsy&amp;f2::=-l98i9di-10337&amp;x=pp&amp;yx0-2.e16.&amp;x=pv&amp;2b5g=quv3tNCLM" TargetMode="External"/><Relationship Id="rId71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70" Type="http://schemas.openxmlformats.org/officeDocument/2006/relationships/hyperlink" Target="https://www.facebook.com/GCBA/posts/pfbid02yMVCZELGPScBYN3P85ApkWjQdeWymbjBLPfPVTVm3qVf87otoSecb1d5sAMrMzzzl" TargetMode="External"/><Relationship Id="rId1760" Type="http://schemas.openxmlformats.org/officeDocument/2006/relationships/hyperlink" Target="https://www.facebook.com/reel/1458725662138823/" TargetMode="External"/><Relationship Id="rId1761" Type="http://schemas.openxmlformats.org/officeDocument/2006/relationships/hyperlink" Target="https://e5c9a.mailupclient.com/f/rnl.aspx/?jhe=vwurvxsx/&amp;x=pv&amp;bdi=tzfd&amp;=suvsr/7f1-a=5k9hibg&amp;x=pv&amp;9a&amp;-c4&amp;501&amp;x=pp&amp;u_9f1-a2&amp;.b/&amp;:d=rtyxsvNCLM" TargetMode="External"/><Relationship Id="rId1762" Type="http://schemas.openxmlformats.org/officeDocument/2006/relationships/hyperlink" Target="https://www.facebook.com/reel/1458725662138823/" TargetMode="External"/><Relationship Id="rId62" Type="http://schemas.openxmlformats.org/officeDocument/2006/relationships/hyperlink" Target="https://www.facebook.com/GCBA/posts/pfbid02QvyvwntEjJq83qgwBPTaYwAo8oP89axj7SHwk6Bv89cPFqdGEGmhAai3dwDbdNrFl" TargetMode="External"/><Relationship Id="rId1312" Type="http://schemas.openxmlformats.org/officeDocument/2006/relationships/hyperlink" Target="https://a2g9b4.emailsp.com/f/rnl.aspx/?fei=1wqvoxxy.9ek=vyad8=t3ptty&amp;f2::=4ibeh..e--:5d6.451&amp;x=pp&amp;r1.&amp;x=pv&amp;49-6&amp;aax00l=rupvwNCLM" TargetMode="External"/><Relationship Id="rId1796" Type="http://schemas.openxmlformats.org/officeDocument/2006/relationships/hyperlink" Target="https://e5c9a.mailupclient.com/f/rnl.aspx/?jhe=vwurvxsx/&amp;x=pv&amp;bdi=tzfd&amp;=suvtu/7f1-a=5k9hibg&amp;x=pv&amp;9a&amp;-c4&amp;501&amp;x=pp&amp;u_9f1-a2&amp;.b/&amp;:d=rtyyuuNCLM" TargetMode="External"/><Relationship Id="rId2643" Type="http://schemas.openxmlformats.org/officeDocument/2006/relationships/hyperlink" Target="https://a2g9b4.emailsp.com/f/rnl.aspx/?fei=2orws1vy.9ek=vyad8=t3tvpy&amp;f2::=7chafagb&amp;x=pp&amp;yx0-2.e16.&amp;x=pv&amp;2b5g=quwxuNCLM" TargetMode="External"/><Relationship Id="rId61" Type="http://schemas.openxmlformats.org/officeDocument/2006/relationships/hyperlink" Target="https://e5c9a.mailupclient.com/f/rnl.aspx/?jhe=vwt_y1w_/&amp;x=pv&amp;bdi=tzfd&amp;=stxvw/7f1-a=&amp;x=pv&amp;n1&amp;j&amp;kc949&amp;25&amp;x=pp&amp;uy.-5-&amp;x=pv&amp;83dbzb4h=rq_ryyNCLM" TargetMode="External"/><Relationship Id="rId1313" Type="http://schemas.openxmlformats.org/officeDocument/2006/relationships/hyperlink" Target="https://www.facebook.com/reel/1353968750115839" TargetMode="External"/><Relationship Id="rId1797" Type="http://schemas.openxmlformats.org/officeDocument/2006/relationships/hyperlink" Target="https://fb.me/adspreview/facebook/1UgfjdmX0MBxywR" TargetMode="External"/><Relationship Id="rId2644" Type="http://schemas.openxmlformats.org/officeDocument/2006/relationships/hyperlink" Target="https://a2g9b4.emailsp.com/f/rnl.aspx/?fei=2orws1vy.9ek=vyad8=t3tvsy&amp;f2::=7chafagb&amp;x=pp&amp;yx0-2.e16.&amp;x=pv&amp;2b5g=quwzoNCLM" TargetMode="External"/><Relationship Id="rId64" Type="http://schemas.openxmlformats.org/officeDocument/2006/relationships/hyperlink" Target="https://www.facebook.com/GCBA/posts/pfbid02dx5PKW9dhfnoR52qjj3Cxnq9opfoRmH6HwTJx9uacynmmZet5vn1FL6Xavv3J8ZXl" TargetMode="External"/><Relationship Id="rId1314" Type="http://schemas.openxmlformats.org/officeDocument/2006/relationships/hyperlink" Target="https://a2g9b4.emailsp.com/f/rnl.aspx/?fei=1wqvoxxy.9ek=vyad8=t3puuy&amp;f2::=4ibeh..e--:5d6.451&amp;x=pp&amp;r1.&amp;x=pv&amp;49-6&amp;aax00l=ruqqwNCLM" TargetMode="External"/><Relationship Id="rId1798" Type="http://schemas.openxmlformats.org/officeDocument/2006/relationships/hyperlink" Target="https://a2g9b4.emailsp.com/f/rnl.aspx/?fei=1uwuq_vy.9ek=vyad8=t3qvsy&amp;f2::=2-neh9.9bd:5-cb10337&amp;x=pp&amp;yx0-2.e16.&amp;x=pv&amp;2b5g=qs/_tNCLM" TargetMode="External"/><Relationship Id="rId2645" Type="http://schemas.openxmlformats.org/officeDocument/2006/relationships/hyperlink" Target="https://a2g9b4.emailsp.com/f/rnl.aspx/?fei=2orws1vy.9ek=vyad8=t3tury&amp;f2::=7chafagb&amp;x=pp&amp;yx0-2.e16.&amp;x=pv&amp;2b5g=quwztNCLM" TargetMode="External"/><Relationship Id="rId63" Type="http://schemas.openxmlformats.org/officeDocument/2006/relationships/hyperlink" Target="https://e5c9a.mailupclient.com/f/rnl.aspx/?jhe=vwt_y1w_/&amp;x=pv&amp;bdi=tzfd&amp;=stxvz/7f1-a=&amp;x=pv&amp;n1&amp;j&amp;kc949&amp;25&amp;x=pp&amp;uy.-5-&amp;x=pv&amp;83dbzb4h=rq_ssxNCLM" TargetMode="External"/><Relationship Id="rId1315" Type="http://schemas.openxmlformats.org/officeDocument/2006/relationships/hyperlink" Target="https://www.facebook.com/reel/1350977913533302" TargetMode="External"/><Relationship Id="rId1799" Type="http://schemas.openxmlformats.org/officeDocument/2006/relationships/hyperlink" Target="https://www.facebook.com/GCBA/posts/pfbid034cMBPvEYHoNPJuLPYdvqvHwWddQVjVhrUZSfBwZtbsKxFZ1t9TibhaDTjQBLJRK6l" TargetMode="External"/><Relationship Id="rId2646" Type="http://schemas.openxmlformats.org/officeDocument/2006/relationships/hyperlink" Target="https://e5c9a.mailupclient.com/f/rnl.aspx/?jhe=vwvwwvrv/&amp;x=pv&amp;bdi=tzfd&amp;=suzn_/7f1-a=8e.dgcn&amp;&amp;x=pp&amp;u_9f1-a2&amp;.b/&amp;:d=rtq3usNCLM" TargetMode="External"/><Relationship Id="rId66" Type="http://schemas.openxmlformats.org/officeDocument/2006/relationships/hyperlink" Target="https://www.facebook.com/GCBA/posts/pfbid0EZuYZEPaUp9E2z1JrsYbAkqNnTe7N3MWavemYwQ7hP5Gd3vXiYjLjNyQtdTniXJvl" TargetMode="External"/><Relationship Id="rId1316" Type="http://schemas.openxmlformats.org/officeDocument/2006/relationships/hyperlink" Target="https://a2g9b4.emailsp.com/f/rnl.aspx/?fei=1wqvoxxy.9ek=vyad8=t3puty&amp;f2::=4ibeh..e--:5d6.451&amp;x=pp&amp;r1.&amp;x=pv&amp;49-6&amp;aax00l=ruqpyNCLM" TargetMode="External"/><Relationship Id="rId2647" Type="http://schemas.openxmlformats.org/officeDocument/2006/relationships/hyperlink" Target="https://a2g9b4.emailsp.com/f/rnl.aspx/?fei=1vvoo1vy.9ek=vyad8=t3tuty&amp;f2::=-l98i9di-10337&amp;x=pp&amp;yx0-2.e16.&amp;x=pv&amp;2b5g=quw_wNCLM" TargetMode="External"/><Relationship Id="rId65" Type="http://schemas.openxmlformats.org/officeDocument/2006/relationships/hyperlink" Target="https://e5c9a.mailupclient.com/f/rnl.aspx/?jhe=vwt_y1w_/&amp;x=pv&amp;bdi=tzfd&amp;=stxvv/7f1-a=&amp;x=pv&amp;n1&amp;j&amp;kc949&amp;25&amp;x=pp&amp;uy.-5-&amp;x=pv&amp;83dbzb4h=rq_rytNCLM" TargetMode="External"/><Relationship Id="rId1317" Type="http://schemas.openxmlformats.org/officeDocument/2006/relationships/hyperlink" Target="https://www.facebook.com/reel/1350977913533302" TargetMode="External"/><Relationship Id="rId2648" Type="http://schemas.openxmlformats.org/officeDocument/2006/relationships/hyperlink" Target="https://e5c9a.mailupclient.com/f/rnl.aspx/?jhe=vwt_y1w_/&amp;x=pv&amp;bdi=tzfd&amp;=suznw/7f1-a=&amp;x=pv&amp;n1&amp;j&amp;kc949&amp;25&amp;x=pp&amp;uy.-5-&amp;x=pv&amp;83dbzb4h=rrwnszNCLM" TargetMode="External"/><Relationship Id="rId68" Type="http://schemas.openxmlformats.org/officeDocument/2006/relationships/hyperlink" Target="https://www.facebook.com/GCBA/posts/pfbid0wCzGCBCFe9jgfyT7dbFZaip2zdRjrGtezs4bZuwAaL8AfRgDcWacHfQ7o6rKZBtXl" TargetMode="External"/><Relationship Id="rId1318" Type="http://schemas.openxmlformats.org/officeDocument/2006/relationships/hyperlink" Target="https://e5c9a.mailupclient.com/f/rnl.aspx/?jhe=vwvwwvrv/&amp;x=pv&amp;bdi=tzfd&amp;=st2uz/7f1-a=8e.dgcn&amp;&amp;x=pp&amp;u_9f1-a2&amp;.b/&amp;:d=rsxzt_NCLM" TargetMode="External"/><Relationship Id="rId2649" Type="http://schemas.openxmlformats.org/officeDocument/2006/relationships/hyperlink" Target="https://e5c9a.mailupclient.com/f/rnl.aspx/?jhe=vwt_y1w_/&amp;x=pv&amp;bdi=tzfd&amp;=suznx/7f1-a=&amp;x=pv&amp;n1&amp;j&amp;kc949&amp;25&amp;x=pp&amp;uy.-5-&amp;x=pv&amp;83dbzb4h=rrwnsvNCLM" TargetMode="External"/><Relationship Id="rId67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1319" Type="http://schemas.openxmlformats.org/officeDocument/2006/relationships/hyperlink" Target="https://www.facebook.com/GCBA/posts/pfbid02xaf6Djw5p7AiQMVgPdzN7Qd26gtAXWoT3g19yahRK6JtpwfNTa8wTtGpQorKypqYl" TargetMode="External"/><Relationship Id="rId729" Type="http://schemas.openxmlformats.org/officeDocument/2006/relationships/hyperlink" Target="https://www.facebook.com/GCBA/posts/pfbid02j9NjjKC7QJSSUrKxkX55nDiWFRmCpVKSS3w7J3VpQA3DakuvLQQ5B3z96orCNRMUl" TargetMode="External"/><Relationship Id="rId728" Type="http://schemas.openxmlformats.org/officeDocument/2006/relationships/hyperlink" Target="https://e5c9a.mailupclient.com/f/rnl.aspx/?jhe=1r_yq2o/a&amp;le=t/.l7=svv_t/9.99a=59ndi-a&amp;9g-7e:-49&amp;25&amp;x=pp&amp;uy.-5-&amp;x=pv&amp;83dbzb4h=rq1rruNCLM" TargetMode="External"/><Relationship Id="rId60" Type="http://schemas.openxmlformats.org/officeDocument/2006/relationships/hyperlink" Target="https://www.facebook.com/GCBA/posts/pfbid02FtZC9pHaY3uvY7n6cdxbhoNJixcrUDg8TXwTXrmbh2nzzcHA2y4ufthe4NuyJo2vl" TargetMode="External"/><Relationship Id="rId723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722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721" Type="http://schemas.openxmlformats.org/officeDocument/2006/relationships/hyperlink" Target="https://a2g9b4.emailsp.com/f/rnl.aspx/?fei=1wqvoxxy.9ek=vyad8=t3xwqy&amp;f2::=4ibeh..e--:5d6.451&amp;x=pp&amp;r1.&amp;x=pv&amp;49-6&amp;aax00l=rtrtxNCLM" TargetMode="External"/><Relationship Id="rId720" Type="http://schemas.openxmlformats.org/officeDocument/2006/relationships/hyperlink" Target="https://e5c9a.mailupclient.com/f/rnl.aspx/?jhe=vwvwwvrv/&amp;x=pv&amp;bdi=tzfd&amp;=st/su/7f1-a=8e.dgcn&amp;&amp;x=pp&amp;u_9f1-a2&amp;.b/&amp;:d=rswzwuNCLM" TargetMode="External"/><Relationship Id="rId727" Type="http://schemas.openxmlformats.org/officeDocument/2006/relationships/hyperlink" Target="https://e5c9a.mailupclient.com/f/rnl.aspx/?jhe=1r_yq2o/a&amp;le=t/.l7=svvzv/9.99a=59ndi-a&amp;9g-7e:-49&amp;25&amp;x=pp&amp;uy.-5-&amp;x=pv&amp;83dbzb4h=rq1qwtNCLM" TargetMode="External"/><Relationship Id="rId726" Type="http://schemas.openxmlformats.org/officeDocument/2006/relationships/hyperlink" Target="https://e5c9a.mailupclient.com/f/rnl.aspx/?jhe=1r_yq2o/a&amp;le=t/.l7=svvzs/9.99a=59ndi-a&amp;9g-7e:-49&amp;25&amp;x=pp&amp;uy.-5-&amp;x=pv&amp;83dbzb4h=rq1qvzNCLM" TargetMode="External"/><Relationship Id="rId725" Type="http://schemas.openxmlformats.org/officeDocument/2006/relationships/hyperlink" Target="https://a2g9b4.emailsp.com/f/rnl.aspx/?fei=1vvoo_2y.9ek=vyad8=t3xwty&amp;f2::=k702m1k6.451&amp;x=pp&amp;r1.&amp;x=pv&amp;49-6&amp;aax00l=rtrvtNCLM" TargetMode="External"/><Relationship Id="rId724" Type="http://schemas.openxmlformats.org/officeDocument/2006/relationships/hyperlink" Target="https://e5c9a.mailupclient.com/f/rnl.aspx/?jhe=vwt_y1w_/&amp;x=pv&amp;bdi=tzfd&amp;=st/ss/7f1-a=&amp;x=pv&amp;n1&amp;j&amp;kc949&amp;25&amp;x=pp&amp;uy.-5-&amp;x=pv&amp;83dbzb4h=rq1qztNCLM" TargetMode="External"/><Relationship Id="rId69" Type="http://schemas.openxmlformats.org/officeDocument/2006/relationships/hyperlink" Target="https://e5c9a.mailupclient.com/f/rnl.aspx/?jhe=vwurvxsx/&amp;x=pv&amp;bdi=tzfd&amp;=stywu/7f1-a=5k9hibg&amp;x=pv&amp;9a&amp;-c4&amp;501&amp;x=pp&amp;u_9f1-a2&amp;.b/&amp;:d=rsu_prNCLM" TargetMode="External"/><Relationship Id="rId1790" Type="http://schemas.openxmlformats.org/officeDocument/2006/relationships/hyperlink" Target="https://e5c9a.mailupclient.com/f/rnl.aspx/?jhe=vwt_y1w_/&amp;x=pv&amp;bdi=tzfd&amp;=suvqs/7f1-a=&amp;x=pv&amp;n1&amp;j&amp;kc949&amp;25&amp;x=pp&amp;uy.-5-&amp;x=pv&amp;83dbzb4h=rr3q_xNCLM" TargetMode="External"/><Relationship Id="rId1791" Type="http://schemas.openxmlformats.org/officeDocument/2006/relationships/hyperlink" Target="https://e5c9a.mailupclient.com/f/rnl.aspx/?jhe=vwt_y1w_/&amp;x=pv&amp;bdi=tzfd&amp;=suvqv/7f1-a=&amp;x=pv&amp;n1&amp;j&amp;kc949&amp;25&amp;x=pp&amp;uy.-5-&amp;x=pv&amp;83dbzb4h=rr3qvwNCLM" TargetMode="External"/><Relationship Id="rId1792" Type="http://schemas.openxmlformats.org/officeDocument/2006/relationships/hyperlink" Target="https://e5c9a.mailupclient.com/f/rnl.aspx/?jhe=vwt_y1w_/&amp;x=pv&amp;bdi=tzfd&amp;=suvqy/7f1-a=&amp;x=pv&amp;n1&amp;j&amp;kc949&amp;25&amp;x=pp&amp;uy.-5-&amp;x=pv&amp;83dbzb4h=rr3qvrNCLM" TargetMode="External"/><Relationship Id="rId1793" Type="http://schemas.openxmlformats.org/officeDocument/2006/relationships/hyperlink" Target="https://a2g9b4.emailsp.com/f/rnl.aspx/?fei=1vvoo1vy.9ek=vyad8=t3qsty&amp;f2::=-l98i9di-10337&amp;x=pp&amp;yx0-2.e16.&amp;x=pv&amp;2b5g=qt1wrNCLM" TargetMode="External"/><Relationship Id="rId2640" Type="http://schemas.openxmlformats.org/officeDocument/2006/relationships/hyperlink" Target="https://e5c9a.mailupclient.com/f/rnl.aspx/?jhe=vwurvxsx/&amp;x=pv&amp;bdi=tzfd&amp;=suyvw/7f1-a=5k9hibg&amp;x=pv&amp;9a&amp;-c4&amp;501&amp;x=pp&amp;u_9f1-a2&amp;.b/&amp;:d=rtq3otNCLM" TargetMode="External"/><Relationship Id="rId1310" Type="http://schemas.openxmlformats.org/officeDocument/2006/relationships/hyperlink" Target="https://a2g9b4.emailsp.com/f/rnl.aspx/?fei=1vvoo1vy.9ek=vyad8=t3pvwy&amp;f2::=-l98i9di-10337&amp;x=pp&amp;yx0-2.e16.&amp;x=pv&amp;2b5g=qswyuNCLM" TargetMode="External"/><Relationship Id="rId1794" Type="http://schemas.openxmlformats.org/officeDocument/2006/relationships/hyperlink" Target="https://e5c9a.mailupclient.com/f/rnl.aspx/?jhe=vwt_y1w_/&amp;x=pv&amp;bdi=tzfd&amp;=suvou/7f1-a=&amp;x=pv&amp;n1&amp;j&amp;kc949&amp;25&amp;x=pp&amp;uy.-5-&amp;x=pv&amp;83dbzb4h=rr3otzNCLM" TargetMode="External"/><Relationship Id="rId2641" Type="http://schemas.openxmlformats.org/officeDocument/2006/relationships/hyperlink" Target="https://e5c9a.mailupclient.com/f/rnl.aspx/?jhe=vwurvxsx/&amp;x=pv&amp;bdi=tzfd&amp;=suzns/7f1-a=5k9hibg&amp;x=pv&amp;9a&amp;-c4&amp;501&amp;x=pp&amp;u_9f1-a2&amp;.b/&amp;:d=rtq3uuNCLM" TargetMode="External"/><Relationship Id="rId1311" Type="http://schemas.openxmlformats.org/officeDocument/2006/relationships/hyperlink" Target="https://www.facebook.com/GCBA/posts/pfbid0TFbqgySZ7tM6zHoz3vL7GnY377zSSMfbQPLeqBDa61d2jaEraZemv4xwwziqXPDBl" TargetMode="External"/><Relationship Id="rId1795" Type="http://schemas.openxmlformats.org/officeDocument/2006/relationships/hyperlink" Target="https://e5c9a.mailupclient.com/f/rnl.aspx/?jhe=vwt_y1w_/&amp;x=pv&amp;bdi=tzfd&amp;=suvou/7f1-a=&amp;x=pv&amp;n1&amp;j&amp;kc949&amp;25&amp;x=pp&amp;uy.-5-&amp;x=pv&amp;83dbzb4h=rr3otzNCLM" TargetMode="External"/><Relationship Id="rId2642" Type="http://schemas.openxmlformats.org/officeDocument/2006/relationships/hyperlink" Target="https://a2g9b4.emailsp.com/f/rnl.aspx/?fei=2orws1vy.9ek=vyad8=t3tvpy&amp;f2::=7chafagb&amp;x=pp&amp;yx0-2.e16.&amp;x=pv&amp;2b5g=quwxuNCLM" TargetMode="External"/><Relationship Id="rId51" Type="http://schemas.openxmlformats.org/officeDocument/2006/relationships/hyperlink" Target="https://e5c9a.mailupclient.com/f/rnl.aspx/?jhe=1r_yq2o/a&amp;le=t/.l7=svr/q/9.99a=59ndi-a&amp;9g-7e:-49&amp;25&amp;x=pp&amp;uy.-5-&amp;x=pv&amp;83dbzb4h=rq_qwyNCLM" TargetMode="External"/><Relationship Id="rId1301" Type="http://schemas.openxmlformats.org/officeDocument/2006/relationships/hyperlink" Target="https://www.facebook.com/reel/1353968750115839" TargetMode="External"/><Relationship Id="rId1785" Type="http://schemas.openxmlformats.org/officeDocument/2006/relationships/hyperlink" Target="https://e5c9a.mailupclient.com/f/rnl.aspx/?jhe=vwvwwvrv/&amp;x=pv&amp;bdi=tzfd&amp;=suvrx/7f1-a=8e.dgcn&amp;&amp;x=pp&amp;u_9f1-a2&amp;.b/&amp;:d=rtyxv_NCLM" TargetMode="External"/><Relationship Id="rId2632" Type="http://schemas.openxmlformats.org/officeDocument/2006/relationships/hyperlink" Target="https://a2g9b4.emailsp.com/f/rnl.aspx/?fei=2orws1vy.9ek=vyad8=t3ttny&amp;f2::=7chafagb&amp;x=pp&amp;yx0-2.e16.&amp;x=pv&amp;2b5g=quwxqNCLM" TargetMode="External"/><Relationship Id="rId50" Type="http://schemas.openxmlformats.org/officeDocument/2006/relationships/hyperlink" Target="https://www.facebook.com/GCBA/posts/pfbid034HvszMyVGzDQC8RB3DQvbXndubo9cN1r2YzCZaVVC9ECLZ4Fpoq4Tg43sLqA7MtEl" TargetMode="External"/><Relationship Id="rId1302" Type="http://schemas.openxmlformats.org/officeDocument/2006/relationships/hyperlink" Target="https://a2g9b4.emailsp.com/f/rnl.aspx/?fei=1wqvoxxy.9ek=vyad8=t3ptuy&amp;f2::=4ibeh..e--:5d6.451&amp;x=pp&amp;r1.&amp;x=pv&amp;49-6&amp;aax00l=rupwwNCLM" TargetMode="External"/><Relationship Id="rId1786" Type="http://schemas.openxmlformats.org/officeDocument/2006/relationships/hyperlink" Target="https://www.facebook.com/GCBA/posts/pfbid033kEjE9yaGrFdxuHniPNcM7sGu1ettWqv5TxYnj5GWzq8VFtkgjaXQMhw3oghr4Rdl" TargetMode="External"/><Relationship Id="rId2633" Type="http://schemas.openxmlformats.org/officeDocument/2006/relationships/hyperlink" Target="https://a2g9b4.emailsp.com/f/rnl.aspx/?fei=2orws1vy.9ek=vyad8=t3tvpy&amp;f2::=7chafagb&amp;x=pp&amp;yx0-2.e16.&amp;x=pv&amp;2b5g=quwxuNCLM" TargetMode="External"/><Relationship Id="rId53" Type="http://schemas.openxmlformats.org/officeDocument/2006/relationships/hyperlink" Target="https://a2g9b4.emailsp.com/f/rnl.aspx/?fei=1wqvoxxy.9ek=vyad8=/2qux6d90.=3d.lfc&amp;x=pv&amp;.&amp;e08c1-&amp;34&amp;x=pp&amp;qx-f2::19h&amp;x=pv&amp;_95j=yqxttNCLM" TargetMode="External"/><Relationship Id="rId1303" Type="http://schemas.openxmlformats.org/officeDocument/2006/relationships/hyperlink" Target="https://www.facebook.com/GCBA/posts/pfbid01L76cr1GFgMjnBYwa2YERxXudh7NLiPCs8j3JwDFjDWdmZV6R8F8zvBUV3AzK6hMl" TargetMode="External"/><Relationship Id="rId1787" Type="http://schemas.openxmlformats.org/officeDocument/2006/relationships/hyperlink" Target="https://e5c9a.mailupclient.com/f/rnl.aspx/?jhe=vwvwwvrv/&amp;x=pv&amp;bdi=tzfd&amp;=suvsw/7f1-a=8e.dgcn&amp;&amp;x=pp&amp;u_9f1-a2&amp;.b/&amp;:d=rtyyqyNCLM" TargetMode="External"/><Relationship Id="rId2634" Type="http://schemas.openxmlformats.org/officeDocument/2006/relationships/hyperlink" Target="https://a2g9b4.emailsp.com/f/rnl.aspx/?fei=2orws1vy.9ek=vyad8=t3tvpy&amp;f2::=7chafagb&amp;x=pp&amp;yx0-2.e16.&amp;x=pv&amp;2b5g=quwxuNCLM" TargetMode="External"/><Relationship Id="rId52" Type="http://schemas.openxmlformats.org/officeDocument/2006/relationships/hyperlink" Target="https://www.facebook.com/GCBA/posts/pfbid0FrvDSmE2CnXkRJWpi44x5VHGBrGc8KWwM7HbCh2aN4vEBMtwAkWcTuBQUya55HaKl" TargetMode="External"/><Relationship Id="rId1304" Type="http://schemas.openxmlformats.org/officeDocument/2006/relationships/hyperlink" Target="https://a2g9b4.emailsp.com/f/rnl.aspx/?fei=2orws1vy.9ek=vyad8=t3psoy&amp;f2::=7chafagb&amp;x=pp&amp;yx0-2.e16.&amp;x=pv&amp;2b5g=qsv1sNCLM" TargetMode="External"/><Relationship Id="rId1788" Type="http://schemas.openxmlformats.org/officeDocument/2006/relationships/hyperlink" Target="https://www.facebook.com/GCBA/posts/pfbid02YqCxszGQER7gereM4ViB14xmZazWkNprFWcAsBzNXzW8JyUUYZjtfcSfzQvqcjD7l" TargetMode="External"/><Relationship Id="rId2635" Type="http://schemas.openxmlformats.org/officeDocument/2006/relationships/hyperlink" Target="https://a2g9b4.emailsp.com/f/rnl.aspx/?fei=1vvoo_2y.9ek=vyad8=t3ttuy&amp;f2::=k702m1k6.451&amp;x=pp&amp;r1.&amp;x=pv&amp;49-6&amp;aax00l=rwpq_NCLM" TargetMode="External"/><Relationship Id="rId55" Type="http://schemas.openxmlformats.org/officeDocument/2006/relationships/hyperlink" Target="https://e5c9a.mailupclient.com/f/rnl.aspx/?jhe=vwt_y1w_/&amp;x=pv&amp;bdi=tzfd&amp;=stxuv/7f1-a=&amp;x=pv&amp;n1&amp;j&amp;kc949&amp;25&amp;x=pp&amp;uy.-5-&amp;x=pv&amp;83dbzb4h=rq_rttNCLM" TargetMode="External"/><Relationship Id="rId1305" Type="http://schemas.openxmlformats.org/officeDocument/2006/relationships/hyperlink" Target="https://www.facebook.com/GCBA/posts/pfbid02EfrkKXQLKfdqLtRG3DCjjGxiCuN64Tt4Zawp3Qz57rFstXmisSxEvkCGrbAuwphZl" TargetMode="External"/><Relationship Id="rId1789" Type="http://schemas.openxmlformats.org/officeDocument/2006/relationships/hyperlink" Target="https://a2g9b4.emailsp.com/f/rnl.aspx/?fei=1vvoo1vy.9ek=vyad8=t3qvny&amp;f2::=-l98i9di-10337&amp;x=pp&amp;yx0-2.e16.&amp;x=pv&amp;2b5g=qs/1uNCLM" TargetMode="External"/><Relationship Id="rId2636" Type="http://schemas.openxmlformats.org/officeDocument/2006/relationships/hyperlink" Target="https://a2g9b4.emailsp.com/f/rnl.aspx/?fei=1uwuq_vy.9ek=vyad8=t3trwy&amp;f2::=2-neh9.9bd:5-cb10337&amp;x=pp&amp;yx0-2.e16.&amp;x=pv&amp;2b5g=quuxoNCLM" TargetMode="External"/><Relationship Id="rId54" Type="http://schemas.openxmlformats.org/officeDocument/2006/relationships/hyperlink" Target="https://www.facebook.com/GCBA/posts/pfbid02omoyBbDLctmMuYv8i2KuH2ZqSPYxgk7WSPFFUepk4GQFFATn4MnrVCdXqxXpCugpl" TargetMode="External"/><Relationship Id="rId1306" Type="http://schemas.openxmlformats.org/officeDocument/2006/relationships/hyperlink" Target="https://e5c9a.mailupclient.com/f/rnl.aspx/?jhe=vwvwwvrv/&amp;x=pv&amp;bdi=tzfd&amp;=st2ux/7f1-a=8e.dgcn&amp;&amp;x=pp&amp;u_9f1-a2&amp;.b/&amp;:d=rsxzstNCLM" TargetMode="External"/><Relationship Id="rId2637" Type="http://schemas.openxmlformats.org/officeDocument/2006/relationships/hyperlink" Target="https://e5c9a.mailupclient.com/f/rnl.aspx/?jhe=1r_yq2o/a&amp;le=t/.l7=swt3w/9.99a=59ndi-a&amp;9g-7e:-49&amp;25&amp;x=pp&amp;uy.-5-&amp;x=pv&amp;83dbzb4h=rrwwtzNCLM" TargetMode="External"/><Relationship Id="rId57" Type="http://schemas.openxmlformats.org/officeDocument/2006/relationships/hyperlink" Target="https://e5c9a.mailupclient.com/f/rnl.aspx/?jhe=vwt_y1w_/&amp;x=pv&amp;bdi=tzfd&amp;=stxvr/7f1-a=&amp;x=pv&amp;n1&amp;j&amp;kc949&amp;25&amp;x=pp&amp;uy.-5-&amp;x=pv&amp;83dbzb4h=rq_rvwNCLM" TargetMode="External"/><Relationship Id="rId1307" Type="http://schemas.openxmlformats.org/officeDocument/2006/relationships/hyperlink" Target="https://www.facebook.com/GCBA/posts/pfbid0b4iNwqqUvd7F2M6U3W1Z3ZRhXQk3Fbxfforwy1qj6ogdFrWrUMFCXe4GBue93wZml" TargetMode="External"/><Relationship Id="rId2638" Type="http://schemas.openxmlformats.org/officeDocument/2006/relationships/hyperlink" Target="https://e5c9a.mailupclient.com/f/rnl.aspx/?jhe=1r_yq2o/a&amp;le=t/.l7=swt3n/9.99a=59ndi-a&amp;9g-7e:-49&amp;25&amp;x=pp&amp;uy.-5-&amp;x=pv&amp;83dbzb4h=rrwwu_NCLM" TargetMode="External"/><Relationship Id="rId56" Type="http://schemas.openxmlformats.org/officeDocument/2006/relationships/hyperlink" Target="https://www.facebook.com/GCBA/posts/pfbid0yWeSX1bsaW2dRrtzopPUzChnPGxhVtvHWV3pig8BfR2n7CqSCm7Bj67Nb5HYTPqNl" TargetMode="External"/><Relationship Id="rId1308" Type="http://schemas.openxmlformats.org/officeDocument/2006/relationships/hyperlink" Target="https://e5c9a.mailupclient.com/f/rnl.aspx/?jhe=vwvwwvrv/&amp;x=pv&amp;bdi=tzfd&amp;=st2uy/7f1-a=8e.dgcn&amp;&amp;x=pp&amp;u_9f1-a2&amp;.b/&amp;:d=rsxzsxNCLM" TargetMode="External"/><Relationship Id="rId2639" Type="http://schemas.openxmlformats.org/officeDocument/2006/relationships/hyperlink" Target="https://e5c9a.mailupclient.com/f/rnl.aspx/?jhe=1r_yq2o/a&amp;le=t/.l7=swt3u/9.99a=59ndi-a&amp;9g-7e:-49&amp;25&amp;x=pp&amp;uy.-5-&amp;x=pv&amp;83dbzb4h=rrwwwrNCLM" TargetMode="External"/><Relationship Id="rId1309" Type="http://schemas.openxmlformats.org/officeDocument/2006/relationships/hyperlink" Target="https://www.facebook.com/GCBA/posts/pfbid035r6fbNBAi52eKsDsVtmyhQLJ3Cu3r4ZCzv3cR1rgDe4qh5J7wz3SSNRgSj8BTNmAl" TargetMode="External"/><Relationship Id="rId719" Type="http://schemas.openxmlformats.org/officeDocument/2006/relationships/hyperlink" Target="https://a2g9b4.emailsp.com/f/rnl.aspx/?fei=2orws1vy.9ek=vyad8=t3xwny&amp;f2::=7chafagb&amp;x=pp&amp;yx0-2.e16.&amp;x=pv&amp;2b5g=qrx/vNCLM" TargetMode="External"/><Relationship Id="rId718" Type="http://schemas.openxmlformats.org/officeDocument/2006/relationships/hyperlink" Target="https://a2g9b4.emailsp.com/f/rnl.aspx/?fei=1wqvoxxy.9ek=vyad8=t3xwwy&amp;f2::=4ibeh..e--:5d6.451&amp;x=pp&amp;r1.&amp;x=pv&amp;49-6&amp;aax00l=rtrqxNCLM" TargetMode="External"/><Relationship Id="rId717" Type="http://schemas.openxmlformats.org/officeDocument/2006/relationships/hyperlink" Target="https://e5c9a.mailupclient.com/f/rnl.aspx/?jhe=vwurvxsx/&amp;x=pv&amp;bdi=tzfd&amp;=st/s_/7f1-a=5k9hibg&amp;x=pv&amp;9a&amp;-c4&amp;501&amp;x=pp&amp;u_9f1-a2&amp;.b/&amp;:d=rswytyNCLM" TargetMode="External"/><Relationship Id="rId712" Type="http://schemas.openxmlformats.org/officeDocument/2006/relationships/hyperlink" Target="https://e5c9a.mailupclient.com/f/rnl.aspx/?jhe=vwszuxsy/&amp;x=pv&amp;bdi=tzfd&amp;=st/r_/7f1-a=l925n3r/&amp;749&amp;x=pp&amp;q_&amp;.99a45h-/-6l=nsys/tNCLM" TargetMode="External"/><Relationship Id="rId711" Type="http://schemas.openxmlformats.org/officeDocument/2006/relationships/hyperlink" Target="https://a2g9b4.emailsp.com/f/rnl.aspx/?fei=1vvoo_2y.9ek=vyad8=t3xwsy&amp;f2::=k702m1k6.451&amp;x=pp&amp;r1.&amp;x=pv&amp;49-6&amp;aax00l=rtrtvNCLM" TargetMode="External"/><Relationship Id="rId710" Type="http://schemas.openxmlformats.org/officeDocument/2006/relationships/hyperlink" Target="https://a2g9b4.emailsp.com/f/rnl.aspx/?fei=2orws1vy.9ek=vyad8=t3xvvy&amp;f2::=7chafagb&amp;x=pp&amp;yx0-2.e16.&amp;x=pv&amp;2b5g=qrxzvNCLM" TargetMode="External"/><Relationship Id="rId716" Type="http://schemas.openxmlformats.org/officeDocument/2006/relationships/hyperlink" Target="https://e5c9a.mailupclient.com/f/rnl.aspx/?jhe=vwurvxsx/&amp;x=pv&amp;bdi=tzfd&amp;=st/qy/7f1-a=5k9hibg&amp;x=pv&amp;9a&amp;-c4&amp;501&amp;x=pp&amp;u_9f1-a2&amp;.b/&amp;:d=rswynwNCLM" TargetMode="External"/><Relationship Id="rId715" Type="http://schemas.openxmlformats.org/officeDocument/2006/relationships/hyperlink" Target="https://a2g9b4.emailsp.com/f/rnl.aspx/?fei=1wqvoxxy.9ek=vyad8=t3xvny&amp;f2::=4ibeh..e--:5d6.451&amp;x=pp&amp;r1.&amp;x=pv&amp;49-6&amp;aax00l=rtqwuNCLM" TargetMode="External"/><Relationship Id="rId714" Type="http://schemas.openxmlformats.org/officeDocument/2006/relationships/hyperlink" Target="https://e5c9a.mailupclient.com/f/rnl.aspx/?jhe=vwurvxsx/&amp;x=pv&amp;bdi=tzfd&amp;=st/st/7f1-a=5k9hibg&amp;x=pv&amp;9a&amp;-c4&amp;501&amp;x=pp&amp;u_9f1-a2&amp;.b/&amp;:d=rswyvxNCLM" TargetMode="External"/><Relationship Id="rId713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59" Type="http://schemas.openxmlformats.org/officeDocument/2006/relationships/hyperlink" Target="https://e5c9a.mailupclient.com/f/rnl.aspx/?jhe=vwt_y1w_/&amp;x=pv&amp;bdi=tzfd&amp;=stxu_/7f1-a=&amp;x=pv&amp;n1&amp;j&amp;kc949&amp;25&amp;x=pp&amp;uy.-5-&amp;x=pv&amp;83dbzb4h=rq_rvuNCLM" TargetMode="External"/><Relationship Id="rId58" Type="http://schemas.openxmlformats.org/officeDocument/2006/relationships/hyperlink" Target="https://www.facebook.com/GCBA/posts/pfbid0wBE3qhjLQFrZK54WssaRWJwULj1eXjd6RQKN1Mpe9UP6BesDc1V8H8uiwTvdAnV9l" TargetMode="External"/><Relationship Id="rId1780" Type="http://schemas.openxmlformats.org/officeDocument/2006/relationships/hyperlink" Target="https://www.facebook.com/reel/1458725662138823/" TargetMode="External"/><Relationship Id="rId1781" Type="http://schemas.openxmlformats.org/officeDocument/2006/relationships/hyperlink" Target="https://a2g9b4.emailsp.com/f/rnl.aspx/?fei=2orws1vy.9ek=vyad8=t3qvry&amp;f2::=7chafagb&amp;x=pp&amp;yx0-2.e16.&amp;x=pv&amp;2b5g=qs/2sNCLM" TargetMode="External"/><Relationship Id="rId1782" Type="http://schemas.openxmlformats.org/officeDocument/2006/relationships/hyperlink" Target="https://www.facebook.com/reel/1458725662138823/" TargetMode="External"/><Relationship Id="rId1783" Type="http://schemas.openxmlformats.org/officeDocument/2006/relationships/hyperlink" Target="https://e5c9a.mailupclient.com/f/rnl.aspx/?jhe=vwvwwvrv/&amp;x=pv&amp;bdi=tzfd&amp;=suvrx/7f1-a=8e.dgcn&amp;&amp;x=pp&amp;u_9f1-a2&amp;.b/&amp;:d=rtyxv_NCLM" TargetMode="External"/><Relationship Id="rId2630" Type="http://schemas.openxmlformats.org/officeDocument/2006/relationships/hyperlink" Target="https://a2g9b4.emailsp.com/f/rnl.aspx/?fei=1wqvoxxy.9ek=vyad8=t3tsty&amp;f2::=4ibeh..e--:5d6.451&amp;x=pp&amp;r1.&amp;x=pv&amp;49-6&amp;aax00l=rwpo1NCLM" TargetMode="External"/><Relationship Id="rId1300" Type="http://schemas.openxmlformats.org/officeDocument/2006/relationships/hyperlink" Target="https://e5c9a.mailupclient.com/f/rnl.aspx/?jhe=vwurvxsx/&amp;x=pv&amp;bdi=tzfd&amp;=st2tt/7f1-a=5k9hibg&amp;x=pv&amp;9a&amp;-c4&amp;501&amp;x=pp&amp;u_9f1-a2&amp;.b/&amp;:d=rsxzwzNCLM" TargetMode="External"/><Relationship Id="rId1784" Type="http://schemas.openxmlformats.org/officeDocument/2006/relationships/hyperlink" Target="https://www.facebook.com/reel/1458725662138823/" TargetMode="External"/><Relationship Id="rId2631" Type="http://schemas.openxmlformats.org/officeDocument/2006/relationships/hyperlink" Target="https://e5c9a.mailupclient.com/f/rnl.aspx/?jhe=vwurvxsx/&amp;x=pv&amp;bdi=tzfd&amp;=suyvy/7f1-a=5k9hibg&amp;x=pv&amp;9a&amp;-c4&amp;501&amp;x=pp&amp;u_9f1-a2&amp;.b/&amp;:d=rtq3puNCLM" TargetMode="External"/><Relationship Id="rId2269" Type="http://schemas.openxmlformats.org/officeDocument/2006/relationships/hyperlink" Target="https://a2g9b4.emailsp.com/f/rnl.aspx/?fei=1vvoo_2y.9ek=vyad8=t3rxry&amp;f2::=k702m1k6.451&amp;x=pp&amp;r1.&amp;x=pv&amp;49-6&amp;aax00l=rvrowNCLM" TargetMode="External"/><Relationship Id="rId349" Type="http://schemas.openxmlformats.org/officeDocument/2006/relationships/hyperlink" Target="https://www.facebook.com/GCBA/posts/pfbid0EZuYZEPaUp9E2z1JrsYbAkqNnTe7N3MWavemYwQ7hP5Gd3vXiYjLjNyQtdTniXJvl" TargetMode="External"/><Relationship Id="rId348" Type="http://schemas.openxmlformats.org/officeDocument/2006/relationships/hyperlink" Target="https://e5c9a.mailupclient.com/f/rnl.aspx/?jhe=1r_yq2o/a&amp;le=t/.l7=svs1p/9.99a=59ndi-a&amp;9g-7e:-49&amp;25&amp;x=pp&amp;uy.-5-&amp;x=pv&amp;83dbzb4h=rq/osxNCLM" TargetMode="External"/><Relationship Id="rId347" Type="http://schemas.openxmlformats.org/officeDocument/2006/relationships/hyperlink" Target="https://www.facebook.com/GCBA/posts/pfbid02dx5PKW9dhfnoR52qjj3Cxnq9opfoRmH6HwTJx9uacynmmZet5vn1FL6Xavv3J8ZXl" TargetMode="External"/><Relationship Id="rId346" Type="http://schemas.openxmlformats.org/officeDocument/2006/relationships/hyperlink" Target="https://a2g9b4.emailsp.com/f/rnl.aspx/?fei=1wqvoxxy.9ek=vyad8=/2rwx6d90.=3d.lfc&amp;x=pv&amp;.&amp;e08c1-&amp;34&amp;x=pp&amp;qx-f2::19h&amp;x=pv&amp;_95j=yqyqqNCLM" TargetMode="External"/><Relationship Id="rId2260" Type="http://schemas.openxmlformats.org/officeDocument/2006/relationships/hyperlink" Target="http://facebook.com/reel/1023934959977410/" TargetMode="External"/><Relationship Id="rId341" Type="http://schemas.openxmlformats.org/officeDocument/2006/relationships/hyperlink" Target="https://www.facebook.com/GCBA/posts/pfbid0tstzqenYSpgrHsNAJBK27a17SRX9msyRZKWdU3KqkYKtHCpMz2UsbucJ4wCX6SLal" TargetMode="External"/><Relationship Id="rId2261" Type="http://schemas.openxmlformats.org/officeDocument/2006/relationships/hyperlink" Target="https://e5c9a.mailupclient.com/f/rnl.aspx/?jhe=vwt_y1w_/&amp;x=pv&amp;bdi=tzfd&amp;=suwuz/7f1-a=&amp;x=pv&amp;n1&amp;j&amp;kc949&amp;25&amp;x=pp&amp;uy.-5-&amp;x=pv&amp;83dbzb4h=rrvntwNCLM" TargetMode="External"/><Relationship Id="rId340" Type="http://schemas.openxmlformats.org/officeDocument/2006/relationships/hyperlink" Target="https://e5c9a.mailupclient.com/f/rnl.aspx/?jhe=vwt_y1w_/&amp;x=pv&amp;bdi=tzfd&amp;=stzoy/7f1-a=&amp;x=pv&amp;n1&amp;j&amp;kc949&amp;25&amp;x=pp&amp;uy.-5-&amp;x=pv&amp;83dbzb4h=rq/purNCLM" TargetMode="External"/><Relationship Id="rId2262" Type="http://schemas.openxmlformats.org/officeDocument/2006/relationships/hyperlink" Target="https://www.facebook.com/GCBA/posts/pfbid09t4eBXvmBvMhaY6ZDfZBBJcTJy8a2tQ9AGN9TfUiSexR55gisERziVp2BXK5HpeXl" TargetMode="External"/><Relationship Id="rId2263" Type="http://schemas.openxmlformats.org/officeDocument/2006/relationships/hyperlink" Target="https://e5c9a.mailupclient.com/f/rnl.aspx/?jhe=vwt_y1w_/&amp;x=pv&amp;bdi=tzfd&amp;=suwux/7f1-a=&amp;x=pv&amp;n1&amp;j&amp;kc949&amp;25&amp;x=pp&amp;uy.-5-&amp;x=pv&amp;83dbzb4h=rrvnvsNCLM" TargetMode="External"/><Relationship Id="rId2264" Type="http://schemas.openxmlformats.org/officeDocument/2006/relationships/hyperlink" Target="https://www.facebook.com/reel/1259490412867632" TargetMode="External"/><Relationship Id="rId345" Type="http://schemas.openxmlformats.org/officeDocument/2006/relationships/hyperlink" Target="https://www.facebook.com/GCBA/posts/pfbid02QwxLwyKnw9PCTX9BXhgSSH5hJ3u56noy7igZq9orxmSsVPqjj4MMUZ5SD9xXWWQ3l" TargetMode="External"/><Relationship Id="rId2265" Type="http://schemas.openxmlformats.org/officeDocument/2006/relationships/hyperlink" Target="https://e5c9a.mailupclient.com/f/rnl.aspx/?jhe=vwt_y1w_/&amp;x=pv&amp;bdi=tzfd&amp;=suwtz/7f1-a=&amp;x=pv&amp;n1&amp;j&amp;kc949&amp;25&amp;x=pp&amp;uy.-5-&amp;x=pv&amp;83dbzb4h=rrvntxNCLM" TargetMode="External"/><Relationship Id="rId344" Type="http://schemas.openxmlformats.org/officeDocument/2006/relationships/hyperlink" Target="https://e5c9a.mailupclient.com/f/rnl.aspx/?jhe=vwt_ywsx/&amp;x=pv&amp;bdi=tzfd&amp;=stxo_/7f1-a=i9:9c.9cg52.365&amp;x=pp&amp;s37b5&amp;e/7d.498h=pwsrzxNCLM" TargetMode="External"/><Relationship Id="rId2266" Type="http://schemas.openxmlformats.org/officeDocument/2006/relationships/hyperlink" Target="https://www.facebook.com/reel/1259490412867632" TargetMode="External"/><Relationship Id="rId343" Type="http://schemas.openxmlformats.org/officeDocument/2006/relationships/hyperlink" Target="https://www.facebook.com/GCBA/posts/pfbid02QwxLwyKnw9PCTX9BXhgSSH5hJ3u56noy7igZq9orxmSsVPqjj4MMUZ5SD9xXWWQ3l" TargetMode="External"/><Relationship Id="rId2267" Type="http://schemas.openxmlformats.org/officeDocument/2006/relationships/hyperlink" Target="https://e5c9a.mailupclient.com/f/rnl.aspx/?jhe=vwt_y1w_/&amp;x=pv&amp;bdi=tzfd&amp;=suxwy/7f1-a=&amp;x=pv&amp;n1&amp;j&amp;kc949&amp;25&amp;x=pp&amp;uy.-5-&amp;x=pv&amp;83dbzb4h=rrvnwyNCLM" TargetMode="External"/><Relationship Id="rId342" Type="http://schemas.openxmlformats.org/officeDocument/2006/relationships/hyperlink" Target="https://e5c9a.mailupclient.com/f/rnl.aspx/?jhe=vwurvxsx/&amp;x=pv&amp;bdi=tzfd&amp;=stznx/7f1-a=5k9hibg&amp;x=pv&amp;9a&amp;-c4&amp;501&amp;x=pp&amp;u_9f1-a2&amp;.b/&amp;:d=rsvxozNCLM" TargetMode="External"/><Relationship Id="rId2268" Type="http://schemas.openxmlformats.org/officeDocument/2006/relationships/hyperlink" Target="http://facebook.com/reel/1634422507650526/" TargetMode="External"/><Relationship Id="rId2258" Type="http://schemas.openxmlformats.org/officeDocument/2006/relationships/hyperlink" Target="https://www.facebook.com/reel/1333766678147057" TargetMode="External"/><Relationship Id="rId2259" Type="http://schemas.openxmlformats.org/officeDocument/2006/relationships/hyperlink" Target="https://e5c9a.mailupclient.com/f/rnl.aspx/?jhe=vwt_y1w_/&amp;x=pv&amp;bdi=tzfd&amp;=suwur/7f1-a=&amp;x=pv&amp;n1&amp;j&amp;kc949&amp;25&amp;x=pp&amp;uy.-5-&amp;x=pv&amp;83dbzb4h=rrvntuNCLM" TargetMode="External"/><Relationship Id="rId338" Type="http://schemas.openxmlformats.org/officeDocument/2006/relationships/hyperlink" Target="https://e5c9a.mailupclient.com/f/rnl.aspx/?jhe=vwurvxsx/&amp;x=pv&amp;bdi=tzfd&amp;=stxsz/7f1-a=5k9hibg&amp;x=pv&amp;9a&amp;-c4&amp;501&amp;x=pp&amp;u_9f1-a2&amp;.b/&amp;:d=rsvxrwNCLM" TargetMode="External"/><Relationship Id="rId337" Type="http://schemas.openxmlformats.org/officeDocument/2006/relationships/hyperlink" Target="https://www.facebook.com/GCBA/posts/pfbid02MHtzFur7T6A9gkPCWcCKA5S9do1hMkbdiz1vi1SFNaGtEwvHELnpkU3EVbhXU9yol" TargetMode="External"/><Relationship Id="rId336" Type="http://schemas.openxmlformats.org/officeDocument/2006/relationships/hyperlink" Target="https://e5c9a.mailupclient.com/f/rnl.aspx/?jhe=vwt_y1w_/&amp;x=pv&amp;bdi=tzfd&amp;=stzoz/7f1-a=&amp;x=pv&amp;n1&amp;j&amp;kc949&amp;25&amp;x=pp&amp;uy.-5-&amp;x=pv&amp;83dbzb4h=rq/pvvNCLM" TargetMode="External"/><Relationship Id="rId335" Type="http://schemas.openxmlformats.org/officeDocument/2006/relationships/hyperlink" Target="https://www.facebook.com/GCBA/posts/pfbid02a5DRJPMBPPuCuSQYUa6NuAdUWgrRPn2uV9tMt7gH5jZs2nTCt69KXPzZR2qMJ92kl" TargetMode="External"/><Relationship Id="rId339" Type="http://schemas.openxmlformats.org/officeDocument/2006/relationships/hyperlink" Target="https://www.facebook.com/GCBA/posts/pfbid0tstzqenYSpgrHsNAJBK27a17SRX9msyRZKWdU3KqkYKtHCpMz2UsbucJ4wCX6SLal" TargetMode="External"/><Relationship Id="rId330" Type="http://schemas.openxmlformats.org/officeDocument/2006/relationships/hyperlink" Target="https://e5c9a.mailupclient.com/f/rnl.aspx/?jhe=vwt_y1w_/&amp;x=pv&amp;bdi=tzfd&amp;=styvs/7f1-a=&amp;x=pv&amp;n1&amp;j&amp;kc949&amp;25&amp;x=pp&amp;uy.-5-&amp;x=pv&amp;83dbzb4h=rq/nsyNCLM" TargetMode="External"/><Relationship Id="rId2250" Type="http://schemas.openxmlformats.org/officeDocument/2006/relationships/hyperlink" Target="https://www.facebook.com/reel/1739191770421854/" TargetMode="External"/><Relationship Id="rId2251" Type="http://schemas.openxmlformats.org/officeDocument/2006/relationships/hyperlink" Target="http://pieza/" TargetMode="External"/><Relationship Id="rId2252" Type="http://schemas.openxmlformats.org/officeDocument/2006/relationships/hyperlink" Target="https://www.facebook.com/reel/1739191770421854/" TargetMode="External"/><Relationship Id="rId2253" Type="http://schemas.openxmlformats.org/officeDocument/2006/relationships/hyperlink" Target="https://a2g9b4.emailsp.com/f/rnl.aspx/?fei=2orws1vy.9ek=vyad8=t3rtqy&amp;f2::=7chafagb&amp;x=pp&amp;yx0-2.e16.&amp;x=pv&amp;2b5g=qty3vNCLM" TargetMode="External"/><Relationship Id="rId334" Type="http://schemas.openxmlformats.org/officeDocument/2006/relationships/hyperlink" Target="https://e5c9a.mailupclient.com/f/rnl.aspx/?jhe=vwt_y1w_/&amp;x=pv&amp;bdi=tzfd&amp;=stzow/7f1-a=&amp;x=pv&amp;n1&amp;j&amp;kc949&amp;25&amp;x=pp&amp;uy.-5-&amp;x=pv&amp;83dbzb4h=rq/pyrNCLM" TargetMode="External"/><Relationship Id="rId2254" Type="http://schemas.openxmlformats.org/officeDocument/2006/relationships/hyperlink" Target="https://www.facebook.com/GCBA/posts/pfbid0MuG7Sbo5joqEuk2UWgNsVURV9frh2FTUkY1aQoaNkgEbc3aeURAPiq423LHA7Mwyl" TargetMode="External"/><Relationship Id="rId333" Type="http://schemas.openxmlformats.org/officeDocument/2006/relationships/hyperlink" Target="https://www.facebook.com/GCBA/posts/pfbid02j9NjjKC7QJSSUrKxkX55nDiWFRmCpVKSS3w7J3VpQA3DakuvLQQ5B3z96orCNRMUl" TargetMode="External"/><Relationship Id="rId2255" Type="http://schemas.openxmlformats.org/officeDocument/2006/relationships/hyperlink" Target="https://e5c9a.mailupclient.com/f/rnl.aspx/?jhe=vwvwwvrv/&amp;x=pv&amp;bdi=tzfd&amp;=suxnr/7f1-a=8e.dgcn&amp;&amp;x=pp&amp;u_9f1-a2&amp;.b/&amp;:d=rtpvsvNCLM" TargetMode="External"/><Relationship Id="rId332" Type="http://schemas.openxmlformats.org/officeDocument/2006/relationships/hyperlink" Target="https://e5c9a.mailupclient.com/f/rnl.aspx/?jhe=vwt_y1w_/&amp;x=pv&amp;bdi=tzfd&amp;=stzou/7f1-a=&amp;x=pv&amp;n1&amp;j&amp;kc949&amp;25&amp;x=pp&amp;uy.-5-&amp;x=pv&amp;83dbzb4h=rq/ptyNCLM" TargetMode="External"/><Relationship Id="rId2256" Type="http://schemas.openxmlformats.org/officeDocument/2006/relationships/hyperlink" Target="https://www.facebook.com/reel/1034798936155144" TargetMode="External"/><Relationship Id="rId331" Type="http://schemas.openxmlformats.org/officeDocument/2006/relationships/hyperlink" Target="https://www.facebook.com/GCBA/posts/pfbid02XEqLAZ3ja1iUkCQ1AFBkuUXwxFv9zsX5K86BwUhreM4wjGsmh9yx8x8cEFwBnwo1l" TargetMode="External"/><Relationship Id="rId2257" Type="http://schemas.openxmlformats.org/officeDocument/2006/relationships/hyperlink" Target="https://e5c9a.mailupclient.com/f/rnl.aspx/?jhe=vwt_y1w_/&amp;x=pv&amp;bdi=tzfd&amp;=suxw_/7f1-a=&amp;x=pv&amp;n1&amp;j&amp;kc949&amp;25&amp;x=pp&amp;uy.-5-&amp;x=pv&amp;83dbzb4h=rrvwusNCLM" TargetMode="External"/><Relationship Id="rId370" Type="http://schemas.openxmlformats.org/officeDocument/2006/relationships/hyperlink" Target="https://e5c9a.mailupclient.com/f/rnl.aspx/?jhe=vwvwwvrv/&amp;x=pv&amp;bdi=tzfd&amp;=stzqv/7f1-a=8e.dgcn&amp;&amp;x=pp&amp;u_9f1-a2&amp;.b/&amp;:d=rsvypvNCLM" TargetMode="External"/><Relationship Id="rId369" Type="http://schemas.openxmlformats.org/officeDocument/2006/relationships/hyperlink" Target="https://www.facebook.com/GCBA/posts/pfbid02L7RJdRnpKvxgHCHoFNVteFMhHth8wxoRi3CHktXJKcya5Avf88oHkMEarHpuxHy1l" TargetMode="External"/><Relationship Id="rId368" Type="http://schemas.openxmlformats.org/officeDocument/2006/relationships/hyperlink" Target="https://e5c9a.mailupclient.com/f/rnl.aspx/?jhe=vwvwwvrv/&amp;x=pv&amp;bdi=tzfd&amp;=stzqr/7f1-a=8e.dgcn&amp;&amp;x=pp&amp;u_9f1-a2&amp;.b/&amp;:d=rsvywrNCLM" TargetMode="External"/><Relationship Id="rId2280" Type="http://schemas.openxmlformats.org/officeDocument/2006/relationships/hyperlink" Target="https://a2g9b4.emailsp.com/f/rnl.aspx/?fei=1wqvoxxy.9ek=vyad8=t3szoy&amp;f2::=4ibeh..e--:5d6.451&amp;x=pp&amp;r1.&amp;x=pv&amp;49-6&amp;aax00l=rvsq1NCLM" TargetMode="External"/><Relationship Id="rId2281" Type="http://schemas.openxmlformats.org/officeDocument/2006/relationships/hyperlink" Target="https://www.facebook.com/baparticipacion/posts/pfbid037D5wWyZjNg97cDckHgFEvdVpvx7PvEGibc8TBFmc2DQrjtCTs1fS44Akw5kynYeRl" TargetMode="External"/><Relationship Id="rId2282" Type="http://schemas.openxmlformats.org/officeDocument/2006/relationships/hyperlink" Target="https://a2g9b4.emailsp.com/f/rnl.aspx/?fei=2orws1vy.9ek=vyad8=t3rxuy&amp;f2::=7chafagb&amp;x=pp&amp;yx0-2.e16.&amp;x=pv&amp;2b5g=qtywwNCLM" TargetMode="External"/><Relationship Id="rId363" Type="http://schemas.openxmlformats.org/officeDocument/2006/relationships/hyperlink" Target="https://www.facebook.com/GCBA/posts/pfbid07LRumYp8mdLQqJfyaB5bdnX2XbK5UDyd5m34LT3Q3Pm6Vb4DyhT2MV3sr4XceJBfl" TargetMode="External"/><Relationship Id="rId2283" Type="http://schemas.openxmlformats.org/officeDocument/2006/relationships/hyperlink" Target="https://www.facebook.com/reel/1333766678147057" TargetMode="External"/><Relationship Id="rId362" Type="http://schemas.openxmlformats.org/officeDocument/2006/relationships/hyperlink" Target="https://e5c9a.mailupclient.com/f/rnl.aspx/?jhe=vwurvxsx/&amp;x=pv&amp;bdi=tzfd&amp;=stzpr/7f1-a=5k9hibg&amp;x=pv&amp;9a&amp;-c4&amp;501&amp;x=pp&amp;u_9f1-a2&amp;.b/&amp;:d=rsvxquNCLM" TargetMode="External"/><Relationship Id="rId2284" Type="http://schemas.openxmlformats.org/officeDocument/2006/relationships/hyperlink" Target="https://a2g9b4.emailsp.com/f/rnl.aspx/?fei=1vvoo1vy.9ek=vyad8=t3rwty&amp;f2::=-l98i9di-10337&amp;x=pp&amp;yx0-2.e16.&amp;x=pv&amp;2b5g=qty3uNCLM" TargetMode="External"/><Relationship Id="rId361" Type="http://schemas.openxmlformats.org/officeDocument/2006/relationships/hyperlink" Target="https://www.facebook.com/GCBA/posts/pfbid034AjgxDYtPXAVhBiqij3aC2isPwZvxP8uFR4GsfNR3tGmhS8XJXT4UUw48dyZAQiHl" TargetMode="External"/><Relationship Id="rId2285" Type="http://schemas.openxmlformats.org/officeDocument/2006/relationships/hyperlink" Target="https://www.facebook.com/GCBA/posts/pfbid0oTTfRyRDjRtSWz1D2DEHt74VHK6N6rLVjYhLoitVw74XKk9AP7kXKcdgB2HbFSBTl" TargetMode="External"/><Relationship Id="rId360" Type="http://schemas.openxmlformats.org/officeDocument/2006/relationships/hyperlink" Target="https://e5c9a.mailupclient.com/f/rnl.aspx/?jhe=vwurvxsx/&amp;x=pv&amp;bdi=tzfd&amp;=stzpt/7f1-a=5k9hibg&amp;x=pv&amp;9a&amp;-c4&amp;501&amp;x=pp&amp;u_9f1-a2&amp;.b/&amp;:d=rsvxrtNCLM" TargetMode="External"/><Relationship Id="rId2286" Type="http://schemas.openxmlformats.org/officeDocument/2006/relationships/hyperlink" Target="https://e5c9a.mailupclient.com/f/rnl.aspx/?jhe=vwt_y1w_/&amp;x=pv&amp;bdi=tzfd&amp;=suxnw/7f1-a=&amp;x=pv&amp;n1&amp;j&amp;kc949&amp;25&amp;x=pp&amp;uy.-5-&amp;x=pv&amp;83dbzb4h=rrvnyvNCLM" TargetMode="External"/><Relationship Id="rId367" Type="http://schemas.openxmlformats.org/officeDocument/2006/relationships/hyperlink" Target="https://www.facebook.com/GCBA/posts/pfbid02JAAkfG8XcGh1Fnbwh21z7jhQ2QhfZQPQncE8ehd4t8uNmhFPGw6q5FEBmTbZ7VzQl" TargetMode="External"/><Relationship Id="rId2287" Type="http://schemas.openxmlformats.org/officeDocument/2006/relationships/hyperlink" Target="https://www.facebook.com/GCBA/posts/pfbid022MDgtEFVF42Tvm8XsTYcDSMao8KngHzUWKkXbk6QXeNBKu29MDHyQoJgiAHeik4Wl" TargetMode="External"/><Relationship Id="rId366" Type="http://schemas.openxmlformats.org/officeDocument/2006/relationships/hyperlink" Target="https://e5c9a.mailupclient.com/f/rnl.aspx/?jhe=vwvwwvrv/&amp;x=pv&amp;bdi=tzfd&amp;=stzqs/7f1-a=8e.dgcn&amp;&amp;x=pp&amp;u_9f1-a2&amp;.b/&amp;:d=rsvyovNCLM" TargetMode="External"/><Relationship Id="rId2288" Type="http://schemas.openxmlformats.org/officeDocument/2006/relationships/hyperlink" Target="https://a2g9b4.emailsp.com/f/rnl.aspx/?fei=1vvoo_2y.9ek=vyad8=t3ryty&amp;f2::=k702m1k6.451&amp;x=pp&amp;r1.&amp;x=pv&amp;49-6&amp;aax00l=rvrw1NCLM" TargetMode="External"/><Relationship Id="rId365" Type="http://schemas.openxmlformats.org/officeDocument/2006/relationships/hyperlink" Target="https://www.facebook.com/GCBA/posts/pfbid02pEFi3sFKfrJrjXwNks9dhE7AB4JkXeumvQ8443GyMY8WyS2gzRVpjS8gMwSvDhXkl" TargetMode="External"/><Relationship Id="rId2289" Type="http://schemas.openxmlformats.org/officeDocument/2006/relationships/hyperlink" Target="https://www.facebook.com/GCBA/posts/pfbid022MDgtEFVF42Tvm8XsTYcDSMao8KngHzUWKkXbk6QXeNBKu29MDHyQoJgiAHeik4Wl" TargetMode="External"/><Relationship Id="rId364" Type="http://schemas.openxmlformats.org/officeDocument/2006/relationships/hyperlink" Target="https://a2g9b4.emailsp.com/f/rnl.aspx/?fei=1wqvoxxy.9ek=vyad8=/2rxx6d90.=3d.lfc&amp;x=pv&amp;.&amp;e08c1-&amp;34&amp;x=pp&amp;qx-f2::19h&amp;x=pv&amp;_95j=yqyqrNCLM" TargetMode="External"/><Relationship Id="rId95" Type="http://schemas.openxmlformats.org/officeDocument/2006/relationships/hyperlink" Target="https://e5c9a.mailupclient.com/f/rnl.aspx/?jhe=1ovurwr/a&amp;le=t/.l7=svr1t/9.99a=hbea9g7s35hgk.4&amp;501&amp;x=pp&amp;u_9f1-a2&amp;.b/&amp;:d=rsuzq_NCLM" TargetMode="External"/><Relationship Id="rId94" Type="http://schemas.openxmlformats.org/officeDocument/2006/relationships/hyperlink" Target="https://www.facebook.com/GCBA/posts/pfbid02ySETv8mbLPx3NFrrHh1eRhVRmMimid99iTcJQu2RtwUS7KCAiwKP9qoSStF1cMSml" TargetMode="External"/><Relationship Id="rId97" Type="http://schemas.openxmlformats.org/officeDocument/2006/relationships/hyperlink" Target="https://e5c9a.mailupclient.com/f/rnl.aspx/?jhe=vwurvxsx/&amp;x=pv&amp;bdi=tzfd&amp;=stxur/7f1-a=5k9hibg&amp;x=pv&amp;9a&amp;-c4&amp;501&amp;x=pp&amp;u_9f1-a2&amp;.b/&amp;:d=rsu_rtNCLM" TargetMode="External"/><Relationship Id="rId96" Type="http://schemas.openxmlformats.org/officeDocument/2006/relationships/hyperlink" Target="https://www.facebook.com/GCBA/posts/pfbid02ySETv8mbLPx3NFrrHh1eRhVRmMimid99iTcJQu2RtwUS7KCAiwKP9qoSStF1cMSml" TargetMode="External"/><Relationship Id="rId99" Type="http://schemas.openxmlformats.org/officeDocument/2006/relationships/hyperlink" Target="https://e5c9a.mailupclient.com/f/rnl.aspx/?jhe=vwurvxsx/&amp;x=pv&amp;bdi=tzfd&amp;=stywt/7f1-a=5k9hibg&amp;x=pv&amp;9a&amp;-c4&amp;501&amp;x=pp&amp;u_9f1-a2&amp;.b/&amp;:d=rsu_otNCLM" TargetMode="External"/><Relationship Id="rId98" Type="http://schemas.openxmlformats.org/officeDocument/2006/relationships/hyperlink" Target="https://www.facebook.com/GCBA/posts/pfbid02ySETv8mbLPx3NFrrHh1eRhVRmMimid99iTcJQu2RtwUS7KCAiwKP9qoSStF1cMSml" TargetMode="External"/><Relationship Id="rId91" Type="http://schemas.openxmlformats.org/officeDocument/2006/relationships/hyperlink" Target="https://e5c9a.mailupclient.com/f/rnl.aspx/?jhe=vwvwwvrv/&amp;x=pv&amp;bdi=tzfd&amp;=stxut/7f1-a=8e.dgcn&amp;&amp;x=pp&amp;u_9f1-a2&amp;.b/&amp;:d=rsuznwNCLM" TargetMode="External"/><Relationship Id="rId90" Type="http://schemas.openxmlformats.org/officeDocument/2006/relationships/hyperlink" Target="https://www.facebook.com/GCBA/posts/pfbid026bqVa3vmSFKKaSrJXL26kvTebyxBw49fQ6e6k96Lis65F3VpTnmHANncUHLfXeVvl" TargetMode="External"/><Relationship Id="rId93" Type="http://schemas.openxmlformats.org/officeDocument/2006/relationships/hyperlink" Target="https://e5c9a.mailupclient.com/f/rnl.aspx/?jhe=vwt_y1w_/&amp;x=pv&amp;bdi=tzfd&amp;=stws_/7f1-a=&amp;x=pv&amp;n1&amp;j&amp;kc949&amp;25&amp;x=pp&amp;uy.-5-&amp;x=pv&amp;83dbzb4h=rq_r_xNCLM" TargetMode="External"/><Relationship Id="rId92" Type="http://schemas.openxmlformats.org/officeDocument/2006/relationships/hyperlink" Target="https://www.facebook.com/GCBA/posts/pfbid02moGGrDtH9UZ3PaQ5MUkoqn6Ss7u5ewbYyEbTUKZz4epcXjSAjjoYvFmbUfHqS3dCl" TargetMode="External"/><Relationship Id="rId359" Type="http://schemas.openxmlformats.org/officeDocument/2006/relationships/hyperlink" Target="https://www.facebook.com/GCBA/posts/pfbid0bpzpNKTnru2sf3kYgyMgoDJndBsp3pjhSjvXsRSwggvgxJLvxndRafT7Qo5ZVd1Rl" TargetMode="External"/><Relationship Id="rId358" Type="http://schemas.openxmlformats.org/officeDocument/2006/relationships/hyperlink" Target="https://e5c9a.mailupclient.com/f/rnl.aspx/?jhe=vwurvxsx/&amp;x=pv&amp;bdi=tzfd&amp;=stzpu/7f1-a=5k9hibg&amp;x=pv&amp;9a&amp;-c4&amp;501&amp;x=pp&amp;u_9f1-a2&amp;.b/&amp;:d=rsvxruNCLM" TargetMode="External"/><Relationship Id="rId357" Type="http://schemas.openxmlformats.org/officeDocument/2006/relationships/hyperlink" Target="https://www.facebook.com/GCBA/posts/pfbid02Ekpsw3Kn3Y53hTrB8LF9tmwdLbWRnZbokEj8JCHh7QqsUu5iVwVCNkc93hqmsDCbl" TargetMode="External"/><Relationship Id="rId2270" Type="http://schemas.openxmlformats.org/officeDocument/2006/relationships/hyperlink" Target="https://www.facebook.com/reel/892334696944794" TargetMode="External"/><Relationship Id="rId2271" Type="http://schemas.openxmlformats.org/officeDocument/2006/relationships/hyperlink" Target="https://a2g9b4.emailsp.com/f/rnl.aspx/?fei=1vvoo_2y.9ek=vyad8=t3ryqy&amp;f2::=k702m1k6.451&amp;x=pp&amp;r1.&amp;x=pv&amp;49-6&amp;aax00l=rvruxNCLM" TargetMode="External"/><Relationship Id="rId352" Type="http://schemas.openxmlformats.org/officeDocument/2006/relationships/hyperlink" Target="https://e5c9a.mailupclient.com/f/rnl.aspx/?jhe=1r_yq2o/a&amp;le=t/.l7=svtwr/9.99a=59ndi-a&amp;9g-7e:-49&amp;25&amp;x=pp&amp;uy.-5-&amp;x=pv&amp;83dbzb4h=rq/px_NCLM" TargetMode="External"/><Relationship Id="rId2272" Type="http://schemas.openxmlformats.org/officeDocument/2006/relationships/hyperlink" Target="https://www.facebook.com/GCBA/posts/pfbid03nkHcuji6X3anVJ2Sd42mxzzM1TFKDY6Gur9BTKCkfWSTXrquDv96uj5yQ4v8hV5l" TargetMode="External"/><Relationship Id="rId351" Type="http://schemas.openxmlformats.org/officeDocument/2006/relationships/hyperlink" Target="https://www.facebook.com/GCBA/posts/pfbid0wCzGCBCFe9jgfyT7dbFZaip2zdRjrGtezs4bZuwAaL8AfRgDcWacHfQ7o6rKZBtXl" TargetMode="External"/><Relationship Id="rId2273" Type="http://schemas.openxmlformats.org/officeDocument/2006/relationships/hyperlink" Target="https://a2g9b4.emailsp.com/f/rnl.aspx/?fei=1uwuq_vy.9ek=vyad8=t3rxqy&amp;f2::=2-neh9.9bd:5-cb10337&amp;x=pp&amp;yx0-2.e16.&amp;x=pv&amp;2b5g=qtxvtNCLM" TargetMode="External"/><Relationship Id="rId350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2274" Type="http://schemas.openxmlformats.org/officeDocument/2006/relationships/hyperlink" Target="https://www.facebook.com/GCBA/posts/pfbid0ST19UoqhurJhZPhq7dJfEkZrJhyH4rZPrLJ7W6zqymdatS9zfuz5QK26T3aXaWbkl" TargetMode="External"/><Relationship Id="rId2275" Type="http://schemas.openxmlformats.org/officeDocument/2006/relationships/hyperlink" Target="https://a2g9b4.emailsp.com/f/rnl.aspx/?fei=1uwuq_vy.9ek=vyad8=t3rysy&amp;f2::=2-neh9.9bd:5-cb10337&amp;x=pp&amp;yx0-2.e16.&amp;x=pv&amp;2b5g=qtyvxNCLM" TargetMode="External"/><Relationship Id="rId356" Type="http://schemas.openxmlformats.org/officeDocument/2006/relationships/hyperlink" Target="https://e5c9a.mailupclient.com/f/rnl.aspx/?jhe=1r_yq2o/a&amp;le=t/.l7=svt3o/9.99a=59ndi-a&amp;9g-7e:-49&amp;25&amp;x=pp&amp;uy.-5-&amp;x=pv&amp;83dbzb4h=rq/osuNCLM" TargetMode="External"/><Relationship Id="rId2276" Type="http://schemas.openxmlformats.org/officeDocument/2006/relationships/hyperlink" Target="https://a2g9b4.emailsp.com/f/rnl.aspx/?fei=1wqvoxxy.9ek=vyad8=t3ryry&amp;f2::=4ibeh..e--:5d6.451&amp;x=pp&amp;r1.&amp;x=pv&amp;49-6&amp;aax00l=rvrvtNCLM" TargetMode="External"/><Relationship Id="rId355" Type="http://schemas.openxmlformats.org/officeDocument/2006/relationships/hyperlink" Target="https://www.facebook.com/GCBA/posts/pfbid0aTVXgn1s1Sgz6VMABC7WuTKDmfNscAPsBZNyNt4nppB5eaYyKW6xitKZRsj1L8vcl" TargetMode="External"/><Relationship Id="rId2277" Type="http://schemas.openxmlformats.org/officeDocument/2006/relationships/hyperlink" Target="https://www.facebook.com/GCBA/posts/pfbid02oc4eGpxiTuWbRHkbF7CMFJgXHy2yjdoztoFr8hDs9YJLbAr91HSjsiqNqAK4F7opl" TargetMode="External"/><Relationship Id="rId354" Type="http://schemas.openxmlformats.org/officeDocument/2006/relationships/hyperlink" Target="https://e5c9a.mailupclient.com/f/rnl.aspx/?jhe=1r_yq2o/a&amp;le=t/.l7=svtxt/9.99a=59ndi-a&amp;9g-7e:-49&amp;25&amp;x=pp&amp;uy.-5-&amp;x=pv&amp;83dbzb4h=rq/qtyNCLM" TargetMode="External"/><Relationship Id="rId2278" Type="http://schemas.openxmlformats.org/officeDocument/2006/relationships/hyperlink" Target="https://a2g9b4.emailsp.com/f/rnl.aspx/?fei=1wqvoxxy.9ek=vyad8=t3rxoy&amp;f2::=4ibeh..e--:5d6.451&amp;x=pp&amp;r1.&amp;x=pv&amp;49-6&amp;aax00l=rvrx/NCLM" TargetMode="External"/><Relationship Id="rId353" Type="http://schemas.openxmlformats.org/officeDocument/2006/relationships/hyperlink" Target="https://www.facebook.com/GCBA/posts/pfbid02yMVCZELGPScBYN3P85ApkWjQdeWymbjBLPfPVTVm3qVf87otoSecb1d5sAMrMzzzl" TargetMode="External"/><Relationship Id="rId2279" Type="http://schemas.openxmlformats.org/officeDocument/2006/relationships/hyperlink" Target="https://www.facebook.com/reel/1476952487457454" TargetMode="External"/><Relationship Id="rId1378" Type="http://schemas.openxmlformats.org/officeDocument/2006/relationships/hyperlink" Target="https://a2g9b4.emailsp.com/f/rnl.aspx/?fei=2orws1vy.9ek=vyad8=t3ptsy&amp;f2::=7chafagb&amp;x=pp&amp;yx0-2.e16.&amp;x=pv&amp;2b5g=qsxvuNCLM" TargetMode="External"/><Relationship Id="rId2225" Type="http://schemas.openxmlformats.org/officeDocument/2006/relationships/hyperlink" Target="https://e5c9a.mailupclient.com/f/rnl.aspx/?jhe=vwszuxsy/&amp;x=pv&amp;bdi=tzfd&amp;=suxwv/7f1-a=l925n3r/&amp;749&amp;x=pp&amp;q_&amp;.99a45h-/-6l=ntrpvrNCLM" TargetMode="External"/><Relationship Id="rId1379" Type="http://schemas.openxmlformats.org/officeDocument/2006/relationships/hyperlink" Target="https://fb.me/adspreview/facebook/28Yf2et3oSUA5wW" TargetMode="External"/><Relationship Id="rId2226" Type="http://schemas.openxmlformats.org/officeDocument/2006/relationships/hyperlink" Target="https://www.facebook.com/reel/1324354759615538" TargetMode="External"/><Relationship Id="rId2227" Type="http://schemas.openxmlformats.org/officeDocument/2006/relationships/hyperlink" Target="https://a2g9b4.emailsp.com/f/rnl.aspx/?fei=1wqvoxxy.9ek=vyad8=t3rwry&amp;f2::=4ibeh..e--:5d6.451&amp;x=pp&amp;r1.&amp;x=pv&amp;49-6&amp;aax00l=rvruwNCLM" TargetMode="External"/><Relationship Id="rId2228" Type="http://schemas.openxmlformats.org/officeDocument/2006/relationships/hyperlink" Target="https://www.facebook.com/GCBA/posts/pfbid0SCv36fUn9suSse5UeEgMhVjYT6xS8nEu9sNA4EDWjSv4HxcYY4oCzaUMJs2J9HQbl" TargetMode="External"/><Relationship Id="rId2229" Type="http://schemas.openxmlformats.org/officeDocument/2006/relationships/hyperlink" Target="https://a2g9b4.emailsp.com/f/rnl.aspx/?fei=1vvoo1vy.9ek=vyad8=t3rwsy&amp;f2::=-l98i9di-10337&amp;x=pp&amp;yx0-2.e16.&amp;x=pv&amp;2b5g=qtx/qNCLM" TargetMode="External"/><Relationship Id="rId305" Type="http://schemas.openxmlformats.org/officeDocument/2006/relationships/hyperlink" Target="https://www.facebook.com/reel/1985348935347886" TargetMode="External"/><Relationship Id="rId789" Type="http://schemas.openxmlformats.org/officeDocument/2006/relationships/hyperlink" Target="https://a2g9b4.emailsp.com/f/rnl.aspx/?fei=1vvoo_2y.9ek=vyad8=t3xywy&amp;f2::=k702m1k6.451&amp;x=pp&amp;r1.&amp;x=pv&amp;49-6&amp;aax00l=rtsptNCLM" TargetMode="External"/><Relationship Id="rId304" Type="http://schemas.openxmlformats.org/officeDocument/2006/relationships/hyperlink" Target="https://e5c9a.mailupclient.com/f/rnl.aspx/?jhe=vwt_y1w_/&amp;x=pv&amp;bdi=tzfd&amp;=stzwz/7f1-a=&amp;x=pv&amp;n1&amp;j&amp;kc949&amp;25&amp;x=pp&amp;uy.-5-&amp;x=pv&amp;83dbzb4h=rq/oruNCLM" TargetMode="External"/><Relationship Id="rId788" Type="http://schemas.openxmlformats.org/officeDocument/2006/relationships/hyperlink" Target="https://a2g9b4.emailsp.com/f/rnl.aspx/?fei=1vvoo1vy.9ek=vyad8=t3ozny&amp;f2::=-l98i9di-10337&amp;x=pp&amp;yx0-2.e16.&amp;x=pv&amp;2b5g=qrz3sNCLM" TargetMode="External"/><Relationship Id="rId303" Type="http://schemas.openxmlformats.org/officeDocument/2006/relationships/hyperlink" Target="https://www.facebook.com/reel/1985348935347886" TargetMode="External"/><Relationship Id="rId787" Type="http://schemas.openxmlformats.org/officeDocument/2006/relationships/hyperlink" Target="https://e5c9a.mailupclient.com/f/rnl.aspx/?jhe=vwvwwvrv/&amp;x=pv&amp;bdi=tzfd&amp;=st1ns/7f1-a=8e.dgcn&amp;&amp;x=pp&amp;u_9f1-a2&amp;.b/&amp;:d=rsw/nzNCLM" TargetMode="External"/><Relationship Id="rId302" Type="http://schemas.openxmlformats.org/officeDocument/2006/relationships/hyperlink" Target="https://e5c9a.mailupclient.com/f/rnl.aspx/?jhe=vwt_y1w_/&amp;x=pv&amp;bdi=tzfd&amp;=stznt/7f1-a=&amp;x=pv&amp;n1&amp;j&amp;kc949&amp;25&amp;x=pp&amp;uy.-5-&amp;x=pv&amp;83dbzb4h=rq/oyuNCLM" TargetMode="External"/><Relationship Id="rId786" Type="http://schemas.openxmlformats.org/officeDocument/2006/relationships/hyperlink" Target="https://a2g9b4.emailsp.com/f/rnl.aspx/?fei=2orws1vy.9ek=vyad8=t3xyvy&amp;f2::=7chafagb&amp;x=pp&amp;yx0-2.e16.&amp;x=pv&amp;2b5g=qrz3rNCLM" TargetMode="External"/><Relationship Id="rId309" Type="http://schemas.openxmlformats.org/officeDocument/2006/relationships/hyperlink" Target="https://www.facebook.com/reel/1376298900359413" TargetMode="External"/><Relationship Id="rId308" Type="http://schemas.openxmlformats.org/officeDocument/2006/relationships/hyperlink" Target="https://e5c9a.mailupclient.com/f/rnl.aspx/?jhe=1r_yq2o/a&amp;le=t/.l7=svtvu/9.99a=59ndi-a&amp;9g-7e:-49&amp;25&amp;x=pp&amp;uy.-5-&amp;x=pv&amp;83dbzb4h=rq/ovzNCLM" TargetMode="External"/><Relationship Id="rId307" Type="http://schemas.openxmlformats.org/officeDocument/2006/relationships/hyperlink" Target="https://www.facebook.com/reel/1376298900359413" TargetMode="External"/><Relationship Id="rId306" Type="http://schemas.openxmlformats.org/officeDocument/2006/relationships/hyperlink" Target="https://e5c9a.mailupclient.com/f/rnl.aspx/?jhe=vwt_y1w_/&amp;x=pv&amp;bdi=tzfd&amp;=stzww/7f1-a=&amp;x=pv&amp;n1&amp;j&amp;kc949&amp;25&amp;x=pp&amp;uy.-5-&amp;x=pv&amp;83dbzb4h=rq/oswNCLM" TargetMode="External"/><Relationship Id="rId781" Type="http://schemas.openxmlformats.org/officeDocument/2006/relationships/hyperlink" Target="https://a2g9b4.emailsp.com/f/rnl.aspx/?fei=1uwuq_vy.9ek=vyad8=t3xyoy&amp;f2::=2-neh9.9bd:5-cb10337&amp;x=pp&amp;yx0-2.e16.&amp;x=pv&amp;2b5g=qrywrNCLM" TargetMode="External"/><Relationship Id="rId1370" Type="http://schemas.openxmlformats.org/officeDocument/2006/relationships/hyperlink" Target="https://e5c9a.mailupclient.com/f/rnl.aspx/?jhe=vwurvxsx/&amp;x=pv&amp;bdi=tzfd&amp;=su3wu/7f1-a=5k9hibg&amp;x=pv&amp;9a&amp;-c4&amp;501&amp;x=pp&amp;u_9f1-a2&amp;.b/&amp;:d=rsx_quNCLM" TargetMode="External"/><Relationship Id="rId780" Type="http://schemas.openxmlformats.org/officeDocument/2006/relationships/hyperlink" Target="https://a2g9b4.emailsp.com/f/rnl.aspx/?fei=1uwuq_vy.9ek=vyad8=t3xyny&amp;f2::=2-neh9.9bd:5-cb10337&amp;x=pp&amp;yx0-2.e16.&amp;x=pv&amp;2b5g=qrywqNCLM" TargetMode="External"/><Relationship Id="rId1371" Type="http://schemas.openxmlformats.org/officeDocument/2006/relationships/hyperlink" Target="https://www.facebook.com/GCBA/posts/pfbid03potqP2eLt1quBeScj472G3XvQX7GKsrikv4qrT6WmgaAwGAKgpnViaxrhGzELgNl" TargetMode="External"/><Relationship Id="rId1372" Type="http://schemas.openxmlformats.org/officeDocument/2006/relationships/hyperlink" Target="https://a2g9b4.emailsp.com/f/rnl.aspx/?fei=1wqvoxxy.9ek=vyad8=t3pwqy&amp;f2::=4ibeh..e--:5d6.451&amp;x=pp&amp;r1.&amp;x=pv&amp;49-6&amp;aax00l=rurpzNCLM" TargetMode="External"/><Relationship Id="rId1373" Type="http://schemas.openxmlformats.org/officeDocument/2006/relationships/hyperlink" Target="https://fb.me/adspreview/facebook/2F5N1HlfWgdYQBf" TargetMode="External"/><Relationship Id="rId2220" Type="http://schemas.openxmlformats.org/officeDocument/2006/relationships/hyperlink" Target="https://www.facebook.com/GCBA/posts/pfbid0YhueYGpntBgMxwJ72kfke9vjquz5VNdcd1gvDFdyw1CYKUTWgM3YrprNGk6n7F7Bl" TargetMode="External"/><Relationship Id="rId301" Type="http://schemas.openxmlformats.org/officeDocument/2006/relationships/hyperlink" Target="https://e5c9a.mailupclient.com/f/rnl.aspx/?jhe=vwvwwvrv/&amp;x=pv&amp;bdi=tzfd&amp;=stzwx/7f1-a=8e.dgcn&amp;&amp;x=pp&amp;u_9f1-a2&amp;.b/&amp;:d=rsvwoyNCLM" TargetMode="External"/><Relationship Id="rId785" Type="http://schemas.openxmlformats.org/officeDocument/2006/relationships/hyperlink" Target="https://e5c9a.mailupclient.com/f/rnl.aspx/?jhe=vwvwwvrv/&amp;x=pv&amp;bdi=tzfd&amp;=st/vz/7f1-a=8e.dgcn&amp;&amp;x=pp&amp;u_9f1-a2&amp;.b/&amp;:d=rsw_tzNCLM" TargetMode="External"/><Relationship Id="rId1374" Type="http://schemas.openxmlformats.org/officeDocument/2006/relationships/hyperlink" Target="https://e5c9a.mailupclient.com/f/rnl.aspx/?jhe=vwurvxsx/&amp;x=pv&amp;bdi=tzfd&amp;=su3wz/7f1-a=5k9hibg&amp;x=pv&amp;9a&amp;-c4&amp;501&amp;x=pp&amp;u_9f1-a2&amp;.b/&amp;:d=rsx/nrNCLM" TargetMode="External"/><Relationship Id="rId2221" Type="http://schemas.openxmlformats.org/officeDocument/2006/relationships/hyperlink" Target="https://a2g9b4.emailsp.com/f/rnl.aspx/?fei=1wqvoxxy.9ek=vyad8=t3rwuy&amp;f2::=4ibeh..e--:5d6.451&amp;x=pp&amp;r1.&amp;x=pv&amp;49-6&amp;aax00l=rvqwtNCLM" TargetMode="External"/><Relationship Id="rId300" Type="http://schemas.openxmlformats.org/officeDocument/2006/relationships/hyperlink" Target="https://e5c9a.mailupclient.com/f/rnl.aspx/?jhe=vwvwwvrv/&amp;x=pv&amp;bdi=tzfd&amp;=stznu/7f1-a=8e.dgcn&amp;&amp;x=pp&amp;u_9f1-a2&amp;.b/&amp;:d=rsvwpzNCLM" TargetMode="External"/><Relationship Id="rId784" Type="http://schemas.openxmlformats.org/officeDocument/2006/relationships/hyperlink" Target="https://a2g9b4.emailsp.com/f/rnl.aspx/?fei=2orws1vy.9ek=vyad8=t3ozpy&amp;f2::=7chafagb&amp;x=pp&amp;yx0-2.e16.&amp;x=pv&amp;2b5g=qry2oNCLM" TargetMode="External"/><Relationship Id="rId1375" Type="http://schemas.openxmlformats.org/officeDocument/2006/relationships/hyperlink" Target="https://www.facebook.com/GCBA/posts/pfbid0oQofRyGp5qUhzGprJBX3geZJ71j9yNm2xJPKdPnP1j15Ftg9N3Bn5bVngUmVYNVnl" TargetMode="External"/><Relationship Id="rId2222" Type="http://schemas.openxmlformats.org/officeDocument/2006/relationships/hyperlink" Target="https://www.facebook.com/GCBA/posts/pfbid0b4e3p1kdCqSay8vtiHJSCCVLY7GjUq3R1LwXjZ4orfdwFFTNqqNXeh8NDwZcZNoTl" TargetMode="External"/><Relationship Id="rId783" Type="http://schemas.openxmlformats.org/officeDocument/2006/relationships/hyperlink" Target="https://a2g9b4.emailsp.com/f/rnl.aspx/?fei=1wqvoxxy.9ek=vyad8=t3xxvy&amp;f2::=4ibeh..e--:5d6.451&amp;x=pp&amp;r1.&amp;x=pv&amp;49-6&amp;aax00l=rtsozNCLM" TargetMode="External"/><Relationship Id="rId1376" Type="http://schemas.openxmlformats.org/officeDocument/2006/relationships/hyperlink" Target="https://e5c9a.mailupclient.com/f/rnl.aspx/?jhe=vwurvxsx/&amp;x=pv&amp;bdi=tzfd&amp;=su3wy/7f1-a=5k9hibg&amp;x=pv&amp;9a&amp;-c4&amp;501&amp;x=pp&amp;u_9f1-a2&amp;.b/&amp;:d=rsx_stNCLM" TargetMode="External"/><Relationship Id="rId2223" Type="http://schemas.openxmlformats.org/officeDocument/2006/relationships/hyperlink" Target="https://e5c9a.mailupclient.com/f/rnl.aspx/?jhe=vwvwwvrv/&amp;x=pv&amp;bdi=tzfd&amp;=suwuw/7f1-a=8e.dgcn&amp;&amp;x=pp&amp;u_9f1-a2&amp;.b/&amp;:d=rty2uvNCLM" TargetMode="External"/><Relationship Id="rId782" Type="http://schemas.openxmlformats.org/officeDocument/2006/relationships/hyperlink" Target="https://e5c9a.mailupclient.com/f/rnl.aspx/?jhe=vwurvxsx/&amp;x=pv&amp;bdi=tzfd&amp;=st1ww/7f1-a=5k9hibg&amp;x=pv&amp;9a&amp;-c4&amp;501&amp;x=pp&amp;u_9f1-a2&amp;.b/&amp;:d=rsw_vyNCLM" TargetMode="External"/><Relationship Id="rId1377" Type="http://schemas.openxmlformats.org/officeDocument/2006/relationships/hyperlink" Target="https://www.facebook.com/GCBA/posts/pfbid0oQofRyGp5qUhzGprJBX3geZJ71j9yNm2xJPKdPnP1j15Ftg9N3Bn5bVngUmVYNVnl" TargetMode="External"/><Relationship Id="rId2224" Type="http://schemas.openxmlformats.org/officeDocument/2006/relationships/hyperlink" Target="https://www.facebook.com/reel/2068009630739529/" TargetMode="External"/><Relationship Id="rId1367" Type="http://schemas.openxmlformats.org/officeDocument/2006/relationships/hyperlink" Target="https://www.facebook.com/reel/938662309035633" TargetMode="External"/><Relationship Id="rId2214" Type="http://schemas.openxmlformats.org/officeDocument/2006/relationships/hyperlink" Target="https://www.facebook.com/baparticipacion/posts/pfbid0EB4cQrN1iH3u7G4YZcMwmp6NPeGqEmr5n4cD2wPMmMrYjPCd1s9d1H9Ha4CwQJs4l" TargetMode="External"/><Relationship Id="rId2698" Type="http://schemas.openxmlformats.org/officeDocument/2006/relationships/hyperlink" Target="https://a2g9b4.emailsp.com/f/rnl.aspx/?fei=1wqvoxxy.9ek=vyad8=t3txsy&amp;f2::=4ibeh..e--:5d6.451&amp;x=pp&amp;r1.&amp;x=pv&amp;49-6&amp;aax00l=rwrstNCLM" TargetMode="External"/><Relationship Id="rId1368" Type="http://schemas.openxmlformats.org/officeDocument/2006/relationships/hyperlink" Target="https://e5c9a.mailupclient.com/f/rnl.aspx/?jhe=1r_yq2o/a&amp;le=t/.l7=swyvq/9.99a=59ndi-a&amp;9g-7e:-49&amp;25&amp;x=pp&amp;uy.-5-&amp;x=pv&amp;83dbzb4h=rq2syzNCLM" TargetMode="External"/><Relationship Id="rId2215" Type="http://schemas.openxmlformats.org/officeDocument/2006/relationships/hyperlink" Target="https://e5c9a.mailupclient.com/f/rnl.aspx/?jhe=vwszuxsy/&amp;x=pv&amp;bdi=tzfd&amp;=suxwr/7f1-a=l925n3r/&amp;749&amp;x=pp&amp;q_&amp;.99a45h-/-6l=ntryyqNCLM" TargetMode="External"/><Relationship Id="rId2699" Type="http://schemas.openxmlformats.org/officeDocument/2006/relationships/hyperlink" Target="https://e5c9a.mailupclient.com/f/rnl.aspx/?jhe=vwurvxsx/&amp;x=pv&amp;bdi=tzfd&amp;=suzpz/7f1-a=5k9hibg&amp;x=pv&amp;9a&amp;-c4&amp;501&amp;x=pp&amp;u_9f1-a2&amp;.b/&amp;:d=rtqwqvNCLM" TargetMode="External"/><Relationship Id="rId1369" Type="http://schemas.openxmlformats.org/officeDocument/2006/relationships/hyperlink" Target="https://www.facebook.com/GCBA/posts/pfbid03potqP2eLt1quBeScj472G3XvQX7GKsrikv4qrT6WmgaAwGAKgpnViaxrhGzELgNl" TargetMode="External"/><Relationship Id="rId2216" Type="http://schemas.openxmlformats.org/officeDocument/2006/relationships/hyperlink" Target="https://www.facebook.com/baparticipacion/posts/pfbid0cqdBo8U6f7icGwi1UgY64Dq9b7kJVms3oxUzJRvEnieMK5d2eTXsYd7Ky2JVkPdnl" TargetMode="External"/><Relationship Id="rId2217" Type="http://schemas.openxmlformats.org/officeDocument/2006/relationships/hyperlink" Target="https://e5c9a.mailupclient.com/f/rnl.aspx/?jhe=vwszuxsy/&amp;x=pv&amp;bdi=tzfd&amp;=suxwt/7f1-a=l925n3r/&amp;749&amp;x=pp&amp;q_&amp;.99a45h-/-6l=ntryzwNCLM" TargetMode="External"/><Relationship Id="rId2218" Type="http://schemas.openxmlformats.org/officeDocument/2006/relationships/hyperlink" Target="https://www.facebook.com/baparticipacion/posts/pfbid026rzt5SBsadw9mUfeiZnXRzw82KKCw9hrLaStHhkE38toe7FY9NXm1N7TmsCbdraol" TargetMode="External"/><Relationship Id="rId2219" Type="http://schemas.openxmlformats.org/officeDocument/2006/relationships/hyperlink" Target="https://e5c9a.mailupclient.com/f/rnl.aspx/?jhe=vwurvxsx/&amp;x=pv&amp;bdi=tzfd&amp;=suxwx/7f1-a=5k9hibg&amp;x=pv&amp;9a&amp;-c4&amp;501&amp;x=pp&amp;u_9f1-a2&amp;.b/&amp;:d=rtpvorNCLM" TargetMode="External"/><Relationship Id="rId778" Type="http://schemas.openxmlformats.org/officeDocument/2006/relationships/hyperlink" Target="https://e5c9a.mailupclient.com/f/rnl.aspx/?jhe=1r_yq2o/a&amp;le=t/.l7=svw3t/9.99a=59ndi-a&amp;9g-7e:-49&amp;25&amp;x=pp&amp;uy.-5-&amp;x=pv&amp;83dbzb4h=rq1t_tNCLM" TargetMode="External"/><Relationship Id="rId777" Type="http://schemas.openxmlformats.org/officeDocument/2006/relationships/hyperlink" Target="https://e5c9a.mailupclient.com/f/rnl.aspx/?jhe=vwt_y1w_/&amp;x=pv&amp;bdi=tzfd&amp;=st/vw/7f1-a=&amp;x=pv&amp;n1&amp;j&amp;kc949&amp;25&amp;x=pp&amp;uy.-5-&amp;x=pv&amp;83dbzb4h=rq1sutNCLM" TargetMode="External"/><Relationship Id="rId776" Type="http://schemas.openxmlformats.org/officeDocument/2006/relationships/hyperlink" Target="https://e5c9a.mailupclient.com/f/rnl.aspx/?jhe=vwvwwvrv/&amp;x=pv&amp;bdi=tzfd&amp;=st/vy/7f1-a=8e.dgcn&amp;&amp;x=pp&amp;u_9f1-a2&amp;.b/&amp;:d=rsw_s_NCLM" TargetMode="External"/><Relationship Id="rId775" Type="http://schemas.openxmlformats.org/officeDocument/2006/relationships/hyperlink" Target="https://e5c9a.mailupclient.com/f/rnl.aspx/?jhe=vwurvxsx/&amp;x=pv&amp;bdi=tzfd&amp;=st1wv/7f1-a=5k9hibg&amp;x=pv&amp;9a&amp;-c4&amp;501&amp;x=pp&amp;u_9f1-a2&amp;.b/&amp;:d=rsw_vsNCLM" TargetMode="External"/><Relationship Id="rId779" Type="http://schemas.openxmlformats.org/officeDocument/2006/relationships/hyperlink" Target="https://e5c9a.mailupclient.com/f/rnl.aspx/?jhe=1r_yq2o/a&amp;le=t/.l7=svv2t/9.99a=59ndi-a&amp;9g-7e:-49&amp;25&amp;x=pp&amp;uy.-5-&amp;x=pv&amp;83dbzb4h=rq1sv_NCLM" TargetMode="External"/><Relationship Id="rId770" Type="http://schemas.openxmlformats.org/officeDocument/2006/relationships/hyperlink" Target="https://www.facebook.com/reel/1259490412867632" TargetMode="External"/><Relationship Id="rId2690" Type="http://schemas.openxmlformats.org/officeDocument/2006/relationships/hyperlink" Target="https://e5c9a.mailupclient.com/f/rnl.aspx/?jhe=vwt_y1w_/&amp;x=pv&amp;bdi=tzfd&amp;=suzps/7f1-a=&amp;x=pv&amp;n1&amp;j&amp;kc949&amp;25&amp;x=pp&amp;uy.-5-&amp;x=pv&amp;83dbzb4h=rrwos_NCLM" TargetMode="External"/><Relationship Id="rId1360" Type="http://schemas.openxmlformats.org/officeDocument/2006/relationships/hyperlink" Target="https://a2g9b4.emailsp.com/f/rnl.aspx/?fei=1vvoo1vy.9ek=vyad8=t3puvy&amp;f2::=-l98i9di-10337&amp;x=pp&amp;yx0-2.e16.&amp;x=pv&amp;2b5g=qswytNCLM" TargetMode="External"/><Relationship Id="rId2691" Type="http://schemas.openxmlformats.org/officeDocument/2006/relationships/hyperlink" Target="https://e5c9a.mailupclient.com/f/rnl.aspx/?jhe=vwt_y1w_/&amp;x=pv&amp;bdi=tzfd&amp;=suzpt/7f1-a=&amp;x=pv&amp;n1&amp;j&amp;kc949&amp;25&amp;x=pp&amp;uy.-5-&amp;x=pv&amp;83dbzb4h=rrwosrNCLM" TargetMode="External"/><Relationship Id="rId1361" Type="http://schemas.openxmlformats.org/officeDocument/2006/relationships/hyperlink" Target="https://www.facebook.com/GCBA/posts/pfbid0HDjJ7ADLmVV9qRNGYyC1QmhZKHE6gr3HcD2wiXfT8Uf1PBKo7aaWtbNktXYwgoBCl" TargetMode="External"/><Relationship Id="rId2692" Type="http://schemas.openxmlformats.org/officeDocument/2006/relationships/hyperlink" Target="https://e5c9a.mailupclient.com/f/rnl.aspx/?jhe=vwszuxsy/&amp;x=pv&amp;bdi=tzfd&amp;=suzoz/7f1-a=l925n3r/&amp;749&amp;x=pp&amp;q_&amp;.99a45h-/-6l=ntsqwuNCLM" TargetMode="External"/><Relationship Id="rId1362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2693" Type="http://schemas.openxmlformats.org/officeDocument/2006/relationships/hyperlink" Target="https://e5c9a.mailupclient.com/f/rnl.aspx/?jhe=vwszuxsy/&amp;x=pv&amp;bdi=tzfd&amp;=suzpy/7f1-a=l925n3r/&amp;749&amp;x=pp&amp;q_&amp;.99a45h-/-6l=ntsqwvNCLM" TargetMode="External"/><Relationship Id="rId774" Type="http://schemas.openxmlformats.org/officeDocument/2006/relationships/hyperlink" Target="https://e5c9a.mailupclient.com/f/rnl.aspx/?jhe=vwurvxsx/&amp;x=pv&amp;bdi=tzfd&amp;=st/vt/7f1-a=5k9hibg&amp;x=pv&amp;9a&amp;-c4&amp;501&amp;x=pp&amp;u_9f1-a2&amp;.b/&amp;:d=rsw_pzNCLM" TargetMode="External"/><Relationship Id="rId1363" Type="http://schemas.openxmlformats.org/officeDocument/2006/relationships/hyperlink" Target="https://www.facebook.com/GCBA/posts/pfbid0YsvPWYb967LiLYq3YMQEez25Q4opZik9cFdh4KmKrjVeJYAXhZE23CYTkhPCpZLBl" TargetMode="External"/><Relationship Id="rId2210" Type="http://schemas.openxmlformats.org/officeDocument/2006/relationships/hyperlink" Target="https://www.facebook.com/baparticipacion/posts/pfbid0axrMxWPfqiqEgW2TPGJVJ7z6iCVkmyNhVnWv5W4f71YR7nzFvcZW3y5d8b9sHVYNl" TargetMode="External"/><Relationship Id="rId2694" Type="http://schemas.openxmlformats.org/officeDocument/2006/relationships/hyperlink" Target="https://a2g9b4.emailsp.com/f/rnl.aspx/?fei=1uwuq_vy.9ek=vyad8=t3txoy&amp;f2::=2-neh9.9bd:5-cb10337&amp;x=pp&amp;yx0-2.e16.&amp;x=pv&amp;2b5g=quxyqNCLM" TargetMode="External"/><Relationship Id="rId773" Type="http://schemas.openxmlformats.org/officeDocument/2006/relationships/hyperlink" Target="https://a2g9b4.emailsp.com/f/rnl.aspx/?fei=1vvoo_2y.9ek=vyad8=t3xxty&amp;f2::=k702m1k6.451&amp;x=pp&amp;r1.&amp;x=pv&amp;49-6&amp;aax00l=rtsxwNCLM" TargetMode="External"/><Relationship Id="rId1364" Type="http://schemas.openxmlformats.org/officeDocument/2006/relationships/hyperlink" Target="http://e5c9a.mailupclient.com/f/rnl.aspx/?jhe=1r_yq2o/a&amp;le=t/.l7=swy3n/9.99a=59ndi-a&amp;9g-7e:-49&amp;25&amp;x=pp&amp;uy.-5-&amp;x=pv&amp;83dbzb4h=rq2stsNCLM" TargetMode="External"/><Relationship Id="rId2211" Type="http://schemas.openxmlformats.org/officeDocument/2006/relationships/hyperlink" Target="https://e5c9a.mailupclient.com/f/rnl.aspx/?jhe=vwt_y1w_/&amp;x=pv&amp;bdi=tzfd&amp;=suwuy/7f1-a=&amp;x=pv&amp;n1&amp;j&amp;kc949&amp;25&amp;x=pp&amp;uy.-5-&amp;x=pv&amp;83dbzb4h=rrvn_tNCLM" TargetMode="External"/><Relationship Id="rId2695" Type="http://schemas.openxmlformats.org/officeDocument/2006/relationships/hyperlink" Target="https://e5c9a.mailupclient.com/f/rnl.aspx/?jhe=1r_yq2o/a&amp;le=t/.l7=swtxs/9.99a=59ndi-a&amp;9g-7e:-49&amp;25&amp;x=pp&amp;uy.-5-&amp;x=pv&amp;83dbzb4h=rrwovuNCLM" TargetMode="External"/><Relationship Id="rId772" Type="http://schemas.openxmlformats.org/officeDocument/2006/relationships/hyperlink" Target="https://www.facebook.com/reel/1259490412867632" TargetMode="External"/><Relationship Id="rId1365" Type="http://schemas.openxmlformats.org/officeDocument/2006/relationships/hyperlink" Target="https://www.facebook.com/GCBA/posts/pfbid0ZPqxQ5PPTm9UmBiJCsU8TTjQDHdxdeEADshmKbkrJSQe2HQ3HDkVDugjGhY9jRzSl" TargetMode="External"/><Relationship Id="rId2212" Type="http://schemas.openxmlformats.org/officeDocument/2006/relationships/hyperlink" Target="https://www.facebook.com/baparticipacion/posts/pfbid02rYnMxmS6XD3RCsx9M9KBg9kR6JcG4PhAtUs7mrFDM5VFoD6HvNvYFGHsStd5qSRBl" TargetMode="External"/><Relationship Id="rId2696" Type="http://schemas.openxmlformats.org/officeDocument/2006/relationships/hyperlink" Target="https://a2g9b4.emailsp.com/f/rnl.aspx/?fei=1uwuq_vy.9ek=vyad8=t3tyoy&amp;f2::=2-neh9.9bd:5-cb10337&amp;x=pp&amp;yx0-2.e16.&amp;x=pv&amp;2b5g=qux1xNCLM" TargetMode="External"/><Relationship Id="rId771" Type="http://schemas.openxmlformats.org/officeDocument/2006/relationships/hyperlink" Target="https://e5c9a.mailupclient.com/f/rnl.aspx/?jhe=vwszuxsy/&amp;x=pv&amp;bdi=tzfd&amp;=st/r_/7f1-a=l925n3r/&amp;749&amp;x=pp&amp;q_&amp;.99a45h-/-6l=nsysxpNCLM" TargetMode="External"/><Relationship Id="rId1366" Type="http://schemas.openxmlformats.org/officeDocument/2006/relationships/hyperlink" Target="https://a2g9b4.emailsp.com/f/rnl.aspx/?fei=1uwuq_vy.9ek=vyad8=t3pvvy&amp;f2::=2-neh9.9bd:5-cb10337&amp;x=pp&amp;yx0-2.e16.&amp;x=pv&amp;2b5g=qsw2sNCLM" TargetMode="External"/><Relationship Id="rId2213" Type="http://schemas.openxmlformats.org/officeDocument/2006/relationships/hyperlink" Target="https://a2g9b4.emailsp.com/f/rnl.aspx/?fei=1vvoo_2y.9ek=vyad8=t3rvpy&amp;f2::=k702m1k6.451&amp;x=pp&amp;r1.&amp;x=pv&amp;49-6&amp;aax00l=rvqqwNCLM" TargetMode="External"/><Relationship Id="rId2697" Type="http://schemas.openxmlformats.org/officeDocument/2006/relationships/hyperlink" Target="https://e5c9a.mailupclient.com/f/rnl.aspx/?jhe=vwurvxsx/&amp;x=pv&amp;bdi=tzfd&amp;=suzpx/7f1-a=5k9hibg&amp;x=pv&amp;9a&amp;-c4&amp;501&amp;x=pp&amp;u_9f1-a2&amp;.b/&amp;:d=rtqwosNCLM" TargetMode="External"/><Relationship Id="rId2247" Type="http://schemas.openxmlformats.org/officeDocument/2006/relationships/hyperlink" Target="https://a2g9b4.emailsp.com/f/rnl.aspx/?fei=1wqvoxxy.9ek=vyad8=t3ryvy&amp;f2::=4ibeh..e--:5d6.451&amp;x=pp&amp;r1.&amp;x=pv&amp;49-6&amp;aax00l=rvrwvNCLM" TargetMode="External"/><Relationship Id="rId2248" Type="http://schemas.openxmlformats.org/officeDocument/2006/relationships/hyperlink" Target="https://www.facebook.com/reel/2475612596197961" TargetMode="External"/><Relationship Id="rId2249" Type="http://schemas.openxmlformats.org/officeDocument/2006/relationships/hyperlink" Target="http://pieza/" TargetMode="External"/><Relationship Id="rId327" Type="http://schemas.openxmlformats.org/officeDocument/2006/relationships/hyperlink" Target="https://www.facebook.com/GCBA/posts/pfbid02mPYtZ1ifJgtqP1BErK7diVBSct6DxqP8sErjSBZhctMWB5jhJSGeDEk39DRDEYUml" TargetMode="External"/><Relationship Id="rId326" Type="http://schemas.openxmlformats.org/officeDocument/2006/relationships/hyperlink" Target="https://e5c9a.mailupclient.com/f/rnl.aspx/?jhe=vwurvxsx/&amp;x=pv&amp;bdi=tzfd&amp;=stzot/7f1-a=5k9hibg&amp;x=pv&amp;9a&amp;-c4&amp;501&amp;x=pp&amp;u_9f1-a2&amp;.b/&amp;:d=rsvxtvNCLM" TargetMode="External"/><Relationship Id="rId325" Type="http://schemas.openxmlformats.org/officeDocument/2006/relationships/hyperlink" Target="https://www.facebook.com/GCBA/posts/pfbid02fZ6eoJSg8zqDVE3RogP3nnn5hqo9sxTPxRzzs7HgyWNUmM6XZmtSLLNohgBDJZ2xl" TargetMode="External"/><Relationship Id="rId324" Type="http://schemas.openxmlformats.org/officeDocument/2006/relationships/hyperlink" Target="https://e5c9a.mailupclient.com/f/rnl.aspx/?jhe=vwt_y1w_/&amp;x=pv&amp;bdi=tzfd&amp;=stzor/7f1-a=&amp;x=pv&amp;n1&amp;j&amp;kc949&amp;25&amp;x=pp&amp;uy.-5-&amp;x=pv&amp;83dbzb4h=rq/ptvNCLM" TargetMode="External"/><Relationship Id="rId329" Type="http://schemas.openxmlformats.org/officeDocument/2006/relationships/hyperlink" Target="https://www.facebook.com/GCBA/posts/pfbid0Tvr1qfKc8DSpGYGQGNvXdzoG8ienpmfRqsKhH4Hu2KxGwPZpzT5Gi67RYJqC4YQql" TargetMode="External"/><Relationship Id="rId1390" Type="http://schemas.openxmlformats.org/officeDocument/2006/relationships/hyperlink" Target="https://e5c9a.mailupclient.com/f/rnl.aspx/?jhe=vwszuxsy/&amp;x=pv&amp;bdi=tzfd&amp;=su3nw/7f1-a=l925n3r/&amp;749&amp;x=pp&amp;q_&amp;.99a45h-/-6l=nszvwrNCLM" TargetMode="External"/><Relationship Id="rId328" Type="http://schemas.openxmlformats.org/officeDocument/2006/relationships/hyperlink" Target="https://e5c9a.mailupclient.com/f/rnl.aspx/?jhe=vwt_y1w_/&amp;x=pv&amp;bdi=tzfd&amp;=stzox/7f1-a=&amp;x=pv&amp;n1&amp;j&amp;kc949&amp;25&amp;x=pp&amp;uy.-5-&amp;x=pv&amp;83dbzb4h=rq/pu_NCLM" TargetMode="External"/><Relationship Id="rId1391" Type="http://schemas.openxmlformats.org/officeDocument/2006/relationships/hyperlink" Target="https://www.facebook.com/reel/2461211924325329" TargetMode="External"/><Relationship Id="rId1392" Type="http://schemas.openxmlformats.org/officeDocument/2006/relationships/hyperlink" Target="https://a2g9b4.emailsp.com/f/rnl.aspx/?fei=1vvoo_2y.9ek=vyad8=t3pwry&amp;f2::=k702m1k6.451&amp;x=pp&amp;r1.&amp;x=pv&amp;49-6&amp;aax00l=rurquNCLM" TargetMode="External"/><Relationship Id="rId1393" Type="http://schemas.openxmlformats.org/officeDocument/2006/relationships/hyperlink" Target="https://www.facebook.com/reel/2613717612355871" TargetMode="External"/><Relationship Id="rId2240" Type="http://schemas.openxmlformats.org/officeDocument/2006/relationships/hyperlink" Target="https://www.facebook.com/reel/1659762081812931" TargetMode="External"/><Relationship Id="rId1394" Type="http://schemas.openxmlformats.org/officeDocument/2006/relationships/hyperlink" Target="https://e5c9a.mailupclient.com/f/rnl.aspx/?jhe=1r_yq2o/a&amp;le=t/.l7=swyxv/9.99a=59ndi-a&amp;9g-7e:-49&amp;25&amp;x=pp&amp;uy.-5-&amp;x=pv&amp;83dbzb4h=rq2tzvNCLM" TargetMode="External"/><Relationship Id="rId2241" Type="http://schemas.openxmlformats.org/officeDocument/2006/relationships/hyperlink" Target="https://e5c9a.mailupclient.com/f/rnl.aspx/?jhe=1r_yq2o/a&amp;le=t/.l7=swrvo/9.99a=59ndi-a&amp;9g-7e:-49&amp;25&amp;x=pp&amp;uy.-5-&amp;x=pv&amp;83dbzb4h=rrvnuzNCLM" TargetMode="External"/><Relationship Id="rId1395" Type="http://schemas.openxmlformats.org/officeDocument/2006/relationships/hyperlink" Target="https://www.facebook.com/baparticipacion/posts/pfbid02EMWgKBXVsjaCKma2N7M6AjPPM6wR3Q3bJG32D1ExDHmXmDhXnfHWCieewQECNF6Ll" TargetMode="External"/><Relationship Id="rId2242" Type="http://schemas.openxmlformats.org/officeDocument/2006/relationships/hyperlink" Target="https://www.facebook.com/reel/1458725662138823" TargetMode="External"/><Relationship Id="rId323" Type="http://schemas.openxmlformats.org/officeDocument/2006/relationships/hyperlink" Target="https://www.facebook.com/GCBA/posts/pfbid02j9NjjKC7QJSSUrKxkX55nDiWFRmCpVKSS3w7J3VpQA3DakuvLQQ5B3z96orCNRMUl" TargetMode="External"/><Relationship Id="rId1396" Type="http://schemas.openxmlformats.org/officeDocument/2006/relationships/hyperlink" Target="https://a2g9b4.emailsp.com/f/rnl.aspx/?fei=1wqvoxxy.9ek=vyad8=t3ptoy&amp;f2::=4ibeh..e--:5d6.451&amp;x=pp&amp;r1.&amp;x=pv&amp;49-6&amp;aax00l=ruptuNCLM" TargetMode="External"/><Relationship Id="rId2243" Type="http://schemas.openxmlformats.org/officeDocument/2006/relationships/hyperlink" Target="https://e5c9a.mailupclient.com/f/rnl.aspx/?jhe=1r_yq2o/a&amp;le=t/.l7=swrvp/9.99a=59ndi-a&amp;9g-7e:-49&amp;25&amp;x=pp&amp;uy.-5-&amp;x=pv&amp;83dbzb4h=rrvnv_NCLM" TargetMode="External"/><Relationship Id="rId322" Type="http://schemas.openxmlformats.org/officeDocument/2006/relationships/hyperlink" Target="https://e5c9a.mailupclient.com/f/rnl.aspx/?jhe=vwvwwvrv/&amp;x=pv&amp;bdi=tzfd&amp;=stzpv/7f1-a=8e.dgcn&amp;&amp;x=pp&amp;u_9f1-a2&amp;.b/&amp;:d=rsvxsvNCLM" TargetMode="External"/><Relationship Id="rId1397" Type="http://schemas.openxmlformats.org/officeDocument/2006/relationships/hyperlink" Target="https://www.facebook.com/baparticipacion/posts/pfbid02ACp8cW6DkLqKbEH3wL2wqe24LPhy8wctFBcStRDJwm1Nah5h1Em563xRxD5L7qH5l" TargetMode="External"/><Relationship Id="rId2244" Type="http://schemas.openxmlformats.org/officeDocument/2006/relationships/hyperlink" Target="https://www.facebook.com/GCBA/posts/pfbid0NZouXVjpaRX7dWN4duRKXkSB2SFM7V8kETW9PxprU5sVCx7fMuzF9a9Dt3LGaH5Zl" TargetMode="External"/><Relationship Id="rId321" Type="http://schemas.openxmlformats.org/officeDocument/2006/relationships/hyperlink" Target="https://www.facebook.com/GCBA/posts/pfbid02j9NjjKC7QJSSUrKxkX55nDiWFRmCpVKSS3w7J3VpQA3DakuvLQQ5B3z96orCNRMUl" TargetMode="External"/><Relationship Id="rId1398" Type="http://schemas.openxmlformats.org/officeDocument/2006/relationships/hyperlink" Target="https://e5c9a.mailupclient.com/f/rnl.aspx/?jhe=vwurvxsx/&amp;x=pv&amp;bdi=tzfd&amp;=su3oz/7f1-a=5k9hibg&amp;x=pv&amp;9a&amp;-c4&amp;501&amp;x=pp&amp;u_9f1-a2&amp;.b/&amp;:d=rsx/ptNCLM" TargetMode="External"/><Relationship Id="rId2245" Type="http://schemas.openxmlformats.org/officeDocument/2006/relationships/hyperlink" Target="https://a2g9b4.emailsp.com/f/rnl.aspx/?fei=1wqvoxxy.9ek=vyad8=t3rwvy&amp;f2::=4ibeh..e--:5d6.451&amp;x=pp&amp;r1.&amp;x=pv&amp;49-6&amp;aax00l=rvqwzNCLM" TargetMode="External"/><Relationship Id="rId320" Type="http://schemas.openxmlformats.org/officeDocument/2006/relationships/hyperlink" Target="https://e5c9a.mailupclient.com/f/rnl.aspx/?jhe=vwvwwvrv/&amp;x=pv&amp;bdi=tzfd&amp;=styvz/7f1-a=8e.dgcn&amp;&amp;x=pp&amp;u_9f1-a2&amp;.b/&amp;:d=rsvvttNCLM" TargetMode="External"/><Relationship Id="rId1399" Type="http://schemas.openxmlformats.org/officeDocument/2006/relationships/hyperlink" Target="https://www.facebook.com/baparticipacion/posts/pfbid02hwLB24e1ZTxjY3XgRNitembhPzcmefEqr4EW1gEX9jroGvKZmLqQUB2HNVpy79Pal" TargetMode="External"/><Relationship Id="rId2246" Type="http://schemas.openxmlformats.org/officeDocument/2006/relationships/hyperlink" Target="https://www.facebook.com/reel/2081566192790744" TargetMode="External"/><Relationship Id="rId1389" Type="http://schemas.openxmlformats.org/officeDocument/2006/relationships/hyperlink" Target="https://www.facebook.com/reel/2461211924325329" TargetMode="External"/><Relationship Id="rId2236" Type="http://schemas.openxmlformats.org/officeDocument/2006/relationships/hyperlink" Target="https://www.facebook.com/GCBA/posts/pfbid0hL6DnVWapHTEjHavJnJmhZrAV1oeXCFP5cu7KwkKVcgsUFRBsTZSBTT4W1LM6t76l" TargetMode="External"/><Relationship Id="rId2237" Type="http://schemas.openxmlformats.org/officeDocument/2006/relationships/hyperlink" Target="https://a2g9b4.emailsp.com/f/rnl.aspx/?fei=1uwuq_vy.9ek=vyad8=t3ruoy&amp;f2::=2-neh9.9bd:5-cb10337&amp;x=pp&amp;yx0-2.e16.&amp;x=pv&amp;2b5g=qtv_qNCLM" TargetMode="External"/><Relationship Id="rId2238" Type="http://schemas.openxmlformats.org/officeDocument/2006/relationships/hyperlink" Target="https://www.facebook.com/reel/2212657036254593" TargetMode="External"/><Relationship Id="rId2239" Type="http://schemas.openxmlformats.org/officeDocument/2006/relationships/hyperlink" Target="https://a2g9b4.emailsp.com/f/rnl.aspx/?fei=1uwuq_vy.9ek=vyad8=t3ryoy&amp;f2::=2-neh9.9bd:5-cb10337&amp;x=pp&amp;yx0-2.e16.&amp;x=pv&amp;2b5g=qtxzpNCLM" TargetMode="External"/><Relationship Id="rId316" Type="http://schemas.openxmlformats.org/officeDocument/2006/relationships/hyperlink" Target="https://e5c9a.mailupclient.com/f/rnl.aspx/?jhe=vwurvxsx/&amp;x=pv&amp;bdi=tzfd&amp;=stzo_/7f1-a=5k9hibg&amp;x=pv&amp;9a&amp;-c4&amp;501&amp;x=pp&amp;u_9f1-a2&amp;.b/&amp;:d=rsvwvyNCLM" TargetMode="External"/><Relationship Id="rId315" Type="http://schemas.openxmlformats.org/officeDocument/2006/relationships/hyperlink" Target="https://www.facebook.com/GCBA/posts/pfbid032UmvaRZ3eAJNRC4zHziYpyXVaPbbTucP4LKQNEh1BSxa3mTrzNz6mZGgDzRqYkTel" TargetMode="External"/><Relationship Id="rId799" Type="http://schemas.openxmlformats.org/officeDocument/2006/relationships/hyperlink" Target="https://e5c9a.mailupclient.com/f/rnl.aspx/?jhe=vwt_y1w_/&amp;x=pv&amp;bdi=tzfd&amp;=st1nw/7f1-a=&amp;x=pv&amp;n1&amp;j&amp;kc949&amp;25&amp;x=pp&amp;uy.-5-&amp;x=pv&amp;83dbzb4h=rq1tusNCLM" TargetMode="External"/><Relationship Id="rId314" Type="http://schemas.openxmlformats.org/officeDocument/2006/relationships/hyperlink" Target="https://e5c9a.mailupclient.com/f/rnl.aspx/?jhe=vwurvxsx/&amp;x=pv&amp;bdi=tzfd&amp;=stzns/7f1-a=5k9hibg&amp;x=pv&amp;9a&amp;-c4&amp;501&amp;x=pp&amp;u_9f1-a2&amp;.b/&amp;:d=rsvwptNCLM" TargetMode="External"/><Relationship Id="rId798" Type="http://schemas.openxmlformats.org/officeDocument/2006/relationships/hyperlink" Target="https://a2g9b4.emailsp.com/f/rnl.aspx/?fei=1wqvoxxy.9ek=vyad8=t3xyty&amp;f2::=4ibeh..e--:5d6.451&amp;x=pp&amp;r1.&amp;x=pv&amp;49-6&amp;aax00l=rttptNCLM" TargetMode="External"/><Relationship Id="rId313" Type="http://schemas.openxmlformats.org/officeDocument/2006/relationships/hyperlink" Target="https://www.facebook.com/GCBA/posts/pfbid032UmvaRZ3eAJNRC4zHziYpyXVaPbbTucP4LKQNEh1BSxa3mTrzNz6mZGgDzRqYkTel" TargetMode="External"/><Relationship Id="rId797" Type="http://schemas.openxmlformats.org/officeDocument/2006/relationships/hyperlink" Target="https://a2g9b4.emailsp.com/f/rnl.aspx/?fei=1vvoo1vy.9ek=vyad8=t3ozoy&amp;f2::=-l98i9di-10337&amp;x=pp&amp;yx0-2.e16.&amp;x=pv&amp;2b5g=qrzwwNCLM" TargetMode="External"/><Relationship Id="rId319" Type="http://schemas.openxmlformats.org/officeDocument/2006/relationships/hyperlink" Target="https://www.facebook.com/GCBA/posts/pfbid02j9NjjKC7QJSSUrKxkX55nDiWFRmCpVKSS3w7J3VpQA3DakuvLQQ5B3z96orCNRMUl" TargetMode="External"/><Relationship Id="rId318" Type="http://schemas.openxmlformats.org/officeDocument/2006/relationships/hyperlink" Target="https://e5c9a.mailupclient.com/f/rnl.aspx/?jhe=vwurvxsx/&amp;x=pv&amp;bdi=tzfd&amp;=stznw/7f1-a=5k9hibg&amp;x=pv&amp;9a&amp;-c4&amp;501&amp;x=pp&amp;u_9f1-a2&amp;.b/&amp;:d=rsvxwrNCLM" TargetMode="External"/><Relationship Id="rId317" Type="http://schemas.openxmlformats.org/officeDocument/2006/relationships/hyperlink" Target="https://www.facebook.com/GCBA/posts/pfbid032UmvaRZ3eAJNRC4zHziYpyXVaPbbTucP4LKQNEh1BSxa3mTrzNz6mZGgDzRqYkTel" TargetMode="External"/><Relationship Id="rId1380" Type="http://schemas.openxmlformats.org/officeDocument/2006/relationships/hyperlink" Target="https://e5c9a.mailupclient.com/f/rnl.aspx/?jhe=vwvwwvrv/&amp;x=pv&amp;bdi=tzfd&amp;=su3ny/7f1-a=8e.dgcn&amp;&amp;x=pp&amp;u_9f1-a2&amp;.b/&amp;:d=rsx/wyNCLM" TargetMode="External"/><Relationship Id="rId792" Type="http://schemas.openxmlformats.org/officeDocument/2006/relationships/hyperlink" Target="https://e5c9a.mailupclient.com/f/rnl.aspx/?jhe=vwurvxsx/&amp;x=pv&amp;bdi=tzfd&amp;=st1nx/7f1-a=5k9hibg&amp;x=pv&amp;9a&amp;-c4&amp;501&amp;x=pp&amp;u_9f1-a2&amp;.b/&amp;:d=rsw/qtNCLM" TargetMode="External"/><Relationship Id="rId1381" Type="http://schemas.openxmlformats.org/officeDocument/2006/relationships/hyperlink" Target="https://www.facebook.com/reel/1295138989235506" TargetMode="External"/><Relationship Id="rId791" Type="http://schemas.openxmlformats.org/officeDocument/2006/relationships/hyperlink" Target="https://e5c9a.mailupclient.com/f/rnl.aspx/?jhe=1r_yq2o/a&amp;le=t/.l7=svvzv/9.99a=59ndi-a&amp;9g-7e:-49&amp;25&amp;x=pp&amp;uy.-5-&amp;x=pv&amp;83dbzb4h=rq1qwtNCLM" TargetMode="External"/><Relationship Id="rId1382" Type="http://schemas.openxmlformats.org/officeDocument/2006/relationships/hyperlink" Target="https://a2g9b4.emailsp.com/f/rnl.aspx/?fei=1vvoo1vy.9ek=vyad8=t3pvny&amp;f2::=-l98i9di-10337&amp;x=pp&amp;yx0-2.e16.&amp;x=pv&amp;2b5g=qsw1sNCLM" TargetMode="External"/><Relationship Id="rId790" Type="http://schemas.openxmlformats.org/officeDocument/2006/relationships/hyperlink" Target="https://a2g9b4.emailsp.com/f/rnl.aspx/?fei=1uwuq_vy.9ek=vyad8=t3xysy&amp;f2::=2-neh9.9bd:5-cb10337&amp;x=pp&amp;yx0-2.e16.&amp;x=pv&amp;2b5g=qryztNCLM" TargetMode="External"/><Relationship Id="rId1383" Type="http://schemas.openxmlformats.org/officeDocument/2006/relationships/hyperlink" Target="https://www.facebook.com/reel/976632781498219" TargetMode="External"/><Relationship Id="rId2230" Type="http://schemas.openxmlformats.org/officeDocument/2006/relationships/hyperlink" Target="https://www.facebook.com/reel/2391073264716114" TargetMode="External"/><Relationship Id="rId1384" Type="http://schemas.openxmlformats.org/officeDocument/2006/relationships/hyperlink" Target="https://a2g9b4.emailsp.com/f/rnl.aspx/?fei=1vvoo1vy.9ek=vyad8=t3pvoy&amp;f2::=-l98i9di-10337&amp;x=pp&amp;yx0-2.e16.&amp;x=pv&amp;2b5g=qsw1tNCLM" TargetMode="External"/><Relationship Id="rId2231" Type="http://schemas.openxmlformats.org/officeDocument/2006/relationships/hyperlink" Target="https://e5c9a.mailupclient.com/f/rnl.aspx/?jhe=1r_yq2o/a&amp;le=t/.l7=swqxo/9.99a=59ndi-a&amp;9g-7e:-49&amp;25&amp;x=pp&amp;uy.-5-&amp;x=pv&amp;83dbzb4h=rr3ttxNCLM" TargetMode="External"/><Relationship Id="rId312" Type="http://schemas.openxmlformats.org/officeDocument/2006/relationships/hyperlink" Target="https://a2g9b4.emailsp.com/f/rnl.aspx/?fei=1wqvoxxy.9ek=vyad8=t3oyoy&amp;f2::=4ibeh..e--:5d6.451&amp;x=pp&amp;r1.&amp;x=pv&amp;49-6&amp;aax00l=runpyNCLM" TargetMode="External"/><Relationship Id="rId796" Type="http://schemas.openxmlformats.org/officeDocument/2006/relationships/hyperlink" Target="https://e5c9a.mailupclient.com/f/rnl.aspx/?jhe=vwvwwvrv/&amp;x=pv&amp;bdi=tzfd&amp;=st1ns/7f1-a=8e.dgcn&amp;&amp;x=pp&amp;u_9f1-a2&amp;.b/&amp;:d=rsw/nzNCLM" TargetMode="External"/><Relationship Id="rId1385" Type="http://schemas.openxmlformats.org/officeDocument/2006/relationships/hyperlink" Target="https://www.facebook.com/GCBA/posts/pfbid02xaf6Djw5p7AiQMVgPdzN7Qd26gtAXWoT3g19yahRK6JtpwfNTa8wTtGpQorKypqYl" TargetMode="External"/><Relationship Id="rId2232" Type="http://schemas.openxmlformats.org/officeDocument/2006/relationships/hyperlink" Target="https://www.facebook.com/reel/1368798341811054/" TargetMode="External"/><Relationship Id="rId311" Type="http://schemas.openxmlformats.org/officeDocument/2006/relationships/hyperlink" Target="https://www.facebook.com/GCBA/posts/pfbid02PmAtvdzD176mjzPpPRZmFQTNXzNjqoKr7o9wByEVUtzkzYpigMPqtXRGysNDa6Wjl" TargetMode="External"/><Relationship Id="rId795" Type="http://schemas.openxmlformats.org/officeDocument/2006/relationships/hyperlink" Target="https://a2g9b4.emailsp.com/f/rnl.aspx/?fei=2orws1vy.9ek=vyad8=t3ozqy&amp;f2::=7chafagb&amp;x=pp&amp;yx0-2.e16.&amp;x=pv&amp;2b5g=qrzwtNCLM" TargetMode="External"/><Relationship Id="rId1386" Type="http://schemas.openxmlformats.org/officeDocument/2006/relationships/hyperlink" Target="https://e5c9a.mailupclient.com/f/rnl.aspx/?jhe=vwt_y1w_/&amp;x=pv&amp;bdi=tzfd&amp;=su3nr/7f1-a=&amp;x=pv&amp;n1&amp;j&amp;kc949&amp;25&amp;x=pp&amp;uy.-5-&amp;x=pv&amp;83dbzb4h=rq2szwNCLM" TargetMode="External"/><Relationship Id="rId2233" Type="http://schemas.openxmlformats.org/officeDocument/2006/relationships/hyperlink" Target="https://a2g9b4.emailsp.com/f/rnl.aspx/?fei=1uwuq_vy.9ek=vyad8=t3rwuy&amp;f2::=2-neh9.9bd:5-cb10337&amp;x=pp&amp;yx0-2.e16.&amp;x=pv&amp;2b5g=qtx3xNCLM" TargetMode="External"/><Relationship Id="rId310" Type="http://schemas.openxmlformats.org/officeDocument/2006/relationships/hyperlink" Target="https://e5c9a.mailupclient.com/f/rnl.aspx/?jhe=1r_yq2o/a&amp;le=t/.l7=svt3n/9.99a=59ndi-a&amp;9g-7e:-49&amp;25&amp;x=pp&amp;uy.-5-&amp;x=pv&amp;83dbzb4h=rq/ostNCLM" TargetMode="External"/><Relationship Id="rId794" Type="http://schemas.openxmlformats.org/officeDocument/2006/relationships/hyperlink" Target="https://a2g9b4.emailsp.com/f/rnl.aspx/?fei=1wqvoxxy.9ek=vyad8=t3ozty&amp;f2::=4ibeh..e--:5d6.451&amp;x=pp&amp;r1.&amp;x=pv&amp;49-6&amp;aax00l=rttowNCLM" TargetMode="External"/><Relationship Id="rId1387" Type="http://schemas.openxmlformats.org/officeDocument/2006/relationships/hyperlink" Target="https://www.facebook.com/GCBA/posts/pfbid02piHF6wJbhqe8kwXMsA6anj6iCoiQq4eEf5Dxw2jWsfXvACz8eyAfYWCrjKKt98wsl" TargetMode="External"/><Relationship Id="rId2234" Type="http://schemas.openxmlformats.org/officeDocument/2006/relationships/hyperlink" Target="http://facebook.com/reel/1368798341811054/" TargetMode="External"/><Relationship Id="rId793" Type="http://schemas.openxmlformats.org/officeDocument/2006/relationships/hyperlink" Target="https://e5c9a.mailupclient.com/f/rnl.aspx/?jhe=vwurvxsx/&amp;x=pv&amp;bdi=tzfd&amp;=st1wz/7f1-a=5k9hibg&amp;x=pv&amp;9a&amp;-c4&amp;501&amp;x=pp&amp;u_9f1-a2&amp;.b/&amp;:d=rsw/wyNCLM" TargetMode="External"/><Relationship Id="rId1388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2235" Type="http://schemas.openxmlformats.org/officeDocument/2006/relationships/hyperlink" Target="https://e5c9a.mailupclient.com/f/rnl.aspx/?jhe=vwurvxsx/&amp;x=pv&amp;bdi=tzfd&amp;=suwsu/7f1-a=5k9hibg&amp;x=pv&amp;9a&amp;-c4&amp;501&amp;x=pp&amp;u_9f1-a2&amp;.b/&amp;:d=rtpvpvNCLM" TargetMode="External"/><Relationship Id="rId297" Type="http://schemas.openxmlformats.org/officeDocument/2006/relationships/hyperlink" Target="https://www.facebook.com/GCBA/posts/pfbid036pqFXR7zAF8PvFnxngTEwxPE9PqKmWq4AHHELyLosNtsxKY2jxKJRGQJxGk3ecSbl" TargetMode="External"/><Relationship Id="rId296" Type="http://schemas.openxmlformats.org/officeDocument/2006/relationships/hyperlink" Target="https://e5c9a.mailupclient.com/f/rnl.aspx/?jhe=1r_yq2o/a&amp;le=t/.l7=svt3w/9.99a=59ndi-a&amp;9g-7e:-49&amp;25&amp;x=pp&amp;uy.-5-&amp;x=pv&amp;83dbzb4h=rq/ossNCLM" TargetMode="External"/><Relationship Id="rId295" Type="http://schemas.openxmlformats.org/officeDocument/2006/relationships/hyperlink" Target="https://e5c9a.mailupclient.com/f/rnl.aspx/?jhe=1r_yq2o/a&amp;le=t/.l7=svs1v/9.99a=59ndi-a&amp;9g-7e:-49&amp;25&amp;x=pp&amp;uy.-5-&amp;x=pv&amp;83dbzb4h=rq/ns_NCLM" TargetMode="External"/><Relationship Id="rId294" Type="http://schemas.openxmlformats.org/officeDocument/2006/relationships/hyperlink" Target="https://e5c9a.mailupclient.com/f/rnl.aspx/?jhe=1r_yq2o/a&amp;le=t/.l7=svt3p/9.99a=59ndi-a&amp;9g-7e:-49&amp;25&amp;x=pp&amp;uy.-5-&amp;x=pv&amp;83dbzb4h=rq/o_rNCLM" TargetMode="External"/><Relationship Id="rId299" Type="http://schemas.openxmlformats.org/officeDocument/2006/relationships/hyperlink" Target="https://e5c9a.mailupclient.com/f/rnl.aspx/?jhe=vwurvxsx/&amp;x=pv&amp;bdi=tzfd&amp;=stzwy/7f1-a=5k9hibg&amp;x=pv&amp;9a&amp;-c4&amp;501&amp;x=pp&amp;u_9f1-a2&amp;.b/&amp;:d=rsvwq_NCLM" TargetMode="External"/><Relationship Id="rId298" Type="http://schemas.openxmlformats.org/officeDocument/2006/relationships/hyperlink" Target="https://e5c9a.mailupclient.com/f/rnl.aspx/?jhe=vwurvxsx/&amp;x=pv&amp;bdi=tzfd&amp;=stznz/7f1-a=5k9hibg&amp;x=pv&amp;9a&amp;-c4&amp;501&amp;x=pp&amp;u_9f1-a2&amp;.b/&amp;:d=rsvws_NCLM" TargetMode="External"/><Relationship Id="rId271" Type="http://schemas.openxmlformats.org/officeDocument/2006/relationships/hyperlink" Target="https://e5c9a.mailupclient.com/f/rnl.aspx/?jhe=vwvwwvrv/&amp;x=pv&amp;bdi=tzfd&amp;=stytw/7f1-a=8e.dgcn&amp;&amp;x=pp&amp;u_9f1-a2&amp;.b/&amp;:d=rsv3s_NCLM" TargetMode="External"/><Relationship Id="rId270" Type="http://schemas.openxmlformats.org/officeDocument/2006/relationships/hyperlink" Target="https://e5c9a.mailupclient.com/f/rnl.aspx/?jhe=vwvwwvrv/&amp;x=pv&amp;bdi=tzfd&amp;=stytv/7f1-a=8e.dgcn&amp;&amp;x=pp&amp;u_9f1-a2&amp;.b/&amp;:d=rsv3qzNCLM" TargetMode="External"/><Relationship Id="rId269" Type="http://schemas.openxmlformats.org/officeDocument/2006/relationships/hyperlink" Target="https://e5c9a.mailupclient.com/f/rnl.aspx/?jhe=vwurvxsx/&amp;x=pv&amp;bdi=tzfd&amp;=styur/7f1-a=5k9hibg&amp;x=pv&amp;9a&amp;-c4&amp;501&amp;x=pp&amp;u_9f1-a2&amp;.b/&amp;:d=rsv3trNCLM" TargetMode="External"/><Relationship Id="rId264" Type="http://schemas.openxmlformats.org/officeDocument/2006/relationships/hyperlink" Target="https://e5c9a.mailupclient.com/f/rnl.aspx/?jhe=vwt_y1w_/&amp;x=pv&amp;bdi=tzfd&amp;=styts/7f1-a=&amp;x=pv&amp;n1&amp;j&amp;kc949&amp;25&amp;x=pp&amp;uy.-5-&amp;x=pv&amp;83dbzb4h=rq/wuuNCLM" TargetMode="External"/><Relationship Id="rId263" Type="http://schemas.openxmlformats.org/officeDocument/2006/relationships/hyperlink" Target="https://www.facebook.com/reel/1297793642108690" TargetMode="External"/><Relationship Id="rId262" Type="http://schemas.openxmlformats.org/officeDocument/2006/relationships/hyperlink" Target="https://e5c9a.mailupclient.com/f/rnl.aspx/?jhe=vwt_y1w_/&amp;x=pv&amp;bdi=tzfd&amp;=stysx/7f1-a=&amp;x=pv&amp;n1&amp;j&amp;kc949&amp;25&amp;x=pp&amp;uy.-5-&amp;x=pv&amp;83dbzb4h=rq/wrvNCLM" TargetMode="External"/><Relationship Id="rId261" Type="http://schemas.openxmlformats.org/officeDocument/2006/relationships/hyperlink" Target="https://www.facebook.com/GCBA/posts/pfbid0tstzqenYSpgrHsNAJBK27a17SRX9msyRZKWdU3KqkYKtHCpMz2UsbucJ4wCX6SLal" TargetMode="External"/><Relationship Id="rId268" Type="http://schemas.openxmlformats.org/officeDocument/2006/relationships/hyperlink" Target="https://www.facebook.com/GCBA/posts/pfbid02BLwc5PnG5EYzbVeS3qNZ6Nb5in3PifakagmTh6BFX3zNQZ1rLsJ3FsQx9JDG2gFdl" TargetMode="External"/><Relationship Id="rId267" Type="http://schemas.openxmlformats.org/officeDocument/2006/relationships/hyperlink" Target="https://e5c9a.mailupclient.com/f/rnl.aspx/?jhe=vwt_y1w_/&amp;x=pv&amp;bdi=tzfd&amp;=stywz/7f1-a=&amp;x=pv&amp;n1&amp;j&amp;kc949&amp;25&amp;x=pp&amp;uy.-5-&amp;x=pv&amp;83dbzb4h=rq_tuwNCLM" TargetMode="External"/><Relationship Id="rId266" Type="http://schemas.openxmlformats.org/officeDocument/2006/relationships/hyperlink" Target="https://e5c9a.mailupclient.com/f/rnl.aspx/?jhe=vwt_y1w_/&amp;x=pv&amp;bdi=tzfd&amp;=stytu/7f1-a=&amp;x=pv&amp;n1&amp;j&amp;kc949&amp;25&amp;x=pp&amp;uy.-5-&amp;x=pv&amp;83dbzb4h=rq/wvuNCLM" TargetMode="External"/><Relationship Id="rId265" Type="http://schemas.openxmlformats.org/officeDocument/2006/relationships/hyperlink" Target="https://e5c9a.mailupclient.com/f/rnl.aspx/?jhe=vwt_y1w_/&amp;x=pv&amp;bdi=tzfd&amp;=styt_/7f1-a=&amp;x=pv&amp;n1&amp;j&amp;kc949&amp;25&amp;x=pp&amp;uy.-5-&amp;x=pv&amp;83dbzb4h=rq/wv_NCLM" TargetMode="External"/><Relationship Id="rId260" Type="http://schemas.openxmlformats.org/officeDocument/2006/relationships/hyperlink" Target="https://e5c9a.mailupclient.com/f/rnl.aspx/?jhe=vwvwwvrv/&amp;x=pv&amp;bdi=tzfd&amp;=stysz/7f1-a=8e.dgcn&amp;&amp;x=pp&amp;u_9f1-a2&amp;.b/&amp;:d=rsv3oyNCLM" TargetMode="External"/><Relationship Id="rId259" Type="http://schemas.openxmlformats.org/officeDocument/2006/relationships/hyperlink" Target="https://www.facebook.com/GCBA/posts/pfbid02MHtzFur7T6A9gkPCWcCKA5S9do1hMkbdiz1vi1SFNaGtEwvHELnpkU3EVbhXU9yol" TargetMode="External"/><Relationship Id="rId258" Type="http://schemas.openxmlformats.org/officeDocument/2006/relationships/hyperlink" Target="https://e5c9a.mailupclient.com/f/rnl.aspx/?jhe=vwurvxsx/&amp;x=pv&amp;bdi=tzfd&amp;=stytr/7f1-a=5k9hibg&amp;x=pv&amp;9a&amp;-c4&amp;501&amp;x=pp&amp;u_9f1-a2&amp;.b/&amp;:d=rsv3qyNCLM" TargetMode="External"/><Relationship Id="rId2290" Type="http://schemas.openxmlformats.org/officeDocument/2006/relationships/hyperlink" Target="https://e5c9a.mailupclient.com/f/rnl.aspx/?jhe=1r_yq2o/a&amp;le=t/.l7=swrwn/9.99a=59ndi-a&amp;9g-7e:-49&amp;25&amp;x=pp&amp;uy.-5-&amp;x=pv&amp;83dbzb4h=rrvorrNCLM" TargetMode="External"/><Relationship Id="rId2291" Type="http://schemas.openxmlformats.org/officeDocument/2006/relationships/hyperlink" Target="https://www.facebook.com/GCBA/posts/pfbid022MDgtEFVF42Tvm8XsTYcDSMao8KngHzUWKkXbk6QXeNBKu29MDHyQoJgiAHeik4Wl" TargetMode="External"/><Relationship Id="rId2292" Type="http://schemas.openxmlformats.org/officeDocument/2006/relationships/hyperlink" Target="https://e5c9a.mailupclient.com/f/rnl.aspx/?jhe=1r_yq2o/a&amp;le=t/.l7=swrwv/9.99a=59ndi-a&amp;9g-7e:-49&amp;25&amp;x=pp&amp;uy.-5-&amp;x=pv&amp;83dbzb4h=rrvovsNCLM" TargetMode="External"/><Relationship Id="rId2293" Type="http://schemas.openxmlformats.org/officeDocument/2006/relationships/hyperlink" Target="https://www.facebook.com/reel/1659762081812931/" TargetMode="External"/><Relationship Id="rId253" Type="http://schemas.openxmlformats.org/officeDocument/2006/relationships/hyperlink" Target="https://www.facebook.com/reel/1376298900359413" TargetMode="External"/><Relationship Id="rId2294" Type="http://schemas.openxmlformats.org/officeDocument/2006/relationships/hyperlink" Target="https://a2g9b4.emailsp.com/f/rnl.aspx/?fei=1wqvoxxy.9ek=vyad8=t3szwy&amp;f2::=4ibeh..e--:5d6.451&amp;x=pp&amp;r1.&amp;x=pv&amp;49-6&amp;aax00l=rvsozNCLM" TargetMode="External"/><Relationship Id="rId252" Type="http://schemas.openxmlformats.org/officeDocument/2006/relationships/hyperlink" Target="https://a2g9b4.emailsp.com/f/rnl.aspx/?fei=1vvoo1vy.9ek=vyad8=/2rqx6d90.=:g7.g:cd&amp;88622&amp;x=pp&amp;w38a10c84c-y.:e=tpv//NCLM" TargetMode="External"/><Relationship Id="rId2295" Type="http://schemas.openxmlformats.org/officeDocument/2006/relationships/hyperlink" Target="https://www.facebook.com/reel/1520879146383969/" TargetMode="External"/><Relationship Id="rId251" Type="http://schemas.openxmlformats.org/officeDocument/2006/relationships/hyperlink" Target="https://www.facebook.com/reel/1376298900359413" TargetMode="External"/><Relationship Id="rId2296" Type="http://schemas.openxmlformats.org/officeDocument/2006/relationships/hyperlink" Target="https://e5c9a.mailupclient.com/f/rnl.aspx/?jhe=vwurvxsx/&amp;x=pv&amp;bdi=tzfd&amp;=suxo_/7f1-a=5k9hibg&amp;x=pv&amp;9a&amp;-c4&amp;501&amp;x=pp&amp;u_9f1-a2&amp;.b/&amp;:d=rtpwrtNCLM" TargetMode="External"/><Relationship Id="rId250" Type="http://schemas.openxmlformats.org/officeDocument/2006/relationships/hyperlink" Target="https://e5c9a.mailupclient.com/f/rnl.aspx/?jhe=vwt_y1w_/&amp;x=pv&amp;bdi=tzfd&amp;=stxou/7f1-a=&amp;x=pv&amp;n1&amp;j&amp;kc949&amp;25&amp;x=pp&amp;uy.-5-&amp;x=pv&amp;83dbzb4h=rq_uwyNCLM" TargetMode="External"/><Relationship Id="rId2297" Type="http://schemas.openxmlformats.org/officeDocument/2006/relationships/hyperlink" Target="https://www.facebook.com/reel/1659762081812931" TargetMode="External"/><Relationship Id="rId257" Type="http://schemas.openxmlformats.org/officeDocument/2006/relationships/hyperlink" Target="https://www.facebook.com/GCBA/posts/pfbid02a5DRJPMBPPuCuSQYUa6NuAdUWgrRPn2uV9tMt7gH5jZs2nTCt69KXPzZR2qMJ92kl" TargetMode="External"/><Relationship Id="rId2298" Type="http://schemas.openxmlformats.org/officeDocument/2006/relationships/hyperlink" Target="https://a2g9b4.emailsp.com/f/rnl.aspx/?fei=1wqvoxxy.9ek=vyad8=t3szpy&amp;f2::=4ibeh..e--:5d6.451&amp;x=pp&amp;r1.&amp;x=pv&amp;49-6&amp;aax00l=rvsqzNCLM" TargetMode="External"/><Relationship Id="rId256" Type="http://schemas.openxmlformats.org/officeDocument/2006/relationships/hyperlink" Target="https://e5c9a.mailupclient.com/f/rnl.aspx/?jhe=vwt_y1w_/&amp;x=pv&amp;bdi=tzfd&amp;=stywy/7f1-a=&amp;x=pv&amp;n1&amp;j&amp;kc949&amp;25&amp;x=pp&amp;uy.-5-&amp;x=pv&amp;83dbzb4h=rq/wssNCLM" TargetMode="External"/><Relationship Id="rId2299" Type="http://schemas.openxmlformats.org/officeDocument/2006/relationships/hyperlink" Target="https://a2g9b4.emailsp.com/f/rnl.aspx/?fei=2orws1vy.9ek=vyad8=t3ryuy&amp;f2::=7chafagb&amp;x=pp&amp;yx0-2.e16.&amp;x=pv&amp;2b5g=qtyzuNCLM" TargetMode="External"/><Relationship Id="rId255" Type="http://schemas.openxmlformats.org/officeDocument/2006/relationships/hyperlink" Target="https://www.facebook.com/reel/1420982339410053/" TargetMode="External"/><Relationship Id="rId254" Type="http://schemas.openxmlformats.org/officeDocument/2006/relationships/hyperlink" Target="https://a2g9b4.emailsp.com/f/rnl.aspx/?fei=1vvoo1vy.9ek=vyad8=/2rzx6d90.=:g7.g:cd&amp;88622&amp;x=pp&amp;w38a10c84c-y.:e=tpv/zNCLM" TargetMode="External"/><Relationship Id="rId293" Type="http://schemas.openxmlformats.org/officeDocument/2006/relationships/hyperlink" Target="https://e5c9a.mailupclient.com/f/rnl.aspx/?jhe=vwvwwvrv/&amp;x=pv&amp;bdi=tzfd&amp;=styvz/7f1-a=8e.dgcn&amp;&amp;x=pp&amp;u_9f1-a2&amp;.b/&amp;:d=rsvvttNCLM" TargetMode="External"/><Relationship Id="rId292" Type="http://schemas.openxmlformats.org/officeDocument/2006/relationships/hyperlink" Target="https://e5c9a.mailupclient.com/f/rnl.aspx/?jhe=vwvwwvrv/&amp;x=pv&amp;bdi=tzfd&amp;=stytw/7f1-a=8e.dgcn&amp;&amp;x=pp&amp;u_9f1-a2&amp;.b/&amp;:d=rsv3s_NCLM" TargetMode="External"/><Relationship Id="rId291" Type="http://schemas.openxmlformats.org/officeDocument/2006/relationships/hyperlink" Target="https://e5c9a.mailupclient.com/f/rnl.aspx/?jhe=vwurvxsx/&amp;x=pv&amp;bdi=tzfd&amp;=stysw/7f1-a=5k9hibg&amp;x=pv&amp;9a&amp;-c4&amp;501&amp;x=pp&amp;u_9f1-a2&amp;.b/&amp;:d=rsv3wxNCLM" TargetMode="External"/><Relationship Id="rId290" Type="http://schemas.openxmlformats.org/officeDocument/2006/relationships/hyperlink" Target="https://e5c9a.mailupclient.com/f/rnl.aspx/?jhe=vwurvxsx/&amp;x=pv&amp;bdi=tzfd&amp;=stysw/7f1-a=5k9hibg&amp;x=pv&amp;9a&amp;-c4&amp;501&amp;x=pp&amp;u_9f1-a2&amp;.b/&amp;:d=rsv3wxNCLM" TargetMode="External"/><Relationship Id="rId286" Type="http://schemas.openxmlformats.org/officeDocument/2006/relationships/hyperlink" Target="https://e5c9a.mailupclient.com/f/rnl.aspx/?jhe=1r_yq2o/a&amp;le=t/.l7=svs2p/9.99a=59ndi-a&amp;9g-7e:-49&amp;25&amp;x=pp&amp;uy.-5-&amp;x=pv&amp;83dbzb4h=rq/nwwNCLM" TargetMode="External"/><Relationship Id="rId285" Type="http://schemas.openxmlformats.org/officeDocument/2006/relationships/hyperlink" Target="https://e5c9a.mailupclient.com/f/rnl.aspx/?jhe=1r_yq2o/a&amp;le=t/.l7=svs2w/9.99a=59ndi-a&amp;9g-7e:-49&amp;25&amp;x=pp&amp;uy.-5-&amp;x=pv&amp;83dbzb4h=rq/o_sNCLM" TargetMode="External"/><Relationship Id="rId284" Type="http://schemas.openxmlformats.org/officeDocument/2006/relationships/hyperlink" Target="https://a2g9b4.emailsp.com/f/rnl.aspx/?fei=1vvoo1vy.9ek=vyad8=/2rrx6d90.=:g7.g:cd&amp;88622&amp;x=pp&amp;w38a10c84c-y.:e=tpwtyNCLM" TargetMode="External"/><Relationship Id="rId283" Type="http://schemas.openxmlformats.org/officeDocument/2006/relationships/hyperlink" Target="https://e5c9a.mailupclient.com/f/rnl.aspx/?jhe=vwvwwvrv/&amp;x=pv&amp;bdi=tzfd&amp;=styuv/7f1-a=8e.dgcn&amp;&amp;x=pp&amp;u_9f1-a2&amp;.b/&amp;:d=rsvvowNCLM" TargetMode="External"/><Relationship Id="rId289" Type="http://schemas.openxmlformats.org/officeDocument/2006/relationships/hyperlink" Target="https://e5c9a.mailupclient.com/f/rnl.aspx/?jhe=vwurvxsx/&amp;x=pv&amp;bdi=tzfd&amp;=styvu/7f1-a=5k9hibg&amp;x=pv&amp;9a&amp;-c4&amp;501&amp;x=pp&amp;u_9f1-a2&amp;.b/&amp;:d=rsvvprNCLM" TargetMode="External"/><Relationship Id="rId288" Type="http://schemas.openxmlformats.org/officeDocument/2006/relationships/hyperlink" Target="https://e5c9a.mailupclient.com/f/rnl.aspx/?jhe=vwurvxsx/&amp;x=pv&amp;bdi=tzfd&amp;=stzwv/7f1-a=5k9hibg&amp;x=pv&amp;9a&amp;-c4&amp;501&amp;x=pp&amp;u_9f1-a2&amp;.b/&amp;:d=rsvvusNCLM" TargetMode="External"/><Relationship Id="rId287" Type="http://schemas.openxmlformats.org/officeDocument/2006/relationships/hyperlink" Target="https://e5c9a.mailupclient.com/f/rnl.aspx/?jhe=1r_yq2o/a&amp;le=t/.l7=svs1o/9.99a=59ndi-a&amp;9g-7e:-49&amp;25&amp;x=pp&amp;uy.-5-&amp;x=pv&amp;83dbzb4h=rq/wytNCLM" TargetMode="External"/><Relationship Id="rId282" Type="http://schemas.openxmlformats.org/officeDocument/2006/relationships/hyperlink" Target="https://e5c9a.mailupclient.com/f/rnl.aspx/?jhe=vwurvxsx/&amp;x=pv&amp;bdi=tzfd&amp;=styvu/7f1-a=5k9hibg&amp;x=pv&amp;9a&amp;-c4&amp;501&amp;x=pp&amp;u_9f1-a2&amp;.b/&amp;:d=rsvvprNCLM" TargetMode="External"/><Relationship Id="rId281" Type="http://schemas.openxmlformats.org/officeDocument/2006/relationships/hyperlink" Target="https://e5c9a.mailupclient.com/f/rnl.aspx/?jhe=vwurvxsx/&amp;x=pv&amp;bdi=tzfd&amp;=styuu/7f1-a=5k9hibg&amp;x=pv&amp;9a&amp;-c4&amp;501&amp;x=pp&amp;u_9f1-a2&amp;.b/&amp;:d=rsv3vvNCLM" TargetMode="External"/><Relationship Id="rId280" Type="http://schemas.openxmlformats.org/officeDocument/2006/relationships/hyperlink" Target="https://e5c9a.mailupclient.com/f/rnl.aspx/?jhe=1r_yq2o/a&amp;le=t/.l7=svs1t/9.99a=59ndi-a&amp;9g-7e:-49&amp;25&amp;x=pp&amp;uy.-5-&amp;x=pv&amp;83dbzb4h=rq/nr_NCLM" TargetMode="External"/><Relationship Id="rId275" Type="http://schemas.openxmlformats.org/officeDocument/2006/relationships/hyperlink" Target="https://e5c9a.mailupclient.com/f/rnl.aspx/?jhe=vwurvxsx/&amp;x=pv&amp;bdi=tzfd&amp;=styuw/7f1-a=5k9hibg&amp;x=pv&amp;9a&amp;-c4&amp;501&amp;x=pp&amp;u_9f1-a2&amp;.b/&amp;:d=rsvvwzNCLM" TargetMode="External"/><Relationship Id="rId274" Type="http://schemas.openxmlformats.org/officeDocument/2006/relationships/hyperlink" Target="https://e5c9a.mailupclient.com/f/rnl.aspx/?jhe=vwt_y1w_/&amp;x=pv&amp;bdi=tzfd&amp;=styu_/7f1-a=&amp;x=pv&amp;n1&amp;j&amp;kc949&amp;25&amp;x=pp&amp;uy.-5-&amp;x=pv&amp;83dbzb4h=rq/wxzNCLM" TargetMode="External"/><Relationship Id="rId273" Type="http://schemas.openxmlformats.org/officeDocument/2006/relationships/hyperlink" Target="https://e5c9a.mailupclient.com/f/rnl.aspx/?jhe=vwt_y1w_/&amp;x=pv&amp;bdi=tzfd&amp;=stytx/7f1-a=&amp;x=pv&amp;n1&amp;j&amp;kc949&amp;25&amp;x=pp&amp;uy.-5-&amp;x=pv&amp;83dbzb4h=rq/wwzNCLM" TargetMode="External"/><Relationship Id="rId272" Type="http://schemas.openxmlformats.org/officeDocument/2006/relationships/hyperlink" Target="https://e5c9a.mailupclient.com/f/rnl.aspx/?jhe=vwt_y1w_/&amp;x=pv&amp;bdi=tzfd&amp;=styty/7f1-a=&amp;x=pv&amp;n1&amp;j&amp;kc949&amp;25&amp;x=pp&amp;uy.-5-&amp;x=pv&amp;83dbzb4h=rq/wz_NCLM" TargetMode="External"/><Relationship Id="rId279" Type="http://schemas.openxmlformats.org/officeDocument/2006/relationships/hyperlink" Target="https://e5c9a.mailupclient.com/f/rnl.aspx/?jhe=1r_yq2o/a&amp;le=t/.l7=svs1o/9.99a=59ndi-a&amp;9g-7e:-49&amp;25&amp;x=pp&amp;uy.-5-&amp;x=pv&amp;83dbzb4h=rq/wytNCLM" TargetMode="External"/><Relationship Id="rId278" Type="http://schemas.openxmlformats.org/officeDocument/2006/relationships/hyperlink" Target="https://www.facebook.com/GCBA/posts/pfbid0tstzqenYSpgrHsNAJBK27a17SRX9msyRZKWdU3KqkYKtHCpMz2UsbucJ4wCX6SLal" TargetMode="External"/><Relationship Id="rId277" Type="http://schemas.openxmlformats.org/officeDocument/2006/relationships/hyperlink" Target="https://e5c9a.mailupclient.com/f/rnl.aspx/?jhe=vwurvxsx/&amp;x=pv&amp;bdi=tzfd&amp;=stytt/7f1-a=5k9hibg&amp;x=pv&amp;9a&amp;-c4&amp;501&amp;x=pp&amp;u_9f1-a2&amp;.b/&amp;:d=rsv3rrNCLM" TargetMode="External"/><Relationship Id="rId276" Type="http://schemas.openxmlformats.org/officeDocument/2006/relationships/hyperlink" Target="https://e5c9a.mailupclient.com/f/rnl.aspx/?jhe=1r_yq2o/a&amp;le=t/.l7=svs1t/9.99a=59ndi-a&amp;9g-7e:-49&amp;25&amp;x=pp&amp;uy.-5-&amp;x=pv&amp;83dbzb4h=rq/nr_NCLM" TargetMode="External"/><Relationship Id="rId1851" Type="http://schemas.openxmlformats.org/officeDocument/2006/relationships/hyperlink" Target="https://www.facebook.com/reel/1458725662138823/" TargetMode="External"/><Relationship Id="rId1852" Type="http://schemas.openxmlformats.org/officeDocument/2006/relationships/hyperlink" Target="https://a2g9b4.emailsp.com/f/rnl.aspx/?fei=1wqvoxxy.9ek=vyad8=t3qxwy&amp;f2::=4ibeh..e--:5d6.451&amp;x=pp&amp;r1.&amp;x=pv&amp;49-6&amp;aax00l=rvwr_NCLM" TargetMode="External"/><Relationship Id="rId1853" Type="http://schemas.openxmlformats.org/officeDocument/2006/relationships/hyperlink" Target="https://www.facebook.com/reel/1458725662138823/" TargetMode="External"/><Relationship Id="rId2700" Type="http://schemas.openxmlformats.org/officeDocument/2006/relationships/hyperlink" Target="https://a2g9b4.emailsp.com/f/rnl.aspx/?fei=2orws1vy.9ek=vyad8=t3tywy&amp;f2::=7chafagb&amp;x=pp&amp;yx0-2.e16.&amp;x=pv&amp;2b5g=qux2rNCLM" TargetMode="External"/><Relationship Id="rId1854" Type="http://schemas.openxmlformats.org/officeDocument/2006/relationships/hyperlink" Target="https://e5c9a.mailupclient.com/f/rnl.aspx/?jhe=vwurvxsx/&amp;x=pv&amp;bdi=tzfd&amp;=suvtv/7f1-a=5k9hibg&amp;x=pv&amp;9a&amp;-c4&amp;501&amp;x=pp&amp;u_9f1-a2&amp;.b/&amp;:d=rtyyvsNCLM" TargetMode="External"/><Relationship Id="rId2701" Type="http://schemas.openxmlformats.org/officeDocument/2006/relationships/hyperlink" Target="https://a2g9b4.emailsp.com/f/rnl.aspx/?fei=2orws1vy.9ek=vyad8=t3twty&amp;f2::=7chafagb&amp;x=pp&amp;yx0-2.e16.&amp;x=pv&amp;2b5g=qux2qNCLM" TargetMode="External"/><Relationship Id="rId1855" Type="http://schemas.openxmlformats.org/officeDocument/2006/relationships/hyperlink" Target="https://a2g9b4.emailsp.com/f/rnl.aspx/?fei=2orws1vy.9ek=vyad8=t3qvpy&amp;f2::=7chafagb&amp;x=pp&amp;yx0-2.e16.&amp;x=pv&amp;2b5g=qttwxNCLM" TargetMode="External"/><Relationship Id="rId2702" Type="http://schemas.openxmlformats.org/officeDocument/2006/relationships/hyperlink" Target="https://a2g9b4.emailsp.com/f/rnl.aspx/?fei=2orws1vy.9ek=vyad8=t3tyty&amp;f2::=7chafagb&amp;x=pp&amp;yx0-2.e16.&amp;x=pv&amp;2b5g=quyvvNCLM" TargetMode="External"/><Relationship Id="rId1856" Type="http://schemas.openxmlformats.org/officeDocument/2006/relationships/hyperlink" Target="https://www.facebook.com/reel/892334696944794" TargetMode="External"/><Relationship Id="rId2703" Type="http://schemas.openxmlformats.org/officeDocument/2006/relationships/hyperlink" Target="https://e5c9a.mailupclient.com/f/rnl.aspx/?jhe=vwt_y1w_/&amp;x=pv&amp;bdi=tzfd&amp;=suzpu/7f1-a=&amp;x=pv&amp;n1&amp;j&amp;kc949&amp;25&amp;x=pp&amp;uy.-5-&amp;x=pv&amp;83dbzb4h=rrwnzzNCLM" TargetMode="External"/><Relationship Id="rId1857" Type="http://schemas.openxmlformats.org/officeDocument/2006/relationships/hyperlink" Target="https://a2g9b4.emailsp.com/f/rnl.aspx/?fei=1wqvoxxy.9ek=vyad8=t3qvpy&amp;f2::=4ibeh..e--:5d6.451&amp;x=pp&amp;r1.&amp;x=pv&amp;49-6&amp;aax00l=ruvsxNCLM" TargetMode="External"/><Relationship Id="rId2704" Type="http://schemas.openxmlformats.org/officeDocument/2006/relationships/hyperlink" Target="https://a2g9b4.emailsp.com/f/rnl.aspx/?fei=1vvoo_2y.9ek=vyad8=t3txwy&amp;f2::=k702m1k6.451&amp;x=pp&amp;r1.&amp;x=pv&amp;49-6&amp;aax00l=rwrovNCLM" TargetMode="External"/><Relationship Id="rId1858" Type="http://schemas.openxmlformats.org/officeDocument/2006/relationships/hyperlink" Target="https://www.facebook.com/GCBA/posts/pfbid03nkHcuji6X3anVJ2Sd42mxzzM1TFKDY6Gur9BTKCkfWSTXrquDv96uj5yQ4v8hV5l" TargetMode="External"/><Relationship Id="rId2705" Type="http://schemas.openxmlformats.org/officeDocument/2006/relationships/hyperlink" Target="https://a2g9b4.emailsp.com/f/rnl.aspx/?fei=1vvoo_2y.9ek=vyad8=t3txuy&amp;f2::=k702m1k6.451&amp;x=pp&amp;r1.&amp;x=pv&amp;49-6&amp;aax00l=rwrsyNCLM" TargetMode="External"/><Relationship Id="rId1859" Type="http://schemas.openxmlformats.org/officeDocument/2006/relationships/hyperlink" Target="https://a2g9b4.emailsp.com/f/rnl.aspx/?fei=2orws1vy.9ek=vyad8=t3qxvy&amp;f2::=7chafagb&amp;x=pp&amp;yx0-2.e16.&amp;x=pv&amp;2b5g=qttvoNCLM" TargetMode="External"/><Relationship Id="rId2706" Type="http://schemas.openxmlformats.org/officeDocument/2006/relationships/hyperlink" Target="https://e5c9a.mailupclient.com/f/rnl.aspx/?jhe=vwszuxsy/&amp;x=pv&amp;bdi=tzfd&amp;=suzq_/7f1-a=l925n3r/&amp;749&amp;x=pp&amp;q_&amp;.99a45h-/-6l=ntsqypNCLM" TargetMode="External"/><Relationship Id="rId2707" Type="http://schemas.openxmlformats.org/officeDocument/2006/relationships/hyperlink" Target="https://e5c9a.mailupclient.com/f/rnl.aspx/?jhe=vwszuxsy/&amp;x=pv&amp;bdi=tzfd&amp;=suzqr/7f1-a=l925n3r/&amp;749&amp;x=pp&amp;q_&amp;.99a45h-/-6l=ntsqyqNCLM" TargetMode="External"/><Relationship Id="rId2708" Type="http://schemas.openxmlformats.org/officeDocument/2006/relationships/hyperlink" Target="https://e5c9a.mailupclient.com/f/rnl.aspx/?jhe=1r_yq2o/a&amp;le=t/.l7=swtyr/9.99a=59ndi-a&amp;9g-7e:-49&amp;25&amp;x=pp&amp;uy.-5-&amp;x=pv&amp;83dbzb4h=rrwovyNCLM" TargetMode="External"/><Relationship Id="rId2709" Type="http://schemas.openxmlformats.org/officeDocument/2006/relationships/hyperlink" Target="https://e5c9a.mailupclient.com/f/rnl.aspx/?jhe=1r_yq2o/a&amp;le=t/.l7=swtyo/9.99a=59ndi-a&amp;9g-7e:-49&amp;25&amp;x=pp&amp;uy.-5-&amp;x=pv&amp;83dbzb4h=rrwow_NCLM" TargetMode="External"/><Relationship Id="rId1850" Type="http://schemas.openxmlformats.org/officeDocument/2006/relationships/hyperlink" Target="https://e5c9a.mailupclient.com/f/rnl.aspx/?jhe=vwurvxsx/&amp;x=pv&amp;bdi=tzfd&amp;=suvtr/7f1-a=5k9hibg&amp;x=pv&amp;9a&amp;-c4&amp;501&amp;x=pp&amp;u_9f1-a2&amp;.b/&amp;:d=rtyyvrNCLM" TargetMode="External"/><Relationship Id="rId1840" Type="http://schemas.openxmlformats.org/officeDocument/2006/relationships/hyperlink" Target="https://a2g9b4.emailsp.com/f/rnl.aspx/?fei=1uwuq_vy.9ek=vyad8=t3qxsy&amp;f2::=2-neh9.9bd:5-cb10337&amp;x=pp&amp;yx0-2.e16.&amp;x=pv&amp;2b5g=qt12oNCLM" TargetMode="External"/><Relationship Id="rId1841" Type="http://schemas.openxmlformats.org/officeDocument/2006/relationships/hyperlink" Target="https://www.facebook.com/reel/1458725662138823/" TargetMode="External"/><Relationship Id="rId1842" Type="http://schemas.openxmlformats.org/officeDocument/2006/relationships/hyperlink" Target="https://a2g9b4.emailsp.com/f/rnl.aspx/?fei=1uwuq_vy.9ek=vyad8=t3qxuy&amp;f2::=2-neh9.9bd:5-cb10337&amp;x=pp&amp;yx0-2.e16.&amp;x=pv&amp;2b5g=qt1/wNCLM" TargetMode="External"/><Relationship Id="rId1843" Type="http://schemas.openxmlformats.org/officeDocument/2006/relationships/hyperlink" Target="https://www.facebook.com/reel/1458725662138823/" TargetMode="External"/><Relationship Id="rId1844" Type="http://schemas.openxmlformats.org/officeDocument/2006/relationships/hyperlink" Target="https://e5c9a.mailupclient.com/f/rnl.aspx/?jhe=1r_yq2o/a&amp;le=t/.l7=swp1r/9.99a=59ndi-a&amp;9g-7e:-49&amp;25&amp;x=pp&amp;uy.-5-&amp;x=pv&amp;83dbzb4h=rr3rsrNCLM" TargetMode="External"/><Relationship Id="rId1845" Type="http://schemas.openxmlformats.org/officeDocument/2006/relationships/hyperlink" Target="https://www.facebook.com/reel/1458725662138823/" TargetMode="External"/><Relationship Id="rId1846" Type="http://schemas.openxmlformats.org/officeDocument/2006/relationships/hyperlink" Target="https://e5c9a.mailupclient.com/f/rnl.aspx/?jhe=1r_yq2o/a&amp;le=t/.l7=swp1s/9.99a=59ndi-a&amp;9g-7e:-49&amp;25&amp;x=pp&amp;uy.-5-&amp;x=pv&amp;83dbzb4h=rr3rsvNCLM" TargetMode="External"/><Relationship Id="rId1847" Type="http://schemas.openxmlformats.org/officeDocument/2006/relationships/hyperlink" Target="https://www.facebook.com/reel/1458725662138823/" TargetMode="External"/><Relationship Id="rId1848" Type="http://schemas.openxmlformats.org/officeDocument/2006/relationships/hyperlink" Target="https://e5c9a.mailupclient.com/f/rnl.aspx/?jhe=1r_yq2o/a&amp;le=t/.l7=swp1v/9.99a=59ndi-a&amp;9g-7e:-49&amp;25&amp;x=pp&amp;uy.-5-&amp;x=pv&amp;83dbzb4h=rr3rtwNCLM" TargetMode="External"/><Relationship Id="rId1849" Type="http://schemas.openxmlformats.org/officeDocument/2006/relationships/hyperlink" Target="https://www.facebook.com/reel/1458725662138823/" TargetMode="External"/><Relationship Id="rId1873" Type="http://schemas.openxmlformats.org/officeDocument/2006/relationships/hyperlink" Target="https://a2g9b4.emailsp.com/f/rnl.aspx/?fei=1vvoo_2y.9ek=vyad8=t3qxpy&amp;f2::=k702m1k6.451&amp;x=pp&amp;r1.&amp;x=pv&amp;49-6&amp;aax00l=rvwt_NCLM" TargetMode="External"/><Relationship Id="rId2720" Type="http://schemas.openxmlformats.org/officeDocument/2006/relationships/hyperlink" Target="https://e5c9a.mailupclient.com/f/rnl.aspx/?jhe=vwurvxsx/&amp;x=pv&amp;bdi=tzfd&amp;=suzqz/7f1-a=5k9hibg&amp;x=pv&amp;9a&amp;-c4&amp;501&amp;x=pp&amp;u_9f1-a2&amp;.b/&amp;:d=rtqwvvNCLM" TargetMode="External"/><Relationship Id="rId1874" Type="http://schemas.openxmlformats.org/officeDocument/2006/relationships/hyperlink" Target="https://a2g9b4.emailsp.com/f/rnl.aspx/?fei=1vvoo_2y.9ek=vyad8=t3qxpy&amp;f2::=k702m1k6.451&amp;x=pp&amp;r1.&amp;x=pv&amp;49-6&amp;aax00l=rvwt_NCLM" TargetMode="External"/><Relationship Id="rId2721" Type="http://schemas.openxmlformats.org/officeDocument/2006/relationships/hyperlink" Target="https://a2g9b4.emailsp.com/f/rnl.aspx/?fei=2orws1vy.9ek=vyad8=t3tyty&amp;f2::=7chafagb&amp;x=pp&amp;yx0-2.e16.&amp;x=pv&amp;2b5g=quyvvNCLM" TargetMode="External"/><Relationship Id="rId1875" Type="http://schemas.openxmlformats.org/officeDocument/2006/relationships/hyperlink" Target="https://a2g9b4.emailsp.com/f/rnl.aspx/?fei=1vvoo_2y.9ek=vyad8=t3ssqy&amp;f2::=k702m1k6.451&amp;x=pp&amp;r1.&amp;x=pv&amp;49-6&amp;aax00l=rvvqzNCLM" TargetMode="External"/><Relationship Id="rId2722" Type="http://schemas.openxmlformats.org/officeDocument/2006/relationships/hyperlink" Target="https://a2g9b4.emailsp.com/f/rnl.aspx/?fei=1uwuq_vy.9ek=vyad8=t3typy&amp;f2::=2-neh9.9bd:5-cb10337&amp;x=pp&amp;yx0-2.e16.&amp;x=pv&amp;2b5g=qux1oNCLM" TargetMode="External"/><Relationship Id="rId1876" Type="http://schemas.openxmlformats.org/officeDocument/2006/relationships/hyperlink" Target="https://www.facebook.com/GCBA/posts/pfbid02iw8uuBHWCMqC5Js5THFnmJWbhtHsXJyRWQhn57xwN7tYiSpmemuFf8Q69ErcRj9rl" TargetMode="External"/><Relationship Id="rId2723" Type="http://schemas.openxmlformats.org/officeDocument/2006/relationships/hyperlink" Target="https://a2g9b4.emailsp.com/f/rnl.aspx/?fei=1wqvoxxy.9ek=vyad8=t3txty&amp;f2::=4ibeh..e--:5d6.451&amp;x=pp&amp;r1.&amp;x=pv&amp;49-6&amp;aax00l=rwrsuNCLM" TargetMode="External"/><Relationship Id="rId1877" Type="http://schemas.openxmlformats.org/officeDocument/2006/relationships/hyperlink" Target="https://a2g9b4.emailsp.com/f/rnl.aspx/?fei=1vvoo_2y.9ek=vyad8=t3suty&amp;f2::=k702m1k6.451&amp;x=pp&amp;r1.&amp;x=pv&amp;49-6&amp;aax00l=rwwx_NCLM" TargetMode="External"/><Relationship Id="rId2724" Type="http://schemas.openxmlformats.org/officeDocument/2006/relationships/hyperlink" Target="https://a2g9b4.emailsp.com/f/rnl.aspx/?fei=2orws1vy.9ek=vyad8=t3txty&amp;f2::=7chafagb&amp;x=pp&amp;yx0-2.e16.&amp;x=pv&amp;2b5g=quywvNCLM" TargetMode="External"/><Relationship Id="rId1878" Type="http://schemas.openxmlformats.org/officeDocument/2006/relationships/hyperlink" Target="https://www.facebook.com/GCBA/posts/pfbid04S7sAT7sFrb3i18CBvX1Dvb7T5MrHK5iBi6fnpcR6h7zkdPkJDi1SBXUbLt8jNXVl" TargetMode="External"/><Relationship Id="rId2725" Type="http://schemas.openxmlformats.org/officeDocument/2006/relationships/hyperlink" Target="https://a2g9b4.emailsp.com/f/rnl.aspx/?fei=2orws1vy.9ek=vyad8=t3uzwy&amp;f2::=7chafagb&amp;x=pp&amp;yx0-2.e16.&amp;x=pv&amp;2b5g=quyyvNCLM" TargetMode="External"/><Relationship Id="rId1879" Type="http://schemas.openxmlformats.org/officeDocument/2006/relationships/hyperlink" Target="https://e5c9a.mailupclient.com/f/rnl.aspx/?jhe=vwszuxsy/&amp;x=pv&amp;bdi=tzfd&amp;=suxvz/7f1-a=l925n3r/&amp;749&amp;x=pp&amp;q_&amp;.99a45h-/-6l=ntrt/oNCLM" TargetMode="External"/><Relationship Id="rId2726" Type="http://schemas.openxmlformats.org/officeDocument/2006/relationships/hyperlink" Target="https://a2g9b4.emailsp.com/f/rnl.aspx/?fei=2orws1vy.9ek=vyad8=t3uzqy&amp;f2::=7chafagb&amp;x=pp&amp;yx0-2.e16.&amp;x=pv&amp;2b5g=quy_wNCLM" TargetMode="External"/><Relationship Id="rId2727" Type="http://schemas.openxmlformats.org/officeDocument/2006/relationships/hyperlink" Target="https://e5c9a.mailupclient.com/f/rnl.aspx/?jhe=vwt_y1w_/&amp;x=pv&amp;bdi=tzfd&amp;=suzrs/7f1-a=&amp;x=pv&amp;n1&amp;j&amp;kc949&amp;25&amp;x=pp&amp;uy.-5-&amp;x=pv&amp;83dbzb4h=rrwputNCLM" TargetMode="External"/><Relationship Id="rId2728" Type="http://schemas.openxmlformats.org/officeDocument/2006/relationships/hyperlink" Target="https://e5c9a.mailupclient.com/f/rnl.aspx/?jhe=vwt_y1w_/&amp;x=pv&amp;bdi=tzfd&amp;=suzrt/7f1-a=&amp;x=pv&amp;n1&amp;j&amp;kc949&amp;25&amp;x=pp&amp;uy.-5-&amp;x=pv&amp;83dbzb4h=rrwptyNCLM" TargetMode="External"/><Relationship Id="rId2729" Type="http://schemas.openxmlformats.org/officeDocument/2006/relationships/hyperlink" Target="https://e5c9a.mailupclient.com/f/rnl.aspx/?jhe=vwt_y1w_/&amp;x=pv&amp;bdi=tzfd&amp;=suzru/7f1-a=&amp;x=pv&amp;n1&amp;j&amp;kc949&amp;25&amp;x=pp&amp;uy.-5-&amp;x=pv&amp;83dbzb4h=rrwpuxNCLM" TargetMode="External"/><Relationship Id="rId1870" Type="http://schemas.openxmlformats.org/officeDocument/2006/relationships/hyperlink" Target="https://e5c9a.mailupclient.com/f/rnl.aspx/?jhe=vwt_y1w_/&amp;x=pv&amp;bdi=tzfd&amp;=suvvu/7f1-a=&amp;x=pv&amp;n1&amp;j&amp;kc949&amp;25&amp;x=pp&amp;uy.-5-&amp;x=pv&amp;83dbzb4h=rr3rwwNCLM" TargetMode="External"/><Relationship Id="rId1871" Type="http://schemas.openxmlformats.org/officeDocument/2006/relationships/hyperlink" Target="https://www.facebook.com/GCBA/posts/pfbid0Pznwvb2iEUy69CbGNn1ijyJpDoT3MVoMAqbjE7dnaLmy1nJ4umHMbEApNRFwAHiMl" TargetMode="External"/><Relationship Id="rId1872" Type="http://schemas.openxmlformats.org/officeDocument/2006/relationships/hyperlink" Target="https://e5c9a.mailupclient.com/f/rnl.aspx/?jhe=vwurvxsx/&amp;x=pv&amp;bdi=tzfd&amp;=suvvw/7f1-a=5k9hibg&amp;x=pv&amp;9a&amp;-c4&amp;501&amp;x=pp&amp;u_9f1-a2&amp;.b/&amp;:d=rtyzuwNCLM" TargetMode="External"/><Relationship Id="rId1862" Type="http://schemas.openxmlformats.org/officeDocument/2006/relationships/hyperlink" Target="https://www.facebook.com/GCBA/posts/pfbid0yNKogB7jFPoddY254ViUCjQMASFGzkNsvYdNCaLZM1xpD1tMtpFGeutoLQCfH9qYl" TargetMode="External"/><Relationship Id="rId1863" Type="http://schemas.openxmlformats.org/officeDocument/2006/relationships/hyperlink" Target="https://e5c9a.mailupclient.com/f/rnl.aspx/?jhe=vwvwwvrv/&amp;x=pv&amp;bdi=tzfd&amp;=suww_/7f1-a=8e.dgcn&amp;&amp;x=pp&amp;u_9f1-a2&amp;.b/&amp;:d=rtyzurNCLM" TargetMode="External"/><Relationship Id="rId2710" Type="http://schemas.openxmlformats.org/officeDocument/2006/relationships/hyperlink" Target="https://e5c9a.mailupclient.com/f/rnl.aspx/?jhe=1r_yq2o/a&amp;le=t/.l7=swtyp/9.99a=59ndi-a&amp;9g-7e:-49&amp;25&amp;x=pp&amp;uy.-5-&amp;x=pv&amp;83dbzb4h=rrwowrNCLM" TargetMode="External"/><Relationship Id="rId1864" Type="http://schemas.openxmlformats.org/officeDocument/2006/relationships/hyperlink" Target="https://www.facebook.com/GCBA/posts/pfbid0yNKogB7jFPoddY254ViUCjQMASFGzkNsvYdNCaLZM1xpD1tMtpFGeutoLQCfH9qYl" TargetMode="External"/><Relationship Id="rId2711" Type="http://schemas.openxmlformats.org/officeDocument/2006/relationships/hyperlink" Target="https://e5c9a.mailupclient.com/f/rnl.aspx/?jhe=1r_yq2o/a&amp;le=t/.l7=swtyq/9.99a=59ndi-a&amp;9g-7e:-49&amp;25&amp;x=pp&amp;uy.-5-&amp;x=pv&amp;83dbzb4h=rrwowsNCLM" TargetMode="External"/><Relationship Id="rId1865" Type="http://schemas.openxmlformats.org/officeDocument/2006/relationships/hyperlink" Target="https://e5c9a.mailupclient.com/f/rnl.aspx/?jhe=vwt_y1w_/&amp;x=pv&amp;bdi=tzfd&amp;=suvqz/7f1-a=&amp;x=pv&amp;n1&amp;j&amp;kc949&amp;25&amp;x=pp&amp;uy.-5-&amp;x=pv&amp;83dbzb4h=rr3ruuNCLM" TargetMode="External"/><Relationship Id="rId2712" Type="http://schemas.openxmlformats.org/officeDocument/2006/relationships/hyperlink" Target="https://a2g9b4.emailsp.com/f/rnl.aspx/?fei=1uwuq_vy.9ek=vyad8=t3tyry&amp;f2::=2-neh9.9bd:5-cb10337&amp;x=pp&amp;yx0-2.e16.&amp;x=pv&amp;2b5g=qux2xNCLM" TargetMode="External"/><Relationship Id="rId1866" Type="http://schemas.openxmlformats.org/officeDocument/2006/relationships/hyperlink" Target="https://e5c9a.mailupclient.com/f/rnl.aspx/?jhe=vwt_y1w_/&amp;x=pv&amp;bdi=tzfd&amp;=su3rt/7f1-a=&amp;x=pv&amp;n1&amp;j&amp;kc949&amp;25&amp;x=pp&amp;uy.-5-&amp;x=pv&amp;83dbzb4h=rr3rvzNCLM" TargetMode="External"/><Relationship Id="rId2713" Type="http://schemas.openxmlformats.org/officeDocument/2006/relationships/hyperlink" Target="https://a2g9b4.emailsp.com/f/rnl.aspx/?fei=1uwuq_vy.9ek=vyad8=t3tyry&amp;f2::=2-neh9.9bd:5-cb10337&amp;x=pp&amp;yx0-2.e16.&amp;x=pv&amp;2b5g=qux2xNCLM" TargetMode="External"/><Relationship Id="rId1867" Type="http://schemas.openxmlformats.org/officeDocument/2006/relationships/hyperlink" Target="https://www.facebook.com/GCBA/posts/pfbid0Pznwvb2iEUy69CbGNn1ijyJpDoT3MVoMAqbjE7dnaLmy1nJ4umHMbEApNRFwAHiMl" TargetMode="External"/><Relationship Id="rId2714" Type="http://schemas.openxmlformats.org/officeDocument/2006/relationships/hyperlink" Target="https://a2g9b4.emailsp.com/f/rnl.aspx/?fei=1uwuq_vy.9ek=vyad8=t3tysy&amp;f2::=2-neh9.9bd:5-cb10337&amp;x=pp&amp;yx0-2.e16.&amp;x=pv&amp;2b5g=qux2oNCLM" TargetMode="External"/><Relationship Id="rId1868" Type="http://schemas.openxmlformats.org/officeDocument/2006/relationships/hyperlink" Target="https://e5c9a.mailupclient.com/f/rnl.aspx/?jhe=vwt_y1w_/&amp;x=pv&amp;bdi=tzfd&amp;=suvvr/7f1-a=&amp;x=pv&amp;n1&amp;j&amp;kc949&amp;25&amp;x=pp&amp;uy.-5-&amp;x=pv&amp;83dbzb4h=rr3rv_NCLM" TargetMode="External"/><Relationship Id="rId2715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869" Type="http://schemas.openxmlformats.org/officeDocument/2006/relationships/hyperlink" Target="https://www.facebook.com/GCBA/posts/pfbid0Pznwvb2iEUy69CbGNn1ijyJpDoT3MVoMAqbjE7dnaLmy1nJ4umHMbEApNRFwAHiMl" TargetMode="External"/><Relationship Id="rId2716" Type="http://schemas.openxmlformats.org/officeDocument/2006/relationships/hyperlink" Target="https://e5c9a.mailupclient.com/f/rnl.aspx/?jhe=1r_yq2o/a&amp;le=t/.l7=swtzw/9.99a=59ndi-a&amp;9g-7e:-49&amp;25&amp;x=pp&amp;uy.-5-&amp;x=pv&amp;83dbzb4h=rrwprwNCLM" TargetMode="External"/><Relationship Id="rId2717" Type="http://schemas.openxmlformats.org/officeDocument/2006/relationships/hyperlink" Target="https://e5c9a.mailupclient.com/f/rnl.aspx/?jhe=vwurvxsx/&amp;x=pv&amp;bdi=tzfd&amp;=suzqx/7f1-a=5k9hibg&amp;x=pv&amp;9a&amp;-c4&amp;501&amp;x=pp&amp;u_9f1-a2&amp;.b/&amp;:d=rtqwsuNCLM" TargetMode="External"/><Relationship Id="rId2718" Type="http://schemas.openxmlformats.org/officeDocument/2006/relationships/hyperlink" Target="https://a2g9b4.emailsp.com/f/rnl.aspx/?fei=1wqvoxxy.9ek=vyad8=t3tyuy&amp;f2::=4ibeh..e--:5d6.451&amp;x=pp&amp;r1.&amp;x=pv&amp;49-6&amp;aax00l=rwsxxNCLM" TargetMode="External"/><Relationship Id="rId2719" Type="http://schemas.openxmlformats.org/officeDocument/2006/relationships/hyperlink" Target="https://a2g9b4.emailsp.com/f/rnl.aspx/?fei=1wqvoxxy.9ek=vyad8=t3txry&amp;f2::=4ibeh..e--:5d6.451&amp;x=pp&amp;r1.&amp;x=pv&amp;49-6&amp;aax00l=rwrs1NCLM" TargetMode="External"/><Relationship Id="rId1860" Type="http://schemas.openxmlformats.org/officeDocument/2006/relationships/hyperlink" Target="https://www.facebook.com/reel/1324354759615538" TargetMode="External"/><Relationship Id="rId1861" Type="http://schemas.openxmlformats.org/officeDocument/2006/relationships/hyperlink" Target="https://e5c9a.mailupclient.com/f/rnl.aspx/?jhe=vwvwwvrv/&amp;x=pv&amp;bdi=tzfd&amp;=suvvs/7f1-a=8e.dgcn&amp;&amp;x=pp&amp;u_9f1-a2&amp;.b/&amp;:d=rtyzv_NCLM" TargetMode="External"/><Relationship Id="rId1810" Type="http://schemas.openxmlformats.org/officeDocument/2006/relationships/hyperlink" Target="https://www.facebook.com/reel/1476952487457454" TargetMode="External"/><Relationship Id="rId1811" Type="http://schemas.openxmlformats.org/officeDocument/2006/relationships/hyperlink" Target="https://e5c9a.mailupclient.com/f/rnl.aspx/?jhe=vwt_y1w_/&amp;x=pv&amp;bdi=tzfd&amp;=suvsu/7f1-a=&amp;x=pv&amp;n1&amp;j&amp;kc949&amp;25&amp;x=pp&amp;uy.-5-&amp;x=pv&amp;83dbzb4h=rr3qwyNCLM" TargetMode="External"/><Relationship Id="rId1812" Type="http://schemas.openxmlformats.org/officeDocument/2006/relationships/hyperlink" Target="https://www.facebook.com/reel/1476952487457454" TargetMode="External"/><Relationship Id="rId1813" Type="http://schemas.openxmlformats.org/officeDocument/2006/relationships/hyperlink" Target="https://e5c9a.mailupclient.com/f/rnl.aspx/?jhe=vwurvxsx/&amp;x=pv&amp;bdi=tzfd&amp;=suvt_/7f1-a=5k9hibg&amp;x=pv&amp;9a&amp;-c4&amp;501&amp;x=pp&amp;u_9f1-a2&amp;.b/&amp;:d=rtyyttNCLM" TargetMode="External"/><Relationship Id="rId1814" Type="http://schemas.openxmlformats.org/officeDocument/2006/relationships/hyperlink" Target="https://e5c9a.mailupclient.com/f/rnl.aspx/?jhe=vwurvxsx/&amp;x=pv&amp;bdi=tzfd&amp;=suvt_/7f1-a=5k9hibg&amp;x=pv&amp;9a&amp;-c4&amp;501&amp;x=pp&amp;u_9f1-a2&amp;.b/&amp;:d=rtyyttNCLM" TargetMode="External"/><Relationship Id="rId1815" Type="http://schemas.openxmlformats.org/officeDocument/2006/relationships/hyperlink" Target="https://www.facebook.com/GCBA/posts/pfbid0KaN8VK5HPLqjRy6qRgxyBF2wmSBx5kdmXWyHo2mJKUmzLodczR2ze3E1CWbBxpinl" TargetMode="External"/><Relationship Id="rId1816" Type="http://schemas.openxmlformats.org/officeDocument/2006/relationships/hyperlink" Target="https://e5c9a.mailupclient.com/f/rnl.aspx/?jhe=vwszuxsy/&amp;x=pv&amp;bdi=tzfd&amp;=suvsv/7f1-a=l925n3r/&amp;749&amp;x=pp&amp;q_&amp;.99a45h-/-6l=nt_syvNCLM" TargetMode="External"/><Relationship Id="rId1817" Type="http://schemas.openxmlformats.org/officeDocument/2006/relationships/hyperlink" Target="https://www.facebook.com/GCBA/posts/pfbid0KaN8VK5HPLqjRy6qRgxyBF2wmSBx5kdmXWyHo2mJKUmzLodczR2ze3E1CWbBxpinl" TargetMode="External"/><Relationship Id="rId1818" Type="http://schemas.openxmlformats.org/officeDocument/2006/relationships/hyperlink" Target="https://e5c9a.mailupclient.com/f/rnl.aspx/?jhe=1r_yq2o/a&amp;le=t/.l7=swp_p/9.99a=59ndi-a&amp;9g-7e:-49&amp;25&amp;x=pp&amp;uy.-5-&amp;x=pv&amp;83dbzb4h=rr3qruNCLM" TargetMode="External"/><Relationship Id="rId1819" Type="http://schemas.openxmlformats.org/officeDocument/2006/relationships/hyperlink" Target="https://www.facebook.com/reel/1000083625809942/" TargetMode="External"/><Relationship Id="rId1800" Type="http://schemas.openxmlformats.org/officeDocument/2006/relationships/hyperlink" Target="https://e5c9a.mailupclient.com/f/rnl.aspx/?jhe=vwurvxsx/&amp;x=pv&amp;bdi=tzfd&amp;=suvsy/7f1-a=5k9hibg&amp;x=pv&amp;9a&amp;-c4&amp;501&amp;x=pp&amp;u_9f1-a2&amp;.b/&amp;:d=rtyytrNCLM" TargetMode="External"/><Relationship Id="rId1801" Type="http://schemas.openxmlformats.org/officeDocument/2006/relationships/hyperlink" Target="https://fb.me/adspreview/facebook/26hl3ef2PRp2J1x" TargetMode="External"/><Relationship Id="rId1802" Type="http://schemas.openxmlformats.org/officeDocument/2006/relationships/hyperlink" Target="https://a2g9b4.emailsp.com/f/rnl.aspx/?fei=1wqvoxxy.9ek=vyad8=t3qwuy&amp;f2::=4ibeh..e--:5d6.451&amp;x=pp&amp;r1.&amp;x=pv&amp;49-6&amp;aax00l=rvwq1NCLM" TargetMode="External"/><Relationship Id="rId1803" Type="http://schemas.openxmlformats.org/officeDocument/2006/relationships/hyperlink" Target="https://fb.me/adspreview/facebook/1OGmm67Q9rcuEQr" TargetMode="External"/><Relationship Id="rId1804" Type="http://schemas.openxmlformats.org/officeDocument/2006/relationships/hyperlink" Target="https://a2g9b4.emailsp.com/f/rnl.aspx/?fei=1wqvoxxy.9ek=vyad8=t3qwuy&amp;f2::=4ibeh..e--:5d6.451&amp;x=pp&amp;r1.&amp;x=pv&amp;49-6&amp;aax00l=rvwqwNCLM" TargetMode="External"/><Relationship Id="rId1805" Type="http://schemas.openxmlformats.org/officeDocument/2006/relationships/hyperlink" Target="https://fb.me/adspreview/facebook/21SFcpMuCGdv3RC" TargetMode="External"/><Relationship Id="rId1806" Type="http://schemas.openxmlformats.org/officeDocument/2006/relationships/hyperlink" Target="https://a2g9b4.emailsp.com/f/rnl.aspx/?fei=1wqvoxxy.9ek=vyad8=t3qwty&amp;f2::=4ibeh..e--:5d6.451&amp;x=pp&amp;r1.&amp;x=pv&amp;49-6&amp;aax00l=rvwoyNCLM" TargetMode="External"/><Relationship Id="rId1807" Type="http://schemas.openxmlformats.org/officeDocument/2006/relationships/hyperlink" Target="https://www.facebook.com/GCBA/posts/pfbid02YqCxszGQER7gereM4ViB14xmZazWkNprFWcAsBzNXzW8JyUUYZjtfcSfzQvqcjD7l" TargetMode="External"/><Relationship Id="rId1808" Type="http://schemas.openxmlformats.org/officeDocument/2006/relationships/hyperlink" Target="https://a2g9b4.emailsp.com/f/rnl.aspx/?fei=2orws1vy.9ek=vyad8=t3qvuy&amp;f2::=7chafagb&amp;x=pp&amp;yx0-2.e16.&amp;x=pv&amp;2b5g=qt1xtNCLM" TargetMode="External"/><Relationship Id="rId1809" Type="http://schemas.openxmlformats.org/officeDocument/2006/relationships/hyperlink" Target="https://a2g9b4.emailsp.com/f/rnl.aspx/?fei=1vvoo1vy.9ek=vyad8=t3qwwy&amp;f2::=-l98i9di-10337&amp;x=pp&amp;yx0-2.e16.&amp;x=pv&amp;2b5g=qt1yuNCLM" TargetMode="External"/><Relationship Id="rId1830" Type="http://schemas.openxmlformats.org/officeDocument/2006/relationships/hyperlink" Target="https://a2g9b4.emailsp.com/f/rnl.aspx/?fei=2orws1vy.9ek=vyad8=t3qwsy&amp;f2::=7chafagb&amp;x=pp&amp;yx0-2.e16.&amp;x=pv&amp;2b5g=qt1_qNCLM" TargetMode="External"/><Relationship Id="rId1831" Type="http://schemas.openxmlformats.org/officeDocument/2006/relationships/hyperlink" Target="https://www.facebook.com/reel/1458725662138823/" TargetMode="External"/><Relationship Id="rId1832" Type="http://schemas.openxmlformats.org/officeDocument/2006/relationships/hyperlink" Target="https://e5c9a.mailupclient.com/f/rnl.aspx/?jhe=vwvwwvrv/&amp;x=pv&amp;bdi=tzfd&amp;=suvsx/7f1-a=8e.dgcn&amp;&amp;x=pp&amp;u_9f1-a2&amp;.b/&amp;:d=rtyyvyNCLM" TargetMode="External"/><Relationship Id="rId1833" Type="http://schemas.openxmlformats.org/officeDocument/2006/relationships/hyperlink" Target="https://www.facebook.com/reel/1458725662138823/" TargetMode="External"/><Relationship Id="rId1834" Type="http://schemas.openxmlformats.org/officeDocument/2006/relationships/hyperlink" Target="https://a2g9b4.emailsp.com/f/rnl.aspx/?fei=2orws1vy.9ek=vyad8=t3qxoy&amp;f2::=7chafagb&amp;x=pp&amp;yx0-2.e16.&amp;x=pv&amp;2b5g=qt1_tNCLM" TargetMode="External"/><Relationship Id="rId1835" Type="http://schemas.openxmlformats.org/officeDocument/2006/relationships/hyperlink" Target="https://www.facebook.com/reel/1458725662138823/" TargetMode="External"/><Relationship Id="rId1836" Type="http://schemas.openxmlformats.org/officeDocument/2006/relationships/hyperlink" Target="https://a2g9b4.emailsp.com/f/rnl.aspx/?fei=1vvoo1vy.9ek=vyad8=t3qvoy&amp;f2::=-l98i9di-10337&amp;x=pp&amp;yx0-2.e16.&amp;x=pv&amp;2b5g=qt1/qNCLM" TargetMode="External"/><Relationship Id="rId1837" Type="http://schemas.openxmlformats.org/officeDocument/2006/relationships/hyperlink" Target="https://www.facebook.com/reel/1458725662138823/" TargetMode="External"/><Relationship Id="rId1838" Type="http://schemas.openxmlformats.org/officeDocument/2006/relationships/hyperlink" Target="https://a2g9b4.emailsp.com/f/rnl.aspx/?fei=1vvoo_2y.9ek=vyad8=t3qupy&amp;f2::=k702m1k6.451&amp;x=pp&amp;r1.&amp;x=pv&amp;49-6&amp;aax00l=rvwtzNCLM" TargetMode="External"/><Relationship Id="rId1839" Type="http://schemas.openxmlformats.org/officeDocument/2006/relationships/hyperlink" Target="https://www.facebook.com/reel/1458725662138823/" TargetMode="External"/><Relationship Id="rId1820" Type="http://schemas.openxmlformats.org/officeDocument/2006/relationships/hyperlink" Target="https://e5c9a.mailupclient.com/f/rnl.aspx/?jhe=1r_yq2o/a&amp;le=t/.l7=swp/t/9.99a=59ndi-a&amp;9g-7e:-49&amp;25&amp;x=pp&amp;uy.-5-&amp;x=pv&amp;83dbzb4h=rr3r_rNCLM" TargetMode="External"/><Relationship Id="rId1821" Type="http://schemas.openxmlformats.org/officeDocument/2006/relationships/hyperlink" Target="https://www.facebook.com/reel/1662789154842085/" TargetMode="External"/><Relationship Id="rId1822" Type="http://schemas.openxmlformats.org/officeDocument/2006/relationships/hyperlink" Target="https://e5c9a.mailupclient.com/f/rnl.aspx/?jhe=vwurvxsx/&amp;x=pv&amp;bdi=tzfd&amp;=suvtz/7f1-a=5k9hibg&amp;x=pv&amp;9a&amp;-c4&amp;501&amp;x=pp&amp;u_9f1-a2&amp;.b/&amp;:d=rtyznsNCLM" TargetMode="External"/><Relationship Id="rId1823" Type="http://schemas.openxmlformats.org/officeDocument/2006/relationships/hyperlink" Target="https://www.facebook.com/reel/1458725662138823" TargetMode="External"/><Relationship Id="rId1824" Type="http://schemas.openxmlformats.org/officeDocument/2006/relationships/hyperlink" Target="https://a2g9b4.emailsp.com/f/rnl.aspx/?fei=1uwuq_vy.9ek=vyad8=t3qxry&amp;f2::=2-neh9.9bd:5-cb10337&amp;x=pp&amp;yx0-2.e16.&amp;x=pv&amp;2b5g=qt1_wNCLM" TargetMode="External"/><Relationship Id="rId1825" Type="http://schemas.openxmlformats.org/officeDocument/2006/relationships/hyperlink" Target="https://www.facebook.com/reel/1458725662138823/" TargetMode="External"/><Relationship Id="rId1826" Type="http://schemas.openxmlformats.org/officeDocument/2006/relationships/hyperlink" Target="https://a2g9b4.emailsp.com/f/rnl.aspx/?fei=1wqvoxxy.9ek=vyad8=t3qxny&amp;f2::=4ibeh..e--:5d6.451&amp;x=pp&amp;r1.&amp;x=pv&amp;49-6&amp;aax00l=rvwr/NCLM" TargetMode="External"/><Relationship Id="rId1827" Type="http://schemas.openxmlformats.org/officeDocument/2006/relationships/hyperlink" Target="https://www.facebook.com/reel/1458725662138823/" TargetMode="External"/><Relationship Id="rId1828" Type="http://schemas.openxmlformats.org/officeDocument/2006/relationships/hyperlink" Target="https://e5c9a.mailupclient.com/f/rnl.aspx/?jhe=vwurvxsx/&amp;x=pv&amp;bdi=tzfd&amp;=suvts/7f1-a=5k9hibg&amp;x=pv&amp;9a&amp;-c4&amp;501&amp;x=pp&amp;u_9f1-a2&amp;.b/&amp;:d=rtyytuNCLM" TargetMode="External"/><Relationship Id="rId1829" Type="http://schemas.openxmlformats.org/officeDocument/2006/relationships/hyperlink" Target="https://www.facebook.com/reel/1458725662138823/" TargetMode="External"/><Relationship Id="rId1455" Type="http://schemas.openxmlformats.org/officeDocument/2006/relationships/hyperlink" Target="https://www.facebook.com/reel/1353968750115839" TargetMode="External"/><Relationship Id="rId2302" Type="http://schemas.openxmlformats.org/officeDocument/2006/relationships/hyperlink" Target="https://e5c9a.mailupclient.com/f/rnl.aspx/?jhe=vwvwwvrv/&amp;x=pv&amp;bdi=tzfd&amp;=suxou/7f1-a=8e.dgcn&amp;&amp;x=pp&amp;u_9f1-a2&amp;.b/&amp;:d=rtpwquNCLM" TargetMode="External"/><Relationship Id="rId2786" Type="http://schemas.openxmlformats.org/officeDocument/2006/relationships/hyperlink" Target="https://e5c9a.mailupclient.com/f/rnl.aspx/?jhe=1r_yq2o/a&amp;le=t/.l7=swt1r/9.99a=59ndi-a&amp;9g-7e:-49&amp;25&amp;x=pp&amp;uy.-5-&amp;x=pv&amp;83dbzb4h=rrwqvvNCLM" TargetMode="External"/><Relationship Id="rId1456" Type="http://schemas.openxmlformats.org/officeDocument/2006/relationships/hyperlink" Target="https://e5c9a.mailupclient.com/f/rnl.aspx/?jhe=vwt_y1w_/&amp;x=pv&amp;bdi=tzfd&amp;=su3r_/7f1-a=&amp;x=pv&amp;n1&amp;j&amp;kc949&amp;25&amp;x=pp&amp;uy.-5-&amp;x=pv&amp;83dbzb4h=rq2uuzNCLM" TargetMode="External"/><Relationship Id="rId2303" Type="http://schemas.openxmlformats.org/officeDocument/2006/relationships/hyperlink" Target="https://e5c9a.mailupclient.com/f/rnl.aspx/?jhe=vwt_y1w_/&amp;x=pv&amp;bdi=tzfd&amp;=suxnu/7f1-a=&amp;x=pv&amp;n1&amp;j&amp;kc949&amp;25&amp;x=pp&amp;uy.-5-&amp;x=pv&amp;83dbzb4h=rrvortNCLM" TargetMode="External"/><Relationship Id="rId2787" Type="http://schemas.openxmlformats.org/officeDocument/2006/relationships/hyperlink" Target="https://a2g9b4.emailsp.com/f/rnl.aspx/?fei=2orws1vy.9ek=vyad8=t3usny&amp;f2::=7chafagb&amp;x=pp&amp;yx0-2.e16.&amp;x=pv&amp;2b5g=quz1uNCLM" TargetMode="External"/><Relationship Id="rId1457" Type="http://schemas.openxmlformats.org/officeDocument/2006/relationships/hyperlink" Target="https://www.facebook.com/GCBA/posts/pfbid02s3FadHkMcs1KPejoRvT7cNbSZg8SAwtbQqyenJWmhWjZzhBZFXKB6TGjKT85xmuEl" TargetMode="External"/><Relationship Id="rId2304" Type="http://schemas.openxmlformats.org/officeDocument/2006/relationships/hyperlink" Target="https://www.facebook.com/GCBA/posts/pfbid02iNNf4Ns7gcEo4HWoJUSAjz6751M9Kkh3PeVP3UnroYxyFBXFwehL5Y79KBHQHattl" TargetMode="External"/><Relationship Id="rId2788" Type="http://schemas.openxmlformats.org/officeDocument/2006/relationships/hyperlink" Target="https://a2g9b4.emailsp.com/f/rnl.aspx/?fei=1uwuq_vy.9ek=vyad8=t3uspy&amp;f2::=2-neh9.9bd:5-cb10337&amp;x=pp&amp;yx0-2.e16.&amp;x=pv&amp;2b5g=quz2qNCLM" TargetMode="External"/><Relationship Id="rId1458" Type="http://schemas.openxmlformats.org/officeDocument/2006/relationships/hyperlink" Target="https://a2g9b4.emailsp.com/f/rnl.aspx/?fei=1vvoo_2y.9ek=vyad8=t3pxqy&amp;f2::=k702m1k6.451&amp;x=pp&amp;r1.&amp;x=pv&amp;49-6&amp;aax00l=rurvyNCLM" TargetMode="External"/><Relationship Id="rId2305" Type="http://schemas.openxmlformats.org/officeDocument/2006/relationships/hyperlink" Target="https://e5c9a.mailupclient.com/f/rnl.aspx/?jhe=vwt_y1w_/&amp;x=pv&amp;bdi=tzfd&amp;=suwuv/7f1-a=&amp;x=pv&amp;n1&amp;j&amp;kc949&amp;25&amp;x=pp&amp;uy.-5-&amp;x=pv&amp;83dbzb4h=rrvou_NCLM" TargetMode="External"/><Relationship Id="rId2789" Type="http://schemas.openxmlformats.org/officeDocument/2006/relationships/hyperlink" Target="https://e5c9a.mailupclient.com/f/rnl.aspx/?jhe=vwvwwvrv/&amp;x=pv&amp;bdi=tzfd&amp;=suzqw/7f1-a=8e.dgcn&amp;&amp;x=pp&amp;u_9f1-a2&amp;.b/&amp;:d=rtqyvvNCLM" TargetMode="External"/><Relationship Id="rId1459" Type="http://schemas.openxmlformats.org/officeDocument/2006/relationships/hyperlink" Target="https://www.facebook.com/GCBA/posts/pfbid02s3FadHkMcs1KPejoRvT7cNbSZg8SAwtbQqyenJWmhWjZzhBZFXKB6TGjKT85xmuEl" TargetMode="External"/><Relationship Id="rId2306" Type="http://schemas.openxmlformats.org/officeDocument/2006/relationships/hyperlink" Target="https://e5c9a.mailupclient.com/f/rnl.aspx/?jhe=vwt_y1w_/&amp;x=pv&amp;bdi=tzfd&amp;=suxox/7f1-a=&amp;x=pv&amp;n1&amp;j&amp;kc949&amp;25&amp;x=pp&amp;uy.-5-&amp;x=pv&amp;83dbzb4h=rrvotzNCLM" TargetMode="External"/><Relationship Id="rId2307" Type="http://schemas.openxmlformats.org/officeDocument/2006/relationships/hyperlink" Target="https://a2g9b4.emailsp.com/f/rnl.aspx/?fei=1vvoo_2y.9ek=vyad8=t3szty&amp;f2::=k702m1k6.451&amp;x=pp&amp;r1.&amp;x=pv&amp;49-6&amp;aax00l=rvss_NCLM" TargetMode="External"/><Relationship Id="rId2308" Type="http://schemas.openxmlformats.org/officeDocument/2006/relationships/hyperlink" Target="https://www.facebook.com/GCBA/posts/pfbid02yWyBiqhzRGVqqWo4wAFMjpuCdCXBAKuNVMMEAvS8QuuNwD6NK6T56RXZ9yfwrvXjl" TargetMode="External"/><Relationship Id="rId2309" Type="http://schemas.openxmlformats.org/officeDocument/2006/relationships/hyperlink" Target="https://a2g9b4.emailsp.com/f/rnl.aspx/?fei=1vvoo_2y.9ek=vyad8=t3szny&amp;f2::=k702m1k6.451&amp;x=pp&amp;r1.&amp;x=pv&amp;49-6&amp;aax00l=rvso_NCLM" TargetMode="External"/><Relationship Id="rId629" Type="http://schemas.openxmlformats.org/officeDocument/2006/relationships/hyperlink" Target="https://e5c9a.mailupclient.com/f/rnl.aspx/?jhe=1r_yq2o/a&amp;le=t/.l7=svv3v/9.99a=59ndi-a&amp;9g-7e:-49&amp;25&amp;x=pp&amp;uy.-5-&amp;x=pv&amp;83dbzb4h=rq1ostNCLM" TargetMode="External"/><Relationship Id="rId624" Type="http://schemas.openxmlformats.org/officeDocument/2006/relationships/hyperlink" Target="https://a2g9b4.emailsp.com/f/rnl.aspx/?fei=1wqvoxxy.9ek=vyad8=t3xsoy&amp;f2::=4ibeh..e--:5d6.451&amp;x=pp&amp;r1.&amp;x=pv&amp;49-6&amp;aax00l=rtprwNCLM" TargetMode="External"/><Relationship Id="rId623" Type="http://schemas.openxmlformats.org/officeDocument/2006/relationships/hyperlink" Target="https://a2g9b4.emailsp.com/f/rnl.aspx/?fei=1wqvoxxy.9ek=vyad8=t3xsoy&amp;f2::=4ibeh..e--:5d6.451&amp;x=pp&amp;r1.&amp;x=pv&amp;49-6&amp;aax00l=rtprwNCLM" TargetMode="External"/><Relationship Id="rId622" Type="http://schemas.openxmlformats.org/officeDocument/2006/relationships/hyperlink" Target="https://e5c9a.mailupclient.com/f/rnl.aspx/?jhe=vwurvxsx/&amp;x=pv&amp;bdi=tzfd&amp;=st_s_/7f1-a=5k9hibg&amp;x=pv&amp;9a&amp;-c4&amp;501&amp;x=pp&amp;u_9f1-a2&amp;.b/&amp;:d=rsw3nuNCLM" TargetMode="External"/><Relationship Id="rId621" Type="http://schemas.openxmlformats.org/officeDocument/2006/relationships/hyperlink" Target="https://e5c9a.mailupclient.com/f/rnl.aspx/?jhe=vwurvxsx/&amp;x=pv&amp;bdi=tzfd&amp;=st_v_/7f1-a=5k9hibg&amp;x=pv&amp;9a&amp;-c4&amp;501&amp;x=pp&amp;u_9f1-a2&amp;.b/&amp;:d=rswvsrNCLM" TargetMode="External"/><Relationship Id="rId628" Type="http://schemas.openxmlformats.org/officeDocument/2006/relationships/hyperlink" Target="https://e5c9a.mailupclient.com/f/rnl.aspx/?jhe=1r_yq2o/a&amp;le=t/.l7=svu2p/9.99a=59ndi-a&amp;9g-7e:-49&amp;25&amp;x=pp&amp;uy.-5-&amp;x=pv&amp;83dbzb4h=rq1nwuNCLM" TargetMode="External"/><Relationship Id="rId627" Type="http://schemas.openxmlformats.org/officeDocument/2006/relationships/hyperlink" Target="https://e5c9a.mailupclient.com/f/rnl.aspx/?jhe=vwvwwvrv/&amp;x=pv&amp;bdi=tzfd&amp;=st_vx/7f1-a=8e.dgcn&amp;&amp;x=pp&amp;u_9f1-a2&amp;.b/&amp;:d=rswwnsNCLM" TargetMode="External"/><Relationship Id="rId626" Type="http://schemas.openxmlformats.org/officeDocument/2006/relationships/hyperlink" Target="https://e5c9a.mailupclient.com/f/rnl.aspx/?jhe=vwurvxsx/&amp;x=pv&amp;bdi=tzfd&amp;=st_tv/7f1-a=5k9hibg&amp;x=pv&amp;9a&amp;-c4&amp;501&amp;x=pp&amp;u_9f1-a2&amp;.b/&amp;:d=rsw3uvNCLM" TargetMode="External"/><Relationship Id="rId625" Type="http://schemas.openxmlformats.org/officeDocument/2006/relationships/hyperlink" Target="https://a2g9b4.emailsp.com/f/rnl.aspx/?fei=1wqvoxxy.9ek=vyad8=t3xroy&amp;f2::=4ibeh..e--:5d6.451&amp;x=pp&amp;r1.&amp;x=pv&amp;49-6&amp;aax00l=rtppvNCLM" TargetMode="External"/><Relationship Id="rId2780" Type="http://schemas.openxmlformats.org/officeDocument/2006/relationships/hyperlink" Target="https://a2g9b4.emailsp.com/f/rnl.aspx/?fei=1uwuq_vy.9ek=vyad8=t3usoy&amp;f2::=2-neh9.9bd:5-cb10337&amp;x=pp&amp;yx0-2.e16.&amp;x=pv&amp;2b5g=quz1pNCLM" TargetMode="External"/><Relationship Id="rId1450" Type="http://schemas.openxmlformats.org/officeDocument/2006/relationships/hyperlink" Target="https://a2g9b4.emailsp.com/f/rnl.aspx/?fei=1vvoo1vy.9ek=vyad8=t3pvty&amp;f2::=-l98i9di-10337&amp;x=pp&amp;yx0-2.e16.&amp;x=pv&amp;2b5g=qsy3vNCLM" TargetMode="External"/><Relationship Id="rId2781" Type="http://schemas.openxmlformats.org/officeDocument/2006/relationships/hyperlink" Target="https://e5c9a.mailupclient.com/f/rnl.aspx/?jhe=1r_yq2o/a&amp;le=t/.l7=swt1s/9.99a=59ndi-a&amp;9g-7e:-49&amp;25&amp;x=pp&amp;uy.-5-&amp;x=pv&amp;83dbzb4h=rrwqvyNCLM" TargetMode="External"/><Relationship Id="rId620" Type="http://schemas.openxmlformats.org/officeDocument/2006/relationships/hyperlink" Target="https://e5c9a.mailupclient.com/f/rnl.aspx/?jhe=vwurvxsx/&amp;x=pv&amp;bdi=tzfd&amp;=st_vr/7f1-a=5k9hibg&amp;x=pv&amp;9a&amp;-c4&amp;501&amp;x=pp&amp;u_9f1-a2&amp;.b/&amp;:d=rswvrtNCLM" TargetMode="External"/><Relationship Id="rId1451" Type="http://schemas.openxmlformats.org/officeDocument/2006/relationships/hyperlink" Target="https://www.facebook.com/reel/1862137061117644" TargetMode="External"/><Relationship Id="rId2782" Type="http://schemas.openxmlformats.org/officeDocument/2006/relationships/hyperlink" Target="https://e5c9a.mailupclient.com/f/rnl.aspx/?jhe=1r_yq2o/a&amp;le=t/.l7=swt_v/9.99a=59ndi-a&amp;9g-7e:-49&amp;25&amp;x=pp&amp;uy.-5-&amp;x=pv&amp;83dbzb4h=rrwq_vNCLM" TargetMode="External"/><Relationship Id="rId1452" Type="http://schemas.openxmlformats.org/officeDocument/2006/relationships/hyperlink" Target="https://a2g9b4.emailsp.com/f/rnl.aspx/?fei=1vvoo1vy.9ek=vyad8=t3pwny&amp;f2::=-l98i9di-10337&amp;x=pp&amp;yx0-2.e16.&amp;x=pv&amp;2b5g=qsx1rNCLM" TargetMode="External"/><Relationship Id="rId2783" Type="http://schemas.openxmlformats.org/officeDocument/2006/relationships/hyperlink" Target="https://e5c9a.mailupclient.com/f/rnl.aspx/?jhe=1r_yq2o/a&amp;le=t/.l7=swt/p/9.99a=59ndi-a&amp;9g-7e:-49&amp;25&amp;x=pp&amp;uy.-5-&amp;x=pv&amp;83dbzb4h=rrwq_yNCLM" TargetMode="External"/><Relationship Id="rId1453" Type="http://schemas.openxmlformats.org/officeDocument/2006/relationships/hyperlink" Target="https://www.facebook.com/GCBA/posts/pfbid0Ftr1BFEuMXZgZzkvxNATehYJWtz65Zwo14oK7wZCTVKGiuhbS8vtnqUWXP8AP9dSl" TargetMode="External"/><Relationship Id="rId2300" Type="http://schemas.openxmlformats.org/officeDocument/2006/relationships/hyperlink" Target="https://e5c9a.mailupclient.com/f/rnl.aspx/?jhe=vwvwwvrv/&amp;x=pv&amp;bdi=tzfd&amp;=suxou/7f1-a=8e.dgcn&amp;&amp;x=pp&amp;u_9f1-a2&amp;.b/&amp;:d=rtpwquNCLM" TargetMode="External"/><Relationship Id="rId2784" Type="http://schemas.openxmlformats.org/officeDocument/2006/relationships/hyperlink" Target="https://e5c9a.mailupclient.com/f/rnl.aspx/?jhe=1r_yq2o/a&amp;le=t/.l7=swt/w/9.99a=59ndi-a&amp;9g-7e:-49&amp;25&amp;x=pp&amp;uy.-5-&amp;x=pv&amp;83dbzb4h=rrwq_wNCLM" TargetMode="External"/><Relationship Id="rId1454" Type="http://schemas.openxmlformats.org/officeDocument/2006/relationships/hyperlink" Target="https://e5c9a.mailupclient.com/f/rnl.aspx/?jhe=vwt_y1w_/&amp;x=pv&amp;bdi=tzfd&amp;=su3pw/7f1-a=&amp;x=pv&amp;n1&amp;j&amp;kc949&amp;25&amp;x=pp&amp;uy.-5-&amp;x=pv&amp;83dbzb4h=rq2utyNCLM" TargetMode="External"/><Relationship Id="rId2301" Type="http://schemas.openxmlformats.org/officeDocument/2006/relationships/hyperlink" Target="https://e5c9a.mailupclient.com/f/rnl.aspx/?jhe=vwvwwvrv/&amp;x=pv&amp;bdi=tzfd&amp;=suxow/7f1-a=8e.dgcn&amp;&amp;x=pp&amp;u_9f1-a2&amp;.b/&amp;:d=rtpwqrNCLM" TargetMode="External"/><Relationship Id="rId2785" Type="http://schemas.openxmlformats.org/officeDocument/2006/relationships/hyperlink" Target="https://e5c9a.mailupclient.com/f/rnl.aspx/?jhe=1r_yq2o/a&amp;le=t/.l7=swt/n/9.99a=59ndi-a&amp;9g-7e:-49&amp;25&amp;x=pp&amp;uy.-5-&amp;x=pv&amp;83dbzb4h=rrwq_xNCLM" TargetMode="External"/><Relationship Id="rId1444" Type="http://schemas.openxmlformats.org/officeDocument/2006/relationships/hyperlink" Target="https://a2g9b4.emailsp.com/f/rnl.aspx/?fei=2orws1vy.9ek=vyad8=t3pxry&amp;f2::=7chafagb&amp;x=pp&amp;yx0-2.e16.&amp;x=pv&amp;2b5g=qsx2xNCLM" TargetMode="External"/><Relationship Id="rId2775" Type="http://schemas.openxmlformats.org/officeDocument/2006/relationships/hyperlink" Target="https://a2g9b4.emailsp.com/f/rnl.aspx/?fei=1vvoo_2y.9ek=vyad8=t3ursy&amp;f2::=k702m1k6.451&amp;x=pp&amp;r1.&amp;x=pv&amp;49-6&amp;aax00l=rwtstNCLM" TargetMode="External"/><Relationship Id="rId1445" Type="http://schemas.openxmlformats.org/officeDocument/2006/relationships/hyperlink" Target="https://www.facebook.com/reel/1350977913533302" TargetMode="External"/><Relationship Id="rId2776" Type="http://schemas.openxmlformats.org/officeDocument/2006/relationships/hyperlink" Target="https://a2g9b4.emailsp.com/f/rnl.aspx/?fei=1vvoo_2y.9ek=vyad8=t3urty&amp;f2::=k702m1k6.451&amp;x=pp&amp;r1.&amp;x=pv&amp;49-6&amp;aax00l=rwtsxNCLM" TargetMode="External"/><Relationship Id="rId1446" Type="http://schemas.openxmlformats.org/officeDocument/2006/relationships/hyperlink" Target="https://e5c9a.mailupclient.com/f/rnl.aspx/?jhe=vwvwwvrv/&amp;x=pv&amp;bdi=tzfd&amp;=su3qx/7f1-a=8e.dgcn&amp;&amp;x=pp&amp;u_9f1-a2&amp;.b/&amp;:d=rsx1qrNCLM" TargetMode="External"/><Relationship Id="rId2777" Type="http://schemas.openxmlformats.org/officeDocument/2006/relationships/hyperlink" Target="https://www.google.com/url?q=https://buenosaires.musvc2.net/e/r?q%3DJz%253d9zJ1J_xqdq_91_3rYp_C7_xqdq_86lSmYmU.kCl0rI1.4uC_3rYp_C7l_HbtV_RqItB.lJvN_3rYp_C7_xqdq_96q6o_HbtV_SoR2LzF_8O.J6q_HbtV_SoM51oY_xqdq_945T1H6P_xqdq_8VqS_xqdq_91_3rYp_D2_xqdq_94vXFRxRqV.EV7_HbtV_RGO_xqdq_941G_xqdq_8V3R._xqdq_8V9_IWsa_TjF7_IWsa_SBTJ-W_xqdq_8Vl24ZKC_xqdq_943NzI0oIlX%25264%253d7RHZ8T%2526o%253dD1I748.DpK%2526oI%253dEXCUG%25261l2gC%253d7%2526D%253dBaCRI%2526F%253dDXGS7XJ%2526K%253d-DVBRDVJa%26mupckp%3DmupAtu4m8OiX0wt&amp;source=gmail&amp;ust=1784300648174000&amp;usg=AOvVaw19xX0NmCnFqhnZaIgAm1s7" TargetMode="External"/><Relationship Id="rId1447" Type="http://schemas.openxmlformats.org/officeDocument/2006/relationships/hyperlink" Target="https://www.facebook.com/reel/1350977913533302" TargetMode="External"/><Relationship Id="rId2778" Type="http://schemas.openxmlformats.org/officeDocument/2006/relationships/hyperlink" Target="https://a2g9b4.emailsp.com/f/rnl.aspx/?fei=1vvoo_2y.9ek=vyad8=t3urvy&amp;f2::=k702m1k6.451&amp;x=pp&amp;r1.&amp;x=pv&amp;49-6&amp;aax00l=rwtszNCLM" TargetMode="External"/><Relationship Id="rId1448" Type="http://schemas.openxmlformats.org/officeDocument/2006/relationships/hyperlink" Target="https://e5c9a.mailupclient.com/f/rnl.aspx/?jhe=vwvwwvrv/&amp;x=pv&amp;bdi=tzfd&amp;=su3qs/7f1-a=8e.dgcn&amp;&amp;x=pp&amp;u_9f1-a2&amp;.b/&amp;:d=rsx1ozNCLM" TargetMode="External"/><Relationship Id="rId2779" Type="http://schemas.openxmlformats.org/officeDocument/2006/relationships/hyperlink" Target="https://a2g9b4.emailsp.com/f/rnl.aspx/?fei=1vvoo_2y.9ek=vyad8=t3uswy&amp;f2::=k702m1k6.451&amp;x=pp&amp;r1.&amp;x=pv&amp;49-6&amp;aax00l=rwts_NCLM" TargetMode="External"/><Relationship Id="rId1449" Type="http://schemas.openxmlformats.org/officeDocument/2006/relationships/hyperlink" Target="https://www.facebook.com/reel/1862137061117644" TargetMode="External"/><Relationship Id="rId619" Type="http://schemas.openxmlformats.org/officeDocument/2006/relationships/hyperlink" Target="https://e5c9a.mailupclient.com/f/rnl.aspx/?jhe=vwurvxsx/&amp;x=pv&amp;bdi=tzfd&amp;=st_uu/7f1-a=5k9hibg&amp;x=pv&amp;9a&amp;-c4&amp;501&amp;x=pp&amp;u_9f1-a2&amp;.b/&amp;:d=rswvoyNCLM" TargetMode="External"/><Relationship Id="rId618" Type="http://schemas.openxmlformats.org/officeDocument/2006/relationships/hyperlink" Target="https://e5c9a.mailupclient.com/f/rnl.aspx/?jhe=vwurvxsx/&amp;x=pv&amp;bdi=tzfd&amp;=st_tz/7f1-a=5k9hibg&amp;x=pv&amp;9a&amp;-c4&amp;501&amp;x=pp&amp;u_9f1-a2&amp;.b/&amp;:d=rswvwsNCLM" TargetMode="External"/><Relationship Id="rId613" Type="http://schemas.openxmlformats.org/officeDocument/2006/relationships/hyperlink" Target="https://a2g9b4.emailsp.com/f/rnl.aspx/?fei=1wqvoxxy.9ek=vyad8=t3xrpy&amp;f2::=4ibeh..e--:5d6.451&amp;x=pp&amp;r1.&amp;x=pv&amp;49-6&amp;aax00l=rtpxzNCLM" TargetMode="External"/><Relationship Id="rId612" Type="http://schemas.openxmlformats.org/officeDocument/2006/relationships/hyperlink" Target="https://e5c9a.mailupclient.com/f/rnl.aspx/?jhe=vwurvxsx/&amp;x=pv&amp;bdi=tzfd&amp;=st_rw/7f1-a=5k9hibg&amp;x=pv&amp;9a&amp;-c4&amp;501&amp;x=pp&amp;u_9f1-a2&amp;.b/&amp;:d=rsw3pyNCLM" TargetMode="External"/><Relationship Id="rId611" Type="http://schemas.openxmlformats.org/officeDocument/2006/relationships/hyperlink" Target="https://e5c9a.mailupclient.com/f/rnl.aspx/?jhe=vwurvxsx/&amp;x=pv&amp;bdi=tzfd&amp;=st_sz/7f1-a=5k9hibg&amp;x=pv&amp;9a&amp;-c4&amp;501&amp;x=pp&amp;u_9f1-a2&amp;.b/&amp;:d=rsw3trNCLM" TargetMode="External"/><Relationship Id="rId610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617" Type="http://schemas.openxmlformats.org/officeDocument/2006/relationships/hyperlink" Target="https://e5c9a.mailupclient.com/f/rnl.aspx/?jhe=vwurvxsx/&amp;x=pv&amp;bdi=tzfd&amp;=st_vz/7f1-a=5k9hibg&amp;x=pv&amp;9a&amp;-c4&amp;501&amp;x=pp&amp;u_9f1-a2&amp;.b/&amp;:d=rswvuzNCLM" TargetMode="External"/><Relationship Id="rId616" Type="http://schemas.openxmlformats.org/officeDocument/2006/relationships/hyperlink" Target="https://a2g9b4.emailsp.com/f/rnl.aspx/?fei=1wqvoxxy.9ek=vyad8=t3xrqy&amp;f2::=4ibeh..e--:5d6.451&amp;x=pp&amp;r1.&amp;x=pv&amp;49-6&amp;aax00l=rtpotNCLM" TargetMode="External"/><Relationship Id="rId615" Type="http://schemas.openxmlformats.org/officeDocument/2006/relationships/hyperlink" Target="https://a2g9b4.emailsp.com/f/rnl.aspx/?fei=1wqvoxxy.9ek=vyad8=t3xqqy&amp;f2::=4ibeh..e--:5d6.451&amp;x=pp&amp;r1.&amp;x=pv&amp;49-6&amp;aax00l=rtos_NCLM" TargetMode="External"/><Relationship Id="rId614" Type="http://schemas.openxmlformats.org/officeDocument/2006/relationships/hyperlink" Target="https://a2g9b4.emailsp.com/f/rnl.aspx/?fei=1wqvoxxy.9ek=vyad8=t3xruy&amp;f2::=4ibeh..e--:5d6.451&amp;x=pp&amp;r1.&amp;x=pv&amp;49-6&amp;aax00l=rtpq1NCLM" TargetMode="External"/><Relationship Id="rId2770" Type="http://schemas.openxmlformats.org/officeDocument/2006/relationships/hyperlink" Target="https://e5c9a.mailupclient.com/f/rnl.aspx/?jhe=vwszuxsy/&amp;x=pv&amp;bdi=tzfd&amp;=suzts/7f1-a=l925n3r/&amp;749&amp;x=pp&amp;q_&amp;.99a45h-/-6l=ntss3vNCLM" TargetMode="External"/><Relationship Id="rId1440" Type="http://schemas.openxmlformats.org/officeDocument/2006/relationships/hyperlink" Target="https://a2g9b4.emailsp.com/f/rnl.aspx/?fei=2orws1vy.9ek=vyad8=t3pwvy&amp;f2::=7chafagb&amp;x=pp&amp;yx0-2.e16.&amp;x=pv&amp;2b5g=qsxzrNCLM" TargetMode="External"/><Relationship Id="rId2771" Type="http://schemas.openxmlformats.org/officeDocument/2006/relationships/hyperlink" Target="https://a2g9b4.emailsp.com/f/rnl.aspx/?fei=1vvoo_2y.9ek=vyad8=t3uroy&amp;f2::=k702m1k6.451&amp;x=pp&amp;r1.&amp;x=pv&amp;49-6&amp;aax00l=rwtsvNCLM" TargetMode="External"/><Relationship Id="rId1441" Type="http://schemas.openxmlformats.org/officeDocument/2006/relationships/hyperlink" Target="https://www.facebook.com/reel/1524051432758941" TargetMode="External"/><Relationship Id="rId2772" Type="http://schemas.openxmlformats.org/officeDocument/2006/relationships/hyperlink" Target="https://www.google.com/url?q=https://buenosaires.musvc2.net/e/r?q%3DMC%253d8FMDI_Dtqp_O4_Fqos_P6_Dtqp_N9yR3bzT.1Fy98LD.3AF_Fqos_P62_Kosl_U4H0E.yIBQ_Fqos_P6_Dtqp_O9455_Kosl_V2QHOCE_NR.W57_Kosl_V2LK42X_Dtqp_O7HSGKDO_Dtqp_NY4R_Dtqp_O4_Fqos_Q1_Dtqp_O79WVUAQ7Y.RUM_Kosl_UTN_Dtqp_O7DF_Dtqp_NYFQ._Dtqp_NYL_Hmvn_SzIJ_Hmvn_RRWW-V_Dtqp_NYy1JcXB_Dtqp_O7FMFK_Fqos_P6jfjm%2526y%253dTPWUUR%25264%253d9NGLyU.B5F%2526BG4y1w%253dTSZRY%25268%253dT%2526B%253dQVZPS%2526A%253daVVNTVY%2526F%253dZPQQaWVQc%26mupckp%3DmupAtu4m8OiX0wt&amp;source=gmail&amp;ust=1784300647180000&amp;usg=AOvVaw1BAEMmYbr3Er9ep8sjz_TI" TargetMode="External"/><Relationship Id="rId1442" Type="http://schemas.openxmlformats.org/officeDocument/2006/relationships/hyperlink" Target="https://e5c9a.mailupclient.com/f/rnl.aspx/?jhe=vwvwwvrv/&amp;x=pv&amp;bdi=tzfd&amp;=st2tu/7f1-a=8e.dgcn&amp;&amp;x=pp&amp;u_9f1-a2&amp;.b/&amp;:d=rsx1rsNCLM" TargetMode="External"/><Relationship Id="rId2773" Type="http://schemas.openxmlformats.org/officeDocument/2006/relationships/hyperlink" Target="https://a2g9b4.emailsp.com/f/rnl.aspx/?fei=1vvoo_2y.9ek=vyad8=t3urqy&amp;f2::=k702m1k6.451&amp;x=pp&amp;r1.&amp;x=pv&amp;49-6&amp;aax00l=rwts1NCLM" TargetMode="External"/><Relationship Id="rId1443" Type="http://schemas.openxmlformats.org/officeDocument/2006/relationships/hyperlink" Target="https://www.facebook.com/reel/1353968750115839" TargetMode="External"/><Relationship Id="rId2774" Type="http://schemas.openxmlformats.org/officeDocument/2006/relationships/hyperlink" Target="https://a2g9b4.emailsp.com/f/rnl.aspx/?fei=1vvoo_2y.9ek=vyad8=t3urry&amp;f2::=k702m1k6.451&amp;x=pp&amp;r1.&amp;x=pv&amp;49-6&amp;aax00l=rwtsuNCLM" TargetMode="External"/><Relationship Id="rId1477" Type="http://schemas.openxmlformats.org/officeDocument/2006/relationships/hyperlink" Target="https://www.facebook.com/reel/1530291025201574" TargetMode="External"/><Relationship Id="rId2324" Type="http://schemas.openxmlformats.org/officeDocument/2006/relationships/hyperlink" Target="https://a2g9b4.emailsp.com/f/rnl.aspx/?fei=2orws1vy.9ek=vyad8=t3rxvy&amp;f2::=7chafagb&amp;x=pp&amp;yx0-2.e16.&amp;x=pv&amp;2b5g=qty_rNCLM" TargetMode="External"/><Relationship Id="rId1478" Type="http://schemas.openxmlformats.org/officeDocument/2006/relationships/hyperlink" Target="https://a2g9b4.emailsp.com/f/rnl.aspx/?fei=1wqvoxxy.9ek=vyad8=t3pwoy&amp;f2::=4ibeh..e--:5d6.451&amp;x=pp&amp;r1.&amp;x=pv&amp;49-6&amp;aax00l=rurotNCLM" TargetMode="External"/><Relationship Id="rId2325" Type="http://schemas.openxmlformats.org/officeDocument/2006/relationships/hyperlink" Target="https://www.facebook.com/GCBA/posts/pfbid0hGpDjeWSoe8Gqw2N9T8VHKQMT4vT7GrXwibd72SVb33WbSymwwnpGdmZbQH9bvyXl" TargetMode="External"/><Relationship Id="rId1479" Type="http://schemas.openxmlformats.org/officeDocument/2006/relationships/hyperlink" Target="https://www.facebook.com/reel/1530291025201574" TargetMode="External"/><Relationship Id="rId2326" Type="http://schemas.openxmlformats.org/officeDocument/2006/relationships/hyperlink" Target="https://a2g9b4.emailsp.com/f/rnl.aspx/?fei=2orws1vy.9ek=vyad8=t3szuy&amp;f2::=7chafagb&amp;x=pp&amp;yx0-2.e16.&amp;x=pv&amp;2b5g=qty_qNCLM" TargetMode="External"/><Relationship Id="rId2327" Type="http://schemas.openxmlformats.org/officeDocument/2006/relationships/hyperlink" Target="https://www.facebook.com/GCBA/posts/pfbid0hGpDjeWSoe8Gqw2N9T8VHKQMT4vT7GrXwibd72SVb33WbSymwwnpGdmZbQH9bvyXl" TargetMode="External"/><Relationship Id="rId2328" Type="http://schemas.openxmlformats.org/officeDocument/2006/relationships/hyperlink" Target="https://a2g9b4.emailsp.com/f/rnl.aspx/?fei=2orws1vy.9ek=vyad8=t3srny&amp;f2::=7chafagb&amp;x=pp&amp;yx0-2.e16.&amp;x=pv&amp;2b5g=qtzwxNCLM" TargetMode="External"/><Relationship Id="rId2329" Type="http://schemas.openxmlformats.org/officeDocument/2006/relationships/hyperlink" Target="https://e5c9a.mailupclient.com/f/rnl.aspx/?jhe=vwt_y1w_/&amp;x=pv&amp;bdi=tzfd&amp;=suxp_/7f1-a=&amp;x=pv&amp;n1&amp;j&amp;kc949&amp;25&amp;x=pp&amp;uy.-5-&amp;x=pv&amp;83dbzb4h=rrvozrNCLM" TargetMode="External"/><Relationship Id="rId646" Type="http://schemas.openxmlformats.org/officeDocument/2006/relationships/hyperlink" Target="https://e5c9a.mailupclient.com/f/rnl.aspx/?jhe=1r_yq2o/a&amp;le=t/.l7=svvvu/9.99a=59ndi-a&amp;9g-7e:-49&amp;25&amp;x=pp&amp;uy.-5-&amp;x=pv&amp;83dbzb4h=rq1owwNCLM" TargetMode="External"/><Relationship Id="rId645" Type="http://schemas.openxmlformats.org/officeDocument/2006/relationships/hyperlink" Target="https://e5c9a.mailupclient.com/f/rnl.aspx/?jhe=1r_yq2o/a&amp;le=t/.l7=svu2r/9.99a=59ndi-a&amp;9g-7e:-49&amp;25&amp;x=pp&amp;uy.-5-&amp;x=pv&amp;83dbzb4h=rq1nxvNCLM" TargetMode="External"/><Relationship Id="rId644" Type="http://schemas.openxmlformats.org/officeDocument/2006/relationships/hyperlink" Target="https://e5c9a.mailupclient.com/f/rnl.aspx/?jhe=vwvwwvrv/&amp;x=pv&amp;bdi=tzfd&amp;=st/nr/7f1-a=8e.dgcn&amp;&amp;x=pp&amp;u_9f1-a2&amp;.b/&amp;:d=rswwpuNCLM" TargetMode="External"/><Relationship Id="rId643" Type="http://schemas.openxmlformats.org/officeDocument/2006/relationships/hyperlink" Target="https://e5c9a.mailupclient.com/f/rnl.aspx/?jhe=vwvwwvrv/&amp;x=pv&amp;bdi=tzfd&amp;=st_vx/7f1-a=8e.dgcn&amp;&amp;x=pp&amp;u_9f1-a2&amp;.b/&amp;:d=rswwnsNCLM" TargetMode="External"/><Relationship Id="rId649" Type="http://schemas.openxmlformats.org/officeDocument/2006/relationships/hyperlink" Target="https://a2g9b4.emailsp.com/f/rnl.aspx/?fei=1wqvoxxy.9ek=vyad8=t3xswy&amp;f2::=4ibeh..e--:5d6.451&amp;x=pp&amp;r1.&amp;x=pv&amp;49-6&amp;aax00l=rtprtNCLM" TargetMode="External"/><Relationship Id="rId648" Type="http://schemas.openxmlformats.org/officeDocument/2006/relationships/hyperlink" Target="https://a2g9b4.emailsp.com/f/rnl.aspx/?fei=1wqvoxxy.9ek=vyad8=t3xrvy&amp;f2::=4ibeh..e--:5d6.451&amp;x=pp&amp;r1.&amp;x=pv&amp;49-6&amp;aax00l=rtprvNCLM" TargetMode="External"/><Relationship Id="rId647" Type="http://schemas.openxmlformats.org/officeDocument/2006/relationships/hyperlink" Target="https://e5c9a.mailupclient.com/f/rnl.aspx/?jhe=vwurvxsx/&amp;x=pv&amp;bdi=tzfd&amp;=st/nt/7f1-a=5k9hibg&amp;x=pv&amp;9a&amp;-c4&amp;501&amp;x=pp&amp;u_9f1-a2&amp;.b/&amp;:d=rswwpxNCLM" TargetMode="External"/><Relationship Id="rId1470" Type="http://schemas.openxmlformats.org/officeDocument/2006/relationships/hyperlink" Target="https://e5c9a.mailupclient.com/f/rnl.aspx/?jhe=1r_yq2o/a&amp;le=t/.l7=swy_v/9.99a=59ndi-a&amp;9g-7e:-49&amp;25&amp;x=pp&amp;uy.-5-&amp;x=pv&amp;83dbzb4h=rq2vusNCLM" TargetMode="External"/><Relationship Id="rId1471" Type="http://schemas.openxmlformats.org/officeDocument/2006/relationships/hyperlink" Target="https://www.facebook.com/reel/1750042989745275" TargetMode="External"/><Relationship Id="rId1472" Type="http://schemas.openxmlformats.org/officeDocument/2006/relationships/hyperlink" Target="https://e5c9a.mailupclient.com/f/rnl.aspx/?jhe=1r_yq2o/a&amp;le=t/.l7=swyyv/9.99a=59ndi-a&amp;9g-7e:-49&amp;25&amp;x=pp&amp;uy.-5-&amp;x=pv&amp;83dbzb4h=rq2vtvNCLM" TargetMode="External"/><Relationship Id="rId642" Type="http://schemas.openxmlformats.org/officeDocument/2006/relationships/hyperlink" Target="https://e5c9a.mailupclient.com/f/rnl.aspx/?jhe=vwvwwvrv/&amp;x=pv&amp;bdi=tzfd&amp;=st_vx/7f1-a=8e.dgcn&amp;&amp;x=pp&amp;u_9f1-a2&amp;.b/&amp;:d=rswwnsNCLM" TargetMode="External"/><Relationship Id="rId1473" Type="http://schemas.openxmlformats.org/officeDocument/2006/relationships/hyperlink" Target="https://business.facebook.com/ads/experience/confirmation/?is_responsive=0&amp;encrypted_experience_id=Q8DfBAIJ4IBHp0mhmk-iDWyPWKt9YFowWQwEAROfG4INdTlC9vbi4Pmf8nVrOSBRwASGk0bYyS7Dtizj" TargetMode="External"/><Relationship Id="rId2320" Type="http://schemas.openxmlformats.org/officeDocument/2006/relationships/hyperlink" Target="https://a2g9b4.emailsp.com/f/rnl.aspx/?fei=1uwuq_vy.9ek=vyad8=t3sqty&amp;f2::=2-neh9.9bd:5-cb10337&amp;x=pp&amp;yx0-2.e16.&amp;x=pv&amp;2b5g=qty2qNCLM" TargetMode="External"/><Relationship Id="rId641" Type="http://schemas.openxmlformats.org/officeDocument/2006/relationships/hyperlink" Target="https://e5c9a.mailupclient.com/f/rnl.aspx/?jhe=vwurvxsx/&amp;x=pv&amp;bdi=tzfd&amp;=st/ns/7f1-a=5k9hibg&amp;x=pv&amp;9a&amp;-c4&amp;501&amp;x=pp&amp;u_9f1-a2&amp;.b/&amp;:d=rswwqrNCLM" TargetMode="External"/><Relationship Id="rId1474" Type="http://schemas.openxmlformats.org/officeDocument/2006/relationships/hyperlink" Target="https://e5c9a.mailupclient.com/f/rnl.aspx/?jhe=1r_yq2o/a&amp;le=t/.l7=swyzn/9.99a=59ndi-a&amp;9g-7e:-49&amp;25&amp;x=pp&amp;uy.-5-&amp;x=pv&amp;83dbzb4h=rq2vtwNCLM" TargetMode="External"/><Relationship Id="rId2321" Type="http://schemas.openxmlformats.org/officeDocument/2006/relationships/hyperlink" Target="https://a2g9b4.emailsp.com/f/rnl.aspx/?fei=1wqvoxxy.9ek=vyad8=t3rxpy&amp;f2::=4ibeh..e--:5d6.451&amp;x=pp&amp;r1.&amp;x=pv&amp;49-6&amp;aax00l=rvrx_NCLM" TargetMode="External"/><Relationship Id="rId640" Type="http://schemas.openxmlformats.org/officeDocument/2006/relationships/hyperlink" Target="https://a2g9b4.emailsp.com/f/rnl.aspx/?fei=1wqvoxxy.9ek=vyad8=t3xtwy&amp;f2::=4ibeh..e--:5d6.451&amp;x=pp&amp;r1.&amp;x=pv&amp;49-6&amp;aax00l=rtpvtNCLM" TargetMode="External"/><Relationship Id="rId1475" Type="http://schemas.openxmlformats.org/officeDocument/2006/relationships/hyperlink" Target="https://www.facebook.com/reel/1958104631478571" TargetMode="External"/><Relationship Id="rId2322" Type="http://schemas.openxmlformats.org/officeDocument/2006/relationships/hyperlink" Target="https://www.facebook.com/baparticipacion/posts/pfbid03nShGhw8AcRPUh8GTva7BXUhnPPEwnVDqp1DvY4vYB37kRU3pHSiRAzy8njd9J1kl" TargetMode="External"/><Relationship Id="rId1476" Type="http://schemas.openxmlformats.org/officeDocument/2006/relationships/hyperlink" Target="https://a2g9b4.emailsp.com/f/rnl.aspx/?fei=1wqvoxxy.9ek=vyad8=t3pxuy&amp;f2::=4ibeh..e--:5d6.451&amp;x=pp&amp;r1.&amp;x=pv&amp;49-6&amp;aax00l=rurwtNCLM" TargetMode="External"/><Relationship Id="rId2323" Type="http://schemas.openxmlformats.org/officeDocument/2006/relationships/hyperlink" Target="https://e5c9a.mailupclient.com/f/rnl.aspx/?jhe=vwurvxsx/&amp;x=pv&amp;bdi=tzfd&amp;=suxpz/7f1-a=5k9hibg&amp;x=pv&amp;9a&amp;-c4&amp;501&amp;x=pp&amp;u_9f1-a2&amp;.b/&amp;:d=rtpwtuNCLM" TargetMode="External"/><Relationship Id="rId1466" Type="http://schemas.openxmlformats.org/officeDocument/2006/relationships/hyperlink" Target="https://e5c9a.mailupclient.com/f/rnl.aspx/?jhe=vwszuxsy/&amp;x=pv&amp;bdi=tzfd&amp;=su3pu/7f1-a=l925n3r/&amp;749&amp;x=pp&amp;q_&amp;.99a45h-/-6l=nszv1rNCLM" TargetMode="External"/><Relationship Id="rId2313" Type="http://schemas.openxmlformats.org/officeDocument/2006/relationships/hyperlink" Target="https://a2g9b4.emailsp.com/f/rnl.aspx/?fei=1uwuq_vy.9ek=vyad8=t3rxqy&amp;f2::=2-neh9.9bd:5-cb10337&amp;x=pp&amp;yx0-2.e16.&amp;x=pv&amp;2b5g=qtxvtNCLM" TargetMode="External"/><Relationship Id="rId2797" Type="http://schemas.openxmlformats.org/officeDocument/2006/relationships/hyperlink" Target="https://e5c9a.mailupclient.com/f/rnl.aspx/?jhe=1r_yq2o/a&amp;le=t/.l7=swt2p/9.99a=59ndi-a&amp;9g-7e:-49&amp;25&amp;x=pp&amp;uy.-5-&amp;x=pv&amp;83dbzb4h=rrwrstNCLM" TargetMode="External"/><Relationship Id="rId1467" Type="http://schemas.openxmlformats.org/officeDocument/2006/relationships/hyperlink" Target="https://www.facebook.com/GCBA/posts/pfbid035r6fbNBAi52eKsDsVtmyhQLJ3Cu3r4ZCzv3cR1rgDe4qh5J7wz3SSNRgSj8BTNmAl" TargetMode="External"/><Relationship Id="rId2314" Type="http://schemas.openxmlformats.org/officeDocument/2006/relationships/hyperlink" Target="https://www.facebook.com/GCBA/posts/pfbid034cMBPvEYHoNPJuLPYdvqvHwWddQVjVhrUZSfBwZtbsKxFZ1t9TibhaDTjQBLJRK6l" TargetMode="External"/><Relationship Id="rId2798" Type="http://schemas.openxmlformats.org/officeDocument/2006/relationships/hyperlink" Target="https://e5c9a.mailupclient.com/f/rnl.aspx/?jhe=1r_yq2o/a&amp;le=t/.l7=swt2q/9.99a=59ndi-a&amp;9g-7e:-49&amp;25&amp;x=pp&amp;uy.-5-&amp;x=pv&amp;83dbzb4h=rrwrsuNCLM" TargetMode="External"/><Relationship Id="rId1468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315" Type="http://schemas.openxmlformats.org/officeDocument/2006/relationships/hyperlink" Target="https://e5c9a.mailupclient.com/f/rnl.aspx/?jhe=1r_yq2o/a&amp;le=t/.l7=swryn/9.99a=59ndi-a&amp;9g-7e:-49&amp;25&amp;x=pp&amp;uy.-5-&amp;x=pv&amp;83dbzb4h=rrvoxxNCLM" TargetMode="External"/><Relationship Id="rId2799" Type="http://schemas.openxmlformats.org/officeDocument/2006/relationships/hyperlink" Target="https://a2g9b4.emailsp.com/f/rnl.aspx/?fei=2orws1vy.9ek=vyad8=t3usqy&amp;f2::=7chafagb&amp;x=pp&amp;yx0-2.e16.&amp;x=pv&amp;2b5g=qu_3tNCLM" TargetMode="External"/><Relationship Id="rId1469" Type="http://schemas.openxmlformats.org/officeDocument/2006/relationships/hyperlink" Target="https://www.facebook.com/GCBA/posts/pfbid0TFbqgySZ7tM6zHoz3vL7GnY377zSSMfbQPLeqBDa61d2jaEraZemv4xwwziqXPDBl" TargetMode="External"/><Relationship Id="rId2316" Type="http://schemas.openxmlformats.org/officeDocument/2006/relationships/hyperlink" Target="https://www.facebook.com/GCBA/posts/pfbid08rDXqhyNHHgaXhxwyanZTXHtfRLQs15AaRbPk5k938ZVPg7ZL3Ea9rz5rPCgKLXEl" TargetMode="External"/><Relationship Id="rId2317" Type="http://schemas.openxmlformats.org/officeDocument/2006/relationships/hyperlink" Target="https://a2g9b4.emailsp.com/f/rnl.aspx/?fei=1uwuq_vy.9ek=vyad8=t3sqqy&amp;f2::=2-neh9.9bd:5-cb10337&amp;x=pp&amp;yx0-2.e16.&amp;x=pv&amp;2b5g=qty1qNCLM" TargetMode="External"/><Relationship Id="rId2318" Type="http://schemas.openxmlformats.org/officeDocument/2006/relationships/hyperlink" Target="https://e5c9a.mailupclient.com/f/rnl.aspx/?jhe=1r_yq2o/a&amp;le=t/.l7=swryp/9.99a=59ndi-a&amp;9g-7e:-49&amp;25&amp;x=pp&amp;uy.-5-&amp;x=pv&amp;83dbzb4h=rrvozyNCLM" TargetMode="External"/><Relationship Id="rId2319" Type="http://schemas.openxmlformats.org/officeDocument/2006/relationships/hyperlink" Target="https://a2g9b4.emailsp.com/f/rnl.aspx/?fei=1uwuq_vy.9ek=vyad8=t3sqsy&amp;f2::=2-neh9.9bd:5-cb10337&amp;x=pp&amp;yx0-2.e16.&amp;x=pv&amp;2b5g=qty2pNCLM" TargetMode="External"/><Relationship Id="rId635" Type="http://schemas.openxmlformats.org/officeDocument/2006/relationships/hyperlink" Target="https://e5c9a.mailupclient.com/f/rnl.aspx/?jhe=vwurvxsx/&amp;x=pv&amp;bdi=tzfd&amp;=st/n_/7f1-a=5k9hibg&amp;x=pv&amp;9a&amp;-c4&amp;501&amp;x=pp&amp;u_9f1-a2&amp;.b/&amp;:d=rswwosNCLM" TargetMode="External"/><Relationship Id="rId634" Type="http://schemas.openxmlformats.org/officeDocument/2006/relationships/hyperlink" Target="https://e5c9a.mailupclient.com/f/rnl.aspx/?jhe=vwurvxsx/&amp;x=pv&amp;bdi=tzfd&amp;=st_u_/7f1-a=5k9hibg&amp;x=pv&amp;9a&amp;-c4&amp;501&amp;x=pp&amp;u_9f1-a2&amp;.b/&amp;:d=rswvwwNCLM" TargetMode="External"/><Relationship Id="rId633" Type="http://schemas.openxmlformats.org/officeDocument/2006/relationships/hyperlink" Target="https://fb.me/adspreview/facebook/1OAFpHtWtwxdixl" TargetMode="External"/><Relationship Id="rId632" Type="http://schemas.openxmlformats.org/officeDocument/2006/relationships/hyperlink" Target="https://e5c9a.mailupclient.com/f/rnl.aspx/?jhe=vwurvxsx/&amp;x=pv&amp;bdi=tzfd&amp;=st/ws/7f1-a=5k9hibg&amp;x=pv&amp;9a&amp;-c4&amp;501&amp;x=pp&amp;u_9f1-a2&amp;.b/&amp;:d=rswvvsNCLM" TargetMode="External"/><Relationship Id="rId639" Type="http://schemas.openxmlformats.org/officeDocument/2006/relationships/hyperlink" Target="https://a2g9b4.emailsp.com/f/rnl.aspx/?fei=1wqvoxxy.9ek=vyad8=t3xsvy&amp;f2::=4ibeh..e--:5d6.451&amp;x=pp&amp;r1.&amp;x=pv&amp;49-6&amp;aax00l=rtpuwNCLM" TargetMode="External"/><Relationship Id="rId638" Type="http://schemas.openxmlformats.org/officeDocument/2006/relationships/hyperlink" Target="https://a2g9b4.emailsp.com/f/rnl.aspx/?fei=1wqvoxxy.9ek=vyad8=t3xsty&amp;f2::=4ibeh..e--:5d6.451&amp;x=pp&amp;r1.&amp;x=pv&amp;49-6&amp;aax00l=rtpt_NCLM" TargetMode="External"/><Relationship Id="rId637" Type="http://schemas.openxmlformats.org/officeDocument/2006/relationships/hyperlink" Target="https://a2g9b4.emailsp.com/f/rnl.aspx/?fei=1wqvoxxy.9ek=vyad8=t3xsqy&amp;f2::=4ibeh..e--:5d6.451&amp;x=pp&amp;r1.&amp;x=pv&amp;49-6&amp;aax00l=rtpu/NCLM" TargetMode="External"/><Relationship Id="rId636" Type="http://schemas.openxmlformats.org/officeDocument/2006/relationships/hyperlink" Target="https://a2g9b4.emailsp.com/f/rnl.aspx/?fei=1wqvoxxy.9ek=vyad8=t3xssy&amp;f2::=4ibeh..e--:5d6.451&amp;x=pp&amp;r1.&amp;x=pv&amp;49-6&amp;aax00l=rtptzNCLM" TargetMode="External"/><Relationship Id="rId2790" Type="http://schemas.openxmlformats.org/officeDocument/2006/relationships/hyperlink" Target="https://e5c9a.mailupclient.com/f/rnl.aspx/?jhe=vwt_y1w_/&amp;x=pv&amp;bdi=tzfd&amp;=suzu_/7f1-a=&amp;x=pv&amp;n1&amp;j&amp;kc949&amp;25&amp;x=pp&amp;uy.-5-&amp;x=pv&amp;83dbzb4h=rrwqw_NCLM" TargetMode="External"/><Relationship Id="rId1460" Type="http://schemas.openxmlformats.org/officeDocument/2006/relationships/hyperlink" Target="https://e5c9a.mailupclient.com/f/rnl.aspx/?jhe=vwszuxsy/&amp;x=pv&amp;bdi=tzfd&amp;=su3px/7f1-a=l925n3r/&amp;749&amp;x=pp&amp;q_&amp;.99a45h-/-6l=nszxxoNCLM" TargetMode="External"/><Relationship Id="rId2791" Type="http://schemas.openxmlformats.org/officeDocument/2006/relationships/hyperlink" Target="https://e5c9a.mailupclient.com/f/rnl.aspx/?jhe=vwt_y1w_/&amp;x=pv&amp;bdi=tzfd&amp;=suzsu/7f1-a=&amp;x=pv&amp;n1&amp;j&amp;kc949&amp;25&amp;x=pp&amp;uy.-5-&amp;x=pv&amp;83dbzb4h=rrwqyzNCLM" TargetMode="External"/><Relationship Id="rId1461" Type="http://schemas.openxmlformats.org/officeDocument/2006/relationships/hyperlink" Target="https://www.facebook.com/GCBA/posts/pfbid0ZhY9HNw5XyVPq9LPPWvSnUBGrzWXjMx66cykS25RXtuo4kREkyYSVqz9iN4gWoVKl" TargetMode="External"/><Relationship Id="rId2792" Type="http://schemas.openxmlformats.org/officeDocument/2006/relationships/hyperlink" Target="https://e5c9a.mailupclient.com/f/rnl.aspx/?jhe=vwszuxsy/&amp;x=pv&amp;bdi=tzfd&amp;=suzvs/7f1-a=l925n3r/&amp;749&amp;x=pp&amp;q_&amp;.99a45h-/-6l=ntst3tNCLM" TargetMode="External"/><Relationship Id="rId631" Type="http://schemas.openxmlformats.org/officeDocument/2006/relationships/hyperlink" Target="https://e5c9a.mailupclient.com/f/rnl.aspx/?jhe=1r_yq2o/a&amp;le=t/.l7=svu2o/9.99a=59ndi-a&amp;9g-7e:-49&amp;25&amp;x=pp&amp;uy.-5-&amp;x=pv&amp;83dbzb4h=rq1nwtNCLM" TargetMode="External"/><Relationship Id="rId1462" Type="http://schemas.openxmlformats.org/officeDocument/2006/relationships/hyperlink" Target="https://a2g9b4.emailsp.com/f/rnl.aspx/?fei=1vvoo_2y.9ek=vyad8=t3pwry&amp;f2::=k702m1k6.451&amp;x=pp&amp;r1.&amp;x=pv&amp;49-6&amp;aax00l=rurquNCLM" TargetMode="External"/><Relationship Id="rId2793" Type="http://schemas.openxmlformats.org/officeDocument/2006/relationships/hyperlink" Target="https://a2g9b4.emailsp.com/f/rnl.aspx/?fei=2orws1vy.9ek=vyad8=t3uqry&amp;f2::=7chafagb&amp;x=pp&amp;yx0-2.e16.&amp;x=pv&amp;2b5g=quz2vNCLM" TargetMode="External"/><Relationship Id="rId630" Type="http://schemas.openxmlformats.org/officeDocument/2006/relationships/hyperlink" Target="https://e5c9a.mailupclient.com/f/rnl.aspx/?jhe=1r_yq2o/a&amp;le=t/.l7=svv3v/9.99a=59ndi-a&amp;9g-7e:-49&amp;25&amp;x=pp&amp;uy.-5-&amp;x=pv&amp;83dbzb4h=rq1ostNCLM" TargetMode="External"/><Relationship Id="rId1463" Type="http://schemas.openxmlformats.org/officeDocument/2006/relationships/hyperlink" Target="https://www.facebook.com/GCBA/posts/pfbid0ZhY9HNw5XyVPq9LPPWvSnUBGrzWXjMx66cykS25RXtuo4kREkyYSVqz9iN4gWoVKl" TargetMode="External"/><Relationship Id="rId2310" Type="http://schemas.openxmlformats.org/officeDocument/2006/relationships/hyperlink" Target="https://www.facebook.com/GCBA/posts/pfbid0hGpDjeWSoe8Gqw2N9T8VHKQMT4vT7GrXwibd72SVb33WbSymwwnpGdmZbQH9bvyXl" TargetMode="External"/><Relationship Id="rId2794" Type="http://schemas.openxmlformats.org/officeDocument/2006/relationships/hyperlink" Target="https://a2g9b4.emailsp.com/f/rnl.aspx/?fei=2orws1vy.9ek=vyad8=t3urny&amp;f2::=7chafagb&amp;x=pp&amp;yx0-2.e16.&amp;x=pv&amp;2b5g=quz2tNCLM" TargetMode="External"/><Relationship Id="rId1464" Type="http://schemas.openxmlformats.org/officeDocument/2006/relationships/hyperlink" Target="https://e5c9a.mailupclient.com/f/rnl.aspx/?jhe=vwszuxsy/&amp;x=pv&amp;bdi=tzfd&amp;=su3pt/7f1-a=l925n3r/&amp;749&amp;x=pp&amp;q_&amp;.99a45h-/-6l=nszv2nNCLM" TargetMode="External"/><Relationship Id="rId2311" Type="http://schemas.openxmlformats.org/officeDocument/2006/relationships/hyperlink" Target="https://e5c9a.mailupclient.com/f/rnl.aspx/?jhe=vwszuxsy/&amp;x=pv&amp;bdi=tzfd&amp;=suxov/7f1-a=l925n3r/&amp;749&amp;x=pp&amp;q_&amp;.99a45h-/-6l=ntrqwtNCLM" TargetMode="External"/><Relationship Id="rId2795" Type="http://schemas.openxmlformats.org/officeDocument/2006/relationships/hyperlink" Target="https://a2g9b4.emailsp.com/f/rnl.aspx/?fei=2orws1vy.9ek=vyad8=t3uqty&amp;f2::=7chafagb&amp;x=pp&amp;yx0-2.e16.&amp;x=pv&amp;2b5g=quz2uNCLM" TargetMode="External"/><Relationship Id="rId1465" Type="http://schemas.openxmlformats.org/officeDocument/2006/relationships/hyperlink" Target="https://www.facebook.com/GCBA/posts/pfbid0b4iNwqqUvd7F2M6U3W1Z3ZRhXQk3Fbxfforwy1qj6ogdFrWrUMFCXe4GBue93wZml" TargetMode="External"/><Relationship Id="rId2312" Type="http://schemas.openxmlformats.org/officeDocument/2006/relationships/hyperlink" Target="https://www.facebook.com/GCBA/posts/pfbid0hGpDjeWSoe8Gqw2N9T8VHKQMT4vT7GrXwibd72SVb33WbSymwwnpGdmZbQH9bvyXl" TargetMode="External"/><Relationship Id="rId2796" Type="http://schemas.openxmlformats.org/officeDocument/2006/relationships/hyperlink" Target="https://e5c9a.mailupclient.com/f/rnl.aspx/?jhe=1r_yq2o/a&amp;le=t/.l7=swt_t/9.99a=59ndi-a&amp;9g-7e:-49&amp;25&amp;x=pp&amp;uy.-5-&amp;x=pv&amp;83dbzb4h=rrwpzrNCLM" TargetMode="External"/><Relationship Id="rId1411" Type="http://schemas.openxmlformats.org/officeDocument/2006/relationships/hyperlink" Target="https://www.facebook.com/GCBA/posts/pfbid02aE8Nd3mVbY2WNK7HU9ox1WhtCCiTCZaxgJyz5ByazJEGso5L9NKoC4FTQa1EKmk9l" TargetMode="External"/><Relationship Id="rId1895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2742" Type="http://schemas.openxmlformats.org/officeDocument/2006/relationships/hyperlink" Target="https://a2g9b4.emailsp.com/f/rnl.aspx/?fei=1vvoo_2y.9ek=vyad8=t3uqwy&amp;f2::=k702m1k6.451&amp;x=pp&amp;r1.&amp;x=pv&amp;49-6&amp;aax00l=rwsvtNCLM" TargetMode="External"/><Relationship Id="rId1412" Type="http://schemas.openxmlformats.org/officeDocument/2006/relationships/hyperlink" Target="https://e5c9a.mailupclient.com/f/rnl.aspx/?jhe=vwt_y1w_/&amp;x=pv&amp;bdi=tzfd&amp;=su3ox/7f1-a=&amp;x=pv&amp;n1&amp;j&amp;kc949&amp;25&amp;x=pp&amp;uy.-5-&amp;x=pv&amp;83dbzb4h=rq2twuNCLM" TargetMode="External"/><Relationship Id="rId1896" Type="http://schemas.openxmlformats.org/officeDocument/2006/relationships/hyperlink" Target="https://www.facebook.com/GCBA/posts/pfbid033kEjE9yaGrFdxuHniPNcM7sGu1ettWqv5TxYnj5GWzq8VFtkgjaXQMhw3oghr4Rdl" TargetMode="External"/><Relationship Id="rId2743" Type="http://schemas.openxmlformats.org/officeDocument/2006/relationships/hyperlink" Target="https://e5c9a.mailupclient.com/f/rnl.aspx/?jhe=1r_yq2o/a&amp;le=t/.l7=swt_s/9.99a=59ndi-a&amp;9g-7e:-49&amp;25&amp;x=pp&amp;uy.-5-&amp;x=pv&amp;83dbzb4h=rrwpytNCLM" TargetMode="External"/><Relationship Id="rId1413" Type="http://schemas.openxmlformats.org/officeDocument/2006/relationships/hyperlink" Target="https://www.facebook.com/GCBA/posts/pfbid02yZmqzW27WZWmV78Fctq2sNgCipDpR11wQfc5ArDrGXxh4ExLJX9nJtQtEzD3rTDGl" TargetMode="External"/><Relationship Id="rId1897" Type="http://schemas.openxmlformats.org/officeDocument/2006/relationships/hyperlink" Target="https://e5c9a.mailupclient.com/f/rnl.aspx/?jhe=vwurvxsx/&amp;x=pv&amp;bdi=tzfd&amp;=suwww/7f1-a=5k9hibg&amp;x=pv&amp;9a&amp;-c4&amp;501&amp;x=pp&amp;u_9f1-a2&amp;.b/&amp;:d=rty_nrNCLM" TargetMode="External"/><Relationship Id="rId2744" Type="http://schemas.openxmlformats.org/officeDocument/2006/relationships/hyperlink" Target="https://a2g9b4.emailsp.com/f/rnl.aspx/?fei=2orws1vy.9ek=vyad8=t3txqy&amp;f2::=7chafagb&amp;x=pp&amp;yx0-2.e16.&amp;x=pv&amp;2b5g=qu_wtNCLM" TargetMode="External"/><Relationship Id="rId1414" Type="http://schemas.openxmlformats.org/officeDocument/2006/relationships/hyperlink" Target="https://e5c9a.mailupclient.com/f/rnl.aspx/?jhe=vwt_y1w_/&amp;x=pv&amp;bdi=tzfd&amp;=su3pv/7f1-a=&amp;x=pv&amp;n1&amp;j&amp;kc949&amp;25&amp;x=pp&amp;uy.-5-&amp;x=pv&amp;83dbzb4h=rq2tysNCLM" TargetMode="External"/><Relationship Id="rId1898" Type="http://schemas.openxmlformats.org/officeDocument/2006/relationships/hyperlink" Target="https://www.facebook.com/reel/1500465164912421/" TargetMode="External"/><Relationship Id="rId2745" Type="http://schemas.openxmlformats.org/officeDocument/2006/relationships/hyperlink" Target="https://e5c9a.mailupclient.com/f/rnl.aspx/?jhe=vwvwwvrv/&amp;x=pv&amp;bdi=tzfd&amp;=suzs_/7f1-a=8e.dgcn&amp;&amp;x=pp&amp;u_9f1-a2&amp;.b/&amp;:d=rtqxurNCLM" TargetMode="External"/><Relationship Id="rId1415" Type="http://schemas.openxmlformats.org/officeDocument/2006/relationships/hyperlink" Target="https://www.facebook.com/GCBA/posts/pfbid0Dny5QJbX8hitGkDGBX9fHSDtTyn9e8hwh6zqgx9pvN8fpmf7kpFKshgUjB7jDUFFl" TargetMode="External"/><Relationship Id="rId1899" Type="http://schemas.openxmlformats.org/officeDocument/2006/relationships/hyperlink" Target="https://a2g9b4.emailsp.com/f/rnl.aspx/?fei=2orws1vy.9ek=vyad8=t3qyty&amp;f2::=7chafagb&amp;x=pp&amp;yx0-2.e16.&amp;x=pv&amp;2b5g=qttwpNCLM" TargetMode="External"/><Relationship Id="rId2746" Type="http://schemas.openxmlformats.org/officeDocument/2006/relationships/hyperlink" Target="https://a2g9b4.emailsp.com/f/rnl.aspx/?fei=2orws1vy.9ek=vyad8=t3uzqy&amp;f2::=7chafagb&amp;x=pp&amp;yx0-2.e16.&amp;x=pv&amp;2b5g=quy_wNCLM" TargetMode="External"/><Relationship Id="rId1416" Type="http://schemas.openxmlformats.org/officeDocument/2006/relationships/hyperlink" Target="https://e5c9a.mailupclient.com/f/rnl.aspx/?jhe=vwt_y1w_/&amp;x=pv&amp;bdi=tzfd&amp;=su3oy/7f1-a=&amp;x=pv&amp;n1&amp;j&amp;kc949&amp;25&amp;x=pp&amp;uy.-5-&amp;x=pv&amp;83dbzb4h=rq2twxNCLM" TargetMode="External"/><Relationship Id="rId2747" Type="http://schemas.openxmlformats.org/officeDocument/2006/relationships/hyperlink" Target="https://a2g9b4.emailsp.com/f/rnl.aspx/?fei=1vvoo1vy.9ek=vyad8=t3twny&amp;f2::=-l98i9di-10337&amp;x=pp&amp;yx0-2.e16.&amp;x=pv&amp;2b5g=quyzqNCLM" TargetMode="External"/><Relationship Id="rId1417" Type="http://schemas.openxmlformats.org/officeDocument/2006/relationships/hyperlink" Target="https://www.facebook.com/GCBA/posts/pfbid0Dny5QJbX8hitGkDGBX9fHSDtTyn9e8hwh6zqgx9pvN8fpmf7kpFKshgUjB7jDUFFl" TargetMode="External"/><Relationship Id="rId2748" Type="http://schemas.openxmlformats.org/officeDocument/2006/relationships/hyperlink" Target="https://e5c9a.mailupclient.com/f/rnl.aspx/?jhe=1r_yq2o/a&amp;le=t/.l7=swt_u/9.99a=59ndi-a&amp;9g-7e:-49&amp;25&amp;x=pp&amp;uy.-5-&amp;x=pv&amp;83dbzb4h=rrwpzxNCLM" TargetMode="External"/><Relationship Id="rId1418" Type="http://schemas.openxmlformats.org/officeDocument/2006/relationships/hyperlink" Target="https://e5c9a.mailupclient.com/f/rnl.aspx/?jhe=vwt_y1w_/&amp;x=pv&amp;bdi=tzfd&amp;=su3p_/7f1-a=&amp;x=pv&amp;n1&amp;j&amp;kc949&amp;25&amp;x=pp&amp;uy.-5-&amp;x=pv&amp;83dbzb4h=rq2tutNCLM" TargetMode="External"/><Relationship Id="rId2749" Type="http://schemas.openxmlformats.org/officeDocument/2006/relationships/hyperlink" Target="https://a2g9b4.emailsp.com/f/rnl.aspx/?fei=2orws1vy.9ek=vyad8=t3uzvy&amp;f2::=7chafagb&amp;x=pp&amp;yx0-2.e16.&amp;x=pv&amp;2b5g=quy2tNCLM" TargetMode="External"/><Relationship Id="rId1419" Type="http://schemas.openxmlformats.org/officeDocument/2006/relationships/hyperlink" Target="https://www.facebook.com/reel/1259490412867632" TargetMode="External"/><Relationship Id="rId1890" Type="http://schemas.openxmlformats.org/officeDocument/2006/relationships/hyperlink" Target="https://www.facebook.com/GCBA/posts/pfbid037B8Kb6DQ6dKt9mS5CNx7XqZfYqf2Rutt5WqAUp3FvUcdgydtH3fEPUXdETEYvDZdl" TargetMode="External"/><Relationship Id="rId1891" Type="http://schemas.openxmlformats.org/officeDocument/2006/relationships/hyperlink" Target="https://a2g9b4.emailsp.com/f/rnl.aspx/?fei=1wqvoxxy.9ek=vyad8=t3rzsy&amp;f2::=4ibeh..e--:5d6.451&amp;x=pp&amp;r1.&amp;x=pv&amp;49-6&amp;aax00l=rvnsyNCLM" TargetMode="External"/><Relationship Id="rId1892" Type="http://schemas.openxmlformats.org/officeDocument/2006/relationships/hyperlink" Target="https://www.facebook.com/reel/1682392496409197/" TargetMode="External"/><Relationship Id="rId1893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2740" Type="http://schemas.openxmlformats.org/officeDocument/2006/relationships/hyperlink" Target="https://e5c9a.mailupclient.com/f/rnl.aspx/?jhe=vwszuxsy/&amp;x=pv&amp;bdi=tzfd&amp;=suzrz/7f1-a=l925n3r/&amp;749&amp;x=pp&amp;q_&amp;.99a45h-/-6l=ntsrzpNCLM" TargetMode="External"/><Relationship Id="rId1410" Type="http://schemas.openxmlformats.org/officeDocument/2006/relationships/hyperlink" Target="https://e5c9a.mailupclient.com/f/rnl.aspx/?jhe=vwt_y1w_/&amp;x=pv&amp;bdi=tzfd&amp;=su3ov/7f1-a=&amp;x=pv&amp;n1&amp;j&amp;kc949&amp;25&amp;x=pp&amp;uy.-5-&amp;x=pv&amp;83dbzb4h=rq2twtNCLM" TargetMode="External"/><Relationship Id="rId1894" Type="http://schemas.openxmlformats.org/officeDocument/2006/relationships/hyperlink" Target="https://fb.me/adspreview/facebook/2kOc7goI7sZAeKe" TargetMode="External"/><Relationship Id="rId2741" Type="http://schemas.openxmlformats.org/officeDocument/2006/relationships/hyperlink" Target="https://e5c9a.mailupclient.com/f/rnl.aspx/?jhe=vwszuxsy/&amp;x=pv&amp;bdi=tzfd&amp;=suzrz/7f1-a=l925n3r/&amp;749&amp;x=pp&amp;q_&amp;.99a45h-/-6l=ntsrzpNCLM" TargetMode="External"/><Relationship Id="rId1400" Type="http://schemas.openxmlformats.org/officeDocument/2006/relationships/hyperlink" Target="https://a2g9b4.emailsp.com/f/rnl.aspx/?fei=1wqvoxxy.9ek=vyad8=t3pxpy&amp;f2::=4ibeh..e--:5d6.451&amp;x=pp&amp;r1.&amp;x=pv&amp;49-6&amp;aax00l=rurtuNCLM" TargetMode="External"/><Relationship Id="rId1884" Type="http://schemas.openxmlformats.org/officeDocument/2006/relationships/hyperlink" Target="https://www.facebook.com/reel/1659762081812931" TargetMode="External"/><Relationship Id="rId2731" Type="http://schemas.openxmlformats.org/officeDocument/2006/relationships/hyperlink" Target="https://e5c9a.mailupclient.com/f/rnl.aspx/?jhe=vwt_y1w_/&amp;x=pv&amp;bdi=tzfd&amp;=suzrw/7f1-a=&amp;x=pv&amp;n1&amp;j&amp;kc949&amp;25&amp;x=pp&amp;uy.-5-&amp;x=pv&amp;83dbzb4h=rrwpuyNCLM" TargetMode="External"/><Relationship Id="rId1401" Type="http://schemas.openxmlformats.org/officeDocument/2006/relationships/hyperlink" Target="https://www.facebook.com/baparticipacion/posts/pfbid0337DDYLN4zwtQBEmADu3hineCWrEYsHQXX7s4zt7dBM7hPiahrNoqW1stMWqRwLKol" TargetMode="External"/><Relationship Id="rId1885" Type="http://schemas.openxmlformats.org/officeDocument/2006/relationships/hyperlink" Target="https://e5c9a.mailupclient.com/f/rnl.aspx/?jhe=vwurvxsx/&amp;x=pv&amp;bdi=tzfd&amp;=suvr_/7f1-a=5k9hibg&amp;x=pv&amp;9a&amp;-c4&amp;501&amp;x=pp&amp;u_9f1-a2&amp;.b/&amp;:d=rtyxoyNCLM" TargetMode="External"/><Relationship Id="rId2732" Type="http://schemas.openxmlformats.org/officeDocument/2006/relationships/hyperlink" Target="https://e5c9a.mailupclient.com/f/rnl.aspx/?jhe=vwt_y1w_/&amp;x=pv&amp;bdi=tzfd&amp;=suzrx/7f1-a=&amp;x=pv&amp;n1&amp;j&amp;kc949&amp;25&amp;x=pp&amp;uy.-5-&amp;x=pv&amp;83dbzb4h=rrwpuuNCLM" TargetMode="External"/><Relationship Id="rId1402" Type="http://schemas.openxmlformats.org/officeDocument/2006/relationships/hyperlink" Target="https://a2g9b4.emailsp.com/f/rnl.aspx/?fei=2orws1vy.9ek=vyad8=t3ptry&amp;f2::=7chafagb&amp;x=pp&amp;yx0-2.e16.&amp;x=pv&amp;2b5g=qsw1oNCLM" TargetMode="External"/><Relationship Id="rId1886" Type="http://schemas.openxmlformats.org/officeDocument/2006/relationships/hyperlink" Target="https://www.facebook.com/reel/1659762081812931" TargetMode="External"/><Relationship Id="rId2733" Type="http://schemas.openxmlformats.org/officeDocument/2006/relationships/hyperlink" Target="https://e5c9a.mailupclient.com/f/rnl.aspx/?jhe=vwt_y1w_/&amp;x=pv&amp;bdi=tzfd&amp;=suzry/7f1-a=&amp;x=pv&amp;n1&amp;j&amp;kc949&amp;25&amp;x=pp&amp;uy.-5-&amp;x=pv&amp;83dbzb4h=rrwpuvNCLM" TargetMode="External"/><Relationship Id="rId1403" Type="http://schemas.openxmlformats.org/officeDocument/2006/relationships/hyperlink" Target="https://www.facebook.com/baparticipacion/posts/pfbid09AS49KkVfKMf62fEQRz6iXUsEG2fjaqVfPmuCCC58f5UWFYJ8TB1ta22KU6ER8Tkl" TargetMode="External"/><Relationship Id="rId1887" Type="http://schemas.openxmlformats.org/officeDocument/2006/relationships/hyperlink" Target="https://a2g9b4.emailsp.com/f/rnl.aspx/?fei=1uwuq_vy.9ek=vyad8=t3qyoy&amp;f2::=2-neh9.9bd:5-cb10337&amp;x=pp&amp;yx0-2.e16.&amp;x=pv&amp;2b5g=qt12tNCLM" TargetMode="External"/><Relationship Id="rId2734" Type="http://schemas.openxmlformats.org/officeDocument/2006/relationships/hyperlink" Target="https://a2g9b4.emailsp.com/f/rnl.aspx/?fei=1vvoo1vy.9ek=vyad8=t3uzry&amp;f2::=-l98i9di-10337&amp;x=pp&amp;yx0-2.e16.&amp;x=pv&amp;2b5g=quyzsNCLM" TargetMode="External"/><Relationship Id="rId1404" Type="http://schemas.openxmlformats.org/officeDocument/2006/relationships/hyperlink" Target="https://e5c9a.mailupclient.com/f/rnl.aspx/?jhe=vwvwwvrv/&amp;x=pv&amp;bdi=tzfd&amp;=su3ot/7f1-a=8e.dgcn&amp;&amp;x=pp&amp;u_9f1-a2&amp;.b/&amp;:d=rsx/rwNCLM" TargetMode="External"/><Relationship Id="rId1888" Type="http://schemas.openxmlformats.org/officeDocument/2006/relationships/hyperlink" Target="http://facebook.com/reel/2080818039518607/" TargetMode="External"/><Relationship Id="rId2735" Type="http://schemas.openxmlformats.org/officeDocument/2006/relationships/hyperlink" Target="https://e5c9a.mailupclient.com/f/rnl.aspx/?jhe=vwt_y1w_/&amp;x=pv&amp;bdi=tzfd&amp;=suzsr/7f1-a=&amp;x=pv&amp;n1&amp;j&amp;kc949&amp;25&amp;x=pp&amp;uy.-5-&amp;x=pv&amp;83dbzb4h=rrwpvuNCLM" TargetMode="External"/><Relationship Id="rId1405" Type="http://schemas.openxmlformats.org/officeDocument/2006/relationships/hyperlink" Target="https://www.facebook.com/baparticipacion/posts/pfbid0a9Khp7pULiMMYQMkVT5D2gf2S9fkMgKRvS25bmiT6zTf782A6KfUtBxnjv5etnv8l" TargetMode="External"/><Relationship Id="rId1889" Type="http://schemas.openxmlformats.org/officeDocument/2006/relationships/hyperlink" Target="https://a2g9b4.emailsp.com/f/rnl.aspx/?fei=1wqvoxxy.9ek=vyad8=t3qvty&amp;f2::=4ibeh..e--:5d6.451&amp;x=pp&amp;r1.&amp;x=pv&amp;49-6&amp;aax00l=rvnr_NCLM" TargetMode="External"/><Relationship Id="rId2736" Type="http://schemas.openxmlformats.org/officeDocument/2006/relationships/hyperlink" Target="https://e5c9a.mailupclient.com/f/rnl.aspx/?jhe=vwt_y1w_/&amp;x=pv&amp;bdi=tzfd&amp;=suzss/7f1-a=&amp;x=pv&amp;n1&amp;j&amp;kc949&amp;25&amp;x=pp&amp;uy.-5-&amp;x=pv&amp;83dbzb4h=rrwpvvNCLM" TargetMode="External"/><Relationship Id="rId1406" Type="http://schemas.openxmlformats.org/officeDocument/2006/relationships/hyperlink" Target="https://e5c9a.mailupclient.com/f/rnl.aspx/?jhe=vwvwwvrv/&amp;x=pv&amp;bdi=tzfd&amp;=su3ps/7f1-a=8e.dgcn&amp;&amp;x=pp&amp;u_9f1-a2&amp;.b/&amp;:d=rsx1w_NCLM" TargetMode="External"/><Relationship Id="rId2737" Type="http://schemas.openxmlformats.org/officeDocument/2006/relationships/hyperlink" Target="https://a2g9b4.emailsp.com/f/rnl.aspx/?fei=1vvoo_2y.9ek=vyad8=t3txvy&amp;f2::=k702m1k6.451&amp;x=pp&amp;r1.&amp;x=pv&amp;49-6&amp;aax00l=rwrsxNCLM" TargetMode="External"/><Relationship Id="rId1407" Type="http://schemas.openxmlformats.org/officeDocument/2006/relationships/hyperlink" Target="https://fb.me/adspreview/facebook/1TkeqwIzNSX2150" TargetMode="External"/><Relationship Id="rId2738" Type="http://schemas.openxmlformats.org/officeDocument/2006/relationships/hyperlink" Target="https://e5c9a.mailupclient.com/f/rnl.aspx/?jhe=vwszuxsy/&amp;x=pv&amp;bdi=tzfd&amp;=suzq_/7f1-a=l925n3r/&amp;749&amp;x=pp&amp;q_&amp;.99a45h-/-6l=ntsqypNCLM" TargetMode="External"/><Relationship Id="rId1408" Type="http://schemas.openxmlformats.org/officeDocument/2006/relationships/hyperlink" Target="https://e5c9a.mailupclient.com/f/rnl.aspx/?jhe=vwt_y1w_/&amp;x=pv&amp;bdi=tzfd&amp;=su3ou/7f1-a=&amp;x=pv&amp;n1&amp;j&amp;kc949&amp;25&amp;x=pp&amp;uy.-5-&amp;x=pv&amp;83dbzb4h=rq2tw_NCLM" TargetMode="External"/><Relationship Id="rId2739" Type="http://schemas.openxmlformats.org/officeDocument/2006/relationships/hyperlink" Target="https://a2g9b4.emailsp.com/f/rnl.aspx/?fei=1vvoo_2y.9ek=vyad8=t3uzoy&amp;f2::=k702m1k6.451&amp;x=pp&amp;r1.&amp;x=pv&amp;49-6&amp;aax00l=rwsrzNCLM" TargetMode="External"/><Relationship Id="rId1409" Type="http://schemas.openxmlformats.org/officeDocument/2006/relationships/hyperlink" Target="https://www.facebook.com/reel/1661938441623776" TargetMode="External"/><Relationship Id="rId1880" Type="http://schemas.openxmlformats.org/officeDocument/2006/relationships/hyperlink" Target="https://www.facebook.com/GCBA/posts/pfbid0jgVcudB6MEbvPVHra7eWinJk4DH7E5ZrwW9QN5d8AK6YnS5oc3B62pdaQUD8715al" TargetMode="External"/><Relationship Id="rId1881" Type="http://schemas.openxmlformats.org/officeDocument/2006/relationships/hyperlink" Target="https://e5c9a.mailupclient.com/f/rnl.aspx/?jhe=vwurvxsx/&amp;x=pv&amp;bdi=tzfd&amp;=suvrv/7f1-a=5k9hibg&amp;x=pv&amp;9a&amp;-c4&amp;501&amp;x=pp&amp;u_9f1-a2&amp;.b/&amp;:d=rtyxtwNCLM" TargetMode="External"/><Relationship Id="rId1882" Type="http://schemas.openxmlformats.org/officeDocument/2006/relationships/hyperlink" Target="https://www.facebook.com/GCBA/posts/pfbid0g5ZRwTLc9uRgt72KhNmDHAbjoyhjqyZZAQckfZVv95tY516eXdL5QyGDwxEiy8rKl" TargetMode="External"/><Relationship Id="rId1883" Type="http://schemas.openxmlformats.org/officeDocument/2006/relationships/hyperlink" Target="https://e5c9a.mailupclient.com/f/rnl.aspx/?jhe=vwurvxsx/&amp;x=pv&amp;bdi=tzfd&amp;=suvr_/7f1-a=5k9hibg&amp;x=pv&amp;9a&amp;-c4&amp;501&amp;x=pp&amp;u_9f1-a2&amp;.b/&amp;:d=rtyxoyNCLM" TargetMode="External"/><Relationship Id="rId2730" Type="http://schemas.openxmlformats.org/officeDocument/2006/relationships/hyperlink" Target="https://e5c9a.mailupclient.com/f/rnl.aspx/?jhe=vwt_y1w_/&amp;x=pv&amp;bdi=tzfd&amp;=suzrv/7f1-a=&amp;x=pv&amp;n1&amp;j&amp;kc949&amp;25&amp;x=pp&amp;uy.-5-&amp;x=pv&amp;83dbzb4h=rrwptxNCLM" TargetMode="External"/><Relationship Id="rId1433" Type="http://schemas.openxmlformats.org/officeDocument/2006/relationships/hyperlink" Target="https://www.facebook.com/reel/818777800864033" TargetMode="External"/><Relationship Id="rId2764" Type="http://schemas.openxmlformats.org/officeDocument/2006/relationships/hyperlink" Target="https://e5c9a.mailupclient.com/f/rnl.aspx/?jhe=vwt_y1w_/&amp;x=pv&amp;bdi=tzfd&amp;=suzut/7f1-a=&amp;x=pv&amp;n1&amp;j&amp;kc949&amp;25&amp;x=pp&amp;uy.-5-&amp;x=pv&amp;83dbzb4h=rrwqz_NCLM" TargetMode="External"/><Relationship Id="rId1434" Type="http://schemas.openxmlformats.org/officeDocument/2006/relationships/hyperlink" Target="https://e5c9a.mailupclient.com/f/rnl.aspx/?jhe=1r_yq2o/a&amp;le=t/.l7=svtzq/9.99a=59ndi-a&amp;9g-7e:-49&amp;25&amp;x=pp&amp;uy.-5-&amp;x=pv&amp;83dbzb4h=rq/qyuNCLM" TargetMode="External"/><Relationship Id="rId2765" Type="http://schemas.openxmlformats.org/officeDocument/2006/relationships/hyperlink" Target="https://e5c9a.mailupclient.com/f/rnl.aspx/?jhe=vwt_y1w_/&amp;x=pv&amp;bdi=tzfd&amp;=suzux/7f1-a=&amp;x=pv&amp;n1&amp;j&amp;kc949&amp;25&amp;x=pp&amp;uy.-5-&amp;x=pv&amp;83dbzb4h=rrwqysNCLM" TargetMode="External"/><Relationship Id="rId1435" Type="http://schemas.openxmlformats.org/officeDocument/2006/relationships/hyperlink" Target="https://www.facebook.com/GCBA/posts/pfbid02aNCMtfa2ugz4oUAhKsTz8d9nWexr2u33cXHACEdWgPBU9sw8nFwG6qceFSSgEHyVl" TargetMode="External"/><Relationship Id="rId2766" Type="http://schemas.openxmlformats.org/officeDocument/2006/relationships/hyperlink" Target="https://e5c9a.mailupclient.com/f/rnl.aspx/?jhe=vwt_y1w_/&amp;x=pv&amp;bdi=tzfd&amp;=suzuy/7f1-a=&amp;x=pv&amp;n1&amp;j&amp;kc949&amp;25&amp;x=pp&amp;uy.-5-&amp;x=pv&amp;83dbzb4h=rrwqyyNCLM" TargetMode="External"/><Relationship Id="rId1436" Type="http://schemas.openxmlformats.org/officeDocument/2006/relationships/hyperlink" Target="https://e5c9a.mailupclient.com/f/rnl.aspx/?jhe=vwurvxsx/&amp;x=pv&amp;bdi=tzfd&amp;=su3qy/7f1-a=5k9hibg&amp;x=pv&amp;9a&amp;-c4&amp;501&amp;x=pp&amp;u_9f1-a2&amp;.b/&amp;:d=rsx1oyNCLM" TargetMode="External"/><Relationship Id="rId2767" Type="http://schemas.openxmlformats.org/officeDocument/2006/relationships/hyperlink" Target="https://e5c9a.mailupclient.com/f/rnl.aspx/?jhe=vwt_y1w_/&amp;x=pv&amp;bdi=tzfd&amp;=suzuz/7f1-a=&amp;x=pv&amp;n1&amp;j&amp;kc949&amp;25&amp;x=pp&amp;uy.-5-&amp;x=pv&amp;83dbzb4h=rrwqyuNCLM" TargetMode="External"/><Relationship Id="rId1437" Type="http://schemas.openxmlformats.org/officeDocument/2006/relationships/hyperlink" Target="https://www.facebook.com/GCBA/posts/pfbid02aNCMtfa2ugz4oUAhKsTz8d9nWexr2u33cXHACEdWgPBU9sw8nFwG6qceFSSgEHyVl" TargetMode="External"/><Relationship Id="rId2768" Type="http://schemas.openxmlformats.org/officeDocument/2006/relationships/hyperlink" Target="https://e5c9a.mailupclient.com/f/rnl.aspx/?jhe=vwszuxsy/&amp;x=pv&amp;bdi=tzfd&amp;=suztv/7f1-a=l925n3r/&amp;749&amp;x=pp&amp;q_&amp;.99a45h-/-6l=ntssvnNCLM" TargetMode="External"/><Relationship Id="rId1438" Type="http://schemas.openxmlformats.org/officeDocument/2006/relationships/hyperlink" Target="https://e5c9a.mailupclient.com/f/rnl.aspx/?jhe=vwurvxsx/&amp;x=pv&amp;bdi=tzfd&amp;=su3py/7f1-a=5k9hibg&amp;x=pv&amp;9a&amp;-c4&amp;501&amp;x=pp&amp;u_9f1-a2&amp;.b/&amp;:d=rsx/uwNCLM" TargetMode="External"/><Relationship Id="rId2769" Type="http://schemas.openxmlformats.org/officeDocument/2006/relationships/hyperlink" Target="https://e5c9a.mailupclient.com/f/rnl.aspx/?jhe=vwszuxsy/&amp;x=pv&amp;bdi=tzfd&amp;=suztu/7f1-a=l925n3r/&amp;749&amp;x=pp&amp;q_&amp;.99a45h-/-6l=ntssytNCLM" TargetMode="External"/><Relationship Id="rId1439" Type="http://schemas.openxmlformats.org/officeDocument/2006/relationships/hyperlink" Target="https://www.facebook.com/reel/1524051432758941" TargetMode="External"/><Relationship Id="rId609" Type="http://schemas.openxmlformats.org/officeDocument/2006/relationships/hyperlink" Target="https://e5c9a.mailupclient.com/f/rnl.aspx/?jhe=vwurvxsx/&amp;x=pv&amp;bdi=tzfd&amp;=st_ut/7f1-a=5k9hibg&amp;x=pv&amp;9a&amp;-c4&amp;501&amp;x=pp&amp;u_9f1-a2&amp;.b/&amp;:d=rswvowNCLM" TargetMode="External"/><Relationship Id="rId608" Type="http://schemas.openxmlformats.org/officeDocument/2006/relationships/hyperlink" Target="https://e5c9a.mailupclient.com/f/rnl.aspx/?jhe=vwvwwvrv/&amp;x=pv&amp;bdi=tzfd&amp;=st_tw/7f1-a=8e.dgcn&amp;&amp;x=pp&amp;u_9f1-a2&amp;.b/&amp;:d=rswvwyNCLM" TargetMode="External"/><Relationship Id="rId607" Type="http://schemas.openxmlformats.org/officeDocument/2006/relationships/hyperlink" Target="https://a2g9b4.emailsp.com/f/rnl.aspx/?fei=1wqvoxxy.9ek=vyad8=t3xrny&amp;f2::=4ibeh..e--:5d6.451&amp;x=pp&amp;r1.&amp;x=pv&amp;49-6&amp;aax00l=rtppyNCLM" TargetMode="External"/><Relationship Id="rId602" Type="http://schemas.openxmlformats.org/officeDocument/2006/relationships/hyperlink" Target="https://e5c9a.mailupclient.com/f/rnl.aspx/?jhe=vwurvxsx/&amp;x=pv&amp;bdi=tzfd&amp;=st_uy/7f1-a=5k9hibg&amp;x=pv&amp;9a&amp;-c4&amp;501&amp;x=pp&amp;u_9f1-a2&amp;.b/&amp;:d=rswvpuNCLM" TargetMode="External"/><Relationship Id="rId601" Type="http://schemas.openxmlformats.org/officeDocument/2006/relationships/hyperlink" Target="https://e5c9a.mailupclient.com/f/rnl.aspx/?jhe=vwurvxsx/&amp;x=pv&amp;bdi=tzfd&amp;=stzux/7f1-a=5k9hibg&amp;x=pv&amp;9a&amp;-c4&amp;501&amp;x=pp&amp;u_9f1-a2&amp;.b/&amp;:d=rswvpzNCLM" TargetMode="External"/><Relationship Id="rId600" Type="http://schemas.openxmlformats.org/officeDocument/2006/relationships/hyperlink" Target="https://a2g9b4.emailsp.com/f/rnl.aspx/?fei=1wqvoxxy.9ek=vyad8=t3xrty&amp;f2::=4ibeh..e--:5d6.451&amp;x=pp&amp;r1.&amp;x=pv&amp;49-6&amp;aax00l=rtppzNCLM" TargetMode="External"/><Relationship Id="rId606" Type="http://schemas.openxmlformats.org/officeDocument/2006/relationships/hyperlink" Target="https://a2g9b4.emailsp.com/f/rnl.aspx/?fei=1wqvoxxy.9ek=vyad8=t3xrry&amp;f2::=4ibeh..e--:5d6.451&amp;x=pp&amp;r1.&amp;x=pv&amp;49-6&amp;aax00l=rtpouNCLM" TargetMode="External"/><Relationship Id="rId605" Type="http://schemas.openxmlformats.org/officeDocument/2006/relationships/hyperlink" Target="https://a2g9b4.emailsp.com/f/rnl.aspx/?fei=1wqvoxxy.9ek=vyad8=t3xrsy&amp;f2::=4ibeh..e--:5d6.451&amp;x=pp&amp;r1.&amp;x=pv&amp;49-6&amp;aax00l=rtpovNCLM" TargetMode="External"/><Relationship Id="rId604" Type="http://schemas.openxmlformats.org/officeDocument/2006/relationships/hyperlink" Target="https://e5c9a.mailupclient.com/f/rnl.aspx/?jhe=vwvwwvrv/&amp;x=pv&amp;bdi=tzfd&amp;=st_ts/7f1-a=8e.dgcn&amp;&amp;x=pp&amp;u_9f1-a2&amp;.b/&amp;:d=rsw3u_NCLM" TargetMode="External"/><Relationship Id="rId603" Type="http://schemas.openxmlformats.org/officeDocument/2006/relationships/hyperlink" Target="https://e5c9a.mailupclient.com/f/rnl.aspx/?jhe=vwvwwvrv/&amp;x=pv&amp;bdi=tzfd&amp;=st_ww/7f1-a=8e.dgcn&amp;&amp;x=pp&amp;u_9f1-a2&amp;.b/&amp;:d=rsw3syNCLM" TargetMode="External"/><Relationship Id="rId2760" Type="http://schemas.openxmlformats.org/officeDocument/2006/relationships/hyperlink" Target="https://a2g9b4.emailsp.com/f/rnl.aspx/?fei=2orws1vy.9ek=vyad8=t3uqpy&amp;f2::=7chafagb&amp;x=pp&amp;yx0-2.e16.&amp;x=pv&amp;2b5g=quzzrNCLM" TargetMode="External"/><Relationship Id="rId1430" Type="http://schemas.openxmlformats.org/officeDocument/2006/relationships/hyperlink" Target="https://a2g9b4.emailsp.com/f/rnl.aspx/?fei=1uwuq_vy.9ek=vyad8=t3pwwy&amp;f2::=2-neh9.9bd:5-cb10337&amp;x=pp&amp;yx0-2.e16.&amp;x=pv&amp;2b5g=qsx3qNCLM" TargetMode="External"/><Relationship Id="rId2761" Type="http://schemas.openxmlformats.org/officeDocument/2006/relationships/hyperlink" Target="https://e5c9a.mailupclient.com/f/rnl.aspx/?jhe=vwt_y1w_/&amp;x=pv&amp;bdi=tzfd&amp;=suztx/7f1-a=&amp;x=pv&amp;n1&amp;j&amp;kc949&amp;25&amp;x=pp&amp;uy.-5-&amp;x=pv&amp;83dbzb4h=rrwqvzNCLM" TargetMode="External"/><Relationship Id="rId1431" Type="http://schemas.openxmlformats.org/officeDocument/2006/relationships/hyperlink" Target="https://www.facebook.com/reel/818777800864033" TargetMode="External"/><Relationship Id="rId2762" Type="http://schemas.openxmlformats.org/officeDocument/2006/relationships/hyperlink" Target="https://e5c9a.mailupclient.com/f/rnl.aspx/?jhe=vwt_y1w_/&amp;x=pv&amp;bdi=tzfd&amp;=suzty/7f1-a=&amp;x=pv&amp;n1&amp;j&amp;kc949&amp;25&amp;x=pp&amp;uy.-5-&amp;x=pv&amp;83dbzb4h=rrwqyrNCLM" TargetMode="External"/><Relationship Id="rId1432" Type="http://schemas.openxmlformats.org/officeDocument/2006/relationships/hyperlink" Target="https://a2g9b4.emailsp.com/f/rnl.aspx/?fei=1vvoo1vy.9ek=vyad8=t3pvsy&amp;f2::=-l98i9di-10337&amp;x=pp&amp;yx0-2.e16.&amp;x=pv&amp;2b5g=qsw1uNCLM" TargetMode="External"/><Relationship Id="rId2763" Type="http://schemas.openxmlformats.org/officeDocument/2006/relationships/hyperlink" Target="https://e5c9a.mailupclient.com/f/rnl.aspx/?jhe=vwt_y1w_/&amp;x=pv&amp;bdi=tzfd&amp;=suztz/7f1-a=&amp;x=pv&amp;n1&amp;j&amp;kc949&amp;25&amp;x=pp&amp;uy.-5-&amp;x=pv&amp;83dbzb4h=rrwqzrNCLM" TargetMode="External"/><Relationship Id="rId1422" Type="http://schemas.openxmlformats.org/officeDocument/2006/relationships/hyperlink" Target="https://e5c9a.mailupclient.com/f/rnl.aspx/?jhe=vwszuxsy/&amp;x=pv&amp;bdi=tzfd&amp;=su3nt/7f1-a=l925n3r/&amp;749&amp;x=pp&amp;q_&amp;.99a45h-/-6l=nszvynNCLM" TargetMode="External"/><Relationship Id="rId2753" Type="http://schemas.openxmlformats.org/officeDocument/2006/relationships/hyperlink" Target="https://a2g9b4.emailsp.com/f/rnl.aspx/?fei=1vvoo_2y.9ek=vyad8=t3txpy&amp;f2::=k702m1k6.451&amp;x=pp&amp;r1.&amp;x=pv&amp;49-6&amp;aax00l=rwrq/NCLM" TargetMode="External"/><Relationship Id="rId1423" Type="http://schemas.openxmlformats.org/officeDocument/2006/relationships/hyperlink" Target="https://www.facebook.com/reel/818777800864033" TargetMode="External"/><Relationship Id="rId2754" Type="http://schemas.openxmlformats.org/officeDocument/2006/relationships/hyperlink" Target="https://a2g9b4.emailsp.com/f/rnl.aspx/?fei=1vvoo_2y.9ek=vyad8=t3uqny&amp;f2::=k702m1k6.451&amp;x=pp&amp;r1.&amp;x=pv&amp;49-6&amp;aax00l=rwsvxNCLM" TargetMode="External"/><Relationship Id="rId1424" Type="http://schemas.openxmlformats.org/officeDocument/2006/relationships/hyperlink" Target="https://e5c9a.mailupclient.com/f/rnl.aspx/?jhe=vwszuxsy/&amp;x=pv&amp;bdi=tzfd&amp;=su3pu/7f1-a=l925n3r/&amp;749&amp;x=pp&amp;q_&amp;.99a45h-/-6l=nszv1rNCLM" TargetMode="External"/><Relationship Id="rId2755" Type="http://schemas.openxmlformats.org/officeDocument/2006/relationships/hyperlink" Target="https://a2g9b4.emailsp.com/f/rnl.aspx/?fei=1vvoo_2y.9ek=vyad8=t3uqwy&amp;f2::=k702m1k6.451&amp;x=pp&amp;r1.&amp;x=pv&amp;49-6&amp;aax00l=rwsvtNCLM" TargetMode="External"/><Relationship Id="rId1425" Type="http://schemas.openxmlformats.org/officeDocument/2006/relationships/hyperlink" Target="https://www.facebook.com/reel/818777800864033" TargetMode="External"/><Relationship Id="rId2756" Type="http://schemas.openxmlformats.org/officeDocument/2006/relationships/hyperlink" Target="https://e5c9a.mailupclient.com/f/rnl.aspx/?jhe=1r_yq2o/a&amp;le=t/.l7=swt2w/9.99a=59ndi-a&amp;9g-7e:-49&amp;25&amp;x=pp&amp;uy.-5-&amp;x=pv&amp;83dbzb4h=rrwqzwNCLM" TargetMode="External"/><Relationship Id="rId1426" Type="http://schemas.openxmlformats.org/officeDocument/2006/relationships/hyperlink" Target="https://a2g9b4.emailsp.com/f/rnl.aspx/?fei=1wqvoxxy.9ek=vyad8=t3pxoy&amp;f2::=4ibeh..e--:5d6.451&amp;x=pp&amp;r1.&amp;x=pv&amp;49-6&amp;aax00l=rurtyNCLM" TargetMode="External"/><Relationship Id="rId2757" Type="http://schemas.openxmlformats.org/officeDocument/2006/relationships/hyperlink" Target="https://a2g9b4.emailsp.com/f/rnl.aspx/?fei=2orws1vy.9ek=vyad8=t3uqpy&amp;f2::=7chafagb&amp;x=pp&amp;yx0-2.e16.&amp;x=pv&amp;2b5g=quzzrNCLM" TargetMode="External"/><Relationship Id="rId1427" Type="http://schemas.openxmlformats.org/officeDocument/2006/relationships/hyperlink" Target="https://www.facebook.com/reel/818777800864033" TargetMode="External"/><Relationship Id="rId2758" Type="http://schemas.openxmlformats.org/officeDocument/2006/relationships/hyperlink" Target="https://e5c9a.mailupclient.com/f/rnl.aspx/?jhe=vwvwwvrv/&amp;x=pv&amp;bdi=tzfd&amp;=suzuu/7f1-a=8e.dgcn&amp;&amp;x=pp&amp;u_9f1-a2&amp;.b/&amp;:d=rtqyuvNCLM" TargetMode="External"/><Relationship Id="rId1428" Type="http://schemas.openxmlformats.org/officeDocument/2006/relationships/hyperlink" Target="https://a2g9b4.emailsp.com/f/rnl.aspx/?fei=1uwuq_vy.9ek=vyad8=t3pvvy&amp;f2::=2-neh9.9bd:5-cb10337&amp;x=pp&amp;yx0-2.e16.&amp;x=pv&amp;2b5g=qsw2sNCLM" TargetMode="External"/><Relationship Id="rId2759" Type="http://schemas.openxmlformats.org/officeDocument/2006/relationships/hyperlink" Target="https://a2g9b4.emailsp.com/f/rnl.aspx/?fei=2orws1vy.9ek=vyad8=t3urwy&amp;f2::=7chafagb&amp;x=pp&amp;yx0-2.e16.&amp;x=pv&amp;2b5g=quzwvNCLM" TargetMode="External"/><Relationship Id="rId1429" Type="http://schemas.openxmlformats.org/officeDocument/2006/relationships/hyperlink" Target="https://www.facebook.com/reel/818777800864033" TargetMode="External"/><Relationship Id="rId2750" Type="http://schemas.openxmlformats.org/officeDocument/2006/relationships/hyperlink" Target="https://a2g9b4.emailsp.com/f/rnl.aspx/?fei=2orws1vy.9ek=vyad8=t3uzny&amp;f2::=7chafagb&amp;x=pp&amp;yx0-2.e16.&amp;x=pv&amp;2b5g=quy2uNCLM" TargetMode="External"/><Relationship Id="rId1420" Type="http://schemas.openxmlformats.org/officeDocument/2006/relationships/hyperlink" Target="https://e5c9a.mailupclient.com/f/rnl.aspx/?jhe=vwszuxsy/&amp;x=pv&amp;bdi=tzfd&amp;=su3pt/7f1-a=l925n3r/&amp;749&amp;x=pp&amp;q_&amp;.99a45h-/-6l=nszv2nNCLM" TargetMode="External"/><Relationship Id="rId2751" Type="http://schemas.openxmlformats.org/officeDocument/2006/relationships/hyperlink" Target="https://a2g9b4.emailsp.com/f/rnl.aspx/?fei=2orws1vy.9ek=vyad8=t3uzty&amp;f2::=7chafagb&amp;x=pp&amp;yx0-2.e16.&amp;x=pv&amp;2b5g=quz3oNCLM" TargetMode="External"/><Relationship Id="rId1421" Type="http://schemas.openxmlformats.org/officeDocument/2006/relationships/hyperlink" Target="https://www.facebook.com/reel/1259490412867632" TargetMode="External"/><Relationship Id="rId2752" Type="http://schemas.openxmlformats.org/officeDocument/2006/relationships/hyperlink" Target="https://e5c9a.mailupclient.com/f/rnl.aspx/?jhe=1ovurwr/a&amp;le=t/.l7=swt/s/9.99a=hbea9g7s35hgk.4&amp;501&amp;x=pp&amp;u_9f1-a2&amp;.b/&amp;:d=rtqyozNCLM" TargetMode="External"/><Relationship Id="rId1059" Type="http://schemas.openxmlformats.org/officeDocument/2006/relationships/hyperlink" Target="https://www.facebook.com/GCBA/posts/pfbid0rZJ4fPo7YnA9AeScq2R7cxcdv5KyU4Q5Vbs7jAwpryZn8LuSdd5z1Z6QyCncHxsil" TargetMode="External"/><Relationship Id="rId228" Type="http://schemas.openxmlformats.org/officeDocument/2006/relationships/hyperlink" Target="https://e5c9a.mailupclient.com/f/rnl.aspx/?jhe=vwt_y1w_/&amp;x=pv&amp;bdi=tzfd&amp;=stxos/7f1-a=&amp;x=pv&amp;n1&amp;j&amp;kc949&amp;25&amp;x=pp&amp;uy.-5-&amp;x=pv&amp;83dbzb4h=rq_vzuNCLM" TargetMode="External"/><Relationship Id="rId227" Type="http://schemas.openxmlformats.org/officeDocument/2006/relationships/hyperlink" Target="https://www.facebook.com/reel/1985348935347886" TargetMode="External"/><Relationship Id="rId226" Type="http://schemas.openxmlformats.org/officeDocument/2006/relationships/hyperlink" Target="https://e5c9a.mailupclient.com/f/rnl.aspx/?jhe=vwt_y1w_/&amp;x=pv&amp;bdi=tzfd&amp;=stxor/7f1-a=&amp;x=pv&amp;n1&amp;j&amp;kc949&amp;25&amp;x=pp&amp;uy.-5-&amp;x=pv&amp;83dbzb4h=rq_vzwNCLM" TargetMode="External"/><Relationship Id="rId225" Type="http://schemas.openxmlformats.org/officeDocument/2006/relationships/hyperlink" Target="https://www.facebook.com/GCBA/posts/pfbid032UmvaRZ3eAJNRC4zHziYpyXVaPbbTucP4LKQNEh1BSxa3mTrzNz6mZGgDzRqYkTel" TargetMode="External"/><Relationship Id="rId2380" Type="http://schemas.openxmlformats.org/officeDocument/2006/relationships/hyperlink" Target="https://e5c9a.mailupclient.com/f/rnl.aspx/?jhe=vwszuxsy/&amp;x=pv&amp;bdi=tzfd&amp;=suxrx/7f1-a=l925n3r/&amp;749&amp;x=pp&amp;q_&amp;.99a45h-/-6l=ntrr_vNCLM" TargetMode="External"/><Relationship Id="rId229" Type="http://schemas.openxmlformats.org/officeDocument/2006/relationships/hyperlink" Target="https://www.facebook.com/reel/1985348935347886" TargetMode="External"/><Relationship Id="rId1050" Type="http://schemas.openxmlformats.org/officeDocument/2006/relationships/hyperlink" Target="https://e5c9a.mailupclient.com/f/rnl.aspx/?jhe=vwurvxsx/&amp;x=pv&amp;bdi=tzfd&amp;=st2ny/7f1-a=5k9hibg&amp;x=pv&amp;9a&amp;-c4&amp;501&amp;x=pp&amp;u_9f1-a2&amp;.b/&amp;:d=rsxwouNCLM" TargetMode="External"/><Relationship Id="rId2381" Type="http://schemas.openxmlformats.org/officeDocument/2006/relationships/hyperlink" Target="https://www.facebook.com/baparticipacion/posts/pfbid02CLhVvTsBABiNShNb6Ww6g2RXmyXEifyxTwhLpRuypur1NchYCicREEsoHp37kfEkl" TargetMode="External"/><Relationship Id="rId220" Type="http://schemas.openxmlformats.org/officeDocument/2006/relationships/hyperlink" Target="https://e5c9a.mailupclient.com/f/rnl.aspx/?jhe=vwurvxsx/&amp;x=pv&amp;bdi=tzfd&amp;=stxvx/7f1-a=5k9hibg&amp;x=pv&amp;9a&amp;-c4&amp;501&amp;x=pp&amp;u_9f1-a2&amp;.b/&amp;:d=rsv3n_NCLM" TargetMode="External"/><Relationship Id="rId1051" Type="http://schemas.openxmlformats.org/officeDocument/2006/relationships/hyperlink" Target="https://www.facebook.com/GCBA/posts/pfbid0dTC8Lpqi6cP6mAMw4ceVVAx4C7fS6XDo5PzuFWLRgZkCGzvHMGB3PVJGmHyuSHS3l" TargetMode="External"/><Relationship Id="rId2382" Type="http://schemas.openxmlformats.org/officeDocument/2006/relationships/hyperlink" Target="https://e5c9a.mailupclient.com/f/rnl.aspx/?jhe=1r_yq2o/a&amp;le=t/.l7=swr_t/9.99a=59ndi-a&amp;9g-7e:-49&amp;25&amp;x=pp&amp;uy.-5-&amp;x=pv&amp;83dbzb4h=rrvqtrNCLM" TargetMode="External"/><Relationship Id="rId1052" Type="http://schemas.openxmlformats.org/officeDocument/2006/relationships/hyperlink" Target="https://a2g9b4.emailsp.com/f/rnl.aspx/?fei=2orws1vy.9ek=vyad8=t3ouuy&amp;f2::=7chafagb&amp;x=pp&amp;yx0-2.e16.&amp;x=pv&amp;2b5g=qs1xrNCLM" TargetMode="External"/><Relationship Id="rId2383" Type="http://schemas.openxmlformats.org/officeDocument/2006/relationships/hyperlink" Target="https://e5c9a.mailupclient.com/f/rnl.aspx/?jhe=1r_yq2o/a&amp;le=t/.l7=swr_s/9.99a=59ndi-a&amp;9g-7e:-49&amp;25&amp;x=pp&amp;uy.-5-&amp;x=pv&amp;83dbzb4h=rrvqt_NCLM" TargetMode="External"/><Relationship Id="rId1053" Type="http://schemas.openxmlformats.org/officeDocument/2006/relationships/hyperlink" Target="https://www.facebook.com/reel/1285830060203901" TargetMode="External"/><Relationship Id="rId2384" Type="http://schemas.openxmlformats.org/officeDocument/2006/relationships/hyperlink" Target="https://a2g9b4.emailsp.com/f/rnl.aspx/?fei=2orws1vy.9ek=vyad8=t3sswy&amp;f2::=7chafagb&amp;x=pp&amp;yx0-2.e16.&amp;x=pv&amp;2b5g=qt_vwNCLM" TargetMode="External"/><Relationship Id="rId1054" Type="http://schemas.openxmlformats.org/officeDocument/2006/relationships/hyperlink" Target="https://e5c9a.mailupclient.com/f/rnl.aspx/?jhe=vwt_y1w_/&amp;x=pv&amp;bdi=tzfd&amp;=st1uz/7f1-a=&amp;x=pv&amp;n1&amp;j&amp;kc949&amp;25&amp;x=pp&amp;uy.-5-&amp;x=pv&amp;83dbzb4h=rq2wzuNCLM" TargetMode="External"/><Relationship Id="rId2385" Type="http://schemas.openxmlformats.org/officeDocument/2006/relationships/hyperlink" Target="https://e5c9a.mailupclient.com/f/rnl.aspx/?jhe=vwszuxsy/&amp;x=pv&amp;bdi=tzfd&amp;=suxsy/7f1-a=l925n3r/&amp;749&amp;x=pp&amp;q_&amp;.99a45h-/-6l=ntrsxuNCLM" TargetMode="External"/><Relationship Id="rId224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1055" Type="http://schemas.openxmlformats.org/officeDocument/2006/relationships/hyperlink" Target="https://www.facebook.com/reel/1285830060203901" TargetMode="External"/><Relationship Id="rId2386" Type="http://schemas.openxmlformats.org/officeDocument/2006/relationships/hyperlink" Target="https://a2g9b4.emailsp.com/f/rnl.aspx/?fei=2orws1vy.9ek=vyad8=t3srty&amp;f2::=7chafagb&amp;x=pp&amp;yx0-2.e16.&amp;x=pv&amp;2b5g=qt_wxNCLM" TargetMode="External"/><Relationship Id="rId223" Type="http://schemas.openxmlformats.org/officeDocument/2006/relationships/hyperlink" Target="https://www.facebook.com/GCBA/posts/pfbid032UmvaRZ3eAJNRC4zHziYpyXVaPbbTucP4LKQNEh1BSxa3mTrzNz6mZGgDzRqYkTel" TargetMode="External"/><Relationship Id="rId1056" Type="http://schemas.openxmlformats.org/officeDocument/2006/relationships/hyperlink" Target="https://e5c9a.mailupclient.com/f/rnl.aspx/?jhe=vwt_y1w_/&amp;x=pv&amp;bdi=tzfd&amp;=st2wr/7f1-a=&amp;x=pv&amp;n1&amp;j&amp;kc949&amp;25&amp;x=pp&amp;uy.-5-&amp;x=pv&amp;83dbzb4h=rq2ny_NCLM" TargetMode="External"/><Relationship Id="rId2387" Type="http://schemas.openxmlformats.org/officeDocument/2006/relationships/hyperlink" Target="https://e5c9a.mailupclient.com/f/rnl.aspx/?jhe=vwvwwvrv/&amp;x=pv&amp;bdi=tzfd&amp;=suxsz/7f1-a=8e.dgcn&amp;&amp;x=pp&amp;u_9f1-a2&amp;.b/&amp;:d=rtpyqwNCLM" TargetMode="External"/><Relationship Id="rId222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1057" Type="http://schemas.openxmlformats.org/officeDocument/2006/relationships/hyperlink" Target="https://www.facebook.com/GCBA/posts/pfbid0rZJ4fPo7YnA9AeScq2R7cxcdv5KyU4Q5Vbs7jAwpryZn8LuSdd5z1Z6QyCncHxsil" TargetMode="External"/><Relationship Id="rId2388" Type="http://schemas.openxmlformats.org/officeDocument/2006/relationships/hyperlink" Target="https://www.facebook.com/reel/1251270250318703" TargetMode="External"/><Relationship Id="rId221" Type="http://schemas.openxmlformats.org/officeDocument/2006/relationships/hyperlink" Target="https://www.facebook.com/GCBA/posts/pfbid032UmvaRZ3eAJNRC4zHziYpyXVaPbbTucP4LKQNEh1BSxa3mTrzNz6mZGgDzRqYkTel" TargetMode="External"/><Relationship Id="rId1058" Type="http://schemas.openxmlformats.org/officeDocument/2006/relationships/hyperlink" Target="https://e5c9a.mailupclient.com/f/rnl.aspx/?jhe=vwt_y1w_/&amp;x=pv&amp;bdi=tzfd&amp;=st2ww/7f1-a=&amp;x=pv&amp;n1&amp;j&amp;kc949&amp;25&amp;x=pp&amp;uy.-5-&amp;x=pv&amp;83dbzb4h=rq2nz_NCLM" TargetMode="External"/><Relationship Id="rId2389" Type="http://schemas.openxmlformats.org/officeDocument/2006/relationships/hyperlink" Target="https://a2g9b4.emailsp.com/f/rnl.aspx/?fei=1vvoo1vy.9ek=vyad8=t3srsy&amp;f2::=-l98i9di-10337&amp;x=pp&amp;yx0-2.e16.&amp;x=pv&amp;2b5g=qtz_tNCLM" TargetMode="External"/><Relationship Id="rId1048" Type="http://schemas.openxmlformats.org/officeDocument/2006/relationships/hyperlink" Target="https://e5c9a.mailupclient.com/f/rnl.aspx/?jhe=vwurvxsx/&amp;x=pv&amp;bdi=tzfd&amp;=st1vr/7f1-a=5k9hibg&amp;x=pv&amp;9a&amp;-c4&amp;501&amp;x=pp&amp;u_9f1-a2&amp;.b/&amp;:d=rsxvwsNCLM" TargetMode="External"/><Relationship Id="rId2379" Type="http://schemas.openxmlformats.org/officeDocument/2006/relationships/hyperlink" Target="https://e5c9a.mailupclient.com/f/rnl.aspx/?jhe=vwszuxsy/&amp;x=pv&amp;bdi=tzfd&amp;=suxrw/7f1-a=l925n3r/&amp;749&amp;x=pp&amp;q_&amp;.99a45h-/-6l=ntrr_sNCLM" TargetMode="External"/><Relationship Id="rId1049" Type="http://schemas.openxmlformats.org/officeDocument/2006/relationships/hyperlink" Target="https://fb.me/adspreview/facebook/21gIh31pujWSpw4" TargetMode="External"/><Relationship Id="rId217" Type="http://schemas.openxmlformats.org/officeDocument/2006/relationships/hyperlink" Target="https://www.facebook.com/GCBA/posts/pfbid0rLEuW4M93zccXsLKxEbAgdx71UvEEJJusTpaAfZzdSBaQDr7KZx36ckPuiwG1Rhql" TargetMode="External"/><Relationship Id="rId216" Type="http://schemas.openxmlformats.org/officeDocument/2006/relationships/hyperlink" Target="https://e5c9a.mailupclient.com/f/rnl.aspx/?jhe=vwt_y1w_/&amp;x=pv&amp;bdi=tzfd&amp;=stxnt/7f1-a=&amp;x=pv&amp;n1&amp;j&amp;kc949&amp;25&amp;x=pp&amp;uy.-5-&amp;x=pv&amp;83dbzb4h=rq_vwxNCLM" TargetMode="External"/><Relationship Id="rId215" Type="http://schemas.openxmlformats.org/officeDocument/2006/relationships/hyperlink" Target="https://www.facebook.com/GCBA/posts/pfbid0rLEuW4M93zccXsLKxEbAgdx71UvEEJJusTpaAfZzdSBaQDr7KZx36ckPuiwG1Rhql" TargetMode="External"/><Relationship Id="rId699" Type="http://schemas.openxmlformats.org/officeDocument/2006/relationships/hyperlink" Target="https://e5c9a.mailupclient.com/f/rnl.aspx/?jhe=1r_yq2o/a&amp;le=t/.l7=svvyv/9.99a=59ndi-a&amp;9g-7e:-49&amp;25&amp;x=pp&amp;uy.-5-&amp;x=pv&amp;83dbzb4h=rq1qsxNCLM" TargetMode="External"/><Relationship Id="rId214" Type="http://schemas.openxmlformats.org/officeDocument/2006/relationships/hyperlink" Target="https://e5c9a.mailupclient.com/f/rnl.aspx/?jhe=vwt_y1w_/&amp;x=pv&amp;bdi=tzfd&amp;=stxnu/7f1-a=&amp;x=pv&amp;n1&amp;j&amp;kc949&amp;25&amp;x=pp&amp;uy.-5-&amp;x=pv&amp;83dbzb4h=rq_uuuNCLM" TargetMode="External"/><Relationship Id="rId698" Type="http://schemas.openxmlformats.org/officeDocument/2006/relationships/hyperlink" Target="https://e5c9a.mailupclient.com/f/rnl.aspx/?jhe=1r_yq2o/a&amp;le=t/.l7=svvwp/9.99a=59ndi-a&amp;9g-7e:-49&amp;25&amp;x=pp&amp;uy.-5-&amp;x=pv&amp;83dbzb4h=rq1ozuNCLM" TargetMode="External"/><Relationship Id="rId219" Type="http://schemas.openxmlformats.org/officeDocument/2006/relationships/hyperlink" Target="https://www.facebook.com/GCBA/posts/pfbid0rLEuW4M93zccXsLKxEbAgdx71UvEEJJusTpaAfZzdSBaQDr7KZx36ckPuiwG1Rhql" TargetMode="External"/><Relationship Id="rId218" Type="http://schemas.openxmlformats.org/officeDocument/2006/relationships/hyperlink" Target="https://e5c9a.mailupclient.com/f/rnl.aspx/?jhe=vwurvxsx/&amp;x=pv&amp;bdi=tzfd&amp;=styss/7f1-a=5k9hibg&amp;x=pv&amp;9a&amp;-c4&amp;501&amp;x=pp&amp;u_9f1-a2&amp;.b/&amp;:d=rsu2vzNCLM" TargetMode="External"/><Relationship Id="rId2370" Type="http://schemas.openxmlformats.org/officeDocument/2006/relationships/hyperlink" Target="https://e5c9a.mailupclient.com/f/rnl.aspx/?jhe=vwvwwvrv/&amp;x=pv&amp;bdi=tzfd&amp;=suxqy/7f1-a=8e.dgcn&amp;&amp;x=pp&amp;u_9f1-a2&amp;.b/&amp;:d=rtpxqwNCLM" TargetMode="External"/><Relationship Id="rId693" Type="http://schemas.openxmlformats.org/officeDocument/2006/relationships/hyperlink" Target="https://e5c9a.mailupclient.com/f/rnl.aspx/?jhe=vwszuxsy/&amp;x=pv&amp;bdi=tzfd&amp;=st/oy/7f1-a=l925n3r/&amp;749&amp;x=pp&amp;q_&amp;.99a45h-/-6l=nsyrvvNCLM" TargetMode="External"/><Relationship Id="rId1040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371" Type="http://schemas.openxmlformats.org/officeDocument/2006/relationships/hyperlink" Target="https://www.facebook.com/GCBA/posts/pfbid02MhamHAHwvVGP2bmq1bwnjG4fMgD6ZzhHXjj1DBLZpD637Kof28Ry1HXnAt6SuqM7l" TargetMode="External"/><Relationship Id="rId692" Type="http://schemas.openxmlformats.org/officeDocument/2006/relationships/hyperlink" Target="https://e5c9a.mailupclient.com/f/rnl.aspx/?jhe=vwvwwvrv/&amp;x=pv&amp;bdi=tzfd&amp;=st/q_/7f1-a=8e.dgcn&amp;&amp;x=pp&amp;u_9f1-a2&amp;.b/&amp;:d=rswxurNCLM" TargetMode="External"/><Relationship Id="rId1041" Type="http://schemas.openxmlformats.org/officeDocument/2006/relationships/hyperlink" Target="https://www.facebook.com/baparticipacion/posts/pfbid083zAfc3nNeS5Eqp7S1h3sXJAHVZ85HXeAHzorPa2k6QAc4RY9ex2S3XdfhzYgt1Ml" TargetMode="External"/><Relationship Id="rId2372" Type="http://schemas.openxmlformats.org/officeDocument/2006/relationships/hyperlink" Target="https://a2g9b4.emailsp.com/f/rnl.aspx/?fei=2orws1vy.9ek=vyad8=t3ssuy&amp;f2::=7chafagb&amp;x=pp&amp;yx0-2.e16.&amp;x=pv&amp;2b5g=qt_vqNCLM" TargetMode="External"/><Relationship Id="rId691" Type="http://schemas.openxmlformats.org/officeDocument/2006/relationships/hyperlink" Target="https://e5c9a.mailupclient.com/f/rnl.aspx/?jhe=vwurvxsx/&amp;x=pv&amp;bdi=tzfd&amp;=st/qv/7f1-a=5k9hibg&amp;x=pv&amp;9a&amp;-c4&amp;501&amp;x=pp&amp;u_9f1-a2&amp;.b/&amp;:d=rswxuwNCLM" TargetMode="External"/><Relationship Id="rId1042" Type="http://schemas.openxmlformats.org/officeDocument/2006/relationships/hyperlink" Target="https://a2g9b4.emailsp.com/f/rnl.aspx/?fei=1wqvoxxy.9ek=vyad8=t3owry&amp;f2::=4ibeh..e--:5d6.451&amp;x=pp&amp;r1.&amp;x=pv&amp;49-6&amp;aax00l=ruwsyNCLM" TargetMode="External"/><Relationship Id="rId2373" Type="http://schemas.openxmlformats.org/officeDocument/2006/relationships/hyperlink" Target="https://www.facebook.com/reel/1658547745215552" TargetMode="External"/><Relationship Id="rId690" Type="http://schemas.openxmlformats.org/officeDocument/2006/relationships/hyperlink" Target="https://e5c9a.mailupclient.com/f/rnl.aspx/?jhe=vwurvxsx/&amp;x=pv&amp;bdi=tzfd&amp;=st/pz/7f1-a=5k9hibg&amp;x=pv&amp;9a&amp;-c4&amp;501&amp;x=pp&amp;u_9f1-a2&amp;.b/&amp;:d=rswxqwNCLM" TargetMode="External"/><Relationship Id="rId1043" Type="http://schemas.openxmlformats.org/officeDocument/2006/relationships/hyperlink" Target="https://www.facebook.com/baparticipacion/posts/pfbid0ZNryPVEWwptixW2udVwy57jBnx2ZYBpc5reETSdaQPu1dtAQD4Wd1QTEiBXG2Kdul" TargetMode="External"/><Relationship Id="rId2374" Type="http://schemas.openxmlformats.org/officeDocument/2006/relationships/hyperlink" Target="https://e5c9a.mailupclient.com/f/rnl.aspx/?jhe=vwt_y1w_/&amp;x=pv&amp;bdi=tzfd&amp;=suxss/7f1-a=&amp;x=pv&amp;n1&amp;j&amp;kc949&amp;25&amp;x=pp&amp;uy.-5-&amp;x=pv&amp;83dbzb4h=rrvq_zNCLM" TargetMode="External"/><Relationship Id="rId213" Type="http://schemas.openxmlformats.org/officeDocument/2006/relationships/hyperlink" Target="https://www.facebook.com/reel/1401103571662551" TargetMode="External"/><Relationship Id="rId697" Type="http://schemas.openxmlformats.org/officeDocument/2006/relationships/hyperlink" Target="https://e5c9a.mailupclient.com/f/rnl.aspx/?jhe=1r_yq2o/a&amp;le=t/.l7=svvyn/9.99a=59ndi-a&amp;9g-7e:-49&amp;25&amp;x=pp&amp;uy.-5-&amp;x=pv&amp;83dbzb4h=rq1qutNCLM" TargetMode="External"/><Relationship Id="rId1044" Type="http://schemas.openxmlformats.org/officeDocument/2006/relationships/hyperlink" Target="https://a2g9b4.emailsp.com/f/rnl.aspx/?fei=1wqvoxxy.9ek=vyad8=t3otry&amp;f2::=4ibeh..e--:5d6.451&amp;x=pp&amp;r1.&amp;x=pv&amp;49-6&amp;aax00l=rtuwxNCLM" TargetMode="External"/><Relationship Id="rId2375" Type="http://schemas.openxmlformats.org/officeDocument/2006/relationships/hyperlink" Target="https://e5c9a.mailupclient.com/f/rnl.aspx/?jhe=vwt_y1w_/&amp;x=pv&amp;bdi=tzfd&amp;=suxru/7f1-a=&amp;x=pv&amp;n1&amp;j&amp;kc949&amp;25&amp;x=pp&amp;uy.-5-&amp;x=pv&amp;83dbzb4h=rrvpysNCLM" TargetMode="External"/><Relationship Id="rId212" Type="http://schemas.openxmlformats.org/officeDocument/2006/relationships/hyperlink" Target="https://e5c9a.mailupclient.com/f/rnl.aspx/?jhe=vwt_y1w_/&amp;x=pv&amp;bdi=tzfd&amp;=stxnv/7f1-a=&amp;x=pv&amp;n1&amp;j&amp;kc949&amp;25&amp;x=pp&amp;uy.-5-&amp;x=pv&amp;83dbzb4h=rq_uuwNCLM" TargetMode="External"/><Relationship Id="rId696" Type="http://schemas.openxmlformats.org/officeDocument/2006/relationships/hyperlink" Target="https://e5c9a.mailupclient.com/f/rnl.aspx/?jhe=1r_yq2o/a&amp;le=t/.l7=svv3s/9.99a=59ndi-a&amp;9g-7e:-49&amp;25&amp;x=pp&amp;uy.-5-&amp;x=pv&amp;83dbzb4h=rq1ortNCLM" TargetMode="External"/><Relationship Id="rId1045" Type="http://schemas.openxmlformats.org/officeDocument/2006/relationships/hyperlink" Target="https://www.facebook.com/baparticipacion/posts/pfbid025EiXLdTesVNC45LnEp63AusvMG7DbCeSrJur6BFVkh6LDHS5tmrVPgPUZNLQWkAwl" TargetMode="External"/><Relationship Id="rId2376" Type="http://schemas.openxmlformats.org/officeDocument/2006/relationships/hyperlink" Target="https://e5c9a.mailupclient.com/f/rnl.aspx/?jhe=vwt_y1w_/&amp;x=pv&amp;bdi=tzfd&amp;=suxrz/7f1-a=&amp;x=pv&amp;n1&amp;j&amp;kc949&amp;25&amp;x=pp&amp;uy.-5-&amp;x=pv&amp;83dbzb4h=rrvpz_NCLM" TargetMode="External"/><Relationship Id="rId211" Type="http://schemas.openxmlformats.org/officeDocument/2006/relationships/hyperlink" Target="https://www.facebook.com/reel/1401103571662551" TargetMode="External"/><Relationship Id="rId695" Type="http://schemas.openxmlformats.org/officeDocument/2006/relationships/hyperlink" Target="https://e5c9a.mailupclient.com/f/rnl.aspx/?jhe=vwszuxsy/&amp;x=pv&amp;bdi=tzfd&amp;=st/qu/7f1-a=l925n3r/&amp;749&amp;x=pp&amp;q_&amp;.99a45h-/-6l=nsyr/vNCLM" TargetMode="External"/><Relationship Id="rId1046" Type="http://schemas.openxmlformats.org/officeDocument/2006/relationships/hyperlink" Target="https://e5c9a.mailupclient.com/f/rnl.aspx/?jhe=vwurvxsx/&amp;x=pv&amp;bdi=tzfd&amp;=st2wx/7f1-a=5k9hibg&amp;x=pv&amp;9a&amp;-c4&amp;501&amp;x=pp&amp;u_9f1-a2&amp;.b/&amp;:d=rsxvsxNCLM" TargetMode="External"/><Relationship Id="rId2377" Type="http://schemas.openxmlformats.org/officeDocument/2006/relationships/hyperlink" Target="https://e5c9a.mailupclient.com/f/rnl.aspx/?jhe=1ovurwr/a&amp;le=t/.l7=swryr/9.99a=hbea9g7s35hgk.4&amp;501&amp;x=pp&amp;u_9f1-a2&amp;.b/&amp;:d=rtpxnuNCLM" TargetMode="External"/><Relationship Id="rId210" Type="http://schemas.openxmlformats.org/officeDocument/2006/relationships/hyperlink" Target="https://e5c9a.mailupclient.com/f/rnl.aspx/?jhe=vwt_y1w_/&amp;x=pv&amp;bdi=tzfd&amp;=stxnw/7f1-a=&amp;x=pv&amp;n1&amp;j&amp;kc949&amp;25&amp;x=pp&amp;uy.-5-&amp;x=pv&amp;83dbzb4h=rq_vyvNCLM" TargetMode="External"/><Relationship Id="rId694" Type="http://schemas.openxmlformats.org/officeDocument/2006/relationships/hyperlink" Target="https://a2g9b4.emailsp.com/f/rnl.aspx/?fei=1vvoo_2y.9ek=vyad8=t3xtsy&amp;f2::=k702m1k6.451&amp;x=pp&amp;r1.&amp;x=pv&amp;49-6&amp;aax00l=rtqx1NCLM" TargetMode="External"/><Relationship Id="rId1047" Type="http://schemas.openxmlformats.org/officeDocument/2006/relationships/hyperlink" Target="https://www.facebook.com/baparticipacion/posts/pfbid02GaNy9rqMfsWNqVtKyk7cAG7YPM1x6zjFDkpX4NVkpqD7L6ytK7EqqXfmCBRHBocdl" TargetMode="External"/><Relationship Id="rId2378" Type="http://schemas.openxmlformats.org/officeDocument/2006/relationships/hyperlink" Target="https://e5c9a.mailupclient.com/f/rnl.aspx/?jhe=vwszuxsy/&amp;x=pv&amp;bdi=tzfd&amp;=suxrv/7f1-a=l925n3r/&amp;749&amp;x=pp&amp;q_&amp;.99a45h-/-6l=ntrr_oNCLM" TargetMode="External"/><Relationship Id="rId249" Type="http://schemas.openxmlformats.org/officeDocument/2006/relationships/hyperlink" Target="https://www.facebook.com/reel/1332009022300877" TargetMode="External"/><Relationship Id="rId248" Type="http://schemas.openxmlformats.org/officeDocument/2006/relationships/hyperlink" Target="https://e5c9a.mailupclient.com/f/rnl.aspx/?jhe=vwt_y1w_/&amp;x=pv&amp;bdi=tzfd&amp;=styqy/7f1-a=&amp;x=pv&amp;n1&amp;j&amp;kc949&amp;25&amp;x=pp&amp;uy.-5-&amp;x=pv&amp;83dbzb4h=rq_uxrNCLM" TargetMode="External"/><Relationship Id="rId247" Type="http://schemas.openxmlformats.org/officeDocument/2006/relationships/hyperlink" Target="https://www.facebook.com/reel/1332009022300877" TargetMode="External"/><Relationship Id="rId1070" Type="http://schemas.openxmlformats.org/officeDocument/2006/relationships/hyperlink" Target="https://e5c9a.mailupclient.com/f/rnl.aspx/?jhe=vwszuxsy/&amp;x=pv&amp;bdi=tzfd&amp;=st2wy/7f1-a=l925n3r/&amp;749&amp;x=pp&amp;q_&amp;.99a45h-/-6l=nszp_sNCLM" TargetMode="External"/><Relationship Id="rId1071" Type="http://schemas.openxmlformats.org/officeDocument/2006/relationships/hyperlink" Target="https://www.facebook.com/reel/1862137061117644" TargetMode="External"/><Relationship Id="rId1072" Type="http://schemas.openxmlformats.org/officeDocument/2006/relationships/hyperlink" Target="https://e5c9a.mailupclient.com/f/rnl.aspx/?jhe=vwurvxsx/&amp;x=pv&amp;bdi=tzfd&amp;=st2o_/7f1-a=5k9hibg&amp;x=pv&amp;9a&amp;-c4&amp;501&amp;x=pp&amp;u_9f1-a2&amp;.b/&amp;:d=rsxwptNCLM" TargetMode="External"/><Relationship Id="rId242" Type="http://schemas.openxmlformats.org/officeDocument/2006/relationships/hyperlink" Target="https://e5c9a.mailupclient.com/f/rnl.aspx/?jhe=vwvwwvrv/&amp;x=pv&amp;bdi=tzfd&amp;=stysv/7f1-a=8e.dgcn&amp;&amp;x=pp&amp;u_9f1-a2&amp;.b/&amp;:d=rsv3wuNCLM" TargetMode="External"/><Relationship Id="rId1073" Type="http://schemas.openxmlformats.org/officeDocument/2006/relationships/hyperlink" Target="https://www.facebook.com/reel/1862137061117644" TargetMode="External"/><Relationship Id="rId241" Type="http://schemas.openxmlformats.org/officeDocument/2006/relationships/hyperlink" Target="https://www.facebook.com/reel/25959631640339458" TargetMode="External"/><Relationship Id="rId1074" Type="http://schemas.openxmlformats.org/officeDocument/2006/relationships/hyperlink" Target="https://e5c9a.mailupclient.com/f/rnl.aspx/?jhe=vwurvxsx/&amp;x=pv&amp;bdi=tzfd&amp;=st2nz/7f1-a=5k9hibg&amp;x=pv&amp;9a&amp;-c4&amp;501&amp;x=pp&amp;u_9f1-a2&amp;.b/&amp;:d=rsxwowNCLM" TargetMode="External"/><Relationship Id="rId240" Type="http://schemas.openxmlformats.org/officeDocument/2006/relationships/hyperlink" Target="https://e5c9a.mailupclient.com/f/rnl.aspx/?jhe=vwurvxsx/&amp;x=pv&amp;bdi=tzfd&amp;=stysy/7f1-a=5k9hibg&amp;x=pv&amp;9a&amp;-c4&amp;501&amp;x=pp&amp;u_9f1-a2&amp;.b/&amp;:d=rsv3nzNCLM" TargetMode="External"/><Relationship Id="rId1075" Type="http://schemas.openxmlformats.org/officeDocument/2006/relationships/hyperlink" Target="https://www.facebook.com/baparticipacion/posts/pfbid02dYYU4mZbzbHf5X6ZFcqJ8TJYAY5MCT3iFADCVgrDQgaZbbd7b6zgxeegzcn8zGMLl" TargetMode="External"/><Relationship Id="rId1076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246" Type="http://schemas.openxmlformats.org/officeDocument/2006/relationships/hyperlink" Target="https://e5c9a.mailupclient.com/f/rnl.aspx/?jhe=vwvwwvrv/&amp;x=pv&amp;bdi=tzfd&amp;=stysu/7f1-a=8e.dgcn&amp;&amp;x=pp&amp;u_9f1-a2&amp;.b/&amp;:d=rsv3o_NCLM" TargetMode="External"/><Relationship Id="rId1077" Type="http://schemas.openxmlformats.org/officeDocument/2006/relationships/hyperlink" Target="https://www.facebook.com/baparticipacion/posts/pfbid02dYYU4mZbzbHf5X6ZFcqJ8TJYAY5MCT3iFADCVgrDQgaZbbd7b6zgxeegzcn8zGMLl" TargetMode="External"/><Relationship Id="rId245" Type="http://schemas.openxmlformats.org/officeDocument/2006/relationships/hyperlink" Target="https://www.facebook.com/reel/1227602272311943" TargetMode="External"/><Relationship Id="rId1078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244" Type="http://schemas.openxmlformats.org/officeDocument/2006/relationships/hyperlink" Target="https://e5c9a.mailupclient.com/f/rnl.aspx/?jhe=vwvwwvrv/&amp;x=pv&amp;bdi=tzfd&amp;=stypu/7f1-a=8e.dgcn&amp;&amp;x=pp&amp;u_9f1-a2&amp;.b/&amp;:d=rsu1nxNCLM" TargetMode="External"/><Relationship Id="rId1079" Type="http://schemas.openxmlformats.org/officeDocument/2006/relationships/hyperlink" Target="https://www.facebook.com/reel/1291131632992651" TargetMode="External"/><Relationship Id="rId243" Type="http://schemas.openxmlformats.org/officeDocument/2006/relationships/hyperlink" Target="https://www.facebook.com/GCBA/posts/pfbid036pqFXR7zAF8PvFnxngTEwxPE9PqKmWq4AHHELyLosNtsxKY2jxKJRGQJxGk3ecSbl" TargetMode="External"/><Relationship Id="rId239" Type="http://schemas.openxmlformats.org/officeDocument/2006/relationships/hyperlink" Target="https://www.facebook.com/reel/25959631640339458" TargetMode="External"/><Relationship Id="rId238" Type="http://schemas.openxmlformats.org/officeDocument/2006/relationships/hyperlink" Target="https://a2g9b4.emailsp.com/f/rnl.aspx/?fei=1wqvoxxy.9ek=vyad8=/2qyx6d90.=3d.lfc&amp;x=pv&amp;.&amp;e08c1-&amp;34&amp;x=pp&amp;qx-f2::19h&amp;x=pv&amp;_95j=yqxvpNCLM" TargetMode="External"/><Relationship Id="rId237" Type="http://schemas.openxmlformats.org/officeDocument/2006/relationships/hyperlink" Target="https://www.facebook.com/reel/25959631640339458" TargetMode="External"/><Relationship Id="rId236" Type="http://schemas.openxmlformats.org/officeDocument/2006/relationships/hyperlink" Target="https://a2g9b4.emailsp.com/f/rnl.aspx/?fei=1vvoo1vy.9ek=vyad8=/2qwx6d90.=:g7.g:cd&amp;88622&amp;x=pp&amp;w38a10c84c-y.:e=tpv_yNCLM" TargetMode="External"/><Relationship Id="rId2390" Type="http://schemas.openxmlformats.org/officeDocument/2006/relationships/hyperlink" Target="https://a2g9b4.emailsp.com/f/rnl.aspx/?fei=1vvoo1vy.9ek=vyad8=t3ssty&amp;f2::=-l98i9di-10337&amp;x=pp&amp;yx0-2.e16.&amp;x=pv&amp;2b5g=qt_3uNCLM" TargetMode="External"/><Relationship Id="rId1060" Type="http://schemas.openxmlformats.org/officeDocument/2006/relationships/hyperlink" Target="https://e5c9a.mailupclient.com/f/rnl.aspx/?jhe=vwt_y1w_/&amp;x=pv&amp;bdi=tzfd&amp;=st2wz/7f1-a=&amp;x=pv&amp;n1&amp;j&amp;kc949&amp;25&amp;x=pp&amp;uy.-5-&amp;x=pv&amp;83dbzb4h=rq2nyzNCLM" TargetMode="External"/><Relationship Id="rId2391" Type="http://schemas.openxmlformats.org/officeDocument/2006/relationships/hyperlink" Target="https://a2g9b4.emailsp.com/f/rnl.aspx/?fei=1vvoo_2y.9ek=vyad8=t3ssvy&amp;f2::=k702m1k6.451&amp;x=pp&amp;r1.&amp;x=pv&amp;49-6&amp;aax00l=rvuoxNCLM" TargetMode="External"/><Relationship Id="rId1061" Type="http://schemas.openxmlformats.org/officeDocument/2006/relationships/hyperlink" Target="https://www.facebook.com/baparticipacion/posts/pfbid0KU21EBFa9ohX5iTUwZQc18vqoPQ3yh1diytwSNduJyoSMoRhK6eudsgtSDcy3udMl" TargetMode="External"/><Relationship Id="rId2392" Type="http://schemas.openxmlformats.org/officeDocument/2006/relationships/hyperlink" Target="https://www.facebook.com/GCBA/posts/pfbid02DrWG17bH62zmCu6dU9wRLn2Nwk92fLqgYW21Aggato1nU66mStnvrqsHe9iVMQZnl" TargetMode="External"/><Relationship Id="rId231" Type="http://schemas.openxmlformats.org/officeDocument/2006/relationships/hyperlink" Target="https://www.facebook.com/GCBA/posts/pfbid0337UG4zRXFbMrDgWhEvo65XfwWurZKf1GK8RZQ5Pka9jErhk36TCLtEoR98b6H6GGl" TargetMode="External"/><Relationship Id="rId1062" Type="http://schemas.openxmlformats.org/officeDocument/2006/relationships/hyperlink" Target="https://e5c9a.mailupclient.com/f/rnl.aspx/?jhe=vwt_y1w_/&amp;x=pv&amp;bdi=tzfd&amp;=st2n_/7f1-a=&amp;x=pv&amp;n1&amp;j&amp;kc949&amp;25&amp;x=pp&amp;uy.-5-&amp;x=pv&amp;83dbzb4h=rq2nzvNCLM" TargetMode="External"/><Relationship Id="rId2393" Type="http://schemas.openxmlformats.org/officeDocument/2006/relationships/hyperlink" Target="https://a2g9b4.emailsp.com/f/rnl.aspx/?fei=1vvoo_2y.9ek=vyad8=t3ssvy&amp;f2::=k702m1k6.451&amp;x=pp&amp;r1.&amp;x=pv&amp;49-6&amp;aax00l=rvuoxNCLM" TargetMode="External"/><Relationship Id="rId230" Type="http://schemas.openxmlformats.org/officeDocument/2006/relationships/hyperlink" Target="https://e5c9a.mailupclient.com/f/rnl.aspx/?jhe=vwt_y1w_/&amp;x=pv&amp;bdi=tzfd&amp;=stxny/7f1-a=&amp;x=pv&amp;n1&amp;j&amp;kc949&amp;25&amp;x=pp&amp;uy.-5-&amp;x=pv&amp;83dbzb4h=rq_vzsNCLM" TargetMode="External"/><Relationship Id="rId1063" Type="http://schemas.openxmlformats.org/officeDocument/2006/relationships/hyperlink" Target="https://www.facebook.com/GCBA/posts/pfbid02yGxP3HnpYHFD9KgthW4dZJADq6KNSb78N1gpPo3Qyn5rcWTEddUtRf8A7kPqvWe6l" TargetMode="External"/><Relationship Id="rId2394" Type="http://schemas.openxmlformats.org/officeDocument/2006/relationships/hyperlink" Target="https://www.facebook.com/GCBA/posts/pfbid02JYYk1CGyVghG3CbeSPdXRz6gTCUqzHz5GHa2x16kXYYGjS9rsHzerF6js3y8m3fEl" TargetMode="External"/><Relationship Id="rId1064" Type="http://schemas.openxmlformats.org/officeDocument/2006/relationships/hyperlink" Target="https://a2g9b4.emailsp.com/f/rnl.aspx/?fei=1vvoo1vy.9ek=vyad8=t3otqy&amp;f2::=-l98i9di-10337&amp;x=pp&amp;yx0-2.e16.&amp;x=pv&amp;2b5g=qs11tNCLM" TargetMode="External"/><Relationship Id="rId2395" Type="http://schemas.openxmlformats.org/officeDocument/2006/relationships/hyperlink" Target="https://a2g9b4.emailsp.com/f/rnl.aspx/?fei=1vvoo_2y.9ek=vyad8=t3ssoy&amp;f2::=k702m1k6.451&amp;x=pp&amp;r1.&amp;x=pv&amp;49-6&amp;aax00l=rvtt/NCLM" TargetMode="External"/><Relationship Id="rId1065" Type="http://schemas.openxmlformats.org/officeDocument/2006/relationships/hyperlink" Target="https://www.facebook.com/GCBA/posts/pfbid02yGxP3HnpYHFD9KgthW4dZJADq6KNSb78N1gpPo3Qyn5rcWTEddUtRf8A7kPqvWe6l" TargetMode="External"/><Relationship Id="rId2396" Type="http://schemas.openxmlformats.org/officeDocument/2006/relationships/hyperlink" Target="https://www.facebook.com/GCBA/posts/pfbid0G2yLCG7ZQnybNLz4fQzuqWnVYUM12M9Bj5GtrBUXUa7VuqGGHFgHQKqMLUN2sHf6l" TargetMode="External"/><Relationship Id="rId235" Type="http://schemas.openxmlformats.org/officeDocument/2006/relationships/hyperlink" Target="https://www.facebook.com/GCBA/posts/pfbid02fhrsXdCgnCn19Gs1k1PTjbTdAfYLBMqW3w4zhQLgJqH8r8uW4azYikpQk6Js8WNcl" TargetMode="External"/><Relationship Id="rId1066" Type="http://schemas.openxmlformats.org/officeDocument/2006/relationships/hyperlink" Target="https://e5c9a.mailupclient.com/f/rnl.aspx/?jhe=vwt_y1w_/&amp;x=pv&amp;bdi=tzfd&amp;=st2nu/7f1-a=&amp;x=pv&amp;n1&amp;j&amp;kc949&amp;25&amp;x=pp&amp;uy.-5-&amp;x=pv&amp;83dbzb4h=rq2nzyNCLM" TargetMode="External"/><Relationship Id="rId2397" Type="http://schemas.openxmlformats.org/officeDocument/2006/relationships/hyperlink" Target="https://a2g9b4.emailsp.com/f/rnl.aspx/?fei=1uwuq_vy.9ek=vyad8=t3sqoy&amp;f2::=2-neh9.9bd:5-cb10337&amp;x=pp&amp;yx0-2.e16.&amp;x=pv&amp;2b5g=qty/pNCLM" TargetMode="External"/><Relationship Id="rId234" Type="http://schemas.openxmlformats.org/officeDocument/2006/relationships/hyperlink" Target="https://e5c9a.mailupclient.com/f/rnl.aspx/?jhe=vwt_y1w_/&amp;x=pv&amp;bdi=tzfd&amp;=stxnx/7f1-a=&amp;x=pv&amp;n1&amp;j&amp;kc949&amp;25&amp;x=pp&amp;uy.-5-&amp;x=pv&amp;83dbzb4h=rq_vyyNCLM" TargetMode="External"/><Relationship Id="rId1067" Type="http://schemas.openxmlformats.org/officeDocument/2006/relationships/hyperlink" Target="https://www.facebook.com/baparticipacion/posts/pfbid02aS24Hkz9QALBv87g781wnbe4o3cNyAz4sbbsfiF9EtiQJzY3iyNNpAMCJRdAs3PEl" TargetMode="External"/><Relationship Id="rId2398" Type="http://schemas.openxmlformats.org/officeDocument/2006/relationships/hyperlink" Target="https://www.facebook.com/GCBA/posts/pfbid02EdidvFh5GkdQjSv2CC3NfL3DX9ckTRXkUM95ARJ4H9DGk5fh7QqWpEN4oTFShXC1l" TargetMode="External"/><Relationship Id="rId233" Type="http://schemas.openxmlformats.org/officeDocument/2006/relationships/hyperlink" Target="https://www.facebook.com/GCBA/posts/pfbid0337UG4zRXFbMrDgWhEvo65XfwWurZKf1GK8RZQ5Pka9jErhk36TCLtEoR98b6H6GGl" TargetMode="External"/><Relationship Id="rId1068" Type="http://schemas.openxmlformats.org/officeDocument/2006/relationships/hyperlink" Target="https://e5c9a.mailupclient.com/f/rnl.aspx/?jhe=vwszuxsy/&amp;x=pv&amp;bdi=tzfd&amp;=st2wv/7f1-a=l925n3r/&amp;749&amp;x=pp&amp;q_&amp;.99a45h-/-6l=nszp_qNCLM" TargetMode="External"/><Relationship Id="rId2399" Type="http://schemas.openxmlformats.org/officeDocument/2006/relationships/hyperlink" Target="https://e5c9a.mailupclient.com/f/rnl.aspx/?jhe=vwurvxsx/&amp;x=pv&amp;bdi=tzfd&amp;=suxs_/7f1-a=5k9hibg&amp;x=pv&amp;9a&amp;-c4&amp;501&amp;x=pp&amp;u_9f1-a2&amp;.b/&amp;:d=rtpxvwNCLM" TargetMode="External"/><Relationship Id="rId232" Type="http://schemas.openxmlformats.org/officeDocument/2006/relationships/hyperlink" Target="https://e5c9a.mailupclient.com/f/rnl.aspx/?jhe=vwt_y1w_/&amp;x=pv&amp;bdi=tzfd&amp;=stxot/7f1-a=&amp;x=pv&amp;n1&amp;j&amp;kc949&amp;25&amp;x=pp&amp;uy.-5-&amp;x=pv&amp;83dbzb4h=rq_vzyNCLM" TargetMode="External"/><Relationship Id="rId1069" Type="http://schemas.openxmlformats.org/officeDocument/2006/relationships/hyperlink" Target="https://www.instagram.com/p/DXHz066jLGU/" TargetMode="External"/><Relationship Id="rId1015" Type="http://schemas.openxmlformats.org/officeDocument/2006/relationships/hyperlink" Target="https://www.facebook.com/reel/1573178958142824" TargetMode="External"/><Relationship Id="rId1499" Type="http://schemas.openxmlformats.org/officeDocument/2006/relationships/hyperlink" Target="https://www.facebook.com/baparticipacion/posts/pfbid02kBQrh7f57xSAed9pAWm5Xm3igPzVuFVHzBPzdYDUnwqN475VdCFadqRZQrv2RvRxl" TargetMode="External"/><Relationship Id="rId2346" Type="http://schemas.openxmlformats.org/officeDocument/2006/relationships/hyperlink" Target="https://a2g9b4.emailsp.com/f/rnl.aspx/?fei=1uwuq_vy.9ek=vyad8=t3sqny&amp;f2::=2-neh9.9bd:5-cb10337&amp;x=pp&amp;yx0-2.e16.&amp;x=pv&amp;2b5g=qty/oNCLM" TargetMode="External"/><Relationship Id="rId1016" Type="http://schemas.openxmlformats.org/officeDocument/2006/relationships/hyperlink" Target="https://e5c9a.mailupclient.com/f/rnl.aspx/?jhe=vwt_y1w_/&amp;x=pv&amp;bdi=tzfd&amp;=st1ur/7f1-a=&amp;x=pv&amp;n1&amp;j&amp;kc949&amp;25&amp;x=pp&amp;uy.-5-&amp;x=pv&amp;83dbzb4h=rq2ntwNCLM" TargetMode="External"/><Relationship Id="rId2347" Type="http://schemas.openxmlformats.org/officeDocument/2006/relationships/hyperlink" Target="https://a2g9b4.emailsp.com/f/rnl.aspx/?fei=2orws1vy.9ek=vyad8=t3szqy&amp;f2::=7chafagb&amp;x=pp&amp;yx0-2.e16.&amp;x=pv&amp;2b5g=qtzxrNCLM" TargetMode="External"/><Relationship Id="rId1017" Type="http://schemas.openxmlformats.org/officeDocument/2006/relationships/hyperlink" Target="https://www.facebook.com/baparticipacion/posts/pfbid02YRVUqWgcq9vykKsseVnPrFPvU3JAquodw9G3ixGSq1yrcVoABoHnYHW3xZpxs6v5l" TargetMode="External"/><Relationship Id="rId2348" Type="http://schemas.openxmlformats.org/officeDocument/2006/relationships/hyperlink" Target="https://a2g9b4.emailsp.com/f/rnl.aspx/?fei=1vvoo_2y.9ek=vyad8=t3sroy&amp;f2::=k702m1k6.451&amp;x=pp&amp;r1.&amp;x=pv&amp;49-6&amp;aax00l=rvtpxNCLM" TargetMode="External"/><Relationship Id="rId1018" Type="http://schemas.openxmlformats.org/officeDocument/2006/relationships/hyperlink" Target="https://a2g9b4.emailsp.com/f/rnl.aspx/?fei=1vvoo_2y.9ek=vyad8=t3ovoy&amp;f2::=k702m1k6.451&amp;x=pp&amp;r1.&amp;x=pv&amp;49-6&amp;aax00l=rtvuzNCLM" TargetMode="External"/><Relationship Id="rId2349" Type="http://schemas.openxmlformats.org/officeDocument/2006/relationships/hyperlink" Target="https://www.facebook.com/GCBA/posts/pfbid02E1tkaC6tXj44NDQ9wzrkGosi4PqV2XUtQTMpcjo4J31tLPRfaLMhDGf1nvcVT4SUl" TargetMode="External"/><Relationship Id="rId1019" Type="http://schemas.openxmlformats.org/officeDocument/2006/relationships/hyperlink" Target="https://www.facebook.com/reel/1430192845027079" TargetMode="External"/><Relationship Id="rId668" Type="http://schemas.openxmlformats.org/officeDocument/2006/relationships/hyperlink" Target="https://e5c9a.mailupclient.com/f/rnl.aspx/?jhe=vwurvxsx/&amp;x=pv&amp;bdi=tzfd&amp;=st/o_/7f1-a=5k9hibg&amp;x=pv&amp;9a&amp;-c4&amp;501&amp;x=pp&amp;u_9f1-a2&amp;.b/&amp;:d=rswwurNCLM" TargetMode="External"/><Relationship Id="rId667" Type="http://schemas.openxmlformats.org/officeDocument/2006/relationships/hyperlink" Target="https://a2g9b4.emailsp.com/f/rnl.aspx/?fei=1wqvoxxy.9ek=vyad8=t3xuvy&amp;f2::=4ibeh..e--:5d6.451&amp;x=pp&amp;r1.&amp;x=pv&amp;49-6&amp;aax00l=rtquwNCLM" TargetMode="External"/><Relationship Id="rId666" Type="http://schemas.openxmlformats.org/officeDocument/2006/relationships/hyperlink" Target="https://a2g9b4.emailsp.com/f/rnl.aspx/?fei=1wqvoxxy.9ek=vyad8=t3xury&amp;f2::=4ibeh..e--:5d6.451&amp;x=pp&amp;r1.&amp;x=pv&amp;49-6&amp;aax00l=rtqtuNCLM" TargetMode="External"/><Relationship Id="rId665" Type="http://schemas.openxmlformats.org/officeDocument/2006/relationships/hyperlink" Target="https://e5c9a.mailupclient.com/f/rnl.aspx/?jhe=vwurvxsx/&amp;x=pv&amp;bdi=tzfd&amp;=st/wr/7f1-a=5k9hibg&amp;x=pv&amp;9a&amp;-c4&amp;501&amp;x=pp&amp;u_9f1-a2&amp;.b/&amp;:d=rswvvrNCLM" TargetMode="External"/><Relationship Id="rId669" Type="http://schemas.openxmlformats.org/officeDocument/2006/relationships/hyperlink" Target="https://e5c9a.mailupclient.com/f/rnl.aspx/?jhe=vwurvxsx/&amp;x=pv&amp;bdi=tzfd&amp;=st/ox/7f1-a=5k9hibg&amp;x=pv&amp;9a&amp;-c4&amp;501&amp;x=pp&amp;u_9f1-a2&amp;.b/&amp;:d=rswxpxNCLM" TargetMode="External"/><Relationship Id="rId1490" Type="http://schemas.openxmlformats.org/officeDocument/2006/relationships/hyperlink" Target="https://e5c9a.mailupclient.com/f/rnl.aspx/?jhe=vwt_y1w_/&amp;x=pv&amp;bdi=tzfd&amp;=su3ru/7f1-a=&amp;x=pv&amp;n1&amp;j&amp;kc949&amp;25&amp;x=pp&amp;uy.-5-&amp;x=pv&amp;83dbzb4h=rq2uyxNCLM" TargetMode="External"/><Relationship Id="rId660" Type="http://schemas.openxmlformats.org/officeDocument/2006/relationships/hyperlink" Target="https://a2g9b4.emailsp.com/f/rnl.aspx/?fei=1wqvoxxy.9ek=vyad8=t3xtty&amp;f2::=4ibeh..e--:5d6.451&amp;x=pp&amp;r1.&amp;x=pv&amp;49-6&amp;aax00l=rtqoxNCLM" TargetMode="External"/><Relationship Id="rId1491" Type="http://schemas.openxmlformats.org/officeDocument/2006/relationships/hyperlink" Target="https://www.facebook.com/baparticipacion/posts/pfbid0Kk5r87c8AodVCta9pZq3XRWo9fV95javxAd6YrUKdHFGmLqZUAnLXyCXoA1MsjCyl" TargetMode="External"/><Relationship Id="rId1492" Type="http://schemas.openxmlformats.org/officeDocument/2006/relationships/hyperlink" Target="https://a2g9b4.emailsp.com/f/rnl.aspx/?fei=1vvoo_2y.9ek=vyad8=t3qzoy&amp;f2::=k702m1k6.451&amp;x=pp&amp;r1.&amp;x=pv&amp;49-6&amp;aax00l=rusu/NCLM" TargetMode="External"/><Relationship Id="rId1493" Type="http://schemas.openxmlformats.org/officeDocument/2006/relationships/hyperlink" Target="https://www.facebook.com/reel/988104550589597" TargetMode="External"/><Relationship Id="rId2340" Type="http://schemas.openxmlformats.org/officeDocument/2006/relationships/hyperlink" Target="https://e5c9a.mailupclient.com/f/rnl.aspx/?jhe=1ovurwr/a&amp;le=t/.l7=swryr/9.99a=hbea9g7s35hgk.4&amp;501&amp;x=pp&amp;u_9f1-a2&amp;.b/&amp;:d=rtpxnuNCLM" TargetMode="External"/><Relationship Id="rId1010" Type="http://schemas.openxmlformats.org/officeDocument/2006/relationships/hyperlink" Target="https://e5c9a.mailupclient.com/f/rnl.aspx/?jhe=vwvwwvrv/&amp;x=pv&amp;bdi=tzfd&amp;=st1vw/7f1-a=8e.dgcn&amp;&amp;x=pp&amp;u_9f1-a2&amp;.b/&amp;:d=rsxvoyNCLM" TargetMode="External"/><Relationship Id="rId1494" Type="http://schemas.openxmlformats.org/officeDocument/2006/relationships/hyperlink" Target="https://e5c9a.mailupclient.com/f/rnl.aspx/?jhe=vwszuxsy/&amp;x=pv&amp;bdi=tzfd&amp;=su3pr/7f1-a=l925n3r/&amp;749&amp;x=pp&amp;q_&amp;.99a45h-/-6l=nszv1tNCLM" TargetMode="External"/><Relationship Id="rId2341" Type="http://schemas.openxmlformats.org/officeDocument/2006/relationships/hyperlink" Target="https://a2g9b4.emailsp.com/f/rnl.aspx/?fei=1vvoo_2y.9ek=vyad8=t3sqwy&amp;f2::=k702m1k6.451&amp;x=pp&amp;r1.&amp;x=pv&amp;49-6&amp;aax00l=rvsu1NCLM" TargetMode="External"/><Relationship Id="rId664" Type="http://schemas.openxmlformats.org/officeDocument/2006/relationships/hyperlink" Target="https://e5c9a.mailupclient.com/f/rnl.aspx/?jhe=vwurvxsx/&amp;x=pv&amp;bdi=tzfd&amp;=st/ow/7f1-a=5k9hibg&amp;x=pv&amp;9a&amp;-c4&amp;501&amp;x=pp&amp;u_9f1-a2&amp;.b/&amp;:d=rswxntNCLM" TargetMode="External"/><Relationship Id="rId1011" Type="http://schemas.openxmlformats.org/officeDocument/2006/relationships/hyperlink" Target="https://www.facebook.com/reel/1413275993901408" TargetMode="External"/><Relationship Id="rId1495" Type="http://schemas.openxmlformats.org/officeDocument/2006/relationships/hyperlink" Target="https://www.facebook.com/reel/1717445409423420" TargetMode="External"/><Relationship Id="rId2342" Type="http://schemas.openxmlformats.org/officeDocument/2006/relationships/hyperlink" Target="https://e5c9a.mailupclient.com/f/rnl.aspx/?jhe=vwszuxsy/&amp;x=pv&amp;bdi=tzfd&amp;=suxqs/7f1-a=l925n3r/&amp;749&amp;x=pp&amp;q_&amp;.99a45h-/-6l=ntrq2qNCLM" TargetMode="External"/><Relationship Id="rId663" Type="http://schemas.openxmlformats.org/officeDocument/2006/relationships/hyperlink" Target="https://e5c9a.mailupclient.com/f/rnl.aspx/?jhe=vwurvxsx/&amp;x=pv&amp;bdi=tzfd&amp;=st/nz/7f1-a=5k9hibg&amp;x=pv&amp;9a&amp;-c4&amp;501&amp;x=pp&amp;u_9f1-a2&amp;.b/&amp;:d=rswwu_NCLM" TargetMode="External"/><Relationship Id="rId1012" Type="http://schemas.openxmlformats.org/officeDocument/2006/relationships/hyperlink" Target="https://e5c9a.mailupclient.com/f/rnl.aspx/?jhe=vwvwwvrv/&amp;x=pv&amp;bdi=tzfd&amp;=st1vx/7f1-a=8e.dgcn&amp;&amp;x=pp&amp;u_9f1-a2&amp;.b/&amp;:d=rsxvpuNCLM" TargetMode="External"/><Relationship Id="rId1496" Type="http://schemas.openxmlformats.org/officeDocument/2006/relationships/hyperlink" Target="https://e5c9a.mailupclient.com/f/rnl.aspx/?jhe=vwszuxsy/&amp;x=pv&amp;bdi=tzfd&amp;=su3rw/7f1-a=l925n3r/&amp;749&amp;x=pp&amp;q_&amp;.99a45h-/-6l=nszw1wNCLM" TargetMode="External"/><Relationship Id="rId2343" Type="http://schemas.openxmlformats.org/officeDocument/2006/relationships/hyperlink" Target="https://e5c9a.mailupclient.com/f/rnl.aspx/?jhe=vwszuxsy/&amp;x=pv&amp;bdi=tzfd&amp;=suxq_/7f1-a=l925n3r/&amp;749&amp;x=pp&amp;q_&amp;.99a45h-/-6l=ntrq2wNCLM" TargetMode="External"/><Relationship Id="rId662" Type="http://schemas.openxmlformats.org/officeDocument/2006/relationships/hyperlink" Target="https://a2g9b4.emailsp.com/f/rnl.aspx/?fei=1wqvoxxy.9ek=vyad8=t3xtuy&amp;f2::=4ibeh..e--:5d6.451&amp;x=pp&amp;r1.&amp;x=pv&amp;49-6&amp;aax00l=rtqoyNCLM" TargetMode="External"/><Relationship Id="rId1013" Type="http://schemas.openxmlformats.org/officeDocument/2006/relationships/hyperlink" Target="https://www.facebook.com/reel/1384952746985012" TargetMode="External"/><Relationship Id="rId1497" Type="http://schemas.openxmlformats.org/officeDocument/2006/relationships/hyperlink" Target="https://www.facebook.com/reel/26974859272149704" TargetMode="External"/><Relationship Id="rId2344" Type="http://schemas.openxmlformats.org/officeDocument/2006/relationships/hyperlink" Target="https://a2g9b4.emailsp.com/f/rnl.aspx/?fei=1vvoo_2y.9ek=vyad8=t3squy&amp;f2::=k702m1k6.451&amp;x=pp&amp;r1.&amp;x=pv&amp;49-6&amp;aax00l=rvtxwNCLM" TargetMode="External"/><Relationship Id="rId661" Type="http://schemas.openxmlformats.org/officeDocument/2006/relationships/hyperlink" Target="https://a2g9b4.emailsp.com/f/rnl.aspx/?fei=1wqvoxxy.9ek=vyad8=t3xtvy&amp;f2::=4ibeh..e--:5d6.451&amp;x=pp&amp;r1.&amp;x=pv&amp;49-6&amp;aax00l=rtqozNCLM" TargetMode="External"/><Relationship Id="rId1014" Type="http://schemas.openxmlformats.org/officeDocument/2006/relationships/hyperlink" Target="https://e5c9a.mailupclient.com/f/rnl.aspx/?jhe=vwvwwvrv/&amp;x=pv&amp;bdi=tzfd&amp;=st1vy/7f1-a=8e.dgcn&amp;&amp;x=pp&amp;u_9f1-a2&amp;.b/&amp;:d=rsxvqsNCLM" TargetMode="External"/><Relationship Id="rId1498" Type="http://schemas.openxmlformats.org/officeDocument/2006/relationships/hyperlink" Target="https://a2g9b4.emailsp.com/f/rnl.aspx/?fei=1vvoo_2y.9ek=vyad8=t3pwry&amp;f2::=k702m1k6.451&amp;x=pp&amp;r1.&amp;x=pv&amp;49-6&amp;aax00l=rurquNCLM" TargetMode="External"/><Relationship Id="rId2345" Type="http://schemas.openxmlformats.org/officeDocument/2006/relationships/hyperlink" Target="https://e5c9a.mailupclient.com/f/rnl.aspx/?jhe=1r_yq2o/a&amp;le=t/.l7=swrvr/9.99a=59ndi-a&amp;9g-7e:-49&amp;25&amp;x=pp&amp;uy.-5-&amp;x=pv&amp;83dbzb4h=rrvnxvNCLM" TargetMode="External"/><Relationship Id="rId1004" Type="http://schemas.openxmlformats.org/officeDocument/2006/relationships/hyperlink" Target="https://a2g9b4.emailsp.com/f/rnl.aspx/?fei=2orws1vy.9ek=vyad8=t3ovpy&amp;f2::=7chafagb&amp;x=pp&amp;yx0-2.e16.&amp;x=pv&amp;2b5g=qr/2xNCLM" TargetMode="External"/><Relationship Id="rId1488" Type="http://schemas.openxmlformats.org/officeDocument/2006/relationships/hyperlink" Target="https://a2g9b4.emailsp.com/f/rnl.aspx/?fei=1vvoo1vy.9ek=vyad8=t3pvwy&amp;f2::=-l98i9di-10337&amp;x=pp&amp;yx0-2.e16.&amp;x=pv&amp;2b5g=qsywuNCLM" TargetMode="External"/><Relationship Id="rId2335" Type="http://schemas.openxmlformats.org/officeDocument/2006/relationships/hyperlink" Target="https://www.facebook.com/baparticipacion/posts/pfbid02xPmu6xtSjfYqJgYT8HVdMi7mxE3FPErbVzTv2ZFK5PhNpzatcGxDE4SMWxcb7p2Vl" TargetMode="External"/><Relationship Id="rId1005" Type="http://schemas.openxmlformats.org/officeDocument/2006/relationships/hyperlink" Target="https://www.facebook.com/GCBA/posts/pfbid02BLwc5PnG5EYzbVeS3qNZ6Nb5in3PifakagmTh6BFX3zNQZ1rLsJ3FsQx9JDG2gFdl" TargetMode="External"/><Relationship Id="rId1489" Type="http://schemas.openxmlformats.org/officeDocument/2006/relationships/hyperlink" Target="https://www.facebook.com/baparticipacion/posts/pfbid0tMGx9iMLkHP8vjC2RBPG99swE4bWxAUgGgc8aocCDeVjXFAvXrPdbyPD4Apz1wohl" TargetMode="External"/><Relationship Id="rId2336" Type="http://schemas.openxmlformats.org/officeDocument/2006/relationships/hyperlink" Target="https://e5c9a.mailupclient.com/f/rnl.aspx/?jhe=vwt_y1w_/&amp;x=pv&amp;bdi=tzfd&amp;=suxpu/7f1-a=&amp;x=pv&amp;n1&amp;j&amp;kc949&amp;25&amp;x=pp&amp;uy.-5-&amp;x=pv&amp;83dbzb4h=rrvozwNCLM" TargetMode="External"/><Relationship Id="rId1006" Type="http://schemas.openxmlformats.org/officeDocument/2006/relationships/hyperlink" Target="https://e5c9a.mailupclient.com/f/rnl.aspx/?jhe=vwvwwvrv/&amp;x=pv&amp;bdi=tzfd&amp;=st1uu/7f1-a=8e.dgcn&amp;&amp;x=pp&amp;u_9f1-a2&amp;.b/&amp;:d=rsxvnuNCLM" TargetMode="External"/><Relationship Id="rId2337" Type="http://schemas.openxmlformats.org/officeDocument/2006/relationships/hyperlink" Target="https://e5c9a.mailupclient.com/f/rnl.aspx/?jhe=vwt_y1w_/&amp;x=pv&amp;bdi=tzfd&amp;=suxpv/7f1-a=&amp;x=pv&amp;n1&amp;j&amp;kc949&amp;25&amp;x=pp&amp;uy.-5-&amp;x=pv&amp;83dbzb4h=rrvoyzNCLM" TargetMode="External"/><Relationship Id="rId1007" Type="http://schemas.openxmlformats.org/officeDocument/2006/relationships/hyperlink" Target="https://www.facebook.com/GCBA/posts/pfbid02BLwc5PnG5EYzbVeS3qNZ6Nb5in3PifakagmTh6BFX3zNQZ1rLsJ3FsQx9JDG2gFdl" TargetMode="External"/><Relationship Id="rId2338" Type="http://schemas.openxmlformats.org/officeDocument/2006/relationships/hyperlink" Target="https://e5c9a.mailupclient.com/f/rnl.aspx/?jhe=vwt_y1w_/&amp;x=pv&amp;bdi=tzfd&amp;=suxpx/7f1-a=&amp;x=pv&amp;n1&amp;j&amp;kc949&amp;25&amp;x=pp&amp;uy.-5-&amp;x=pv&amp;83dbzb4h=rrvozsNCLM" TargetMode="External"/><Relationship Id="rId1008" Type="http://schemas.openxmlformats.org/officeDocument/2006/relationships/hyperlink" Target="https://a2g9b4.emailsp.com/f/rnl.aspx/?fei=2orws1vy.9ek=vyad8=t3ovqy&amp;f2::=7chafagb&amp;x=pp&amp;yx0-2.e16.&amp;x=pv&amp;2b5g=qs1ypNCLM" TargetMode="External"/><Relationship Id="rId2339" Type="http://schemas.openxmlformats.org/officeDocument/2006/relationships/hyperlink" Target="https://e5c9a.mailupclient.com/f/rnl.aspx/?jhe=vwt_y1w_/&amp;x=pv&amp;bdi=tzfd&amp;=suxpy/7f1-a=&amp;x=pv&amp;n1&amp;j&amp;kc949&amp;25&amp;x=pp&amp;uy.-5-&amp;x=pv&amp;83dbzb4h=rrvoyyNCLM" TargetMode="External"/><Relationship Id="rId1009" Type="http://schemas.openxmlformats.org/officeDocument/2006/relationships/hyperlink" Target="https://www.facebook.com/GCBA/posts/pfbid02BLwc5PnG5EYzbVeS3qNZ6Nb5in3PifakagmTh6BFX3zNQZ1rLsJ3FsQx9JDG2gFdl" TargetMode="External"/><Relationship Id="rId657" Type="http://schemas.openxmlformats.org/officeDocument/2006/relationships/hyperlink" Target="https://a2g9b4.emailsp.com/f/rnl.aspx/?fei=1vvoo_2y.9ek=vyad8=t3xtry&amp;f2::=k702m1k6.451&amp;x=pp&amp;r1.&amp;x=pv&amp;49-6&amp;aax00l=rtpw_NCLM" TargetMode="External"/><Relationship Id="rId656" Type="http://schemas.openxmlformats.org/officeDocument/2006/relationships/hyperlink" Target="https://e5c9a.mailupclient.com/f/rnl.aspx/?jhe=vwurvxsx/&amp;x=pv&amp;bdi=tzfd&amp;=st/os/7f1-a=5k9hibg&amp;x=pv&amp;9a&amp;-c4&amp;501&amp;x=pp&amp;u_9f1-a2&amp;.b/&amp;:d=rswwuxNCLM" TargetMode="External"/><Relationship Id="rId655" Type="http://schemas.openxmlformats.org/officeDocument/2006/relationships/hyperlink" Target="https://a2g9b4.emailsp.com/f/rnl.aspx/?fei=1wqvoxxy.9ek=vyad8=t3xtpy&amp;f2::=4ibeh..e--:5d6.451&amp;x=pp&amp;r1.&amp;x=pv&amp;49-6&amp;aax00l=rtpwyNCLM" TargetMode="External"/><Relationship Id="rId654" Type="http://schemas.openxmlformats.org/officeDocument/2006/relationships/hyperlink" Target="https://a2g9b4.emailsp.com/f/rnl.aspx/?fei=1wqvoxxy.9ek=vyad8=t3xtny&amp;f2::=4ibeh..e--:5d6.451&amp;x=pp&amp;r1.&amp;x=pv&amp;49-6&amp;aax00l=rtqqyNCLM" TargetMode="External"/><Relationship Id="rId659" Type="http://schemas.openxmlformats.org/officeDocument/2006/relationships/hyperlink" Target="https://e5c9a.mailupclient.com/f/rnl.aspx/?jhe=1r_yq2o/a&amp;le=t/.l7=svvwn/9.99a=59ndi-a&amp;9g-7e:-49&amp;25&amp;x=pp&amp;uy.-5-&amp;x=pv&amp;83dbzb4h=rq1pszNCLM" TargetMode="External"/><Relationship Id="rId658" Type="http://schemas.openxmlformats.org/officeDocument/2006/relationships/hyperlink" Target="https://e5c9a.mailupclient.com/f/rnl.aspx/?jhe=1r_yq2o/a&amp;le=t/.l7=svvxu/9.99a=59ndi-a&amp;9g-7e:-49&amp;25&amp;x=pp&amp;uy.-5-&amp;x=pv&amp;83dbzb4h=rq1pvwNCLM" TargetMode="External"/><Relationship Id="rId1480" Type="http://schemas.openxmlformats.org/officeDocument/2006/relationships/hyperlink" Target="https://a2g9b4.emailsp.com/f/rnl.aspx/?fei=1wqvoxxy.9ek=vyad8=t3pwty&amp;f2::=4ibeh..e--:5d6.451&amp;x=pp&amp;r1.&amp;x=pv&amp;49-6&amp;aax00l=rurqwNCLM" TargetMode="External"/><Relationship Id="rId1481" Type="http://schemas.openxmlformats.org/officeDocument/2006/relationships/hyperlink" Target="https://www.facebook.com/reel/1958104631478571" TargetMode="External"/><Relationship Id="rId1482" Type="http://schemas.openxmlformats.org/officeDocument/2006/relationships/hyperlink" Target="https://e5c9a.mailupclient.com/f/rnl.aspx/?jhe=vwvwwvrv/&amp;x=pv&amp;bdi=tzfd&amp;=st2tw/7f1-a=8e.dgcn&amp;&amp;x=pp&amp;u_9f1-a2&amp;.b/&amp;:d=rsx1t_NCLM" TargetMode="External"/><Relationship Id="rId1483" Type="http://schemas.openxmlformats.org/officeDocument/2006/relationships/hyperlink" Target="https://www.facebook.com/baparticipacion/posts/pfbid02GuVdByPd1h6dfYw9DmTBhSDw1t4WzDNQ2VyEiv7L6KKRL3AnfAt99Cx8syRc48W2l" TargetMode="External"/><Relationship Id="rId2330" Type="http://schemas.openxmlformats.org/officeDocument/2006/relationships/hyperlink" Target="https://www.facebook.com/GCBA/posts/pfbid0hGpDjeWSoe8Gqw2N9T8VHKQMT4vT7GrXwibd72SVb33WbSymwwnpGdmZbQH9bvyXl" TargetMode="External"/><Relationship Id="rId653" Type="http://schemas.openxmlformats.org/officeDocument/2006/relationships/hyperlink" Target="https://e5c9a.mailupclient.com/f/rnl.aspx/?jhe=1r_yq2o/a&amp;le=t/.l7=svvvt/9.99a=59ndi-a&amp;9g-7e:-49&amp;25&amp;x=pp&amp;uy.-5-&amp;x=pv&amp;83dbzb4h=rq1owrNCLM" TargetMode="External"/><Relationship Id="rId1000" Type="http://schemas.openxmlformats.org/officeDocument/2006/relationships/hyperlink" Target="https://a2g9b4.emailsp.com/f/rnl.aspx/?fei=1wqvoxxy.9ek=vyad8=t3ovvy&amp;f2::=4ibeh..e--:5d6.451&amp;x=pp&amp;r1.&amp;x=pv&amp;49-6&amp;aax00l=ruwxwNCLM" TargetMode="External"/><Relationship Id="rId1484" Type="http://schemas.openxmlformats.org/officeDocument/2006/relationships/hyperlink" Target="https://e5c9a.mailupclient.com/f/rnl.aspx/?jhe=vwvwwvrv/&amp;x=pv&amp;bdi=tzfd&amp;=su3ps/7f1-a=8e.dgcn&amp;&amp;x=pp&amp;u_9f1-a2&amp;.b/&amp;:d=rsx1w_NCLM" TargetMode="External"/><Relationship Id="rId2331" Type="http://schemas.openxmlformats.org/officeDocument/2006/relationships/hyperlink" Target="https://e5c9a.mailupclient.com/f/rnl.aspx/?jhe=vwt_y1w_/&amp;x=pv&amp;bdi=tzfd&amp;=suxpr/7f1-a=&amp;x=pv&amp;n1&amp;j&amp;kc949&amp;25&amp;x=pp&amp;uy.-5-&amp;x=pv&amp;83dbzb4h=rrvoyuNCLM" TargetMode="External"/><Relationship Id="rId652" Type="http://schemas.openxmlformats.org/officeDocument/2006/relationships/hyperlink" Target="https://e5c9a.mailupclient.com/f/rnl.aspx/?jhe=1r_yq2o/a&amp;le=t/.l7=svv3q/9.99a=59ndi-a&amp;9g-7e:-49&amp;25&amp;x=pp&amp;uy.-5-&amp;x=pv&amp;83dbzb4h=rq1ovzNCLM" TargetMode="External"/><Relationship Id="rId1001" Type="http://schemas.openxmlformats.org/officeDocument/2006/relationships/hyperlink" Target="https://www.facebook.com/GCBA/posts/pfbid02BLwc5PnG5EYzbVeS3qNZ6Nb5in3PifakagmTh6BFX3zNQZ1rLsJ3FsQx9JDG2gFdl" TargetMode="External"/><Relationship Id="rId1485" Type="http://schemas.openxmlformats.org/officeDocument/2006/relationships/hyperlink" Target="https://www.facebook.com/baparticipacion/posts/pfbid098U3FgAYxFaNBJnrhtaM3H8D92aATVS4EYb888eof5ByRFNJd7bn7FybtN1wwci7l" TargetMode="External"/><Relationship Id="rId2332" Type="http://schemas.openxmlformats.org/officeDocument/2006/relationships/hyperlink" Target="https://www.facebook.com/GCBA/posts/pfbid0hGpDjeWSoe8Gqw2N9T8VHKQMT4vT7GrXwibd72SVb33WbSymwwnpGdmZbQH9bvyXl" TargetMode="External"/><Relationship Id="rId651" Type="http://schemas.openxmlformats.org/officeDocument/2006/relationships/hyperlink" Target="https://a2g9b4.emailsp.com/f/rnl.aspx/?fei=1vvoo_2y.9ek=vyad8=t3xtoy&amp;f2::=k702m1k6.451&amp;x=pp&amp;r1.&amp;x=pv&amp;49-6&amp;aax00l=rtpwuNCLM" TargetMode="External"/><Relationship Id="rId1002" Type="http://schemas.openxmlformats.org/officeDocument/2006/relationships/hyperlink" Target="https://e5c9a.mailupclient.com/f/rnl.aspx/?jhe=1r_yq2o/a&amp;le=t/.l7=svx3w/9.99a=59ndi-a&amp;9g-7e:-49&amp;25&amp;x=pp&amp;uy.-5-&amp;x=pv&amp;83dbzb4h=rq2nuxNCLM" TargetMode="External"/><Relationship Id="rId1486" Type="http://schemas.openxmlformats.org/officeDocument/2006/relationships/hyperlink" Target="https://e5c9a.mailupclient.com/f/rnl.aspx/?jhe=vwt_y1w_/&amp;x=pv&amp;bdi=tzfd&amp;=st2ur/7f1-a=&amp;x=pv&amp;n1&amp;j&amp;kc949&amp;25&amp;x=pp&amp;uy.-5-&amp;x=pv&amp;83dbzb4h=rq2uwyNCLM" TargetMode="External"/><Relationship Id="rId2333" Type="http://schemas.openxmlformats.org/officeDocument/2006/relationships/hyperlink" Target="https://e5c9a.mailupclient.com/f/rnl.aspx/?jhe=vwt_y1w_/&amp;x=pv&amp;bdi=tzfd&amp;=suxps/7f1-a=&amp;x=pv&amp;n1&amp;j&amp;kc949&amp;25&amp;x=pp&amp;uy.-5-&amp;x=pv&amp;83dbzb4h=rrvozxNCLM" TargetMode="External"/><Relationship Id="rId650" Type="http://schemas.openxmlformats.org/officeDocument/2006/relationships/hyperlink" Target="https://a2g9b4.emailsp.com/f/rnl.aspx/?fei=1wqvoxxy.9ek=vyad8=t3xsny&amp;f2::=4ibeh..e--:5d6.451&amp;x=pp&amp;r1.&amp;x=pv&amp;49-6&amp;aax00l=rtpruNCLM" TargetMode="External"/><Relationship Id="rId1003" Type="http://schemas.openxmlformats.org/officeDocument/2006/relationships/hyperlink" Target="https://www.facebook.com/GCBA/posts/pfbid02BLwc5PnG5EYzbVeS3qNZ6Nb5in3PifakagmTh6BFX3zNQZ1rLsJ3FsQx9JDG2gFdl" TargetMode="External"/><Relationship Id="rId1487" Type="http://schemas.openxmlformats.org/officeDocument/2006/relationships/hyperlink" Target="https://www.facebook.com/baparticipacion/posts/pfbid02wRBHGdv3dYBDksfeYTp6Z6mCuyLLBie92PbuasD8kyFmpXQfXjTJJApAEq2BL4PQl" TargetMode="External"/><Relationship Id="rId2334" Type="http://schemas.openxmlformats.org/officeDocument/2006/relationships/hyperlink" Target="https://e5c9a.mailupclient.com/f/rnl.aspx/?jhe=vwt_y1w_/&amp;x=pv&amp;bdi=tzfd&amp;=suxpt/7f1-a=&amp;x=pv&amp;n1&amp;j&amp;kc949&amp;25&amp;x=pp&amp;uy.-5-&amp;x=pv&amp;83dbzb4h=rrvoxyNCLM" TargetMode="External"/><Relationship Id="rId1037" Type="http://schemas.openxmlformats.org/officeDocument/2006/relationships/hyperlink" Target="https://www.facebook.com/reel/1445769290004552" TargetMode="External"/><Relationship Id="rId2368" Type="http://schemas.openxmlformats.org/officeDocument/2006/relationships/hyperlink" Target="https://a2g9b4.emailsp.com/f/rnl.aspx/?fei=1wqvoxxy.9ek=vyad8=t3sssy&amp;f2::=4ibeh..e--:5d6.451&amp;x=pp&amp;r1.&amp;x=pv&amp;49-6&amp;aax00l=rvtvxNCLM" TargetMode="External"/><Relationship Id="rId1038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369" Type="http://schemas.openxmlformats.org/officeDocument/2006/relationships/hyperlink" Target="https://a2g9b4.emailsp.com/f/rnl.aspx/?fei=2orws1vy.9ek=vyad8=t3srqy&amp;f2::=7chafagb&amp;x=pp&amp;yx0-2.e16.&amp;x=pv&amp;2b5g=qtz2rNCLM" TargetMode="External"/><Relationship Id="rId1039" Type="http://schemas.openxmlformats.org/officeDocument/2006/relationships/hyperlink" Target="https://www.facebook.com/reel/1445769290004552" TargetMode="External"/><Relationship Id="rId206" Type="http://schemas.openxmlformats.org/officeDocument/2006/relationships/hyperlink" Target="https://e5c9a.mailupclient.com/f/rnl.aspx/?jhe=vwvwwvrv/&amp;x=pv&amp;bdi=tzfd&amp;=styrv/7f1-a=8e.dgcn&amp;&amp;x=pp&amp;u_9f1-a2&amp;.b/&amp;:d=rsu2tsNCLM" TargetMode="External"/><Relationship Id="rId205" Type="http://schemas.openxmlformats.org/officeDocument/2006/relationships/hyperlink" Target="https://www.facebook.com/reel/1401103571662551" TargetMode="External"/><Relationship Id="rId689" Type="http://schemas.openxmlformats.org/officeDocument/2006/relationships/hyperlink" Target="https://e5c9a.mailupclient.com/f/rnl.aspx/?jhe=vwurvxsx/&amp;x=pv&amp;bdi=tzfd&amp;=st/pw/7f1-a=5k9hibg&amp;x=pv&amp;9a&amp;-c4&amp;501&amp;x=pp&amp;u_9f1-a2&amp;.b/&amp;:d=rswxusNCLM" TargetMode="External"/><Relationship Id="rId204" Type="http://schemas.openxmlformats.org/officeDocument/2006/relationships/hyperlink" Target="https://e5c9a.mailupclient.com/f/rnl.aspx/?jhe=vwvwwvrv/&amp;x=pv&amp;bdi=tzfd&amp;=styrx/7f1-a=8e.dgcn&amp;&amp;x=pp&amp;u_9f1-a2&amp;.b/&amp;:d=rsu2tzNCLM" TargetMode="External"/><Relationship Id="rId688" Type="http://schemas.openxmlformats.org/officeDocument/2006/relationships/hyperlink" Target="https://e5c9a.mailupclient.com/f/rnl.aspx/?jhe=1r_yq2o/a&amp;le=t/.l7=svxwt/9.99a=59ndi-a&amp;9g-7e:-49&amp;25&amp;x=pp&amp;uy.-5-&amp;x=pv&amp;83dbzb4h=rq2owtNCLM" TargetMode="External"/><Relationship Id="rId203" Type="http://schemas.openxmlformats.org/officeDocument/2006/relationships/hyperlink" Target="https://www.facebook.com/GCBA/posts/pfbid02skUdtrbsimuTryUG4RHgFZofPSnLrmz2LKHSqBZbBiyVryTXEaMk43DgH54kd2xbl" TargetMode="External"/><Relationship Id="rId687" Type="http://schemas.openxmlformats.org/officeDocument/2006/relationships/hyperlink" Target="https://e5c9a.mailupclient.com/f/rnl.aspx/?jhe=1r_yq2o/a&amp;le=t/.l7=svv3w/9.99a=59ndi-a&amp;9g-7e:-49&amp;25&amp;x=pp&amp;uy.-5-&amp;x=pv&amp;83dbzb4h=rq1nz_NCLM" TargetMode="External"/><Relationship Id="rId209" Type="http://schemas.openxmlformats.org/officeDocument/2006/relationships/hyperlink" Target="https://www.facebook.com/reel/1401103571662551" TargetMode="External"/><Relationship Id="rId208" Type="http://schemas.openxmlformats.org/officeDocument/2006/relationships/hyperlink" Target="https://e5c9a.mailupclient.com/f/rnl.aspx/?jhe=vwurvxsx/&amp;x=pv&amp;bdi=tzfd&amp;=stysu/7f1-a=5k9hibg&amp;x=pv&amp;9a&amp;-c4&amp;501&amp;x=pp&amp;u_9f1-a2&amp;.b/&amp;:d=rsv3o_NCLM" TargetMode="External"/><Relationship Id="rId207" Type="http://schemas.openxmlformats.org/officeDocument/2006/relationships/hyperlink" Target="https://www.facebook.com/reel/1401103571662551" TargetMode="External"/><Relationship Id="rId682" Type="http://schemas.openxmlformats.org/officeDocument/2006/relationships/hyperlink" Target="https://a2g9b4.emailsp.com/f/rnl.aspx/?fei=1wqvoxxy.9ek=vyad8=t3xuoy&amp;f2::=4ibeh..e--:5d6.451&amp;x=pp&amp;r1.&amp;x=pv&amp;49-6&amp;aax00l=rtqu/NCLM" TargetMode="External"/><Relationship Id="rId2360" Type="http://schemas.openxmlformats.org/officeDocument/2006/relationships/hyperlink" Target="https://www.facebook.com/GCBA/posts/pfbid0MuG7Sbo5joqEuk2UWgNsVURV9frh2FTUkY1aQoaNkgEbc3aeURAPiq423LHA7Mwyl" TargetMode="External"/><Relationship Id="rId681" Type="http://schemas.openxmlformats.org/officeDocument/2006/relationships/hyperlink" Target="https://a2g9b4.emailsp.com/f/rnl.aspx/?fei=1wqvoxxy.9ek=vyad8=t3xusy&amp;f2::=4ibeh..e--:5d6.451&amp;x=pp&amp;r1.&amp;x=pv&amp;49-6&amp;aax00l=rtqu_NCLM" TargetMode="External"/><Relationship Id="rId1030" Type="http://schemas.openxmlformats.org/officeDocument/2006/relationships/hyperlink" Target="https://e5c9a.mailupclient.com/f/rnl.aspx/?jhe=1r_yq2o/a&amp;le=t/.l7=svx3q/9.99a=59ndi-a&amp;9g-7e:-49&amp;25&amp;x=pp&amp;uy.-5-&amp;x=pv&amp;83dbzb4h=rq2nvxNCLM" TargetMode="External"/><Relationship Id="rId2361" Type="http://schemas.openxmlformats.org/officeDocument/2006/relationships/hyperlink" Target="https://e5c9a.mailupclient.com/f/rnl.aspx/?jhe=vwszuxsy/&amp;x=pv&amp;bdi=tzfd&amp;=suxnz/7f1-a=l925n3r/&amp;749&amp;x=pp&amp;q_&amp;.99a45h-/-6l=ntrq3wNCLM" TargetMode="External"/><Relationship Id="rId680" Type="http://schemas.openxmlformats.org/officeDocument/2006/relationships/hyperlink" Target="https://e5c9a.mailupclient.com/f/rnl.aspx/?jhe=1r_yq2o/a&amp;le=t/.l7=svvxr/9.99a=59ndi-a&amp;9g-7e:-49&amp;25&amp;x=pp&amp;uy.-5-&amp;x=pv&amp;83dbzb4h=rq1ptwNCLM" TargetMode="External"/><Relationship Id="rId1031" Type="http://schemas.openxmlformats.org/officeDocument/2006/relationships/hyperlink" Target="https://www.facebook.com/reel/1974761746764395" TargetMode="External"/><Relationship Id="rId2362" Type="http://schemas.openxmlformats.org/officeDocument/2006/relationships/hyperlink" Target="https://a2g9b4.emailsp.com/f/rnl.aspx/?fei=1vvoo_2y.9ek=vyad8=t3ssry&amp;f2::=k702m1k6.451&amp;x=pp&amp;r1.&amp;x=pv&amp;49-6&amp;aax00l=rvtvuNCLM" TargetMode="External"/><Relationship Id="rId1032" Type="http://schemas.openxmlformats.org/officeDocument/2006/relationships/hyperlink" Target="https://e5c9a.mailupclient.com/f/rnl.aspx/?jhe=1r_yq2o/a&amp;le=t/.l7=svx3q/9.99a=59ndi-a&amp;9g-7e:-49&amp;25&amp;x=pp&amp;uy.-5-&amp;x=pv&amp;83dbzb4h=rq2nvxNCLM" TargetMode="External"/><Relationship Id="rId2363" Type="http://schemas.openxmlformats.org/officeDocument/2006/relationships/hyperlink" Target="https://a2g9b4.emailsp.com/f/rnl.aspx/?fei=1uwuq_vy.9ek=vyad8=t3sqry&amp;f2::=2-neh9.9bd:5-cb10337&amp;x=pp&amp;yx0-2.e16.&amp;x=pv&amp;2b5g=qty1rNCLM" TargetMode="External"/><Relationship Id="rId202" Type="http://schemas.openxmlformats.org/officeDocument/2006/relationships/hyperlink" Target="https://e5c9a.mailupclient.com/f/rnl.aspx/?jhe=vwvwwvrv/&amp;x=pv&amp;bdi=tzfd&amp;=styrw/7f1-a=8e.dgcn&amp;&amp;x=pp&amp;u_9f1-a2&amp;.b/&amp;:d=rsu2txNCLM" TargetMode="External"/><Relationship Id="rId686" Type="http://schemas.openxmlformats.org/officeDocument/2006/relationships/hyperlink" Target="https://e5c9a.mailupclient.com/f/rnl.aspx/?jhe=1r_yq2o/a&amp;le=t/.l7=svvxp/9.99a=59ndi-a&amp;9g-7e:-49&amp;25&amp;x=pp&amp;uy.-5-&amp;x=pv&amp;83dbzb4h=rq1pvrNCLM" TargetMode="External"/><Relationship Id="rId1033" Type="http://schemas.openxmlformats.org/officeDocument/2006/relationships/hyperlink" Target="https://www.facebook.com/reel/1974761746764395" TargetMode="External"/><Relationship Id="rId2364" Type="http://schemas.openxmlformats.org/officeDocument/2006/relationships/hyperlink" Target="https://www.facebook.com/baparticipacion/posts/pfbid08qne98U5gKrZJwYvNh71QvrTAnzTK3pionNhXwGcsD4TnBsSK5MaoWPCKUnu8UNbl" TargetMode="External"/><Relationship Id="rId201" Type="http://schemas.openxmlformats.org/officeDocument/2006/relationships/hyperlink" Target="https://fb.me/adspreview/facebook/xMT36MnFuXZIDzt" TargetMode="External"/><Relationship Id="rId685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1034" Type="http://schemas.openxmlformats.org/officeDocument/2006/relationships/hyperlink" Target="https://e5c9a.mailupclient.com/f/rnl.aspx/?jhe=1r_yq2o/a&amp;le=t/.l7=svxvn/9.99a=59ndi-a&amp;9g-7e:-49&amp;25&amp;x=pp&amp;uy.-5-&amp;x=pv&amp;83dbzb4h=rq2nyvNCLM" TargetMode="External"/><Relationship Id="rId2365" Type="http://schemas.openxmlformats.org/officeDocument/2006/relationships/hyperlink" Target="https://e5c9a.mailupclient.com/f/rnl.aspx/?jhe=vwurvxsx/&amp;x=pv&amp;bdi=tzfd&amp;=suxrr/7f1-a=5k9hibg&amp;x=pv&amp;9a&amp;-c4&amp;501&amp;x=pp&amp;u_9f1-a2&amp;.b/&amp;:d=rtpxptNCLM" TargetMode="External"/><Relationship Id="rId200" Type="http://schemas.openxmlformats.org/officeDocument/2006/relationships/hyperlink" Target="https://e5c9a.mailupclient.com/f/rnl.aspx/?jhe=vwvwwvrv/&amp;x=pv&amp;bdi=tzfd&amp;=styrr/7f1-a=8e.dgcn&amp;&amp;x=pp&amp;u_9f1-a2&amp;.b/&amp;:d=rsu2syNCLM" TargetMode="External"/><Relationship Id="rId684" Type="http://schemas.openxmlformats.org/officeDocument/2006/relationships/hyperlink" Target="https://a2g9b4.emailsp.com/f/rnl.aspx/?fei=1uwuq_vy.9ek=vyad8=t3ouuy&amp;f2::=2-neh9.9bd:5-cb10337&amp;x=pp&amp;yx0-2.e16.&amp;x=pv&amp;2b5g=qs1xrNCLM" TargetMode="External"/><Relationship Id="rId1035" Type="http://schemas.openxmlformats.org/officeDocument/2006/relationships/hyperlink" Target="https://www.facebook.com/reel/1974761746764395" TargetMode="External"/><Relationship Id="rId2366" Type="http://schemas.openxmlformats.org/officeDocument/2006/relationships/hyperlink" Target="https://e5c9a.mailupclient.com/f/rnl.aspx/?jhe=vwurvxsx/&amp;x=pv&amp;bdi=tzfd&amp;=suxrs/7f1-a=5k9hibg&amp;x=pv&amp;9a&amp;-c4&amp;501&amp;x=pp&amp;u_9f1-a2&amp;.b/&amp;:d=rtpxpyNCLM" TargetMode="External"/><Relationship Id="rId683" Type="http://schemas.openxmlformats.org/officeDocument/2006/relationships/hyperlink" Target="https://e5c9a.mailupclient.com/f/rnl.aspx/?jhe=1r_yq2o/a&amp;le=t/.l7=svv3r/9.99a=59ndi-a&amp;9g-7e:-49&amp;25&amp;x=pp&amp;uy.-5-&amp;x=pv&amp;83dbzb4h=rq1ow_NCLM" TargetMode="External"/><Relationship Id="rId1036" Type="http://schemas.openxmlformats.org/officeDocument/2006/relationships/hyperlink" Target="https://e5c9a.mailupclient.com/f/rnl.aspx/?jhe=1r_yq2o/a&amp;le=t/.l7=svx3p/9.99a=59ndi-a&amp;9g-7e:-49&amp;25&amp;x=pp&amp;uy.-5-&amp;x=pv&amp;83dbzb4h=rq2nvvNCLM" TargetMode="External"/><Relationship Id="rId2367" Type="http://schemas.openxmlformats.org/officeDocument/2006/relationships/hyperlink" Target="https://e5c9a.mailupclient.com/f/rnl.aspx/?jhe=vwurvxsx/&amp;x=pv&amp;bdi=tzfd&amp;=suxrt/7f1-a=5k9hibg&amp;x=pv&amp;9a&amp;-c4&amp;501&amp;x=pp&amp;u_9f1-a2&amp;.b/&amp;:d=rtpxpvNCLM" TargetMode="External"/><Relationship Id="rId1026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2357" Type="http://schemas.openxmlformats.org/officeDocument/2006/relationships/hyperlink" Target="https://a2g9b4.emailsp.com/f/rnl.aspx/?fei=2orws1vy.9ek=vyad8=t3szuy&amp;f2::=7chafagb&amp;x=pp&amp;yx0-2.e16.&amp;x=pv&amp;2b5g=qty_qNCLM" TargetMode="External"/><Relationship Id="rId1027" Type="http://schemas.openxmlformats.org/officeDocument/2006/relationships/hyperlink" Target="https://www.facebook.com/GCBA/posts/pfbid0DZRfNQeZrb83xQQThogTYk4iP8kcW2amjyuLxfjmWuqZ8ndhe4MCUQ8gWzU3EDial" TargetMode="External"/><Relationship Id="rId2358" Type="http://schemas.openxmlformats.org/officeDocument/2006/relationships/hyperlink" Target="https://a2g9b4.emailsp.com/f/rnl.aspx/?fei=1vvoo1vy.9ek=vyad8=t3szry&amp;f2::=-l98i9di-10337&amp;x=pp&amp;yx0-2.e16.&amp;x=pv&amp;2b5g=qtz/rNCLM" TargetMode="External"/><Relationship Id="rId1028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2359" Type="http://schemas.openxmlformats.org/officeDocument/2006/relationships/hyperlink" Target="https://e5c9a.mailupclient.com/f/rnl.aspx/?jhe=vwt_y1w_/&amp;x=pv&amp;bdi=tzfd&amp;=suxqu/7f1-a=&amp;x=pv&amp;n1&amp;j&amp;kc949&amp;25&amp;x=pp&amp;uy.-5-&amp;x=pv&amp;83dbzb4h=rrvp_zNCLM" TargetMode="External"/><Relationship Id="rId1029" Type="http://schemas.openxmlformats.org/officeDocument/2006/relationships/hyperlink" Target="https://fb.me/adspreview/facebook/2dJpeAUOaCB7apk" TargetMode="External"/><Relationship Id="rId679" Type="http://schemas.openxmlformats.org/officeDocument/2006/relationships/hyperlink" Target="https://a2g9b4.emailsp.com/f/rnl.aspx/?fei=1wqvoxxy.9ek=vyad8=t3xtqy&amp;f2::=4ibeh..e--:5d6.451&amp;x=pp&amp;r1.&amp;x=pv&amp;49-6&amp;aax00l=rtqwtNCLM" TargetMode="External"/><Relationship Id="rId678" Type="http://schemas.openxmlformats.org/officeDocument/2006/relationships/hyperlink" Target="https://e5c9a.mailupclient.com/f/rnl.aspx/?jhe=1r_yq2o/a&amp;le=t/.l7=svvwq/9.99a=59ndi-a&amp;9g-7e:-49&amp;25&amp;x=pp&amp;uy.-5-&amp;x=pv&amp;83dbzb4h=rq1p_xNCLM" TargetMode="External"/><Relationship Id="rId677" Type="http://schemas.openxmlformats.org/officeDocument/2006/relationships/hyperlink" Target="https://e5c9a.mailupclient.com/f/rnl.aspx/?jhe=1r_yq2o/a&amp;le=t/.l7=svvwr/9.99a=59ndi-a&amp;9g-7e:-49&amp;25&amp;x=pp&amp;uy.-5-&amp;x=pv&amp;83dbzb4h=rq1ozzNCLM" TargetMode="External"/><Relationship Id="rId676" Type="http://schemas.openxmlformats.org/officeDocument/2006/relationships/hyperlink" Target="https://a2g9b4.emailsp.com/f/rnl.aspx/?fei=1vvoo_2y.9ek=vyad8=t3xuwy&amp;f2::=k702m1k6.451&amp;x=pp&amp;r1.&amp;x=pv&amp;49-6&amp;aax00l=rtqqtNCLM" TargetMode="External"/><Relationship Id="rId671" Type="http://schemas.openxmlformats.org/officeDocument/2006/relationships/hyperlink" Target="https://e5c9a.mailupclient.com/f/rnl.aspx/?jhe=vwurvxsx/&amp;x=pv&amp;bdi=tzfd&amp;=st/oz/7f1-a=5k9hibg&amp;x=pv&amp;9a&amp;-c4&amp;501&amp;x=pp&amp;u_9f1-a2&amp;.b/&amp;:d=rswxorNCLM" TargetMode="External"/><Relationship Id="rId670" Type="http://schemas.openxmlformats.org/officeDocument/2006/relationships/hyperlink" Target="https://e5c9a.mailupclient.com/f/rnl.aspx/?jhe=vwurvxsx/&amp;x=pv&amp;bdi=tzfd&amp;=st/p_/7f1-a=5k9hibg&amp;x=pv&amp;9a&amp;-c4&amp;501&amp;x=pp&amp;u_9f1-a2&amp;.b/&amp;:d=rswxpzNCLM" TargetMode="External"/><Relationship Id="rId2350" Type="http://schemas.openxmlformats.org/officeDocument/2006/relationships/hyperlink" Target="https://e5c9a.mailupclient.com/f/rnl.aspx/?jhe=1r_yq2o/a&amp;le=t/.l7=swrwo/9.99a=59ndi-a&amp;9g-7e:-49&amp;25&amp;x=pp&amp;uy.-5-&amp;x=pv&amp;83dbzb4h=rrvorsNCLM" TargetMode="External"/><Relationship Id="rId1020" Type="http://schemas.openxmlformats.org/officeDocument/2006/relationships/hyperlink" Target="https://a2g9b4.emailsp.com/f/rnl.aspx/?fei=1vvoo_2y.9ek=vyad8=t3owwy&amp;f2::=k702m1k6.451&amp;x=pp&amp;r1.&amp;x=pv&amp;49-6&amp;aax00l=ruwp_NCLM" TargetMode="External"/><Relationship Id="rId2351" Type="http://schemas.openxmlformats.org/officeDocument/2006/relationships/hyperlink" Target="https://www.facebook.com/GCBA/posts/pfbid02RS9HLQTL1GR6aqKApdtYULFTkSKZbxwp6JpHphRhLNsHj1CqG1aMDGj3Phcw748Ul" TargetMode="External"/><Relationship Id="rId1021" Type="http://schemas.openxmlformats.org/officeDocument/2006/relationships/hyperlink" Target="https://www.facebook.com/baparticipacion/posts/pfbid0UjssYKKcNNnjMP4wc9VnxyE2iRb1qJMDHDBAqV42U4dF3szvJTKxo9ksjwZTjkZvl" TargetMode="External"/><Relationship Id="rId2352" Type="http://schemas.openxmlformats.org/officeDocument/2006/relationships/hyperlink" Target="https://e5c9a.mailupclient.com/f/rnl.aspx/?jhe=vwurvxsx/&amp;x=pv&amp;bdi=tzfd&amp;=suxot/7f1-a=5k9hibg&amp;x=pv&amp;9a&amp;-c4&amp;501&amp;x=pp&amp;u_9f1-a2&amp;.b/&amp;:d=rtpwnuNCLM" TargetMode="External"/><Relationship Id="rId675" Type="http://schemas.openxmlformats.org/officeDocument/2006/relationships/hyperlink" Target="https://e5c9a.mailupclient.com/f/rnl.aspx/?jhe=vwszuxsy/&amp;x=pv&amp;bdi=tzfd&amp;=stzvw/7f1-a=l925n3r/&amp;749&amp;x=pp&amp;q_&amp;.99a45h-/-6l=nsxu/uNCLM" TargetMode="External"/><Relationship Id="rId1022" Type="http://schemas.openxmlformats.org/officeDocument/2006/relationships/hyperlink" Target="https://a2g9b4.emailsp.com/f/rnl.aspx/?fei=1vvoo_2y.9ek=vyad8=t3owwy&amp;f2::=k702m1k6.451&amp;x=pp&amp;r1.&amp;x=pv&amp;49-6&amp;aax00l=ruwp_NCLM" TargetMode="External"/><Relationship Id="rId2353" Type="http://schemas.openxmlformats.org/officeDocument/2006/relationships/hyperlink" Target="https://e5c9a.mailupclient.com/f/rnl.aspx/?jhe=vwurvxsx/&amp;x=pv&amp;bdi=tzfd&amp;=suxqy/7f1-a=5k9hibg&amp;x=pv&amp;9a&amp;-c4&amp;501&amp;x=pp&amp;u_9f1-a2&amp;.b/&amp;:d=rtpxoyNCLM" TargetMode="External"/><Relationship Id="rId674" Type="http://schemas.openxmlformats.org/officeDocument/2006/relationships/hyperlink" Target="https://a2g9b4.emailsp.com/f/rnl.aspx/?fei=1vvoo_2y.9ek=vyad8=t3xtsy&amp;f2::=k702m1k6.451&amp;x=pp&amp;r1.&amp;x=pv&amp;49-6&amp;aax00l=rtqx1NCLM" TargetMode="External"/><Relationship Id="rId1023" Type="http://schemas.openxmlformats.org/officeDocument/2006/relationships/hyperlink" Target="https://www.facebook.com/baparticipacion/posts/pfbid02GLBYpkMkpgWMkCjsDo6d1qPvK3Fkx2kgUm6iEaXxovXXzd3UA7HdqNKbZdBWQaXtl" TargetMode="External"/><Relationship Id="rId2354" Type="http://schemas.openxmlformats.org/officeDocument/2006/relationships/hyperlink" Target="http://pieza/" TargetMode="External"/><Relationship Id="rId673" Type="http://schemas.openxmlformats.org/officeDocument/2006/relationships/hyperlink" Target="https://e5c9a.mailupclient.com/f/rnl.aspx/?jhe=vwurvxsx/&amp;x=pv&amp;bdi=tzfd&amp;=st/pu/7f1-a=5k9hibg&amp;x=pv&amp;9a&amp;-c4&amp;501&amp;x=pp&amp;u_9f1-a2&amp;.b/&amp;:d=rswxoxNCLM" TargetMode="External"/><Relationship Id="rId1024" Type="http://schemas.openxmlformats.org/officeDocument/2006/relationships/hyperlink" Target="https://a2g9b4.emailsp.com/f/rnl.aspx/?fei=1vvoo_2y.9ek=vyad8=t3owoy&amp;f2::=k702m1k6.451&amp;x=pp&amp;r1.&amp;x=pv&amp;49-6&amp;aax00l=ruwq/NCLM" TargetMode="External"/><Relationship Id="rId2355" Type="http://schemas.openxmlformats.org/officeDocument/2006/relationships/hyperlink" Target="https://a2g9b4.emailsp.com/f/rnl.aspx/?fei=2orws1vy.9ek=vyad8=t3sqpy&amp;f2::=7chafagb&amp;x=pp&amp;yx0-2.e16.&amp;x=pv&amp;2b5g=qtzxwNCLM" TargetMode="External"/><Relationship Id="rId672" Type="http://schemas.openxmlformats.org/officeDocument/2006/relationships/hyperlink" Target="https://e5c9a.mailupclient.com/f/rnl.aspx/?jhe=vwurvxsx/&amp;x=pv&amp;bdi=tzfd&amp;=st/pr/7f1-a=5k9hibg&amp;x=pv&amp;9a&amp;-c4&amp;501&amp;x=pp&amp;u_9f1-a2&amp;.b/&amp;:d=rswxotNCLM" TargetMode="External"/><Relationship Id="rId1025" Type="http://schemas.openxmlformats.org/officeDocument/2006/relationships/hyperlink" Target="https://www.facebook.com/GCBA/posts/pfbid0DZRfNQeZrb83xQQThogTYk4iP8kcW2amjyuLxfjmWuqZ8ndhe4MCUQ8gWzU3EDial" TargetMode="External"/><Relationship Id="rId2356" Type="http://schemas.openxmlformats.org/officeDocument/2006/relationships/hyperlink" Target="https://a2g9b4.emailsp.com/f/rnl.aspx/?fei=2orws1vy.9ek=vyad8=t3srpy&amp;f2::=7chafagb&amp;x=pp&amp;yx0-2.e16.&amp;x=pv&amp;2b5g=qtz/uNCLM" TargetMode="External"/><Relationship Id="rId190" Type="http://schemas.openxmlformats.org/officeDocument/2006/relationships/hyperlink" Target="https://e5c9a.mailupclient.com/f/rnl.aspx/?jhe=vwvwwvrv/&amp;x=pv&amp;bdi=tzfd&amp;=styrs/7f1-a=8e.dgcn&amp;&amp;x=pp&amp;u_9f1-a2&amp;.b/&amp;:d=rsu2szNCLM" TargetMode="External"/><Relationship Id="rId194" Type="http://schemas.openxmlformats.org/officeDocument/2006/relationships/hyperlink" Target="https://e5c9a.mailupclient.com/f/rnl.aspx/?jhe=vwvwwvrv/&amp;x=pv&amp;bdi=tzfd&amp;=stysr/7f1-a=8e.dgcn&amp;&amp;x=pp&amp;u_9f1-a2&amp;.b/&amp;:d=rsu2swNCLM" TargetMode="External"/><Relationship Id="rId193" Type="http://schemas.openxmlformats.org/officeDocument/2006/relationships/hyperlink" Target="https://www.facebook.com/GCBA/posts/pfbid02ySETv8mbLPx3NFrrHh1eRhVRmMimid99iTcJQu2RtwUS7KCAiwKP9qoSStF1cMSml" TargetMode="External"/><Relationship Id="rId192" Type="http://schemas.openxmlformats.org/officeDocument/2006/relationships/hyperlink" Target="https://e5c9a.mailupclient.com/f/rnl.aspx/?jhe=vwvwwvrv/&amp;x=pv&amp;bdi=tzfd&amp;=styqw/7f1-a=8e.dgcn&amp;&amp;x=pp&amp;u_9f1-a2&amp;.b/&amp;:d=rsu2tuNCLM" TargetMode="External"/><Relationship Id="rId191" Type="http://schemas.openxmlformats.org/officeDocument/2006/relationships/hyperlink" Target="https://www.facebook.com/GCBA/posts/pfbid02XivFpWt3RUefq5AxosVi9QHfMqmnMMDqYJ2GMwbm21hzDXakjKzef36eD7EUTd3Nl" TargetMode="External"/><Relationship Id="rId187" Type="http://schemas.openxmlformats.org/officeDocument/2006/relationships/hyperlink" Target="https://www.facebook.com/GCBA/posts/pfbid033fMnyhXWfBXacknm8RVi846ZRKkF3s2ntnrf77adFMCBapj9oEmFvjtMFUZPAc2nl" TargetMode="External"/><Relationship Id="rId186" Type="http://schemas.openxmlformats.org/officeDocument/2006/relationships/hyperlink" Target="https://a2g9b4.emailsp.com/f/rnl.aspx/?fei=1wqvoxxy.9ek=vyad8=/2qxx6d90.=3d.lfc&amp;x=pv&amp;.&amp;e08c1-&amp;34&amp;x=pp&amp;qx-f2::19h&amp;x=pv&amp;_95j=yqxuvNCLM" TargetMode="External"/><Relationship Id="rId185" Type="http://schemas.openxmlformats.org/officeDocument/2006/relationships/hyperlink" Target="https://www.facebook.com/GCBA/posts/pfbid0BCdzfdHSiNsAjqkxBfw21q7wXrop147rZKyn1amsRodUZ7JfR4HU3mtxPi2pv5HVl" TargetMode="External"/><Relationship Id="rId184" Type="http://schemas.openxmlformats.org/officeDocument/2006/relationships/hyperlink" Target="https://a2g9b4.emailsp.com/f/rnl.aspx/?fei=1wqvoxxy.9ek=vyad8=/2qxx6d90.=3d.lfc&amp;x=pv&amp;.&amp;e08c1-&amp;34&amp;x=pp&amp;qx-f2::19h&amp;x=pv&amp;_95j=yqxuvNCLM" TargetMode="External"/><Relationship Id="rId189" Type="http://schemas.openxmlformats.org/officeDocument/2006/relationships/hyperlink" Target="https://www.facebook.com/GCBA/posts/pfbid02jFPm6aLLHuw37e7eL7eC49bFcisgXv2ipwvT5pfL3KygKKsPopu3Kxkwvx8M4durl" TargetMode="External"/><Relationship Id="rId188" Type="http://schemas.openxmlformats.org/officeDocument/2006/relationships/hyperlink" Target="https://e5c9a.mailupclient.com/f/rnl.aspx/?jhe=vwurvxsx/&amp;x=pv&amp;bdi=tzfd&amp;=stysu/7f1-a=5k9hibg&amp;x=pv&amp;9a&amp;-c4&amp;501&amp;x=pp&amp;u_9f1-a2&amp;.b/&amp;:d=rsv3o_NCLM" TargetMode="External"/><Relationship Id="rId183" Type="http://schemas.openxmlformats.org/officeDocument/2006/relationships/hyperlink" Target="https://www.facebook.com/GCBA/posts/pfbid0nA1q3xBcy1eJcYdmUe5hTkrG2zrbURY6VnDCqEubzKtTg6UhWBiGjhgYWJQUsK86l" TargetMode="External"/><Relationship Id="rId182" Type="http://schemas.openxmlformats.org/officeDocument/2006/relationships/hyperlink" Target="https://e5c9a.mailupclient.com/f/rnl.aspx/?jhe=vwurvxsx/&amp;x=pv&amp;bdi=tzfd&amp;=styq_/7f1-a=5k9hibg&amp;x=pv&amp;9a&amp;-c4&amp;501&amp;x=pp&amp;u_9f1-a2&amp;.b/&amp;:d=rsu2quNCLM" TargetMode="External"/><Relationship Id="rId181" Type="http://schemas.openxmlformats.org/officeDocument/2006/relationships/hyperlink" Target="https://fb.me/adspreview/facebook/27utMxPibDIBULh" TargetMode="External"/><Relationship Id="rId180" Type="http://schemas.openxmlformats.org/officeDocument/2006/relationships/hyperlink" Target="https://e5c9a.mailupclient.com/f/rnl.aspx/?jhe=vwt_y1w_/&amp;x=pv&amp;bdi=tzfd&amp;=styps/7f1-a=&amp;x=pv&amp;n1&amp;j&amp;kc949&amp;25&amp;x=pp&amp;uy.-5-&amp;x=pv&amp;83dbzb4h=rq_vu_NCLM" TargetMode="External"/><Relationship Id="rId176" Type="http://schemas.openxmlformats.org/officeDocument/2006/relationships/hyperlink" Target="https://e5c9a.mailupclient.com/f/rnl.aspx/?jhe=vwvwwvrv/&amp;x=pv&amp;bdi=tzfd&amp;=styry/7f1-a=8e.dgcn&amp;&amp;x=pp&amp;u_9f1-a2&amp;.b/&amp;:d=rsu2ryNCLM" TargetMode="External"/><Relationship Id="rId175" Type="http://schemas.openxmlformats.org/officeDocument/2006/relationships/hyperlink" Target="https://www.facebook.com/GCBA/posts/pfbid0NCkcxaZVLWpEq1c8WfZD4yFZZ8pNJGWi52WxDCeZbvR8fJnEgqzwJYBpEWJR5L9Sl" TargetMode="External"/><Relationship Id="rId174" Type="http://schemas.openxmlformats.org/officeDocument/2006/relationships/hyperlink" Target="https://e5c9a.mailupclient.com/f/rnl.aspx/?jhe=vwvwwvrv/&amp;x=pv&amp;bdi=tzfd&amp;=styrz/7f1-a=8e.dgcn&amp;&amp;x=pp&amp;u_9f1-a2&amp;.b/&amp;:d=rsu2qyNCLM" TargetMode="External"/><Relationship Id="rId173" Type="http://schemas.openxmlformats.org/officeDocument/2006/relationships/hyperlink" Target="https://www.facebook.com/reel/1385888349747054/" TargetMode="External"/><Relationship Id="rId179" Type="http://schemas.openxmlformats.org/officeDocument/2006/relationships/hyperlink" Target="https://www.facebook.com/GCBA/posts/pfbid0NCkcxaZVLWpEq1c8WfZD4yFZZ8pNJGWi52WxDCeZbvR8fJnEgqzwJYBpEWJR5L9Sl" TargetMode="External"/><Relationship Id="rId178" Type="http://schemas.openxmlformats.org/officeDocument/2006/relationships/hyperlink" Target="https://e5c9a.mailupclient.com/f/rnl.aspx/?jhe=vwt_y1w_/&amp;x=pv&amp;bdi=tzfd&amp;=stypt/7f1-a=&amp;x=pv&amp;n1&amp;j&amp;kc949&amp;25&amp;x=pp&amp;uy.-5-&amp;x=pv&amp;83dbzb4h=rq_vtxNCLM" TargetMode="External"/><Relationship Id="rId177" Type="http://schemas.openxmlformats.org/officeDocument/2006/relationships/hyperlink" Target="https://www.facebook.com/GCBA/posts/pfbid0NCkcxaZVLWpEq1c8WfZD4yFZZ8pNJGWi52WxDCeZbvR8fJnEgqzwJYBpEWJR5L9Sl" TargetMode="External"/><Relationship Id="rId1910" Type="http://schemas.openxmlformats.org/officeDocument/2006/relationships/hyperlink" Target="https://www.facebook.com/reel/1538966754240714" TargetMode="External"/><Relationship Id="rId1911" Type="http://schemas.openxmlformats.org/officeDocument/2006/relationships/hyperlink" Target="https://e5c9a.mailupclient.com/f/rnl.aspx/?jhe=vwt_y1w_/&amp;x=pv&amp;bdi=tzfd&amp;=suwwr/7f1-a=&amp;x=pv&amp;n1&amp;j&amp;kc949&amp;25&amp;x=pp&amp;uy.-5-&amp;x=pv&amp;83dbzb4h=rr3ssyNCLM" TargetMode="External"/><Relationship Id="rId1912" Type="http://schemas.openxmlformats.org/officeDocument/2006/relationships/hyperlink" Target="https://www.facebook.com/GCBA/posts/pfbid026smDkrUJ5SfPp8Y643S6d1FghCDrHUtEovYwTmvxhrWfQJfmoWdbtHSvNvgLvHogl" TargetMode="External"/><Relationship Id="rId1913" Type="http://schemas.openxmlformats.org/officeDocument/2006/relationships/hyperlink" Target="https://e5c9a.mailupclient.com/f/rnl.aspx/?jhe=vwt_y1w_/&amp;x=pv&amp;bdi=tzfd&amp;=suvvv/7f1-a=&amp;x=pv&amp;n1&amp;j&amp;kc949&amp;25&amp;x=pp&amp;uy.-5-&amp;x=pv&amp;83dbzb4h=rr3ssxNCLM" TargetMode="External"/><Relationship Id="rId1914" Type="http://schemas.openxmlformats.org/officeDocument/2006/relationships/hyperlink" Target="https://www.facebook.com/GCBA/posts/pfbid02QRvqeKs9Gd9FKGyHHvAhcGPiJDZAKdQGHcp9LtDmUN5xHBts982gX3DFAbDWhDKnl" TargetMode="External"/><Relationship Id="rId1915" Type="http://schemas.openxmlformats.org/officeDocument/2006/relationships/hyperlink" Target="https://a2g9b4.emailsp.com/f/rnl.aspx/?fei=1vvoo1vy.9ek=vyad8=t3rqwy&amp;f2::=-l98i9di-10337&amp;x=pp&amp;yx0-2.e16.&amp;x=pv&amp;2b5g=qtt_wNCLM" TargetMode="External"/><Relationship Id="rId1916" Type="http://schemas.openxmlformats.org/officeDocument/2006/relationships/hyperlink" Target="https://www.facebook.com/GCBA/posts/pfbid0296Qv8qBuYDm1r1vCUE8MZrydTBc9VeEUEaEZjYiUnAgrSNMRADbvvDMcK7mVo1CRl" TargetMode="External"/><Relationship Id="rId1917" Type="http://schemas.openxmlformats.org/officeDocument/2006/relationships/hyperlink" Target="https://a2g9b4.emailsp.com/f/rnl.aspx/?fei=1vvoo_2y.9ek=vyad8=t3rzvy&amp;f2::=k702m1k6.451&amp;x=pp&amp;r1.&amp;x=pv&amp;49-6&amp;aax00l=rvns/NCLM" TargetMode="External"/><Relationship Id="rId1918" Type="http://schemas.openxmlformats.org/officeDocument/2006/relationships/hyperlink" Target="https://www.facebook.com/GCBA/posts/pfbid0a1GEg7bHTZAiSRYFLsJhWDqHzmpoFqPDLyNDcaHugiQKTPBzraUJCaNxzWNmde1Sl" TargetMode="External"/><Relationship Id="rId1919" Type="http://schemas.openxmlformats.org/officeDocument/2006/relationships/hyperlink" Target="https://a2g9b4.emailsp.com/f/rnl.aspx/?fei=1uwuq_vy.9ek=vyad8=t3rzqy&amp;f2::=2-neh9.9bd:5-cb10337&amp;x=pp&amp;yx0-2.e16.&amp;x=pv&amp;2b5g=qttywNCLM" TargetMode="External"/><Relationship Id="rId1900" Type="http://schemas.openxmlformats.org/officeDocument/2006/relationships/hyperlink" Target="https://www.facebook.com/GCBA/posts/pfbid0ZPqxQ5PPTm9UmBiJCsU8TTjQDHdxdeEADshmKbkrJSQe2HQ3HDkVDugjGhY9jRzSl" TargetMode="External"/><Relationship Id="rId1901" Type="http://schemas.openxmlformats.org/officeDocument/2006/relationships/hyperlink" Target="https://a2g9b4.emailsp.com/f/rnl.aspx/?fei=2orws1vy.9ek=vyad8=t3qysy&amp;f2::=7chafagb&amp;x=pp&amp;yx0-2.e16.&amp;x=pv&amp;2b5g=qttwqNCLM" TargetMode="External"/><Relationship Id="rId1902" Type="http://schemas.openxmlformats.org/officeDocument/2006/relationships/hyperlink" Target="https://www.facebook.com/reel/938662309035633" TargetMode="External"/><Relationship Id="rId1903" Type="http://schemas.openxmlformats.org/officeDocument/2006/relationships/hyperlink" Target="https://a2g9b4.emailsp.com/f/rnl.aspx/?fei=2orws1vy.9ek=vyad8=t3qxty&amp;f2::=7chafagb&amp;x=pp&amp;yx0-2.e16.&amp;x=pv&amp;2b5g=qttytNCLM" TargetMode="External"/><Relationship Id="rId1904" Type="http://schemas.openxmlformats.org/officeDocument/2006/relationships/hyperlink" Target="https://www.facebook.com/GCBA/posts/pfbid0YsvPWYb967LiLYq3YMQEez25Q4opZik9cFdh4KmKrjVeJYAXhZE23CYTkhPCpZLBl" TargetMode="External"/><Relationship Id="rId1905" Type="http://schemas.openxmlformats.org/officeDocument/2006/relationships/hyperlink" Target="https://e5c9a.mailupclient.com/f/rnl.aspx/?jhe=vwvwwvrv/&amp;x=pv&amp;bdi=tzfd&amp;=suvvt/7f1-a=8e.dgcn&amp;&amp;x=pp&amp;u_9f1-a2&amp;.b/&amp;:d=rty_ssNCLM" TargetMode="External"/><Relationship Id="rId1906" Type="http://schemas.openxmlformats.org/officeDocument/2006/relationships/hyperlink" Target="https://www.facebook.com/GCBA/posts/pfbid0HDjJ7ADLmVV9qRNGYyC1QmhZKHE6gr3HcD2wiXfT8Uf1PBKo7aaWtbNktXYwgoBCl" TargetMode="External"/><Relationship Id="rId1907" Type="http://schemas.openxmlformats.org/officeDocument/2006/relationships/hyperlink" Target="https://e5c9a.mailupclient.com/f/rnl.aspx/?jhe=vwvwwvrv/&amp;x=pv&amp;bdi=tzfd&amp;=suwwv/7f1-a=8e.dgcn&amp;&amp;x=pp&amp;u_9f1-a2&amp;.b/&amp;:d=rty_qrNCLM" TargetMode="External"/><Relationship Id="rId1908" Type="http://schemas.openxmlformats.org/officeDocument/2006/relationships/hyperlink" Target="https://www.facebook.com/GCBA/posts/pfbid02oc4eGpxiTuWbRHkbF7CMFJgXHy2yjdoztoFr8hDs9YJLbAr91HSjsiqNqAK4F7opl" TargetMode="External"/><Relationship Id="rId1909" Type="http://schemas.openxmlformats.org/officeDocument/2006/relationships/hyperlink" Target="https://a2g9b4.emailsp.com/f/rnl.aspx/?fei=1vvoo1vy.9ek=vyad8=t3qwny&amp;f2::=-l98i9di-10337&amp;x=pp&amp;yx0-2.e16.&amp;x=pv&amp;2b5g=qtt/rNCLM" TargetMode="External"/><Relationship Id="rId198" Type="http://schemas.openxmlformats.org/officeDocument/2006/relationships/hyperlink" Target="https://e5c9a.mailupclient.com/f/rnl.aspx/?jhe=vwvwwvrv/&amp;x=pv&amp;bdi=tzfd&amp;=styqz/7f1-a=8e.dgcn&amp;&amp;x=pp&amp;u_9f1-a2&amp;.b/&amp;:d=rsu2twNCLM" TargetMode="External"/><Relationship Id="rId197" Type="http://schemas.openxmlformats.org/officeDocument/2006/relationships/hyperlink" Target="https://www.facebook.com/GCBA/posts/pfbid02ySETv8mbLPx3NFrrHh1eRhVRmMimid99iTcJQu2RtwUS7KCAiwKP9qoSStF1cMSml" TargetMode="External"/><Relationship Id="rId196" Type="http://schemas.openxmlformats.org/officeDocument/2006/relationships/hyperlink" Target="https://e5c9a.mailupclient.com/f/rnl.aspx/?jhe=vwvwwvrv/&amp;x=pv&amp;bdi=tzfd&amp;=styqx/7f1-a=8e.dgcn&amp;&amp;x=pp&amp;u_9f1-a2&amp;.b/&amp;:d=rsu2tvNCLM" TargetMode="External"/><Relationship Id="rId195" Type="http://schemas.openxmlformats.org/officeDocument/2006/relationships/hyperlink" Target="https://www.facebook.com/GCBA/posts/pfbid02ySETv8mbLPx3NFrrHh1eRhVRmMimid99iTcJQu2RtwUS7KCAiwKP9qoSStF1cMSml" TargetMode="External"/><Relationship Id="rId199" Type="http://schemas.openxmlformats.org/officeDocument/2006/relationships/hyperlink" Target="https://www.facebook.com/GCBA/posts/pfbid02ySETv8mbLPx3NFrrHh1eRhVRmMimid99iTcJQu2RtwUS7KCAiwKP9qoSStF1cMSml" TargetMode="External"/><Relationship Id="rId150" Type="http://schemas.openxmlformats.org/officeDocument/2006/relationships/hyperlink" Target="https://www.facebook.com/reel/818777800864033" TargetMode="External"/><Relationship Id="rId149" Type="http://schemas.openxmlformats.org/officeDocument/2006/relationships/hyperlink" Target="https://e5c9a.mailupclient.com/f/rnl.aspx/?jhe=vwurvxsx/&amp;x=pv&amp;bdi=tzfd&amp;=styqu/7f1-a=5k9hibg&amp;x=pv&amp;9a&amp;-c4&amp;501&amp;x=pp&amp;u_9f1-a2&amp;.b/&amp;:d=rsu2wuNCLM" TargetMode="External"/><Relationship Id="rId148" Type="http://schemas.openxmlformats.org/officeDocument/2006/relationships/hyperlink" Target="https://www.facebook.com/reel/1259490412867632" TargetMode="External"/><Relationship Id="rId1090" Type="http://schemas.openxmlformats.org/officeDocument/2006/relationships/hyperlink" Target="https://a2g9b4.emailsp.com/f/rnl.aspx/?fei=2orws1vy.9ek=vyad8=t3owqy&amp;f2::=7chafagb&amp;x=pp&amp;yx0-2.e16.&amp;x=pv&amp;2b5g=qst3oNCLM" TargetMode="External"/><Relationship Id="rId1091" Type="http://schemas.openxmlformats.org/officeDocument/2006/relationships/hyperlink" Target="https://www.facebook.com/GCBA/posts/pfbid02BLwc5PnG5EYzbVeS3qNZ6Nb5in3PifakagmTh6BFX3zNQZ1rLsJ3FsQx9JDG2gFdl" TargetMode="External"/><Relationship Id="rId1092" Type="http://schemas.openxmlformats.org/officeDocument/2006/relationships/hyperlink" Target="https://e5c9a.mailupclient.com/f/rnl.aspx/?jhe=vwvwwvrv/&amp;x=pv&amp;bdi=tzfd&amp;=st1v_/7f1-a=8e.dgcn&amp;&amp;x=pp&amp;u_9f1-a2&amp;.b/&amp;:d=rsxwqvNCLM" TargetMode="External"/><Relationship Id="rId1093" Type="http://schemas.openxmlformats.org/officeDocument/2006/relationships/hyperlink" Target="https://www.facebook.com/GCBA/posts/pfbid02BLwc5PnG5EYzbVeS3qNZ6Nb5in3PifakagmTh6BFX3zNQZ1rLsJ3FsQx9JDG2gFdl" TargetMode="External"/><Relationship Id="rId1094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143" Type="http://schemas.openxmlformats.org/officeDocument/2006/relationships/hyperlink" Target="https://e5c9a.mailupclient.com/f/rnl.aspx/?jhe=vwt_y1w_/&amp;x=pv&amp;bdi=tzfd&amp;=stxov/7f1-a=&amp;x=pv&amp;n1&amp;j&amp;kc949&amp;25&amp;x=pp&amp;uy.-5-&amp;x=pv&amp;83dbzb4h=rq_osyNCLM" TargetMode="External"/><Relationship Id="rId1095" Type="http://schemas.openxmlformats.org/officeDocument/2006/relationships/hyperlink" Target="https://www.facebook.com/GCBA/posts/pfbid0Ftr1BFEuMXZgZzkvxNATehYJWtz65Zwo14oK7wZCTVKGiuhbS8vtnqUWXP8AP9dSl" TargetMode="External"/><Relationship Id="rId142" Type="http://schemas.openxmlformats.org/officeDocument/2006/relationships/hyperlink" Target="https://www.facebook.com/reel/818777800864033" TargetMode="External"/><Relationship Id="rId1096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141" Type="http://schemas.openxmlformats.org/officeDocument/2006/relationships/hyperlink" Target="https://e5c9a.mailupclient.com/f/rnl.aspx/?jhe=vwt_y1w_/&amp;x=pv&amp;bdi=tzfd&amp;=stxov/7f1-a=&amp;x=pv&amp;n1&amp;j&amp;kc949&amp;25&amp;x=pp&amp;uy.-5-&amp;x=pv&amp;83dbzb4h=rq_osyNCLM" TargetMode="External"/><Relationship Id="rId1097" Type="http://schemas.openxmlformats.org/officeDocument/2006/relationships/hyperlink" Target="https://fb.me/adspreview/facebook/23PWppQrHRi6nAk" TargetMode="External"/><Relationship Id="rId140" Type="http://schemas.openxmlformats.org/officeDocument/2006/relationships/hyperlink" Target="https://www.facebook.com/reel/818777800864033" TargetMode="External"/><Relationship Id="rId1098" Type="http://schemas.openxmlformats.org/officeDocument/2006/relationships/hyperlink" Target="https://a2g9b4.emailsp.com/f/rnl.aspx/?fei=1vvoo1vy.9ek=vyad8=t3ouqy&amp;f2::=-l98i9di-10337&amp;x=pp&amp;yx0-2.e16.&amp;x=pv&amp;2b5g=qs11oNCLM" TargetMode="External"/><Relationship Id="rId147" Type="http://schemas.openxmlformats.org/officeDocument/2006/relationships/hyperlink" Target="https://e5c9a.mailupclient.com/f/rnl.aspx/?jhe=vwurvxsx/&amp;x=pv&amp;bdi=tzfd&amp;=stxvy/7f1-a=5k9hibg&amp;x=pv&amp;9a&amp;-c4&amp;501&amp;x=pp&amp;u_9f1-a2&amp;.b/&amp;:d=rsu_rvNCLM" TargetMode="External"/><Relationship Id="rId1099" Type="http://schemas.openxmlformats.org/officeDocument/2006/relationships/hyperlink" Target="https://www.facebook.com/photo?fbid=1447021517457493&amp;set=p.1447021517457493" TargetMode="External"/><Relationship Id="rId146" Type="http://schemas.openxmlformats.org/officeDocument/2006/relationships/hyperlink" Target="https://www.facebook.com/reel/1259490412867632" TargetMode="External"/><Relationship Id="rId145" Type="http://schemas.openxmlformats.org/officeDocument/2006/relationships/hyperlink" Target="https://e5c9a.mailupclient.com/f/rnl.aspx/?jhe=vwt_y1w_/&amp;x=pv&amp;bdi=tzfd&amp;=styoy/7f1-a=&amp;x=pv&amp;n1&amp;j&amp;kc949&amp;25&amp;x=pp&amp;uy.-5-&amp;x=pv&amp;83dbzb4h=rq_tvyNCLM" TargetMode="External"/><Relationship Id="rId144" Type="http://schemas.openxmlformats.org/officeDocument/2006/relationships/hyperlink" Target="https://www.facebook.com/reel/818777800864033" TargetMode="External"/><Relationship Id="rId139" Type="http://schemas.openxmlformats.org/officeDocument/2006/relationships/hyperlink" Target="https://e5c9a.mailupclient.com/f/rnl.aspx/?jhe=vwvwwvrv/&amp;x=pv&amp;bdi=tzfd&amp;=stynv/7f1-a=8e.dgcn&amp;&amp;x=pp&amp;u_9f1-a2&amp;.b/&amp;:d=rsu/u_NCLM" TargetMode="External"/><Relationship Id="rId138" Type="http://schemas.openxmlformats.org/officeDocument/2006/relationships/hyperlink" Target="https://www.facebook.com/GCBA/posts/pfbid02SB5PG237gJvSQGMPLHpQAP5b6uxqxh8AqRUS3csVWmCnYyvd77i8d67LSBMnBtg8l" TargetMode="External"/><Relationship Id="rId137" Type="http://schemas.openxmlformats.org/officeDocument/2006/relationships/hyperlink" Target="https://e5c9a.mailupclient.com/f/rnl.aspx/?jhe=vwvwwvrv/&amp;x=pv&amp;bdi=tzfd&amp;=stxuu/7f1-a=8e.dgcn&amp;&amp;x=pp&amp;u_9f1-a2&amp;.b/&amp;:d=rsuzorNCLM" TargetMode="External"/><Relationship Id="rId1080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1081" Type="http://schemas.openxmlformats.org/officeDocument/2006/relationships/hyperlink" Target="https://fb.me/adspreview/facebook/1SWH8f44c3Zvh9M" TargetMode="External"/><Relationship Id="rId1082" Type="http://schemas.openxmlformats.org/officeDocument/2006/relationships/hyperlink" Target="https://a2g9b4.emailsp.com/f/rnl.aspx/?fei=2orws1vy.9ek=vyad8=t3oxry&amp;f2::=7chafagb&amp;x=pp&amp;yx0-2.e16.&amp;x=pv&amp;2b5g=qs12vNCLM" TargetMode="External"/><Relationship Id="rId1083" Type="http://schemas.openxmlformats.org/officeDocument/2006/relationships/hyperlink" Target="https://fb.me/adspreview/facebook/23HuMg8PbM643Dh" TargetMode="External"/><Relationship Id="rId132" Type="http://schemas.openxmlformats.org/officeDocument/2006/relationships/hyperlink" Target="https://www.facebook.com/GCBA/posts/pfbid08jZno8hyH4wUURfHDj5eKgWYFcmdn1Lqh1sjbw1zmwZJ4dSZGEmpAeit2EdCjTLal" TargetMode="External"/><Relationship Id="rId1084" Type="http://schemas.openxmlformats.org/officeDocument/2006/relationships/hyperlink" Target="https://a2g9b4.emailsp.com/f/rnl.aspx/?fei=2orws1vy.9ek=vyad8=t3oxpy&amp;f2::=7chafagb&amp;x=pp&amp;yx0-2.e16.&amp;x=pv&amp;2b5g=qst3pNCLM" TargetMode="External"/><Relationship Id="rId131" Type="http://schemas.openxmlformats.org/officeDocument/2006/relationships/hyperlink" Target="https://e5c9a.mailupclient.com/f/rnl.aspx/?jhe=vwt_y1w_/&amp;x=pv&amp;bdi=tzfd&amp;=styns/7f1-a=&amp;x=pv&amp;n1&amp;j&amp;kc949&amp;25&amp;x=pp&amp;uy.-5-&amp;x=pv&amp;83dbzb4h=rq_t_sNCLM" TargetMode="External"/><Relationship Id="rId1085" Type="http://schemas.openxmlformats.org/officeDocument/2006/relationships/hyperlink" Target="https://www.facebook.com/GCBA/posts/pfbid02BLwc5PnG5EYzbVeS3qNZ6Nb5in3PifakagmTh6BFX3zNQZ1rLsJ3FsQx9JDG2gFdl" TargetMode="External"/><Relationship Id="rId130" Type="http://schemas.openxmlformats.org/officeDocument/2006/relationships/hyperlink" Target="https://www.facebook.com/GCBA/posts/pfbid08jZno8hyH4wUURfHDj5eKgWYFcmdn1Lqh1sjbw1zmwZJ4dSZGEmpAeit2EdCjTLal" TargetMode="External"/><Relationship Id="rId1086" Type="http://schemas.openxmlformats.org/officeDocument/2006/relationships/hyperlink" Target="https://a2g9b4.emailsp.com/f/rnl.aspx/?fei=1uwuq_vy.9ek=vyad8=t3oxpy&amp;f2::=2-neh9.9bd:5-cb10337&amp;x=pp&amp;yx0-2.e16.&amp;x=pv&amp;2b5g=qs1_uNCLM" TargetMode="External"/><Relationship Id="rId1087" Type="http://schemas.openxmlformats.org/officeDocument/2006/relationships/hyperlink" Target="https://www.facebook.com/GCBA/posts/pfbid02BLwc5PnG5EYzbVeS3qNZ6Nb5in3PifakagmTh6BFX3zNQZ1rLsJ3FsQx9JDG2gFdl" TargetMode="External"/><Relationship Id="rId136" Type="http://schemas.openxmlformats.org/officeDocument/2006/relationships/hyperlink" Target="https://www.facebook.com/GCBA/posts/pfbid02SB5PG237gJvSQGMPLHpQAP5b6uxqxh8AqRUS3csVWmCnYyvd77i8d67LSBMnBtg8l" TargetMode="External"/><Relationship Id="rId1088" Type="http://schemas.openxmlformats.org/officeDocument/2006/relationships/hyperlink" Target="https://a2g9b4.emailsp.com/f/rnl.aspx/?fei=2orws1vy.9ek=vyad8=t3owpy&amp;f2::=7chafagb&amp;x=pp&amp;yx0-2.e16.&amp;x=pv&amp;2b5g=qst3xNCLM" TargetMode="External"/><Relationship Id="rId135" Type="http://schemas.openxmlformats.org/officeDocument/2006/relationships/hyperlink" Target="https://e5c9a.mailupclient.com/f/rnl.aspx/?jhe=vwvwwvrv/&amp;x=pv&amp;bdi=tzfd&amp;=stynv/7f1-a=8e.dgcn&amp;&amp;x=pp&amp;u_9f1-a2&amp;.b/&amp;:d=rsu/u_NCLM" TargetMode="External"/><Relationship Id="rId1089" Type="http://schemas.openxmlformats.org/officeDocument/2006/relationships/hyperlink" Target="https://www.facebook.com/GCBA/posts/pfbid02BLwc5PnG5EYzbVeS3qNZ6Nb5in3PifakagmTh6BFX3zNQZ1rLsJ3FsQx9JDG2gFdl" TargetMode="External"/><Relationship Id="rId134" Type="http://schemas.openxmlformats.org/officeDocument/2006/relationships/hyperlink" Target="https://www.facebook.com/GCBA/posts/pfbid02PmAtvdzD176mjzPpPRZmFQTNXzNjqoKr7o9wByEVUtzkzYpigMPqtXRGysNDa6Wjl" TargetMode="External"/><Relationship Id="rId133" Type="http://schemas.openxmlformats.org/officeDocument/2006/relationships/hyperlink" Target="https://a2g9b4.emailsp.com/f/rnl.aspx/?fei=1wqvoxxy.9ek=vyad8=/2qvx6d90.=3d.lfc&amp;x=pv&amp;.&amp;e08c1-&amp;34&amp;x=pp&amp;qx-f2::19h&amp;x=pv&amp;_95j=yqxuoNCLM" TargetMode="External"/><Relationship Id="rId172" Type="http://schemas.openxmlformats.org/officeDocument/2006/relationships/hyperlink" Target="https://e5c9a.mailupclient.com/f/rnl.aspx/?jhe=vwvwwvrv/&amp;x=pv&amp;bdi=tzfd&amp;=styrz/7f1-a=8e.dgcn&amp;&amp;x=pp&amp;u_9f1-a2&amp;.b/&amp;:d=rsu2qyNCLM" TargetMode="External"/><Relationship Id="rId171" Type="http://schemas.openxmlformats.org/officeDocument/2006/relationships/hyperlink" Target="https://www.facebook.com/reel/1385888349747054/" TargetMode="External"/><Relationship Id="rId170" Type="http://schemas.openxmlformats.org/officeDocument/2006/relationships/hyperlink" Target="https://mu-messages.mailupclient.com/55391/messages/email/25438/preview?sourceCode=listemail&amp;idTriggered=0" TargetMode="External"/><Relationship Id="rId165" Type="http://schemas.openxmlformats.org/officeDocument/2006/relationships/hyperlink" Target="https://e5c9a.mailupclient.com/f/rnl.aspx/?jhe=vwt_y1w_/&amp;x=pv&amp;bdi=tzfd&amp;=styqs/7f1-a=&amp;x=pv&amp;n1&amp;j&amp;kc949&amp;25&amp;x=pp&amp;uy.-5-&amp;x=pv&amp;83dbzb4h=rq_uszNCLM" TargetMode="External"/><Relationship Id="rId164" Type="http://schemas.openxmlformats.org/officeDocument/2006/relationships/hyperlink" Target="https://www.facebook.com/GCBA/posts/pfbid0BsWeHieuJG1uGtxTuMBe5GYGU77PsY829qhF8HeGWpSsWmLpxTT9CTzWTUa3pxfbl" TargetMode="External"/><Relationship Id="rId163" Type="http://schemas.openxmlformats.org/officeDocument/2006/relationships/hyperlink" Target="https://e5c9a.mailupclient.com/f/rnl.aspx/?jhe=vwt_y1w_/&amp;x=pv&amp;bdi=tzfd&amp;=stypr/7f1-a=&amp;x=pv&amp;n1&amp;j&amp;kc949&amp;25&amp;x=pp&amp;uy.-5-&amp;x=pv&amp;83dbzb4h=rq_tyvNCLM" TargetMode="External"/><Relationship Id="rId162" Type="http://schemas.openxmlformats.org/officeDocument/2006/relationships/hyperlink" Target="http://facebook.com/reel/1964189401115594/" TargetMode="External"/><Relationship Id="rId169" Type="http://schemas.openxmlformats.org/officeDocument/2006/relationships/hyperlink" Target="https://www.facebook.com/reel/1385888349747054/" TargetMode="External"/><Relationship Id="rId168" Type="http://schemas.openxmlformats.org/officeDocument/2006/relationships/hyperlink" Target="https://e5c9a.mailupclient.com/f/rnl.aspx/?jhe=vwurvxsx/&amp;x=pv&amp;bdi=tzfd&amp;=styos/7f1-a=5k9hibg&amp;x=pv&amp;9a&amp;-c4&amp;501&amp;x=pp&amp;u_9f1-a2&amp;.b/&amp;:d=rsu1nyNCLM" TargetMode="External"/><Relationship Id="rId167" Type="http://schemas.openxmlformats.org/officeDocument/2006/relationships/hyperlink" Target="https://e5c9a.mailupclient.com/f/rnl.aspx/?jhe=vwt_y1w_/&amp;x=pv&amp;bdi=tzfd&amp;=styqr/7f1-a=&amp;x=pv&amp;n1&amp;j&amp;kc949&amp;25&amp;x=pp&amp;uy.-5-&amp;x=pv&amp;83dbzb4h=rq_usuNCLM" TargetMode="External"/><Relationship Id="rId166" Type="http://schemas.openxmlformats.org/officeDocument/2006/relationships/hyperlink" Target="https://www.facebook.com/GCBA/posts/pfbid034yhPZN5yb3JKe4gVWvnfg3JxEqjRYwvE5KVfa8FhtU9xnt4fvGGv6PfcJxxWU5qNl" TargetMode="External"/><Relationship Id="rId161" Type="http://schemas.openxmlformats.org/officeDocument/2006/relationships/hyperlink" Target="https://e5c9a.mailupclient.com/f/rnl.aspx/?jhe=vwt_y1w_/&amp;x=pv&amp;bdi=tzfd&amp;=styqt/7f1-a=&amp;x=pv&amp;n1&amp;j&amp;kc949&amp;25&amp;x=pp&amp;uy.-5-&amp;x=pv&amp;83dbzb4h=rq_uu_NCLM" TargetMode="External"/><Relationship Id="rId160" Type="http://schemas.openxmlformats.org/officeDocument/2006/relationships/hyperlink" Target="http://facebook.com/reel/1964189401115594/" TargetMode="External"/><Relationship Id="rId159" Type="http://schemas.openxmlformats.org/officeDocument/2006/relationships/hyperlink" Target="https://e5c9a.mailupclient.com/f/rnl.aspx/?jhe=vwt_y1w_/&amp;x=pv&amp;bdi=tzfd&amp;=stxwv/7f1-a=&amp;x=pv&amp;n1&amp;j&amp;kc949&amp;25&amp;x=pp&amp;uy.-5-&amp;x=pv&amp;83dbzb4h=rq_utsNCLM" TargetMode="External"/><Relationship Id="rId154" Type="http://schemas.openxmlformats.org/officeDocument/2006/relationships/hyperlink" Target="https://www.facebook.com/reel/818777800864033" TargetMode="External"/><Relationship Id="rId153" Type="http://schemas.openxmlformats.org/officeDocument/2006/relationships/hyperlink" Target="https://e5c9a.mailupclient.com/f/rnl.aspx/?jhe=vwvwwvrv/&amp;x=pv&amp;bdi=tzfd&amp;=styqv/7f1-a=8e.dgcn&amp;&amp;x=pp&amp;u_9f1-a2&amp;.b/&amp;:d=rsu2wvNCLM" TargetMode="External"/><Relationship Id="rId152" Type="http://schemas.openxmlformats.org/officeDocument/2006/relationships/hyperlink" Target="https://www.facebook.com/reel/818777800864033" TargetMode="External"/><Relationship Id="rId151" Type="http://schemas.openxmlformats.org/officeDocument/2006/relationships/hyperlink" Target="https://e5c9a.mailupclient.com/f/rnl.aspx/?jhe=vwvwwvrv/&amp;x=pv&amp;bdi=tzfd&amp;=styqv/7f1-a=8e.dgcn&amp;&amp;x=pp&amp;u_9f1-a2&amp;.b/&amp;:d=rsu2wvNCLM" TargetMode="External"/><Relationship Id="rId158" Type="http://schemas.openxmlformats.org/officeDocument/2006/relationships/hyperlink" Target="http://facebook.com/reel/654304614371554/" TargetMode="External"/><Relationship Id="rId157" Type="http://schemas.openxmlformats.org/officeDocument/2006/relationships/hyperlink" Target="https://e5c9a.mailupclient.com/f/rnl.aspx/?jhe=vwt_y1w_/&amp;x=pv&amp;bdi=tzfd&amp;=styox/7f1-a=&amp;x=pv&amp;n1&amp;j&amp;kc949&amp;25&amp;x=pp&amp;uy.-5-&amp;x=pv&amp;83dbzb4h=rq_tywNCLM" TargetMode="External"/><Relationship Id="rId156" Type="http://schemas.openxmlformats.org/officeDocument/2006/relationships/hyperlink" Target="http://facebook.com/reel/654304614371554/" TargetMode="External"/><Relationship Id="rId155" Type="http://schemas.openxmlformats.org/officeDocument/2006/relationships/hyperlink" Target="https://e5c9a.mailupclient.com/f/rnl.aspx/?jhe=vwt_y1w_/&amp;x=pv&amp;bdi=tzfd&amp;=styny/7f1-a=&amp;x=pv&amp;n1&amp;j&amp;kc949&amp;25&amp;x=pp&amp;uy.-5-&amp;x=pv&amp;83dbzb4h=rq_tssNCLM" TargetMode="External"/><Relationship Id="rId1972" Type="http://schemas.openxmlformats.org/officeDocument/2006/relationships/hyperlink" Target="https://a2g9b4.emailsp.com/f/rnl.aspx/?fei=1vvoo1vy.9ek=vyad8=t3rqoy&amp;f2::=-l98i9di-10337&amp;x=pp&amp;yx0-2.e16.&amp;x=pv&amp;2b5g=qtt1uNCLM" TargetMode="External"/><Relationship Id="rId1973" Type="http://schemas.openxmlformats.org/officeDocument/2006/relationships/hyperlink" Target="https://www.facebook.com/GCBA/posts/pfbid024E73awCVhiQrQKaLTpJhPgLnsy9nahcRRpUuZQFjWPWPjfEGoSmZCvcRp75tDHfLl" TargetMode="External"/><Relationship Id="rId2820" Type="http://schemas.openxmlformats.org/officeDocument/2006/relationships/hyperlink" Target="https://a2g9b4.emailsp.com/f/rnl.aspx/?fei=2orws1vy.9ek=vyad8=t3utwy&amp;f2::=7chafagb&amp;x=pp&amp;yx0-2.e16.&amp;x=pv&amp;2b5g=qu__tNCLM" TargetMode="External"/><Relationship Id="rId1974" Type="http://schemas.openxmlformats.org/officeDocument/2006/relationships/hyperlink" Target="https://a2g9b4.emailsp.com/f/rnl.aspx/?fei=1vvoo_2y.9ek=vyad8=t3rrwy&amp;f2::=k702m1k6.451&amp;x=pp&amp;r1.&amp;x=pv&amp;49-6&amp;aax00l=rvoowNCLM" TargetMode="External"/><Relationship Id="rId2821" Type="http://schemas.openxmlformats.org/officeDocument/2006/relationships/hyperlink" Target="https://a2g9b4.emailsp.com/f/rnl.aspx/?fei=1vvoo_2y.9ek=vyad8=t3utqy&amp;f2::=k702m1k6.451&amp;x=pp&amp;r1.&amp;x=pv&amp;49-6&amp;aax00l=rwutxNCLM" TargetMode="External"/><Relationship Id="rId1975" Type="http://schemas.openxmlformats.org/officeDocument/2006/relationships/hyperlink" Target="https://fb.me/adspreview/facebook/1UqPoZLiUaD4oNO" TargetMode="External"/><Relationship Id="rId2822" Type="http://schemas.openxmlformats.org/officeDocument/2006/relationships/hyperlink" Target="https://e5c9a.mailupclient.com/f/rnl.aspx/?jhe=vwszuxsy/&amp;x=pv&amp;bdi=tzfd&amp;=su_ww/7f1-a=l925n3r/&amp;749&amp;x=pp&amp;q_&amp;.99a45h-/-6l=ntst2oNCLM" TargetMode="External"/><Relationship Id="rId1976" Type="http://schemas.openxmlformats.org/officeDocument/2006/relationships/hyperlink" Target="https://e5c9a.mailupclient.com/f/rnl.aspx/?jhe=vwszuxsy/&amp;x=pv&amp;bdi=tzfd&amp;=suwnx/7f1-a=l925n3r/&amp;749&amp;x=pp&amp;q_&amp;.99a45h-/-6l=nt_v3nNCLM" TargetMode="External"/><Relationship Id="rId2823" Type="http://schemas.openxmlformats.org/officeDocument/2006/relationships/hyperlink" Target="https://a2g9b4.emailsp.com/f/rnl.aspx/?fei=1uwuq_vy.9ek=vyad8=t3uqsy&amp;f2::=2-neh9.9bd:5-cb10337&amp;x=pp&amp;yx0-2.e16.&amp;x=pv&amp;2b5g=quz3sNCLM" TargetMode="External"/><Relationship Id="rId1977" Type="http://schemas.openxmlformats.org/officeDocument/2006/relationships/hyperlink" Target="https://www.facebook.com/baparticipacion/posts/pfbid02w5yj5xhr45yUEBFo1bmCXhFSsXGrEgrdMcBbCPUwXRaEJC4eNQUzDQwLaooyMPhWl" TargetMode="External"/><Relationship Id="rId2824" Type="http://schemas.openxmlformats.org/officeDocument/2006/relationships/hyperlink" Target="https://a2g9b4.emailsp.com/f/rnl.aspx/?fei=1uwuq_vy.9ek=vyad8=t3usvy&amp;f2::=2-neh9.9bd:5-cb10337&amp;x=pp&amp;yx0-2.e16.&amp;x=pv&amp;2b5g=qu_wrNCLM" TargetMode="External"/><Relationship Id="rId1978" Type="http://schemas.openxmlformats.org/officeDocument/2006/relationships/hyperlink" Target="https://e5c9a.mailupclient.com/f/rnl.aspx/?jhe=vwurvxsx/&amp;x=pv&amp;bdi=tzfd&amp;=suwpx/7f1-a=5k9hibg&amp;x=pv&amp;9a&amp;-c4&amp;501&amp;x=pp&amp;u_9f1-a2&amp;.b/&amp;:d=rty/t_NCLM" TargetMode="External"/><Relationship Id="rId2825" Type="http://schemas.openxmlformats.org/officeDocument/2006/relationships/hyperlink" Target="https://e5c9a.mailupclient.com/f/rnl.aspx/?jhe=vwurvxsx/&amp;x=pv&amp;bdi=tzfd&amp;=su_nx/7f1-a=5k9hibg&amp;x=pv&amp;9a&amp;-c4&amp;501&amp;x=pp&amp;u_9f1-a2&amp;.b/&amp;:d=rtq_qrNCLM" TargetMode="External"/><Relationship Id="rId1979" Type="http://schemas.openxmlformats.org/officeDocument/2006/relationships/hyperlink" Target="https://www.facebook.com/GCBA/posts/pfbid0d9XT1CAvSPLyt1aN1NNjVkP91s34wkPBECWCb8oPxCM6nzXnWfoskFD65xDwnRRsl" TargetMode="External"/><Relationship Id="rId2826" Type="http://schemas.openxmlformats.org/officeDocument/2006/relationships/hyperlink" Target="https://e5c9a.mailupclient.com/f/rnl.aspx/?jhe=vwurvxsx/&amp;x=pv&amp;bdi=tzfd&amp;=su_wz/7f1-a=5k9hibg&amp;x=pv&amp;9a&amp;-c4&amp;501&amp;x=pp&amp;u_9f1-a2&amp;.b/&amp;:d=rtq_wuNCLM" TargetMode="External"/><Relationship Id="rId2827" Type="http://schemas.openxmlformats.org/officeDocument/2006/relationships/hyperlink" Target="https://e5c9a.mailupclient.com/f/rnl.aspx/?jhe=vwurvxsx/&amp;x=pv&amp;bdi=tzfd&amp;=su_wz/7f1-a=5k9hibg&amp;x=pv&amp;9a&amp;-c4&amp;501&amp;x=pp&amp;u_9f1-a2&amp;.b/&amp;:d=rtq_wuNCLM" TargetMode="External"/><Relationship Id="rId2828" Type="http://schemas.openxmlformats.org/officeDocument/2006/relationships/hyperlink" Target="https://a2g9b4.emailsp.com/f/rnl.aspx/?fei=1vvoo1vy.9ek=vyad8=t3uupy&amp;f2::=-l98i9di-10337&amp;x=pp&amp;yx0-2.e16.&amp;x=pv&amp;2b5g=qu_1uNCLM" TargetMode="External"/><Relationship Id="rId2829" Type="http://schemas.openxmlformats.org/officeDocument/2006/relationships/hyperlink" Target="https://e5c9a.mailupclient.com/f/rnl.aspx/?jhe=1r_yq2o/a&amp;le=t/.l7=swuvn/9.99a=59ndi-a&amp;9g-7e:-49&amp;25&amp;x=pp&amp;uy.-5-&amp;x=pv&amp;83dbzb4h=rrwstvNCLM" TargetMode="External"/><Relationship Id="rId1970" Type="http://schemas.openxmlformats.org/officeDocument/2006/relationships/hyperlink" Target="https://e5c9a.mailupclient.com/f/rnl.aspx/?jhe=vwt_y1w_/&amp;x=pv&amp;bdi=tzfd&amp;=suwnr/7f1-a=&amp;x=pv&amp;n1&amp;j&amp;kc949&amp;25&amp;x=pp&amp;uy.-5-&amp;x=pv&amp;83dbzb4h=rr3t_zNCLM" TargetMode="External"/><Relationship Id="rId1971" Type="http://schemas.openxmlformats.org/officeDocument/2006/relationships/hyperlink" Target="https://www.facebook.com/GCBA/posts/pfbid024E73awCVhiQrQKaLTpJhPgLnsy9nahcRRpUuZQFjWPWPjfEGoSmZCvcRp75tDHfLl" TargetMode="External"/><Relationship Id="rId1961" Type="http://schemas.openxmlformats.org/officeDocument/2006/relationships/hyperlink" Target="https://www.instagram.com/p/DZNNxE-DBNw/" TargetMode="External"/><Relationship Id="rId1962" Type="http://schemas.openxmlformats.org/officeDocument/2006/relationships/hyperlink" Target="https://a2g9b4.emailsp.com/f/rnl.aspx/?fei=1wqvoxxy.9ek=vyad8=t3rzsy&amp;f2::=4ibeh..e--:5d6.451&amp;x=pp&amp;r1.&amp;x=pv&amp;49-6&amp;aax00l=rvnsyNCLM" TargetMode="External"/><Relationship Id="rId1963" Type="http://schemas.openxmlformats.org/officeDocument/2006/relationships/hyperlink" Target="https://www.facebook.com/GCBA/posts/pfbid02ARWpxgPh8MbcMjL4p1ziWEphpQgYE7tNb1YyS4XDt1wgTXixtYcSd5PZeo6EVSUml" TargetMode="External"/><Relationship Id="rId2810" Type="http://schemas.openxmlformats.org/officeDocument/2006/relationships/hyperlink" Target="https://e5c9a.mailupclient.com/f/rnl.aspx/?jhe=vwurvxsx/&amp;x=pv&amp;bdi=tzfd&amp;=su_wv/7f1-a=5k9hibg&amp;x=pv&amp;9a&amp;-c4&amp;501&amp;x=pp&amp;u_9f1-a2&amp;.b/&amp;:d=rtqztxNCLM" TargetMode="External"/><Relationship Id="rId1964" Type="http://schemas.openxmlformats.org/officeDocument/2006/relationships/hyperlink" Target="https://a2g9b4.emailsp.com/f/rnl.aspx/?fei=1wqvoxxy.9ek=vyad8=t3rzoy&amp;f2::=4ibeh..e--:5d6.451&amp;x=pp&amp;r1.&amp;x=pv&amp;49-6&amp;aax00l=rvnpzNCLM" TargetMode="External"/><Relationship Id="rId2811" Type="http://schemas.openxmlformats.org/officeDocument/2006/relationships/hyperlink" Target="https://a2g9b4.emailsp.com/f/rnl.aspx/?fei=2orws1vy.9ek=vyad8=t3usuy&amp;f2::=7chafagb&amp;x=pp&amp;yx0-2.e16.&amp;x=pv&amp;2b5g=qu_woNCLM" TargetMode="External"/><Relationship Id="rId1965" Type="http://schemas.openxmlformats.org/officeDocument/2006/relationships/hyperlink" Target="https://www.facebook.com/GCBA/posts/pfbid02ARWpxgPh8MbcMjL4p1ziWEphpQgYE7tNb1YyS4XDt1wgTXixtYcSd5PZeo6EVSUml" TargetMode="External"/><Relationship Id="rId2812" Type="http://schemas.openxmlformats.org/officeDocument/2006/relationships/hyperlink" Target="https://e5c9a.mailupclient.com/f/rnl.aspx/?jhe=vwvwwvrv/&amp;x=pv&amp;bdi=tzfd&amp;=suzvw/7f1-a=8e.dgcn&amp;&amp;x=pp&amp;u_9f1-a2&amp;.b/&amp;:d=rtqzqwNCLM" TargetMode="External"/><Relationship Id="rId1966" Type="http://schemas.openxmlformats.org/officeDocument/2006/relationships/hyperlink" Target="https://a2g9b4.emailsp.com/f/rnl.aspx/?fei=2orws1vy.9ek=vyad8=t3qyvy&amp;f2::=7chafagb&amp;x=pp&amp;yx0-2.e16.&amp;x=pv&amp;2b5g=qtuvoNCLM" TargetMode="External"/><Relationship Id="rId2813" Type="http://schemas.openxmlformats.org/officeDocument/2006/relationships/hyperlink" Target="https://a2g9b4.emailsp.com/f/rnl.aspx/?fei=1vvoo1vy.9ek=vyad8=t3uqvy&amp;f2::=-l98i9di-10337&amp;x=pp&amp;yx0-2.e16.&amp;x=pv&amp;2b5g=qu_vpNCLM" TargetMode="External"/><Relationship Id="rId1967" Type="http://schemas.openxmlformats.org/officeDocument/2006/relationships/hyperlink" Target="https://fb.me/adspreview/facebook/1Tz9GO0nHrINRCx" TargetMode="External"/><Relationship Id="rId2814" Type="http://schemas.openxmlformats.org/officeDocument/2006/relationships/hyperlink" Target="https://a2g9b4.emailsp.com/f/rnl.aspx/?fei=1vvoo1vy.9ek=vyad8=t3uquy&amp;f2::=-l98i9di-10337&amp;x=pp&amp;yx0-2.e16.&amp;x=pv&amp;2b5g=qu_wwNCLM" TargetMode="External"/><Relationship Id="rId1968" Type="http://schemas.openxmlformats.org/officeDocument/2006/relationships/hyperlink" Target="https://e5c9a.mailupclient.com/f/rnl.aspx/?jhe=vwvwwvrv/&amp;x=pv&amp;bdi=tzfd&amp;=suwou/7f1-a=8e.dgcn&amp;&amp;x=pp&amp;u_9f1-a2&amp;.b/&amp;:d=rty/nwNCLM" TargetMode="External"/><Relationship Id="rId2815" Type="http://schemas.openxmlformats.org/officeDocument/2006/relationships/hyperlink" Target="https://e5c9a.mailupclient.com/f/rnl.aspx/?jhe=vwszuxsy/&amp;x=pv&amp;bdi=tzfd&amp;=suzvx/7f1-a=l925n3r/&amp;749&amp;x=pp&amp;q_&amp;.99a45h-/-6l=ntstxvNCLM" TargetMode="External"/><Relationship Id="rId1969" Type="http://schemas.openxmlformats.org/officeDocument/2006/relationships/hyperlink" Target="https://www.facebook.com/GCBA/posts/pfbid02ZZNyUrpY1B4MgUutqorhDq8cCURfSLLjs4WQV7Jf9V5BvNoViXF6BneUAHD7zymql" TargetMode="External"/><Relationship Id="rId2816" Type="http://schemas.openxmlformats.org/officeDocument/2006/relationships/hyperlink" Target="https://e5c9a.mailupclient.com/f/rnl.aspx/?jhe=1r_yq2o/a&amp;le=t/.l7=swu3w/9.99a=59ndi-a&amp;9g-7e:-49&amp;25&amp;x=pp&amp;uy.-5-&amp;x=pv&amp;83dbzb4h=rrwrvvNCLM" TargetMode="External"/><Relationship Id="rId2817" Type="http://schemas.openxmlformats.org/officeDocument/2006/relationships/hyperlink" Target="https://a2g9b4.emailsp.com/f/rnl.aspx/?fei=1uwuq_vy.9ek=vyad8=t3utsy&amp;f2::=2-neh9.9bd:5-cb10337&amp;x=pp&amp;yx0-2.e16.&amp;x=pv&amp;2b5g=qu_ytNCLM" TargetMode="External"/><Relationship Id="rId2818" Type="http://schemas.openxmlformats.org/officeDocument/2006/relationships/hyperlink" Target="https://a2g9b4.emailsp.com/f/rnl.aspx/?fei=1wqvoxxy.9ek=vyad8=t3utoy&amp;f2::=4ibeh..e--:5d6.451&amp;x=pp&amp;r1.&amp;x=pv&amp;49-6&amp;aax00l=rwuqyNCLM" TargetMode="External"/><Relationship Id="rId2819" Type="http://schemas.openxmlformats.org/officeDocument/2006/relationships/hyperlink" Target="https://a2g9b4.emailsp.com/f/rnl.aspx/?fei=1wqvoxxy.9ek=vyad8=t3uuny&amp;f2::=4ibeh..e--:5d6.451&amp;x=pp&amp;r1.&amp;x=pv&amp;49-6&amp;aax00l=rwuv1NCLM" TargetMode="External"/><Relationship Id="rId1960" Type="http://schemas.openxmlformats.org/officeDocument/2006/relationships/hyperlink" Target="https://e5c9a.mailupclient.com/f/rnl.aspx/?jhe=1r_yq2o/a&amp;le=t/.l7=swq3p/9.99a=59ndi-a&amp;9g-7e:-49&amp;25&amp;x=pp&amp;uy.-5-&amp;x=pv&amp;83dbzb4h=rr3srvNCLM" TargetMode="External"/><Relationship Id="rId1510" Type="http://schemas.openxmlformats.org/officeDocument/2006/relationships/hyperlink" Target="https://e5c9a.mailupclient.com/f/rnl.aspx/?jhe=1r_yq2o/a&amp;le=t/.l7=swy_r/9.99a=59ndi-a&amp;9g-7e:-49&amp;25&amp;x=pp&amp;uy.-5-&amp;x=pv&amp;83dbzb4h=rq2vwvNCLM" TargetMode="External"/><Relationship Id="rId1994" Type="http://schemas.openxmlformats.org/officeDocument/2006/relationships/hyperlink" Target="http://buenosaires.musvc2.net/e/r?q=Py%3dC8PzN_6wcu_G7_2vgv_BA_6wcu_FBkWuelY.sIkDzOz.83I_2vgv_BAt_Naxd_XpM2H.kN4T_2vgv_BA_6wcu_GBp0w_Naxd_YnVAM6JBT9.dsG_2vgv_C90Uk9L_Naxd_YnOGN0IC_Naxd_XFAF_Naxd_Yk_MeyZ_Xo_Naxd_YnYw8oC..s--_Naxd_YkZrb.DZE_Naxd_XFS_6wcu_G0zK_6wcu_Fb2V._6wcu_Fb8_MeyZ_XrL6_MeyZ_WJZI-a_6wcu_Fbk6BfJG_6wcu_G02Q2L_XhZs%26m%3dVFcIWH%260%3dwP7RmW.7k6o2A4%26D7%3dZFVFd%26v%3dV%262%3dWJYNW%26y%3dcMWIVIY%264%3dZEeDaEcHZ&amp;mupckp=mupAtu4m8OiX0wt" TargetMode="External"/><Relationship Id="rId2841" Type="http://schemas.openxmlformats.org/officeDocument/2006/relationships/hyperlink" Target="https://a2g9b4.emailsp.com/f/rnl.aspx/?fei=2orws1vy.9ek=vyad8=t3uuvy&amp;f2::=7chafagb&amp;x=pp&amp;yx0-2.e16.&amp;x=pv&amp;2b5g=qu/vwNCLM" TargetMode="External"/><Relationship Id="rId1511" Type="http://schemas.openxmlformats.org/officeDocument/2006/relationships/hyperlink" Target="https://www.facebook.com/GCBA/posts/pfbid02mkiG9nFm5G63BVhZ6shaxyJDi3PhXf8wDbRbxigJ6yVPAknPZnidDSzLGXnRj91Dl" TargetMode="External"/><Relationship Id="rId1995" Type="http://schemas.openxmlformats.org/officeDocument/2006/relationships/hyperlink" Target="https://www.facebook.com/reel/2200297114093874/" TargetMode="External"/><Relationship Id="rId2842" Type="http://schemas.openxmlformats.org/officeDocument/2006/relationships/hyperlink" Target="https://a2g9b4.emailsp.com/f/rnl.aspx/?fei=2orws1vy.9ek=vyad8=t3uvpy&amp;f2::=7chafagb&amp;x=pp&amp;yx0-2.e16.&amp;x=pv&amp;2b5g=qu/wtNCLM" TargetMode="External"/><Relationship Id="rId1512" Type="http://schemas.openxmlformats.org/officeDocument/2006/relationships/hyperlink" Target="https://e5c9a.mailupclient.com/f/rnl.aspx/?jhe=1r_yq2o/a&amp;le=t/.l7=swyzo/9.99a=59ndi-a&amp;9g-7e:-49&amp;25&amp;x=pp&amp;uy.-5-&amp;x=pv&amp;83dbzb4h=rq2uuwNCLM" TargetMode="External"/><Relationship Id="rId1996" Type="http://schemas.openxmlformats.org/officeDocument/2006/relationships/hyperlink" Target="https://a2g9b4.emailsp.com/f/rnl.aspx/?fei=1wqvoxxy.9ek=vyad8=t3rrty&amp;f2::=4ibeh..e--:5d6.451&amp;x=pp&amp;r1.&amp;x=pv&amp;49-6&amp;aax00l=rvot1NCLM" TargetMode="External"/><Relationship Id="rId2843" Type="http://schemas.openxmlformats.org/officeDocument/2006/relationships/hyperlink" Target="https://e5c9a.mailupclient.com/f/rnl.aspx/?jhe=vwurvxsx/&amp;x=pv&amp;bdi=tzfd&amp;=su_or/7f1-a=5k9hibg&amp;x=pv&amp;9a&amp;-c4&amp;501&amp;x=pp&amp;u_9f1-a2&amp;.b/&amp;:d=rtq_uzNCLM" TargetMode="External"/><Relationship Id="rId1513" Type="http://schemas.openxmlformats.org/officeDocument/2006/relationships/hyperlink" Target="https://www.facebook.com/reel/26725148367140331" TargetMode="External"/><Relationship Id="rId1997" Type="http://schemas.openxmlformats.org/officeDocument/2006/relationships/hyperlink" Target="https://www.facebook.com/baparticipacion/posts/pfbid02GfDeov5FtT8tkhx573Mwt2gxPrXwq7d6bzrWxUci54vGS89V8kY6ptSF391Q2sWTl" TargetMode="External"/><Relationship Id="rId2844" Type="http://schemas.openxmlformats.org/officeDocument/2006/relationships/hyperlink" Target="https://e5c9a.mailupclient.com/f/rnl.aspx/?jhe=vwurvxsx/&amp;x=pv&amp;bdi=tzfd&amp;=su_p_/7f1-a=5k9hibg&amp;x=pv&amp;9a&amp;-c4&amp;501&amp;x=pp&amp;u_9f1-a2&amp;.b/&amp;:d=rtq_vvNCLM" TargetMode="External"/><Relationship Id="rId1514" Type="http://schemas.openxmlformats.org/officeDocument/2006/relationships/hyperlink" Target="https://e5c9a.mailupclient.com/f/rnl.aspx/?jhe=1r_yq2o/a&amp;le=t/.l7=swy/n/9.99a=59ndi-a&amp;9g-7e:-49&amp;25&amp;x=pp&amp;uy.-5-&amp;x=pv&amp;83dbzb4h=rq2vvsNCLM" TargetMode="External"/><Relationship Id="rId1998" Type="http://schemas.openxmlformats.org/officeDocument/2006/relationships/hyperlink" Target="https://a2g9b4.emailsp.com/f/rnl.aspx/?fei=1wqvoxxy.9ek=vyad8=t3rrsy&amp;f2::=4ibeh..e--:5d6.451&amp;x=pp&amp;r1.&amp;x=pv&amp;49-6&amp;aax00l=rvosyNCLM" TargetMode="External"/><Relationship Id="rId2845" Type="http://schemas.openxmlformats.org/officeDocument/2006/relationships/hyperlink" Target="https://e5c9a.mailupclient.com/f/rnl.aspx/?jhe=vwurvxsx/&amp;x=pv&amp;bdi=tzfd&amp;=su_oy/7f1-a=5k9hibg&amp;x=pv&amp;9a&amp;-c4&amp;501&amp;x=pp&amp;u_9f1-a2&amp;.b/&amp;:d=rtq_vrNCLM" TargetMode="External"/><Relationship Id="rId1515" Type="http://schemas.openxmlformats.org/officeDocument/2006/relationships/hyperlink" Target="https://www.facebook.com/reel/990960590089250" TargetMode="External"/><Relationship Id="rId1999" Type="http://schemas.openxmlformats.org/officeDocument/2006/relationships/hyperlink" Target="https://www.facebook.com/reel/1966362320909374/" TargetMode="External"/><Relationship Id="rId2846" Type="http://schemas.openxmlformats.org/officeDocument/2006/relationships/hyperlink" Target="https://e5c9a.mailupclient.com/f/rnl.aspx/?jhe=vwurvxsx/&amp;x=pv&amp;bdi=tzfd&amp;=su_ot/7f1-a=5k9hibg&amp;x=pv&amp;9a&amp;-c4&amp;501&amp;x=pp&amp;u_9f1-a2&amp;.b/&amp;:d=rtq/wsNCLM" TargetMode="External"/><Relationship Id="rId1516" Type="http://schemas.openxmlformats.org/officeDocument/2006/relationships/hyperlink" Target="https://e5c9a.mailupclient.com/f/rnl.aspx/?jhe=vwurvxsx/&amp;x=pv&amp;bdi=tzfd&amp;=su3qu/7f1-a=5k9hibg&amp;x=pv&amp;9a&amp;-c4&amp;501&amp;x=pp&amp;u_9f1-a2&amp;.b/&amp;:d=rsx1orNCLM" TargetMode="External"/><Relationship Id="rId2847" Type="http://schemas.openxmlformats.org/officeDocument/2006/relationships/hyperlink" Target="https://e5c9a.mailupclient.com/f/rnl.aspx/?jhe=vwszuxsy/&amp;x=pv&amp;bdi=tzfd&amp;=su_py/7f1-a=l925n3r/&amp;749&amp;x=pp&amp;q_&amp;.99a45h-/-6l=ntsvvrNCLM" TargetMode="External"/><Relationship Id="rId1517" Type="http://schemas.openxmlformats.org/officeDocument/2006/relationships/hyperlink" Target="https://www.facebook.com/GCBA/posts/pfbid0nxpqwt48gQzqGojZHyoaeCGgfTLL6Z4PxX3WqgSxw528yANSP8gnKavGCChXFpYBl" TargetMode="External"/><Relationship Id="rId2848" Type="http://schemas.openxmlformats.org/officeDocument/2006/relationships/hyperlink" Target="https://e5c9a.mailupclient.com/f/rnl.aspx/?jhe=vwszuxsy/&amp;x=pv&amp;bdi=tzfd&amp;=suzvx/7f1-a=l925n3r/&amp;749&amp;x=pp&amp;q_&amp;.99a45h-/-6l=ntstxvNCLM" TargetMode="External"/><Relationship Id="rId1518" Type="http://schemas.openxmlformats.org/officeDocument/2006/relationships/hyperlink" Target="https://a2g9b4.emailsp.com/f/rnl.aspx/?fei=1wqvoxxy.9ek=vyad8=t3pyny&amp;f2::=4ibeh..e--:5d6.451&amp;x=pp&amp;r1.&amp;x=pv&amp;49-6&amp;aax00l=rusx/NCLM" TargetMode="External"/><Relationship Id="rId2849" Type="http://schemas.openxmlformats.org/officeDocument/2006/relationships/hyperlink" Target="https://e5c9a.mailupclient.com/f/rnl.aspx/?jhe=vwszuxsy/&amp;x=pv&amp;bdi=tzfd&amp;=su_pt/7f1-a=l925n3r/&amp;749&amp;x=pp&amp;q_&amp;.99a45h-/-6l=ntsu2wNCLM" TargetMode="External"/><Relationship Id="rId1519" Type="http://schemas.openxmlformats.org/officeDocument/2006/relationships/hyperlink" Target="https://www.facebook.com/GCBA/posts/pfbid05AMSQrvjixn7RJ56zP2SUcvbfsiZL479ZfZHea63dWwcwa6cdkQH3xVs42yGbdW2l" TargetMode="External"/><Relationship Id="rId1990" Type="http://schemas.openxmlformats.org/officeDocument/2006/relationships/hyperlink" Target="https://e5c9a.mailupclient.com/f/rnl.aspx/?jhe=1r_yq2o/a&amp;le=t/.l7=swqwv/9.99a=59ndi-a&amp;9g-7e:-49&amp;25&amp;x=pp&amp;uy.-5-&amp;x=pv&amp;83dbzb4h=rr3ttrNCLM" TargetMode="External"/><Relationship Id="rId1991" Type="http://schemas.openxmlformats.org/officeDocument/2006/relationships/hyperlink" Target="https://www.facebook.com/GCBA/posts/pfbid0aBxKSdHUmjtuwXeFb8ASPceQu2KgZjKW3Br8u72xk58sWkLAexGHWAqE8TGKmoTLl" TargetMode="External"/><Relationship Id="rId1992" Type="http://schemas.openxmlformats.org/officeDocument/2006/relationships/hyperlink" Target="https://a2g9b4.emailsp.com/f/rnl.aspx/?fei=1uwuq_vy.9ek=vyad8=t3rsoy&amp;f2::=2-neh9.9bd:5-cb10337&amp;x=pp&amp;yx0-2.e16.&amp;x=pv&amp;2b5g=qtu2pNCLM" TargetMode="External"/><Relationship Id="rId1993" Type="http://schemas.openxmlformats.org/officeDocument/2006/relationships/hyperlink" Target="http://facebook.com/reel/1368798341811054/" TargetMode="External"/><Relationship Id="rId2840" Type="http://schemas.openxmlformats.org/officeDocument/2006/relationships/hyperlink" Target="https://a2g9b4.emailsp.com/f/rnl.aspx/?fei=2orws1vy.9ek=vyad8=t3uusy&amp;f2::=7chafagb&amp;x=pp&amp;yx0-2.e16.&amp;x=pv&amp;2b5g=qu/3qNCLM" TargetMode="External"/><Relationship Id="rId1983" Type="http://schemas.openxmlformats.org/officeDocument/2006/relationships/hyperlink" Target="https://www.facebook.com/baparticipacion/posts/pfbid02NCHVWQiwdKoPJYTiGSe1oLfSPKrunnHx6GMdNT6gwfAT4rYFNUbNCvbLDTUbaLM4l" TargetMode="External"/><Relationship Id="rId2830" Type="http://schemas.openxmlformats.org/officeDocument/2006/relationships/hyperlink" Target="https://e5c9a.mailupclient.com/f/rnl.aspx/?jhe=1r_yq2o/a&amp;le=t/.l7=swuvo/9.99a=59ndi-a&amp;9g-7e:-49&amp;25&amp;x=pp&amp;uy.-5-&amp;x=pv&amp;83dbzb4h=rrwstwNCLM" TargetMode="External"/><Relationship Id="rId1500" Type="http://schemas.openxmlformats.org/officeDocument/2006/relationships/hyperlink" Target="https://a2g9b4.emailsp.com/f/rnl.aspx/?fei=1vvoo_2y.9ek=vyad8=t3pyuy&amp;f2::=k702m1k6.451&amp;x=pp&amp;r1.&amp;x=pv&amp;49-6&amp;aax00l=russuNCLM" TargetMode="External"/><Relationship Id="rId1984" Type="http://schemas.openxmlformats.org/officeDocument/2006/relationships/hyperlink" Target="https://a2g9b4.emailsp.com/f/rnl.aspx/?fei=1wqvoxxy.9ek=vyad8=t3rzry&amp;f2::=4ibeh..e--:5d6.451&amp;x=pp&amp;r1.&amp;x=pv&amp;49-6&amp;aax00l=rvnsuNCLM" TargetMode="External"/><Relationship Id="rId2831" Type="http://schemas.openxmlformats.org/officeDocument/2006/relationships/hyperlink" Target="https://e5c9a.mailupclient.com/f/rnl.aspx/?jhe=1r_yq2o/a&amp;le=t/.l7=swuvp/9.99a=59ndi-a&amp;9g-7e:-49&amp;25&amp;x=pp&amp;uy.-5-&amp;x=pv&amp;83dbzb4h=rrwstxNCLM" TargetMode="External"/><Relationship Id="rId1501" Type="http://schemas.openxmlformats.org/officeDocument/2006/relationships/hyperlink" Target="https://www.facebook.com/baparticipacion/posts/pfbid02kngpmp5NpkrpsfoDNX5m7KFxEXGgfPkrB5wTh1aNycn479e4nyUAJdzsKqFd34tfl" TargetMode="External"/><Relationship Id="rId1985" Type="http://schemas.openxmlformats.org/officeDocument/2006/relationships/hyperlink" Target="https://www.facebook.com/baparticipacion/posts/pfbid02MY4W6EviriP8wbDK8NuGjG77cVQEUJCufJ5ycDYUdAqkQxqEn1twUdaNGSyYsurKl" TargetMode="External"/><Relationship Id="rId2832" Type="http://schemas.openxmlformats.org/officeDocument/2006/relationships/hyperlink" Target="https://a2g9b4.emailsp.com/f/rnl.aspx/?fei=1wqvoxxy.9ek=vyad8=t3utpy&amp;f2::=4ibeh..e--:5d6.451&amp;x=pp&amp;r1.&amp;x=pv&amp;49-6&amp;aax00l=rwuqzNCLM" TargetMode="External"/><Relationship Id="rId1502" Type="http://schemas.openxmlformats.org/officeDocument/2006/relationships/hyperlink" Target="https://e5c9a.mailupclient.com/f/rnl.aspx/?jhe=vwszuxsy/&amp;x=pv&amp;bdi=tzfd&amp;=su3st/7f1-a=l925n3r/&amp;749&amp;x=pp&amp;q_&amp;.99a45h-/-6l=nszxwuNCLM" TargetMode="External"/><Relationship Id="rId1986" Type="http://schemas.openxmlformats.org/officeDocument/2006/relationships/hyperlink" Target="https://e5c9a.mailupclient.com/f/rnl.aspx/?jhe=vwurvxsx/&amp;x=pv&amp;bdi=tzfd&amp;=suwox/7f1-a=5k9hibg&amp;x=pv&amp;9a&amp;-c4&amp;501&amp;x=pp&amp;u_9f1-a2&amp;.b/&amp;:d=rty/rwNCLM" TargetMode="External"/><Relationship Id="rId2833" Type="http://schemas.openxmlformats.org/officeDocument/2006/relationships/hyperlink" Target="https://e5c9a.mailupclient.com/f/rnl.aspx/?jhe=vwurvxsx/&amp;x=pv&amp;bdi=tzfd&amp;=su_nz/7f1-a=5k9hibg&amp;x=pv&amp;9a&amp;-c4&amp;501&amp;x=pp&amp;u_9f1-a2&amp;.b/&amp;:d=rtq_rwNCLM" TargetMode="External"/><Relationship Id="rId1503" Type="http://schemas.openxmlformats.org/officeDocument/2006/relationships/hyperlink" Target="https://www.facebook.com/baparticipacion/posts/pfbid02kngpmp5NpkrpsfoDNX5m7KFxEXGgfPkrB5wTh1aNycn479e4nyUAJdzsKqFd34tfl" TargetMode="External"/><Relationship Id="rId1987" Type="http://schemas.openxmlformats.org/officeDocument/2006/relationships/hyperlink" Target="https://www.facebook.com/reel/3600929573393750" TargetMode="External"/><Relationship Id="rId2834" Type="http://schemas.openxmlformats.org/officeDocument/2006/relationships/hyperlink" Target="https://e5c9a.mailupclient.com/f/rnl.aspx/?jhe=vwurvxsx/&amp;x=pv&amp;bdi=tzfd&amp;=su_ow/7f1-a=5k9hibg&amp;x=pv&amp;9a&amp;-c4&amp;501&amp;x=pp&amp;u_9f1-a2&amp;.b/&amp;:d=rtq_suNCLM" TargetMode="External"/><Relationship Id="rId1504" Type="http://schemas.openxmlformats.org/officeDocument/2006/relationships/hyperlink" Target="https://e5c9a.mailupclient.com/f/rnl.aspx/?jhe=1r_yq2o/a&amp;le=t/.l7=swy_s/9.99a=59ndi-a&amp;9g-7e:-49&amp;25&amp;x=pp&amp;uy.-5-&amp;x=pv&amp;83dbzb4h=rq2vwwNCLM" TargetMode="External"/><Relationship Id="rId1988" Type="http://schemas.openxmlformats.org/officeDocument/2006/relationships/hyperlink" Target="https://e5c9a.mailupclient.com/f/rnl.aspx/?jhe=1r_yq2o/a&amp;le=t/.l7=swqwu/9.99a=59ndi-a&amp;9g-7e:-49&amp;25&amp;x=pp&amp;uy.-5-&amp;x=pv&amp;83dbzb4h=rr3tt_NCLM" TargetMode="External"/><Relationship Id="rId2835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1505" Type="http://schemas.openxmlformats.org/officeDocument/2006/relationships/hyperlink" Target="https://fb.me/adspreview/facebook/2pSx4DDCV6w5IsE" TargetMode="External"/><Relationship Id="rId1989" Type="http://schemas.openxmlformats.org/officeDocument/2006/relationships/hyperlink" Target="https://www.facebook.com/GCBA/posts/pfbid0aBxKSdHUmjtuwXeFb8ASPceQu2KgZjKW3Br8u72xk58sWkLAexGHWAqE8TGKmoTLl" TargetMode="External"/><Relationship Id="rId2836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1506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837" Type="http://schemas.openxmlformats.org/officeDocument/2006/relationships/hyperlink" Target="https://a2g9b4.emailsp.com/f/rnl.aspx/?fei=1wqvoxxy.9ek=vyad8=t3uuty&amp;f2::=4ibeh..e--:5d6.451&amp;x=pp&amp;r1.&amp;x=pv&amp;49-6&amp;aax00l=rwvxxNCLM" TargetMode="External"/><Relationship Id="rId1507" Type="http://schemas.openxmlformats.org/officeDocument/2006/relationships/hyperlink" Target="https://www.facebook.com/reel/978161711529047" TargetMode="External"/><Relationship Id="rId2838" Type="http://schemas.openxmlformats.org/officeDocument/2006/relationships/hyperlink" Target="https://a2g9b4.emailsp.com/f/rnl.aspx/?fei=2orws1vy.9ek=vyad8=t3utry&amp;f2::=7chafagb&amp;x=pp&amp;yx0-2.e16.&amp;x=pv&amp;2b5g=qu/3tNCLM" TargetMode="External"/><Relationship Id="rId1508" Type="http://schemas.openxmlformats.org/officeDocument/2006/relationships/hyperlink" Target="https://e5c9a.mailupclient.com/f/rnl.aspx/?jhe=1r_yq2o/a&amp;le=t/.l7=swy/p/9.99a=59ndi-a&amp;9g-7e:-49&amp;25&amp;x=pp&amp;uy.-5-&amp;x=pv&amp;83dbzb4h=rq2vvzNCLM" TargetMode="External"/><Relationship Id="rId2839" Type="http://schemas.openxmlformats.org/officeDocument/2006/relationships/hyperlink" Target="https://e5c9a.mailupclient.com/f/rnl.aspx/?jhe=vwvwwvrv/&amp;x=pv&amp;bdi=tzfd&amp;=su_pr/7f1-a=8e.dgcn&amp;&amp;x=pp&amp;u_9f1-a2&amp;.b/&amp;:d=rtq/nrNCLM" TargetMode="External"/><Relationship Id="rId1509" Type="http://schemas.openxmlformats.org/officeDocument/2006/relationships/hyperlink" Target="https://www.facebook.com/GCBA/posts/pfbid02Dt7VRDreZbsTf7eNYFTbkeXDT7uwSgbYZHBHeAG9GFDMQ2Kkyp72KfufKrX8RXXnl" TargetMode="External"/><Relationship Id="rId1980" Type="http://schemas.openxmlformats.org/officeDocument/2006/relationships/hyperlink" Target="https://a2g9b4.emailsp.com/f/rnl.aspx/?fei=1wqvoxxy.9ek=vyad8=t3rrry&amp;f2::=4ibeh..e--:5d6.451&amp;x=pp&amp;r1.&amp;x=pv&amp;49-6&amp;aax00l=rvorzNCLM" TargetMode="External"/><Relationship Id="rId1981" Type="http://schemas.openxmlformats.org/officeDocument/2006/relationships/hyperlink" Target="https://www.facebook.com/GCBA/posts/pfbid0d9XT1CAvSPLyt1aN1NNjVkP91s34wkPBECWCb8oPxCM6nzXnWfoskFD65xDwnRRsl" TargetMode="External"/><Relationship Id="rId1982" Type="http://schemas.openxmlformats.org/officeDocument/2006/relationships/hyperlink" Target="https://e5c9a.mailupclient.com/f/rnl.aspx/?jhe=vwurvxsx/&amp;x=pv&amp;bdi=tzfd&amp;=suwp_/7f1-a=5k9hibg&amp;x=pv&amp;9a&amp;-c4&amp;501&amp;x=pp&amp;u_9f1-a2&amp;.b/&amp;:d=rty/ryNCLM" TargetMode="External"/><Relationship Id="rId1930" Type="http://schemas.openxmlformats.org/officeDocument/2006/relationships/hyperlink" Target="https://fb.me/adspreview/facebook/26hl3ef2PRp2J1x" TargetMode="External"/><Relationship Id="rId1931" Type="http://schemas.openxmlformats.org/officeDocument/2006/relationships/hyperlink" Target="https://e5c9a.mailupclient.com/f/rnl.aspx/?jhe=vwurvxsx/&amp;x=pv&amp;bdi=tzfd&amp;=suvvz/7f1-a=5k9hibg&amp;x=pv&amp;9a&amp;-c4&amp;501&amp;x=pp&amp;u_9f1-a2&amp;.b/&amp;:d=rty_stNCLM" TargetMode="External"/><Relationship Id="rId1932" Type="http://schemas.openxmlformats.org/officeDocument/2006/relationships/hyperlink" Target="https://www.facebook.com/reel/1007901788387049" TargetMode="External"/><Relationship Id="rId1933" Type="http://schemas.openxmlformats.org/officeDocument/2006/relationships/hyperlink" Target="https://e5c9a.mailupclient.com/f/rnl.aspx/?jhe=vwurvxsx/&amp;x=pv&amp;bdi=tzfd&amp;=suvvz/7f1-a=5k9hibg&amp;x=pv&amp;9a&amp;-c4&amp;501&amp;x=pp&amp;u_9f1-a2&amp;.b/&amp;:d=rty_stNCLM" TargetMode="External"/><Relationship Id="rId1934" Type="http://schemas.openxmlformats.org/officeDocument/2006/relationships/hyperlink" Target="https://www.facebook.com/lindaenvivo/posts/pfbid0WbNiU7em6L5KUdaebD122aT5xjmK2yfL1LygibKDJeYrhx8KUeorGiHzg252ZdW8l" TargetMode="External"/><Relationship Id="rId1935" Type="http://schemas.openxmlformats.org/officeDocument/2006/relationships/hyperlink" Target="https://e5c9a.mailupclient.com/f/rnl.aspx/?jhe=vwvwwvrv/&amp;x=pv&amp;bdi=tzfd&amp;=suwnt/7f1-a=8e.dgcn&amp;&amp;x=pp&amp;u_9f1-a2&amp;.b/&amp;:d=rty_utNCLM" TargetMode="External"/><Relationship Id="rId1936" Type="http://schemas.openxmlformats.org/officeDocument/2006/relationships/hyperlink" Target="https://a2g9b4.emailsp.com/f/rnl.aspx/?fei=2orws1vy.9ek=vyad8=t3qywy&amp;f2::=7chafagb&amp;x=pp&amp;yx0-2.e16.&amp;x=pv&amp;2b5g=qtt/sNCLM" TargetMode="External"/><Relationship Id="rId1937" Type="http://schemas.openxmlformats.org/officeDocument/2006/relationships/hyperlink" Target="https://www.facebook.com/reel/2212657036254593" TargetMode="External"/><Relationship Id="rId1938" Type="http://schemas.openxmlformats.org/officeDocument/2006/relationships/hyperlink" Target="https://e5c9a.mailupclient.com/f/rnl.aspx/?jhe=vwurvxsx/&amp;x=pv&amp;bdi=tzfd&amp;=suvvs/7f1-a=5k9hibg&amp;x=pv&amp;9a&amp;-c4&amp;501&amp;x=pp&amp;u_9f1-a2&amp;.b/&amp;:d=rtyzqzNCLM" TargetMode="External"/><Relationship Id="rId1939" Type="http://schemas.openxmlformats.org/officeDocument/2006/relationships/hyperlink" Target="https://www.facebook.com/reel/1793775995332544" TargetMode="External"/><Relationship Id="rId1920" Type="http://schemas.openxmlformats.org/officeDocument/2006/relationships/hyperlink" Target="https://www.facebook.com/reel/1627276625017458" TargetMode="External"/><Relationship Id="rId1921" Type="http://schemas.openxmlformats.org/officeDocument/2006/relationships/hyperlink" Target="https://e5c9a.mailupclient.com/f/rnl.aspx/?jhe=1r_yq2o/a&amp;le=t/.l7=swqvv/9.99a=59ndi-a&amp;9g-7e:-49&amp;25&amp;x=pp&amp;uy.-5-&amp;x=pv&amp;83dbzb4h=rr3syuNCLM" TargetMode="External"/><Relationship Id="rId1922" Type="http://schemas.openxmlformats.org/officeDocument/2006/relationships/hyperlink" Target="https://www.facebook.com/reel/1627276625017458" TargetMode="External"/><Relationship Id="rId1923" Type="http://schemas.openxmlformats.org/officeDocument/2006/relationships/hyperlink" Target="https://e5c9a.mailupclient.com/f/rnl.aspx/?jhe=1r_yq2o/a&amp;le=t/.l7=swqww/9.99a=59ndi-a&amp;9g-7e:-49&amp;25&amp;x=pp&amp;uy.-5-&amp;x=pv&amp;83dbzb4h=rr3sywNCLM" TargetMode="External"/><Relationship Id="rId1924" Type="http://schemas.openxmlformats.org/officeDocument/2006/relationships/hyperlink" Target="https://www.facebook.com/reel/1659762081812931/" TargetMode="External"/><Relationship Id="rId1925" Type="http://schemas.openxmlformats.org/officeDocument/2006/relationships/hyperlink" Target="https://e5c9a.mailupclient.com/f/rnl.aspx/?jhe=1r_yq2o/a&amp;le=t/.l7=swqwn/9.99a=59ndi-a&amp;9g-7e:-49&amp;25&amp;x=pp&amp;uy.-5-&amp;x=pv&amp;83dbzb4h=rr3syxNCLM" TargetMode="External"/><Relationship Id="rId1926" Type="http://schemas.openxmlformats.org/officeDocument/2006/relationships/hyperlink" Target="https://www.facebook.com/reel/1368798341811054/" TargetMode="External"/><Relationship Id="rId1927" Type="http://schemas.openxmlformats.org/officeDocument/2006/relationships/hyperlink" Target="https://e5c9a.mailupclient.com/f/rnl.aspx/?jhe=1r_yq2o/a&amp;le=t/.l7=swqvu/9.99a=59ndi-a&amp;9g-7e:-49&amp;25&amp;x=pp&amp;uy.-5-&amp;x=pv&amp;83dbzb4h=rr3sxrNCLM" TargetMode="External"/><Relationship Id="rId1928" Type="http://schemas.openxmlformats.org/officeDocument/2006/relationships/hyperlink" Target="https://www.facebook.com/reel/1520879146383969/" TargetMode="External"/><Relationship Id="rId1929" Type="http://schemas.openxmlformats.org/officeDocument/2006/relationships/hyperlink" Target="https://e5c9a.mailupclient.com/f/rnl.aspx/?jhe=vwurvxsx/&amp;x=pv&amp;bdi=tzfd&amp;=suvur/7f1-a=5k9hibg&amp;x=pv&amp;9a&amp;-c4&amp;501&amp;x=pp&amp;u_9f1-a2&amp;.b/&amp;:d=rtyznrNCLM" TargetMode="External"/><Relationship Id="rId1950" Type="http://schemas.openxmlformats.org/officeDocument/2006/relationships/hyperlink" Target="https://e5c9a.mailupclient.com/f/rnl.aspx/?jhe=vwt_y1w_/&amp;x=pv&amp;bdi=tzfd&amp;=suvu_/7f1-a=&amp;x=pv&amp;n1&amp;j&amp;kc949&amp;25&amp;x=pp&amp;uy.-5-&amp;x=pv&amp;83dbzb4h=rr3t__NCLM" TargetMode="External"/><Relationship Id="rId1951" Type="http://schemas.openxmlformats.org/officeDocument/2006/relationships/hyperlink" Target="https://www.facebook.com/reel/1552031653196493" TargetMode="External"/><Relationship Id="rId1952" Type="http://schemas.openxmlformats.org/officeDocument/2006/relationships/hyperlink" Target="https://e5c9a.mailupclient.com/f/rnl.aspx/?jhe=vwt_y1w_/&amp;x=pv&amp;bdi=tzfd&amp;=suvvy/7f1-a=&amp;x=pv&amp;n1&amp;j&amp;kc949&amp;25&amp;x=pp&amp;uy.-5-&amp;x=pv&amp;83dbzb4h=rr3syvNCLM" TargetMode="External"/><Relationship Id="rId1953" Type="http://schemas.openxmlformats.org/officeDocument/2006/relationships/hyperlink" Target="http://facebook.com/reel/1023934959977410/" TargetMode="External"/><Relationship Id="rId2800" Type="http://schemas.openxmlformats.org/officeDocument/2006/relationships/hyperlink" Target="https://e5c9a.mailupclient.com/f/rnl.aspx/?jhe=vwt_y1w_/&amp;x=pv&amp;bdi=tzfd&amp;=suzus/7f1-a=&amp;x=pv&amp;n1&amp;j&amp;kc949&amp;25&amp;x=pp&amp;uy.-5-&amp;x=pv&amp;83dbzb4h=rrwrsrNCLM" TargetMode="External"/><Relationship Id="rId1954" Type="http://schemas.openxmlformats.org/officeDocument/2006/relationships/hyperlink" Target="https://a2g9b4.emailsp.com/f/rnl.aspx/?fei=1vvoo_2y.9ek=vyad8=t3qwry&amp;f2::=k702m1k6.451&amp;x=pp&amp;r1.&amp;x=pv&amp;49-6&amp;aax00l=rvnuuNCLM" TargetMode="External"/><Relationship Id="rId2801" Type="http://schemas.openxmlformats.org/officeDocument/2006/relationships/hyperlink" Target="https://e5c9a.mailupclient.com/f/rnl.aspx/?jhe=vwt_y1w_/&amp;x=pv&amp;bdi=tzfd&amp;=suzur/7f1-a=&amp;x=pv&amp;n1&amp;j&amp;kc949&amp;25&amp;x=pp&amp;uy.-5-&amp;x=pv&amp;83dbzb4h=rrwrssNCLM" TargetMode="External"/><Relationship Id="rId1955" Type="http://schemas.openxmlformats.org/officeDocument/2006/relationships/hyperlink" Target="https://www.facebook.com/baparticipacion/posts/pfbid04t14tUzTH3nATFWGt42FSJRpMsj6b9dieVEasDeuDKkB3v26n78QDqpUVz8cVrETl" TargetMode="External"/><Relationship Id="rId2802" Type="http://schemas.openxmlformats.org/officeDocument/2006/relationships/hyperlink" Target="https://a2g9b4.emailsp.com/f/rnl.aspx/?fei=1vvoo1vy.9ek=vyad8=t3uzuy&amp;f2::=-l98i9di-10337&amp;x=pp&amp;yx0-2.e16.&amp;x=pv&amp;2b5g=qu_3uNCLM" TargetMode="External"/><Relationship Id="rId1956" Type="http://schemas.openxmlformats.org/officeDocument/2006/relationships/hyperlink" Target="https://e5c9a.mailupclient.com/f/rnl.aspx/?jhe=vwurvxsx/&amp;x=pv&amp;bdi=tzfd&amp;=suwwy/7f1-a=5k9hibg&amp;x=pv&amp;9a&amp;-c4&amp;501&amp;x=pp&amp;u_9f1-a2&amp;.b/&amp;:d=rty_qsNCLM" TargetMode="External"/><Relationship Id="rId2803" Type="http://schemas.openxmlformats.org/officeDocument/2006/relationships/hyperlink" Target="https://a2g9b4.emailsp.com/f/rnl.aspx/?fei=1vvoo_2y.9ek=vyad8=t3usty&amp;f2::=k702m1k6.451&amp;x=pp&amp;r1.&amp;x=pv&amp;49-6&amp;aax00l=rwupvNCLM" TargetMode="External"/><Relationship Id="rId1957" Type="http://schemas.openxmlformats.org/officeDocument/2006/relationships/hyperlink" Target="http://facebook.com/reel/1634422507650526/" TargetMode="External"/><Relationship Id="rId2804" Type="http://schemas.openxmlformats.org/officeDocument/2006/relationships/hyperlink" Target="https://a2g9b4.emailsp.com/f/rnl.aspx/?fei=1vvoo_2y.9ek=vyad8=t3usry&amp;f2::=k702m1k6.451&amp;x=pp&amp;r1.&amp;x=pv&amp;49-6&amp;aax00l=rwupuNCLM" TargetMode="External"/><Relationship Id="rId1958" Type="http://schemas.openxmlformats.org/officeDocument/2006/relationships/hyperlink" Target="https://a2g9b4.emailsp.com/f/rnl.aspx/?fei=1wqvoxxy.9ek=vyad8=t3rqqy&amp;f2::=4ibeh..e--:5d6.451&amp;x=pp&amp;r1.&amp;x=pv&amp;49-6&amp;aax00l=rvnvwNCLM" TargetMode="External"/><Relationship Id="rId2805" Type="http://schemas.openxmlformats.org/officeDocument/2006/relationships/hyperlink" Target="https://e5c9a.mailupclient.com/f/rnl.aspx/?jhe=1r_yq2o/a&amp;le=t/.l7=swt2v/9.99a=59ndi-a&amp;9g-7e:-49&amp;25&amp;x=pp&amp;uy.-5-&amp;x=pv&amp;83dbzb4h=rrwru_NCLM" TargetMode="External"/><Relationship Id="rId1959" Type="http://schemas.openxmlformats.org/officeDocument/2006/relationships/hyperlink" Target="https://www.facebook.com/GCBA/posts/pfbid02NBCqry61rDc7ny2faGYE5aG134woXzwj9FJzpP1Sz2LokwQCrJaBKMFXMRJYrVZ1l" TargetMode="External"/><Relationship Id="rId2806" Type="http://schemas.openxmlformats.org/officeDocument/2006/relationships/hyperlink" Target="https://e5c9a.mailupclient.com/f/rnl.aspx/?jhe=1r_yq2o/a&amp;le=t/.l7=swu3o/9.99a=59ndi-a&amp;9g-7e:-49&amp;25&amp;x=pp&amp;uy.-5-&amp;x=pv&amp;83dbzb4h=rrwrvyNCLM" TargetMode="External"/><Relationship Id="rId2807" Type="http://schemas.openxmlformats.org/officeDocument/2006/relationships/hyperlink" Target="https://e5c9a.mailupclient.com/f/rnl.aspx/?jhe=1r_yq2o/a&amp;le=t/.l7=swu3p/9.99a=59ndi-a&amp;9g-7e:-49&amp;25&amp;x=pp&amp;uy.-5-&amp;x=pv&amp;83dbzb4h=rrwrvzNCLM" TargetMode="External"/><Relationship Id="rId2808" Type="http://schemas.openxmlformats.org/officeDocument/2006/relationships/hyperlink" Target="https://e5c9a.mailupclient.com/f/rnl.aspx/?jhe=vwurvxsx/&amp;x=pv&amp;bdi=tzfd&amp;=suzvy/7f1-a=5k9hibg&amp;x=pv&amp;9a&amp;-c4&amp;501&amp;x=pp&amp;u_9f1-a2&amp;.b/&amp;:d=rtqzpuNCLM" TargetMode="External"/><Relationship Id="rId2809" Type="http://schemas.openxmlformats.org/officeDocument/2006/relationships/hyperlink" Target="https://e5c9a.mailupclient.com/f/rnl.aspx/?jhe=vwurvxsx/&amp;x=pv&amp;bdi=tzfd&amp;=su_wu/7f1-a=5k9hibg&amp;x=pv&amp;9a&amp;-c4&amp;501&amp;x=pp&amp;u_9f1-a2&amp;.b/&amp;:d=rtqztuNCLM" TargetMode="External"/><Relationship Id="rId1940" Type="http://schemas.openxmlformats.org/officeDocument/2006/relationships/hyperlink" Target="https://a2g9b4.emailsp.com/f/rnl.aspx/?fei=1vvoo1vy.9ek=vyad8=t3qyny&amp;f2::=-l98i9di-10337&amp;x=pp&amp;yx0-2.e16.&amp;x=pv&amp;2b5g=qtt1oNCLM" TargetMode="External"/><Relationship Id="rId1941" Type="http://schemas.openxmlformats.org/officeDocument/2006/relationships/hyperlink" Target="https://www.facebook.com/reel/1026781946697269" TargetMode="External"/><Relationship Id="rId1942" Type="http://schemas.openxmlformats.org/officeDocument/2006/relationships/hyperlink" Target="https://e5c9a.mailupclient.com/f/rnl.aspx/?jhe=vwt_y1w_/&amp;x=pv&amp;bdi=tzfd&amp;=suvus/7f1-a=&amp;x=pv&amp;n1&amp;j&amp;kc949&amp;25&amp;x=pp&amp;uy.-5-&amp;x=pv&amp;83dbzb4h=rr3sx_NCLM" TargetMode="External"/><Relationship Id="rId1943" Type="http://schemas.openxmlformats.org/officeDocument/2006/relationships/hyperlink" Target="https://www.facebook.com/GCBA/posts/pfbid02S69HL7Rh16mEJr6jPS2GDu5yeREJSdMYDeJtCjgnjAJ9ye7imvJZemK4w8BrttQTl" TargetMode="External"/><Relationship Id="rId1944" Type="http://schemas.openxmlformats.org/officeDocument/2006/relationships/hyperlink" Target="https://e5c9a.mailupclient.com/f/rnl.aspx/?jhe=vwt_y1w_/&amp;x=pv&amp;bdi=tzfd&amp;=suwwz/7f1-a=&amp;x=pv&amp;n1&amp;j&amp;kc949&amp;25&amp;x=pp&amp;uy.-5-&amp;x=pv&amp;83dbzb4h=rr3szwNCLM" TargetMode="External"/><Relationship Id="rId1945" Type="http://schemas.openxmlformats.org/officeDocument/2006/relationships/hyperlink" Target="https://www.facebook.com/baparticipacion/posts/pfbid0ypt2Y4k6GB9rZzQSTHsh86ty9JfhykvTJJ58EnGB9kt16zTZsHwDSPPNaPdyC2ATl" TargetMode="External"/><Relationship Id="rId1946" Type="http://schemas.openxmlformats.org/officeDocument/2006/relationships/hyperlink" Target="https://e5c9a.mailupclient.com/f/rnl.aspx/?jhe=vwt_y1w_/&amp;x=pv&amp;bdi=tzfd&amp;=suwn_/7f1-a=&amp;x=pv&amp;n1&amp;j&amp;kc949&amp;25&amp;x=pp&amp;uy.-5-&amp;x=pv&amp;83dbzb4h=rr3szyNCLM" TargetMode="External"/><Relationship Id="rId1947" Type="http://schemas.openxmlformats.org/officeDocument/2006/relationships/hyperlink" Target="https://www.facebook.com/baparticipacion/posts/pfbid02Fs1VxfMNKgUaZcZqm7N8ZqmkKLCKHuXGcuaXVqBXbeUxzFEfxpRcHPTvcCuqCzDEl" TargetMode="External"/><Relationship Id="rId1948" Type="http://schemas.openxmlformats.org/officeDocument/2006/relationships/hyperlink" Target="https://e5c9a.mailupclient.com/f/rnl.aspx/?jhe=vwt_y1w_/&amp;x=pv&amp;bdi=tzfd&amp;=suwwx/7f1-a=&amp;x=pv&amp;n1&amp;j&amp;kc949&amp;25&amp;x=pp&amp;uy.-5-&amp;x=pv&amp;83dbzb4h=rr3szzNCLM" TargetMode="External"/><Relationship Id="rId1949" Type="http://schemas.openxmlformats.org/officeDocument/2006/relationships/hyperlink" Target="https://www.facebook.com/GCBA/posts/pfbid0hdLELzHkdcuJbiBQEA3U9vemZEsz7vRN24BzA6qMa4HjYsmRNkwfGfnyWamFKhpVl" TargetMode="External"/><Relationship Id="rId1576" Type="http://schemas.openxmlformats.org/officeDocument/2006/relationships/hyperlink" Target="https://www.facebook.com/reel/1531095018664874" TargetMode="External"/><Relationship Id="rId2423" Type="http://schemas.openxmlformats.org/officeDocument/2006/relationships/hyperlink" Target="https://e5c9a.mailupclient.com/f/rnl.aspx/?jhe=vwt_y1w_/&amp;x=pv&amp;bdi=tzfd&amp;=suxuz/7f1-a=&amp;x=pv&amp;n1&amp;j&amp;kc949&amp;25&amp;x=pp&amp;uy.-5-&amp;x=pv&amp;83dbzb4h=rrvrrxNCLM" TargetMode="External"/><Relationship Id="rId1577" Type="http://schemas.openxmlformats.org/officeDocument/2006/relationships/hyperlink" Target="https://a2g9b4.emailsp.com/f/rnl.aspx/?fei=1wqvoxxy.9ek=vyad8=t3pyoy&amp;f2::=4ibeh..e--:5d6.451&amp;x=pp&amp;r1.&amp;x=pv&amp;49-6&amp;aax00l=rutxyNCLM" TargetMode="External"/><Relationship Id="rId2424" Type="http://schemas.openxmlformats.org/officeDocument/2006/relationships/hyperlink" Target="https://e5c9a.mailupclient.com/f/rnl.aspx/?jhe=vwt_y1w_/&amp;x=pv&amp;bdi=tzfd&amp;=suxtz/7f1-a=&amp;x=pv&amp;n1&amp;j&amp;kc949&amp;25&amp;x=pp&amp;uy.-5-&amp;x=pv&amp;83dbzb4h=rrvrsrNCLM" TargetMode="External"/><Relationship Id="rId1578" Type="http://schemas.openxmlformats.org/officeDocument/2006/relationships/hyperlink" Target="https://www.facebook.com/GCBA/posts/pfbid0G5E6dntuJfgbkjrZpgu4zJiAXKNv9Eh8hYSHAZzMaakFv6vZKkDSBFv5mV9DHkpEl" TargetMode="External"/><Relationship Id="rId2425" Type="http://schemas.openxmlformats.org/officeDocument/2006/relationships/hyperlink" Target="https://e5c9a.mailupclient.com/f/rnl.aspx/?jhe=vwt_y1w_/&amp;x=pv&amp;bdi=tzfd&amp;=suxus/7f1-a=&amp;x=pv&amp;n1&amp;j&amp;kc949&amp;25&amp;x=pp&amp;uy.-5-&amp;x=pv&amp;83dbzb4h=rrvrrvNCLM" TargetMode="External"/><Relationship Id="rId1579" Type="http://schemas.openxmlformats.org/officeDocument/2006/relationships/hyperlink" Target="https://a2g9b4.emailsp.com/f/rnl.aspx/?fei=1wqvoxxy.9ek=vyad8=t3qqqy&amp;f2::=4ibeh..e--:5d6.451&amp;x=pp&amp;r1.&amp;x=pv&amp;49-6&amp;aax00l=rutptNCLM" TargetMode="External"/><Relationship Id="rId2426" Type="http://schemas.openxmlformats.org/officeDocument/2006/relationships/hyperlink" Target="https://e5c9a.mailupclient.com/f/rnl.aspx/?jhe=vwt_y1w_/&amp;x=pv&amp;bdi=tzfd&amp;=suxuu/7f1-a=&amp;x=pv&amp;n1&amp;j&amp;kc949&amp;25&amp;x=pp&amp;uy.-5-&amp;x=pv&amp;83dbzb4h=rrvrrwNCLM" TargetMode="External"/><Relationship Id="rId2427" Type="http://schemas.openxmlformats.org/officeDocument/2006/relationships/hyperlink" Target="https://e5c9a.mailupclient.com/f/rnl.aspx/?jhe=vwt_y1w_/&amp;x=pv&amp;bdi=tzfd&amp;=suxuv/7f1-a=&amp;x=pv&amp;n1&amp;j&amp;kc949&amp;25&amp;x=pp&amp;uy.-5-&amp;x=pv&amp;83dbzb4h=rrvrryNCLM" TargetMode="External"/><Relationship Id="rId2428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2429" Type="http://schemas.openxmlformats.org/officeDocument/2006/relationships/hyperlink" Target="https://a2g9b4.emailsp.com/f/rnl.aspx/?fei=1vvoo_2y.9ek=vyad8=t3szvy&amp;f2::=k702m1k6.451&amp;x=pp&amp;r1.&amp;x=pv&amp;49-6&amp;aax00l=rvstxNCLM" TargetMode="External"/><Relationship Id="rId509" Type="http://schemas.openxmlformats.org/officeDocument/2006/relationships/hyperlink" Target="https://e5c9a.mailupclient.com/f/rnl.aspx/?jhe=vwurvxsx/&amp;x=pv&amp;bdi=tzfd&amp;=st_ny/7f1-a=5k9hibg&amp;x=pv&amp;9a&amp;-c4&amp;501&amp;x=pp&amp;u_9f1-a2&amp;.b/&amp;:d=rsv/sxNCLM" TargetMode="External"/><Relationship Id="rId508" Type="http://schemas.openxmlformats.org/officeDocument/2006/relationships/hyperlink" Target="https://e5c9a.mailupclient.com/f/rnl.aspx/?jhe=vwvwwvrv/&amp;x=pv&amp;bdi=tzfd&amp;=st_wz/7f1-a=8e.dgcn&amp;&amp;x=pp&amp;u_9f1-a2&amp;.b/&amp;:d=rsv/qvNCLM" TargetMode="External"/><Relationship Id="rId503" Type="http://schemas.openxmlformats.org/officeDocument/2006/relationships/hyperlink" Target="https://e5c9a.mailupclient.com/f/rnl.aspx/?jhe=1r_yq2o/a&amp;le=t/.l7=svuvn/9.99a=59ndi-a&amp;9g-7e:-49&amp;25&amp;x=pp&amp;uy.-5-&amp;x=pv&amp;83dbzb4h=rq/tvxNCLM" TargetMode="External"/><Relationship Id="rId987" Type="http://schemas.openxmlformats.org/officeDocument/2006/relationships/hyperlink" Target="https://www.facebook.com/reel/1441473893755475" TargetMode="External"/><Relationship Id="rId502" Type="http://schemas.openxmlformats.org/officeDocument/2006/relationships/hyperlink" Target="https://www.facebook.com/reel/1376298900359413" TargetMode="External"/><Relationship Id="rId986" Type="http://schemas.openxmlformats.org/officeDocument/2006/relationships/hyperlink" Target="https://e5c9a.mailupclient.com/f/rnl.aspx/?jhe=vwvwwvrv/&amp;x=pv&amp;bdi=tzfd&amp;=st1vu/7f1-a=8e.dgcn&amp;&amp;x=pp&amp;u_9f1-a2&amp;.b/&amp;:d=rsxvoxNCLM" TargetMode="External"/><Relationship Id="rId501" Type="http://schemas.openxmlformats.org/officeDocument/2006/relationships/hyperlink" Target="https://a2g9b4.emailsp.com/f/rnl.aspx/?fei=1wqvoxxy.9ek=vyad8=/2wzx6d90.=3d.lfc&amp;x=pv&amp;.&amp;e08c1-&amp;34&amp;x=pp&amp;qx-f2::19h&amp;x=pv&amp;_95j=yrqpvNCLM" TargetMode="External"/><Relationship Id="rId985" Type="http://schemas.openxmlformats.org/officeDocument/2006/relationships/hyperlink" Target="https://www.facebook.com/reel/1441473893755475" TargetMode="External"/><Relationship Id="rId500" Type="http://schemas.openxmlformats.org/officeDocument/2006/relationships/hyperlink" Target="https://www.facebook.com/GCBA/posts/pfbid02PmAtvdzD176mjzPpPRZmFQTNXzNjqoKr7o9wByEVUtzkzYpigMPqtXRGysNDa6Wjl" TargetMode="External"/><Relationship Id="rId984" Type="http://schemas.openxmlformats.org/officeDocument/2006/relationships/hyperlink" Target="https://e5c9a.mailupclient.com/f/rnl.aspx/?jhe=vwvwwvrv/&amp;x=pv&amp;bdi=tzfd&amp;=st1uy/7f1-a=8e.dgcn&amp;&amp;x=pp&amp;u_9f1-a2&amp;.b/&amp;:d=rsx3vvNCLM" TargetMode="External"/><Relationship Id="rId507" Type="http://schemas.openxmlformats.org/officeDocument/2006/relationships/hyperlink" Target="https://e5c9a.mailupclient.com/f/rnl.aspx/?jhe=vwurvxsx/&amp;x=pv&amp;bdi=tzfd&amp;=st_ns/7f1-a=5k9hibg&amp;x=pv&amp;9a&amp;-c4&amp;501&amp;x=pp&amp;u_9f1-a2&amp;.b/&amp;:d=rsv/rrNCLM" TargetMode="External"/><Relationship Id="rId506" Type="http://schemas.openxmlformats.org/officeDocument/2006/relationships/hyperlink" Target="https://a2g9b4.emailsp.com/f/rnl.aspx/?fei=1wqvoxxy.9ek=vyad8=/2vrx6d90.=3d.lfc&amp;x=pv&amp;.&amp;e08c1-&amp;34&amp;x=pp&amp;qx-f2::19h&amp;x=pv&amp;_95j=yrqnxNCLM" TargetMode="External"/><Relationship Id="rId505" Type="http://schemas.openxmlformats.org/officeDocument/2006/relationships/hyperlink" Target="https://e5c9a.mailupclient.com/f/rnl.aspx/?jhe=vwurvxsx/&amp;x=pv&amp;bdi=tzfd&amp;=st_wr/7f1-a=5k9hibg&amp;x=pv&amp;9a&amp;-c4&amp;501&amp;x=pp&amp;u_9f1-a2&amp;.b/&amp;:d=rsv/wwNCLM" TargetMode="External"/><Relationship Id="rId989" Type="http://schemas.openxmlformats.org/officeDocument/2006/relationships/hyperlink" Target="https://www.facebook.com/reel/1441473893755475" TargetMode="External"/><Relationship Id="rId504" Type="http://schemas.openxmlformats.org/officeDocument/2006/relationships/hyperlink" Target="https://www.facebook.com/reel/1401103571662551" TargetMode="External"/><Relationship Id="rId988" Type="http://schemas.openxmlformats.org/officeDocument/2006/relationships/hyperlink" Target="https://a2g9b4.emailsp.com/f/rnl.aspx/?fei=1vvoo1vy.9ek=vyad8=t3osvy&amp;f2::=-l98i9di-10337&amp;x=pp&amp;yx0-2.e16.&amp;x=pv&amp;2b5g=qr/1oNCLM" TargetMode="External"/><Relationship Id="rId1570" Type="http://schemas.openxmlformats.org/officeDocument/2006/relationships/hyperlink" Target="https://e5c9a.mailupclient.com/f/rnl.aspx/?jhe=1r_yq2o/a&amp;le=t/.l7=swy2t/9.99a=59ndi-a&amp;9g-7e:-49&amp;25&amp;x=pp&amp;uy.-5-&amp;x=pv&amp;83dbzb4h=rr3wsxNCLM" TargetMode="External"/><Relationship Id="rId1571" Type="http://schemas.openxmlformats.org/officeDocument/2006/relationships/hyperlink" Target="https://e5c9a.mailupclient.com/f/rnl.aspx/?jhe=1r_yq2o/a&amp;le=t/.l7=swy2u/9.99a=59ndi-a&amp;9g-7e:-49&amp;25&amp;x=pp&amp;uy.-5-&amp;x=pv&amp;83dbzb4h=rr3wurNCLM" TargetMode="External"/><Relationship Id="rId983" Type="http://schemas.openxmlformats.org/officeDocument/2006/relationships/hyperlink" Target="https://www.facebook.com/GCBA/posts/pfbid02qaBDzBApaakXi9SjeBNn6xUvgrazcp7PbQLusMapiN1AqwWSP4P9owjRg47fKsvxl" TargetMode="External"/><Relationship Id="rId1572" Type="http://schemas.openxmlformats.org/officeDocument/2006/relationships/hyperlink" Target="https://e5c9a.mailupclient.com/f/rnl.aspx/?jhe=1r_yq2o/a&amp;le=t/.l7=swy2v/9.99a=59ndi-a&amp;9g-7e:-49&amp;25&amp;x=pp&amp;uy.-5-&amp;x=pv&amp;83dbzb4h=rr3wusNCLM" TargetMode="External"/><Relationship Id="rId982" Type="http://schemas.openxmlformats.org/officeDocument/2006/relationships/hyperlink" Target="https://a2g9b4.emailsp.com/f/rnl.aspx/?fei=2orws1vy.9ek=vyad8=t3otsy&amp;f2::=7chafagb&amp;x=pp&amp;yx0-2.e16.&amp;x=pv&amp;2b5g=qs1wxNCLM" TargetMode="External"/><Relationship Id="rId1573" Type="http://schemas.openxmlformats.org/officeDocument/2006/relationships/hyperlink" Target="https://e5c9a.mailupclient.com/f/rnl.aspx/?jhe=1r_yq2o/a&amp;le=t/.l7=swy/u/9.99a=59ndi-a&amp;9g-7e:-49&amp;25&amp;x=pp&amp;uy.-5-&amp;x=pv&amp;83dbzb4h=rq2vxzNCLM" TargetMode="External"/><Relationship Id="rId2420" Type="http://schemas.openxmlformats.org/officeDocument/2006/relationships/hyperlink" Target="https://e5c9a.mailupclient.com/f/rnl.aspx/?jhe=vwt_y1w_/&amp;x=pv&amp;bdi=tzfd&amp;=suxty/7f1-a=&amp;x=pv&amp;n1&amp;j&amp;kc949&amp;25&amp;x=pp&amp;uy.-5-&amp;x=pv&amp;83dbzb4h=rrvqzyNCLM" TargetMode="External"/><Relationship Id="rId981" Type="http://schemas.openxmlformats.org/officeDocument/2006/relationships/hyperlink" Target="https://www.facebook.com/baparticipacion/posts/pfbid02KZUeu6698ybfHTdaJoen8nwGxjQMYPVAUZo6TqMhxiRskpv9L6Z7oJ5rhfhFrU8Sl" TargetMode="External"/><Relationship Id="rId1574" Type="http://schemas.openxmlformats.org/officeDocument/2006/relationships/hyperlink" Target="https://www.facebook.com/reel/1531095018664874" TargetMode="External"/><Relationship Id="rId2421" Type="http://schemas.openxmlformats.org/officeDocument/2006/relationships/hyperlink" Target="https://www.facebook.com/baparticipacion/posts/pfbid0sf1chk2ZLs8xzfJKggcMabUds4L66pkAMnx5yj54hmP2xVDQKxBNadhjKcHcs13fl" TargetMode="External"/><Relationship Id="rId980" Type="http://schemas.openxmlformats.org/officeDocument/2006/relationships/hyperlink" Target="https://a2g9b4.emailsp.com/f/rnl.aspx/?fei=1wqvoxxy.9ek=vyad8=t3ovry&amp;f2::=4ibeh..e--:5d6.451&amp;x=pp&amp;r1.&amp;x=pv&amp;49-6&amp;aax00l=ruwpuNCLM" TargetMode="External"/><Relationship Id="rId1575" Type="http://schemas.openxmlformats.org/officeDocument/2006/relationships/hyperlink" Target="https://e5c9a.mailupclient.com/f/rnl.aspx/?jhe=1r_yq2o/a&amp;le=t/.l7=swp3p/9.99a=59ndi-a&amp;9g-7e:-49&amp;25&amp;x=pp&amp;uy.-5-&amp;x=pv&amp;83dbzb4h=rr3wyyNCLM" TargetMode="External"/><Relationship Id="rId2422" Type="http://schemas.openxmlformats.org/officeDocument/2006/relationships/hyperlink" Target="https://e5c9a.mailupclient.com/f/rnl.aspx/?jhe=vwt_y1w_/&amp;x=pv&amp;bdi=tzfd&amp;=suxur/7f1-a=&amp;x=pv&amp;n1&amp;j&amp;kc949&amp;25&amp;x=pp&amp;uy.-5-&amp;x=pv&amp;83dbzb4h=rrvrruNCLM" TargetMode="External"/><Relationship Id="rId1565" Type="http://schemas.openxmlformats.org/officeDocument/2006/relationships/hyperlink" Target="https://e5c9a.mailupclient.com/f/rnl.aspx/?jhe=vwvwwvrv/&amp;x=pv&amp;bdi=tzfd&amp;=su3tz/7f1-a=8e.dgcn&amp;&amp;x=pp&amp;u_9f1-a2&amp;.b/&amp;:d=rty3o_NCLM" TargetMode="External"/><Relationship Id="rId2412" Type="http://schemas.openxmlformats.org/officeDocument/2006/relationships/hyperlink" Target="https://a2g9b4.emailsp.com/f/rnl.aspx/?fei=1wqvoxxy.9ek=vyad8=t3stuy&amp;f2::=4ibeh..e--:5d6.451&amp;x=pp&amp;r1.&amp;x=pv&amp;49-6&amp;aax00l=rvuuwNCLM" TargetMode="External"/><Relationship Id="rId2896" Type="http://schemas.openxmlformats.org/officeDocument/2006/relationships/hyperlink" Target="https://e5c9a.mailupclient.com/f/rnl.aspx/?jhe=vwvwwvrv/&amp;x=pv&amp;bdi=tzfd&amp;=su_sy/7f1-a=8e.dgcn&amp;&amp;x=pp&amp;u_9f1-a2&amp;.b/&amp;:d=rtq1uvNCLM" TargetMode="External"/><Relationship Id="rId1566" Type="http://schemas.openxmlformats.org/officeDocument/2006/relationships/hyperlink" Target="https://www.facebook.com/GCBA/posts/pfbid0G5E6dntuJfgbkjrZpgu4zJiAXKNv9Eh8hYSHAZzMaakFv6vZKkDSBFv5mV9DHkpEl" TargetMode="External"/><Relationship Id="rId2413" Type="http://schemas.openxmlformats.org/officeDocument/2006/relationships/hyperlink" Target="https://a2g9b4.emailsp.com/f/rnl.aspx/?fei=1wqvoxxy.9ek=vyad8=t3stvy&amp;f2::=4ibeh..e--:5d6.451&amp;x=pp&amp;r1.&amp;x=pv&amp;49-6&amp;aax00l=rvutyNCLM" TargetMode="External"/><Relationship Id="rId2897" Type="http://schemas.openxmlformats.org/officeDocument/2006/relationships/hyperlink" Target="https://a2g9b4.emailsp.com/f/rnl.aspx/?fei=1wqvoxxy.9ek=vyad8=t3uwuy&amp;f2::=4ibeh..e--:5d6.451&amp;x=pp&amp;r1.&amp;x=pv&amp;49-6&amp;aax00l=rwvwxNCLM" TargetMode="External"/><Relationship Id="rId1567" Type="http://schemas.openxmlformats.org/officeDocument/2006/relationships/hyperlink" Target="https://e5c9a.mailupclient.com/f/rnl.aspx/?jhe=vwszuxsy/&amp;x=pv&amp;bdi=tzfd&amp;=su3tw/7f1-a=l925n3r/&amp;749&amp;x=pp&amp;q_&amp;.99a45h-/-6l=nszx/pNCLM" TargetMode="External"/><Relationship Id="rId2414" Type="http://schemas.openxmlformats.org/officeDocument/2006/relationships/hyperlink" Target="https://a2g9b4.emailsp.com/f/rnl.aspx/?fei=2orws1vy.9ek=vyad8=t3ssny&amp;f2::=7chafagb&amp;x=pp&amp;yx0-2.e16.&amp;x=pv&amp;2b5g=qt_wqNCLM" TargetMode="External"/><Relationship Id="rId2898" Type="http://schemas.openxmlformats.org/officeDocument/2006/relationships/hyperlink" Target="https://e5c9a.mailupclient.com/f/rnl.aspx/?jhe=vwurvxsx/&amp;x=pv&amp;bdi=tzfd&amp;=su_tr/7f1-a=5k9hibg&amp;x=pv&amp;9a&amp;-c4&amp;501&amp;x=pp&amp;u_9f1-a2&amp;.b/&amp;:d=rtq2wsNCLM" TargetMode="External"/><Relationship Id="rId1568" Type="http://schemas.openxmlformats.org/officeDocument/2006/relationships/hyperlink" Target="https://e5c9a.mailupclient.com/f/rnl.aspx/?jhe=vwszuxsy/&amp;x=pv&amp;bdi=tzfd&amp;=su3vw/7f1-a=l925n3r/&amp;749&amp;x=pp&amp;q_&amp;.99a45h-/-6l=nt_yztNCLM" TargetMode="External"/><Relationship Id="rId2415" Type="http://schemas.openxmlformats.org/officeDocument/2006/relationships/hyperlink" Target="https://e5c9a.mailupclient.com/f/rnl.aspx/?jhe=vwvwwvrv/&amp;x=pv&amp;bdi=tzfd&amp;=suxts/7f1-a=8e.dgcn&amp;&amp;x=pp&amp;u_9f1-a2&amp;.b/&amp;:d=rtpyuxNCLM" TargetMode="External"/><Relationship Id="rId2899" Type="http://schemas.openxmlformats.org/officeDocument/2006/relationships/drawing" Target="../drawings/drawing10.xml"/><Relationship Id="rId1569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416" Type="http://schemas.openxmlformats.org/officeDocument/2006/relationships/hyperlink" Target="https://e5c9a.mailupclient.com/f/rnl.aspx/?jhe=vwvwwvrv/&amp;x=pv&amp;bdi=tzfd&amp;=suxuy/7f1-a=8e.dgcn&amp;&amp;x=pp&amp;u_9f1-a2&amp;.b/&amp;:d=rtpzpxNCLM" TargetMode="External"/><Relationship Id="rId2417" Type="http://schemas.openxmlformats.org/officeDocument/2006/relationships/hyperlink" Target="https://a2g9b4.emailsp.com/f/rnl.aspx/?fei=1vvoo1vy.9ek=vyad8=t3stoy&amp;f2::=-l98i9di-10337&amp;x=pp&amp;yx0-2.e16.&amp;x=pv&amp;2b5g=qt__oNCLM" TargetMode="External"/><Relationship Id="rId2418" Type="http://schemas.openxmlformats.org/officeDocument/2006/relationships/hyperlink" Target="https://e5c9a.mailupclient.com/f/rnl.aspx/?jhe=vwt_y1w_/&amp;x=pv&amp;bdi=tzfd&amp;=suxtv/7f1-a=&amp;x=pv&amp;n1&amp;j&amp;kc949&amp;25&amp;x=pp&amp;uy.-5-&amp;x=pv&amp;83dbzb4h=rrvqz_NCLM" TargetMode="External"/><Relationship Id="rId2419" Type="http://schemas.openxmlformats.org/officeDocument/2006/relationships/hyperlink" Target="https://a2g9b4.emailsp.com/f/rnl.aspx/?fei=1vvoo1vy.9ek=vyad8=t3srvy&amp;f2::=-l98i9di-10337&amp;x=pp&amp;yx0-2.e16.&amp;x=pv&amp;2b5g=qtz_sNCLM" TargetMode="External"/><Relationship Id="rId976" Type="http://schemas.openxmlformats.org/officeDocument/2006/relationships/hyperlink" Target="https://a2g9b4.emailsp.com/f/rnl.aspx/?fei=1wqvoxxy.9ek=vyad8=t3ouwy&amp;f2::=4ibeh..e--:5d6.451&amp;x=pp&amp;r1.&amp;x=pv&amp;49-6&amp;aax00l=rtvo/NCLM" TargetMode="External"/><Relationship Id="rId975" Type="http://schemas.openxmlformats.org/officeDocument/2006/relationships/hyperlink" Target="https://www.facebook.com/reel/2680911642277655" TargetMode="External"/><Relationship Id="rId974" Type="http://schemas.openxmlformats.org/officeDocument/2006/relationships/hyperlink" Target="https://a2g9b4.emailsp.com/f/rnl.aspx/?fei=1wqvoxxy.9ek=vyad8=t3otpy&amp;f2::=4ibeh..e--:5d6.451&amp;x=pp&amp;r1.&amp;x=pv&amp;49-6&amp;aax00l=rtuw1NCLM" TargetMode="External"/><Relationship Id="rId973" Type="http://schemas.openxmlformats.org/officeDocument/2006/relationships/hyperlink" Target="https://www.facebook.com/reel/1095770269437604" TargetMode="External"/><Relationship Id="rId979" Type="http://schemas.openxmlformats.org/officeDocument/2006/relationships/hyperlink" Target="https://www.facebook.com/baparticipacion/posts/pfbid02KZUeu6698ybfHTdaJoen8nwGxjQMYPVAUZo6TqMhxiRskpv9L6Z7oJ5rhfhFrU8Sl" TargetMode="External"/><Relationship Id="rId978" Type="http://schemas.openxmlformats.org/officeDocument/2006/relationships/hyperlink" Target="https://e5c9a.mailupclient.com/f/rnl.aspx/?jhe=vwurvxsx/&amp;x=pv&amp;bdi=tzfd&amp;=st1qx/7f1-a=5k9hibg&amp;x=pv&amp;9a&amp;-c4&amp;501&amp;x=pp&amp;u_9f1-a2&amp;.b/&amp;:d=rsw1uxNCLM" TargetMode="External"/><Relationship Id="rId977" Type="http://schemas.openxmlformats.org/officeDocument/2006/relationships/hyperlink" Target="https://www.facebook.com/reel/2680911642277655" TargetMode="External"/><Relationship Id="rId2890" Type="http://schemas.openxmlformats.org/officeDocument/2006/relationships/hyperlink" Target="https://a2g9b4.emailsp.com/f/rnl.aspx/?fei=2qssx_xy.9ek=vyad8=t3uvty&amp;f2::=&amp;x=pv&amp;.e-4&amp;x=pv&amp;6j88622&amp;x=pp&amp;w38a10c84c-y.:e=ttwwvNCLM" TargetMode="External"/><Relationship Id="rId1560" Type="http://schemas.openxmlformats.org/officeDocument/2006/relationships/hyperlink" Target="https://www.facebook.com/GCBA/posts/pfbid032mscwuQPN9NkdqarmemBpiwHLejmd6xwJWoX11HzwdhzeTPW87msibSioCATLzyQl" TargetMode="External"/><Relationship Id="rId2891" Type="http://schemas.openxmlformats.org/officeDocument/2006/relationships/hyperlink" Target="https://a2g9b4.emailsp.com/f/rnl.aspx/?fei=1vvoo_2y.9ek=vyad8=t3szqy&amp;f2::=k702m1k6.451&amp;x=pp&amp;r1.&amp;x=pv&amp;49-6&amp;aax00l=rvsr_NCLM" TargetMode="External"/><Relationship Id="rId972" Type="http://schemas.openxmlformats.org/officeDocument/2006/relationships/hyperlink" Target="https://a2g9b4.emailsp.com/f/rnl.aspx/?fei=1wqvoxxy.9ek=vyad8=t3ousy&amp;f2::=4ibeh..e--:5d6.451&amp;x=pp&amp;r1.&amp;x=pv&amp;49-6&amp;aax00l=rtvs1NCLM" TargetMode="External"/><Relationship Id="rId1561" Type="http://schemas.openxmlformats.org/officeDocument/2006/relationships/hyperlink" Target="https://e5c9a.mailupclient.com/f/rnl.aspx/?jhe=vwurvxsx/&amp;x=pv&amp;bdi=tzfd&amp;=su3ss/7f1-a=5k9hibg&amp;x=pv&amp;9a&amp;-c4&amp;501&amp;x=pp&amp;u_9f1-a2&amp;.b/&amp;:d=rsx2wrNCLM" TargetMode="External"/><Relationship Id="rId2892" Type="http://schemas.openxmlformats.org/officeDocument/2006/relationships/hyperlink" Target="https://e5c9a.mailupclient.com/f/rnl.aspx/?jhe=vwszuxsy/&amp;x=pv&amp;bdi=tzfd&amp;=su_rw/7f1-a=l925n3r/&amp;749&amp;x=pp&amp;q_&amp;.99a45h-/-6l=ntswwoNCLM" TargetMode="External"/><Relationship Id="rId971" Type="http://schemas.openxmlformats.org/officeDocument/2006/relationships/hyperlink" Target="https://www.facebook.com/reel/1095770269437604" TargetMode="External"/><Relationship Id="rId1562" Type="http://schemas.openxmlformats.org/officeDocument/2006/relationships/hyperlink" Target="https://www.facebook.com/reel/858950013162984" TargetMode="External"/><Relationship Id="rId2893" Type="http://schemas.openxmlformats.org/officeDocument/2006/relationships/hyperlink" Target="https://a2g9b4.emailsp.com/f/rnl.aspx/?fei=1vvoo_2y.9ek=vyad8=t3uury&amp;f2::=k702m1k6.451&amp;x=pp&amp;r1.&amp;x=pv&amp;49-6&amp;aax00l=rwuwtNCLM" TargetMode="External"/><Relationship Id="rId970" Type="http://schemas.openxmlformats.org/officeDocument/2006/relationships/hyperlink" Target="https://a2g9b4.emailsp.com/f/rnl.aspx/?fei=1vvoo1vy.9ek=vyad8=t3otwy&amp;f2::=-l98i9di-10337&amp;x=pp&amp;yx0-2.e16.&amp;x=pv&amp;2b5g=qr//qNCLM" TargetMode="External"/><Relationship Id="rId1563" Type="http://schemas.openxmlformats.org/officeDocument/2006/relationships/hyperlink" Target="https://a2g9b4.emailsp.com/f/rnl.aspx/?fei=2orws1vy.9ek=vyad8=t3pyry&amp;f2::=7chafagb&amp;x=pp&amp;yx0-2.e16.&amp;x=pv&amp;2b5g=qszvuNCLM" TargetMode="External"/><Relationship Id="rId2410" Type="http://schemas.openxmlformats.org/officeDocument/2006/relationships/hyperlink" Target="https://e5c9a.mailupclient.com/f/rnl.aspx/?jhe=vwurvxsx/&amp;x=pv&amp;bdi=tzfd&amp;=suxtt/7f1-a=5k9hibg&amp;x=pv&amp;9a&amp;-c4&amp;501&amp;x=pp&amp;u_9f1-a2&amp;.b/&amp;:d=rtpyrxNCLM" TargetMode="External"/><Relationship Id="rId2894" Type="http://schemas.openxmlformats.org/officeDocument/2006/relationships/hyperlink" Target="https://e5c9a.mailupclient.com/f/rnl.aspx/?jhe=vwurvxsx/&amp;x=pv&amp;bdi=tzfd&amp;=su_sw/7f1-a=5k9hibg&amp;x=pv&amp;9a&amp;-c4&amp;501&amp;x=pp&amp;u_9f1-a2&amp;.b/&amp;:d=rtq1vrNCLM" TargetMode="External"/><Relationship Id="rId1564" Type="http://schemas.openxmlformats.org/officeDocument/2006/relationships/hyperlink" Target="https://www.facebook.com/GCBA/posts/pfbid028fATX2DqGRU1hW2eZrZQdReNkPzqMquJGSPFuxuKGz1NKjL8G6jt94Tg2brgvhE5l" TargetMode="External"/><Relationship Id="rId2411" Type="http://schemas.openxmlformats.org/officeDocument/2006/relationships/hyperlink" Target="https://a2g9b4.emailsp.com/f/rnl.aspx/?fei=1wqvoxxy.9ek=vyad8=t3suwy&amp;f2::=4ibeh..e--:5d6.451&amp;x=pp&amp;r1.&amp;x=pv&amp;49-6&amp;aax00l=rvuu/NCLM" TargetMode="External"/><Relationship Id="rId2895" Type="http://schemas.openxmlformats.org/officeDocument/2006/relationships/hyperlink" Target="https://e5c9a.mailupclient.com/f/rnl.aspx/?jhe=vwvwwvrv/&amp;x=pv&amp;bdi=tzfd&amp;=su_sy/7f1-a=8e.dgcn&amp;&amp;x=pp&amp;u_9f1-a2&amp;.b/&amp;:d=rtq1uvNCLM" TargetMode="External"/><Relationship Id="rId1114" Type="http://schemas.openxmlformats.org/officeDocument/2006/relationships/hyperlink" Target="https://e5c9a.mailupclient.com/f/rnl.aspx/?jhe=vwurvxsx/&amp;x=pv&amp;bdi=tzfd&amp;=st2nt/7f1-a=5k9hibg&amp;x=pv&amp;9a&amp;-c4&amp;501&amp;x=pp&amp;u_9f1-a2&amp;.b/&amp;:d=rsxvvsNCLM" TargetMode="External"/><Relationship Id="rId1598" Type="http://schemas.openxmlformats.org/officeDocument/2006/relationships/hyperlink" Target="https://e5c9a.mailupclient.com/f/rnl.aspx/?jhe=vwt_y1w_/&amp;x=pv&amp;bdi=tzfd&amp;=su3uz/7f1-a=&amp;x=pv&amp;n1&amp;j&amp;kc949&amp;25&amp;x=pp&amp;uy.-5-&amp;x=pv&amp;83dbzb4h=rr3wyzNCLM" TargetMode="External"/><Relationship Id="rId2445" Type="http://schemas.openxmlformats.org/officeDocument/2006/relationships/hyperlink" Target="https://e5c9a.mailupclient.com/f/rnl.aspx/?jhe=vwvwwvrv/&amp;x=pv&amp;bdi=tzfd&amp;=suxvy/7f1-a=8e.dgcn&amp;&amp;x=pp&amp;u_9f1-a2&amp;.b/&amp;:d=rtpztyNCLM" TargetMode="External"/><Relationship Id="rId1115" Type="http://schemas.openxmlformats.org/officeDocument/2006/relationships/hyperlink" Target="https://www.facebook.com/GCBA/posts/pfbid054fnijeMDNVJV1K4PTsWQtpWYmhmsHdb2niaFKoc9N1b8LPNcda5napYbUXdJbdql" TargetMode="External"/><Relationship Id="rId1599" Type="http://schemas.openxmlformats.org/officeDocument/2006/relationships/hyperlink" Target="https://www.facebook.com/GCBA/posts/pfbid02om29QPQdx9biG61u6BbBky6d5wspZwCXoTWdjfupSHCvfZkz4Luw6CqrKFG4nv4Xl" TargetMode="External"/><Relationship Id="rId2446" Type="http://schemas.openxmlformats.org/officeDocument/2006/relationships/hyperlink" Target="https://a2g9b4.emailsp.com/f/rnl.aspx/?fei=2orws1vy.9ek=vyad8=t3suvy&amp;f2::=7chafagb&amp;x=pp&amp;yx0-2.e16.&amp;x=pv&amp;2b5g=qt/_oNCLM" TargetMode="External"/><Relationship Id="rId1116" Type="http://schemas.openxmlformats.org/officeDocument/2006/relationships/hyperlink" Target="https://a2g9b4.emailsp.com/f/rnl.aspx/?fei=2orws1vy.9ek=vyad8=t3oxvy&amp;f2::=7chafagb&amp;x=pp&amp;yx0-2.e16.&amp;x=pv&amp;2b5g=qstvvNCLM" TargetMode="External"/><Relationship Id="rId2447" Type="http://schemas.openxmlformats.org/officeDocument/2006/relationships/hyperlink" Target="https://a2g9b4.emailsp.com/f/rnl.aspx/?fei=2orws1vy.9ek=vyad8=t3svuy&amp;f2::=7chafagb&amp;x=pp&amp;yx0-2.e16.&amp;x=pv&amp;2b5g=qt/yoNCLM" TargetMode="External"/><Relationship Id="rId1117" Type="http://schemas.openxmlformats.org/officeDocument/2006/relationships/hyperlink" Target="https://www.facebook.com/baparticipacion/posts/pfbid02M8tPjxSc2H8DjmzfToUw7QqZxQaiiMtFjRaLwGMPpFzkeya6D1oUxgYPVd57Szw8l" TargetMode="External"/><Relationship Id="rId2448" Type="http://schemas.openxmlformats.org/officeDocument/2006/relationships/hyperlink" Target="https://a2g9b4.emailsp.com/f/rnl.aspx/?fei=2orws1vy.9ek=vyad8=t3svvy&amp;f2::=7chafagb&amp;x=pp&amp;yx0-2.e16.&amp;x=pv&amp;2b5g=qt/yqNCLM" TargetMode="External"/><Relationship Id="rId1118" Type="http://schemas.openxmlformats.org/officeDocument/2006/relationships/hyperlink" Target="https://a2g9b4.emailsp.com/f/rnl.aspx/?fei=2orws1vy.9ek=vyad8=t3oxuy&amp;f2::=7chafagb&amp;x=pp&amp;yx0-2.e16.&amp;x=pv&amp;2b5g=qstwxNCLM" TargetMode="External"/><Relationship Id="rId2449" Type="http://schemas.openxmlformats.org/officeDocument/2006/relationships/hyperlink" Target="https://a2g9b4.emailsp.com/f/rnl.aspx/?fei=2orws1vy.9ek=vyad8=t3swwy&amp;f2::=7chafagb&amp;x=pp&amp;yx0-2.e16.&amp;x=pv&amp;2b5g=qt/ypNCLM" TargetMode="External"/><Relationship Id="rId1119" Type="http://schemas.openxmlformats.org/officeDocument/2006/relationships/hyperlink" Target="https://www.facebook.com/baparticipacion/posts/pfbid02gLwQJ8rUUwQKTwkFGuLMEizLGGHtJvgGnM1hRJbj39URHPCysj85vKBzjs8hXcYql" TargetMode="External"/><Relationship Id="rId525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524" Type="http://schemas.openxmlformats.org/officeDocument/2006/relationships/hyperlink" Target="https://e5c9a.mailupclient.com/f/rnl.aspx/?jhe=vwvwwvrv/&amp;x=pv&amp;bdi=tzfd&amp;=st_oy/7f1-a=8e.dgcn&amp;&amp;x=pp&amp;u_9f1-a2&amp;.b/&amp;:d=rsv1uuNCLM" TargetMode="External"/><Relationship Id="rId523" Type="http://schemas.openxmlformats.org/officeDocument/2006/relationships/hyperlink" Target="https://a2g9b4.emailsp.com/f/rnl.aspx/?fei=2orws1vy.9ek=vyad8=/2vvx6d90.=6-fhddf:&amp;x=pp&amp;w38a10c84c-y.:e=tqox1NCLM" TargetMode="External"/><Relationship Id="rId522" Type="http://schemas.openxmlformats.org/officeDocument/2006/relationships/hyperlink" Target="https://e5c9a.mailupclient.com/f/rnl.aspx/?jhe=vwurvxsx/&amp;x=pv&amp;bdi=tzfd&amp;=st_pw/7f1-a=5k9hibg&amp;x=pv&amp;9a&amp;-c4&amp;501&amp;x=pp&amp;u_9f1-a2&amp;.b/&amp;:d=rsv1tyNCLM" TargetMode="External"/><Relationship Id="rId529" Type="http://schemas.openxmlformats.org/officeDocument/2006/relationships/hyperlink" Target="https://e5c9a.mailupclient.com/f/rnl.aspx/?jhe=vwurvxsx/&amp;x=pv&amp;bdi=tzfd&amp;=st_nw/7f1-a=5k9hibg&amp;x=pv&amp;9a&amp;-c4&amp;501&amp;x=pp&amp;u_9f1-a2&amp;.b/&amp;:d=rsv1ozNCLM" TargetMode="External"/><Relationship Id="rId528" Type="http://schemas.openxmlformats.org/officeDocument/2006/relationships/hyperlink" Target="https://e5c9a.mailupclient.com/f/rnl.aspx/?jhe=vwurvxsx/&amp;x=pv&amp;bdi=tzfd&amp;=st_nv/7f1-a=5k9hibg&amp;x=pv&amp;9a&amp;-c4&amp;501&amp;x=pp&amp;u_9f1-a2&amp;.b/&amp;:d=rsv1oyNCLM" TargetMode="External"/><Relationship Id="rId527" Type="http://schemas.openxmlformats.org/officeDocument/2006/relationships/hyperlink" Target="https://e5c9a.mailupclient.com/f/rnl.aspx/?jhe=vwurvxsx/&amp;x=pv&amp;bdi=tzfd&amp;=st_nu/7f1-a=5k9hibg&amp;x=pv&amp;9a&amp;-c4&amp;501&amp;x=pp&amp;u_9f1-a2&amp;.b/&amp;:d=rsv1oxNCLM" TargetMode="External"/><Relationship Id="rId526" Type="http://schemas.openxmlformats.org/officeDocument/2006/relationships/hyperlink" Target="https://e5c9a.mailupclient.com/f/rnl.aspx/?jhe=1r_yq2o/a&amp;le=t/.l7=svuyp/9.99a=59ndi-a&amp;9g-7e:-49&amp;25&amp;x=pp&amp;uy.-5-&amp;x=pv&amp;83dbzb4h=rq/vrvNCLM" TargetMode="External"/><Relationship Id="rId1590" Type="http://schemas.openxmlformats.org/officeDocument/2006/relationships/hyperlink" Target="https://e5c9a.mailupclient.com/f/rnl.aspx/?jhe=vwt_y1w_/&amp;x=pv&amp;bdi=tzfd&amp;=su3ur/7f1-a=&amp;x=pv&amp;n1&amp;j&amp;kc949&amp;25&amp;x=pp&amp;uy.-5-&amp;x=pv&amp;83dbzb4h=rr3wzxNCLM" TargetMode="External"/><Relationship Id="rId1591" Type="http://schemas.openxmlformats.org/officeDocument/2006/relationships/hyperlink" Target="https://www.facebook.com/GCBA/posts/pfbid026AnfT6Tmxhp3RKXzxibs5N9StAT6moCisAqTW12ZfPYYwi7gp5qZxFQXhRc6efH1l" TargetMode="External"/><Relationship Id="rId1592" Type="http://schemas.openxmlformats.org/officeDocument/2006/relationships/hyperlink" Target="https://e5c9a.mailupclient.com/f/rnl.aspx/?jhe=vwt_y1w_/&amp;x=pv&amp;bdi=tzfd&amp;=su3us/7f1-a=&amp;x=pv&amp;n1&amp;j&amp;kc949&amp;25&amp;x=pp&amp;uy.-5-&amp;x=pv&amp;83dbzb4h=rr3wzyNCLM" TargetMode="External"/><Relationship Id="rId1593" Type="http://schemas.openxmlformats.org/officeDocument/2006/relationships/hyperlink" Target="https://www.facebook.com/GCBA/posts/pfbid0gGupE1Ef7b9wjKLMczBkHDufYFKRvbVYbKM3zXyJLVLY5tHapjRKd2q75kXtmWcLl" TargetMode="External"/><Relationship Id="rId2440" Type="http://schemas.openxmlformats.org/officeDocument/2006/relationships/hyperlink" Target="https://e5c9a.mailupclient.com/f/rnl.aspx/?jhe=vwurvxsx/&amp;x=pv&amp;bdi=tzfd&amp;=suxvs/7f1-a=5k9hibg&amp;x=pv&amp;9a&amp;-c4&amp;501&amp;x=pp&amp;u_9f1-a2&amp;.b/&amp;:d=rtpzowNCLM" TargetMode="External"/><Relationship Id="rId521" Type="http://schemas.openxmlformats.org/officeDocument/2006/relationships/hyperlink" Target="https://e5c9a.mailupclient.com/f/rnl.aspx/?jhe=vwurvxsx/&amp;x=pv&amp;bdi=tzfd&amp;=st_ot/7f1-a=5k9hibg&amp;x=pv&amp;9a&amp;-c4&amp;501&amp;x=pp&amp;u_9f1-a2&amp;.b/&amp;:d=rsv1wtNCLM" TargetMode="External"/><Relationship Id="rId1110" Type="http://schemas.openxmlformats.org/officeDocument/2006/relationships/hyperlink" Target="https://a2g9b4.emailsp.com/f/rnl.aspx/?fei=1wqvoxxy.9ek=vyad8=t3owvy&amp;f2::=4ibeh..e--:5d6.451&amp;x=pp&amp;r1.&amp;x=pv&amp;49-6&amp;aax00l=runrxNCLM" TargetMode="External"/><Relationship Id="rId1594" Type="http://schemas.openxmlformats.org/officeDocument/2006/relationships/hyperlink" Target="https://e5c9a.mailupclient.com/f/rnl.aspx/?jhe=vwt_y1w_/&amp;x=pv&amp;bdi=tzfd&amp;=su3uw/7f1-a=&amp;x=pv&amp;n1&amp;j&amp;kc949&amp;25&amp;x=pp&amp;uy.-5-&amp;x=pv&amp;83dbzb4h=rr3wzzNCLM" TargetMode="External"/><Relationship Id="rId2441" Type="http://schemas.openxmlformats.org/officeDocument/2006/relationships/hyperlink" Target="https://www.facebook.com/GCBA/posts/pfbid09fWyeWxoTBB34jNooci5XFZDhQdQ3HDWXZ6Bt8k9nTPNFtDhX1WBj2nkKRf9tHJcl" TargetMode="External"/><Relationship Id="rId520" Type="http://schemas.openxmlformats.org/officeDocument/2006/relationships/hyperlink" Target="https://e5c9a.mailupclient.com/f/rnl.aspx/?jhe=vwurvxsx/&amp;x=pv&amp;bdi=tzfd&amp;=st_ow/7f1-a=5k9hibg&amp;x=pv&amp;9a&amp;-c4&amp;501&amp;x=pp&amp;u_9f1-a2&amp;.b/&amp;:d=rsv1n_NCLM" TargetMode="External"/><Relationship Id="rId1111" Type="http://schemas.openxmlformats.org/officeDocument/2006/relationships/hyperlink" Target="https://www.facebook.com/baparticipacion/posts/pfbid0GzWuf7Ap7Y7Pi378gVersFXJagxXrdxWYBrV99tEWcMDBYws33j1RDahyAyJsMVAl" TargetMode="External"/><Relationship Id="rId1595" Type="http://schemas.openxmlformats.org/officeDocument/2006/relationships/hyperlink" Target="https://www.facebook.com/GCBA/posts/pfbid02YfGL8Rq1CFyAHAfNSrcU4LkE9W7n14KNA1Tcamk3GM8qQEPJSqj68bk2WwptoiScl" TargetMode="External"/><Relationship Id="rId2442" Type="http://schemas.openxmlformats.org/officeDocument/2006/relationships/hyperlink" Target="https://e5c9a.mailupclient.com/f/rnl.aspx/?jhe=vwurvxsx/&amp;x=pv&amp;bdi=tzfd&amp;=suxv_/7f1-a=5k9hibg&amp;x=pv&amp;9a&amp;-c4&amp;501&amp;x=pp&amp;u_9f1-a2&amp;.b/&amp;:d=rtpznzNCLM" TargetMode="External"/><Relationship Id="rId1112" Type="http://schemas.openxmlformats.org/officeDocument/2006/relationships/hyperlink" Target="https://e5c9a.mailupclient.com/f/rnl.aspx/?jhe=vwurvxsx/&amp;x=pv&amp;bdi=tzfd&amp;=st2nt/7f1-a=5k9hibg&amp;x=pv&amp;9a&amp;-c4&amp;501&amp;x=pp&amp;u_9f1-a2&amp;.b/&amp;:d=rsxvvsNCLM" TargetMode="External"/><Relationship Id="rId1596" Type="http://schemas.openxmlformats.org/officeDocument/2006/relationships/hyperlink" Target="https://e5c9a.mailupclient.com/f/rnl.aspx/?jhe=vwt_y1w_/&amp;x=pv&amp;bdi=tzfd&amp;=su3uy/7f1-a=&amp;x=pv&amp;n1&amp;j&amp;kc949&amp;25&amp;x=pp&amp;uy.-5-&amp;x=pv&amp;83dbzb4h=rq2vzwNCLM" TargetMode="External"/><Relationship Id="rId2443" Type="http://schemas.openxmlformats.org/officeDocument/2006/relationships/hyperlink" Target="https://e5c9a.mailupclient.com/f/rnl.aspx/?jhe=vwurvxsx/&amp;x=pv&amp;bdi=tzfd&amp;=suxvx/7f1-a=5k9hibg&amp;x=pv&amp;9a&amp;-c4&amp;501&amp;x=pp&amp;u_9f1-a2&amp;.b/&amp;:d=rtpzsrNCLM" TargetMode="External"/><Relationship Id="rId1113" Type="http://schemas.openxmlformats.org/officeDocument/2006/relationships/hyperlink" Target="https://www.facebook.com/GCBA/posts/pfbid054fnijeMDNVJV1K4PTsWQtpWYmhmsHdb2niaFKoc9N1b8LPNcda5napYbUXdJbdql" TargetMode="External"/><Relationship Id="rId1597" Type="http://schemas.openxmlformats.org/officeDocument/2006/relationships/hyperlink" Target="https://www.facebook.com/GCBA/posts/pfbid0HR6pQrPnYhuh1vXN74xKKo7vXExE94H26RPwcUQrysnNDGde9RhLNzorYU84rwiul" TargetMode="External"/><Relationship Id="rId2444" Type="http://schemas.openxmlformats.org/officeDocument/2006/relationships/hyperlink" Target="https://e5c9a.mailupclient.com/f/rnl.aspx/?jhe=vwvwwvrv/&amp;x=pv&amp;bdi=tzfd&amp;=suxvu/7f1-a=8e.dgcn&amp;&amp;x=pp&amp;u_9f1-a2&amp;.b/&amp;:d=rtpzt_NCLM" TargetMode="External"/><Relationship Id="rId1103" Type="http://schemas.openxmlformats.org/officeDocument/2006/relationships/hyperlink" Target="https://fb.me/adspreview/facebook/25gmQAFKJnaEZvw" TargetMode="External"/><Relationship Id="rId1587" Type="http://schemas.openxmlformats.org/officeDocument/2006/relationships/hyperlink" Target="https://www.facebook.com/GCBA/posts/pfbid06DxPaxcJUeb5bHvFYidkD2KWH5Tnas2idZrZsuA7knpwNLncw5ReyUG7VkCgkS6Ll" TargetMode="External"/><Relationship Id="rId2434" Type="http://schemas.openxmlformats.org/officeDocument/2006/relationships/hyperlink" Target="https://a2g9b4.emailsp.com/f/rnl.aspx/?fei=1vvoo1vy.9ek=vyad8=t3stsy&amp;f2::=-l98i9di-10337&amp;x=pp&amp;yx0-2.e16.&amp;x=pv&amp;2b5g=qt_1rNCLM" TargetMode="External"/><Relationship Id="rId1104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1588" Type="http://schemas.openxmlformats.org/officeDocument/2006/relationships/hyperlink" Target="https://a2g9b4.emailsp.com/f/rnl.aspx/?fei=2orws1vy.9ek=vyad8=t3pyvy&amp;f2::=7chafagb&amp;x=pp&amp;yx0-2.e16.&amp;x=pv&amp;2b5g=qsz/rNCLM" TargetMode="External"/><Relationship Id="rId2435" Type="http://schemas.openxmlformats.org/officeDocument/2006/relationships/hyperlink" Target="https://e5c9a.mailupclient.com/f/rnl.aspx/?jhe=1r_yq2o/a&amp;le=t/.l7=swr_q/9.99a=59ndi-a&amp;9g-7e:-49&amp;25&amp;x=pp&amp;uy.-5-&amp;x=pv&amp;83dbzb4h=rrvqsrNCLM" TargetMode="External"/><Relationship Id="rId1105" Type="http://schemas.openxmlformats.org/officeDocument/2006/relationships/hyperlink" Target="https://www.facebook.com/GCBA/posts/pfbid0E16AtoNWBXLpWUXesZd3cPNQWebLVihxqQHLM15qSupdZQf2fk4wY3XMMtcEtzkfl" TargetMode="External"/><Relationship Id="rId1589" Type="http://schemas.openxmlformats.org/officeDocument/2006/relationships/hyperlink" Target="https://www.facebook.com/GCBA/posts/pfbid0a8T2kVnGv2zGjjpC6Qj1dR4wWGZk1mpYC6tt3iTmDVMgGaorxffC1vcMy1ZmQWsel" TargetMode="External"/><Relationship Id="rId2436" Type="http://schemas.openxmlformats.org/officeDocument/2006/relationships/hyperlink" Target="https://www.facebook.com/GCBA/posts/pfbid0YMAvJ4FjX7KdajVkgZaHfBTwQEpQRxi93KfW8bgbZknTXoa1s4k7jCHYxXPqmqS3l" TargetMode="External"/><Relationship Id="rId1106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2437" Type="http://schemas.openxmlformats.org/officeDocument/2006/relationships/hyperlink" Target="https://e5c9a.mailupclient.com/f/rnl.aspx/?jhe=1r_yq2o/a&amp;le=t/.l7=swr_r/9.99a=59ndi-a&amp;9g-7e:-49&amp;25&amp;x=pp&amp;uy.-5-&amp;x=pv&amp;83dbzb4h=rrvqssNCLM" TargetMode="External"/><Relationship Id="rId1107" Type="http://schemas.openxmlformats.org/officeDocument/2006/relationships/hyperlink" Target="https://www.facebook.com/GCBA/posts/pfbid0E16AtoNWBXLpWUXesZd3cPNQWebLVihxqQHLM15qSupdZQf2fk4wY3XMMtcEtzkfl" TargetMode="External"/><Relationship Id="rId2438" Type="http://schemas.openxmlformats.org/officeDocument/2006/relationships/hyperlink" Target="https://a2g9b4.emailsp.com/f/rnl.aspx/?fei=1uwuq_vy.9ek=vyad8=t3svoy&amp;f2::=2-neh9.9bd:5-cb10337&amp;x=pp&amp;yx0-2.e16.&amp;x=pv&amp;2b5g=qt/xpNCLM" TargetMode="External"/><Relationship Id="rId1108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2439" Type="http://schemas.openxmlformats.org/officeDocument/2006/relationships/hyperlink" Target="https://e5c9a.mailupclient.com/f/rnl.aspx/?jhe=vwurvxsx/&amp;x=pv&amp;bdi=tzfd&amp;=suxv_/7f1-a=5k9hibg&amp;x=pv&amp;9a&amp;-c4&amp;501&amp;x=pp&amp;u_9f1-a2&amp;.b/&amp;:d=rtpznzNCLM" TargetMode="External"/><Relationship Id="rId1109" Type="http://schemas.openxmlformats.org/officeDocument/2006/relationships/hyperlink" Target="https://www.facebook.com/GCBA/posts/pfbid0E16AtoNWBXLpWUXesZd3cPNQWebLVihxqQHLM15qSupdZQf2fk4wY3XMMtcEtzkfl" TargetMode="External"/><Relationship Id="rId519" Type="http://schemas.openxmlformats.org/officeDocument/2006/relationships/hyperlink" Target="https://a2g9b4.emailsp.com/f/rnl.aspx/?fei=1wqvoxxy.9ek=vyad8=/2vxx6d90.=3d.lfc&amp;x=pv&amp;.&amp;e08c1-&amp;34&amp;x=pp&amp;qx-f2::19h&amp;x=pv&amp;_95j=yrqptNCLM" TargetMode="External"/><Relationship Id="rId514" Type="http://schemas.openxmlformats.org/officeDocument/2006/relationships/hyperlink" Target="https://e5c9a.mailupclient.com/f/rnl.aspx/?jhe=vwurvxsx/&amp;x=pv&amp;bdi=tzfd&amp;=st_nz/7f1-a=5k9hibg&amp;x=pv&amp;9a&amp;-c4&amp;501&amp;x=pp&amp;u_9f1-a2&amp;.b/&amp;:d=rsv/vzNCLM" TargetMode="External"/><Relationship Id="rId998" Type="http://schemas.openxmlformats.org/officeDocument/2006/relationships/hyperlink" Target="https://a2g9b4.emailsp.com/f/rnl.aspx/?fei=1wqvoxxy.9ek=vyad8=t3ovuy&amp;f2::=4ibeh..e--:5d6.451&amp;x=pp&amp;r1.&amp;x=pv&amp;49-6&amp;aax00l=ruwxvNCLM" TargetMode="External"/><Relationship Id="rId513" Type="http://schemas.openxmlformats.org/officeDocument/2006/relationships/hyperlink" Target="https://a2g9b4.emailsp.com/f/rnl.aspx/?fei=2orws1vy.9ek=vyad8=/2vwx6d90.=6-fhddf:&amp;x=pp&amp;w38a10c84c-y.:e=tqox_NCLM" TargetMode="External"/><Relationship Id="rId997" Type="http://schemas.openxmlformats.org/officeDocument/2006/relationships/hyperlink" Target="https://www.facebook.com/GCBA/posts/pfbid02BLwc5PnG5EYzbVeS3qNZ6Nb5in3PifakagmTh6BFX3zNQZ1rLsJ3FsQx9JDG2gFdl" TargetMode="External"/><Relationship Id="rId512" Type="http://schemas.openxmlformats.org/officeDocument/2006/relationships/hyperlink" Target="https://a2g9b4.emailsp.com/f/rnl.aspx/?fei=2orws1vy.9ek=vyad8=/2uyx6d90.=6-fhddf:&amp;x=pp&amp;w38a10c84c-y.:e=tqovvNCLM" TargetMode="External"/><Relationship Id="rId996" Type="http://schemas.openxmlformats.org/officeDocument/2006/relationships/hyperlink" Target="https://a2g9b4.emailsp.com/f/rnl.aspx/?fei=1wqvoxxy.9ek=vyad8=t3ovuy&amp;f2::=4ibeh..e--:5d6.451&amp;x=pp&amp;r1.&amp;x=pv&amp;49-6&amp;aax00l=rtvw/NCLM" TargetMode="External"/><Relationship Id="rId511" Type="http://schemas.openxmlformats.org/officeDocument/2006/relationships/hyperlink" Target="https://a2g9b4.emailsp.com/f/rnl.aspx/?fei=2orws1vy.9ek=vyad8=/2uxx6d90.=6-fhddf:&amp;x=pp&amp;w38a10c84c-y.:e=tqovwNCLM" TargetMode="External"/><Relationship Id="rId995" Type="http://schemas.openxmlformats.org/officeDocument/2006/relationships/hyperlink" Target="https://www.facebook.com/reel/1297000715746820" TargetMode="External"/><Relationship Id="rId518" Type="http://schemas.openxmlformats.org/officeDocument/2006/relationships/hyperlink" Target="https://a2g9b4.emailsp.com/f/rnl.aspx/?fei=1wqvoxxy.9ek=vyad8=/2twx6d90.=3d.lfc&amp;x=pv&amp;.&amp;e08c1-&amp;34&amp;x=pp&amp;qx-f2::19h&amp;x=pv&amp;_95j=yrzpsNCLM" TargetMode="External"/><Relationship Id="rId517" Type="http://schemas.openxmlformats.org/officeDocument/2006/relationships/hyperlink" Target="https://e5c9a.mailupclient.com/f/rnl.aspx/?jhe=vwurvxsx/&amp;x=pv&amp;bdi=tzfd&amp;=st_ws/7f1-a=5k9hibg&amp;x=pv&amp;9a&amp;-c4&amp;501&amp;x=pp&amp;u_9f1-a2&amp;.b/&amp;:d=rsv/vvNCLM" TargetMode="External"/><Relationship Id="rId516" Type="http://schemas.openxmlformats.org/officeDocument/2006/relationships/hyperlink" Target="https://e5c9a.mailupclient.com/f/rnl.aspx/?jhe=1r_yq2o/a&amp;le=t/.l7=svuxu/9.99a=59ndi-a&amp;9g-7e:-49&amp;25&amp;x=pp&amp;uy.-5-&amp;x=pv&amp;83dbzb4h=rq/uyxNCLM" TargetMode="External"/><Relationship Id="rId515" Type="http://schemas.openxmlformats.org/officeDocument/2006/relationships/hyperlink" Target="https://a2g9b4.emailsp.com/f/rnl.aspx/?fei=1uwuq_vy.9ek=vyad8=/1uqx6d90.=18llf:&amp;x=pv&amp;4.k08:-.88622&amp;x=pp&amp;w38a10c84c-y.:e=tptwzNCLM" TargetMode="External"/><Relationship Id="rId999" Type="http://schemas.openxmlformats.org/officeDocument/2006/relationships/hyperlink" Target="https://www.facebook.com/GCBA/posts/pfbid02BLwc5PnG5EYzbVeS3qNZ6Nb5in3PifakagmTh6BFX3zNQZ1rLsJ3FsQx9JDG2gFdl" TargetMode="External"/><Relationship Id="rId990" Type="http://schemas.openxmlformats.org/officeDocument/2006/relationships/hyperlink" Target="https://a2g9b4.emailsp.com/f/rnl.aspx/?fei=1vvoo1vy.9ek=vyad8=t3otoy&amp;f2::=-l98i9di-10337&amp;x=pp&amp;yx0-2.e16.&amp;x=pv&amp;2b5g=qs1vsNCLM" TargetMode="External"/><Relationship Id="rId1580" Type="http://schemas.openxmlformats.org/officeDocument/2006/relationships/hyperlink" Target="https://www.facebook.com/reel/1472318561601142" TargetMode="External"/><Relationship Id="rId1581" Type="http://schemas.openxmlformats.org/officeDocument/2006/relationships/hyperlink" Target="https://a2g9b4.emailsp.com/f/rnl.aspx/?fei=1wqvoxxy.9ek=vyad8=t3qqpy&amp;f2::=4ibeh..e--:5d6.451&amp;x=pp&amp;r1.&amp;x=pv&amp;49-6&amp;aax00l=ruto_NCLM" TargetMode="External"/><Relationship Id="rId1582" Type="http://schemas.openxmlformats.org/officeDocument/2006/relationships/hyperlink" Target="https://www.facebook.com/reel/964158469753608" TargetMode="External"/><Relationship Id="rId510" Type="http://schemas.openxmlformats.org/officeDocument/2006/relationships/hyperlink" Target="https://a2g9b4.emailsp.com/f/rnl.aspx/?fei=2orws1vy.9ek=vyad8=/2vux6d90.=6-fhddf:&amp;x=pp&amp;w38a10c84c-y.:e=tqouvNCLM" TargetMode="External"/><Relationship Id="rId994" Type="http://schemas.openxmlformats.org/officeDocument/2006/relationships/hyperlink" Target="https://a2g9b4.emailsp.com/f/rnl.aspx/?fei=1vvoo1vy.9ek=vyad8=t3ovsy&amp;f2::=-l98i9di-10337&amp;x=pp&amp;yx0-2.e16.&amp;x=pv&amp;2b5g=qr/2qNCLM" TargetMode="External"/><Relationship Id="rId1583" Type="http://schemas.openxmlformats.org/officeDocument/2006/relationships/hyperlink" Target="https://a2g9b4.emailsp.com/f/rnl.aspx/?fei=2orws1vy.9ek=vyad8=t3pxvy&amp;f2::=7chafagb&amp;x=pp&amp;yx0-2.e16.&amp;x=pv&amp;2b5g=qszvrNCLM" TargetMode="External"/><Relationship Id="rId2430" Type="http://schemas.openxmlformats.org/officeDocument/2006/relationships/hyperlink" Target="https://a2g9b4.emailsp.com/f/rnl.aspx/?fei=1vvoo_2y.9ek=vyad8=t3sspy&amp;f2::=k702m1k6.451&amp;x=pp&amp;r1.&amp;x=pv&amp;49-6&amp;aax00l=rvtu1NCLM" TargetMode="External"/><Relationship Id="rId993" Type="http://schemas.openxmlformats.org/officeDocument/2006/relationships/hyperlink" Target="https://www.facebook.com/reel/1297000715746820" TargetMode="External"/><Relationship Id="rId1100" Type="http://schemas.openxmlformats.org/officeDocument/2006/relationships/hyperlink" Target="https://a2g9b4.emailsp.com/f/rnl.aspx/?fei=1vvoo_2y.9ek=vyad8=t3owny&amp;f2::=k702m1k6.451&amp;x=pp&amp;r1.&amp;x=pv&amp;49-6&amp;aax00l=runxvNCLM" TargetMode="External"/><Relationship Id="rId1584" Type="http://schemas.openxmlformats.org/officeDocument/2006/relationships/hyperlink" Target="https://www.facebook.com/GCBA/posts/pfbid032mscwuQPN9NkdqarmemBpiwHLejmd6xwJWoX11HzwdhzeTPW87msibSioCATLzyQl" TargetMode="External"/><Relationship Id="rId2431" Type="http://schemas.openxmlformats.org/officeDocument/2006/relationships/hyperlink" Target="https://e5c9a.mailupclient.com/f/rnl.aspx/?jhe=vwszuxsy/&amp;x=pv&amp;bdi=tzfd&amp;=suxtx/7f1-a=l925n3r/&amp;749&amp;x=pp&amp;q_&amp;.99a45h-/-6l=ntrs1wNCLM" TargetMode="External"/><Relationship Id="rId992" Type="http://schemas.openxmlformats.org/officeDocument/2006/relationships/hyperlink" Target="https://a2g9b4.emailsp.com/f/rnl.aspx/?fei=1vvoo1vy.9ek=vyad8=t3ovty&amp;f2::=-l98i9di-10337&amp;x=pp&amp;yx0-2.e16.&amp;x=pv&amp;2b5g=qr/2rNCLM" TargetMode="External"/><Relationship Id="rId1101" Type="http://schemas.openxmlformats.org/officeDocument/2006/relationships/hyperlink" Target="https://fb.me/adspreview/facebook/25924LzCyb9nNj7" TargetMode="External"/><Relationship Id="rId1585" Type="http://schemas.openxmlformats.org/officeDocument/2006/relationships/hyperlink" Target="https://e5c9a.mailupclient.com/f/rnl.aspx/?jhe=vwvwwvrv/&amp;x=pv&amp;bdi=tzfd&amp;=su3uv/7f1-a=8e.dgcn&amp;&amp;x=pp&amp;u_9f1-a2&amp;.b/&amp;:d=rty3prNCLM" TargetMode="External"/><Relationship Id="rId2432" Type="http://schemas.openxmlformats.org/officeDocument/2006/relationships/hyperlink" Target="https://e5c9a.mailupclient.com/f/rnl.aspx/?jhe=vwszuxsy/&amp;x=pv&amp;bdi=tzfd&amp;=suxtw/7f1-a=l925n3r/&amp;749&amp;x=pp&amp;q_&amp;.99a45h-/-6l=ntrs/pNCLM" TargetMode="External"/><Relationship Id="rId991" Type="http://schemas.openxmlformats.org/officeDocument/2006/relationships/hyperlink" Target="https://www.facebook.com/reel/1297000715746820" TargetMode="External"/><Relationship Id="rId1102" Type="http://schemas.openxmlformats.org/officeDocument/2006/relationships/hyperlink" Target="https://a2g9b4.emailsp.com/f/rnl.aspx/?fei=1uwuq_vy.9ek=vyad8=t3oywy&amp;f2::=2-neh9.9bd:5-cb10337&amp;x=pp&amp;yx0-2.e16.&amp;x=pv&amp;2b5g=qstvqNCLM" TargetMode="External"/><Relationship Id="rId1586" Type="http://schemas.openxmlformats.org/officeDocument/2006/relationships/hyperlink" Target="https://e5c9a.mailupclient.com/f/rnl.aspx/?jhe=vwvwwvrv/&amp;x=pv&amp;bdi=tzfd&amp;=su3ux/7f1-a=8e.dgcn&amp;&amp;x=pp&amp;u_9f1-a2&amp;.b/&amp;:d=rty3syNCLM" TargetMode="External"/><Relationship Id="rId2433" Type="http://schemas.openxmlformats.org/officeDocument/2006/relationships/hyperlink" Target="https://www.facebook.com/GCBA/posts/pfbid0JTXdLyaJwPfLAE4dkUaoddzSYvpCGxAmaCJbFYYMYtJwzkCAd5iDzCZSUSiRgtNrl" TargetMode="External"/><Relationship Id="rId1532" Type="http://schemas.openxmlformats.org/officeDocument/2006/relationships/hyperlink" Target="https://a2g9b4.emailsp.com/f/rnl.aspx/?fei=1vvoo_2y.9ek=vyad8=t3pysy&amp;f2::=k702m1k6.451&amp;x=pp&amp;r1.&amp;x=pv&amp;49-6&amp;aax00l=rusvtNCLM" TargetMode="External"/><Relationship Id="rId2863" Type="http://schemas.openxmlformats.org/officeDocument/2006/relationships/hyperlink" Target="https://e5c9a.mailupclient.com/f/rnl.aspx/?jhe=vwurvxsx/&amp;x=pv&amp;bdi=tzfd&amp;=su_oz/7f1-a=5k9hibg&amp;x=pv&amp;9a&amp;-c4&amp;501&amp;x=pp&amp;u_9f1-a2&amp;.b/&amp;:d=rtq/qwNCLM" TargetMode="External"/><Relationship Id="rId1533" Type="http://schemas.openxmlformats.org/officeDocument/2006/relationships/hyperlink" Target="https://www.facebook.com/GCBA/posts/pfbid0u7cdZzmqfW7oJVT6CJQaBE2Gs1uPJf3HSZaXTnMwACUmMsAwF96WVwfkeiozCrt3l" TargetMode="External"/><Relationship Id="rId2864" Type="http://schemas.openxmlformats.org/officeDocument/2006/relationships/hyperlink" Target="https://e5c9a.mailupclient.com/f/rnl.aspx/?jhe=vwurvxsx/&amp;x=pv&amp;bdi=tzfd&amp;=su_ov/7f1-a=5k9hibg&amp;x=pv&amp;9a&amp;-c4&amp;501&amp;x=pp&amp;u_9f1-a2&amp;.b/&amp;:d=rtq/pzNCLM" TargetMode="External"/><Relationship Id="rId1534" Type="http://schemas.openxmlformats.org/officeDocument/2006/relationships/hyperlink" Target="https://a2g9b4.emailsp.com/f/rnl.aspx/?fei=1vvoo_2y.9ek=vyad8=t3qzpy&amp;f2::=k702m1k6.451&amp;x=pp&amp;r1.&amp;x=pv&amp;49-6&amp;aax00l=russ/NCLM" TargetMode="External"/><Relationship Id="rId2865" Type="http://schemas.openxmlformats.org/officeDocument/2006/relationships/hyperlink" Target="https://e5c9a.mailupclient.com/f/rnl.aspx/?jhe=vwurvxsx/&amp;x=pv&amp;bdi=tzfd&amp;=su_ou/7f1-a=5k9hibg&amp;x=pv&amp;9a&amp;-c4&amp;501&amp;x=pp&amp;u_9f1-a2&amp;.b/&amp;:d=rtq/pvNCLM" TargetMode="External"/><Relationship Id="rId1535" Type="http://schemas.openxmlformats.org/officeDocument/2006/relationships/hyperlink" Target="https://www.facebook.com/reel/951776357660673" TargetMode="External"/><Relationship Id="rId2866" Type="http://schemas.openxmlformats.org/officeDocument/2006/relationships/hyperlink" Target="https://e5c9a.mailupclient.com/f/rnl.aspx/?jhe=vwx_s/vu/&amp;x=pv&amp;bdi=tzfd&amp;=su_qz/7f1-a=.b:a5a-d4&amp;501&amp;x=pp&amp;u_9f1-a2&amp;.b/&amp;:d=rtq/srNCLM" TargetMode="External"/><Relationship Id="rId1536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867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37" Type="http://schemas.openxmlformats.org/officeDocument/2006/relationships/hyperlink" Target="https://www.facebook.com/GCBA/posts/pfbid0b4iNwqqUvd7F2M6U3W1Z3ZRhXQk3Fbxfforwy1qj6ogdFrWrUMFCXe4GBue93wZml" TargetMode="External"/><Relationship Id="rId2868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38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869" Type="http://schemas.openxmlformats.org/officeDocument/2006/relationships/hyperlink" Target="https://e5c9a.mailupclient.com/f/rnl.aspx/?jhe=vwurvxsx/&amp;x=pv&amp;bdi=tzfd&amp;=su_pv/7f1-a=5k9hibg&amp;x=pv&amp;9a&amp;-c4&amp;501&amp;x=pp&amp;u_9f1-a2&amp;.b/&amp;:d=rtq/sxNCLM" TargetMode="External"/><Relationship Id="rId1539" Type="http://schemas.openxmlformats.org/officeDocument/2006/relationships/hyperlink" Target="https://www.facebook.com/GCBA/posts/pfbid0Vvo1snbWQUJCfizwey3iFm15roi65uauFHetQAN4MTdQy6wZP8bvdWYvdNqqcMMRl" TargetMode="External"/><Relationship Id="rId949" Type="http://schemas.openxmlformats.org/officeDocument/2006/relationships/hyperlink" Target="https://a2g9b4.emailsp.com/f/rnl.aspx/?fei=2orws1vy.9ek=vyad8=t3otvy&amp;f2::=7chafagb&amp;x=pp&amp;yx0-2.e16.&amp;x=pv&amp;2b5g=qr/wvNCLM" TargetMode="External"/><Relationship Id="rId948" Type="http://schemas.openxmlformats.org/officeDocument/2006/relationships/hyperlink" Target="https://fb.me/adspreview/facebook/24epCKCVRwVMKpl" TargetMode="External"/><Relationship Id="rId943" Type="http://schemas.openxmlformats.org/officeDocument/2006/relationships/hyperlink" Target="https://e5c9a.mailupclient.com/f/rnl.aspx/?jhe=1r_yq2o/a&amp;le=t/.l7=svw_s/9.99a=59ndi-a&amp;9g-7e:-49&amp;25&amp;x=pp&amp;uy.-5-&amp;x=pv&amp;83dbzb4h=rq1vywNCLM" TargetMode="External"/><Relationship Id="rId942" Type="http://schemas.openxmlformats.org/officeDocument/2006/relationships/hyperlink" Target="https://www.facebook.com/reel/1268940337902073" TargetMode="External"/><Relationship Id="rId941" Type="http://schemas.openxmlformats.org/officeDocument/2006/relationships/hyperlink" Target="https://e5c9a.mailupclient.com/f/rnl.aspx/?jhe=vwurvxsx/&amp;x=pv&amp;bdi=tzfd&amp;=st1us/7f1-a=5k9hibg&amp;x=pv&amp;9a&amp;-c4&amp;501&amp;x=pp&amp;u_9f1-a2&amp;.b/&amp;:d=rsx3r_NCLM" TargetMode="External"/><Relationship Id="rId940" Type="http://schemas.openxmlformats.org/officeDocument/2006/relationships/hyperlink" Target="https://www.facebook.com/GCBA/posts/pfbid0UoUsjmb5AksB2ppUvAXqiJUnUxKFuacLpdYuzz6z6SwzHxXvxhdEuBRbYDVGohwhl" TargetMode="External"/><Relationship Id="rId947" Type="http://schemas.openxmlformats.org/officeDocument/2006/relationships/hyperlink" Target="https://e5c9a.mailupclient.com/f/rnl.aspx/?jhe=1r_yq2o/a&amp;le=t/.l7=svw_u/9.99a=59ndi-a&amp;9g-7e:-49&amp;25&amp;x=pp&amp;uy.-5-&amp;x=pv&amp;83dbzb4h=rq2w_tNCLM" TargetMode="External"/><Relationship Id="rId946" Type="http://schemas.openxmlformats.org/officeDocument/2006/relationships/hyperlink" Target="https://www.facebook.com/reel/921265827604557" TargetMode="External"/><Relationship Id="rId945" Type="http://schemas.openxmlformats.org/officeDocument/2006/relationships/hyperlink" Target="https://e5c9a.mailupclient.com/f/rnl.aspx/?jhe=1r_yq2o/a&amp;le=t/.l7=svw_v/9.99a=59ndi-a&amp;9g-7e:-49&amp;25&amp;x=pp&amp;uy.-5-&amp;x=pv&amp;83dbzb4h=rq1vzxNCLM" TargetMode="External"/><Relationship Id="rId944" Type="http://schemas.openxmlformats.org/officeDocument/2006/relationships/hyperlink" Target="https://www.facebook.com/reel/921265827604557" TargetMode="External"/><Relationship Id="rId2860" Type="http://schemas.openxmlformats.org/officeDocument/2006/relationships/hyperlink" Target="https://e5c9a.mailupclient.com/f/rnl.aspx/?jhe=vwurvxsx/&amp;x=pv&amp;bdi=tzfd&amp;=su_qy/7f1-a=5k9hibg&amp;x=pv&amp;9a&amp;-c4&amp;501&amp;x=pp&amp;u_9f1-a2&amp;.b/&amp;:d=rtq/s_NCLM" TargetMode="External"/><Relationship Id="rId1530" Type="http://schemas.openxmlformats.org/officeDocument/2006/relationships/hyperlink" Target="https://a2g9b4.emailsp.com/f/rnl.aspx/?fei=1vvoo1vy.9ek=vyad8=t3qzwy&amp;f2::=-l98i9di-10337&amp;x=pp&amp;yx0-2.e16.&amp;x=pv&amp;2b5g=qs_xrNCLM" TargetMode="External"/><Relationship Id="rId2861" Type="http://schemas.openxmlformats.org/officeDocument/2006/relationships/hyperlink" Target="https://e5c9a.mailupclient.com/f/rnl.aspx/?jhe=vwvwwvrv/&amp;x=pv&amp;bdi=tzfd&amp;=su_n_/7f1-a=8e.dgcn&amp;&amp;x=pp&amp;u_9f1-a2&amp;.b/&amp;:d=rtq/pyNCLM" TargetMode="External"/><Relationship Id="rId1531" Type="http://schemas.openxmlformats.org/officeDocument/2006/relationships/hyperlink" Target="https://www.facebook.com/GCBA/posts/pfbid0u7cdZzmqfW7oJVT6CJQaBE2Gs1uPJf3HSZaXTnMwACUmMsAwF96WVwfkeiozCrt3l" TargetMode="External"/><Relationship Id="rId2862" Type="http://schemas.openxmlformats.org/officeDocument/2006/relationships/hyperlink" Target="https://e5c9a.mailupclient.com/f/rnl.aspx/?jhe=vwvwwvrv/&amp;x=pv&amp;bdi=tzfd&amp;=su_r_/7f1-a=8e.dgcn&amp;&amp;x=pp&amp;u_9f1-a2&amp;.b/&amp;:d=rtq/twNCLM" TargetMode="External"/><Relationship Id="rId1521" Type="http://schemas.openxmlformats.org/officeDocument/2006/relationships/hyperlink" Target="https://www.facebook.com/GCBA/posts/pfbid02j1Uzb4DFfv6YsGCqVkmzxyECsgA7zkVG3iuP7oYY19wRRMsH9twtXPA2PisDPnsKl" TargetMode="External"/><Relationship Id="rId2852" Type="http://schemas.openxmlformats.org/officeDocument/2006/relationships/hyperlink" Target="https://e5c9a.mailupclient.com/f/rnl.aspx/?jhe=vwurvxsx/&amp;x=pv&amp;bdi=tzfd&amp;=su_ny/7f1-a=5k9hibg&amp;x=pv&amp;9a&amp;-c4&amp;501&amp;x=pp&amp;u_9f1-a2&amp;.b/&amp;:d=rtq_rvNCLM" TargetMode="External"/><Relationship Id="rId1522" Type="http://schemas.openxmlformats.org/officeDocument/2006/relationships/hyperlink" Target="https://a2g9b4.emailsp.com/f/rnl.aspx/?fei=1wqvoxxy.9ek=vyad8=t3qzry&amp;f2::=4ibeh..e--:5d6.451&amp;x=pp&amp;r1.&amp;x=pv&amp;49-6&amp;aax00l=rust/NCLM" TargetMode="External"/><Relationship Id="rId2853" Type="http://schemas.openxmlformats.org/officeDocument/2006/relationships/hyperlink" Target="https://e5c9a.mailupclient.com/f/rnl.aspx/?jhe=vwurvxsx/&amp;x=pv&amp;bdi=tzfd&amp;=su_qr/7f1-a=5k9hibg&amp;x=pv&amp;9a&amp;-c4&amp;501&amp;x=pp&amp;u_9f1-a2&amp;.b/&amp;:d=rtq/prNCLM" TargetMode="External"/><Relationship Id="rId1523" Type="http://schemas.openxmlformats.org/officeDocument/2006/relationships/hyperlink" Target="https://fb.me/adspreview/facebook/2qgzug1GUWftxho" TargetMode="External"/><Relationship Id="rId2854" Type="http://schemas.openxmlformats.org/officeDocument/2006/relationships/hyperlink" Target="https://e5c9a.mailupclient.com/f/rnl.aspx/?jhe=vwvwwvrv/&amp;x=pv&amp;bdi=tzfd&amp;=su_pr/7f1-a=8e.dgcn&amp;&amp;x=pp&amp;u_9f1-a2&amp;.b/&amp;:d=rtq/nrNCLM" TargetMode="External"/><Relationship Id="rId1524" Type="http://schemas.openxmlformats.org/officeDocument/2006/relationships/hyperlink" Target="https://e5c9a.mailupclient.com/f/rnl.aspx/?jhe=vwvwwvrv/&amp;x=pv&amp;bdi=tzfd&amp;=su3rv/7f1-a=8e.dgcn&amp;&amp;x=pp&amp;u_9f1-a2&amp;.b/&amp;:d=rsx1txNCLM" TargetMode="External"/><Relationship Id="rId2855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25" Type="http://schemas.openxmlformats.org/officeDocument/2006/relationships/hyperlink" Target="https://www.facebook.com/GCBA/posts/pfbid035McDB5ssdrJJa3P1dLQ3VYe2fbmQjPYatRBMRSA5ESWE5wNQ1v9qUxjbi2UBZnVKl" TargetMode="External"/><Relationship Id="rId2856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26" Type="http://schemas.openxmlformats.org/officeDocument/2006/relationships/hyperlink" Target="https://a2g9b4.emailsp.com/f/rnl.aspx/?fei=2orws1vy.9ek=vyad8=t3pxty&amp;f2::=7chafagb&amp;x=pp&amp;yx0-2.e16.&amp;x=pv&amp;2b5g=qsy1sNCLM" TargetMode="External"/><Relationship Id="rId2857" Type="http://schemas.openxmlformats.org/officeDocument/2006/relationships/hyperlink" Target="https://a2g9b4.emailsp.com/f/rnl.aspx/?fei=1uwuq_vy.9ek=vyad8=t3uuoy&amp;f2::=2-neh9.9bd:5-cb10337&amp;x=pp&amp;yx0-2.e16.&amp;x=pv&amp;2b5g=qu_1pNCLM" TargetMode="External"/><Relationship Id="rId1527" Type="http://schemas.openxmlformats.org/officeDocument/2006/relationships/hyperlink" Target="https://www.facebook.com/GCBA/posts/pfbid035McDB5ssdrJJa3P1dLQ3VYe2fbmQjPYatRBMRSA5ESWE5wNQ1v9qUxjbi2UBZnVKl" TargetMode="External"/><Relationship Id="rId2858" Type="http://schemas.openxmlformats.org/officeDocument/2006/relationships/hyperlink" Target="https://e5c9a.mailupclient.com/f/rnl.aspx/?jhe=1r_yq2o/a&amp;le=t/.l7=swuvr/9.99a=59ndi-a&amp;9g-7e:-49&amp;25&amp;x=pp&amp;uy.-5-&amp;x=pv&amp;83dbzb4h=rrwstzNCLM" TargetMode="External"/><Relationship Id="rId1528" Type="http://schemas.openxmlformats.org/officeDocument/2006/relationships/hyperlink" Target="https://a2g9b4.emailsp.com/f/rnl.aspx/?fei=1vvoo1vy.9ek=vyad8=t3pvuy&amp;f2::=-l98i9di-10337&amp;x=pp&amp;yx0-2.e16.&amp;x=pv&amp;2b5g=qsywtNCLM" TargetMode="External"/><Relationship Id="rId2859" Type="http://schemas.openxmlformats.org/officeDocument/2006/relationships/hyperlink" Target="https://e5c9a.mailupclient.com/f/rnl.aspx/?jhe=1r_yq2o/a&amp;le=t/.l7=swuvq/9.99a=59ndi-a&amp;9g-7e:-49&amp;25&amp;x=pp&amp;uy.-5-&amp;x=pv&amp;83dbzb4h=rrwstyNCLM" TargetMode="External"/><Relationship Id="rId1529" Type="http://schemas.openxmlformats.org/officeDocument/2006/relationships/hyperlink" Target="https://www.facebook.com/GCBA/posts/pfbid0u7cdZzmqfW7oJVT6CJQaBE2Gs1uPJf3HSZaXTnMwACUmMsAwF96WVwfkeiozCrt3l" TargetMode="External"/><Relationship Id="rId939" Type="http://schemas.openxmlformats.org/officeDocument/2006/relationships/hyperlink" Target="https://a2g9b4.emailsp.com/f/rnl.aspx/?fei=1vvoo_2y.9ek=vyad8=t3otuy&amp;f2::=YABAYAY1GCBA&amp;x=pp&amp;w3GMAIL1COM_95j=yrynoNCLM" TargetMode="External"/><Relationship Id="rId938" Type="http://schemas.openxmlformats.org/officeDocument/2006/relationships/hyperlink" Target="https://www.facebook.com/GCBA/posts/pfbid0UoUsjmb5AksB2ppUvAXqiJUnUxKFuacLpdYuzz6z6SwzHxXvxhdEuBRbYDVGohwhl" TargetMode="External"/><Relationship Id="rId937" Type="http://schemas.openxmlformats.org/officeDocument/2006/relationships/hyperlink" Target="https://e5c9a.mailupclient.com/f/rnl.aspx/?jhe=vwt_y1w_/&amp;x=pv&amp;bdi=tzfd&amp;=st1wt/7f1-a=&amp;x=pv&amp;n1&amp;j&amp;kc949&amp;25&amp;x=pp&amp;uy.-5-&amp;x=pv&amp;83dbzb4h=rq1tyzNCLM" TargetMode="External"/><Relationship Id="rId932" Type="http://schemas.openxmlformats.org/officeDocument/2006/relationships/hyperlink" Target="https://www.facebook.com/baparticipacion/posts/pfbid025eXMMaMRR3xtuDzYFXpTi4Ew9wWyJ4dFKqVhL6K7ZPYi2WqphriDmGj6njpAB1uGl" TargetMode="External"/><Relationship Id="rId931" Type="http://schemas.openxmlformats.org/officeDocument/2006/relationships/hyperlink" Target="https://e5c9a.mailupclient.com/f/rnl.aspx/?jhe=vwt_y1w_/&amp;x=pv&amp;bdi=tzfd&amp;=st1tx/7f1-a=&amp;x=pv&amp;n1&amp;j&amp;kc949&amp;25&amp;x=pp&amp;uy.-5-&amp;x=pv&amp;83dbzb4h=rq2wswNCLM" TargetMode="External"/><Relationship Id="rId930" Type="http://schemas.openxmlformats.org/officeDocument/2006/relationships/hyperlink" Target="https://www.facebook.com/reel/1464940425134717" TargetMode="External"/><Relationship Id="rId936" Type="http://schemas.openxmlformats.org/officeDocument/2006/relationships/hyperlink" Target="https://www.facebook.com/GCBA/posts/pfbid02kJAqNJQKHkr6HnTWhtj4EoMmoQkvchXoGoksdB483aiZM8mHCyBfuzEiebUqSfgCl" TargetMode="External"/><Relationship Id="rId935" Type="http://schemas.openxmlformats.org/officeDocument/2006/relationships/hyperlink" Target="https://a2g9b4.emailsp.com/f/rnl.aspx/?fei=1vvoo1vy.9ek=vyad8=t3oupy&amp;f2::=-l98i9di-10337&amp;x=pp&amp;yx0-2.e16.&amp;x=pv&amp;2b5g=qr/xpNCLM" TargetMode="External"/><Relationship Id="rId934" Type="http://schemas.openxmlformats.org/officeDocument/2006/relationships/hyperlink" Target="https://www.facebook.com/GCBA/posts/pfbid02kJAqNJQKHkr6HnTWhtj4EoMmoQkvchXoGoksdB483aiZM8mHCyBfuzEiebUqSfgCl" TargetMode="External"/><Relationship Id="rId933" Type="http://schemas.openxmlformats.org/officeDocument/2006/relationships/hyperlink" Target="https://a2g9b4.emailsp.com/f/rnl.aspx/?fei=1vvoo1vy.9ek=vyad8=t3ouoy&amp;f2::=-l98i9di-10337&amp;x=pp&amp;yx0-2.e16.&amp;x=pv&amp;2b5g=qr/xoNCLM" TargetMode="External"/><Relationship Id="rId2850" Type="http://schemas.openxmlformats.org/officeDocument/2006/relationships/hyperlink" Target="https://a2g9b4.emailsp.com/f/rnl.aspx/?fei=1vvoo_2y.9ek=vyad8=t3uvwy&amp;f2::=k702m1k6.451&amp;x=pp&amp;r1.&amp;x=pv&amp;49-6&amp;aax00l=rwvpuNCLM" TargetMode="External"/><Relationship Id="rId1520" Type="http://schemas.openxmlformats.org/officeDocument/2006/relationships/hyperlink" Target="https://a2g9b4.emailsp.com/f/rnl.aspx/?fei=1wqvoxxy.9ek=vyad8=t3qzty&amp;f2::=4ibeh..e--:5d6.451&amp;x=pp&amp;r1.&amp;x=pv&amp;49-6&amp;aax00l=rusvzNCLM" TargetMode="External"/><Relationship Id="rId2851" Type="http://schemas.openxmlformats.org/officeDocument/2006/relationships/hyperlink" Target="https://e5c9a.mailupclient.com/f/rnl.aspx/?jhe=vwurvxsx/&amp;x=pv&amp;bdi=tzfd&amp;=su_q_/7f1-a=5k9hibg&amp;x=pv&amp;9a&amp;-c4&amp;501&amp;x=pp&amp;u_9f1-a2&amp;.b/&amp;:d=rtq/otNCLM" TargetMode="External"/><Relationship Id="rId1554" Type="http://schemas.openxmlformats.org/officeDocument/2006/relationships/hyperlink" Target="https://www.facebook.com/GCBA/posts/pfbid02SxtyJoPBZWM4aLPPWpbx5aQ2pXhLz1xkD7pZuL1A9gXXJmJnpRhKVuqHr1aBtrGcl" TargetMode="External"/><Relationship Id="rId2401" Type="http://schemas.openxmlformats.org/officeDocument/2006/relationships/hyperlink" Target="https://e5c9a.mailupclient.com/f/rnl.aspx/?jhe=vwurvxsx/&amp;x=pv&amp;bdi=tzfd&amp;=suxsr/7f1-a=5k9hibg&amp;x=pv&amp;9a&amp;-c4&amp;501&amp;x=pp&amp;u_9f1-a2&amp;.b/&amp;:d=rtpxvxNCLM" TargetMode="External"/><Relationship Id="rId2885" Type="http://schemas.openxmlformats.org/officeDocument/2006/relationships/hyperlink" Target="https://a2g9b4.emailsp.com/f/rnl.aspx/?fei=1uwuq_vy.9ek=vyad8=t3uxny&amp;f2::=2-neh9.9bd:5-cb10337&amp;x=pp&amp;yx0-2.e16.&amp;x=pv&amp;2b5g=qv13oNCLM" TargetMode="External"/><Relationship Id="rId1555" Type="http://schemas.openxmlformats.org/officeDocument/2006/relationships/hyperlink" Target="https://e5c9a.mailupclient.com/f/rnl.aspx/?jhe=vwurvxsx/&amp;x=pv&amp;bdi=tzfd&amp;=su3ry/7f1-a=5k9hibg&amp;x=pv&amp;9a&amp;-c4&amp;501&amp;x=pp&amp;u_9f1-a2&amp;.b/&amp;:d=rsx1vxNCLM" TargetMode="External"/><Relationship Id="rId2402" Type="http://schemas.openxmlformats.org/officeDocument/2006/relationships/hyperlink" Target="https://e5c9a.mailupclient.com/f/rnl.aspx/?jhe=vwvwwvrv/&amp;x=pv&amp;bdi=tzfd&amp;=suxt_/7f1-a=8e.dgcn&amp;&amp;x=pp&amp;u_9f1-a2&amp;.b/&amp;:d=rtpyuyNCLM" TargetMode="External"/><Relationship Id="rId2886" Type="http://schemas.openxmlformats.org/officeDocument/2006/relationships/hyperlink" Target="https://e5c9a.mailupclient.com/f/rnl.aspx/?jhe=1r_yq2o/a&amp;le=t/.l7=swuvs/9.99a=59ndi-a&amp;9g-7e:-49&amp;25&amp;x=pp&amp;uy.-5-&amp;x=pv&amp;83dbzb4h=rrwsu_NCLM" TargetMode="External"/><Relationship Id="rId1556" Type="http://schemas.openxmlformats.org/officeDocument/2006/relationships/hyperlink" Target="https://www.facebook.com/GCBA/posts/pfbid02mwrKmDbfvoUhtss5fmCX5RnWGcAg34Rc3HFNP4sMhzYsoGdi8qyBFSCq8v3Vw9wml" TargetMode="External"/><Relationship Id="rId2403" Type="http://schemas.openxmlformats.org/officeDocument/2006/relationships/hyperlink" Target="https://www.facebook.com/reel/1165651076637145" TargetMode="External"/><Relationship Id="rId2887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57" Type="http://schemas.openxmlformats.org/officeDocument/2006/relationships/hyperlink" Target="https://e5c9a.mailupclient.com/f/rnl.aspx/?jhe=vwurvxsx/&amp;x=pv&amp;bdi=tzfd&amp;=su3s_/7f1-a=5k9hibg&amp;x=pv&amp;9a&amp;-c4&amp;501&amp;x=pp&amp;u_9f1-a2&amp;.b/&amp;:d=rsx1vzNCLM" TargetMode="External"/><Relationship Id="rId2404" Type="http://schemas.openxmlformats.org/officeDocument/2006/relationships/hyperlink" Target="https://a2g9b4.emailsp.com/f/rnl.aspx/?fei=1vvoo1vy.9ek=vyad8=t3szsy&amp;f2::=-l98i9di-10337&amp;x=pp&amp;yx0-2.e16.&amp;x=pv&amp;2b5g=qtyytNCLM" TargetMode="External"/><Relationship Id="rId2888" Type="http://schemas.openxmlformats.org/officeDocument/2006/relationships/hyperlink" Target="https://e5c9a.mailupclient.com/f/rnl.aspx/?jhe=1r_yq2o/a&amp;le=t/.l7=swtyu/9.99a=59ndi-a&amp;9g-7e:-49&amp;25&amp;x=pp&amp;uy.-5-&amp;x=pv&amp;83dbzb4h=rrwozsNCLM" TargetMode="External"/><Relationship Id="rId1558" Type="http://schemas.openxmlformats.org/officeDocument/2006/relationships/hyperlink" Target="https://www.facebook.com/GCBA/posts/pfbid05AMSQrvjixn7RJ56zP2SUcvbfsiZL479ZfZHea63dWwcwa6cdkQH3xVs42yGbdW2l" TargetMode="External"/><Relationship Id="rId2405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2889" Type="http://schemas.openxmlformats.org/officeDocument/2006/relationships/hyperlink" Target="https://a2g9b4.emailsp.com/f/rnl.aspx/?fei=2orws1vy.9ek=vyad8=t3uvvy&amp;f2::=7chafagb&amp;x=pp&amp;yx0-2.e16.&amp;x=pv&amp;2b5g=qv1vpNCLM" TargetMode="External"/><Relationship Id="rId1559" Type="http://schemas.openxmlformats.org/officeDocument/2006/relationships/hyperlink" Target="https://e5c9a.mailupclient.com/f/rnl.aspx/?jhe=vwurvxsx/&amp;x=pv&amp;bdi=tzfd&amp;=su3sr/7f1-a=5k9hibg&amp;x=pv&amp;9a&amp;-c4&amp;501&amp;x=pp&amp;u_9f1-a2&amp;.b/&amp;:d=rsx2w_NCLM" TargetMode="External"/><Relationship Id="rId2406" Type="http://schemas.openxmlformats.org/officeDocument/2006/relationships/hyperlink" Target="https://a2g9b4.emailsp.com/f/rnl.aspx/?fei=1vvoo_2y.9ek=vyad8=t3stwy&amp;f2::=k702m1k6.451&amp;x=pp&amp;r1.&amp;x=pv&amp;49-6&amp;aax00l=rvupwNCLM" TargetMode="External"/><Relationship Id="rId2407" Type="http://schemas.openxmlformats.org/officeDocument/2006/relationships/hyperlink" Target="https://a2g9b4.emailsp.com/f/rnl.aspx/?fei=1uwuq_vy.9ek=vyad8=t3oyny&amp;f2::=2-neh9.9bd:5-cb10337&amp;x=pp&amp;yx0-2.e16.&amp;x=pv&amp;2b5g=qstvwNCLM" TargetMode="External"/><Relationship Id="rId2408" Type="http://schemas.openxmlformats.org/officeDocument/2006/relationships/hyperlink" Target="https://e5c9a.mailupclient.com/f/rnl.aspx/?jhe=1r_yq2o/a&amp;le=t/.l7=swr2p/9.99a=59ndi-a&amp;9g-7e:-49&amp;25&amp;x=pp&amp;uy.-5-&amp;x=pv&amp;83dbzb4h=rrvrtwNCLM" TargetMode="External"/><Relationship Id="rId2409" Type="http://schemas.openxmlformats.org/officeDocument/2006/relationships/hyperlink" Target="https://a2g9b4.emailsp.com/f/rnl.aspx/?fei=1wqvoxxy.9ek=vyad8=t3ssny&amp;f2::=4ibeh..e--:5d6.451&amp;x=pp&amp;r1.&amp;x=pv&amp;49-6&amp;aax00l=rvtt_NCLM" TargetMode="External"/><Relationship Id="rId965" Type="http://schemas.openxmlformats.org/officeDocument/2006/relationships/hyperlink" Target="https://www.facebook.com/reel/835748646212389" TargetMode="External"/><Relationship Id="rId964" Type="http://schemas.openxmlformats.org/officeDocument/2006/relationships/hyperlink" Target="https://a2g9b4.emailsp.com/f/rnl.aspx/?fei=1uwuq_vy.9ek=vyad8=t3outy&amp;f2::=2-neh9.9bd:5-cb10337&amp;x=pp&amp;yx0-2.e16.&amp;x=pv&amp;2b5g=qr//pNCLM" TargetMode="External"/><Relationship Id="rId963" Type="http://schemas.openxmlformats.org/officeDocument/2006/relationships/hyperlink" Target="https://www.facebook.com/GCBA/posts/pfbid034cMBPvEYHoNPJuLPYdvqvHwWddQVjVhrUZSfBwZtbsKxFZ1t9TibhaDTjQBLJRK6l" TargetMode="External"/><Relationship Id="rId962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969" Type="http://schemas.openxmlformats.org/officeDocument/2006/relationships/hyperlink" Target="https://www.facebook.com/reel/1476952487457454" TargetMode="External"/><Relationship Id="rId968" Type="http://schemas.openxmlformats.org/officeDocument/2006/relationships/hyperlink" Target="https://a2g9b4.emailsp.com/f/rnl.aspx/?fei=2orws1vy.9ek=vyad8=t3otny&amp;f2::=7chafagb&amp;x=pp&amp;yx0-2.e16.&amp;x=pv&amp;2b5g=qr//sNCLM" TargetMode="External"/><Relationship Id="rId967" Type="http://schemas.openxmlformats.org/officeDocument/2006/relationships/hyperlink" Target="https://www.facebook.com/reel/1476952487457454" TargetMode="External"/><Relationship Id="rId966" Type="http://schemas.openxmlformats.org/officeDocument/2006/relationships/hyperlink" Target="https://a2g9b4.emailsp.com/f/rnl.aspx/?fei=1wqvoxxy.9ek=vyad8=t3osuy&amp;f2::=4ibeh..e--:5d6.451&amp;x=pp&amp;r1.&amp;x=pv&amp;49-6&amp;aax00l=rtvuwNCLM" TargetMode="External"/><Relationship Id="rId2880" Type="http://schemas.openxmlformats.org/officeDocument/2006/relationships/hyperlink" Target="https://e5c9a.mailupclient.com/f/rnl.aspx/?jhe=vwurvxsx/&amp;x=pv&amp;bdi=tzfd&amp;=su_ss/7f1-a=5k9hibg&amp;x=pv&amp;9a&amp;-c4&amp;501&amp;x=pp&amp;u_9f1-a2&amp;.b/&amp;:d=rtq1rwNCLM" TargetMode="External"/><Relationship Id="rId961" Type="http://schemas.openxmlformats.org/officeDocument/2006/relationships/hyperlink" Target="https://www.facebook.com/baparticipacion/posts/pfbid0kSaekN4E3crjZQsVx9VCKmGYdJREhLpffevxyskotGVh6WeB1QTfyfTdLHN2WyrMl" TargetMode="External"/><Relationship Id="rId1550" Type="http://schemas.openxmlformats.org/officeDocument/2006/relationships/hyperlink" Target="https://a2g9b4.emailsp.com/f/rnl.aspx/?fei=1wqvoxxy.9ek=vyad8=t3pywy&amp;f2::=4ibeh..e--:5d6.451&amp;x=pp&amp;r1.&amp;x=pv&amp;49-6&amp;aax00l=rusxwNCLM" TargetMode="External"/><Relationship Id="rId2881" Type="http://schemas.openxmlformats.org/officeDocument/2006/relationships/hyperlink" Target="https://e5c9a.mailupclient.com/f/rnl.aspx/?jhe=vwurvxsx/&amp;x=pv&amp;bdi=tzfd&amp;=su_rz/7f1-a=5k9hibg&amp;x=pv&amp;9a&amp;-c4&amp;501&amp;x=pp&amp;u_9f1-a2&amp;.b/&amp;:d=rtq1owNCLM" TargetMode="External"/><Relationship Id="rId960" Type="http://schemas.openxmlformats.org/officeDocument/2006/relationships/hyperlink" Target="https://a2g9b4.emailsp.com/f/rnl.aspx/?fei=1wqvoxxy.9ek=vyad8=t3oury&amp;f2::=4ibeh..e--:5d6.451&amp;x=pp&amp;r1.&amp;x=pv&amp;49-6&amp;aax00l=rtvryNCLM" TargetMode="External"/><Relationship Id="rId1551" Type="http://schemas.openxmlformats.org/officeDocument/2006/relationships/hyperlink" Target="https://a2g9b4.emailsp.com/f/rnl.aspx/?fei=1wqvoxxy.9ek=vyad8=t3qzsy&amp;f2::=4ibeh..e--:5d6.451&amp;x=pp&amp;r1.&amp;x=pv&amp;49-6&amp;aax00l=rusu1NCLM" TargetMode="External"/><Relationship Id="rId2882" Type="http://schemas.openxmlformats.org/officeDocument/2006/relationships/hyperlink" Target="https://e5c9a.mailupclient.com/f/rnl.aspx/?jhe=vwurvxsx/&amp;x=pv&amp;bdi=tzfd&amp;=suzvv/7f1-a=5k9hibg&amp;x=pv&amp;9a&amp;-c4&amp;501&amp;x=pp&amp;u_9f1-a2&amp;.b/&amp;:d=rtqzoxNCLM" TargetMode="External"/><Relationship Id="rId1552" Type="http://schemas.openxmlformats.org/officeDocument/2006/relationships/hyperlink" Target="https://a2g9b4.emailsp.com/f/rnl.aspx/?fei=1wqvoxxy.9ek=vyad8=t3qqny&amp;f2::=4ibeh..e--:5d6.451&amp;x=pp&amp;r1.&amp;x=pv&amp;49-6&amp;aax00l=rutx/NCLM" TargetMode="External"/><Relationship Id="rId2883" Type="http://schemas.openxmlformats.org/officeDocument/2006/relationships/hyperlink" Target="https://a2g9b4.emailsp.com/f/rnl.aspx/?fei=1vvoo_2y.9ek=vyad8=t3tqwy&amp;f2::=k702m1k6.451&amp;x=pp&amp;r1.&amp;x=pv&amp;49-6&amp;aax00l=rwnv1NCLM" TargetMode="External"/><Relationship Id="rId1553" Type="http://schemas.openxmlformats.org/officeDocument/2006/relationships/hyperlink" Target="https://e5c9a.mailupclient.com/f/rnl.aspx/?jhe=vwurvxsx/&amp;x=pv&amp;bdi=tzfd&amp;=su3rx/7f1-a=5k9hibg&amp;x=pv&amp;9a&amp;-c4&amp;501&amp;x=pp&amp;u_9f1-a2&amp;.b/&amp;:d=rsx1vwNCLM" TargetMode="External"/><Relationship Id="rId2400" Type="http://schemas.openxmlformats.org/officeDocument/2006/relationships/hyperlink" Target="https://www.facebook.com/GCBA/posts/pfbid0218TrSijT1ASJhztWEQm6c9s5EkmwjzjT1GwBTkNDaDXyapodUfeLNCe5TQV13nVil" TargetMode="External"/><Relationship Id="rId2884" Type="http://schemas.openxmlformats.org/officeDocument/2006/relationships/hyperlink" Target="https://a2g9b4.emailsp.com/f/rnl.aspx/?fei=1vvoo_2y.9ek=vyad8=t3tvty&amp;f2::=k702m1k6.451&amp;x=pp&amp;r1.&amp;x=pv&amp;49-6&amp;aax00l=rwqsuNCLM" TargetMode="External"/><Relationship Id="rId1543" Type="http://schemas.openxmlformats.org/officeDocument/2006/relationships/hyperlink" Target="https://www.facebook.com/100064489762372/posts/1466840542142257/" TargetMode="External"/><Relationship Id="rId2874" Type="http://schemas.openxmlformats.org/officeDocument/2006/relationships/hyperlink" Target="https://e5c9a.mailupclient.com/f/rnl.aspx/?jhe=vwvwwvrv/&amp;x=pv&amp;bdi=tzfd&amp;=su_rt/7f1-a=8e.dgcn&amp;&amp;x=pp&amp;u_9f1-a2&amp;.b/&amp;:d=rtq1nyNCLM" TargetMode="External"/><Relationship Id="rId1544" Type="http://schemas.openxmlformats.org/officeDocument/2006/relationships/hyperlink" Target="https://a2g9b4.emailsp.com/f/rnl.aspx/?fei=1uwuq_vy.9ek=vyad8=t3pvvy&amp;f2::=2-neh9.9bd:5-cb10337&amp;x=pp&amp;yx0-2.e16.&amp;x=pv&amp;2b5g=qsx/uNCLM" TargetMode="External"/><Relationship Id="rId2875" Type="http://schemas.openxmlformats.org/officeDocument/2006/relationships/hyperlink" Target="https://e5c9a.mailupclient.com/f/rnl.aspx/?jhe=vwvwwvrv/&amp;x=pv&amp;bdi=tzfd&amp;=su_ru/7f1-a=8e.dgcn&amp;&amp;x=pp&amp;u_9f1-a2&amp;.b/&amp;:d=rtq1nzNCLM" TargetMode="External"/><Relationship Id="rId1545" Type="http://schemas.openxmlformats.org/officeDocument/2006/relationships/hyperlink" Target="https://www.facebook.com/GCBA/posts/pfbid0n8SL6JhJG2DYBnBuXA56cNcseBLQBtds3LtZADwxhq47vo6euiGAyGpW9YPdZyLil" TargetMode="External"/><Relationship Id="rId2876" Type="http://schemas.openxmlformats.org/officeDocument/2006/relationships/hyperlink" Target="https://a2g9b4.emailsp.com/f/rnl.aspx/?fei=1uwuq_vy.9ek=vyad8=t3utty&amp;f2::=2-neh9.9bd:5-cb10337&amp;x=pp&amp;yx0-2.e16.&amp;x=pv&amp;2b5g=qu_yuNCLM" TargetMode="External"/><Relationship Id="rId1546" Type="http://schemas.openxmlformats.org/officeDocument/2006/relationships/hyperlink" Target="https://a2g9b4.emailsp.com/f/rnl.aspx/?fei=1uwuq_vy.9ek=vyad8=t3pwwy&amp;f2::=2-neh9.9bd:5-cb10337&amp;x=pp&amp;yx0-2.e16.&amp;x=pv&amp;2b5g=qsx3qNCLM" TargetMode="External"/><Relationship Id="rId2877" Type="http://schemas.openxmlformats.org/officeDocument/2006/relationships/hyperlink" Target="https://a2g9b4.emailsp.com/f/rnl.aspx/?fei=1wqvoxxy.9ek=vyad8=t3uvry&amp;f2::=4ibeh..e--:5d6.451&amp;x=pp&amp;r1.&amp;x=pv&amp;49-6&amp;aax00l=rwvqwNCLM" TargetMode="External"/><Relationship Id="rId1547" Type="http://schemas.openxmlformats.org/officeDocument/2006/relationships/hyperlink" Target="https://www.facebook.com/GCBA/posts/pfbid02LFF3JErtTFcxkm4fN8fjAkrjLu7CgGWiwxAQExri6jZNifjnyuAbUZup7rtjAgnyl" TargetMode="External"/><Relationship Id="rId2878" Type="http://schemas.openxmlformats.org/officeDocument/2006/relationships/hyperlink" Target="https://a2g9b4.emailsp.com/f/rnl.aspx/?fei=1vvoo13y.9ek=vyad8=t3uxqy&amp;f2::=efeb8c6q&amp;2gedf88622&amp;x=pp&amp;w38a10c84c-y.:e=tuxuwNCLM" TargetMode="External"/><Relationship Id="rId1548" Type="http://schemas.openxmlformats.org/officeDocument/2006/relationships/hyperlink" Target="https://e5c9a.mailupclient.com/f/rnl.aspx/?jhe=1r_yq2o/a&amp;le=t/.l7=swy2r/9.99a=59ndi-a&amp;9g-7e:-49&amp;25&amp;x=pp&amp;uy.-5-&amp;x=pv&amp;83dbzb4h=rr3wu_NCLM" TargetMode="External"/><Relationship Id="rId2879" Type="http://schemas.openxmlformats.org/officeDocument/2006/relationships/hyperlink" Target="https://e5c9a.mailupclient.com/f/rnl.aspx/?jhe=vwvwwvrv/&amp;x=pv&amp;bdi=tzfd&amp;=su_s_/7f1-a=8e.dgcn&amp;&amp;x=pp&amp;u_9f1-a2&amp;.b/&amp;:d=rtq1svNCLM" TargetMode="External"/><Relationship Id="rId1549" Type="http://schemas.openxmlformats.org/officeDocument/2006/relationships/hyperlink" Target="https://www.facebook.com/GCBA/posts/pfbid0SW9aPh731syQjH7NzFQdTissCnPmj9AFhBG8FPzxLGBZCdAFz2BFtCPQsWFQravAl" TargetMode="External"/><Relationship Id="rId959" Type="http://schemas.openxmlformats.org/officeDocument/2006/relationships/hyperlink" Target="https://www.facebook.com/reel/1114032057551449" TargetMode="External"/><Relationship Id="rId954" Type="http://schemas.openxmlformats.org/officeDocument/2006/relationships/hyperlink" Target="https://a2g9b4.emailsp.com/f/rnl.aspx/?fei=1vvoo1vy.9ek=vyad8=t3otty&amp;f2::=-l98i9di-10337&amp;x=pp&amp;yx0-2.e16.&amp;x=pv&amp;2b5g=qr/zwNCLM" TargetMode="External"/><Relationship Id="rId953" Type="http://schemas.openxmlformats.org/officeDocument/2006/relationships/hyperlink" Target="https://www.facebook.com/baparticipacion/posts/pfbid02W7pSHStUWAuVKanDN3fimepsME7cCDqvUC8LutXXxMXHYJdFubCRQ9vL8A6WTUMZl" TargetMode="External"/><Relationship Id="rId952" Type="http://schemas.openxmlformats.org/officeDocument/2006/relationships/hyperlink" Target="https://e5c9a.mailupclient.com/f/rnl.aspx/?jhe=vwvwwvrv/&amp;x=pv&amp;bdi=tzfd&amp;=st1uv/7f1-a=8e.dgcn&amp;&amp;x=pp&amp;u_9f1-a2&amp;.b/&amp;:d=rsx3suNCLM" TargetMode="External"/><Relationship Id="rId951" Type="http://schemas.openxmlformats.org/officeDocument/2006/relationships/hyperlink" Target="https://e5c9a.mailupclient.com/f/rnl.aspx/?jhe=vwvwwvrv/&amp;x=pv&amp;bdi=tzfd&amp;=st1uv/7f1-a=8e.dgcn&amp;&amp;x=pp&amp;u_9f1-a2&amp;.b/&amp;:d=rsx3suNCLM" TargetMode="External"/><Relationship Id="rId958" Type="http://schemas.openxmlformats.org/officeDocument/2006/relationships/hyperlink" Target="https://a2g9b4.emailsp.com/f/rnl.aspx/?fei=1vvoo_2y.9ek=vyad8=t3ossy&amp;f2::=k702m1k6.451&amp;x=pp&amp;r1.&amp;x=pv&amp;49-6&amp;aax00l=rtusuNCLM" TargetMode="External"/><Relationship Id="rId957" Type="http://schemas.openxmlformats.org/officeDocument/2006/relationships/hyperlink" Target="https://www.facebook.com/baparticipacion/posts/pfbid0onKVqtxQyKuaY6vdX5cuEeKkdaUBMSx3oBipA1aaj3zAZ1AbiGza2kvH4bRfBxDcl" TargetMode="External"/><Relationship Id="rId956" Type="http://schemas.openxmlformats.org/officeDocument/2006/relationships/hyperlink" Target="https://a2g9b4.emailsp.com/f/rnl.aspx/?fei=1vvoo13y.9ek=vyad8=t3ovwy&amp;f2::=efeb8c6q&amp;2gedf88622&amp;x=pp&amp;w38a10c84c-y.:e=tqwy/NCLM" TargetMode="External"/><Relationship Id="rId955" Type="http://schemas.openxmlformats.org/officeDocument/2006/relationships/hyperlink" Target="https://www.facebook.com/baparticipacion/posts/pfbid02DivgCpQoC2fB8rwvnUqqNXsH435uSvuKmTJWpHsUiWMVXZoqfLQpDKiziP5Rd3yQl" TargetMode="External"/><Relationship Id="rId950" Type="http://schemas.openxmlformats.org/officeDocument/2006/relationships/hyperlink" Target="https://www.facebook.com/reel/968389505611109" TargetMode="External"/><Relationship Id="rId2870" Type="http://schemas.openxmlformats.org/officeDocument/2006/relationships/hyperlink" Target="https://e5c9a.mailupclient.com/f/rnl.aspx/?jhe=vwurvxsx/&amp;x=pv&amp;bdi=tzfd&amp;=su_rx/7f1-a=5k9hibg&amp;x=pv&amp;9a&amp;-c4&amp;501&amp;x=pp&amp;u_9f1-a2&amp;.b/&amp;:d=rtq1quNCLM" TargetMode="External"/><Relationship Id="rId1540" Type="http://schemas.openxmlformats.org/officeDocument/2006/relationships/hyperlink" Target="https://e5c9a.mailupclient.com/f/rnl.aspx/?jhe=1r_yq2o/a&amp;le=t/.l7=swy/w/9.99a=59ndi-a&amp;9g-7e:-49&amp;25&amp;x=pp&amp;uy.-5-&amp;x=pv&amp;83dbzb4h=rq2vuxNCLM" TargetMode="External"/><Relationship Id="rId2871" Type="http://schemas.openxmlformats.org/officeDocument/2006/relationships/hyperlink" Target="https://e5c9a.mailupclient.com/f/rnl.aspx/?jhe=vwurvxsx/&amp;x=pv&amp;bdi=tzfd&amp;=su_ry/7f1-a=5k9hibg&amp;x=pv&amp;9a&amp;-c4&amp;501&amp;x=pp&amp;u_9f1-a2&amp;.b/&amp;:d=rtq1rsNCLM" TargetMode="External"/><Relationship Id="rId1541" Type="http://schemas.openxmlformats.org/officeDocument/2006/relationships/hyperlink" Target="https://www.facebook.com/GCBA/posts/pfbid0zAjb1xUwQfBdZS7EX7AJGXTWhsELcqk2FXGXxM83u1ZYVNwLzCgDt3AKwKT4d3QRl" TargetMode="External"/><Relationship Id="rId2872" Type="http://schemas.openxmlformats.org/officeDocument/2006/relationships/hyperlink" Target="https://e5c9a.mailupclient.com/f/rnl.aspx/?jhe=vwurvxsx/&amp;x=pv&amp;bdi=tzfd&amp;=su_rv/7f1-a=5k9hibg&amp;x=pv&amp;9a&amp;-c4&amp;501&amp;x=pp&amp;u_9f1-a2&amp;.b/&amp;:d=rtq1pyNCLM" TargetMode="External"/><Relationship Id="rId1542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873" Type="http://schemas.openxmlformats.org/officeDocument/2006/relationships/hyperlink" Target="https://a2g9b4.emailsp.com/f/rnl.aspx/?fei=2orws1vy.9ek=vyad8=t3uwny&amp;f2::=7chafagb&amp;x=pp&amp;yx0-2.e16.&amp;x=pv&amp;2b5g=qu/1tNCLM" TargetMode="External"/><Relationship Id="rId2027" Type="http://schemas.openxmlformats.org/officeDocument/2006/relationships/hyperlink" Target="https://www.facebook.com/GCBA/posts/pfbid02ZZG3f1iLvkWubHjhaECJSre4Kzvz1XfSfBj1BTiNeBk4AoX762iy2Tr6oLewgit3l" TargetMode="External"/><Relationship Id="rId2028" Type="http://schemas.openxmlformats.org/officeDocument/2006/relationships/hyperlink" Target="https://e5c9a.mailupclient.com/f/rnl.aspx/?jhe=vwt_y1w_/&amp;x=pv&amp;bdi=tzfd&amp;=suwqt/7f1-a=&amp;x=pv&amp;n1&amp;j&amp;kc949&amp;25&amp;x=pp&amp;uy.-5-&amp;x=pv&amp;83dbzb4h=rr3tzyNCLM" TargetMode="External"/><Relationship Id="rId2029" Type="http://schemas.openxmlformats.org/officeDocument/2006/relationships/hyperlink" Target="https://www.facebook.com/GCBA/posts/pfbid02ZZG3f1iLvkWubHjhaECJSre4Kzvz1XfSfBj1BTiNeBk4AoX762iy2Tr6oLewgit3l" TargetMode="External"/><Relationship Id="rId590" Type="http://schemas.openxmlformats.org/officeDocument/2006/relationships/hyperlink" Target="https://e5c9a.mailupclient.com/f/rnl.aspx/?jhe=vwurvxsx/&amp;x=pv&amp;bdi=tzfd&amp;=st_uz/7f1-a=5k9hibg&amp;x=pv&amp;9a&amp;-c4&amp;501&amp;x=pp&amp;u_9f1-a2&amp;.b/&amp;:d=rswvquNCLM" TargetMode="External"/><Relationship Id="rId107" Type="http://schemas.openxmlformats.org/officeDocument/2006/relationships/hyperlink" Target="https://e5c9a.mailupclient.com/f/rnl.aspx/?jhe=vwvwwvrv/&amp;x=pv&amp;bdi=tzfd&amp;=styn_/7f1-a=8e.dgcn&amp;&amp;x=pp&amp;u_9f1-a2&amp;.b/&amp;:d=rsu_suNCLM" TargetMode="External"/><Relationship Id="rId106" Type="http://schemas.openxmlformats.org/officeDocument/2006/relationships/hyperlink" Target="http://facebook.com/reel/1186230880144850/" TargetMode="External"/><Relationship Id="rId105" Type="http://schemas.openxmlformats.org/officeDocument/2006/relationships/hyperlink" Target="https://e5c9a.mailupclient.com/f/rnl.aspx/?jhe=1r_yq2o/a&amp;le=t/.l7=svtzq/9.99a=59ndi-a&amp;9g-7e:-49&amp;25&amp;x=pp&amp;uy.-5-&amp;x=pv&amp;83dbzb4h=rq/tvvNCLM" TargetMode="External"/><Relationship Id="rId589" Type="http://schemas.openxmlformats.org/officeDocument/2006/relationships/hyperlink" Target="https://a2g9b4.emailsp.com/f/rnl.aspx/?fei=1wqvoxxy.9ek=vyad8=t3xzvy&amp;f2::=4ibeh..e--:5d6.451&amp;x=pp&amp;r1.&amp;x=pv&amp;49-6&amp;aax00l=rtoqxNCLM" TargetMode="External"/><Relationship Id="rId104" Type="http://schemas.openxmlformats.org/officeDocument/2006/relationships/hyperlink" Target="https://www.facebook.com/GCBA/posts/pfbid0yZFqpziwsSvEpGHnbKnvgTkMNo6Ys8gfLmUBqRKhRCH71tiHcf1cXzt2RhCmokjMl" TargetMode="External"/><Relationship Id="rId588" Type="http://schemas.openxmlformats.org/officeDocument/2006/relationships/hyperlink" Target="https://a2g9b4.emailsp.com/f/rnl.aspx/?fei=1wqvoxxy.9ek=vyad8=t3xzvy&amp;f2::=4ibeh..e--:5d6.451&amp;x=pp&amp;r1.&amp;x=pv&amp;49-6&amp;aax00l=rtorvNCLM" TargetMode="External"/><Relationship Id="rId109" Type="http://schemas.openxmlformats.org/officeDocument/2006/relationships/hyperlink" Target="https://e5c9a.mailupclient.com/f/rnl.aspx/?jhe=vwvwwvrv/&amp;x=pv&amp;bdi=tzfd&amp;=stynw/7f1-a=8e.dgcn&amp;&amp;x=pp&amp;u_9f1-a2&amp;.b/&amp;:d=rsu/q_NCLM" TargetMode="External"/><Relationship Id="rId1170" Type="http://schemas.openxmlformats.org/officeDocument/2006/relationships/hyperlink" Target="https://a2g9b4.emailsp.com/f/rnl.aspx/?fei=1wqvoxxy.9ek=vyad8=t3oyty&amp;f2::=4ibeh..e--:5d6.451&amp;x=pp&amp;r1.&amp;x=pv&amp;49-6&amp;aax00l=runs1NCLM" TargetMode="External"/><Relationship Id="rId108" Type="http://schemas.openxmlformats.org/officeDocument/2006/relationships/hyperlink" Target="https://www.facebook.com/reel/25486521711039015/" TargetMode="External"/><Relationship Id="rId1171" Type="http://schemas.openxmlformats.org/officeDocument/2006/relationships/hyperlink" Target="https://www.facebook.com/baparticipacion/posts/pfbid02yG5kr92pnz4PNTvonpNcoGVwjaaR1Nrpx57TxisAnuiWH4bComAFZDpSEKbgBcwql" TargetMode="External"/><Relationship Id="rId583" Type="http://schemas.openxmlformats.org/officeDocument/2006/relationships/hyperlink" Target="https://e5c9a.mailupclient.com/f/rnl.aspx/?jhe=vwvwwvrv/&amp;x=pv&amp;bdi=tzfd&amp;=st_rv/7f1-a=8e.dgcn&amp;&amp;x=pp&amp;u_9f1-a2&amp;.b/&amp;:d=rsw3szNCLM" TargetMode="External"/><Relationship Id="rId1172" Type="http://schemas.openxmlformats.org/officeDocument/2006/relationships/hyperlink" Target="https://a2g9b4.emailsp.com/f/rnl.aspx/?fei=1wqvoxxy.9ek=vyad8=t3pqoy&amp;f2::=4ibeh..e--:5d6.451&amp;x=pp&amp;r1.&amp;x=pv&amp;49-6&amp;aax00l=ruoo_NCLM" TargetMode="External"/><Relationship Id="rId582" Type="http://schemas.openxmlformats.org/officeDocument/2006/relationships/hyperlink" Target="https://a2g9b4.emailsp.com/f/rnl.aspx/?fei=2orws1vy.9ek=vyad8=t3xzty&amp;f2::=7chafagb&amp;x=pp&amp;yx0-2.e16.&amp;x=pv&amp;2b5g=qru1sNCLM" TargetMode="External"/><Relationship Id="rId1173" Type="http://schemas.openxmlformats.org/officeDocument/2006/relationships/hyperlink" Target="https://www.facebook.com/baparticipacion/posts/pfbid02nk9JT1CS1a3bwqK9m4xA2WAJPiPVaUrd6moFywPNX5UVzJ31Y1z7mZVRDeT3Tshcl" TargetMode="External"/><Relationship Id="rId2020" Type="http://schemas.openxmlformats.org/officeDocument/2006/relationships/hyperlink" Target="https://e5c9a.mailupclient.com/f/rnl.aspx/?jhe=vwt_y1w_/&amp;x=pv&amp;bdi=tzfd&amp;=suwpy/7f1-a=&amp;x=pv&amp;n1&amp;j&amp;kc949&amp;25&amp;x=pp&amp;uy.-5-&amp;x=pv&amp;83dbzb4h=rr3tzvNCLM" TargetMode="External"/><Relationship Id="rId581" Type="http://schemas.openxmlformats.org/officeDocument/2006/relationships/hyperlink" Target="https://a2g9b4.emailsp.com/f/rnl.aspx/?fei=1wqvoxxy.9ek=vyad8=t3xqty&amp;f2::=4ibeh..e--:5d6.451&amp;x=pp&amp;r1.&amp;x=pv&amp;49-6&amp;aax00l=rtou1NCLM" TargetMode="External"/><Relationship Id="rId1174" Type="http://schemas.openxmlformats.org/officeDocument/2006/relationships/hyperlink" Target="https://a2g9b4.emailsp.com/f/rnl.aspx/?fei=2orws1vy.9ek=vyad8=t3pqqy&amp;f2::=7chafagb&amp;x=pp&amp;yx0-2.e16.&amp;x=pv&amp;2b5g=qsuypNCLM" TargetMode="External"/><Relationship Id="rId2021" Type="http://schemas.openxmlformats.org/officeDocument/2006/relationships/hyperlink" Target="https://www.facebook.com/GCBA/posts/pfbid028fd4Eps4oJxQsp4oAr6gZWZZhqEkZDaxYsaCDqH2Q51tJXZa9VMm2TngH3mfoR2Al" TargetMode="External"/><Relationship Id="rId580" Type="http://schemas.openxmlformats.org/officeDocument/2006/relationships/hyperlink" Target="https://e5c9a.mailupclient.com/f/rnl.aspx/?jhe=vwvwwvrv/&amp;x=pv&amp;bdi=tzfd&amp;=st_qv/7f1-a=8e.dgcn&amp;&amp;x=pp&amp;u_9f1-a2&amp;.b/&amp;:d=rsw3rtNCLM" TargetMode="External"/><Relationship Id="rId1175" Type="http://schemas.openxmlformats.org/officeDocument/2006/relationships/hyperlink" Target="https://www.facebook.com/baparticipacion/posts/pfbid02Be94pfg4R6beCoTSePetEMVwLBbqTFd7CU3H6VoGozETniqhyxCakokCAeFUihLAl" TargetMode="External"/><Relationship Id="rId2022" Type="http://schemas.openxmlformats.org/officeDocument/2006/relationships/hyperlink" Target="https://e5c9a.mailupclient.com/f/rnl.aspx/?jhe=vwt_y1w_/&amp;x=pv&amp;bdi=tzfd&amp;=suwq_/7f1-a=&amp;x=pv&amp;n1&amp;j&amp;kc949&amp;25&amp;x=pp&amp;uy.-5-&amp;x=pv&amp;83dbzb4h=rr3u_tNCLM" TargetMode="External"/><Relationship Id="rId103" Type="http://schemas.openxmlformats.org/officeDocument/2006/relationships/hyperlink" Target="https://e5c9a.mailupclient.com/f/rnl.aspx/?jhe=vwurvxsx/&amp;x=pv&amp;bdi=tzfd&amp;=styov/7f1-a=5k9hibg&amp;x=pv&amp;9a&amp;-c4&amp;501&amp;x=pp&amp;u_9f1-a2&amp;.b/&amp;:d=rsu/pwNCLM" TargetMode="External"/><Relationship Id="rId587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1176" Type="http://schemas.openxmlformats.org/officeDocument/2006/relationships/hyperlink" Target="https://e5c9a.mailupclient.com/f/rnl.aspx/?jhe=vwt_y1w_/&amp;x=pv&amp;bdi=tzfd&amp;=st2pv/7f1-a=&amp;x=pv&amp;n1&amp;j&amp;kc949&amp;25&amp;x=pp&amp;uy.-5-&amp;x=pv&amp;83dbzb4h=rq2puzNCLM" TargetMode="External"/><Relationship Id="rId2023" Type="http://schemas.openxmlformats.org/officeDocument/2006/relationships/hyperlink" Target="https://www.facebook.com/GCBA/posts/pfbid03HHKTBahFfLL4rMayyaFjmJwG96GQUjSTgEWsR4GuVte4US21NmnrhJWR9mfccosl" TargetMode="External"/><Relationship Id="rId102" Type="http://schemas.openxmlformats.org/officeDocument/2006/relationships/hyperlink" Target="https://fb.me/adspreview/facebook/1OAFpHtWtwxdixl" TargetMode="External"/><Relationship Id="rId586" Type="http://schemas.openxmlformats.org/officeDocument/2006/relationships/hyperlink" Target="https://e5c9a.mailupclient.com/f/rnl.aspx/?jhe=vwvwwvrv/&amp;x=pv&amp;bdi=tzfd&amp;=st_rr/7f1-a=8e.dgcn&amp;&amp;x=pp&amp;u_9f1-a2&amp;.b/&amp;:d=rsw3txNCLM" TargetMode="External"/><Relationship Id="rId1177" Type="http://schemas.openxmlformats.org/officeDocument/2006/relationships/hyperlink" Target="https://www.facebook.com/GCBA/posts/pfbid0sjsw4fmaZgH69Leu9Xq1bGvySQmZsbQtRcg9RLZrzuPWEHQATgDdDX3DKPknXAmKl" TargetMode="External"/><Relationship Id="rId2024" Type="http://schemas.openxmlformats.org/officeDocument/2006/relationships/hyperlink" Target="https://e5c9a.mailupclient.com/f/rnl.aspx/?jhe=vwt_y1w_/&amp;x=pv&amp;bdi=tzfd&amp;=suwqr/7f1-a=&amp;x=pv&amp;n1&amp;j&amp;kc949&amp;25&amp;x=pp&amp;uy.-5-&amp;x=pv&amp;83dbzb4h=rr3uryNCLM" TargetMode="External"/><Relationship Id="rId101" Type="http://schemas.openxmlformats.org/officeDocument/2006/relationships/hyperlink" Target="https://e5c9a.mailupclient.com/f/rnl.aspx/?jhe=vwurvxsx/&amp;x=pv&amp;bdi=tzfd&amp;=styw_/7f1-a=5k9hibg&amp;x=pv&amp;9a&amp;-c4&amp;501&amp;x=pp&amp;u_9f1-a2&amp;.b/&amp;:d=rsu_usNCLM" TargetMode="External"/><Relationship Id="rId585" Type="http://schemas.openxmlformats.org/officeDocument/2006/relationships/hyperlink" Target="https://a2g9b4.emailsp.com/f/rnl.aspx/?fei=1wqvoxxy.9ek=vyad8=t3xqsy&amp;f2::=4ibeh..e--:5d6.451&amp;x=pp&amp;r1.&amp;x=pv&amp;49-6&amp;aax00l=rtot/NCLM" TargetMode="External"/><Relationship Id="rId1178" Type="http://schemas.openxmlformats.org/officeDocument/2006/relationships/hyperlink" Target="https://e5c9a.mailupclient.com/f/rnl.aspx/?jhe=vwt_y1w_/&amp;x=pv&amp;bdi=tzfd&amp;=st2qu/7f1-a=&amp;x=pv&amp;n1&amp;j&amp;kc949&amp;25&amp;x=pp&amp;uy.-5-&amp;x=pv&amp;83dbzb4h=rq2pvwNCLM" TargetMode="External"/><Relationship Id="rId2025" Type="http://schemas.openxmlformats.org/officeDocument/2006/relationships/hyperlink" Target="https://www.facebook.com/GCBA/posts/pfbid05Vw1qAJJiJ5SKjNPMKgw8wBdM1QF3rdKM2rC2FiXmz1nGqdZYawzHQ6BsaCbr9s5l" TargetMode="External"/><Relationship Id="rId100" Type="http://schemas.openxmlformats.org/officeDocument/2006/relationships/hyperlink" Target="https://www.facebook.com/GCBA/posts/pfbid02ySETv8mbLPx3NFrrHh1eRhVRmMimid99iTcJQu2RtwUS7KCAiwKP9qoSStF1cMSml" TargetMode="External"/><Relationship Id="rId584" Type="http://schemas.openxmlformats.org/officeDocument/2006/relationships/hyperlink" Target="https://e5c9a.mailupclient.com/f/rnl.aspx/?jhe=vwurvxsx/&amp;x=pv&amp;bdi=tzfd&amp;=st_t_/7f1-a=5k9hibg&amp;x=pv&amp;9a&amp;-c4&amp;501&amp;x=pp&amp;u_9f1-a2&amp;.b/&amp;:d=rsw3sxNCLM" TargetMode="External"/><Relationship Id="rId1179" Type="http://schemas.openxmlformats.org/officeDocument/2006/relationships/hyperlink" Target="https://www.facebook.com/GCBA/posts/pfbid0sjsw4fmaZgH69Leu9Xq1bGvySQmZsbQtRcg9RLZrzuPWEHQATgDdDX3DKPknXAmKl" TargetMode="External"/><Relationship Id="rId2026" Type="http://schemas.openxmlformats.org/officeDocument/2006/relationships/hyperlink" Target="https://e5c9a.mailupclient.com/f/rnl.aspx/?jhe=vwt_y1w_/&amp;x=pv&amp;bdi=tzfd&amp;=suwqs/7f1-a=&amp;x=pv&amp;n1&amp;j&amp;kc949&amp;25&amp;x=pp&amp;uy.-5-&amp;x=pv&amp;83dbzb4h=rr3tzxNCLM" TargetMode="External"/><Relationship Id="rId1169" Type="http://schemas.openxmlformats.org/officeDocument/2006/relationships/hyperlink" Target="https://www.facebook.com/baparticipacion/posts/pfbid02eHMU8DRFv5G7uj3fSY81NkcpYcFi9JTxfeNqhYnvkBPVgfv5NXU5kdufEvM2rof3l" TargetMode="External"/><Relationship Id="rId2016" Type="http://schemas.openxmlformats.org/officeDocument/2006/relationships/hyperlink" Target="https://e5c9a.mailupclient.com/f/rnl.aspx/?jhe=vwt_y1w_/&amp;x=pv&amp;bdi=tzfd&amp;=suwov/7f1-a=&amp;x=pv&amp;n1&amp;j&amp;kc949&amp;25&amp;x=pp&amp;uy.-5-&amp;x=pv&amp;83dbzb4h=rr3uruNCLM" TargetMode="External"/><Relationship Id="rId2017" Type="http://schemas.openxmlformats.org/officeDocument/2006/relationships/hyperlink" Target="https://www.facebook.com/reel/1951168715581742" TargetMode="External"/><Relationship Id="rId2018" Type="http://schemas.openxmlformats.org/officeDocument/2006/relationships/hyperlink" Target="https://e5c9a.mailupclient.com/f/rnl.aspx/?jhe=vwt_y1w_/&amp;x=pv&amp;bdi=tzfd&amp;=suwpz/7f1-a=&amp;x=pv&amp;n1&amp;j&amp;kc949&amp;25&amp;x=pp&amp;uy.-5-&amp;x=pv&amp;83dbzb4h=rr3tzwNCLM" TargetMode="External"/><Relationship Id="rId2019" Type="http://schemas.openxmlformats.org/officeDocument/2006/relationships/hyperlink" Target="https://www.facebook.com/reel/1951168715581742" TargetMode="External"/><Relationship Id="rId579" Type="http://schemas.openxmlformats.org/officeDocument/2006/relationships/hyperlink" Target="https://e5c9a.mailupclient.com/f/rnl.aspx/?jhe=vwurvxsx/&amp;x=pv&amp;bdi=tzfd&amp;=st_sv/7f1-a=5k9hibg&amp;x=pv&amp;9a&amp;-c4&amp;501&amp;x=pp&amp;u_9f1-a2&amp;.b/&amp;:d=rsw3ryNCLM" TargetMode="External"/><Relationship Id="rId578" Type="http://schemas.openxmlformats.org/officeDocument/2006/relationships/hyperlink" Target="https://e5c9a.mailupclient.com/f/rnl.aspx/?jhe=vwurvxsx/&amp;x=pv&amp;bdi=tzfd&amp;=st_su/7f1-a=5k9hibg&amp;x=pv&amp;9a&amp;-c4&amp;501&amp;x=pp&amp;u_9f1-a2&amp;.b/&amp;:d=rsw3qxNCLM" TargetMode="External"/><Relationship Id="rId577" Type="http://schemas.openxmlformats.org/officeDocument/2006/relationships/hyperlink" Target="https://e5c9a.mailupclient.com/f/rnl.aspx/?jhe=vwurvxsx/&amp;x=pv&amp;bdi=tzfd&amp;=st_sx/7f1-a=5k9hibg&amp;x=pv&amp;9a&amp;-c4&amp;501&amp;x=pp&amp;u_9f1-a2&amp;.b/&amp;:d=rsw3qyNCLM" TargetMode="External"/><Relationship Id="rId2490" Type="http://schemas.openxmlformats.org/officeDocument/2006/relationships/hyperlink" Target="https://a2g9b4.emailsp.com/f/rnl.aspx/?fei=1uwuq_vy.9ek=vyad8=t3svsy&amp;f2::=2-neh9.9bd:5-cb10337&amp;x=pp&amp;yx0-2.e16.&amp;x=pv&amp;2b5g=qt/xtNCLM" TargetMode="External"/><Relationship Id="rId1160" Type="http://schemas.openxmlformats.org/officeDocument/2006/relationships/hyperlink" Target="https://e5c9a.mailupclient.com/f/rnl.aspx/?jhe=vwt_y1w_/&amp;x=pv&amp;bdi=tzfd&amp;=st2pw/7f1-a=&amp;x=pv&amp;n1&amp;j&amp;kc949&amp;25&amp;x=pp&amp;uy.-5-&amp;x=pv&amp;83dbzb4h=rq2prxNCLM" TargetMode="External"/><Relationship Id="rId2491" Type="http://schemas.openxmlformats.org/officeDocument/2006/relationships/hyperlink" Target="https://a2g9b4.emailsp.com/f/rnl.aspx/?fei=1wqvoxxy.9ek=vyad8=t3suqy&amp;f2::=4ibeh..e--:5d6.451&amp;x=pp&amp;r1.&amp;x=pv&amp;49-6&amp;aax00l=rvuwwNCLM" TargetMode="External"/><Relationship Id="rId572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1161" Type="http://schemas.openxmlformats.org/officeDocument/2006/relationships/hyperlink" Target="https://www.facebook.com/reel/1524051432758941" TargetMode="External"/><Relationship Id="rId2492" Type="http://schemas.openxmlformats.org/officeDocument/2006/relationships/hyperlink" Target="https://a2g9b4.emailsp.com/f/rnl.aspx/?fei=1wqvoxxy.9ek=vyad8=t3sxuy&amp;f2::=4ibeh..e--:5d6.451&amp;x=pp&amp;r1.&amp;x=pv&amp;49-6&amp;aax00l=rwwuuNCLM" TargetMode="External"/><Relationship Id="rId571" Type="http://schemas.openxmlformats.org/officeDocument/2006/relationships/hyperlink" Target="https://a2g9b4.emailsp.com/f/rnl.aspx/?fei=1wqvoxxy.9ek=vyad8=t3xqry&amp;f2::=4ibeh..e--:5d6.451&amp;x=pp&amp;r1.&amp;x=pv&amp;49-6&amp;aax00l=rtotwNCLM" TargetMode="External"/><Relationship Id="rId1162" Type="http://schemas.openxmlformats.org/officeDocument/2006/relationships/hyperlink" Target="https://a2g9b4.emailsp.com/f/rnl.aspx/?fei=1vvoo_2y.9ek=vyad8=t3oxsy&amp;f2::=k702m1k6.451&amp;x=pp&amp;r1.&amp;x=pv&amp;49-6&amp;aax00l=runrzNCLM" TargetMode="External"/><Relationship Id="rId2493" Type="http://schemas.openxmlformats.org/officeDocument/2006/relationships/hyperlink" Target="https://a2g9b4.emailsp.com/f/rnl.aspx/?fei=1wqvoxxy.9ek=vyad8=t3syny&amp;f2::=4ibeh..e--:5d6.451&amp;x=pp&amp;r1.&amp;x=pv&amp;49-6&amp;aax00l=rwwwvNCLM" TargetMode="External"/><Relationship Id="rId570" Type="http://schemas.openxmlformats.org/officeDocument/2006/relationships/hyperlink" Target="https://e5c9a.mailupclient.com/f/rnl.aspx/?jhe=vwurvxsx/&amp;x=pv&amp;bdi=tzfd&amp;=st_tr/7f1-a=5k9hibg&amp;x=pv&amp;9a&amp;-c4&amp;501&amp;x=pp&amp;u_9f1-a2&amp;.b/&amp;:d=rsw3usNCLM" TargetMode="External"/><Relationship Id="rId1163" Type="http://schemas.openxmlformats.org/officeDocument/2006/relationships/hyperlink" Target="https://www.facebook.com/reel/1004337665882718" TargetMode="External"/><Relationship Id="rId2010" Type="http://schemas.openxmlformats.org/officeDocument/2006/relationships/hyperlink" Target="https://a2g9b4.emailsp.com/f/rnl.aspx/?fei=1vvoo1vy.9ek=vyad8=t3qyny&amp;f2::=-l98i9di-10337&amp;x=pp&amp;yx0-2.e16.&amp;x=pv&amp;2b5g=qtt3rNCLM" TargetMode="External"/><Relationship Id="rId2494" Type="http://schemas.openxmlformats.org/officeDocument/2006/relationships/hyperlink" Target="https://a2g9b4.emailsp.com/f/rnl.aspx/?fei=2orws1vy.9ek=vyad8=t3susy&amp;f2::=7chafagb&amp;x=pp&amp;yx0-2.e16.&amp;x=pv&amp;2b5g=qu11rNCLM" TargetMode="External"/><Relationship Id="rId1164" Type="http://schemas.openxmlformats.org/officeDocument/2006/relationships/hyperlink" Target="https://a2g9b4.emailsp.com/f/rnl.aspx/?fei=1vvoo_2y.9ek=vyad8=t3oyuy&amp;f2::=k702m1k6.451&amp;x=pp&amp;r1.&amp;x=pv&amp;49-6&amp;aax00l=runtvNCLM" TargetMode="External"/><Relationship Id="rId2011" Type="http://schemas.openxmlformats.org/officeDocument/2006/relationships/hyperlink" Target="https://www.facebook.com/GCBA/posts/pfbid0E26b9MUybUKoTzNXoDz4gTh6QvTiFfee3mmWVsLNfoHwov9XjoXD3dM1uM4p2JdZl" TargetMode="External"/><Relationship Id="rId2495" Type="http://schemas.openxmlformats.org/officeDocument/2006/relationships/hyperlink" Target="https://e5c9a.mailupclient.com/f/rnl.aspx/?jhe=vwvwwvrv/&amp;x=pv&amp;bdi=tzfd&amp;=suypw/7f1-a=8e.dgcn&amp;&amp;x=pp&amp;u_9f1-a2&amp;.b/&amp;:d=rtp/sxNCLM" TargetMode="External"/><Relationship Id="rId576" Type="http://schemas.openxmlformats.org/officeDocument/2006/relationships/hyperlink" Target="https://a2g9b4.emailsp.com/f/rnl.aspx/?fei=1wqvoxxy.9ek=vyad8=t3xqny&amp;f2::=4ibeh..e--:5d6.451&amp;x=pp&amp;r1.&amp;x=pv&amp;49-6&amp;aax00l=rtorwNCLM" TargetMode="External"/><Relationship Id="rId1165" Type="http://schemas.openxmlformats.org/officeDocument/2006/relationships/hyperlink" Target="https://www.facebook.com/reel/1993562261536011" TargetMode="External"/><Relationship Id="rId2012" Type="http://schemas.openxmlformats.org/officeDocument/2006/relationships/hyperlink" Target="https://a2g9b4.emailsp.com/f/rnl.aspx/?fei=1vvoo1vy.9ek=vyad8=t3rqpy&amp;f2::=-l98i9di-10337&amp;x=pp&amp;yx0-2.e16.&amp;x=pv&amp;2b5g=qtu1vNCLM" TargetMode="External"/><Relationship Id="rId2496" Type="http://schemas.openxmlformats.org/officeDocument/2006/relationships/hyperlink" Target="https://e5c9a.mailupclient.com/f/rnl.aspx/?jhe=vwvwwvrv/&amp;x=pv&amp;bdi=tzfd&amp;=suyoz/7f1-a=8e.dgcn&amp;&amp;x=pp&amp;u_9f1-a2&amp;.b/&amp;:d=rtp/ruNCLM" TargetMode="External"/><Relationship Id="rId575" Type="http://schemas.openxmlformats.org/officeDocument/2006/relationships/hyperlink" Target="https://a2g9b4.emailsp.com/f/rnl.aspx/?fei=1wqvoxxy.9ek=vyad8=t3xqoy&amp;f2::=4ibeh..e--:5d6.451&amp;x=pp&amp;r1.&amp;x=pv&amp;49-6&amp;aax00l=rtorxNCLM" TargetMode="External"/><Relationship Id="rId1166" Type="http://schemas.openxmlformats.org/officeDocument/2006/relationships/hyperlink" Target="https://e5c9a.mailupclient.com/f/rnl.aspx/?jhe=1r_yq2o/a&amp;le=t/.l7=svxyo/9.99a=59ndi-a&amp;9g-7e:-49&amp;25&amp;x=pp&amp;uy.-5-&amp;x=pv&amp;83dbzb4h=rq2pryNCLM" TargetMode="External"/><Relationship Id="rId2013" Type="http://schemas.openxmlformats.org/officeDocument/2006/relationships/hyperlink" Target="https://www.facebook.com/reel/2081566192790744" TargetMode="External"/><Relationship Id="rId2497" Type="http://schemas.openxmlformats.org/officeDocument/2006/relationships/hyperlink" Target="https://e5c9a.mailupclient.com/f/rnl.aspx/?jhe=vwvwwvrv/&amp;x=pv&amp;bdi=tzfd&amp;=suyp_/7f1-a=8e.dgcn&amp;&amp;x=pp&amp;u_9f1-a2&amp;.b/&amp;:d=rtp/rxNCLM" TargetMode="External"/><Relationship Id="rId574" Type="http://schemas.openxmlformats.org/officeDocument/2006/relationships/hyperlink" Target="https://a2g9b4.emailsp.com/f/rnl.aspx/?fei=1wqvoxxy.9ek=vyad8=t3xzqy&amp;f2::=4ibeh..e--:5d6.451&amp;x=pp&amp;r1.&amp;x=pv&amp;49-6&amp;aax00l=rtooxNCLM" TargetMode="External"/><Relationship Id="rId1167" Type="http://schemas.openxmlformats.org/officeDocument/2006/relationships/hyperlink" Target="https://www.facebook.com/reel/1004337665882718" TargetMode="External"/><Relationship Id="rId2014" Type="http://schemas.openxmlformats.org/officeDocument/2006/relationships/hyperlink" Target="https://a2g9b4.emailsp.com/f/rnl.aspx/?fei=1vvoo1vy.9ek=vyad8=t3rqty&amp;f2::=-l98i9di-10337&amp;x=pp&amp;yx0-2.e16.&amp;x=pv&amp;2b5g=qtu_tNCLM" TargetMode="External"/><Relationship Id="rId2498" Type="http://schemas.openxmlformats.org/officeDocument/2006/relationships/hyperlink" Target="https://a2g9b4.emailsp.com/f/rnl.aspx/?fei=2orws1vy.9ek=vyad8=t3sxvy&amp;f2::=7chafagb&amp;x=pp&amp;yx0-2.e16.&amp;x=pv&amp;2b5g=qu12pNCLM" TargetMode="External"/><Relationship Id="rId573" Type="http://schemas.openxmlformats.org/officeDocument/2006/relationships/hyperlink" Target="https://a2g9b4.emailsp.com/f/rnl.aspx/?fei=1wqvoxxy.9ek=vyad8=t3xzuy&amp;f2::=4ibeh..e--:5d6.451&amp;x=pp&amp;r1.&amp;x=pv&amp;49-6&amp;aax00l=rtoqtNCLM" TargetMode="External"/><Relationship Id="rId1168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2015" Type="http://schemas.openxmlformats.org/officeDocument/2006/relationships/hyperlink" Target="https://www.facebook.com/reel/2210295129787904" TargetMode="External"/><Relationship Id="rId2499" Type="http://schemas.openxmlformats.org/officeDocument/2006/relationships/hyperlink" Target="https://e5c9a.mailupclient.com/f/rnl.aspx/?jhe=vwt_y1w_/&amp;x=pv&amp;bdi=tzfd&amp;=suyou/7f1-a=&amp;x=pv&amp;n1&amp;j&amp;kc949&amp;25&amp;x=pp&amp;uy.-5-&amp;x=pv&amp;83dbzb4h=rrvt__NCLM" TargetMode="External"/><Relationship Id="rId2049" Type="http://schemas.openxmlformats.org/officeDocument/2006/relationships/hyperlink" Target="https://www.facebook.com/baparticipacion/posts/pfbid0PPRDU6ZwuwtDKS6M8fqGVTmkHF8eQuGdLUy7Sp4yTH3w3gK56kNNxAJkjLc6mfaTl" TargetMode="External"/><Relationship Id="rId129" Type="http://schemas.openxmlformats.org/officeDocument/2006/relationships/hyperlink" Target="https://e5c9a.mailupclient.com/f/rnl.aspx/?jhe=vwt_y1w_/&amp;x=pv&amp;bdi=tzfd&amp;=styot/7f1-a=&amp;x=pv&amp;n1&amp;j&amp;kc949&amp;25&amp;x=pp&amp;uy.-5-&amp;x=pv&amp;83dbzb4h=rq_ttrNCLM" TargetMode="External"/><Relationship Id="rId128" Type="http://schemas.openxmlformats.org/officeDocument/2006/relationships/hyperlink" Target="https://www.facebook.com/GCBA/posts/1287344873425159" TargetMode="External"/><Relationship Id="rId127" Type="http://schemas.openxmlformats.org/officeDocument/2006/relationships/hyperlink" Target="https://e5c9a.mailupclient.com/f/rnl.aspx/?jhe=vwt_y1w_/&amp;x=pv&amp;bdi=tzfd&amp;=styo_/7f1-a=&amp;x=pv&amp;n1&amp;j&amp;kc949&amp;25&amp;x=pp&amp;uy.-5-&amp;x=pv&amp;83dbzb4h=rq_txtNCLM" TargetMode="External"/><Relationship Id="rId126" Type="http://schemas.openxmlformats.org/officeDocument/2006/relationships/hyperlink" Target="https://www.facebook.com/GCBA/posts/1287349476758032" TargetMode="External"/><Relationship Id="rId1190" Type="http://schemas.openxmlformats.org/officeDocument/2006/relationships/hyperlink" Target="https://e5c9a.mailupclient.com/f/rnl.aspx/?jhe=1r_yq2o/a&amp;le=t/.l7=svxzw/9.99a=59ndi-a&amp;9g-7e:-49&amp;25&amp;x=pp&amp;uy.-5-&amp;x=pv&amp;83dbzb4h=rq2pzuNCLM" TargetMode="External"/><Relationship Id="rId1191" Type="http://schemas.openxmlformats.org/officeDocument/2006/relationships/hyperlink" Target="https://www.facebook.com/reel/818777800864033" TargetMode="External"/><Relationship Id="rId1192" Type="http://schemas.openxmlformats.org/officeDocument/2006/relationships/hyperlink" Target="https://a2g9b4.emailsp.com/f/rnl.aspx/?fei=1wqvoxxy.9ek=vyad8=t3pqpy&amp;f2::=4ibeh..e--:5d6.451&amp;x=pp&amp;r1.&amp;x=pv&amp;49-6&amp;aax00l=ruottNCLM" TargetMode="External"/><Relationship Id="rId1193" Type="http://schemas.openxmlformats.org/officeDocument/2006/relationships/hyperlink" Target="https://www.facebook.com/reel/818777800864033" TargetMode="External"/><Relationship Id="rId2040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121" Type="http://schemas.openxmlformats.org/officeDocument/2006/relationships/hyperlink" Target="https://e5c9a.mailupclient.com/f/rnl.aspx/?jhe=vwt_y1w_/&amp;x=pv&amp;bdi=tzfd&amp;=stynt/7f1-a=&amp;x=pv&amp;n1&amp;j&amp;kc949&amp;25&amp;x=pp&amp;uy.-5-&amp;x=pv&amp;83dbzb4h=rq_t_rNCLM" TargetMode="External"/><Relationship Id="rId1194" Type="http://schemas.openxmlformats.org/officeDocument/2006/relationships/hyperlink" Target="https://a2g9b4.emailsp.com/f/rnl.aspx/?fei=1wqvoxxy.9ek=vyad8=t3pzty&amp;f2::=4ibeh..e--:5d6.451&amp;x=pp&amp;r1.&amp;x=pv&amp;49-6&amp;aax00l=ruoxyNCLM" TargetMode="External"/><Relationship Id="rId2041" Type="http://schemas.openxmlformats.org/officeDocument/2006/relationships/hyperlink" Target="https://www.facebook.com/baparticipacion/posts/pfbid05JZe9CpEB52zA3crM7ZyMytReeTkcmtCV4nPKv2WANoDMJr8ACvccqpJzcRBYMtsl" TargetMode="External"/><Relationship Id="rId120" Type="http://schemas.openxmlformats.org/officeDocument/2006/relationships/hyperlink" Target="https://www.facebook.com/reel/850462247854341" TargetMode="External"/><Relationship Id="rId1195" Type="http://schemas.openxmlformats.org/officeDocument/2006/relationships/hyperlink" Target="https://www.facebook.com/reel/818777800864033" TargetMode="External"/><Relationship Id="rId2042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1196" Type="http://schemas.openxmlformats.org/officeDocument/2006/relationships/hyperlink" Target="https://a2g9b4.emailsp.com/f/rnl.aspx/?fei=1wqvoxxy.9ek=vyad8=t3pzry&amp;f2::=4ibeh..e--:5d6.451&amp;x=pp&amp;r1.&amp;x=pv&amp;49-6&amp;aax00l=runw_NCLM" TargetMode="External"/><Relationship Id="rId2043" Type="http://schemas.openxmlformats.org/officeDocument/2006/relationships/hyperlink" Target="https://www.facebook.com/GCBA/posts/pfbid0H6murZagZLhr7triKeksQykfPfaMBWzrKDmvmQsNL9ej9z1D6hhggGf2rmpExwU1l" TargetMode="External"/><Relationship Id="rId1197" Type="http://schemas.openxmlformats.org/officeDocument/2006/relationships/hyperlink" Target="https://www.facebook.com/reel/818777800864033" TargetMode="External"/><Relationship Id="rId2044" Type="http://schemas.openxmlformats.org/officeDocument/2006/relationships/hyperlink" Target="https://e5c9a.mailupclient.com/f/rnl.aspx/?jhe=1r_yq2o/a&amp;le=t/.l7=swqxn/9.99a=59ndi-a&amp;9g-7e:-49&amp;25&amp;x=pp&amp;uy.-5-&amp;x=pv&amp;83dbzb4h=rr3ttuNCLM" TargetMode="External"/><Relationship Id="rId125" Type="http://schemas.openxmlformats.org/officeDocument/2006/relationships/hyperlink" Target="https://e5c9a.mailupclient.com/f/rnl.aspx/?jhe=vwt_y1w_/&amp;x=pv&amp;bdi=tzfd&amp;=styou/7f1-a=&amp;x=pv&amp;n1&amp;j&amp;kc949&amp;25&amp;x=pp&amp;uy.-5-&amp;x=pv&amp;83dbzb4h=rq_ttsNCLM" TargetMode="External"/><Relationship Id="rId1198" Type="http://schemas.openxmlformats.org/officeDocument/2006/relationships/hyperlink" Target="https://a2g9b4.emailsp.com/f/rnl.aspx/?fei=1wqvoxxy.9ek=vyad8=t3pzry&amp;f2::=4ibeh..e--:5d6.451&amp;x=pp&amp;r1.&amp;x=pv&amp;49-6&amp;aax00l=runwvNCLM" TargetMode="External"/><Relationship Id="rId2045" Type="http://schemas.openxmlformats.org/officeDocument/2006/relationships/hyperlink" Target="https://fb.me/adspreview/facebook/29gh3TVKAXDRWc7" TargetMode="External"/><Relationship Id="rId124" Type="http://schemas.openxmlformats.org/officeDocument/2006/relationships/hyperlink" Target="https://www.instagram.com/p/DTIymi-DLs1/" TargetMode="External"/><Relationship Id="rId1199" Type="http://schemas.openxmlformats.org/officeDocument/2006/relationships/hyperlink" Target="https://www.facebook.com/baparticipacion/posts/pfbid02RfD5oXgA8P3q6zwVkAp9uJLa6fSFfvvACB7em7W2hGYtZzw9idT2qE5zVd4nGrkfl" TargetMode="External"/><Relationship Id="rId2046" Type="http://schemas.openxmlformats.org/officeDocument/2006/relationships/hyperlink" Target="https://e5c9a.mailupclient.com/f/rnl.aspx/?jhe=1r_yq2o/a&amp;le=t/.l7=swqxq/9.99a=59ndi-a&amp;9g-7e:-49&amp;25&amp;x=pp&amp;uy.-5-&amp;x=pv&amp;83dbzb4h=rr3ttzNCLM" TargetMode="External"/><Relationship Id="rId123" Type="http://schemas.openxmlformats.org/officeDocument/2006/relationships/hyperlink" Target="https://e5c9a.mailupclient.com/f/rnl.aspx/?jhe=vwt_y1w_/&amp;x=pv&amp;bdi=tzfd&amp;=stynu/7f1-a=&amp;x=pv&amp;n1&amp;j&amp;kc949&amp;25&amp;x=pp&amp;uy.-5-&amp;x=pv&amp;83dbzb4h=rq_szuNCLM" TargetMode="External"/><Relationship Id="rId2047" Type="http://schemas.openxmlformats.org/officeDocument/2006/relationships/hyperlink" Target="https://www.facebook.com/baparticipacion/posts/pfbid0QriDSP1vyJgGzKZMqwZZhMaeY1zhSaf1EpNzfNJAXmWaniVaM1JBgh4NXNkg2xYtl" TargetMode="External"/><Relationship Id="rId122" Type="http://schemas.openxmlformats.org/officeDocument/2006/relationships/hyperlink" Target="https://www.facebook.com/100064853673908/posts/1304262748412169/" TargetMode="External"/><Relationship Id="rId2048" Type="http://schemas.openxmlformats.org/officeDocument/2006/relationships/hyperlink" Target="https://e5c9a.mailupclient.com/f/rnl.aspx/?jhe=vwurvxsx/&amp;x=pv&amp;bdi=tzfd&amp;=suwrz/7f1-a=5k9hibg&amp;x=pv&amp;9a&amp;-c4&amp;501&amp;x=pp&amp;u_9f1-a2&amp;.b/&amp;:d=rty1ruNCLM" TargetMode="External"/><Relationship Id="rId2038" Type="http://schemas.openxmlformats.org/officeDocument/2006/relationships/hyperlink" Target="https://e5c9a.mailupclient.com/f/rnl.aspx/?jhe=/u_vtwr/a&amp;le=t/.l7=swqzq/9.99a=Jb7&amp;3-52.365&amp;x=pp&amp;s37b5&amp;e/7d.498h=pxwytyNCLM" TargetMode="External"/><Relationship Id="rId2039" Type="http://schemas.openxmlformats.org/officeDocument/2006/relationships/hyperlink" Target="https://www.facebook.com/baparticipacion/posts/pfbid0gAi2bSqe1peo1vJipGzeNYvLfpKmmqRR3dtLpZaFoPyqDTBTLrSCJcZkXEx3f5yml" TargetMode="External"/><Relationship Id="rId118" Type="http://schemas.openxmlformats.org/officeDocument/2006/relationships/hyperlink" Target="https://www.facebook.com/reel/2575752736128737" TargetMode="External"/><Relationship Id="rId117" Type="http://schemas.openxmlformats.org/officeDocument/2006/relationships/hyperlink" Target="https://e5c9a.mailupclient.com/f/rnl.aspx/?jhe=vwurvxsx/&amp;x=pv&amp;bdi=tzfd&amp;=styws/7f1-a=5k9hibg&amp;x=pv&amp;9a&amp;-c4&amp;501&amp;x=pp&amp;u_9f1-a2&amp;.b/&amp;:d=rsu/oyNCLM" TargetMode="External"/><Relationship Id="rId116" Type="http://schemas.openxmlformats.org/officeDocument/2006/relationships/hyperlink" Target="https://www.facebook.com/GCBA/posts/pfbid0N5sbH3engzLHtbfZQM61dN6d9zBMxwsp4N1bpfX76sx6bnCZy4398mqDoXuTfdX5l" TargetMode="External"/><Relationship Id="rId115" Type="http://schemas.openxmlformats.org/officeDocument/2006/relationships/hyperlink" Target="https://mu-messages.mailupclient.com/55391/messages/email/25426/preview?sourceCode=listemail&amp;idTriggered=0" TargetMode="External"/><Relationship Id="rId599" Type="http://schemas.openxmlformats.org/officeDocument/2006/relationships/hyperlink" Target="https://e5c9a.mailupclient.com/f/rnl.aspx/?jhe=vwurvxsx/&amp;x=pv&amp;bdi=tzfd&amp;=st_uv/7f1-a=5k9hibg&amp;x=pv&amp;9a&amp;-c4&amp;501&amp;x=pp&amp;u_9f1-a2&amp;.b/&amp;:d=rswvovNCLM" TargetMode="External"/><Relationship Id="rId1180" Type="http://schemas.openxmlformats.org/officeDocument/2006/relationships/hyperlink" Target="https://e5c9a.mailupclient.com/f/rnl.aspx/?jhe=vwt_y1w_/&amp;x=pv&amp;bdi=tzfd&amp;=st2px/7f1-a=&amp;x=pv&amp;n1&amp;j&amp;kc949&amp;25&amp;x=pp&amp;uy.-5-&amp;x=pv&amp;83dbzb4h=rq2pwvNCLM" TargetMode="External"/><Relationship Id="rId1181" Type="http://schemas.openxmlformats.org/officeDocument/2006/relationships/hyperlink" Target="https://www.facebook.com/GCBA/posts/pfbid0sjsw4fmaZgH69Leu9Xq1bGvySQmZsbQtRcg9RLZrzuPWEHQATgDdDX3DKPknXAmKl" TargetMode="External"/><Relationship Id="rId119" Type="http://schemas.openxmlformats.org/officeDocument/2006/relationships/hyperlink" Target="https://e5c9a.mailupclient.com/f/rnl.aspx/?jhe=vwvwwvrv/&amp;x=pv&amp;bdi=tzfd&amp;=stynz/7f1-a=8e.dgcn&amp;&amp;x=pp&amp;u_9f1-a2&amp;.b/&amp;:d=rsu/tuNCLM" TargetMode="External"/><Relationship Id="rId1182" Type="http://schemas.openxmlformats.org/officeDocument/2006/relationships/hyperlink" Target="https://a2g9b4.emailsp.com/f/rnl.aspx/?fei=1vvoo1vy.9ek=vyad8=t3pzoy&amp;f2::=-l98i9di-10337&amp;x=pp&amp;yx0-2.e16.&amp;x=pv&amp;2b5g=qsuzuNCLM" TargetMode="External"/><Relationship Id="rId110" Type="http://schemas.openxmlformats.org/officeDocument/2006/relationships/hyperlink" Target="https://www.facebook.com/reel/850462247854341" TargetMode="External"/><Relationship Id="rId594" Type="http://schemas.openxmlformats.org/officeDocument/2006/relationships/hyperlink" Target="https://e5c9a.mailupclient.com/f/rnl.aspx/?jhe=vwurvxsx/&amp;x=pv&amp;bdi=tzfd&amp;=st_tx/7f1-a=5k9hibg&amp;x=pv&amp;9a&amp;-c4&amp;501&amp;x=pp&amp;u_9f1-a2&amp;.b/&amp;:d=rsw3v_NCLM" TargetMode="External"/><Relationship Id="rId1183" Type="http://schemas.openxmlformats.org/officeDocument/2006/relationships/hyperlink" Target="https://www.facebook.com/reel/1259490412867632" TargetMode="External"/><Relationship Id="rId2030" Type="http://schemas.openxmlformats.org/officeDocument/2006/relationships/hyperlink" Target="https://e5c9a.mailupclient.com/f/rnl.aspx/?jhe=vwt_y1w_/&amp;x=pv&amp;bdi=tzfd&amp;=suwqu/7f1-a=&amp;x=pv&amp;n1&amp;j&amp;kc949&amp;25&amp;x=pp&amp;uy.-5-&amp;x=pv&amp;83dbzb4h=rr3urxNCLM" TargetMode="External"/><Relationship Id="rId593" Type="http://schemas.openxmlformats.org/officeDocument/2006/relationships/hyperlink" Target="https://a2g9b4.emailsp.com/f/rnl.aspx/?fei=1wqvoxxy.9ek=vyad8=t3xqpy&amp;f2::=4ibeh..e--:5d6.451&amp;x=pp&amp;r1.&amp;x=pv&amp;49-6&amp;aax00l=rtoryNCLM" TargetMode="External"/><Relationship Id="rId1184" Type="http://schemas.openxmlformats.org/officeDocument/2006/relationships/hyperlink" Target="https://a2g9b4.emailsp.com/f/rnl.aspx/?fei=1vvoo1vy.9ek=vyad8=t3pqty&amp;f2::=-l98i9di-10337&amp;x=pp&amp;yx0-2.e16.&amp;x=pv&amp;2b5g=qsuztNCLM" TargetMode="External"/><Relationship Id="rId2031" Type="http://schemas.openxmlformats.org/officeDocument/2006/relationships/hyperlink" Target="https://www.facebook.com/GCBA/posts/pfbid0oTTfRyRDjRtSWz1D2DEHt74VHK6N6rLVjYhLoitVw74XKk9AP7kXKcdgB2HbFSBTl" TargetMode="External"/><Relationship Id="rId592" Type="http://schemas.openxmlformats.org/officeDocument/2006/relationships/hyperlink" Target="https://e5c9a.mailupclient.com/f/rnl.aspx/?jhe=1r_yq2o/a&amp;le=t/.l7=svu1t/9.99a=59ndi-a&amp;9g-7e:-49&amp;25&amp;x=pp&amp;uy.-5-&amp;x=pv&amp;83dbzb4h=rq1nuxNCLM" TargetMode="External"/><Relationship Id="rId1185" Type="http://schemas.openxmlformats.org/officeDocument/2006/relationships/hyperlink" Target="https://www.facebook.com/reel/1259490412867632" TargetMode="External"/><Relationship Id="rId2032" Type="http://schemas.openxmlformats.org/officeDocument/2006/relationships/hyperlink" Target="https://a2g9b4.emailsp.com/f/rnl.aspx/?fei=1vvoo_2y.9ek=vyad8=t3rruy&amp;f2::=k702m1k6.451&amp;x=pp&amp;r1.&amp;x=pv&amp;49-6&amp;aax00l=rvouzNCLM" TargetMode="External"/><Relationship Id="rId591" Type="http://schemas.openxmlformats.org/officeDocument/2006/relationships/hyperlink" Target="https://e5c9a.mailupclient.com/f/rnl.aspx/?jhe=1r_yq2o/a&amp;le=t/.l7=svu1t/9.99a=59ndi-a&amp;9g-7e:-49&amp;25&amp;x=pp&amp;uy.-5-&amp;x=pv&amp;83dbzb4h=rq1nuxNCLM" TargetMode="External"/><Relationship Id="rId1186" Type="http://schemas.openxmlformats.org/officeDocument/2006/relationships/hyperlink" Target="https://a2g9b4.emailsp.com/f/rnl.aspx/?fei=1vvoo_2y.9ek=vyad8=t3pzvy&amp;f2::=k702m1k6.451&amp;x=pp&amp;r1.&amp;x=pv&amp;49-6&amp;aax00l=ruooyNCLM" TargetMode="External"/><Relationship Id="rId2033" Type="http://schemas.openxmlformats.org/officeDocument/2006/relationships/hyperlink" Target="https://www.facebook.com/GCBA/posts/pfbid02swNy36nfpZR5JgK8gRFv41M4rUJbf9Vaw8zr5UVKZPn4WyhrzmAowWm61gBwMcnYl" TargetMode="External"/><Relationship Id="rId114" Type="http://schemas.openxmlformats.org/officeDocument/2006/relationships/hyperlink" Target="https://www.facebook.com/GCBA/posts/pfbid0N5sbH3engzLHtbfZQM61dN6d9zBMxwsp4N1bpfX76sx6bnCZy4398mqDoXuTfdX5l" TargetMode="External"/><Relationship Id="rId598" Type="http://schemas.openxmlformats.org/officeDocument/2006/relationships/hyperlink" Target="https://e5c9a.mailupclient.com/f/rnl.aspx/?jhe=vwurvxsx/&amp;x=pv&amp;bdi=tzfd&amp;=stzqx/7f1-a=5k9hibg&amp;x=pv&amp;9a&amp;-c4&amp;501&amp;x=pp&amp;u_9f1-a2&amp;.b/&amp;:d=rsw3vwNCLM" TargetMode="External"/><Relationship Id="rId1187" Type="http://schemas.openxmlformats.org/officeDocument/2006/relationships/hyperlink" Target="https://www.facebook.com/reel/818777800864033" TargetMode="External"/><Relationship Id="rId2034" Type="http://schemas.openxmlformats.org/officeDocument/2006/relationships/hyperlink" Target="https://e5c9a.mailupclient.com/f/rnl.aspx/?jhe=vwurvxsx/&amp;x=pv&amp;bdi=tzfd&amp;=suwqv/7f1-a=5k9hibg&amp;x=pv&amp;9a&amp;-c4&amp;501&amp;x=pp&amp;u_9f1-a2&amp;.b/&amp;:d=rty/ttNCLM" TargetMode="External"/><Relationship Id="rId113" Type="http://schemas.openxmlformats.org/officeDocument/2006/relationships/hyperlink" Target="https://e5c9a.mailupclient.com/f/rnl.aspx/?jhe=vwt_y1w_/&amp;x=pv&amp;bdi=tzfd&amp;=styor/7f1-a=&amp;x=pv&amp;n1&amp;j&amp;kc949&amp;25&amp;x=pp&amp;uy.-5-&amp;x=pv&amp;83dbzb4h=rq_trxNCLM" TargetMode="External"/><Relationship Id="rId597" Type="http://schemas.openxmlformats.org/officeDocument/2006/relationships/hyperlink" Target="https://e5c9a.mailupclient.com/f/rnl.aspx/?jhe=vwurvxsx/&amp;x=pv&amp;bdi=tzfd&amp;=st_ty/7f1-a=5k9hibg&amp;x=pv&amp;9a&amp;-c4&amp;501&amp;x=pp&amp;u_9f1-a2&amp;.b/&amp;:d=rswvwrNCLM" TargetMode="External"/><Relationship Id="rId1188" Type="http://schemas.openxmlformats.org/officeDocument/2006/relationships/hyperlink" Target="https://a2g9b4.emailsp.com/f/rnl.aspx/?fei=1vvoo_2y.9ek=vyad8=t3pzvy&amp;f2::=k702m1k6.451&amp;x=pp&amp;r1.&amp;x=pv&amp;49-6&amp;aax00l=ruooyNCLM" TargetMode="External"/><Relationship Id="rId2035" Type="http://schemas.openxmlformats.org/officeDocument/2006/relationships/hyperlink" Target="https://www.facebook.com/GCBA/posts/pfbid02iuVuA8xtGgxvTSzpiQ9gr3uYg7KLUdZE2cUAikcMyqpMF71mghyZr8ubEmo95RqJl" TargetMode="External"/><Relationship Id="rId112" Type="http://schemas.openxmlformats.org/officeDocument/2006/relationships/hyperlink" Target="https://www.facebook.com/reel/850462247854341" TargetMode="External"/><Relationship Id="rId596" Type="http://schemas.openxmlformats.org/officeDocument/2006/relationships/hyperlink" Target="https://e5c9a.mailupclient.com/f/rnl.aspx/?jhe=vwurvxsx/&amp;x=pv&amp;bdi=tzfd&amp;=stzuy/7f1-a=5k9hibg&amp;x=pv&amp;9a&amp;-c4&amp;501&amp;x=pp&amp;u_9f1-a2&amp;.b/&amp;:d=rsw3vyNCLM" TargetMode="External"/><Relationship Id="rId1189" Type="http://schemas.openxmlformats.org/officeDocument/2006/relationships/hyperlink" Target="https://www.facebook.com/reel/818777800864033" TargetMode="External"/><Relationship Id="rId2036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111" Type="http://schemas.openxmlformats.org/officeDocument/2006/relationships/hyperlink" Target="https://e5c9a.mailupclient.com/f/rnl.aspx/?jhe=vwvwwvrv/&amp;x=pv&amp;bdi=tzfd&amp;=stynr/7f1-a=8e.dgcn&amp;&amp;x=pp&amp;u_9f1-a2&amp;.b/&amp;:d=rsu/pvNCLM" TargetMode="External"/><Relationship Id="rId595" Type="http://schemas.openxmlformats.org/officeDocument/2006/relationships/hyperlink" Target="https://e5c9a.mailupclient.com/f/rnl.aspx/?jhe=vwurvxsx/&amp;x=pv&amp;bdi=tzfd&amp;=st_tt/7f1-a=5k9hibg&amp;x=pv&amp;9a&amp;-c4&amp;501&amp;x=pp&amp;u_9f1-a2&amp;.b/&amp;:d=rsw3uxNCLM" TargetMode="External"/><Relationship Id="rId2037" Type="http://schemas.openxmlformats.org/officeDocument/2006/relationships/hyperlink" Target="https://www.facebook.com/baparticipacion/posts/pfbid028buhDwCjERQtoEkvPzyyQXjLesGLBHVK72J59pwqNuvmAR1czprvDuYfpkf8Kqk1l" TargetMode="External"/><Relationship Id="rId1136" Type="http://schemas.openxmlformats.org/officeDocument/2006/relationships/hyperlink" Target="https://e5c9a.mailupclient.com/f/rnl.aspx/?jhe=vwvwwvrv/&amp;x=pv&amp;bdi=tzfd&amp;=st2or/7f1-a=8e.dgcn&amp;&amp;x=pp&amp;u_9f1-a2&amp;.b/&amp;:d=rsxwutNCLM" TargetMode="External"/><Relationship Id="rId2467" Type="http://schemas.openxmlformats.org/officeDocument/2006/relationships/hyperlink" Target="https://e5c9a.mailupclient.com/f/rnl.aspx/?jhe=1r_yq2o/a&amp;le=t/.l7=swsvp/9.99a=59ndi-a&amp;9g-7e:-49&amp;25&amp;x=pp&amp;uy.-5-&amp;x=pv&amp;83dbzb4h=rrvstuNCLM" TargetMode="External"/><Relationship Id="rId1137" Type="http://schemas.openxmlformats.org/officeDocument/2006/relationships/hyperlink" Target="https://www.facebook.com/baparticipacion/posts/pfbid0shocE44xmL2Vp7Tf1bcMpEmtkzJXvuTJnqoAci9tyUQJmP8yW437B7GM7q2rMt3kl" TargetMode="External"/><Relationship Id="rId2468" Type="http://schemas.openxmlformats.org/officeDocument/2006/relationships/hyperlink" Target="https://e5c9a.mailupclient.com/f/rnl.aspx/?jhe=vwurvxsx/&amp;x=pv&amp;bdi=tzfd&amp;=suxtr/7f1-a=5k9hibg&amp;x=pv&amp;9a&amp;-c4&amp;501&amp;x=pp&amp;u_9f1-a2&amp;.b/&amp;:d=rtpyrtNCLM" TargetMode="External"/><Relationship Id="rId1138" Type="http://schemas.openxmlformats.org/officeDocument/2006/relationships/hyperlink" Target="https://e5c9a.mailupclient.com/f/rnl.aspx/?jhe=vwvwwvrv/&amp;x=pv&amp;bdi=tzfd&amp;=st2oy/7f1-a=8e.dgcn&amp;&amp;x=pp&amp;u_9f1-a2&amp;.b/&amp;:d=rsxwuuNCLM" TargetMode="External"/><Relationship Id="rId2469" Type="http://schemas.openxmlformats.org/officeDocument/2006/relationships/hyperlink" Target="https://a2g9b4.emailsp.com/f/rnl.aspx/?fei=1wqvoxxy.9ek=vyad8=t3supy&amp;f2::=4ibeh..e--:5d6.451&amp;x=pp&amp;r1.&amp;x=pv&amp;49-6&amp;aax00l=rvuwvNCLM" TargetMode="External"/><Relationship Id="rId1139" Type="http://schemas.openxmlformats.org/officeDocument/2006/relationships/hyperlink" Target="https://www.facebook.com/baparticipacion/posts/pfbid0Fhhy13Y6LkU2Q3Wm5cDG4VYaX1PgEnrdEEetNVL2En6mtQsunAJvqMKkT1xXePNql" TargetMode="External"/><Relationship Id="rId547" Type="http://schemas.openxmlformats.org/officeDocument/2006/relationships/hyperlink" Target="https://e5c9a.mailupclient.com/f/rnl.aspx/?jhe=vwvwwvrv/&amp;x=pv&amp;bdi=tzfd&amp;=st_pt/7f1-a=8e.dgcn&amp;&amp;x=pp&amp;u_9f1-a2&amp;.b/&amp;:d=rsv2nsNCLM" TargetMode="External"/><Relationship Id="rId546" Type="http://schemas.openxmlformats.org/officeDocument/2006/relationships/hyperlink" Target="https://e5c9a.mailupclient.com/f/rnl.aspx/?jhe=vwvwwvrv/&amp;x=pv&amp;bdi=tzfd&amp;=st_ps/7f1-a=8e.dgcn&amp;&amp;x=pp&amp;u_9f1-a2&amp;.b/&amp;:d=rsv2wxNCLM" TargetMode="External"/><Relationship Id="rId545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544" Type="http://schemas.openxmlformats.org/officeDocument/2006/relationships/hyperlink" Target="https://e5c9a.mailupclient.com/f/rnl.aspx/?jhe=vwvwwvrv/&amp;x=pv&amp;bdi=tzfd&amp;=st_pz/7f1-a=8e.dgcn&amp;&amp;x=pp&amp;u_9f1-a2&amp;.b/&amp;:d=rsv2t_NCLM" TargetMode="External"/><Relationship Id="rId549" Type="http://schemas.openxmlformats.org/officeDocument/2006/relationships/hyperlink" Target="https://a2g9b4.emailsp.com/f/rnl.aspx/?fei=1wqvoxxy.9ek=vyad8=/2wsx6d90.=3d.lfc&amp;x=pv&amp;.&amp;e08c1-&amp;34&amp;x=pp&amp;qx-f2::19h&amp;x=pv&amp;_95j=yrqvrNCLM" TargetMode="External"/><Relationship Id="rId548" Type="http://schemas.openxmlformats.org/officeDocument/2006/relationships/hyperlink" Target="https://e5c9a.mailupclient.com/f/rnl.aspx/?jhe=1r_yq2o/a&amp;le=t/.l7=svuyo/9.99a=59ndi-a&amp;9g-7e:-49&amp;25&amp;x=pp&amp;uy.-5-&amp;x=pv&amp;83dbzb4h=rq/vruNCLM" TargetMode="External"/><Relationship Id="rId2460" Type="http://schemas.openxmlformats.org/officeDocument/2006/relationships/hyperlink" Target="https://a2g9b4.emailsp.com/f/rnl.aspx/?fei=1vvoo1vy.9ek=vyad8=t3stqy&amp;f2::=-l98i9di-10337&amp;x=pp&amp;yx0-2.e16.&amp;x=pv&amp;2b5g=qu13qNCLM" TargetMode="External"/><Relationship Id="rId1130" Type="http://schemas.openxmlformats.org/officeDocument/2006/relationships/hyperlink" Target="https://e5c9a.mailupclient.com/f/rnl.aspx/?jhe=1r_yq2o/a&amp;le=t/.l7=svxwq/9.99a=59ndi-a&amp;9g-7e:-49&amp;25&amp;x=pp&amp;uy.-5-&amp;x=pv&amp;83dbzb4h=rq2ovxNCLM" TargetMode="External"/><Relationship Id="rId2461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1131" Type="http://schemas.openxmlformats.org/officeDocument/2006/relationships/hyperlink" Target="https://www.facebook.com/reel/938662309035633" TargetMode="External"/><Relationship Id="rId2462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543" Type="http://schemas.openxmlformats.org/officeDocument/2006/relationships/hyperlink" Target="https://e5c9a.mailupclient.com/f/rnl.aspx/?jhe=vwvwwvrv/&amp;x=pv&amp;bdi=tzfd&amp;=st_px/7f1-a=8e.dgcn&amp;&amp;x=pp&amp;u_9f1-a2&amp;.b/&amp;:d=rsv2puNCLM" TargetMode="External"/><Relationship Id="rId1132" Type="http://schemas.openxmlformats.org/officeDocument/2006/relationships/hyperlink" Target="https://e5c9a.mailupclient.com/f/rnl.aspx/?jhe=1r_yq2o/a&amp;le=t/.l7=svxwq/9.99a=59ndi-a&amp;9g-7e:-49&amp;25&amp;x=pp&amp;uy.-5-&amp;x=pv&amp;83dbzb4h=rq2ovxNCLM" TargetMode="External"/><Relationship Id="rId2463" Type="http://schemas.openxmlformats.org/officeDocument/2006/relationships/hyperlink" Target="https://e5c9a.mailupclient.com/f/rnl.aspx/?jhe=vwt_y1w_/&amp;x=pv&amp;bdi=tzfd&amp;=suywy/7f1-a=&amp;x=pv&amp;n1&amp;j&amp;kc949&amp;25&amp;x=pp&amp;uy.-5-&amp;x=pv&amp;83dbzb4h=rrvsrsNCLM" TargetMode="External"/><Relationship Id="rId542" Type="http://schemas.openxmlformats.org/officeDocument/2006/relationships/hyperlink" Target="https://e5c9a.mailupclient.com/f/rnl.aspx/?jhe=vwvwwvrv/&amp;x=pv&amp;bdi=tzfd&amp;=st_ou/7f1-a=8e.dgcn&amp;&amp;x=pp&amp;u_9f1-a2&amp;.b/&amp;:d=rsv2tyNCLM" TargetMode="External"/><Relationship Id="rId1133" Type="http://schemas.openxmlformats.org/officeDocument/2006/relationships/hyperlink" Target="https://www.facebook.com/baparticipacion/posts/pfbid02U9UYVFgSW2u5YjDU3i6PnjkKoDXdwit5RC5jce6zaVMsps6G5JLhHCz2o19MJc7Yl" TargetMode="External"/><Relationship Id="rId2464" Type="http://schemas.openxmlformats.org/officeDocument/2006/relationships/hyperlink" Target="https://a2g9b4.emailsp.com/f/rnl.aspx/?fei=1vvoo_2y.9ek=vyad8=t3swsy&amp;f2::=k702m1k6.451&amp;x=pp&amp;r1.&amp;x=pv&amp;49-6&amp;aax00l=rvvwuNCLM" TargetMode="External"/><Relationship Id="rId541" Type="http://schemas.openxmlformats.org/officeDocument/2006/relationships/hyperlink" Target="https://e5c9a.mailupclient.com/f/rnl.aspx/?jhe=vwurvxsx/&amp;x=pv&amp;bdi=tzfd&amp;=st_qz/7f1-a=5k9hibg&amp;x=pv&amp;9a&amp;-c4&amp;501&amp;x=pp&amp;u_9f1-a2&amp;.b/&amp;:d=rsv2ptNCLM" TargetMode="External"/><Relationship Id="rId1134" Type="http://schemas.openxmlformats.org/officeDocument/2006/relationships/hyperlink" Target="https://e5c9a.mailupclient.com/f/rnl.aspx/?jhe=vwurvxsx/&amp;x=pv&amp;bdi=tzfd&amp;=st2pr/7f1-a=5k9hibg&amp;x=pv&amp;9a&amp;-c4&amp;501&amp;x=pp&amp;u_9f1-a2&amp;.b/&amp;:d=rsxwvvNCLM" TargetMode="External"/><Relationship Id="rId2465" Type="http://schemas.openxmlformats.org/officeDocument/2006/relationships/hyperlink" Target="https://a2g9b4.emailsp.com/f/rnl.aspx/?fei=1wqvoxxy.9ek=vyad8=t3suny&amp;f2::=4ibeh..e--:5d6.451&amp;x=pp&amp;r1.&amp;x=pv&amp;49-6&amp;aax00l=rvvv_NCLM" TargetMode="External"/><Relationship Id="rId540" Type="http://schemas.openxmlformats.org/officeDocument/2006/relationships/hyperlink" Target="https://a2g9b4.emailsp.com/f/rnl.aspx/?fei=1wqvoxxy.9ek=vyad8=t3xzwy&amp;f2::=4ibeh..e--:5d6.451&amp;x=pp&amp;r1.&amp;x=pv&amp;49-6&amp;aax00l=rtnwuNCLM" TargetMode="External"/><Relationship Id="rId1135" Type="http://schemas.openxmlformats.org/officeDocument/2006/relationships/hyperlink" Target="https://www.facebook.com/baparticipacion/posts/pfbid02U9UYVFgSW2u5YjDU3i6PnjkKoDXdwit5RC5jce6zaVMsps6G5JLhHCz2o19MJc7Yl" TargetMode="External"/><Relationship Id="rId2466" Type="http://schemas.openxmlformats.org/officeDocument/2006/relationships/hyperlink" Target="https://a2g9b4.emailsp.com/f/rnl.aspx/?fei=1uwuq_vy.9ek=vyad8=t3svqy&amp;f2::=2-neh9.9bd:5-cb10337&amp;x=pp&amp;yx0-2.e16.&amp;x=pv&amp;2b5g=qt/xrNCLM" TargetMode="External"/><Relationship Id="rId1125" Type="http://schemas.openxmlformats.org/officeDocument/2006/relationships/hyperlink" Target="https://www.facebook.com/GCBA/posts/pfbid0HDjJ7ADLmVV9qRNGYyC1QmhZKHE6gr3HcD2wiXfT8Uf1PBKo7aaWtbNktXYwgoBCl" TargetMode="External"/><Relationship Id="rId2456" Type="http://schemas.openxmlformats.org/officeDocument/2006/relationships/hyperlink" Target="https://a2g9b4.emailsp.com/f/rnl.aspx/?fei=2orws1vy.9ek=vyad8=t3stpy&amp;f2::=7chafagb&amp;x=pp&amp;yx0-2.e16.&amp;x=pv&amp;2b5g=qt/2oNCLM" TargetMode="External"/><Relationship Id="rId1126" Type="http://schemas.openxmlformats.org/officeDocument/2006/relationships/hyperlink" Target="https://a2g9b4.emailsp.com/f/rnl.aspx/?fei=1vvoo_2y.9ek=vyad8=t3oyqy&amp;f2::=k702m1k6.451&amp;x=pp&amp;r1.&amp;x=pv&amp;49-6&amp;aax00l=runryNCLM" TargetMode="External"/><Relationship Id="rId2457" Type="http://schemas.openxmlformats.org/officeDocument/2006/relationships/hyperlink" Target="https://a2g9b4.emailsp.com/f/rnl.aspx/?fei=2orws1vy.9ek=vyad8=t3swty&amp;f2::=7chafagb&amp;x=pp&amp;yx0-2.e16.&amp;x=pv&amp;2b5g=qu13pNCLM" TargetMode="External"/><Relationship Id="rId1127" Type="http://schemas.openxmlformats.org/officeDocument/2006/relationships/hyperlink" Target="https://www.facebook.com/GCBA/posts/pfbid0YsvPWYb967LiLYq3YMQEez25Q4opZik9cFdh4KmKrjVeJYAXhZE23CYTkhPCpZLBl" TargetMode="External"/><Relationship Id="rId2458" Type="http://schemas.openxmlformats.org/officeDocument/2006/relationships/hyperlink" Target="https://e5c9a.mailupclient.com/f/rnl.aspx/?jhe=vwt_y1w_/&amp;x=pv&amp;bdi=tzfd&amp;=suxu_/7f1-a=&amp;x=pv&amp;n1&amp;j&amp;kc949&amp;25&amp;x=pp&amp;uy.-5-&amp;x=pv&amp;83dbzb4h=rrvrztNCLM" TargetMode="External"/><Relationship Id="rId1128" Type="http://schemas.openxmlformats.org/officeDocument/2006/relationships/hyperlink" Target="https://a2g9b4.emailsp.com/f/rnl.aspx/?fei=1vvoo_2y.9ek=vyad8=t3oxsy&amp;f2::=k702m1k6.451&amp;x=pp&amp;r1.&amp;x=pv&amp;49-6&amp;aax00l=runrzNCLM" TargetMode="External"/><Relationship Id="rId2459" Type="http://schemas.openxmlformats.org/officeDocument/2006/relationships/hyperlink" Target="https://a2g9b4.emailsp.com/f/rnl.aspx/?fei=1vvoo1vy.9ek=vyad8=t3srry&amp;f2::=-l98i9di-10337&amp;x=pp&amp;yx0-2.e16.&amp;x=pv&amp;2b5g=qtz/oNCLM" TargetMode="External"/><Relationship Id="rId1129" Type="http://schemas.openxmlformats.org/officeDocument/2006/relationships/hyperlink" Target="https://www.facebook.com/GCBA/posts/pfbid0ZPqxQ5PPTm9UmBiJCsU8TTjQDHdxdeEADshmKbkrJSQe2HQ3HDkVDugjGhY9jRzSl" TargetMode="External"/><Relationship Id="rId536" Type="http://schemas.openxmlformats.org/officeDocument/2006/relationships/hyperlink" Target="http://e5c9a.mailupclient.com/f/rnl.aspx/?jhe=1r_yq2o/a&amp;le=t/.l7=svuyn/9.99a=59ndi-a&amp;9g-7e:-49&amp;25&amp;x=pp&amp;uy.-5-&amp;x=pv&amp;83dbzb4h=rq/vrtNCLM" TargetMode="External"/><Relationship Id="rId535" Type="http://schemas.openxmlformats.org/officeDocument/2006/relationships/hyperlink" Target="https://e5c9a.mailupclient.com/f/rnl.aspx/?jhe=1r_yq2o/a&amp;le=t/.l7=svuwo/9.99a=59ndi-a&amp;9g-7e:-49&amp;25&amp;x=pp&amp;uy.-5-&amp;x=pv&amp;83dbzb4h=rq/vwwNCLM" TargetMode="External"/><Relationship Id="rId534" Type="http://schemas.openxmlformats.org/officeDocument/2006/relationships/hyperlink" Target="https://e5c9a.mailupclient.com/f/rnl.aspx/?jhe=1ovurwr/a&amp;le=t/.l7=svt2r/9.99a=hbea9g7s35hgk.4&amp;501&amp;x=pp&amp;u_9f1-a2&amp;.b/&amp;:d=rsv2nxNCLM" TargetMode="External"/><Relationship Id="rId533" Type="http://schemas.openxmlformats.org/officeDocument/2006/relationships/hyperlink" Target="https://e5c9a.mailupclient.com/f/rnl.aspx/?jhe=vwvwwvrv/&amp;x=pv&amp;bdi=tzfd&amp;=st_p_/7f1-a=8e.dgcn&amp;&amp;x=pp&amp;u_9f1-a2&amp;.b/&amp;:d=rsv2nwNCLM" TargetMode="External"/><Relationship Id="rId539" Type="http://schemas.openxmlformats.org/officeDocument/2006/relationships/hyperlink" Target="https://e5c9a.mailupclient.com/f/rnl.aspx/?jhe=vwurvxsx/&amp;x=pv&amp;bdi=tzfd&amp;=st_qx/7f1-a=5k9hibg&amp;x=pv&amp;9a&amp;-c4&amp;501&amp;x=pp&amp;u_9f1-a2&amp;.b/&amp;:d=rsv2qvNCLM" TargetMode="External"/><Relationship Id="rId538" Type="http://schemas.openxmlformats.org/officeDocument/2006/relationships/hyperlink" Target="https://e5c9a.mailupclient.com/f/rnl.aspx/?jhe=vwurvxsx/&amp;x=pv&amp;bdi=tzfd&amp;=st_qy/7f1-a=5k9hibg&amp;x=pv&amp;9a&amp;-c4&amp;501&amp;x=pp&amp;u_9f1-a2&amp;.b/&amp;:d=rsv2quNCLM" TargetMode="External"/><Relationship Id="rId537" Type="http://schemas.openxmlformats.org/officeDocument/2006/relationships/hyperlink" Target="https://e5c9a.mailupclient.com/f/rnl.aspx/?jhe=1r_yq2o/a&amp;le=t/.l7=svuyq/9.99a=59ndi-a&amp;9g-7e:-49&amp;25&amp;x=pp&amp;uy.-5-&amp;x=pv&amp;83dbzb4h=rq/vv_NCLM" TargetMode="External"/><Relationship Id="rId2450" Type="http://schemas.openxmlformats.org/officeDocument/2006/relationships/hyperlink" Target="https://a2g9b4.emailsp.com/f/rnl.aspx/?fei=2orws1vy.9ek=vyad8=t3swny&amp;f2::=7chafagb&amp;x=pp&amp;yx0-2.e16.&amp;x=pv&amp;2b5g=qt/yrNCLM" TargetMode="External"/><Relationship Id="rId1120" Type="http://schemas.openxmlformats.org/officeDocument/2006/relationships/hyperlink" Target="https://e5c9a.mailupclient.com/f/rnl.aspx/?jhe=vwvwwvrv/&amp;x=pv&amp;bdi=tzfd&amp;=st2ot/7f1-a=8e.dgcn&amp;&amp;x=pp&amp;u_9f1-a2&amp;.b/&amp;:d=rsxws_NCLM" TargetMode="External"/><Relationship Id="rId2451" Type="http://schemas.openxmlformats.org/officeDocument/2006/relationships/hyperlink" Target="https://e5c9a.mailupclient.com/f/rnl.aspx/?jhe=vwt_y1w_/&amp;x=pv&amp;bdi=tzfd&amp;=suxtu/7f1-a=&amp;x=pv&amp;n1&amp;j&amp;kc949&amp;25&amp;x=pp&amp;uy.-5-&amp;x=pv&amp;83dbzb4h=rrvqzrNCLM" TargetMode="External"/><Relationship Id="rId532" Type="http://schemas.openxmlformats.org/officeDocument/2006/relationships/hyperlink" Target="https://e5c9a.mailupclient.com/f/rnl.aspx/?jhe=vwurvxsx/&amp;x=pv&amp;bdi=tzfd&amp;=st_ox/7f1-a=5k9hibg&amp;x=pv&amp;9a&amp;-c4&amp;501&amp;x=pp&amp;u_9f1-a2&amp;.b/&amp;:d=rsv1otNCLM" TargetMode="External"/><Relationship Id="rId1121" Type="http://schemas.openxmlformats.org/officeDocument/2006/relationships/hyperlink" Target="https://www.facebook.com/GCBA/posts/pfbid0oQofRyGp5qUhzGprJBX3geZJ71j9yNm2xJPKdPnP1j15Ftg9N3Bn5bVngUmVYNVnl" TargetMode="External"/><Relationship Id="rId2452" Type="http://schemas.openxmlformats.org/officeDocument/2006/relationships/hyperlink" Target="https://e5c9a.mailupclient.com/f/rnl.aspx/?jhe=vwurvxsx/&amp;x=pv&amp;bdi=tzfd&amp;=suywv/7f1-a=5k9hibg&amp;x=pv&amp;9a&amp;-c4&amp;501&amp;x=pp&amp;u_9f1-a2&amp;.b/&amp;:d=rtpzuyNCLM" TargetMode="External"/><Relationship Id="rId531" Type="http://schemas.openxmlformats.org/officeDocument/2006/relationships/hyperlink" Target="https://a2g9b4.emailsp.com/f/rnl.aspx/?fei=1wqvoxxy.9ek=vyad8=/2vyx6d90.=3d.lfc&amp;x=pv&amp;.&amp;e08c1-&amp;34&amp;x=pp&amp;qx-f2::19h&amp;x=pv&amp;_95j=yrqpuNCLM" TargetMode="External"/><Relationship Id="rId1122" Type="http://schemas.openxmlformats.org/officeDocument/2006/relationships/hyperlink" Target="https://e5c9a.mailupclient.com/f/rnl.aspx/?jhe=vwt_y1w_/&amp;x=pv&amp;bdi=tzfd&amp;=st2os/7f1-a=&amp;x=pv&amp;n1&amp;j&amp;kc949&amp;25&amp;x=pp&amp;uy.-5-&amp;x=pv&amp;83dbzb4h=rq2oyvNCLM" TargetMode="External"/><Relationship Id="rId2453" Type="http://schemas.openxmlformats.org/officeDocument/2006/relationships/hyperlink" Target="https://a2g9b4.emailsp.com/f/rnl.aspx/?fei=1vvoo1vy.9ek=vyad8=t3svny&amp;f2::=-l98i9di-10337&amp;x=pp&amp;yx0-2.e16.&amp;x=pv&amp;2b5g=qt/1xNCLM" TargetMode="External"/><Relationship Id="rId530" Type="http://schemas.openxmlformats.org/officeDocument/2006/relationships/hyperlink" Target="https://e5c9a.mailupclient.com/f/rnl.aspx/?jhe=vwurvxsx/&amp;x=pv&amp;bdi=tzfd&amp;=st_nx/7f1-a=5k9hibg&amp;x=pv&amp;9a&amp;-c4&amp;501&amp;x=pp&amp;u_9f1-a2&amp;.b/&amp;:d=rsv1p_NCLM" TargetMode="External"/><Relationship Id="rId1123" Type="http://schemas.openxmlformats.org/officeDocument/2006/relationships/hyperlink" Target="https://www.facebook.com/GCBA/posts/pfbid0oQofRyGp5qUhzGprJBX3geZJ71j9yNm2xJPKdPnP1j15Ftg9N3Bn5bVngUmVYNVnl" TargetMode="External"/><Relationship Id="rId2454" Type="http://schemas.openxmlformats.org/officeDocument/2006/relationships/hyperlink" Target="https://e5c9a.mailupclient.com/f/rnl.aspx/?jhe=vwurvxsx/&amp;x=pv&amp;bdi=tzfd&amp;=suyww/7f1-a=5k9hibg&amp;x=pv&amp;9a&amp;-c4&amp;501&amp;x=pp&amp;u_9f1-a2&amp;.b/&amp;:d=rtpzvuNCLM" TargetMode="External"/><Relationship Id="rId1124" Type="http://schemas.openxmlformats.org/officeDocument/2006/relationships/hyperlink" Target="https://a2g9b4.emailsp.com/f/rnl.aspx/?fei=1vvoo_2y.9ek=vyad8=t3oxwy&amp;f2::=k702m1k6.451&amp;x=pp&amp;r1.&amp;x=pv&amp;49-6&amp;aax00l=ruws_NCLM" TargetMode="External"/><Relationship Id="rId2455" Type="http://schemas.openxmlformats.org/officeDocument/2006/relationships/hyperlink" Target="https://e5c9a.mailupclient.com/f/rnl.aspx/?jhe=vwurvxsx/&amp;x=pv&amp;bdi=tzfd&amp;=suywx/7f1-a=5k9hibg&amp;x=pv&amp;9a&amp;-c4&amp;501&amp;x=pp&amp;u_9f1-a2&amp;.b/&amp;:d=rtp_wrNCLM" TargetMode="External"/><Relationship Id="rId1158" Type="http://schemas.openxmlformats.org/officeDocument/2006/relationships/hyperlink" Target="https://e5c9a.mailupclient.com/f/rnl.aspx/?jhe=vwt_y1w_/&amp;x=pv&amp;bdi=tzfd&amp;=st2pz/7f1-a=&amp;x=pv&amp;n1&amp;j&amp;kc949&amp;25&amp;x=pp&amp;uy.-5-&amp;x=pv&amp;83dbzb4h=rq2ptuNCLM" TargetMode="External"/><Relationship Id="rId2005" Type="http://schemas.openxmlformats.org/officeDocument/2006/relationships/hyperlink" Target="https://www.facebook.com/reel/26383961307943675" TargetMode="External"/><Relationship Id="rId2489" Type="http://schemas.openxmlformats.org/officeDocument/2006/relationships/hyperlink" Target="https://e5c9a.mailupclient.com/f/rnl.aspx/?jhe=1r_yq2o/a&amp;le=t/.l7=sws3o/9.99a=59ndi-a&amp;9g-7e:-49&amp;25&amp;x=pp&amp;uy.-5-&amp;x=pv&amp;83dbzb4h=rrvsszNCLM" TargetMode="External"/><Relationship Id="rId1159" Type="http://schemas.openxmlformats.org/officeDocument/2006/relationships/hyperlink" Target="https://www.facebook.com/reel/1524051432758941" TargetMode="External"/><Relationship Id="rId2006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007" Type="http://schemas.openxmlformats.org/officeDocument/2006/relationships/hyperlink" Target="https://www.facebook.com/GCBA/posts/pfbid02qQvCpShNtWegyQfmq5DEM445N7ZKB8xTXoWY2rz9MYwFuMQDKzADApMTvnKpz7n4l" TargetMode="External"/><Relationship Id="rId2008" Type="http://schemas.openxmlformats.org/officeDocument/2006/relationships/hyperlink" Target="https://e5c9a.mailupclient.com/f/rnl.aspx/?jhe=vwt_y1w_/&amp;x=pv&amp;bdi=tzfd&amp;=suvuu/7f1-a=&amp;x=pv&amp;n1&amp;j&amp;kc949&amp;25&amp;x=pp&amp;uy.-5-&amp;x=pv&amp;83dbzb4h=rr3rrvNCLM" TargetMode="External"/><Relationship Id="rId2009" Type="http://schemas.openxmlformats.org/officeDocument/2006/relationships/hyperlink" Target="https://www.facebook.com/GCBA/posts/pfbid02B6AY2nDVcwwKwT947dtNzPZj7RiPTGP5D7RtRAGgdPf8YE7qhC7XeANSoe4DcBZWl" TargetMode="External"/><Relationship Id="rId569" Type="http://schemas.openxmlformats.org/officeDocument/2006/relationships/hyperlink" Target="https://e5c9a.mailupclient.com/f/rnl.aspx/?jhe=vwurvxsx/&amp;x=pv&amp;bdi=tzfd&amp;=st_ss/7f1-a=5k9hibg&amp;x=pv&amp;9a&amp;-c4&amp;501&amp;x=pp&amp;u_9f1-a2&amp;.b/&amp;:d=rsw3psNCLM" TargetMode="External"/><Relationship Id="rId568" Type="http://schemas.openxmlformats.org/officeDocument/2006/relationships/hyperlink" Target="https://a2g9b4.emailsp.com/f/rnl.aspx/?fei=1wqvoxxy.9ek=vyad8=t3xzsy&amp;f2::=4ibeh..e--:5d6.451&amp;x=pp&amp;r1.&amp;x=pv&amp;49-6&amp;aax00l=rtopxNCLM" TargetMode="External"/><Relationship Id="rId567" Type="http://schemas.openxmlformats.org/officeDocument/2006/relationships/hyperlink" Target="https://e5c9a.mailupclient.com/f/rnl.aspx/?jhe=1r_yq2o/a&amp;le=t/.l7=svuww/9.99a=59ndi-a&amp;9g-7e:-49&amp;25&amp;x=pp&amp;uy.-5-&amp;x=pv&amp;83dbzb4h=rq/tyrNCLM" TargetMode="External"/><Relationship Id="rId566" Type="http://schemas.openxmlformats.org/officeDocument/2006/relationships/hyperlink" Target="https://a2g9b4.emailsp.com/f/rnl.aspx/?fei=1wqvoxxy.9ek=vyad8=t3xquy&amp;f2::=4ibeh..e--:5d6.451&amp;x=pp&amp;r1.&amp;x=pv&amp;49-6&amp;aax00l=rtov1NCLM" TargetMode="External"/><Relationship Id="rId2480" Type="http://schemas.openxmlformats.org/officeDocument/2006/relationships/hyperlink" Target="https://e5c9a.mailupclient.com/f/rnl.aspx/?jhe=vwvwwvrv/&amp;x=pv&amp;bdi=tzfd&amp;=suyo_/7f1-a=8e.dgcn&amp;&amp;x=pp&amp;u_9f1-a2&amp;.b/&amp;:d=rtp_u_NCLM" TargetMode="External"/><Relationship Id="rId561" Type="http://schemas.openxmlformats.org/officeDocument/2006/relationships/hyperlink" Target="https://a2g9b4.emailsp.com/f/rnl.aspx/?fei=2orws1vy.9ek=vyad8=t3xzpy&amp;f2::=7chafagb&amp;x=pp&amp;yx0-2.e16.&amp;x=pv&amp;2b5g=qruvqNCLM" TargetMode="External"/><Relationship Id="rId1150" Type="http://schemas.openxmlformats.org/officeDocument/2006/relationships/hyperlink" Target="https://a2g9b4.emailsp.com/f/rnl.aspx/?fei=1vvoo_2y.9ek=vyad8=t3pzqy&amp;f2::=k702m1k6.451&amp;x=pp&amp;r1.&amp;x=pv&amp;49-6&amp;aax00l=runwzNCLM" TargetMode="External"/><Relationship Id="rId2481" Type="http://schemas.openxmlformats.org/officeDocument/2006/relationships/hyperlink" Target="https://e5c9a.mailupclient.com/f/rnl.aspx/?jhe=vwvwwvrv/&amp;x=pv&amp;bdi=tzfd&amp;=suyo_/7f1-a=8e.dgcn&amp;&amp;x=pp&amp;u_9f1-a2&amp;.b/&amp;:d=rtp_u_NCLM" TargetMode="External"/><Relationship Id="rId560" Type="http://schemas.openxmlformats.org/officeDocument/2006/relationships/hyperlink" Target="https://e5c9a.mailupclient.com/f/rnl.aspx/?jhe=vwvwwvrv/&amp;x=pv&amp;bdi=tzfd&amp;=st_pv/7f1-a=8e.dgcn&amp;&amp;x=pp&amp;u_9f1-a2&amp;.b/&amp;:d=rsv2uzNCLM" TargetMode="External"/><Relationship Id="rId1151" Type="http://schemas.openxmlformats.org/officeDocument/2006/relationships/hyperlink" Target="https://www.facebook.com/reel/1480870606821675/" TargetMode="External"/><Relationship Id="rId2482" Type="http://schemas.openxmlformats.org/officeDocument/2006/relationships/hyperlink" Target="https://a2g9b4.emailsp.com/f/rnl.aspx/?fei=1vvoo1vy.9ek=vyad8=t3suoy&amp;f2::=-l98i9di-10337&amp;x=pp&amp;yx0-2.e16.&amp;x=pv&amp;2b5g=qu1_oNCLM" TargetMode="External"/><Relationship Id="rId1152" Type="http://schemas.openxmlformats.org/officeDocument/2006/relationships/hyperlink" Target="https://e5c9a.mailupclient.com/f/rnl.aspx/?jhe=vwurvxsx/&amp;x=pv&amp;bdi=tzfd&amp;=st1qz/7f1-a=5k9hibg&amp;x=pv&amp;9a&amp;-c4&amp;501&amp;x=pp&amp;u_9f1-a2&amp;.b/&amp;:d=rsw2wyNCLM" TargetMode="External"/><Relationship Id="rId2483" Type="http://schemas.openxmlformats.org/officeDocument/2006/relationships/hyperlink" Target="https://e5c9a.mailupclient.com/f/rnl.aspx/?jhe=vwt_y1w_/&amp;x=pv&amp;bdi=tzfd&amp;=suynx/7f1-a=&amp;x=pv&amp;n1&amp;j&amp;kc949&amp;25&amp;x=pp&amp;uy.-5-&amp;x=pv&amp;83dbzb4h=rrvswzNCLM" TargetMode="External"/><Relationship Id="rId1153" Type="http://schemas.openxmlformats.org/officeDocument/2006/relationships/hyperlink" Target="https://fb.me/adspreview/facebook/1U1zeapxpCivxwe" TargetMode="External"/><Relationship Id="rId2000" Type="http://schemas.openxmlformats.org/officeDocument/2006/relationships/hyperlink" Target="https://a2g9b4.emailsp.com/f/rnl.aspx/?fei=2orws1vy.9ek=vyad8=t3rzwy&amp;f2::=7chafagb&amp;x=pp&amp;yx0-2.e16.&amp;x=pv&amp;2b5g=qtuzqNCLM" TargetMode="External"/><Relationship Id="rId2484" Type="http://schemas.openxmlformats.org/officeDocument/2006/relationships/hyperlink" Target="https://a2g9b4.emailsp.com/f/rnl.aspx/?fei=1vvoo1vy.9ek=vyad8=t3stry&amp;f2::=-l98i9di-10337&amp;x=pp&amp;yx0-2.e16.&amp;x=pv&amp;2b5g=qu1/rNCLM" TargetMode="External"/><Relationship Id="rId565" Type="http://schemas.openxmlformats.org/officeDocument/2006/relationships/hyperlink" Target="https://e5c9a.mailupclient.com/f/rnl.aspx/?jhe=vwvwwvrv/&amp;x=pv&amp;bdi=tzfd&amp;=st_rx/7f1-a=8e.dgcn&amp;&amp;x=pp&amp;u_9f1-a2&amp;.b/&amp;:d=rsw3pvNCLM" TargetMode="External"/><Relationship Id="rId1154" Type="http://schemas.openxmlformats.org/officeDocument/2006/relationships/hyperlink" Target="https://a2g9b4.emailsp.com/f/rnl.aspx/?fei=1wqvoxxy.9ek=vyad8=t3oypy&amp;f2::=4ibeh..e--:5d6.451&amp;x=pp&amp;r1.&amp;x=pv&amp;49-6&amp;aax00l=runqtNCLM" TargetMode="External"/><Relationship Id="rId2001" Type="http://schemas.openxmlformats.org/officeDocument/2006/relationships/hyperlink" Target="https://www.facebook.com/GCBA/posts/pfbid0mxXg9tHibD37R4VLdCobteB6Ah3Jdd4PMcmuGVrKBkvvwYMHEkNj85pfx8Q5eSdYl" TargetMode="External"/><Relationship Id="rId2485" Type="http://schemas.openxmlformats.org/officeDocument/2006/relationships/hyperlink" Target="https://a2g9b4.emailsp.com/f/rnl.aspx/?fei=1vvoo_2y.9ek=vyad8=t3sxwy&amp;f2::=k702m1k6.451&amp;x=pp&amp;r1.&amp;x=pv&amp;49-6&amp;aax00l=rwwpuNCLM" TargetMode="External"/><Relationship Id="rId564" Type="http://schemas.openxmlformats.org/officeDocument/2006/relationships/hyperlink" Target="https://a2g9b4.emailsp.com/f/rnl.aspx/?fei=2orws1vy.9ek=vyad8=/2wyx6d90.=6-fhddf:&amp;x=pp&amp;w38a10c84c-y.:e=tqp1xNCLM" TargetMode="External"/><Relationship Id="rId1155" Type="http://schemas.openxmlformats.org/officeDocument/2006/relationships/hyperlink" Target="https://fb.me/adspreview/facebook/28Yf2et3oSUA5wW" TargetMode="External"/><Relationship Id="rId2002" Type="http://schemas.openxmlformats.org/officeDocument/2006/relationships/hyperlink" Target="https://a2g9b4.emailsp.com/f/rnl.aspx/?fei=1wqvoxxy.9ek=vyad8=t3rzwy&amp;f2::=4ibeh..e--:5d6.451&amp;x=pp&amp;r1.&amp;x=pv&amp;49-6&amp;aax00l=rvnpxNCLM" TargetMode="External"/><Relationship Id="rId2486" Type="http://schemas.openxmlformats.org/officeDocument/2006/relationships/hyperlink" Target="https://a2g9b4.emailsp.com/f/rnl.aspx/?fei=1vvoo_2y.9ek=vyad8=t3swvy&amp;f2::=k702m1k6.451&amp;x=pp&amp;r1.&amp;x=pv&amp;49-6&amp;aax00l=rwwo_NCLM" TargetMode="External"/><Relationship Id="rId563" Type="http://schemas.openxmlformats.org/officeDocument/2006/relationships/hyperlink" Target="https://e5c9a.mailupclient.com/f/rnl.aspx/?jhe=vwvwwvrv/&amp;x=pv&amp;bdi=tzfd&amp;=st_oz/7f1-a=8e.dgcn&amp;&amp;x=pp&amp;u_9f1-a2&amp;.b/&amp;:d=rsw3orNCLM" TargetMode="External"/><Relationship Id="rId1156" Type="http://schemas.openxmlformats.org/officeDocument/2006/relationships/hyperlink" Target="https://e5c9a.mailupclient.com/f/rnl.aspx/?jhe=vwt_y1w_/&amp;x=pv&amp;bdi=tzfd&amp;=st2ps/7f1-a=&amp;x=pv&amp;n1&amp;j&amp;kc949&amp;25&amp;x=pp&amp;uy.-5-&amp;x=pv&amp;83dbzb4h=rq2pruNCLM" TargetMode="External"/><Relationship Id="rId2003" Type="http://schemas.openxmlformats.org/officeDocument/2006/relationships/hyperlink" Target="https://www.facebook.com/baparticipacion/posts/pfbid0228E4wXGuoRBDL9cJH7U1e91PuBepsm5jab8oPnfnutyXwzhy1enE8K5vr345yk5gl" TargetMode="External"/><Relationship Id="rId2487" Type="http://schemas.openxmlformats.org/officeDocument/2006/relationships/hyperlink" Target="https://a2g9b4.emailsp.com/f/rnl.aspx/?fei=1vvoo_2y.9ek=vyad8=t3sxsy&amp;f2::=k702m1k6.451&amp;x=pp&amp;r1.&amp;x=pv&amp;49-6&amp;aax00l=rwwtwNCLM" TargetMode="External"/><Relationship Id="rId562" Type="http://schemas.openxmlformats.org/officeDocument/2006/relationships/hyperlink" Target="https://a2g9b4.emailsp.com/f/rnl.aspx/?fei=2orws1vy.9ek=vyad8=t3xzoy&amp;f2::=7chafagb&amp;x=pp&amp;yx0-2.e16.&amp;x=pv&amp;2b5g=qruvrNCLM" TargetMode="External"/><Relationship Id="rId1157" Type="http://schemas.openxmlformats.org/officeDocument/2006/relationships/hyperlink" Target="https://www.facebook.com/GCBA/posts/pfbid03uqGShkH3wDvPES2L1MKqxUrozrLNQSBWNBChNAwiwT9xs68ezppMcmScRX5Y3VPl" TargetMode="External"/><Relationship Id="rId2004" Type="http://schemas.openxmlformats.org/officeDocument/2006/relationships/hyperlink" Target="https://e5c9a.mailupclient.com/f/rnl.aspx/?jhe=vwvwwvrv/&amp;x=pv&amp;bdi=tzfd&amp;=suwpw/7f1-a=8e.dgcn&amp;&amp;x=pp&amp;u_9f1-a2&amp;.b/&amp;:d=rty/syNCLM" TargetMode="External"/><Relationship Id="rId2488" Type="http://schemas.openxmlformats.org/officeDocument/2006/relationships/hyperlink" Target="https://a2g9b4.emailsp.com/f/rnl.aspx/?fei=1vvoo_2y.9ek=vyad8=t3sxry&amp;f2::=k702m1k6.451&amp;x=pp&amp;r1.&amp;x=pv&amp;49-6&amp;aax00l=rwwswNCLM" TargetMode="External"/><Relationship Id="rId1147" Type="http://schemas.openxmlformats.org/officeDocument/2006/relationships/hyperlink" Target="https://www.facebook.com/reel/4417118131938305" TargetMode="External"/><Relationship Id="rId2478" Type="http://schemas.openxmlformats.org/officeDocument/2006/relationships/hyperlink" Target="https://a2g9b4.emailsp.com/f/rnl.aspx/?fei=2orws1vy.9ek=vyad8=t3swuy&amp;f2::=7chafagb&amp;x=pp&amp;yx0-2.e16.&amp;x=pv&amp;2b5g=qu1vtNCLM" TargetMode="External"/><Relationship Id="rId1148" Type="http://schemas.openxmlformats.org/officeDocument/2006/relationships/hyperlink" Target="https://a2g9b4.emailsp.com/f/rnl.aspx/?fei=1vvoo_2y.9ek=vyad8=t3pzsy&amp;f2::=k702m1k6.451&amp;x=pp&amp;r1.&amp;x=pv&amp;49-6&amp;aax00l=ruoxwNCLM" TargetMode="External"/><Relationship Id="rId2479" Type="http://schemas.openxmlformats.org/officeDocument/2006/relationships/hyperlink" Target="https://a2g9b4.emailsp.com/f/rnl.aspx/?fei=2orws1vy.9ek=vyad8=t3sxny&amp;f2::=7chafagb&amp;x=pp&amp;yx0-2.e16.&amp;x=pv&amp;2b5g=qu1xoNCLM" TargetMode="External"/><Relationship Id="rId1149" Type="http://schemas.openxmlformats.org/officeDocument/2006/relationships/hyperlink" Target="https://www.facebook.com/reel/4417118131938305" TargetMode="External"/><Relationship Id="rId558" Type="http://schemas.openxmlformats.org/officeDocument/2006/relationships/hyperlink" Target="https://e5c9a.mailupclient.com/f/rnl.aspx/?jhe=vwurvxsx/&amp;x=pv&amp;bdi=tzfd&amp;=st_r_/7f1-a=5k9hibg&amp;x=pv&amp;9a&amp;-c4&amp;501&amp;x=pp&amp;u_9f1-a2&amp;.b/&amp;:d=rsv2qwNCLM" TargetMode="External"/><Relationship Id="rId557" Type="http://schemas.openxmlformats.org/officeDocument/2006/relationships/hyperlink" Target="https://a2g9b4.emailsp.com/f/rnl.aspx/?fei=1wqvoxxy.9ek=vyad8=t3xzny&amp;f2::=4ibeh..e--:5d6.451&amp;x=pp&amp;r1.&amp;x=pv&amp;49-6&amp;aax00l=rtnwyNCLM" TargetMode="External"/><Relationship Id="rId556" Type="http://schemas.openxmlformats.org/officeDocument/2006/relationships/hyperlink" Target="https://e5c9a.mailupclient.com/f/rnl.aspx/?jhe=vwurvxsx/&amp;x=pv&amp;bdi=tzfd&amp;=st_pr/7f1-a=5k9hibg&amp;x=pv&amp;9a&amp;-c4&amp;501&amp;x=pp&amp;u_9f1-a2&amp;.b/&amp;:d=rsv2vwNCLM" TargetMode="External"/><Relationship Id="rId555" Type="http://schemas.openxmlformats.org/officeDocument/2006/relationships/hyperlink" Target="https://e5c9a.mailupclient.com/f/rnl.aspx/?jhe=vwurvxsx/&amp;x=pv&amp;bdi=tzfd&amp;=st_qw/7f1-a=5k9hibg&amp;x=pv&amp;9a&amp;-c4&amp;501&amp;x=pp&amp;u_9f1-a2&amp;.b/&amp;:d=rsv2qzNCLM" TargetMode="External"/><Relationship Id="rId559" Type="http://schemas.openxmlformats.org/officeDocument/2006/relationships/hyperlink" Target="https://e5c9a.mailupclient.com/f/rnl.aspx/?jhe=vwurvxsx/&amp;x=pv&amp;bdi=tzfd&amp;=stzvr/7f1-a=5k9hibg&amp;x=pv&amp;9a&amp;-c4&amp;501&amp;x=pp&amp;u_9f1-a2&amp;.b/&amp;:d=rsv_qtNCLM" TargetMode="External"/><Relationship Id="rId550" Type="http://schemas.openxmlformats.org/officeDocument/2006/relationships/hyperlink" Target="https://e5c9a.mailupclient.com/f/rnl.aspx/?jhe=1r_yq2o/a&amp;le=t/.l7=svuvn/9.99a=59ndi-a&amp;9g-7e:-49&amp;25&amp;x=pp&amp;uy.-5-&amp;x=pv&amp;83dbzb4h=rq/tvxNCLM" TargetMode="External"/><Relationship Id="rId2470" Type="http://schemas.openxmlformats.org/officeDocument/2006/relationships/hyperlink" Target="https://a2g9b4.emailsp.com/f/rnl.aspx/?fei=2orws1vy.9ek=vyad8=t3sury&amp;f2::=7chafagb&amp;x=pp&amp;yx0-2.e16.&amp;x=pv&amp;2b5g=qu1vpNCLM" TargetMode="External"/><Relationship Id="rId1140" Type="http://schemas.openxmlformats.org/officeDocument/2006/relationships/hyperlink" Target="https://a2g9b4.emailsp.com/f/rnl.aspx/?fei=2orws1vy.9ek=vyad8=t3pzny&amp;f2::=7chafagb&amp;x=pp&amp;yx0-2.e16.&amp;x=pv&amp;2b5g=qst/pNCLM" TargetMode="External"/><Relationship Id="rId2471" Type="http://schemas.openxmlformats.org/officeDocument/2006/relationships/hyperlink" Target="https://e5c9a.mailupclient.com/f/rnl.aspx/?jhe=vwvwwvrv/&amp;x=pv&amp;bdi=tzfd&amp;=suynw/7f1-a=8e.dgcn&amp;&amp;x=pp&amp;u_9f1-a2&amp;.b/&amp;:d=rtp_rxNCLM" TargetMode="External"/><Relationship Id="rId1141" Type="http://schemas.openxmlformats.org/officeDocument/2006/relationships/hyperlink" Target="https://www.facebook.com/baparticipacion/posts/pfbid023kLA75ppgyAUB3JBniZYYWvaAcZEGdPafxcfYGXSZUC7duoVETcQ7eGLZT9WFWk4l" TargetMode="External"/><Relationship Id="rId2472" Type="http://schemas.openxmlformats.org/officeDocument/2006/relationships/hyperlink" Target="https://a2g9b4.emailsp.com/f/rnl.aspx/?fei=1vvoo1vy.9ek=vyad8=t3stty&amp;f2::=-l98i9di-10337&amp;x=pp&amp;yx0-2.e16.&amp;x=pv&amp;2b5g=qu1vrNCLM" TargetMode="External"/><Relationship Id="rId1142" Type="http://schemas.openxmlformats.org/officeDocument/2006/relationships/hyperlink" Target="https://e5c9a.mailupclient.com/f/rnl.aspx/?jhe=vwt_y1w_/&amp;x=pv&amp;bdi=tzfd&amp;=st2pt/7f1-a=&amp;x=pv&amp;n1&amp;j&amp;kc949&amp;25&amp;x=pp&amp;uy.-5-&amp;x=pv&amp;83dbzb4h=rq2pstNCLM" TargetMode="External"/><Relationship Id="rId2473" Type="http://schemas.openxmlformats.org/officeDocument/2006/relationships/hyperlink" Target="https://e5c9a.mailupclient.com/f/rnl.aspx/?jhe=1r_yq2o/a&amp;le=t/.l7=swsvq/9.99a=59ndi-a&amp;9g-7e:-49&amp;25&amp;x=pp&amp;uy.-5-&amp;x=pv&amp;83dbzb4h=rrvstvNCLM" TargetMode="External"/><Relationship Id="rId554" Type="http://schemas.openxmlformats.org/officeDocument/2006/relationships/hyperlink" Target="https://a2g9b4.emailsp.com/f/rnl.aspx/?fei=1wqvoxxy.9ek=vyad8=/2wwx6d90.=3d.lfc&amp;x=pv&amp;.&amp;e08c1-&amp;34&amp;x=pp&amp;qx-f2::19h&amp;x=pv&amp;_95j=yrrwrNCLM" TargetMode="External"/><Relationship Id="rId1143" Type="http://schemas.openxmlformats.org/officeDocument/2006/relationships/hyperlink" Target="https://www.facebook.com/baparticipacion/posts/pfbid026g3Uz2gbNkm5uvV6VthN6oicMxWbg3GjhLLUX2GDNFuTZHzqY6MqveU9jfBMid9ul" TargetMode="External"/><Relationship Id="rId2474" Type="http://schemas.openxmlformats.org/officeDocument/2006/relationships/hyperlink" Target="https://e5c9a.mailupclient.com/f/rnl.aspx/?jhe=1r_yq2o/a&amp;le=t/.l7=swsvo/9.99a=59ndi-a&amp;9g-7e:-49&amp;25&amp;x=pp&amp;uy.-5-&amp;x=pv&amp;83dbzb4h=rrvsvuNCLM" TargetMode="External"/><Relationship Id="rId553" Type="http://schemas.openxmlformats.org/officeDocument/2006/relationships/hyperlink" Target="https://a2g9b4.emailsp.com/f/rnl.aspx/?fei=1wqvoxxy.9ek=vyad8=/2wvx6d90.=3d.lfc&amp;x=pv&amp;.&amp;e08c1-&amp;34&amp;x=pp&amp;qx-f2::19h&amp;x=pv&amp;_95j=yrqutNCLM" TargetMode="External"/><Relationship Id="rId1144" Type="http://schemas.openxmlformats.org/officeDocument/2006/relationships/hyperlink" Target="https://a2g9b4.emailsp.com/f/rnl.aspx/?fei=1vvoo1vy.9ek=vyad8=t3pzwy&amp;f2::=-l98i9di-10337&amp;x=pp&amp;yx0-2.e16.&amp;x=pv&amp;2b5g=qst_rNCLM" TargetMode="External"/><Relationship Id="rId2475" Type="http://schemas.openxmlformats.org/officeDocument/2006/relationships/hyperlink" Target="https://e5c9a.mailupclient.com/f/rnl.aspx/?jhe=vwurvxsx/&amp;x=pv&amp;bdi=tzfd&amp;=suywz/7f1-a=5k9hibg&amp;x=pv&amp;9a&amp;-c4&amp;501&amp;x=pp&amp;u_9f1-a2&amp;.b/&amp;:d=rtp_nwNCLM" TargetMode="External"/><Relationship Id="rId552" Type="http://schemas.openxmlformats.org/officeDocument/2006/relationships/hyperlink" Target="https://a2g9b4.emailsp.com/f/rnl.aspx/?fei=1wqvoxxy.9ek=vyad8=/2wux6d90.=3d.lfc&amp;x=pv&amp;.&amp;e08c1-&amp;34&amp;x=pp&amp;qx-f2::19h&amp;x=pv&amp;_95j=yrquoNCLM" TargetMode="External"/><Relationship Id="rId1145" Type="http://schemas.openxmlformats.org/officeDocument/2006/relationships/hyperlink" Target="https://www.facebook.com/reel/4417118131938305" TargetMode="External"/><Relationship Id="rId2476" Type="http://schemas.openxmlformats.org/officeDocument/2006/relationships/hyperlink" Target="https://a2g9b4.emailsp.com/f/rnl.aspx/?fei=1wqvoxxy.9ek=vyad8=t3swpy&amp;f2::=4ibeh..e--:5d6.451&amp;x=pp&amp;r1.&amp;x=pv&amp;49-6&amp;aax00l=rvvtwNCLM" TargetMode="External"/><Relationship Id="rId551" Type="http://schemas.openxmlformats.org/officeDocument/2006/relationships/hyperlink" Target="https://a2g9b4.emailsp.com/f/rnl.aspx/?fei=1uwuq_vy.9ek=vyad8=/1utx6d90.=18llf:&amp;x=pv&amp;4.k08:-.88622&amp;x=pp&amp;w38a10c84c-y.:e=tpuu/NCLM" TargetMode="External"/><Relationship Id="rId1146" Type="http://schemas.openxmlformats.org/officeDocument/2006/relationships/hyperlink" Target="https://a2g9b4.emailsp.com/f/rnl.aspx/?fei=1vvoo_2y.9ek=vyad8=t3oyvy&amp;f2::=k702m1k6.451&amp;x=pp&amp;r1.&amp;x=pv&amp;49-6&amp;aax00l=runs_NCLM" TargetMode="External"/><Relationship Id="rId2477" Type="http://schemas.openxmlformats.org/officeDocument/2006/relationships/hyperlink" Target="https://e5c9a.mailupclient.com/f/rnl.aspx/?jhe=vwurvxsx/&amp;x=pv&amp;bdi=tzfd&amp;=suyny/7f1-a=5k9hibg&amp;x=pv&amp;9a&amp;-c4&amp;501&amp;x=pp&amp;u_9f1-a2&amp;.b/&amp;:d=rtp_sxNCLM" TargetMode="External"/><Relationship Id="rId2090" Type="http://schemas.openxmlformats.org/officeDocument/2006/relationships/hyperlink" Target="https://e5c9a.mailupclient.com/f/rnl.aspx/?jhe=vwurvxsx/&amp;x=pv&amp;bdi=tzfd&amp;=suwps/7f1-a=5k9hibg&amp;x=pv&amp;9a&amp;-c4&amp;501&amp;x=pp&amp;u_9f1-a2&amp;.b/&amp;:d=rty2stNCLM" TargetMode="External"/><Relationship Id="rId2091" Type="http://schemas.openxmlformats.org/officeDocument/2006/relationships/hyperlink" Target="https://www.facebook.com/baparticipacion/posts/pfbid02LGuHo3AYMjoh7SpohtcvXqENEmnQxe15cNqbzjAnKFtQJKaQXTbb8aG8sa29nbdWl" TargetMode="External"/><Relationship Id="rId2092" Type="http://schemas.openxmlformats.org/officeDocument/2006/relationships/hyperlink" Target="https://e5c9a.mailupclient.com/f/rnl.aspx/?jhe=vwurvxsx/&amp;x=pv&amp;bdi=tzfd&amp;=suwpt/7f1-a=5k9hibg&amp;x=pv&amp;9a&amp;-c4&amp;501&amp;x=pp&amp;u_9f1-a2&amp;.b/&amp;:d=rty2rrNCLM" TargetMode="External"/><Relationship Id="rId2093" Type="http://schemas.openxmlformats.org/officeDocument/2006/relationships/hyperlink" Target="https://www.facebook.com/baparticipacion/posts/pfbid02dDTzKg9xjhAVC2WdsjHreqxFyff2zsh7nP49E7r1n24kuEcSLcnJXv9hSybPAvyEl" TargetMode="External"/><Relationship Id="rId2094" Type="http://schemas.openxmlformats.org/officeDocument/2006/relationships/hyperlink" Target="https://e5c9a.mailupclient.com/f/rnl.aspx/?jhe=vwurvxsx/&amp;x=pv&amp;bdi=tzfd&amp;=suwtt/7f1-a=5k9hibg&amp;x=pv&amp;9a&amp;-c4&amp;501&amp;x=pp&amp;u_9f1-a2&amp;.b/&amp;:d=rty2oxNCLM" TargetMode="External"/><Relationship Id="rId2095" Type="http://schemas.openxmlformats.org/officeDocument/2006/relationships/hyperlink" Target="https://www.facebook.com/baparticipacion/posts/pfbid0AkC4KnzR9iBBuhU6CXSHuh8oigcs8PqAGLqY24QrzkeNApBzBKw5VGLqTzb9C5aWl" TargetMode="External"/><Relationship Id="rId2096" Type="http://schemas.openxmlformats.org/officeDocument/2006/relationships/hyperlink" Target="https://a2g9b4.emailsp.com/f/rnl.aspx/?fei=1wqvoxxy.9ek=vyad8=t3rsqy&amp;f2::=4ibeh..e--:5d6.451&amp;x=pp&amp;r1.&amp;x=pv&amp;49-6&amp;aax00l=rvpuyNCLM" TargetMode="External"/><Relationship Id="rId2097" Type="http://schemas.openxmlformats.org/officeDocument/2006/relationships/hyperlink" Target="https://fb.me/adspreview/facebook/2isGbgWtxB7icBB" TargetMode="External"/><Relationship Id="rId2098" Type="http://schemas.openxmlformats.org/officeDocument/2006/relationships/hyperlink" Target="https://a2g9b4.emailsp.com/f/rnl.aspx/?fei=1wqvoxxy.9ek=vyad8=t3rsqy&amp;f2::=4ibeh..e--:5d6.451&amp;x=pp&amp;r1.&amp;x=pv&amp;49-6&amp;aax00l=rvpuyNCLM" TargetMode="External"/><Relationship Id="rId2099" Type="http://schemas.openxmlformats.org/officeDocument/2006/relationships/hyperlink" Target="https://www.facebook.com/GCBA/posts/pfbid02Ln4X19gNEP6eKE4E2Ruhm7ikNzL8pdfuLwBKMLdUEdRJXQaiQWmLf2pLyTAKJuYbl" TargetMode="External"/><Relationship Id="rId2060" Type="http://schemas.openxmlformats.org/officeDocument/2006/relationships/hyperlink" Target="https://e5c9a.mailupclient.com/f/rnl.aspx/?jhe=vwvwwvrv/&amp;x=pv&amp;bdi=tzfd&amp;=suwst/7f1-a=8e.dgcn&amp;&amp;x=pp&amp;u_9f1-a2&amp;.b/&amp;:d=rty1v_NCLM" TargetMode="External"/><Relationship Id="rId2061" Type="http://schemas.openxmlformats.org/officeDocument/2006/relationships/hyperlink" Target="https://www.facebook.com/GCBA/posts/pfbid02MczFwBSVys4DXC1DTtBcRmUPG1xohZxGSR3kUcX6QRVEMJHG2uCNpVNnkXbMhTK8l" TargetMode="External"/><Relationship Id="rId2062" Type="http://schemas.openxmlformats.org/officeDocument/2006/relationships/hyperlink" Target="https://e5c9a.mailupclient.com/f/rnl.aspx/?jhe=vwvwwvrv/&amp;x=pv&amp;bdi=tzfd&amp;=suwsw/7f1-a=8e.dgcn&amp;&amp;x=pp&amp;u_9f1-a2&amp;.b/&amp;:d=rty1urNCLM" TargetMode="External"/><Relationship Id="rId2063" Type="http://schemas.openxmlformats.org/officeDocument/2006/relationships/hyperlink" Target="https://www.facebook.com/GCBA/posts/pfbid02E4wp53ZNT6GqD98pYbzNyRQnXPk7oybZTfo6UaqKbzJK3SpDnwAj8YPuFvK2ESjLl" TargetMode="External"/><Relationship Id="rId2064" Type="http://schemas.openxmlformats.org/officeDocument/2006/relationships/hyperlink" Target="https://a2g9b4.emailsp.com/f/rnl.aspx/?fei=1vvoo1vy.9ek=vyad8=t3rrpy&amp;f2::=-l98i9di-10337&amp;x=pp&amp;yx0-2.e16.&amp;x=pv&amp;2b5g=qtuxpNCLM" TargetMode="External"/><Relationship Id="rId2065" Type="http://schemas.openxmlformats.org/officeDocument/2006/relationships/hyperlink" Target="https://www.facebook.com/reel/962929200067946" TargetMode="External"/><Relationship Id="rId2066" Type="http://schemas.openxmlformats.org/officeDocument/2006/relationships/hyperlink" Target="https://e5c9a.mailupclient.com/f/rnl.aspx/?jhe=vwszuxsy/&amp;x=pv&amp;bdi=tzfd&amp;=suwsr/7f1-a=l925n3r/&amp;749&amp;x=pp&amp;q_&amp;.99a45h-/-6l=nt_wztNCLM" TargetMode="External"/><Relationship Id="rId2067" Type="http://schemas.openxmlformats.org/officeDocument/2006/relationships/hyperlink" Target="https://www.facebook.com/GCBA/posts/pfbid02oeoxp4n1RAejfsKkcxYnQ6zjj1GYAHE18or6xd8FgH3bLsXZEv8TWtktSujLNwdRl" TargetMode="External"/><Relationship Id="rId2068" Type="http://schemas.openxmlformats.org/officeDocument/2006/relationships/hyperlink" Target="https://a2g9b4.emailsp.com/f/rnl.aspx/?fei=1uwuq_vy.9ek=vyad8=t3rtoy&amp;f2::=2-neh9.9bd:5-cb10337&amp;x=pp&amp;yx0-2.e16.&amp;x=pv&amp;2b5g=qtvvrNCLM" TargetMode="External"/><Relationship Id="rId2069" Type="http://schemas.openxmlformats.org/officeDocument/2006/relationships/hyperlink" Target="https://www.facebook.com/lindaenvivo/posts/pfbid09kXBonchhUbNRHaBLgWDu9viZES3ekYQrjxFFSuE91tNjXeSEvgQinuY72zthh3pl" TargetMode="External"/><Relationship Id="rId2050" Type="http://schemas.openxmlformats.org/officeDocument/2006/relationships/hyperlink" Target="https://e5c9a.mailupclient.com/f/rnl.aspx/?jhe=vwurvxsx/&amp;x=pv&amp;bdi=tzfd&amp;=suwrw/7f1-a=5k9hibg&amp;x=pv&amp;9a&amp;-c4&amp;501&amp;x=pp&amp;u_9f1-a2&amp;.b/&amp;:d=rty1qxNCLM" TargetMode="External"/><Relationship Id="rId2051" Type="http://schemas.openxmlformats.org/officeDocument/2006/relationships/hyperlink" Target="https://www.facebook.com/baparticipacion/posts/pfbid0DaymyDB1kYsK3vhHa9PGNH4zfbBtVMmHhr92vsCJPo4oNPRDNfqMVjP5Dt1fLZbNl" TargetMode="External"/><Relationship Id="rId495" Type="http://schemas.openxmlformats.org/officeDocument/2006/relationships/hyperlink" Target="https://e5c9a.mailupclient.com/f/rnl.aspx/?jhe=vwvwwvrv/&amp;x=pv&amp;bdi=tzfd&amp;=st_wu/7f1-a=8e.dgcn&amp;&amp;x=pp&amp;u_9f1-a2&amp;.b/&amp;:d=rsv/nxNCLM" TargetMode="External"/><Relationship Id="rId2052" Type="http://schemas.openxmlformats.org/officeDocument/2006/relationships/hyperlink" Target="https://e5c9a.mailupclient.com/f/rnl.aspx/?jhe=vwurvxsx/&amp;x=pv&amp;bdi=tzfd&amp;=suwrw/7f1-a=5k9hibg&amp;x=pv&amp;9a&amp;-c4&amp;501&amp;x=pp&amp;u_9f1-a2&amp;.b/&amp;:d=rty1qxNCLM" TargetMode="External"/><Relationship Id="rId494" Type="http://schemas.openxmlformats.org/officeDocument/2006/relationships/hyperlink" Target="https://www.facebook.com/GCBA/posts/pfbid02MHtzFur7T6A9gkPCWcCKA5S9do1hMkbdiz1vi1SFNaGtEwvHELnpkU3EVbhXU9yol" TargetMode="External"/><Relationship Id="rId2053" Type="http://schemas.openxmlformats.org/officeDocument/2006/relationships/hyperlink" Target="https://www.facebook.com/baparticipacion/posts/pfbid07VoazC5BiDZDj3GHPeXe55UQEznMHhozx8PUuwHTF79BK72tb5HxzKnsXY3sQ4jyl" TargetMode="External"/><Relationship Id="rId493" Type="http://schemas.openxmlformats.org/officeDocument/2006/relationships/hyperlink" Target="https://a2g9b4.emailsp.com/f/rnl.aspx/?fei=2orws1vy.9ek=vyad8=/2uwx6d90.=6-fhddf:&amp;x=pp&amp;w38a10c84c-y.:e=tqotzNCLM" TargetMode="External"/><Relationship Id="rId2054" Type="http://schemas.openxmlformats.org/officeDocument/2006/relationships/hyperlink" Target="https://e5c9a.mailupclient.com/f/rnl.aspx/?jhe=vwurvxsx/&amp;x=pv&amp;bdi=tzfd&amp;=suws_/7f1-a=5k9hibg&amp;x=pv&amp;9a&amp;-c4&amp;501&amp;x=pp&amp;u_9f1-a2&amp;.b/&amp;:d=rty1rvNCLM" TargetMode="External"/><Relationship Id="rId492" Type="http://schemas.openxmlformats.org/officeDocument/2006/relationships/hyperlink" Target="https://e5c9a.mailupclient.com/f/rnl.aspx/?jhe=vwurvxsx/&amp;x=pv&amp;bdi=tzfd&amp;=stxo_/7f1-a=5k9hibg&amp;x=pv&amp;9a&amp;-c4&amp;501&amp;x=pp&amp;u_9f1-a2&amp;.b/&amp;:d=rsuwtuNCLM" TargetMode="External"/><Relationship Id="rId2055" Type="http://schemas.openxmlformats.org/officeDocument/2006/relationships/hyperlink" Target="https://fb.me/adspreview/facebook/25lew4sNjO49s77" TargetMode="External"/><Relationship Id="rId499" Type="http://schemas.openxmlformats.org/officeDocument/2006/relationships/hyperlink" Target="https://e5c9a.mailupclient.com/f/rnl.aspx/?jhe=1r_yq2o/a&amp;le=t/.l7=svt2p/9.99a=59ndi-a&amp;9g-7e:-49&amp;25&amp;x=pp&amp;uy.-5-&amp;x=pv&amp;83dbzb4h=rq/suuNCLM" TargetMode="External"/><Relationship Id="rId2056" Type="http://schemas.openxmlformats.org/officeDocument/2006/relationships/hyperlink" Target="https://a2g9b4.emailsp.com/f/rnl.aspx/?fei=2orws1vy.9ek=vyad8=t3rrvy&amp;f2::=7chafagb&amp;x=pp&amp;yx0-2.e16.&amp;x=pv&amp;2b5g=qtvxoNCLM" TargetMode="External"/><Relationship Id="rId498" Type="http://schemas.openxmlformats.org/officeDocument/2006/relationships/hyperlink" Target="https://www.facebook.com/reel/1985348935347886" TargetMode="External"/><Relationship Id="rId2057" Type="http://schemas.openxmlformats.org/officeDocument/2006/relationships/hyperlink" Target="https://www.facebook.com/reel/1910025833718608" TargetMode="External"/><Relationship Id="rId497" Type="http://schemas.openxmlformats.org/officeDocument/2006/relationships/hyperlink" Target="https://e5c9a.mailupclient.com/f/rnl.aspx/?jhe=1r_yq2o/a&amp;le=t/.l7=svtzq/9.99a=59ndi-a&amp;9g-7e:-49&amp;25&amp;x=pp&amp;uy.-5-&amp;x=pv&amp;83dbzb4h=rq/tvvNCLM" TargetMode="External"/><Relationship Id="rId2058" Type="http://schemas.openxmlformats.org/officeDocument/2006/relationships/hyperlink" Target="https://a2g9b4.emailsp.com/f/rnl.aspx/?fei=2orws1vy.9ek=vyad8=t3rrry&amp;f2::=7chafagb&amp;x=pp&amp;yx0-2.e16.&amp;x=pv&amp;2b5g=qtvxvNCLM" TargetMode="External"/><Relationship Id="rId496" Type="http://schemas.openxmlformats.org/officeDocument/2006/relationships/hyperlink" Target="https://e5c9a.mailupclient.com/f/rnl.aspx/?jhe=vwvwwvrv/&amp;x=pv&amp;bdi=tzfd&amp;=st_wu/7f1-a=8e.dgcn&amp;&amp;x=pp&amp;u_9f1-a2&amp;.b/&amp;:d=rsv/nxNCLM" TargetMode="External"/><Relationship Id="rId2059" Type="http://schemas.openxmlformats.org/officeDocument/2006/relationships/hyperlink" Target="https://www.facebook.com/reel/869377568978479" TargetMode="External"/><Relationship Id="rId2080" Type="http://schemas.openxmlformats.org/officeDocument/2006/relationships/hyperlink" Target="https://e5c9a.mailupclient.com/f/rnl.aspx/?jhe=vwurvxsx/&amp;x=pv&amp;bdi=tzfd&amp;=suwts/7f1-a=5k9hibg&amp;x=pv&amp;9a&amp;-c4&amp;501&amp;x=pp&amp;u_9f1-a2&amp;.b/&amp;:d=rty2nzNCLM" TargetMode="External"/><Relationship Id="rId2081" Type="http://schemas.openxmlformats.org/officeDocument/2006/relationships/hyperlink" Target="https://www.facebook.com/GCBA/posts/pfbid0Tdoi5ixpdKLWLRDv5uwSDLEZVc4bC98Nca66g4DVi1yEHuhsv7y8sAw17BkZ9QYAl" TargetMode="External"/><Relationship Id="rId2082" Type="http://schemas.openxmlformats.org/officeDocument/2006/relationships/hyperlink" Target="https://e5c9a.mailupclient.com/f/rnl.aspx/?jhe=vwvwwvrv/&amp;x=pv&amp;bdi=tzfd&amp;=suwsy/7f1-a=8e.dgcn&amp;&amp;x=pp&amp;u_9f1-a2&amp;.b/&amp;:d=rty2n_NCLM" TargetMode="External"/><Relationship Id="rId2083" Type="http://schemas.openxmlformats.org/officeDocument/2006/relationships/hyperlink" Target="https://www.facebook.com/reel/963476160027647" TargetMode="External"/><Relationship Id="rId2084" Type="http://schemas.openxmlformats.org/officeDocument/2006/relationships/hyperlink" Target="https://e5c9a.mailupclient.com/f/rnl.aspx/?jhe=vwszuxsy/&amp;x=pv&amp;bdi=tzfd&amp;=suwsr/7f1-a=l925n3r/&amp;749&amp;x=pp&amp;q_&amp;.99a45h-/-6l=nt_wztNCLM" TargetMode="External"/><Relationship Id="rId2085" Type="http://schemas.openxmlformats.org/officeDocument/2006/relationships/hyperlink" Target="https://www.facebook.com/reel/2733476537035074/" TargetMode="External"/><Relationship Id="rId2086" Type="http://schemas.openxmlformats.org/officeDocument/2006/relationships/hyperlink" Target="https://a2g9b4.emailsp.com/f/rnl.aspx/?fei=1vvoo_2y.9ek=vyad8=t3rzpy&amp;f2::=k702m1k6.451&amp;x=pp&amp;r1.&amp;x=pv&amp;49-6&amp;aax00l=rvpq/NCLM" TargetMode="External"/><Relationship Id="rId2087" Type="http://schemas.openxmlformats.org/officeDocument/2006/relationships/hyperlink" Target="https://www.facebook.com/baparticipacion/posts/pfbid0321EGt37mCXnC23xuUfcZTrfDWmFiMzCQUjwqnMXJpMNzHrT1tnG2HALHeHoTgDyXl" TargetMode="External"/><Relationship Id="rId2088" Type="http://schemas.openxmlformats.org/officeDocument/2006/relationships/hyperlink" Target="https://e5c9a.mailupclient.com/f/rnl.aspx/?jhe=vwszuxsy/&amp;x=pv&amp;bdi=tzfd&amp;=suwss/7f1-a=l925n3r/&amp;749&amp;x=pp&amp;q_&amp;.99a45h-/-6l=nt_w2vNCLM" TargetMode="External"/><Relationship Id="rId2089" Type="http://schemas.openxmlformats.org/officeDocument/2006/relationships/hyperlink" Target="https://www.facebook.com/baparticipacion/posts/pfbid02JSro6FKNuoj4uvyZXx5EHrXMwoTS4uThvqZXGWQ3vQgxb67TRXw2nRcEkHWR9eNVl" TargetMode="External"/><Relationship Id="rId2070" Type="http://schemas.openxmlformats.org/officeDocument/2006/relationships/hyperlink" Target="https://e5c9a.mailupclient.com/f/rnl.aspx/?jhe=vwurvxsx/&amp;x=pv&amp;bdi=tzfd&amp;=suwss/7f1-a=5k9hibg&amp;x=pv&amp;9a&amp;-c4&amp;501&amp;x=pp&amp;u_9f1-a2&amp;.b/&amp;:d=rty1sxNCLM" TargetMode="External"/><Relationship Id="rId2071" Type="http://schemas.openxmlformats.org/officeDocument/2006/relationships/hyperlink" Target="https://www.facebook.com/reel/2068009630739529/" TargetMode="External"/><Relationship Id="rId2072" Type="http://schemas.openxmlformats.org/officeDocument/2006/relationships/hyperlink" Target="https://e5c9a.mailupclient.com/f/rnl.aspx/?jhe=vwurvxsx/&amp;x=pv&amp;bdi=tzfd&amp;=suwt_/7f1-a=5k9hibg&amp;x=pv&amp;9a&amp;-c4&amp;501&amp;x=pp&amp;u_9f1-a2&amp;.b/&amp;:d=rty2nuNCLM" TargetMode="External"/><Relationship Id="rId2073" Type="http://schemas.openxmlformats.org/officeDocument/2006/relationships/hyperlink" Target="https://www.facebook.com/reel/3544290305749640" TargetMode="External"/><Relationship Id="rId2074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075" Type="http://schemas.openxmlformats.org/officeDocument/2006/relationships/hyperlink" Target="https://www.facebook.com/baparticipacion/posts/pfbid037D5wWyZjNg97cDckHgFEvdVpvx7PvEGibc8TBFmc2DQrjtCTs1fS44Akw5kynYeRl" TargetMode="External"/><Relationship Id="rId2076" Type="http://schemas.openxmlformats.org/officeDocument/2006/relationships/hyperlink" Target="https://a2g9b4.emailsp.com/f/rnl.aspx/?fei=2orws1vy.9ek=vyad8=t3rtsy&amp;f2::=7chafagb&amp;x=pp&amp;yx0-2.e16.&amp;x=pv&amp;2b5g=qtvysNCLM" TargetMode="External"/><Relationship Id="rId2077" Type="http://schemas.openxmlformats.org/officeDocument/2006/relationships/hyperlink" Target="https://www.facebook.com/GCBA/posts/pfbid02Q2YxCRks1Ca59MFpy4T62W8UZyrKbDhXFonmqY44F2dXSwp69Yp757AgVKfBgPETl" TargetMode="External"/><Relationship Id="rId2078" Type="http://schemas.openxmlformats.org/officeDocument/2006/relationships/hyperlink" Target="https://a2g9b4.emailsp.com/f/rnl.aspx/?fei=2orws1vy.9ek=vyad8=t3rtsy&amp;f2::=7chafagb&amp;x=pp&amp;yx0-2.e16.&amp;x=pv&amp;2b5g=qtvysNCLM" TargetMode="External"/><Relationship Id="rId2079" Type="http://schemas.openxmlformats.org/officeDocument/2006/relationships/hyperlink" Target="https://www.facebook.com/GCBA/posts/pfbid0YhueYGpntBgMxwJ72kfke9vjquz5VNdcd1gvDFdyw1CYKUTWgM3YrprNGk6n7F7Bl" TargetMode="External"/><Relationship Id="rId1610" Type="http://schemas.openxmlformats.org/officeDocument/2006/relationships/hyperlink" Target="https://www.facebook.com/reel/1322241596637526" TargetMode="External"/><Relationship Id="rId1611" Type="http://schemas.openxmlformats.org/officeDocument/2006/relationships/hyperlink" Target="https://e5c9a.mailupclient.com/f/rnl.aspx/?jhe=vwszuxsy/&amp;x=pv&amp;bdi=tzfd&amp;=suvww/7f1-a=l925n3r/&amp;749&amp;x=pp&amp;q_&amp;.99a45h-/-6l=nt_pvuNCLM" TargetMode="External"/><Relationship Id="rId1612" Type="http://schemas.openxmlformats.org/officeDocument/2006/relationships/hyperlink" Target="https://e5c9a.mailupclient.com/f/rnl.aspx/?jhe=vwszuxsy/&amp;x=pv&amp;bdi=tzfd&amp;=suvww/7f1-a=l925n3r/&amp;749&amp;x=pp&amp;q_&amp;.99a45h-/-6l=nt_pvuNCLM" TargetMode="External"/><Relationship Id="rId1613" Type="http://schemas.openxmlformats.org/officeDocument/2006/relationships/hyperlink" Target="https://www.facebook.com/GCBA/posts/pfbid02EGieDwStu2PGiKTnZesCmuHGGmG1MJU4mZgTi3ozRyiy5vTM15y9FLWAJzqfY1mBl" TargetMode="External"/><Relationship Id="rId1614" Type="http://schemas.openxmlformats.org/officeDocument/2006/relationships/hyperlink" Target="https://a2g9b4.emailsp.com/f/rnl.aspx/?fei=1wqvoxxy.9ek=vyad8=t3qqpy&amp;f2::=4ibeh..e--:5d6.451&amp;x=pp&amp;r1.&amp;x=pv&amp;49-6&amp;aax00l=ruto_NCLM" TargetMode="External"/><Relationship Id="rId1615" Type="http://schemas.openxmlformats.org/officeDocument/2006/relationships/hyperlink" Target="https://www.facebook.com/GCBA/posts/pfbid02oc4eGpxiTuWbRHkbF7CMFJgXHy2yjdoztoFr8hDs9YJLbAr91HSjsiqNqAK4F7opl" TargetMode="External"/><Relationship Id="rId1616" Type="http://schemas.openxmlformats.org/officeDocument/2006/relationships/hyperlink" Target="https://a2g9b4.emailsp.com/f/rnl.aspx/?fei=1uwuq_vy.9ek=vyad8=t3qrpy&amp;f2::=2-neh9.9bd:5-cb10337&amp;x=pp&amp;yx0-2.e16.&amp;x=pv&amp;2b5g=qsz1tNCLM" TargetMode="External"/><Relationship Id="rId907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1617" Type="http://schemas.openxmlformats.org/officeDocument/2006/relationships/hyperlink" Target="https://fb.me/adspreview/facebook/qyoI6VfQlN9eSCR" TargetMode="External"/><Relationship Id="rId906" Type="http://schemas.openxmlformats.org/officeDocument/2006/relationships/hyperlink" Target="https://www.facebook.com/baparticipacion/posts/pfbid02da3a8AdbaVJubp9KDYQpuTrFRGh2kMrrQLKjUSNFpwQWHhedTbKhzT8CUqrtGS7l" TargetMode="External"/><Relationship Id="rId1618" Type="http://schemas.openxmlformats.org/officeDocument/2006/relationships/hyperlink" Target="https://a2g9b4.emailsp.com/f/rnl.aspx/?fei=2orws1vy.9ek=vyad8=t3qquy&amp;f2::=7chafagb&amp;x=pp&amp;yx0-2.e16.&amp;x=pv&amp;2b5g=qsz1sNCLM" TargetMode="External"/><Relationship Id="rId905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1619" Type="http://schemas.openxmlformats.org/officeDocument/2006/relationships/hyperlink" Target="https://www.facebook.com/GCBA/posts/pfbid0huhtVvM2wGsnS6Tn4qvs9bifh35JSbYkVvsT81dLqZXDA8gA5VNEYq5LE1TS1BXhl" TargetMode="External"/><Relationship Id="rId904" Type="http://schemas.openxmlformats.org/officeDocument/2006/relationships/hyperlink" Target="https://www.instagram.com/p/DWjXX-FjCmy/" TargetMode="External"/><Relationship Id="rId909" Type="http://schemas.openxmlformats.org/officeDocument/2006/relationships/hyperlink" Target="https://e5c9a.mailupclient.com/f/rnl.aspx/?jhe=vwurvxsx/&amp;x=pv&amp;bdi=tzfd&amp;=st1tv/7f1-a=5k9hibg&amp;x=pv&amp;9a&amp;-c4&amp;501&amp;x=pp&amp;u_9f1-a2&amp;.b/&amp;:d=rsx3nsNCLM" TargetMode="External"/><Relationship Id="rId908" Type="http://schemas.openxmlformats.org/officeDocument/2006/relationships/hyperlink" Target="https://www.facebook.com/reel/918709524201295/" TargetMode="External"/><Relationship Id="rId903" Type="http://schemas.openxmlformats.org/officeDocument/2006/relationships/hyperlink" Target="https://a2g9b4.emailsp.com/f/rnl.aspx/?fei=1wqvoxxy.9ek=vyad8=t3osoy&amp;f2::=4ibeh..e--:5d6.451&amp;x=pp&amp;r1.&amp;x=pv&amp;49-6&amp;aax00l=rtuqzNCLM" TargetMode="External"/><Relationship Id="rId902" Type="http://schemas.openxmlformats.org/officeDocument/2006/relationships/hyperlink" Target="https://www.facebook.com/reel/918709524201295/" TargetMode="External"/><Relationship Id="rId901" Type="http://schemas.openxmlformats.org/officeDocument/2006/relationships/hyperlink" Target="https://a2g9b4.emailsp.com/f/rnl.aspx/?fei=1uwuq_vy.9ek=vyad8=t3outy&amp;f2::=2-neh9.9bd:5-cb10337&amp;x=pp&amp;yx0-2.e16.&amp;x=pv&amp;2b5g=qr//pNCLM" TargetMode="External"/><Relationship Id="rId900" Type="http://schemas.openxmlformats.org/officeDocument/2006/relationships/hyperlink" Target="https://www.facebook.com/reel/918709524201295/" TargetMode="External"/><Relationship Id="rId1600" Type="http://schemas.openxmlformats.org/officeDocument/2006/relationships/hyperlink" Target="https://e5c9a.mailupclient.com/f/rnl.aspx/?jhe=vwt_y1w_/&amp;x=pv&amp;bdi=tzfd&amp;=su3vt/7f1-a=&amp;x=pv&amp;n1&amp;j&amp;kc949&amp;25&amp;x=pp&amp;uy.-5-&amp;x=pv&amp;83dbzb4h=rr3n_sNCLM" TargetMode="External"/><Relationship Id="rId1601" Type="http://schemas.openxmlformats.org/officeDocument/2006/relationships/hyperlink" Target="https://www.facebook.com/GCBA/posts/pfbid02om29QPQdx9biG61u6BbBky6d5wspZwCXoTWdjfupSHCvfZkz4Luw6CqrKFG4nv4Xl" TargetMode="External"/><Relationship Id="rId1602" Type="http://schemas.openxmlformats.org/officeDocument/2006/relationships/hyperlink" Target="https://e5c9a.mailupclient.com/f/rnl.aspx/?jhe=vwt_y1w_/&amp;x=pv&amp;bdi=tzfd&amp;=su3vu/7f1-a=&amp;x=pv&amp;n1&amp;j&amp;kc949&amp;25&amp;x=pp&amp;uy.-5-&amp;x=pv&amp;83dbzb4h=rr3wz_NCLM" TargetMode="External"/><Relationship Id="rId1603" Type="http://schemas.openxmlformats.org/officeDocument/2006/relationships/hyperlink" Target="https://www.facebook.com/100064489762372/posts/1473265644833080/" TargetMode="External"/><Relationship Id="rId1604" Type="http://schemas.openxmlformats.org/officeDocument/2006/relationships/hyperlink" Target="https://e5c9a.mailupclient.com/f/rnl.aspx/?jhe=1ovurwr/a&amp;le=t/.l7=svx2n/9.99a=hbea9g7s35hgk.4&amp;501&amp;x=pp&amp;u_9f1-a2&amp;.b/&amp;:d=rsx_wyNCLM" TargetMode="External"/><Relationship Id="rId1605" Type="http://schemas.openxmlformats.org/officeDocument/2006/relationships/hyperlink" Target="https://www.facebook.com/100064489762372/posts/1473265644833080/" TargetMode="External"/><Relationship Id="rId1606" Type="http://schemas.openxmlformats.org/officeDocument/2006/relationships/hyperlink" Target="https://e5c9a.mailupclient.com/f/rnl.aspx/?jhe=vwszuxsy/&amp;x=pv&amp;bdi=tzfd&amp;=suvw_/7f1-a=l925n3r/&amp;749&amp;x=pp&amp;q_&amp;.99a45h-/-6l=nt_y_wNCLM" TargetMode="External"/><Relationship Id="rId1607" Type="http://schemas.openxmlformats.org/officeDocument/2006/relationships/hyperlink" Target="https://www.facebook.com/GCBA/posts/pfbid0CjVfwajBrL248dximdxT5xR5EBXpQ8HpeiLdS9TU5ma5MBaLJwpztFdWH4djbDnxl" TargetMode="External"/><Relationship Id="rId1608" Type="http://schemas.openxmlformats.org/officeDocument/2006/relationships/hyperlink" Target="https://a2g9b4.emailsp.com/f/rnl.aspx/?fei=1vvoo_2y.9ek=vyad8=t3qrny&amp;f2::=k702m1k6.451&amp;x=pp&amp;r1.&amp;x=pv&amp;49-6&amp;aax00l=rutswNCLM" TargetMode="External"/><Relationship Id="rId1609" Type="http://schemas.openxmlformats.org/officeDocument/2006/relationships/hyperlink" Target="https://e5c9a.mailupclient.com/f/rnl.aspx/?jhe=vwszuxsy/&amp;x=pv&amp;bdi=tzfd&amp;=suvwx/7f1-a=l925n3r/&amp;749&amp;x=pp&amp;q_&amp;.99a45h-/-6l=nt_pvwNCLM" TargetMode="External"/><Relationship Id="rId1631" Type="http://schemas.openxmlformats.org/officeDocument/2006/relationships/hyperlink" Target="https://www.facebook.com/reel/1000083625809942/" TargetMode="External"/><Relationship Id="rId1632" Type="http://schemas.openxmlformats.org/officeDocument/2006/relationships/hyperlink" Target="https://e5c9a.mailupclient.com/f/rnl.aspx/?jhe=1r_yq2o/a&amp;le=t/.l7=swpvw/9.99a=59ndi-a&amp;9g-7e:-49&amp;25&amp;x=pp&amp;uy.-5-&amp;x=pv&amp;83dbzb4h=rr3ntyNCLM" TargetMode="External"/><Relationship Id="rId1633" Type="http://schemas.openxmlformats.org/officeDocument/2006/relationships/hyperlink" Target="https://www.facebook.com/GCBA/posts/pfbid02a12FFVZSMZjQ3ZJfe2Ss5pqzSM8cvYyREmX99cqDxCiUDTRUWmrKMethJ8WXNsAyl" TargetMode="External"/><Relationship Id="rId1634" Type="http://schemas.openxmlformats.org/officeDocument/2006/relationships/hyperlink" Target="https://a2g9b4.emailsp.com/f/rnl.aspx/?fei=2orws1vy.9ek=vyad8=t3qroy&amp;f2::=7chafagb&amp;x=pp&amp;yx0-2.e16.&amp;x=pv&amp;2b5g=qsz_pNCLM" TargetMode="External"/><Relationship Id="rId1635" Type="http://schemas.openxmlformats.org/officeDocument/2006/relationships/hyperlink" Target="https://www.facebook.com/GCBA/posts/pfbid02a12FFVZSMZjQ3ZJfe2Ss5pqzSM8cvYyREmX99cqDxCiUDTRUWmrKMethJ8WXNsAyl" TargetMode="External"/><Relationship Id="rId1636" Type="http://schemas.openxmlformats.org/officeDocument/2006/relationships/hyperlink" Target="https://e5c9a.mailupclient.com/f/rnl.aspx/?jhe=vwvwwvrv/&amp;x=pv&amp;bdi=tzfd&amp;=suvnr/7f1-a=8e.dgcn&amp;&amp;x=pp&amp;u_9f1-a2&amp;.b/&amp;:d=rtyvrvNCLM" TargetMode="External"/><Relationship Id="rId1637" Type="http://schemas.openxmlformats.org/officeDocument/2006/relationships/hyperlink" Target="https://www.facebook.com/reel/1303979117863829/" TargetMode="External"/><Relationship Id="rId1638" Type="http://schemas.openxmlformats.org/officeDocument/2006/relationships/hyperlink" Target="https://a2g9b4.emailsp.com/f/rnl.aspx/?fei=2orws1vy.9ek=vyad8=t3qqry&amp;f2::=7chafagb&amp;x=pp&amp;yx0-2.e16.&amp;x=pv&amp;2b5g=qs_3vNCLM" TargetMode="External"/><Relationship Id="rId929" Type="http://schemas.openxmlformats.org/officeDocument/2006/relationships/hyperlink" Target="https://a2g9b4.emailsp.com/f/rnl.aspx/?fei=1vvoo1vy.9ek=vyad8=t3ospy&amp;f2::=-l98i9di-10337&amp;x=pp&amp;yx0-2.e16.&amp;x=pv&amp;2b5g=qr/ysNCLM" TargetMode="External"/><Relationship Id="rId1639" Type="http://schemas.openxmlformats.org/officeDocument/2006/relationships/hyperlink" Target="https://www.facebook.com/reel/1303979117863829/" TargetMode="External"/><Relationship Id="rId928" Type="http://schemas.openxmlformats.org/officeDocument/2006/relationships/hyperlink" Target="https://www.facebook.com/reel/1464940425134717" TargetMode="External"/><Relationship Id="rId927" Type="http://schemas.openxmlformats.org/officeDocument/2006/relationships/hyperlink" Target="https://e5c9a.mailupclient.com/f/rnl.aspx/?jhe=vwt_y1w_/&amp;x=pv&amp;bdi=tzfd&amp;=st1tr/7f1-a=&amp;x=pv&amp;n1&amp;j&amp;kc949&amp;25&amp;x=pp&amp;uy.-5-&amp;x=pv&amp;83dbzb4h=rq2wrvNCLM" TargetMode="External"/><Relationship Id="rId926" Type="http://schemas.openxmlformats.org/officeDocument/2006/relationships/hyperlink" Target="https://www.facebook.com/reel/1971602930230218" TargetMode="External"/><Relationship Id="rId921" Type="http://schemas.openxmlformats.org/officeDocument/2006/relationships/hyperlink" Target="https://e5c9a.mailupclient.com/f/rnl.aspx/?jhe=vwt_y1w_/&amp;x=pv&amp;bdi=tzfd&amp;=st1t_/7f1-a=&amp;x=pv&amp;n1&amp;j&amp;kc949&amp;25&amp;x=pp&amp;uy.-5-&amp;x=pv&amp;83dbzb4h=rq2wr_NCLM" TargetMode="External"/><Relationship Id="rId920" Type="http://schemas.openxmlformats.org/officeDocument/2006/relationships/hyperlink" Target="https://www.facebook.com/reel/26100083526350437" TargetMode="External"/><Relationship Id="rId925" Type="http://schemas.openxmlformats.org/officeDocument/2006/relationships/hyperlink" Target="https://e5c9a.mailupclient.com/f/rnl.aspx/?jhe=vwt_y1w_/&amp;x=pv&amp;bdi=tzfd&amp;=st1tt/7f1-a=&amp;x=pv&amp;n1&amp;j&amp;kc949&amp;25&amp;x=pp&amp;uy.-5-&amp;x=pv&amp;83dbzb4h=rq2wrwNCLM" TargetMode="External"/><Relationship Id="rId924" Type="http://schemas.openxmlformats.org/officeDocument/2006/relationships/hyperlink" Target="https://www.facebook.com/reel/1971602930230218" TargetMode="External"/><Relationship Id="rId923" Type="http://schemas.openxmlformats.org/officeDocument/2006/relationships/hyperlink" Target="https://e5c9a.mailupclient.com/f/rnl.aspx/?jhe=vwt_y1w_/&amp;x=pv&amp;bdi=tzfd&amp;=st1ts/7f1-a=&amp;x=pv&amp;n1&amp;j&amp;kc949&amp;25&amp;x=pp&amp;uy.-5-&amp;x=pv&amp;83dbzb4h=rq2wrtNCLM" TargetMode="External"/><Relationship Id="rId922" Type="http://schemas.openxmlformats.org/officeDocument/2006/relationships/hyperlink" Target="https://www.facebook.com/reel/1971602930230218" TargetMode="External"/><Relationship Id="rId1630" Type="http://schemas.openxmlformats.org/officeDocument/2006/relationships/hyperlink" Target="https://e5c9a.mailupclient.com/f/rnl.aspx/?jhe=1r_yq2o/a&amp;le=t/.l7=swp3u/9.99a=59ndi-a&amp;9g-7e:-49&amp;25&amp;x=pp&amp;uy.-5-&amp;x=pv&amp;83dbzb4h=rr3nttNCLM" TargetMode="External"/><Relationship Id="rId1620" Type="http://schemas.openxmlformats.org/officeDocument/2006/relationships/hyperlink" Target="https://a2g9b4.emailsp.com/f/rnl.aspx/?fei=1vvoo_2y.9ek=vyad8=t3qqty&amp;f2::=k702m1k6.451&amp;x=pp&amp;r1.&amp;x=pv&amp;49-6&amp;aax00l=rutvzNCLM" TargetMode="External"/><Relationship Id="rId1621" Type="http://schemas.openxmlformats.org/officeDocument/2006/relationships/hyperlink" Target="https://fb.me/adspreview/facebook/1TRzHvWq8RXQ8WU" TargetMode="External"/><Relationship Id="rId1622" Type="http://schemas.openxmlformats.org/officeDocument/2006/relationships/hyperlink" Target="https://a2g9b4.emailsp.com/f/rnl.aspx/?fei=1vvoo_2y.9ek=vyad8=t3qqvy&amp;f2::=k702m1k6.451&amp;x=pp&amp;r1.&amp;x=pv&amp;49-6&amp;aax00l=ruupzNCLM" TargetMode="External"/><Relationship Id="rId1623" Type="http://schemas.openxmlformats.org/officeDocument/2006/relationships/hyperlink" Target="https://www.facebook.com/GCBA/posts/pfbid02KByZYYTKe4Kj2HbuZR8a5mv7ptRq1E2aWhAC6TFrkcBbVwgWAfwyCP2uWbLnUjXol" TargetMode="External"/><Relationship Id="rId1624" Type="http://schemas.openxmlformats.org/officeDocument/2006/relationships/hyperlink" Target="https://e5c9a.mailupclient.com/f/rnl.aspx/?jhe=1r_yq2o/a&amp;le=t/.l7=swpvo/9.99a=59ndi-a&amp;9g-7e:-49&amp;25&amp;x=pp&amp;uy.-5-&amp;x=pv&amp;83dbzb4h=rr3nvwNCLM" TargetMode="External"/><Relationship Id="rId1625" Type="http://schemas.openxmlformats.org/officeDocument/2006/relationships/hyperlink" Target="https://www.facebook.com/reel/1590318498709651/" TargetMode="External"/><Relationship Id="rId1626" Type="http://schemas.openxmlformats.org/officeDocument/2006/relationships/hyperlink" Target="https://e5c9a.mailupclient.com/f/rnl.aspx/?jhe=1r_yq2o/a&amp;le=t/.l7=swpvo/9.99a=59ndi-a&amp;9g-7e:-49&amp;25&amp;x=pp&amp;uy.-5-&amp;x=pv&amp;83dbzb4h=rr3nvwNCLM" TargetMode="External"/><Relationship Id="rId1627" Type="http://schemas.openxmlformats.org/officeDocument/2006/relationships/hyperlink" Target="https://www.facebook.com/reel/1590318498709651/" TargetMode="External"/><Relationship Id="rId918" Type="http://schemas.openxmlformats.org/officeDocument/2006/relationships/hyperlink" Target="https://www.facebook.com/reel/26100083526350437" TargetMode="External"/><Relationship Id="rId1628" Type="http://schemas.openxmlformats.org/officeDocument/2006/relationships/hyperlink" Target="https://e5c9a.mailupclient.com/f/rnl.aspx/?jhe=1r_yq2o/a&amp;le=t/.l7=swy/u/9.99a=59ndi-a&amp;9g-7e:-49&amp;25&amp;x=pp&amp;uy.-5-&amp;x=pv&amp;83dbzb4h=rq2vxzNCLM" TargetMode="External"/><Relationship Id="rId917" Type="http://schemas.openxmlformats.org/officeDocument/2006/relationships/hyperlink" Target="https://e5c9a.mailupclient.com/f/rnl.aspx/?jhe=vwvwwvrv/&amp;x=pv&amp;bdi=tzfd&amp;=st1rz/7f1-a=8e.dgcn&amp;&amp;x=pp&amp;u_9f1-a2&amp;.b/&amp;:d=rsw2ttNCLM" TargetMode="External"/><Relationship Id="rId1629" Type="http://schemas.openxmlformats.org/officeDocument/2006/relationships/hyperlink" Target="https://www.facebook.com/GCBA/posts/pfbid06U9dsRcCSya23RratQKfB5rFy7uQyMQzgwoEaiHX8xrz2KH75AChLPST7uKpyQmVl" TargetMode="External"/><Relationship Id="rId916" Type="http://schemas.openxmlformats.org/officeDocument/2006/relationships/hyperlink" Target="https://www.facebook.com/reel/1282014836715009" TargetMode="External"/><Relationship Id="rId915" Type="http://schemas.openxmlformats.org/officeDocument/2006/relationships/hyperlink" Target="https://a2g9b4.emailsp.com/f/rnl.aspx/?fei=2orws1vy.9ek=vyad8=t3osqy&amp;f2::=7chafagb&amp;x=pp&amp;yx0-2.e16.&amp;x=pv&amp;2b5g=qr_1sNCLM" TargetMode="External"/><Relationship Id="rId919" Type="http://schemas.openxmlformats.org/officeDocument/2006/relationships/hyperlink" Target="https://e5c9a.mailupclient.com/f/rnl.aspx/?jhe=vwt_y1w_/&amp;x=pv&amp;bdi=tzfd&amp;=st1qy/7f1-a=&amp;x=pv&amp;n1&amp;j&amp;kc949&amp;25&amp;x=pp&amp;uy.-5-&amp;x=pv&amp;83dbzb4h=rq1vrrNCLM" TargetMode="External"/><Relationship Id="rId910" Type="http://schemas.openxmlformats.org/officeDocument/2006/relationships/hyperlink" Target="https://www.facebook.com/reel/1494046322141701" TargetMode="External"/><Relationship Id="rId914" Type="http://schemas.openxmlformats.org/officeDocument/2006/relationships/hyperlink" Target="https://www.facebook.com/reel/1282014836715009" TargetMode="External"/><Relationship Id="rId913" Type="http://schemas.openxmlformats.org/officeDocument/2006/relationships/hyperlink" Target="https://e5c9a.mailupclient.com/f/rnl.aspx/?jhe=vwvwwvrv/&amp;x=pv&amp;bdi=tzfd&amp;=st/vu/7f1-a=8e.dgcn&amp;&amp;x=pp&amp;u_9f1-a2&amp;.b/&amp;:d=rsx3oxNCLM" TargetMode="External"/><Relationship Id="rId912" Type="http://schemas.openxmlformats.org/officeDocument/2006/relationships/hyperlink" Target="https://www.facebook.com/reel/1494046322141701" TargetMode="External"/><Relationship Id="rId911" Type="http://schemas.openxmlformats.org/officeDocument/2006/relationships/hyperlink" Target="https://e5c9a.mailupclient.com/f/rnl.aspx/?jhe=vwurvxsx/&amp;x=pv&amp;bdi=tzfd&amp;=st1uw/7f1-a=5k9hibg&amp;x=pv&amp;9a&amp;-c4&amp;501&amp;x=pp&amp;u_9f1-a2&amp;.b/&amp;:d=rsx3trNCLM" TargetMode="External"/><Relationship Id="rId1213" Type="http://schemas.openxmlformats.org/officeDocument/2006/relationships/hyperlink" Target="https://www.facebook.com/reel/2478921712565121/" TargetMode="External"/><Relationship Id="rId1697" Type="http://schemas.openxmlformats.org/officeDocument/2006/relationships/hyperlink" Target="https://e5c9a.mailupclient.com/f/rnl.aspx/?jhe=vwt_y1w_/&amp;x=pv&amp;bdi=tzfd&amp;=su3tv/7f1-a=&amp;x=pv&amp;n1&amp;j&amp;kc949&amp;25&amp;x=pp&amp;uy.-5-&amp;x=pv&amp;83dbzb4h=rr3ovrNCLM" TargetMode="External"/><Relationship Id="rId2544" Type="http://schemas.openxmlformats.org/officeDocument/2006/relationships/hyperlink" Target="https://e5c9a.mailupclient.com/f/rnl.aspx/?jhe=vwszuxsy/&amp;x=pv&amp;bdi=tzfd&amp;=suyr_/7f1-a=l925n3r/&amp;749&amp;x=pp&amp;q_&amp;.99a45h-/-6l=ntrwyrNCLM" TargetMode="External"/><Relationship Id="rId1214" Type="http://schemas.openxmlformats.org/officeDocument/2006/relationships/hyperlink" Target="https://a2g9b4.emailsp.com/f/rnl.aspx/?fei=1wqvoxxy.9ek=vyad8=t3prpy&amp;f2::=4ibeh..e--:5d6.451&amp;x=pp&amp;r1.&amp;x=pv&amp;49-6&amp;aax00l=ruov1NCLM" TargetMode="External"/><Relationship Id="rId1698" Type="http://schemas.openxmlformats.org/officeDocument/2006/relationships/hyperlink" Target="https://fb.me/adspreview/facebook/2qtNxRexPCxzyL9" TargetMode="External"/><Relationship Id="rId2545" Type="http://schemas.openxmlformats.org/officeDocument/2006/relationships/hyperlink" Target="https://e5c9a.mailupclient.com/f/rnl.aspx/?jhe=vwszuxsy/&amp;x=pv&amp;bdi=tzfd&amp;=suyrx/7f1-a=l925n3r/&amp;749&amp;x=pp&amp;q_&amp;.99a45h-/-6l=ntrw_rNCLM" TargetMode="External"/><Relationship Id="rId1215" Type="http://schemas.openxmlformats.org/officeDocument/2006/relationships/hyperlink" Target="https://www.instagram.com/p/DXXhwT3DPUf/" TargetMode="External"/><Relationship Id="rId1699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2546" Type="http://schemas.openxmlformats.org/officeDocument/2006/relationships/hyperlink" Target="https://e5c9a.mailupclient.com/f/rnl.aspx/?jhe=1r_yq2o/a&amp;le=t/.l7=sws2u/9.99a=59ndi-a&amp;9g-7e:-49&amp;25&amp;x=pp&amp;uy.-5-&amp;x=pv&amp;83dbzb4h=rrwwttNCLM" TargetMode="External"/><Relationship Id="rId1216" Type="http://schemas.openxmlformats.org/officeDocument/2006/relationships/hyperlink" Target="https://a2g9b4.emailsp.com/f/rnl.aspx/?fei=2orws1vy.9ek=vyad8=t3pqry&amp;f2::=7chafagb&amp;x=pp&amp;yx0-2.e16.&amp;x=pv&amp;2b5g=qsv3sNCLM" TargetMode="External"/><Relationship Id="rId2547" Type="http://schemas.openxmlformats.org/officeDocument/2006/relationships/hyperlink" Target="https://e5c9a.mailupclient.com/f/rnl.aspx/?jhe=1r_yq2o/a&amp;le=t/.l7=sws_w/9.99a=59ndi-a&amp;9g-7e:-49&amp;25&amp;x=pp&amp;uy.-5-&amp;x=pv&amp;83dbzb4h=rrvuyrNCLM" TargetMode="External"/><Relationship Id="rId1217" Type="http://schemas.openxmlformats.org/officeDocument/2006/relationships/hyperlink" Target="https://fb.me/adspreview/facebook/2F5N1HlfWgdYQBf" TargetMode="External"/><Relationship Id="rId2548" Type="http://schemas.openxmlformats.org/officeDocument/2006/relationships/hyperlink" Target="https://e5c9a.mailupclient.com/f/rnl.aspx/?jhe=1r_yq2o/a&amp;le=t/.l7=swszv/9.99a=59ndi-a&amp;9g-7e:-49&amp;25&amp;x=pp&amp;uy.-5-&amp;x=pv&amp;83dbzb4h=rrvuy_NCLM" TargetMode="External"/><Relationship Id="rId1218" Type="http://schemas.openxmlformats.org/officeDocument/2006/relationships/hyperlink" Target="https://a2g9b4.emailsp.com/f/rnl.aspx/?fei=1vvoo1vy.9ek=vyad8=t3pzpy&amp;f2::=-l98i9di-10337&amp;x=pp&amp;yx0-2.e16.&amp;x=pv&amp;2b5g=qsu1vNCLM" TargetMode="External"/><Relationship Id="rId2549" Type="http://schemas.openxmlformats.org/officeDocument/2006/relationships/hyperlink" Target="https://a2g9b4.emailsp.com/f/rnl.aspx/?fei=1wqvoxxy.9ek=vyad8=t3tqoy&amp;f2::=4ibeh..e--:5d6.451&amp;x=pp&amp;r1.&amp;x=pv&amp;49-6&amp;aax00l=rwnwuNCLM" TargetMode="External"/><Relationship Id="rId1219" Type="http://schemas.openxmlformats.org/officeDocument/2006/relationships/hyperlink" Target="https://www.facebook.com/baparticipacion/posts/pfbid0hwDpoNs6YYRf2X8atuVpFA7YNkjojnRYuAHyU2s44oECEmY4MhgAsFCauC7bfWevl" TargetMode="External"/><Relationship Id="rId866" Type="http://schemas.openxmlformats.org/officeDocument/2006/relationships/hyperlink" Target="https://www.facebook.com/baparticipacion/posts/pfbid0qEJVDkM6tZVZ58Uu6pBmkE3n7D6gMe3zzAcvFfipACKprK91q7VNQGgdpEywzXsul" TargetMode="External"/><Relationship Id="rId865" Type="http://schemas.openxmlformats.org/officeDocument/2006/relationships/hyperlink" Target="https://e5c9a.mailupclient.com/f/rnl.aspx/?jhe=vwt_y1w_/&amp;x=pv&amp;bdi=tzfd&amp;=st1ru/7f1-a=&amp;x=pv&amp;n1&amp;j&amp;kc949&amp;25&amp;x=pp&amp;uy.-5-&amp;x=pv&amp;83dbzb4h=rq1vs_NCLM" TargetMode="External"/><Relationship Id="rId864" Type="http://schemas.openxmlformats.org/officeDocument/2006/relationships/hyperlink" Target="https://www.facebook.com/baparticipacion/posts/pfbid02RUBMaJ62CajB3ZiaerUP7LxWT4fQZwdFBu1CD5j9gNTftoQtd27fNxQPcswxDdd2l" TargetMode="External"/><Relationship Id="rId863" Type="http://schemas.openxmlformats.org/officeDocument/2006/relationships/hyperlink" Target="https://e5c9a.mailupclient.com/f/rnl.aspx/?jhe=vwt_y1w_/&amp;x=pv&amp;bdi=tzfd&amp;=st1qw/7f1-a=&amp;x=pv&amp;n1&amp;j&amp;kc949&amp;25&amp;x=pp&amp;uy.-5-&amp;x=pv&amp;83dbzb4h=rq1vt_NCLM" TargetMode="External"/><Relationship Id="rId869" Type="http://schemas.openxmlformats.org/officeDocument/2006/relationships/hyperlink" Target="https://a2g9b4.emailsp.com/f/rnl.aspx/?fei=1vvoo_2y.9ek=vyad8=t3oswy&amp;f2::=k702m1k6.451&amp;x=pp&amp;r1.&amp;x=pv&amp;49-6&amp;aax00l=rtuquNCLM" TargetMode="External"/><Relationship Id="rId868" Type="http://schemas.openxmlformats.org/officeDocument/2006/relationships/hyperlink" Target="https://www.facebook.com/baparticipacion/posts/pfbid02D4p3c61TC3iLaUufcUgkSy9YMaWZLpCQywL3zSV1MRMjfcFgJzcgDzqwp3kQ2a2Vl" TargetMode="External"/><Relationship Id="rId867" Type="http://schemas.openxmlformats.org/officeDocument/2006/relationships/hyperlink" Target="https://e5c9a.mailupclient.com/f/rnl.aspx/?jhe=vwt_y1w_/&amp;x=pv&amp;bdi=tzfd&amp;=st1rv/7f1-a=&amp;x=pv&amp;n1&amp;j&amp;kc949&amp;25&amp;x=pp&amp;uy.-5-&amp;x=pv&amp;83dbzb4h=rq1vtrNCLM" TargetMode="External"/><Relationship Id="rId1690" Type="http://schemas.openxmlformats.org/officeDocument/2006/relationships/hyperlink" Target="https://www.facebook.com/GCBA/posts/pfbid02bokjMrMJfAUJTRekqX3qNa2ukQi4b9YXRgJC1kDcm4tsXho31hj5hpJhHG6XHVvpl" TargetMode="External"/><Relationship Id="rId1691" Type="http://schemas.openxmlformats.org/officeDocument/2006/relationships/hyperlink" Target="https://a2g9b4.emailsp.com/f/rnl.aspx/?fei=2orws1vy.9ek=vyad8=t3qsry&amp;f2::=7chafagb&amp;x=pp&amp;yx0-2.e16.&amp;x=pv&amp;2b5g=qs_xwNCLM" TargetMode="External"/><Relationship Id="rId1692" Type="http://schemas.openxmlformats.org/officeDocument/2006/relationships/hyperlink" Target="https://fb.me/adspreview/facebook/1V9apKFmivykDG0" TargetMode="External"/><Relationship Id="rId862" Type="http://schemas.openxmlformats.org/officeDocument/2006/relationships/hyperlink" Target="https://www.facebook.com/reel/940734668709415" TargetMode="External"/><Relationship Id="rId1693" Type="http://schemas.openxmlformats.org/officeDocument/2006/relationships/hyperlink" Target="https://a2g9b4.emailsp.com/f/rnl.aspx/?fei=2orws1vy.9ek=vyad8=t3qrty&amp;f2::=7chafagb&amp;x=pp&amp;yx0-2.e16.&amp;x=pv&amp;2b5g=qs_1xNCLM" TargetMode="External"/><Relationship Id="rId2540" Type="http://schemas.openxmlformats.org/officeDocument/2006/relationships/hyperlink" Target="https://a2g9b4.emailsp.com/f/rnl.aspx/?fei=1vvoo_2y.9ek=vyad8=t3tzuy&amp;f2::=k702m1k6.451&amp;x=pp&amp;r1.&amp;x=pv&amp;49-6&amp;aax00l=rwntvNCLM" TargetMode="External"/><Relationship Id="rId861" Type="http://schemas.openxmlformats.org/officeDocument/2006/relationships/hyperlink" Target="https://a2g9b4.emailsp.com/f/rnl.aspx/?fei=1vvoo1vy.9ek=vyad8=t3osry&amp;f2::=-l98i9di-10337&amp;x=pp&amp;yx0-2.e16.&amp;x=pv&amp;2b5g=qr_/pNCLM" TargetMode="External"/><Relationship Id="rId1210" Type="http://schemas.openxmlformats.org/officeDocument/2006/relationships/hyperlink" Target="https://a2g9b4.emailsp.com/f/rnl.aspx/?fei=1wqvoxxy.9ek=vyad8=t3prny&amp;f2::=4ibeh..e--:5d6.451&amp;x=pp&amp;r1.&amp;x=pv&amp;49-6&amp;aax00l=ruot_NCLM" TargetMode="External"/><Relationship Id="rId1694" Type="http://schemas.openxmlformats.org/officeDocument/2006/relationships/hyperlink" Target="https://www.facebook.com/GCBA/posts/pfbid02X3EqtHQ4G8RWZddMqFzHzAmnB1b1B9BKCa6WaMikSbSdaXKfn3VD8dWT4NG2cMAfl" TargetMode="External"/><Relationship Id="rId2541" Type="http://schemas.openxmlformats.org/officeDocument/2006/relationships/hyperlink" Target="https://a2g9b4.emailsp.com/f/rnl.aspx/?fei=1vvoo_2y.9ek=vyad8=t3tzuy&amp;f2::=k702m1k6.451&amp;x=pp&amp;r1.&amp;x=pv&amp;49-6&amp;aax00l=rwntvNCLM" TargetMode="External"/><Relationship Id="rId860" Type="http://schemas.openxmlformats.org/officeDocument/2006/relationships/hyperlink" Target="https://www.facebook.com/reel/940734668709415" TargetMode="External"/><Relationship Id="rId1211" Type="http://schemas.openxmlformats.org/officeDocument/2006/relationships/hyperlink" Target="https://www.facebook.com/GCBA/posts/pfbid03potqP2eLt1quBeScj472G3XvQX7GKsrikv4qrT6WmgaAwGAKgpnViaxrhGzELgNl" TargetMode="External"/><Relationship Id="rId1695" Type="http://schemas.openxmlformats.org/officeDocument/2006/relationships/hyperlink" Target="https://e5c9a.mailupclient.com/f/rnl.aspx/?jhe=vwt_y1w_/&amp;x=pv&amp;bdi=tzfd&amp;=suvox/7f1-a=&amp;x=pv&amp;n1&amp;j&amp;kc949&amp;25&amp;x=pp&amp;uy.-5-&amp;x=pv&amp;83dbzb4h=rr3osxNCLM" TargetMode="External"/><Relationship Id="rId2542" Type="http://schemas.openxmlformats.org/officeDocument/2006/relationships/hyperlink" Target="https://a2g9b4.emailsp.com/f/rnl.aspx/?fei=1vvoo_2y.9ek=vyad8=t3tzoy&amp;f2::=k702m1k6.451&amp;x=pp&amp;r1.&amp;x=pv&amp;49-6&amp;aax00l=rwnt1NCLM" TargetMode="External"/><Relationship Id="rId1212" Type="http://schemas.openxmlformats.org/officeDocument/2006/relationships/hyperlink" Target="https://a2g9b4.emailsp.com/f/rnl.aspx/?fei=1wqvoxxy.9ek=vyad8=t3prny&amp;f2::=4ibeh..e--:5d6.451&amp;x=pp&amp;r1.&amp;x=pv&amp;49-6&amp;aax00l=ruot_NCLM" TargetMode="External"/><Relationship Id="rId1696" Type="http://schemas.openxmlformats.org/officeDocument/2006/relationships/hyperlink" Target="https://fb.me/adspreview/facebook/1SpONunatJUaAO1" TargetMode="External"/><Relationship Id="rId2543" Type="http://schemas.openxmlformats.org/officeDocument/2006/relationships/hyperlink" Target="https://a2g9b4.emailsp.com/f/rnl.aspx/?fei=1vvoo_2y.9ek=vyad8=t3tzsy&amp;f2::=k702m1k6.451&amp;x=pp&amp;r1.&amp;x=pv&amp;49-6&amp;aax00l=rwnsyNCLM" TargetMode="External"/><Relationship Id="rId1202" Type="http://schemas.openxmlformats.org/officeDocument/2006/relationships/hyperlink" Target="https://e5c9a.mailupclient.com/f/rnl.aspx/?jhe=vwt_y1w_/&amp;x=pv&amp;bdi=tzfd&amp;=st2py/7f1-a=&amp;x=pv&amp;n1&amp;j&amp;kc949&amp;25&amp;x=pp&amp;uy.-5-&amp;x=pv&amp;83dbzb4h=rq2pyyNCLM" TargetMode="External"/><Relationship Id="rId1686" Type="http://schemas.openxmlformats.org/officeDocument/2006/relationships/hyperlink" Target="https://fb.me/adspreview/facebook/29v3ZVzI16CjokC" TargetMode="External"/><Relationship Id="rId2533" Type="http://schemas.openxmlformats.org/officeDocument/2006/relationships/hyperlink" Target="https://e5c9a.mailupclient.com/f/rnl.aspx/?jhe=vwurvxsx/&amp;x=pv&amp;bdi=tzfd&amp;=suyqx/7f1-a=5k9hibg&amp;x=pv&amp;9a&amp;-c4&amp;501&amp;x=pp&amp;u_9f1-a2&amp;.b/&amp;:d=rtp1ovNCLM" TargetMode="External"/><Relationship Id="rId1203" Type="http://schemas.openxmlformats.org/officeDocument/2006/relationships/hyperlink" Target="https://www.facebook.com/GCBA/posts/pfbid0vT9BjkE9FtvnueXVa8bYmHyqadrpFHMZciLcgCAjaEUKTjCNojm5Do5ioaeMxA3Hl" TargetMode="External"/><Relationship Id="rId1687" Type="http://schemas.openxmlformats.org/officeDocument/2006/relationships/hyperlink" Target="https://a2g9b4.emailsp.com/f/rnl.aspx/?fei=1wqvoxxy.9ek=vyad8=t3qsny&amp;f2::=4ibeh..e--:5d6.451&amp;x=pp&amp;r1.&amp;x=pv&amp;49-6&amp;aax00l=ruuozNCLM" TargetMode="External"/><Relationship Id="rId2534" Type="http://schemas.openxmlformats.org/officeDocument/2006/relationships/hyperlink" Target="https://e5c9a.mailupclient.com/f/rnl.aspx/?jhe=vwurvxsx/&amp;x=pv&amp;bdi=tzfd&amp;=suyqv/7f1-a=5k9hibg&amp;x=pv&amp;9a&amp;-c4&amp;501&amp;x=pp&amp;u_9f1-a2&amp;.b/&amp;:d=rtp1orNCLM" TargetMode="External"/><Relationship Id="rId1204" Type="http://schemas.openxmlformats.org/officeDocument/2006/relationships/hyperlink" Target="https://e5c9a.mailupclient.com/f/rnl.aspx/?jhe=vwt_y1w_/&amp;x=pv&amp;bdi=tzfd&amp;=st2rr/7f1-a=&amp;x=pv&amp;n1&amp;j&amp;kc949&amp;25&amp;x=pp&amp;uy.-5-&amp;x=pv&amp;83dbzb4h=rq2pztNCLM" TargetMode="External"/><Relationship Id="rId1688" Type="http://schemas.openxmlformats.org/officeDocument/2006/relationships/hyperlink" Target="https://www.facebook.com/GCBA/posts/pfbid02bokjMrMJfAUJTRekqX3qNa2ukQi4b9YXRgJC1kDcm4tsXho31hj5hpJhHG6XHVvpl" TargetMode="External"/><Relationship Id="rId2535" Type="http://schemas.openxmlformats.org/officeDocument/2006/relationships/hyperlink" Target="https://a2g9b4.emailsp.com/f/rnl.aspx/?fei=2orws1vy.9ek=vyad8=t3syuy&amp;f2::=7chafagb&amp;x=pp&amp;yx0-2.e16.&amp;x=pv&amp;2b5g=qut/vNCLM" TargetMode="External"/><Relationship Id="rId1205" Type="http://schemas.openxmlformats.org/officeDocument/2006/relationships/hyperlink" Target="https://www.facebook.com/reel/2170033937131074" TargetMode="External"/><Relationship Id="rId1689" Type="http://schemas.openxmlformats.org/officeDocument/2006/relationships/hyperlink" Target="https://a2g9b4.emailsp.com/f/rnl.aspx/?fei=1wqvoxxy.9ek=vyad8=t3qssy&amp;f2::=4ibeh..e--:5d6.451&amp;x=pp&amp;r1.&amp;x=pv&amp;49-6&amp;aax00l=ruutuNCLM" TargetMode="External"/><Relationship Id="rId2536" Type="http://schemas.openxmlformats.org/officeDocument/2006/relationships/hyperlink" Target="https://e5c9a.mailupclient.com/f/rnl.aspx/?jhe=vwvwwvrv/&amp;x=pv&amp;bdi=tzfd&amp;=suyqy/7f1-a=8e.dgcn&amp;&amp;x=pp&amp;u_9f1-a2&amp;.b/&amp;:d=rtp1qzNCLM" TargetMode="External"/><Relationship Id="rId1206" Type="http://schemas.openxmlformats.org/officeDocument/2006/relationships/hyperlink" Target="https://a2g9b4.emailsp.com/f/rnl.aspx/?fei=1vvoo_2y.9ek=vyad8=t3pqny&amp;f2::=k702m1k6.451&amp;x=pp&amp;r1.&amp;x=pv&amp;49-6&amp;aax00l=ruoozNCLM" TargetMode="External"/><Relationship Id="rId2537" Type="http://schemas.openxmlformats.org/officeDocument/2006/relationships/hyperlink" Target="https://a2g9b4.emailsp.com/f/rnl.aspx/?fei=1vvoo1vy.9ek=vyad8=t3syry&amp;f2::=-l98i9di-10337&amp;x=pp&amp;yx0-2.e16.&amp;x=pv&amp;2b5g=qutvwNCLM" TargetMode="External"/><Relationship Id="rId1207" Type="http://schemas.openxmlformats.org/officeDocument/2006/relationships/hyperlink" Target="https://www.facebook.com/reel/2170033937131074" TargetMode="External"/><Relationship Id="rId2538" Type="http://schemas.openxmlformats.org/officeDocument/2006/relationships/hyperlink" Target="https://e5c9a.mailupclient.com/f/rnl.aspx/?jhe=vwt_y1w_/&amp;x=pv&amp;bdi=tzfd&amp;=suyqw/7f1-a=&amp;x=pv&amp;n1&amp;j&amp;kc949&amp;25&amp;x=pp&amp;uy.-5-&amp;x=pv&amp;83dbzb4h=rrvuuuNCLM" TargetMode="External"/><Relationship Id="rId1208" Type="http://schemas.openxmlformats.org/officeDocument/2006/relationships/hyperlink" Target="https://a2g9b4.emailsp.com/f/rnl.aspx/?fei=2orws1vy.9ek=vyad8=t3pruy&amp;f2::=7chafagb&amp;x=pp&amp;yx0-2.e16.&amp;x=pv&amp;2b5g=qsv3qNCLM" TargetMode="External"/><Relationship Id="rId2539" Type="http://schemas.openxmlformats.org/officeDocument/2006/relationships/hyperlink" Target="https://e5c9a.mailupclient.com/f/rnl.aspx/?jhe=vwt_y1w_/&amp;x=pv&amp;bdi=tzfd&amp;=suyqz/7f1-a=&amp;x=pv&amp;n1&amp;j&amp;kc949&amp;25&amp;x=pp&amp;uy.-5-&amp;x=pv&amp;83dbzb4h=rrvuuwNCLM" TargetMode="External"/><Relationship Id="rId1209" Type="http://schemas.openxmlformats.org/officeDocument/2006/relationships/hyperlink" Target="https://www.facebook.com/GCBA/posts/pfbid03potqP2eLt1quBeScj472G3XvQX7GKsrikv4qrT6WmgaAwGAKgpnViaxrhGzELgNl" TargetMode="External"/><Relationship Id="rId855" Type="http://schemas.openxmlformats.org/officeDocument/2006/relationships/hyperlink" Target="https://a2g9b4.emailsp.com/f/rnl.aspx/?fei=1wqvoxxy.9ek=vyad8=t3orny&amp;f2::=4ibeh..e--:5d6.451&amp;x=pp&amp;r1.&amp;x=pv&amp;49-6&amp;aax00l=rttu/NCLM" TargetMode="External"/><Relationship Id="rId854" Type="http://schemas.openxmlformats.org/officeDocument/2006/relationships/hyperlink" Target="https://a2g9b4.emailsp.com/f/rnl.aspx/?fei=1wqvoxxy.9ek=vyad8=t3osty&amp;f2::=4ibeh..e--:5d6.451&amp;x=pp&amp;r1.&amp;x=pv&amp;49-6&amp;aax00l=rtusyNCLM" TargetMode="External"/><Relationship Id="rId853" Type="http://schemas.openxmlformats.org/officeDocument/2006/relationships/hyperlink" Target="https://e5c9a.mailupclient.com/f/rnl.aspx/?jhe=vwurvxsx/&amp;x=pv&amp;bdi=tzfd&amp;=st1oz/7f1-a=5k9hibg&amp;x=pv&amp;9a&amp;-c4&amp;501&amp;x=pp&amp;u_9f1-a2&amp;.b/&amp;:d=rsw1rwNCLM" TargetMode="External"/><Relationship Id="rId852" Type="http://schemas.openxmlformats.org/officeDocument/2006/relationships/hyperlink" Target="https://e5c9a.mailupclient.com/f/rnl.aspx/?jhe=vwszuxsy/&amp;x=pv&amp;bdi=tzfd&amp;=st1py/7f1-a=l925n3r/&amp;749&amp;x=pp&amp;q_&amp;.99a45h-/-6l=nsywxpNCLM" TargetMode="External"/><Relationship Id="rId859" Type="http://schemas.openxmlformats.org/officeDocument/2006/relationships/hyperlink" Target="https://e5c9a.mailupclient.com/f/rnl.aspx/?jhe=vwvwwvrv/&amp;x=pv&amp;bdi=tzfd&amp;=st1sr/7f1-a=8e.dgcn&amp;&amp;x=pp&amp;u_9f1-a2&amp;.b/&amp;:d=rsw2qzNCLM" TargetMode="External"/><Relationship Id="rId858" Type="http://schemas.openxmlformats.org/officeDocument/2006/relationships/hyperlink" Target="https://fb.me/adspreview/facebook/2gC1YOO7LmB8gHB" TargetMode="External"/><Relationship Id="rId857" Type="http://schemas.openxmlformats.org/officeDocument/2006/relationships/hyperlink" Target="https://a2g9b4.emailsp.com/f/rnl.aspx/?fei=2orws1vy.9ek=vyad8=t3orty&amp;f2::=7chafagb&amp;x=pp&amp;yx0-2.e16.&amp;x=pv&amp;2b5g=qr_/qNCLM" TargetMode="External"/><Relationship Id="rId856" Type="http://schemas.openxmlformats.org/officeDocument/2006/relationships/hyperlink" Target="https://fb.me/adspreview/facebook/y6VFORCDbB9aJOH" TargetMode="External"/><Relationship Id="rId1680" Type="http://schemas.openxmlformats.org/officeDocument/2006/relationships/hyperlink" Target="https://www.facebook.com/GCBA/posts/pfbid02DmfhXZQeGdiFZghLh2xYa5U1QmnZgFPXEATCtHJHx8um2UbcbTKcfETEe8SwWwNel" TargetMode="External"/><Relationship Id="rId1681" Type="http://schemas.openxmlformats.org/officeDocument/2006/relationships/hyperlink" Target="https://a2g9b4.emailsp.com/f/rnl.aspx/?fei=1uwuq_vy.9ek=vyad8=t3qtny&amp;f2::=2-neh9.9bd:5-cb10337&amp;x=pp&amp;yx0-2.e16.&amp;x=pv&amp;2b5g=qs_zuNCLM" TargetMode="External"/><Relationship Id="rId851" Type="http://schemas.openxmlformats.org/officeDocument/2006/relationships/hyperlink" Target="https://e5c9a.mailupclient.com/f/rnl.aspx/?jhe=vwt_y1w_/&amp;x=pv&amp;bdi=tzfd&amp;=st1qu/7f1-a=&amp;x=pv&amp;n1&amp;j&amp;kc949&amp;25&amp;x=pp&amp;uy.-5-&amp;x=pv&amp;83dbzb4h=rq1uyyNCLM" TargetMode="External"/><Relationship Id="rId1682" Type="http://schemas.openxmlformats.org/officeDocument/2006/relationships/hyperlink" Target="https://www.facebook.com/reel/1324354759615538" TargetMode="External"/><Relationship Id="rId850" Type="http://schemas.openxmlformats.org/officeDocument/2006/relationships/hyperlink" Target="https://e5c9a.mailupclient.com/f/rnl.aspx/?jhe=vwt_y1w_/&amp;x=pv&amp;bdi=tzfd&amp;=st1rs/7f1-a=&amp;x=pv&amp;n1&amp;j&amp;kc949&amp;25&amp;x=pp&amp;uy.-5-&amp;x=pv&amp;83dbzb4h=rq1vrvNCLM" TargetMode="External"/><Relationship Id="rId1683" Type="http://schemas.openxmlformats.org/officeDocument/2006/relationships/hyperlink" Target="https://e5c9a.mailupclient.com/f/rnl.aspx/?jhe=1r_yq2o/a&amp;le=t/.l7=swpwu/9.99a=59ndi-a&amp;9g-7e:-49&amp;25&amp;x=pp&amp;uy.-5-&amp;x=pv&amp;83dbzb4h=rr3osyNCLM" TargetMode="External"/><Relationship Id="rId2530" Type="http://schemas.openxmlformats.org/officeDocument/2006/relationships/hyperlink" Target="https://a2g9b4.emailsp.com/f/rnl.aspx/?fei=1vvoo_2y.9ek=vyad8=t3tzoy&amp;f2::=k702m1k6.451&amp;x=pp&amp;r1.&amp;x=pv&amp;49-6&amp;aax00l=rwnt1NCLM" TargetMode="External"/><Relationship Id="rId1200" Type="http://schemas.openxmlformats.org/officeDocument/2006/relationships/hyperlink" Target="https://a2g9b4.emailsp.com/f/rnl.aspx/?fei=2orws1vy.9ek=vyad8=t3pzuy&amp;f2::=7chafagb&amp;x=pp&amp;yx0-2.e16.&amp;x=pv&amp;2b5g=qsuvrNCLM" TargetMode="External"/><Relationship Id="rId1684" Type="http://schemas.openxmlformats.org/officeDocument/2006/relationships/hyperlink" Target="https://fb.me/adspreview/facebook/29v3ZVzI16CjokC" TargetMode="External"/><Relationship Id="rId2531" Type="http://schemas.openxmlformats.org/officeDocument/2006/relationships/hyperlink" Target="https://a2g9b4.emailsp.com/f/rnl.aspx/?fei=1wqvoxxy.9ek=vyad8=t3tzpy&amp;f2::=4ibeh..e--:5d6.451&amp;x=pp&amp;r1.&amp;x=pv&amp;49-6&amp;aax00l=rwnq_NCLM" TargetMode="External"/><Relationship Id="rId1201" Type="http://schemas.openxmlformats.org/officeDocument/2006/relationships/hyperlink" Target="https://www.facebook.com/GCBA/posts/pfbid0vT9BjkE9FtvnueXVa8bYmHyqadrpFHMZciLcgCAjaEUKTjCNojm5Do5ioaeMxA3Hl" TargetMode="External"/><Relationship Id="rId1685" Type="http://schemas.openxmlformats.org/officeDocument/2006/relationships/hyperlink" Target="https://a2g9b4.emailsp.com/f/rnl.aspx/?fei=1wqvoxxy.9ek=vyad8=t3qtsy&amp;f2::=4ibeh..e--:5d6.451&amp;x=pp&amp;r1.&amp;x=pv&amp;49-6&amp;aax00l=ruutzNCLM" TargetMode="External"/><Relationship Id="rId2532" Type="http://schemas.openxmlformats.org/officeDocument/2006/relationships/hyperlink" Target="https://e5c9a.mailupclient.com/f/rnl.aspx/?jhe=vwurvxsx/&amp;x=pv&amp;bdi=tzfd&amp;=suyqt/7f1-a=5k9hibg&amp;x=pv&amp;9a&amp;-c4&amp;501&amp;x=pp&amp;u_9f1-a2&amp;.b/&amp;:d=rtp1wtNCLM" TargetMode="External"/><Relationship Id="rId1235" Type="http://schemas.openxmlformats.org/officeDocument/2006/relationships/hyperlink" Target="https://www.facebook.com/reel/837422675431289" TargetMode="External"/><Relationship Id="rId2566" Type="http://schemas.openxmlformats.org/officeDocument/2006/relationships/hyperlink" Target="https://e5c9a.mailupclient.com/f/rnl.aspx/?jhe=vwvwwvrv/&amp;x=pv&amp;bdi=tzfd&amp;=suyss/7f1-a=8e.dgcn&amp;&amp;x=pp&amp;u_9f1-a2&amp;.b/&amp;:d=rtp2wwNCLM" TargetMode="External"/><Relationship Id="rId1236" Type="http://schemas.openxmlformats.org/officeDocument/2006/relationships/hyperlink" Target="https://a2g9b4.emailsp.com/f/rnl.aspx/?fei=1vvoo_2y.9ek=vyad8=t3prvy&amp;f2::=k702m1k6.451&amp;x=pp&amp;r1.&amp;x=pv&amp;49-6&amp;aax00l=rupouNCLM" TargetMode="External"/><Relationship Id="rId2567" Type="http://schemas.openxmlformats.org/officeDocument/2006/relationships/hyperlink" Target="https://e5c9a.mailupclient.com/f/rnl.aspx/?jhe=vwvwwvrv/&amp;x=pv&amp;bdi=tzfd&amp;=suytx/7f1-a=8e.dgcn&amp;&amp;x=pp&amp;u_9f1-a2&amp;.b/&amp;:d=rtp2s_NCLM" TargetMode="External"/><Relationship Id="rId1237" Type="http://schemas.openxmlformats.org/officeDocument/2006/relationships/hyperlink" Target="https://www.facebook.com/reel/837422675431289" TargetMode="External"/><Relationship Id="rId2568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1238" Type="http://schemas.openxmlformats.org/officeDocument/2006/relationships/hyperlink" Target="https://a2g9b4.emailsp.com/f/rnl.aspx/?fei=1vvoo_2y.9ek=vyad8=t3prvy&amp;f2::=k702m1k6.451&amp;x=pp&amp;r1.&amp;x=pv&amp;49-6&amp;aax00l=rupouNCLM" TargetMode="External"/><Relationship Id="rId2569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1239" Type="http://schemas.openxmlformats.org/officeDocument/2006/relationships/hyperlink" Target="https://www.facebook.com/reel/986912347208909" TargetMode="External"/><Relationship Id="rId409" Type="http://schemas.openxmlformats.org/officeDocument/2006/relationships/hyperlink" Target="https://www.facebook.com/GCBA/posts/1295953569230956" TargetMode="External"/><Relationship Id="rId404" Type="http://schemas.openxmlformats.org/officeDocument/2006/relationships/hyperlink" Target="https://a2g9b4.emailsp.com/f/rnl.aspx/?fei=2orws1vy.9ek=vyad8=/2stx6d90.=6-fhddf:&amp;x=pp&amp;w38a10c84c-y.:e=tpwyzNCLM" TargetMode="External"/><Relationship Id="rId888" Type="http://schemas.openxmlformats.org/officeDocument/2006/relationships/hyperlink" Target="https://www.facebook.com/reel/1312790364159946" TargetMode="External"/><Relationship Id="rId403" Type="http://schemas.openxmlformats.org/officeDocument/2006/relationships/hyperlink" Target="https://www.facebook.com/reel/818777800864033" TargetMode="External"/><Relationship Id="rId887" Type="http://schemas.openxmlformats.org/officeDocument/2006/relationships/hyperlink" Target="https://e5c9a.mailupclient.com/f/rnl.aspx/?jhe=vwt_y1w_/&amp;x=pv&amp;bdi=tzfd&amp;=st1qv/7f1-a=&amp;x=pv&amp;n1&amp;j&amp;kc949&amp;25&amp;x=pp&amp;uy.-5-&amp;x=pv&amp;83dbzb4h=rq1vzsNCLM" TargetMode="External"/><Relationship Id="rId402" Type="http://schemas.openxmlformats.org/officeDocument/2006/relationships/hyperlink" Target="https://a2g9b4.emailsp.com/f/rnl.aspx/?fei=2orws1vy.9ek=vyad8=/2ssx6d90.=6-fhddf:&amp;x=pp&amp;w38a10c84c-y.:e=tpwyyNCLM" TargetMode="External"/><Relationship Id="rId886" Type="http://schemas.openxmlformats.org/officeDocument/2006/relationships/hyperlink" Target="https://www.facebook.com/reel/910519168461268" TargetMode="External"/><Relationship Id="rId401" Type="http://schemas.openxmlformats.org/officeDocument/2006/relationships/hyperlink" Target="https://www.facebook.com/reel/818777800864033" TargetMode="External"/><Relationship Id="rId885" Type="http://schemas.openxmlformats.org/officeDocument/2006/relationships/hyperlink" Target="https://e5c9a.mailupclient.com/f/rnl.aspx/?jhe=vwvwwvrv/&amp;x=pv&amp;bdi=tzfd&amp;=st1st/7f1-a=8e.dgcn&amp;&amp;x=pp&amp;u_9f1-a2&amp;.b/&amp;:d=rsw2uvNCLM" TargetMode="External"/><Relationship Id="rId408" Type="http://schemas.openxmlformats.org/officeDocument/2006/relationships/hyperlink" Target="https://e5c9a.mailupclient.com/f/rnl.aspx/?jhe=1r_yq2o/a&amp;le=t/.l7=svt_o/9.99a=59ndi-a&amp;9g-7e:-49&amp;25&amp;x=pp&amp;uy.-5-&amp;x=pv&amp;83dbzb4h=rq/rrsNCLM" TargetMode="External"/><Relationship Id="rId407" Type="http://schemas.openxmlformats.org/officeDocument/2006/relationships/hyperlink" Target="https://www.facebook.com/reel/1332009022300877" TargetMode="External"/><Relationship Id="rId406" Type="http://schemas.openxmlformats.org/officeDocument/2006/relationships/hyperlink" Target="https://a2g9b4.emailsp.com/f/rnl.aspx/?fei=1wqvoxxy.9ek=vyad8=/2rsx6d90.=3d.lfc&amp;x=pv&amp;.&amp;e08c1-&amp;34&amp;x=pp&amp;qx-f2::19h&amp;x=pv&amp;_95j=yqynvNCLM" TargetMode="External"/><Relationship Id="rId405" Type="http://schemas.openxmlformats.org/officeDocument/2006/relationships/hyperlink" Target="https://www.facebook.com/reel/1332009022300877" TargetMode="External"/><Relationship Id="rId889" Type="http://schemas.openxmlformats.org/officeDocument/2006/relationships/hyperlink" Target="https://e5c9a.mailupclient.com/f/rnl.aspx/?jhe=vwt_y1w_/&amp;x=pv&amp;bdi=tzfd&amp;=st1ry/7f1-a=&amp;x=pv&amp;n1&amp;j&amp;kc949&amp;25&amp;x=pp&amp;uy.-5-&amp;x=pv&amp;83dbzb4h=rq1vxuNCLM" TargetMode="External"/><Relationship Id="rId880" Type="http://schemas.openxmlformats.org/officeDocument/2006/relationships/hyperlink" Target="https://www.facebook.com/GCBA/posts/pfbid02yTL8QYVQjhPNn2CQSSoWcymxB3Qbgpc8fHQVTk6cW7ZCwdrN1mPWUWZWLmLEfs8Fl" TargetMode="External"/><Relationship Id="rId2560" Type="http://schemas.openxmlformats.org/officeDocument/2006/relationships/hyperlink" Target="https://a2g9b4.emailsp.com/f/rnl.aspx/?fei=1uwuq_vy.9ek=vyad8=t3tuny&amp;f2::=2-neh9.9bd:5-cb10337&amp;x=pp&amp;yx0-2.e16.&amp;x=pv&amp;2b5g=quvxuNCLM" TargetMode="External"/><Relationship Id="rId1230" Type="http://schemas.openxmlformats.org/officeDocument/2006/relationships/hyperlink" Target="https://e5c9a.mailupclient.com/f/rnl.aspx/?jhe=vwurvxsx/&amp;x=pv&amp;bdi=tzfd&amp;=st2st/7f1-a=5k9hibg&amp;x=pv&amp;9a&amp;-c4&amp;501&amp;x=pp&amp;u_9f1-a2&amp;.b/&amp;:d=rsxyrsNCLM" TargetMode="External"/><Relationship Id="rId2561" Type="http://schemas.openxmlformats.org/officeDocument/2006/relationships/hyperlink" Target="https://a2g9b4.emailsp.com/f/rnl.aspx/?fei=1wqvoxxy.9ek=vyad8=t3tzqy&amp;f2::=4ibeh..e--:5d6.451&amp;x=pp&amp;r1.&amp;x=pv&amp;49-6&amp;aax00l=rwnq/NCLM" TargetMode="External"/><Relationship Id="rId400" Type="http://schemas.openxmlformats.org/officeDocument/2006/relationships/hyperlink" Target="https://a2g9b4.emailsp.com/f/rnl.aspx/?fei=1wqvoxxy.9ek=vyad8=/2svx6d90.=3d.lfc&amp;x=pv&amp;.&amp;e08c1-&amp;34&amp;x=pp&amp;qx-f2::19h&amp;x=pv&amp;_95j=yqytqNCLM" TargetMode="External"/><Relationship Id="rId884" Type="http://schemas.openxmlformats.org/officeDocument/2006/relationships/hyperlink" Target="https://www.facebook.com/reel/910519168461268" TargetMode="External"/><Relationship Id="rId1231" Type="http://schemas.openxmlformats.org/officeDocument/2006/relationships/hyperlink" Target="https://www.facebook.com/GCBA/posts/pfbid0Dny5QJbX8hitGkDGBX9fHSDtTyn9e8hwh6zqgx9pvN8fpmf7kpFKshgUjB7jDUFFl" TargetMode="External"/><Relationship Id="rId2562" Type="http://schemas.openxmlformats.org/officeDocument/2006/relationships/hyperlink" Target="https://e5c9a.mailupclient.com/f/rnl.aspx/?jhe=vwurvxsx/&amp;x=pv&amp;bdi=tzfd&amp;=suyqx/7f1-a=5k9hibg&amp;x=pv&amp;9a&amp;-c4&amp;501&amp;x=pp&amp;u_9f1-a2&amp;.b/&amp;:d=rtp1ovNCLM" TargetMode="External"/><Relationship Id="rId883" Type="http://schemas.openxmlformats.org/officeDocument/2006/relationships/hyperlink" Target="https://a2g9b4.emailsp.com/f/rnl.aspx/?fei=2orws1vy.9ek=vyad8=t3oruy&amp;f2::=7chafagb&amp;x=pp&amp;yx0-2.e16.&amp;x=pv&amp;2b5g=qr/vuNCLM" TargetMode="External"/><Relationship Id="rId1232" Type="http://schemas.openxmlformats.org/officeDocument/2006/relationships/hyperlink" Target="https://e5c9a.mailupclient.com/f/rnl.aspx/?jhe=vwurvxsx/&amp;x=pv&amp;bdi=tzfd&amp;=st2st/7f1-a=5k9hibg&amp;x=pv&amp;9a&amp;-c4&amp;501&amp;x=pp&amp;u_9f1-a2&amp;.b/&amp;:d=rsxyqtNCLM" TargetMode="External"/><Relationship Id="rId2563" Type="http://schemas.openxmlformats.org/officeDocument/2006/relationships/hyperlink" Target="https://a2g9b4.emailsp.com/f/rnl.aspx/?fei=1wqvoxxy.9ek=vyad8=t3tsoy&amp;f2::=4ibeh..e--:5d6.451&amp;x=pp&amp;r1.&amp;x=pv&amp;49-6&amp;aax00l=rwovyNCLM" TargetMode="External"/><Relationship Id="rId882" Type="http://schemas.openxmlformats.org/officeDocument/2006/relationships/hyperlink" Target="https://www.facebook.com/GCBA/posts/pfbid02yTL8QYVQjhPNn2CQSSoWcymxB3Qbgpc8fHQVTk6cW7ZCwdrN1mPWUWZWLmLEfs8Fl" TargetMode="External"/><Relationship Id="rId1233" Type="http://schemas.openxmlformats.org/officeDocument/2006/relationships/hyperlink" Target="https://www.facebook.com/GCBA/posts/pfbid02yZmqzW27WZWmV78Fctq2sNgCipDpR11wQfc5ArDrGXxh4ExLJX9nJtQtEzD3rTDGl" TargetMode="External"/><Relationship Id="rId2564" Type="http://schemas.openxmlformats.org/officeDocument/2006/relationships/hyperlink" Target="https://a2g9b4.emailsp.com/f/rnl.aspx/?fei=1wqvoxxy.9ek=vyad8=t3tsny&amp;f2::=4ibeh..e--:5d6.451&amp;x=pp&amp;r1.&amp;x=pv&amp;49-6&amp;aax00l=rwovtNCLM" TargetMode="External"/><Relationship Id="rId881" Type="http://schemas.openxmlformats.org/officeDocument/2006/relationships/hyperlink" Target="https://e5c9a.mailupclient.com/f/rnl.aspx/?jhe=vwurvxsx/&amp;x=pv&amp;bdi=tzfd&amp;=st1su/7f1-a=5k9hibg&amp;x=pv&amp;9a&amp;-c4&amp;501&amp;x=pp&amp;u_9f1-a2&amp;.b/&amp;:d=rsw2t_NCLM" TargetMode="External"/><Relationship Id="rId1234" Type="http://schemas.openxmlformats.org/officeDocument/2006/relationships/hyperlink" Target="https://e5c9a.mailupclient.com/f/rnl.aspx/?jhe=vwt_y1w_/&amp;x=pv&amp;bdi=tzfd&amp;=st2ru/7f1-a=&amp;x=pv&amp;n1&amp;j&amp;kc949&amp;25&amp;x=pp&amp;uy.-5-&amp;x=pv&amp;83dbzb4h=rq2qtyNCLM" TargetMode="External"/><Relationship Id="rId2565" Type="http://schemas.openxmlformats.org/officeDocument/2006/relationships/hyperlink" Target="https://a2g9b4.emailsp.com/f/rnl.aspx/?fei=2orws1vy.9ek=vyad8=t3syvy&amp;f2::=7chafagb&amp;x=pp&amp;yx0-2.e16.&amp;x=pv&amp;2b5g=quuwuNCLM" TargetMode="External"/><Relationship Id="rId1224" Type="http://schemas.openxmlformats.org/officeDocument/2006/relationships/hyperlink" Target="https://e5c9a.mailupclient.com/f/rnl.aspx/?jhe=vwurvxsx/&amp;x=pv&amp;bdi=tzfd&amp;=st2rz/7f1-a=5k9hibg&amp;x=pv&amp;9a&amp;-c4&amp;501&amp;x=pp&amp;u_9f1-a2&amp;.b/&amp;:d=rsxypsNCLM" TargetMode="External"/><Relationship Id="rId2555" Type="http://schemas.openxmlformats.org/officeDocument/2006/relationships/hyperlink" Target="https://e5c9a.mailupclient.com/f/rnl.aspx/?jhe=1r_yq2o/a&amp;le=t/.l7=swszo/9.99a=59ndi-a&amp;9g-7e:-49&amp;25&amp;x=pp&amp;uy.-5-&amp;x=pv&amp;83dbzb4h=rrvuuyNCLM" TargetMode="External"/><Relationship Id="rId1225" Type="http://schemas.openxmlformats.org/officeDocument/2006/relationships/hyperlink" Target="https://www.facebook.com/reel/975781694862173" TargetMode="External"/><Relationship Id="rId2556" Type="http://schemas.openxmlformats.org/officeDocument/2006/relationships/hyperlink" Target="https://e5c9a.mailupclient.com/f/rnl.aspx/?jhe=1r_yq2o/a&amp;le=t/.l7=sws_p/9.99a=59ndi-a&amp;9g-7e:-49&amp;25&amp;x=pp&amp;uy.-5-&amp;x=pv&amp;83dbzb4h=rrvuzzNCLM" TargetMode="External"/><Relationship Id="rId1226" Type="http://schemas.openxmlformats.org/officeDocument/2006/relationships/hyperlink" Target="https://e5c9a.mailupclient.com/f/rnl.aspx/?jhe=vwurvxsx/&amp;x=pv&amp;bdi=tzfd&amp;=st2ry/7f1-a=5k9hibg&amp;x=pv&amp;9a&amp;-c4&amp;501&amp;x=pp&amp;u_9f1-a2&amp;.b/&amp;:d=rsxyoxNCLM" TargetMode="External"/><Relationship Id="rId2557" Type="http://schemas.openxmlformats.org/officeDocument/2006/relationships/hyperlink" Target="https://a2g9b4.emailsp.com/f/rnl.aspx/?fei=1uwuq_vy.9ek=vyad8=t3trty&amp;f2::=2-neh9.9bd:5-cb10337&amp;x=pp&amp;yx0-2.e16.&amp;x=pv&amp;2b5g=quuyvNCLM" TargetMode="External"/><Relationship Id="rId1227" Type="http://schemas.openxmlformats.org/officeDocument/2006/relationships/hyperlink" Target="https://www.facebook.com/reel/1745174073137004" TargetMode="External"/><Relationship Id="rId2558" Type="http://schemas.openxmlformats.org/officeDocument/2006/relationships/hyperlink" Target="https://a2g9b4.emailsp.com/f/rnl.aspx/?fei=1uwuq_vy.9ek=vyad8=t3truy&amp;f2::=2-neh9.9bd:5-cb10337&amp;x=pp&amp;yx0-2.e16.&amp;x=pv&amp;2b5g=quuytNCLM" TargetMode="External"/><Relationship Id="rId1228" Type="http://schemas.openxmlformats.org/officeDocument/2006/relationships/hyperlink" Target="https://e5c9a.mailupclient.com/f/rnl.aspx/?jhe=vwurvxsx/&amp;x=pv&amp;bdi=tzfd&amp;=st2ss/7f1-a=5k9hibg&amp;x=pv&amp;9a&amp;-c4&amp;501&amp;x=pp&amp;u_9f1-a2&amp;.b/&amp;:d=rsxyqsNCLM" TargetMode="External"/><Relationship Id="rId2559" Type="http://schemas.openxmlformats.org/officeDocument/2006/relationships/hyperlink" Target="https://a2g9b4.emailsp.com/f/rnl.aspx/?fei=1uwuq_vy.9ek=vyad8=t3trvy&amp;f2::=2-neh9.9bd:5-cb10337&amp;x=pp&amp;yx0-2.e16.&amp;x=pv&amp;2b5g=quuyuNCLM" TargetMode="External"/><Relationship Id="rId1229" Type="http://schemas.openxmlformats.org/officeDocument/2006/relationships/hyperlink" Target="https://www.facebook.com/GCBA/posts/pfbid0Dny5QJbX8hitGkDGBX9fHSDtTyn9e8hwh6zqgx9pvN8fpmf7kpFKshgUjB7jDUFFl" TargetMode="External"/><Relationship Id="rId877" Type="http://schemas.openxmlformats.org/officeDocument/2006/relationships/hyperlink" Target="https://e5c9a.mailupclient.com/f/rnl.aspx/?jhe=vwurvxsx/&amp;x=pv&amp;bdi=tzfd&amp;=st1rw/7f1-a=5k9hibg&amp;x=pv&amp;9a&amp;-c4&amp;501&amp;x=pp&amp;u_9f1-a2&amp;.b/&amp;:d=rsw2psNCLM" TargetMode="External"/><Relationship Id="rId876" Type="http://schemas.openxmlformats.org/officeDocument/2006/relationships/hyperlink" Target="https://www.facebook.com/GCBA/posts/pfbid0mwHyG3gBLBhdMiXjxx6JZDsZtpQDrcbe9xPb7oS3NoQyBCt27mUGuuSJNkafi86Kl" TargetMode="External"/><Relationship Id="rId875" Type="http://schemas.openxmlformats.org/officeDocument/2006/relationships/hyperlink" Target="https://a2g9b4.emailsp.com/f/rnl.aspx/?fei=1wqvoxxy.9ek=vyad8=t3osny&amp;f2::=4ibeh..e--:5d6.451&amp;x=pp&amp;r1.&amp;x=pv&amp;49-6&amp;aax00l=rtuqyNCLM" TargetMode="External"/><Relationship Id="rId874" Type="http://schemas.openxmlformats.org/officeDocument/2006/relationships/hyperlink" Target="https://www.facebook.com/reel/1636840367449927" TargetMode="External"/><Relationship Id="rId879" Type="http://schemas.openxmlformats.org/officeDocument/2006/relationships/hyperlink" Target="https://e5c9a.mailupclient.com/f/rnl.aspx/?jhe=vwurvxsx/&amp;x=pv&amp;bdi=tzfd&amp;=st1rx/7f1-a=5k9hibg&amp;x=pv&amp;9a&amp;-c4&amp;501&amp;x=pp&amp;u_9f1-a2&amp;.b/&amp;:d=rsw2quNCLM" TargetMode="External"/><Relationship Id="rId878" Type="http://schemas.openxmlformats.org/officeDocument/2006/relationships/hyperlink" Target="https://www.facebook.com/GCBA/posts/pfbid0mwHyG3gBLBhdMiXjxx6JZDsZtpQDrcbe9xPb7oS3NoQyBCt27mUGuuSJNkafi86Kl" TargetMode="External"/><Relationship Id="rId2550" Type="http://schemas.openxmlformats.org/officeDocument/2006/relationships/hyperlink" Target="https://e5c9a.mailupclient.com/f/rnl.aspx/?jhe=vwvwwvrv/&amp;x=pv&amp;bdi=tzfd&amp;=suysr/7f1-a=8e.dgcn&amp;&amp;x=pp&amp;u_9f1-a2&amp;.b/&amp;:d=rtp1vxNCLM" TargetMode="External"/><Relationship Id="rId873" Type="http://schemas.openxmlformats.org/officeDocument/2006/relationships/hyperlink" Target="https://a2g9b4.emailsp.com/f/rnl.aspx/?fei=1vvoo_2y.9ek=vyad8=t3ossy&amp;f2::=k702m1k6.451&amp;x=pp&amp;r1.&amp;x=pv&amp;49-6&amp;aax00l=rtusvNCLM" TargetMode="External"/><Relationship Id="rId1220" Type="http://schemas.openxmlformats.org/officeDocument/2006/relationships/hyperlink" Target="https://a2g9b4.emailsp.com/f/rnl.aspx/?fei=1vvoo1vy.9ek=vyad8=t3pquy&amp;f2::=-l98i9di-10337&amp;x=pp&amp;yx0-2.e16.&amp;x=pv&amp;2b5g=qsv3rNCLM" TargetMode="External"/><Relationship Id="rId2551" Type="http://schemas.openxmlformats.org/officeDocument/2006/relationships/hyperlink" Target="https://a2g9b4.emailsp.com/f/rnl.aspx/?fei=2orws1vy.9ek=vyad8=t3tqsy&amp;f2::=7chafagb&amp;x=pp&amp;yx0-2.e16.&amp;x=pv&amp;2b5g=quuwtNCLM" TargetMode="External"/><Relationship Id="rId872" Type="http://schemas.openxmlformats.org/officeDocument/2006/relationships/hyperlink" Target="https://www.facebook.com/reel/1459856862337213" TargetMode="External"/><Relationship Id="rId1221" Type="http://schemas.openxmlformats.org/officeDocument/2006/relationships/hyperlink" Target="https://www.facebook.com/baparticipacion/posts/pfbid0hwDpoNs6YYRf2X8atuVpFA7YNkjojnRYuAHyU2s44oECEmY4MhgAsFCauC7bfWevl" TargetMode="External"/><Relationship Id="rId2552" Type="http://schemas.openxmlformats.org/officeDocument/2006/relationships/hyperlink" Target="https://a2g9b4.emailsp.com/f/rnl.aspx/?fei=1vvoo1vy.9ek=vyad8=t3sxqy&amp;f2::=-l98i9di-10337&amp;x=pp&amp;yx0-2.e16.&amp;x=pv&amp;2b5g=qut1sNCLM" TargetMode="External"/><Relationship Id="rId871" Type="http://schemas.openxmlformats.org/officeDocument/2006/relationships/hyperlink" Target="https://a2g9b4.emailsp.com/f/rnl.aspx/?fei=1vvoo_2y.9ek=vyad8=t3oswy&amp;f2::=k702m1k6.451&amp;x=pp&amp;r1.&amp;x=pv&amp;49-6&amp;aax00l=rtuquNCLM" TargetMode="External"/><Relationship Id="rId1222" Type="http://schemas.openxmlformats.org/officeDocument/2006/relationships/hyperlink" Target="https://a2g9b4.emailsp.com/f/rnl.aspx/?fei=1vvoo_2y.9ek=vyad8=t3prwy&amp;f2::=k702m1k6.451&amp;x=pp&amp;r1.&amp;x=pv&amp;49-6&amp;aax00l=ruotuNCLM" TargetMode="External"/><Relationship Id="rId2553" Type="http://schemas.openxmlformats.org/officeDocument/2006/relationships/hyperlink" Target="https://e5c9a.mailupclient.com/f/rnl.aspx/?jhe=vwt_y1w_/&amp;x=pv&amp;bdi=tzfd&amp;=suyrt/7f1-a=&amp;x=pv&amp;n1&amp;j&amp;kc949&amp;25&amp;x=pp&amp;uy.-5-&amp;x=pv&amp;83dbzb4h=rrvuvwNCLM" TargetMode="External"/><Relationship Id="rId870" Type="http://schemas.openxmlformats.org/officeDocument/2006/relationships/hyperlink" Target="https://www.facebook.com/reel/1459856862337213" TargetMode="External"/><Relationship Id="rId1223" Type="http://schemas.openxmlformats.org/officeDocument/2006/relationships/hyperlink" Target="https://www.facebook.com/reel/1745174073137004" TargetMode="External"/><Relationship Id="rId2554" Type="http://schemas.openxmlformats.org/officeDocument/2006/relationships/hyperlink" Target="https://a2g9b4.emailsp.com/f/rnl.aspx/?fei=1vvoo1vy.9ek=vyad8=t3tqpy&amp;f2::=-l98i9di-10337&amp;x=pp&amp;yx0-2.e16.&amp;x=pv&amp;2b5g=qut2wNCLM" TargetMode="External"/><Relationship Id="rId1653" Type="http://schemas.openxmlformats.org/officeDocument/2006/relationships/hyperlink" Target="https://www.facebook.com/GCBA/posts/pfbid02zcWPtZhb5DmpnPQUbSwYBXw9JWAGMsoYzE8YZHie7PVdcBL5B8dd21dgf2P4Uzg3l" TargetMode="External"/><Relationship Id="rId2500" Type="http://schemas.openxmlformats.org/officeDocument/2006/relationships/hyperlink" Target="https://e5c9a.mailupclient.com/f/rnl.aspx/?jhe=vwt_y1w_/&amp;x=pv&amp;bdi=tzfd&amp;=suyos/7f1-a=&amp;x=pv&amp;n1&amp;j&amp;kc949&amp;25&amp;x=pp&amp;uy.-5-&amp;x=pv&amp;83dbzb4h=rrvt_rNCLM" TargetMode="External"/><Relationship Id="rId1654" Type="http://schemas.openxmlformats.org/officeDocument/2006/relationships/hyperlink" Target="https://e5c9a.mailupclient.com/f/rnl.aspx/?jhe=vwurvxsx/&amp;x=pv&amp;bdi=tzfd&amp;=su3ts/7f1-a=5k9hibg&amp;x=pv&amp;9a&amp;-c4&amp;501&amp;x=pp&amp;u_9f1-a2&amp;.b/&amp;:d=rtyvqxNCLM" TargetMode="External"/><Relationship Id="rId2501" Type="http://schemas.openxmlformats.org/officeDocument/2006/relationships/hyperlink" Target="https://e5c9a.mailupclient.com/f/rnl.aspx/?jhe=vwt_y1w_/&amp;x=pv&amp;bdi=tzfd&amp;=suyot/7f1-a=&amp;x=pv&amp;n1&amp;j&amp;kc949&amp;25&amp;x=pp&amp;uy.-5-&amp;x=pv&amp;83dbzb4h=rrvtrtNCLM" TargetMode="External"/><Relationship Id="rId1655" Type="http://schemas.openxmlformats.org/officeDocument/2006/relationships/hyperlink" Target="https://www.facebook.com/lindaenvivo/posts/pfbid0LweiyDNZYMJ7vAHSFdQey9MS4DSwJKwujgJxx2QAqrVZZnnBo8QvWd6VyTfLWiBdl" TargetMode="External"/><Relationship Id="rId2502" Type="http://schemas.openxmlformats.org/officeDocument/2006/relationships/hyperlink" Target="https://e5c9a.mailupclient.com/f/rnl.aspx/?jhe=vwt_y1w_/&amp;x=pv&amp;bdi=tzfd&amp;=suyov/7f1-a=&amp;x=pv&amp;n1&amp;j&amp;kc949&amp;25&amp;x=pp&amp;uy.-5-&amp;x=pv&amp;83dbzb4h=rrvt_sNCLM" TargetMode="External"/><Relationship Id="rId1656" Type="http://schemas.openxmlformats.org/officeDocument/2006/relationships/hyperlink" Target="https://a2g9b4.emailsp.com/f/rnl.aspx/?fei=2orws1vy.9ek=vyad8=t3qrsy&amp;f2::=7chafagb&amp;x=pp&amp;yx0-2.e16.&amp;x=pv&amp;2b5g=qsz2pNCLM" TargetMode="External"/><Relationship Id="rId2503" Type="http://schemas.openxmlformats.org/officeDocument/2006/relationships/hyperlink" Target="https://e5c9a.mailupclient.com/f/rnl.aspx/?jhe=vwt_y1w_/&amp;x=pv&amp;bdi=tzfd&amp;=suyow/7f1-a=&amp;x=pv&amp;n1&amp;j&amp;kc949&amp;25&amp;x=pp&amp;uy.-5-&amp;x=pv&amp;83dbzb4h=rrvtrvNCLM" TargetMode="External"/><Relationship Id="rId1657" Type="http://schemas.openxmlformats.org/officeDocument/2006/relationships/hyperlink" Target="https://www.facebook.com/lindaenvivo/posts/pfbid0fvVKe76oWTtnnJy12unQ1G3Rk5KrG5A4fkk9ZsxXafbJqf1b8dmGjXb3tqGsguyBl" TargetMode="External"/><Relationship Id="rId2504" Type="http://schemas.openxmlformats.org/officeDocument/2006/relationships/hyperlink" Target="https://e5c9a.mailupclient.com/f/rnl.aspx/?jhe=vwt_y1w_/&amp;x=pv&amp;bdi=tzfd&amp;=suyox/7f1-a=&amp;x=pv&amp;n1&amp;j&amp;kc949&amp;25&amp;x=pp&amp;uy.-5-&amp;x=pv&amp;83dbzb4h=rrvszvNCLM" TargetMode="External"/><Relationship Id="rId1658" Type="http://schemas.openxmlformats.org/officeDocument/2006/relationships/hyperlink" Target="https://a2g9b4.emailsp.com/f/rnl.aspx/?fei=2orws1vy.9ek=vyad8=t3qqoy&amp;f2::=7chafagb&amp;x=pp&amp;yx0-2.e16.&amp;x=pv&amp;2b5g=qs_xqNCLM" TargetMode="External"/><Relationship Id="rId2505" Type="http://schemas.openxmlformats.org/officeDocument/2006/relationships/hyperlink" Target="https://e5c9a.mailupclient.com/f/rnl.aspx/?jhe=vwt_y1w_/&amp;x=pv&amp;bdi=tzfd&amp;=suyoy/7f1-a=&amp;x=pv&amp;n1&amp;j&amp;kc949&amp;25&amp;x=pp&amp;uy.-5-&amp;x=pv&amp;83dbzb4h=rrvszxNCLM" TargetMode="External"/><Relationship Id="rId1659" Type="http://schemas.openxmlformats.org/officeDocument/2006/relationships/hyperlink" Target="https://www.facebook.com/GCBA/posts/pfbid0muZPdRHfhwuL5qge1q6LmfYei68f4ZPaD1cPMpKxHCdsfDgdDfhLfCpvcgkWKLHPl" TargetMode="External"/><Relationship Id="rId2506" Type="http://schemas.openxmlformats.org/officeDocument/2006/relationships/hyperlink" Target="https://e5c9a.mailupclient.com/f/rnl.aspx/?jhe=vwt_y1w_/&amp;x=pv&amp;bdi=tzfd&amp;=suypu/7f1-a=&amp;x=pv&amp;n1&amp;j&amp;kc949&amp;25&amp;x=pp&amp;uy.-5-&amp;x=pv&amp;83dbzb4h=rrvttyNCLM" TargetMode="External"/><Relationship Id="rId2507" Type="http://schemas.openxmlformats.org/officeDocument/2006/relationships/hyperlink" Target="https://e5c9a.mailupclient.com/f/rnl.aspx/?jhe=vwt_y1w_/&amp;x=pv&amp;bdi=tzfd&amp;=suypv/7f1-a=&amp;x=pv&amp;n1&amp;j&amp;kc949&amp;25&amp;x=pp&amp;uy.-5-&amp;x=pv&amp;83dbzb4h=rrvtuyNCLM" TargetMode="External"/><Relationship Id="rId2508" Type="http://schemas.openxmlformats.org/officeDocument/2006/relationships/hyperlink" Target="https://a2g9b4.emailsp.com/f/rnl.aspx/?fei=2orws1vy.9ek=vyad8=t3sxvy&amp;f2::=7chafagb&amp;x=pp&amp;yx0-2.e16.&amp;x=pv&amp;2b5g=qu12pNCLM" TargetMode="External"/><Relationship Id="rId829" Type="http://schemas.openxmlformats.org/officeDocument/2006/relationships/hyperlink" Target="https://e5c9a.mailupclient.com/f/rnl.aspx/?jhe=vwvwwvrv/&amp;x=pv&amp;bdi=tzfd&amp;=st1pt/7f1-a=8e.dgcn&amp;&amp;x=pp&amp;u_9f1-a2&amp;.b/&amp;:d=rsw1oyNCLM" TargetMode="External"/><Relationship Id="rId2509" Type="http://schemas.openxmlformats.org/officeDocument/2006/relationships/hyperlink" Target="https://a2g9b4.emailsp.com/f/rnl.aspx/?fei=1vvoo_2y.9ek=vyad8=t3suuy&amp;f2::=k702m1k6.451&amp;x=pp&amp;r1.&amp;x=pv&amp;49-6&amp;aax00l=rwwq1NCLM" TargetMode="External"/><Relationship Id="rId828" Type="http://schemas.openxmlformats.org/officeDocument/2006/relationships/hyperlink" Target="https://e5c9a.mailupclient.com/f/rnl.aspx/?jhe=vwvwwvrv/&amp;x=pv&amp;bdi=tzfd&amp;=st1pw/7f1-a=8e.dgcn&amp;&amp;x=pp&amp;u_9f1-a2&amp;.b/&amp;:d=rsw1qrNCLM" TargetMode="External"/><Relationship Id="rId827" Type="http://schemas.openxmlformats.org/officeDocument/2006/relationships/hyperlink" Target="https://a2g9b4.emailsp.com/f/rnl.aspx/?fei=2orws1vy.9ek=vyad8=t3oroy&amp;f2::=7chafagb&amp;x=pp&amp;yx0-2.e16.&amp;x=pv&amp;2b5g=qrz2pNCLM" TargetMode="External"/><Relationship Id="rId822" Type="http://schemas.openxmlformats.org/officeDocument/2006/relationships/hyperlink" Target="https://a2g9b4.emailsp.com/f/rnl.aspx/?fei=2orws1vy.9ek=vyad8=t3oquy&amp;f2::=7chafagb&amp;x=pp&amp;yx0-2.e16.&amp;x=pv&amp;2b5g=qrz/vNCLM" TargetMode="External"/><Relationship Id="rId821" Type="http://schemas.openxmlformats.org/officeDocument/2006/relationships/hyperlink" Target="https://e5c9a.mailupclient.com/f/rnl.aspx/?jhe=vwt_y1w_/&amp;x=pv&amp;bdi=tzfd&amp;=st/sw/7f1-a=&amp;x=pv&amp;n1&amp;j&amp;kc949&amp;25&amp;x=pp&amp;uy.-5-&amp;x=pv&amp;83dbzb4h=rq1rrtNCLM" TargetMode="External"/><Relationship Id="rId820" Type="http://schemas.openxmlformats.org/officeDocument/2006/relationships/hyperlink" Target="https://e5c9a.mailupclient.com/f/rnl.aspx/?jhe=vwszuxsy/&amp;x=pv&amp;bdi=tzfd&amp;=st1or/7f1-a=l925n3r/&amp;749&amp;x=pp&amp;q_&amp;.99a45h-/-6l=nsyv/rNCLM" TargetMode="External"/><Relationship Id="rId826" Type="http://schemas.openxmlformats.org/officeDocument/2006/relationships/hyperlink" Target="https://a2g9b4.emailsp.com/f/rnl.aspx/?fei=1wqvoxxy.9ek=vyad8=t3orpy&amp;f2::=4ibeh..e--:5d6.451&amp;x=pp&amp;r1.&amp;x=pv&amp;49-6&amp;aax00l=rttwzNCLM" TargetMode="External"/><Relationship Id="rId825" Type="http://schemas.openxmlformats.org/officeDocument/2006/relationships/hyperlink" Target="https://e5c9a.mailupclient.com/f/rnl.aspx/?jhe=vwurvxsx/&amp;x=pv&amp;bdi=tzfd&amp;=st1pu/7f1-a=5k9hibg&amp;x=pv&amp;9a&amp;-c4&amp;501&amp;x=pp&amp;u_9f1-a2&amp;.b/&amp;:d=rsw1nrNCLM" TargetMode="External"/><Relationship Id="rId824" Type="http://schemas.openxmlformats.org/officeDocument/2006/relationships/hyperlink" Target="https://e5c9a.mailupclient.com/f/rnl.aspx/?jhe=1r_yq2o/a&amp;le=t/.l7=svwxn/9.99a=59ndi-a&amp;9g-7e:-49&amp;25&amp;x=pp&amp;uy.-5-&amp;x=pv&amp;83dbzb4h=rq1tzvNCLM" TargetMode="External"/><Relationship Id="rId823" Type="http://schemas.openxmlformats.org/officeDocument/2006/relationships/hyperlink" Target="https://a2g9b4.emailsp.com/f/rnl.aspx/?fei=2orws1vy.9ek=vyad8=t3oqoy&amp;f2::=7chafagb&amp;x=pp&amp;yx0-2.e16.&amp;x=pv&amp;2b5g=qrz/uNCLM" TargetMode="External"/><Relationship Id="rId1650" Type="http://schemas.openxmlformats.org/officeDocument/2006/relationships/hyperlink" Target="https://a2g9b4.emailsp.com/f/rnl.aspx/?fei=1uwuq_vy.9ek=vyad8=t3qrvy&amp;f2::=2-neh9.9bd:5-cb10337&amp;x=pp&amp;yx0-2.e16.&amp;x=pv&amp;2b5g=qs_3pNCLM" TargetMode="External"/><Relationship Id="rId1651" Type="http://schemas.openxmlformats.org/officeDocument/2006/relationships/hyperlink" Target="https://www.facebook.com/reel/1719824132483599" TargetMode="External"/><Relationship Id="rId1652" Type="http://schemas.openxmlformats.org/officeDocument/2006/relationships/hyperlink" Target="https://e5c9a.mailupclient.com/f/rnl.aspx/?jhe=1r_yq2o/a&amp;le=t/.l7=swpww/9.99a=59ndi-a&amp;9g-7e:-49&amp;25&amp;x=pp&amp;uy.-5-&amp;x=pv&amp;83dbzb4h=rr3oryNCLM" TargetMode="External"/><Relationship Id="rId1642" Type="http://schemas.openxmlformats.org/officeDocument/2006/relationships/hyperlink" Target="https://e5c9a.mailupclient.com/f/rnl.aspx/?jhe=vwt_y1w_/&amp;x=pv&amp;bdi=tzfd&amp;=su3v_/7f1-a=&amp;x=pv&amp;n1&amp;j&amp;kc949&amp;25&amp;x=pp&amp;uy.-5-&amp;x=pv&amp;83dbzb4h=rr3ntsNCLM" TargetMode="External"/><Relationship Id="rId1643" Type="http://schemas.openxmlformats.org/officeDocument/2006/relationships/hyperlink" Target="https://e5c9a.mailupclient.com/f/rnl.aspx/?jhe=vwt_y1w_/&amp;x=pv&amp;bdi=tzfd&amp;=suvwu/7f1-a=&amp;x=pv&amp;n1&amp;j&amp;kc949&amp;25&amp;x=pp&amp;uy.-5-&amp;x=pv&amp;83dbzb4h=rr3nwuNCLM" TargetMode="External"/><Relationship Id="rId1644" Type="http://schemas.openxmlformats.org/officeDocument/2006/relationships/hyperlink" Target="https://e5c9a.mailupclient.com/f/rnl.aspx/?jhe=vwt_y1w_/&amp;x=pv&amp;bdi=tzfd&amp;=suvwv/7f1-a=&amp;x=pv&amp;n1&amp;j&amp;kc949&amp;25&amp;x=pp&amp;uy.-5-&amp;x=pv&amp;83dbzb4h=rr3nwxNCLM" TargetMode="External"/><Relationship Id="rId1645" Type="http://schemas.openxmlformats.org/officeDocument/2006/relationships/hyperlink" Target="https://www.facebook.com/GCBA/posts/pfbid02HcEpZ4qXy9tSUmWmhFECdEBMEEypzXRaEHr8wrQGJ4tE1ML1sNV2V5RTo2hHAsfUl" TargetMode="External"/><Relationship Id="rId1646" Type="http://schemas.openxmlformats.org/officeDocument/2006/relationships/hyperlink" Target="https://a2g9b4.emailsp.com/f/rnl.aspx/?fei=1wqvoxxy.9ek=vyad8=t3qswy&amp;f2::=4ibeh..e--:5d6.451&amp;x=pp&amp;r1.&amp;x=pv&amp;49-6&amp;aax00l=ruuowNCLM" TargetMode="External"/><Relationship Id="rId1647" Type="http://schemas.openxmlformats.org/officeDocument/2006/relationships/hyperlink" Target="https://www.facebook.com/GCBA/posts/pfbid02HcEpZ4qXy9tSUmWmhFECdEBMEEypzXRaEHr8wrQGJ4tE1ML1sNV2V5RTo2hHAsfUl" TargetMode="External"/><Relationship Id="rId1648" Type="http://schemas.openxmlformats.org/officeDocument/2006/relationships/hyperlink" Target="https://e5c9a.mailupclient.com/f/rnl.aspx/?jhe=1r_yq2o/a&amp;le=t/.l7=svx2r/9.99a=59ndi-a&amp;9g-7e:-49&amp;25&amp;x=pp&amp;uy.-5-&amp;x=pv&amp;83dbzb4h=rq2ssuNCLM" TargetMode="External"/><Relationship Id="rId1649" Type="http://schemas.openxmlformats.org/officeDocument/2006/relationships/hyperlink" Target="https://www.facebook.com/reel/1719824132483599" TargetMode="External"/><Relationship Id="rId819" Type="http://schemas.openxmlformats.org/officeDocument/2006/relationships/hyperlink" Target="https://e5c9a.mailupclient.com/f/rnl.aspx/?jhe=vwt_y1w_/&amp;x=pv&amp;bdi=tzfd&amp;=st2n_/7f1-a=&amp;x=pv&amp;n1&amp;j&amp;kc949&amp;25&amp;x=pp&amp;uy.-5-&amp;x=pv&amp;83dbzb4h=rq2nzvNCLM" TargetMode="External"/><Relationship Id="rId818" Type="http://schemas.openxmlformats.org/officeDocument/2006/relationships/hyperlink" Target="https://e5c9a.mailupclient.com/f/rnl.aspx/?jhe=vwt_y1w_/&amp;x=pv&amp;bdi=tzfd&amp;=st1ov/7f1-a=&amp;x=pv&amp;n1&amp;j&amp;kc949&amp;25&amp;x=pp&amp;uy.-5-&amp;x=pv&amp;83dbzb4h=rq1u_vNCLM" TargetMode="External"/><Relationship Id="rId817" Type="http://schemas.openxmlformats.org/officeDocument/2006/relationships/hyperlink" Target="https://e5c9a.mailupclient.com/f/rnl.aspx/?jhe=vwt_y1w_/&amp;x=pv&amp;bdi=tzfd&amp;=st1ou/7f1-a=&amp;x=pv&amp;n1&amp;j&amp;kc949&amp;25&amp;x=pp&amp;uy.-5-&amp;x=pv&amp;83dbzb4h=rq1tzyNCLM" TargetMode="External"/><Relationship Id="rId816" Type="http://schemas.openxmlformats.org/officeDocument/2006/relationships/hyperlink" Target="https://e5c9a.mailupclient.com/f/rnl.aspx/?jhe=vwt_y1w_/&amp;x=pv&amp;bdi=tzfd&amp;=st1os/7f1-a=&amp;x=pv&amp;n1&amp;j&amp;kc949&amp;25&amp;x=pp&amp;uy.-5-&amp;x=pv&amp;83dbzb4h=rq1tzxNCLM" TargetMode="External"/><Relationship Id="rId811" Type="http://schemas.openxmlformats.org/officeDocument/2006/relationships/hyperlink" Target="https://e5c9a.mailupclient.com/f/rnl.aspx/?jhe=vwurvxsx/&amp;x=pv&amp;bdi=tzfd&amp;=st1nz/7f1-a=5k9hibg&amp;x=pv&amp;9a&amp;-c4&amp;501&amp;x=pp&amp;u_9f1-a2&amp;.b/&amp;:d=rsw/qzNCLM" TargetMode="External"/><Relationship Id="rId810" Type="http://schemas.openxmlformats.org/officeDocument/2006/relationships/hyperlink" Target="https://a2g9b4.emailsp.com/f/rnl.aspx/?fei=1wqvoxxy.9ek=vyad8=t3xyuy&amp;f2::=4ibeh..e--:5d6.451&amp;x=pp&amp;r1.&amp;x=pv&amp;49-6&amp;aax00l=rtsttNCLM" TargetMode="External"/><Relationship Id="rId815" Type="http://schemas.openxmlformats.org/officeDocument/2006/relationships/hyperlink" Target="https://a2g9b4.emailsp.com/f/rnl.aspx/?fei=1vvoo1vy.9ek=vyad8=t3ozwy&amp;f2::=-l98i9di-10337&amp;x=pp&amp;yx0-2.e16.&amp;x=pv&amp;2b5g=qrzzuNCLM" TargetMode="External"/><Relationship Id="rId814" Type="http://schemas.openxmlformats.org/officeDocument/2006/relationships/hyperlink" Target="https://e5c9a.mailupclient.com/f/rnl.aspx/?jhe=vwt_y1w_/&amp;x=pv&amp;bdi=tzfd&amp;=st/vs/7f1-a=&amp;x=pv&amp;n1&amp;j&amp;kc949&amp;25&amp;x=pp&amp;uy.-5-&amp;x=pv&amp;83dbzb4h=rq1suzNCLM" TargetMode="External"/><Relationship Id="rId813" Type="http://schemas.openxmlformats.org/officeDocument/2006/relationships/hyperlink" Target="https://a2g9b4.emailsp.com/f/rnl.aspx/?fei=2orws1vy.9ek=vyad8=t3ozry&amp;f2::=7chafagb&amp;x=pp&amp;yx0-2.e16.&amp;x=pv&amp;2b5g=qrz_rNCLM" TargetMode="External"/><Relationship Id="rId812" Type="http://schemas.openxmlformats.org/officeDocument/2006/relationships/hyperlink" Target="https://a2g9b4.emailsp.com/f/rnl.aspx/?fei=1wqvoxxy.9ek=vyad8=t3oqny&amp;f2::=4ibeh..e--:5d6.451&amp;x=pp&amp;r1.&amp;x=pv&amp;49-6&amp;aax00l=rttqxNCLM" TargetMode="External"/><Relationship Id="rId1640" Type="http://schemas.openxmlformats.org/officeDocument/2006/relationships/hyperlink" Target="https://e5c9a.mailupclient.com/f/rnl.aspx/?jhe=vwvwwvrv/&amp;x=pv&amp;bdi=tzfd&amp;=suvwz/7f1-a=8e.dgcn&amp;&amp;x=pp&amp;u_9f1-a2&amp;.b/&amp;:d=rtyvqvNCLM" TargetMode="External"/><Relationship Id="rId1641" Type="http://schemas.openxmlformats.org/officeDocument/2006/relationships/hyperlink" Target="https://a2g9b4.emailsp.com/f/rnl.aspx/?fei=1vvoo1vy.9ek=vyad8=t3pwpy&amp;f2::=-l98i9di-10337&amp;x=pp&amp;yx0-2.e16.&amp;x=pv&amp;2b5g=qszvqNCLM" TargetMode="External"/><Relationship Id="rId1675" Type="http://schemas.openxmlformats.org/officeDocument/2006/relationships/hyperlink" Target="https://a2g9b4.emailsp.com/f/rnl.aspx/?fei=1vvoo_2y.9ek=vyad8=t3pwuy&amp;f2::=k702m1k6.451&amp;x=pp&amp;r1.&amp;x=pv&amp;49-6&amp;aax00l=ruuoxNCLM" TargetMode="External"/><Relationship Id="rId2522" Type="http://schemas.openxmlformats.org/officeDocument/2006/relationships/hyperlink" Target="https://a2g9b4.emailsp.com/f/rnl.aspx/?fei=2orws1vy.9ek=vyad8=t3sxoy&amp;f2::=7chafagb&amp;x=pp&amp;yx0-2.e16.&amp;x=pv&amp;2b5g=qut3wNCLM" TargetMode="External"/><Relationship Id="rId1676" Type="http://schemas.openxmlformats.org/officeDocument/2006/relationships/hyperlink" Target="https://www.facebook.com/GCBA/posts/pfbid02pApzrZwWLNBWssEwJTLU4EJrk6Uc6X3VYj8yvrDYBuFRUF9Vvnj8YwVKFaaVvWLMl" TargetMode="External"/><Relationship Id="rId2523" Type="http://schemas.openxmlformats.org/officeDocument/2006/relationships/hyperlink" Target="https://e5c9a.mailupclient.com/f/rnl.aspx/?jhe=1ovurwr/a&amp;le=t/.l7=swsxp/9.99a=hbea9g7s35hgk.4&amp;501&amp;x=pp&amp;u_9f1-a2&amp;.b/&amp;:d=rtp/urNCLM" TargetMode="External"/><Relationship Id="rId1677" Type="http://schemas.openxmlformats.org/officeDocument/2006/relationships/hyperlink" Target="https://a2g9b4.emailsp.com/f/rnl.aspx/?fei=1vvoo_2y.9ek=vyad8=t3qrwy&amp;f2::=k702m1k6.451&amp;x=pp&amp;r1.&amp;x=pv&amp;49-6&amp;aax00l=ruuqtNCLM" TargetMode="External"/><Relationship Id="rId2524" Type="http://schemas.openxmlformats.org/officeDocument/2006/relationships/hyperlink" Target="https://e5c9a.mailupclient.com/f/rnl.aspx/?jhe=vwurvxsx/&amp;x=pv&amp;bdi=tzfd&amp;=suyn_/7f1-a=5k9hibg&amp;x=pv&amp;9a&amp;-c4&amp;501&amp;x=pp&amp;u_9f1-a2&amp;.b/&amp;:d=rtp_nxNCLM" TargetMode="External"/><Relationship Id="rId1678" Type="http://schemas.openxmlformats.org/officeDocument/2006/relationships/hyperlink" Target="https://www.facebook.com/GCBA/posts/pfbid0CgsdKUyVjKURmmWUT8xNbSaCY2qKNfSvVKyjtYE878vhwVY8aCY4KY2URJXKEfVal" TargetMode="External"/><Relationship Id="rId2525" Type="http://schemas.openxmlformats.org/officeDocument/2006/relationships/hyperlink" Target="https://a2g9b4.emailsp.com/f/rnl.aspx/?fei=1wqvoxxy.9ek=vyad8=t3sxpy&amp;f2::=4ibeh..e--:5d6.451&amp;x=pp&amp;r1.&amp;x=pv&amp;49-6&amp;aax00l=rwwqxNCLM" TargetMode="External"/><Relationship Id="rId1679" Type="http://schemas.openxmlformats.org/officeDocument/2006/relationships/hyperlink" Target="https://a2g9b4.emailsp.com/f/rnl.aspx/?fei=1uwuq_vy.9ek=vyad8=t3qtny&amp;f2::=2-neh9.9bd:5-cb10337&amp;x=pp&amp;yx0-2.e16.&amp;x=pv&amp;2b5g=qs_zuNCLM" TargetMode="External"/><Relationship Id="rId2526" Type="http://schemas.openxmlformats.org/officeDocument/2006/relationships/hyperlink" Target="https://e5c9a.mailupclient.com/f/rnl.aspx/?jhe=vwurvxsx/&amp;x=pv&amp;bdi=tzfd&amp;=suyqs/7f1-a=5k9hibg&amp;x=pv&amp;9a&amp;-c4&amp;501&amp;x=pp&amp;u_9f1-a2&amp;.b/&amp;:d=rtp1wzNCLM" TargetMode="External"/><Relationship Id="rId2527" Type="http://schemas.openxmlformats.org/officeDocument/2006/relationships/hyperlink" Target="https://a2g9b4.emailsp.com/f/rnl.aspx/?fei=2orws1vy.9ek=vyad8=t3sysy&amp;f2::=7chafagb&amp;x=pp&amp;yx0-2.e16.&amp;x=pv&amp;2b5g=qut/uNCLM" TargetMode="External"/><Relationship Id="rId2528" Type="http://schemas.openxmlformats.org/officeDocument/2006/relationships/hyperlink" Target="https://a2g9b4.emailsp.com/f/rnl.aspx/?fei=2orws1vy.9ek=vyad8=t3sysy&amp;f2::=7chafagb&amp;x=pp&amp;yx0-2.e16.&amp;x=pv&amp;2b5g=qut/uNCLM" TargetMode="External"/><Relationship Id="rId2529" Type="http://schemas.openxmlformats.org/officeDocument/2006/relationships/hyperlink" Target="https://e5c9a.mailupclient.com/f/rnl.aspx/?jhe=1r_yq2o/a&amp;le=t/.l7=sws3w/9.99a=59ndi-a&amp;9g-7e:-49&amp;25&amp;x=pp&amp;uy.-5-&amp;x=pv&amp;83dbzb4h=rrvrxxNCLM" TargetMode="External"/><Relationship Id="rId849" Type="http://schemas.openxmlformats.org/officeDocument/2006/relationships/hyperlink" Target="https://a2g9b4.emailsp.com/f/rnl.aspx/?fei=1vvoo1vy.9ek=vyad8=t3orry&amp;f2::=-l98i9di-10337&amp;x=pp&amp;yx0-2.e16.&amp;x=pv&amp;2b5g=qr_vxNCLM" TargetMode="External"/><Relationship Id="rId844" Type="http://schemas.openxmlformats.org/officeDocument/2006/relationships/hyperlink" Target="https://e5c9a.mailupclient.com/f/rnl.aspx/?jhe=vwvwwvrv/&amp;x=pv&amp;bdi=tzfd&amp;=st1qs/7f1-a=8e.dgcn&amp;&amp;x=pp&amp;u_9f1-a2&amp;.b/&amp;:d=rsw1suNCLM" TargetMode="External"/><Relationship Id="rId843" Type="http://schemas.openxmlformats.org/officeDocument/2006/relationships/hyperlink" Target="https://a2g9b4.emailsp.com/f/rnl.aspx/?fei=2orws1vy.9ek=vyad8=t3ozsy&amp;f2::=7chafagb&amp;x=pp&amp;yx0-2.e16.&amp;x=pv&amp;2b5g=qr_3uNCLM" TargetMode="External"/><Relationship Id="rId842" Type="http://schemas.openxmlformats.org/officeDocument/2006/relationships/hyperlink" Target="https://e5c9a.mailupclient.com/f/rnl.aspx/?jhe=vwurvxsx/&amp;x=pv&amp;bdi=tzfd&amp;=st1q_/7f1-a=5k9hibg&amp;x=pv&amp;9a&amp;-c4&amp;501&amp;x=pp&amp;u_9f1-a2&amp;.b/&amp;:d=rsw1vsNCLM" TargetMode="External"/><Relationship Id="rId841" Type="http://schemas.openxmlformats.org/officeDocument/2006/relationships/hyperlink" Target="https://e5c9a.mailupclient.com/f/rnl.aspx/?jhe=vwurvxsx/&amp;x=pv&amp;bdi=tzfd&amp;=st1ps/7f1-a=5k9hibg&amp;x=pv&amp;9a&amp;-c4&amp;501&amp;x=pp&amp;u_9f1-a2&amp;.b/&amp;:d=rsw1n_NCLM" TargetMode="External"/><Relationship Id="rId848" Type="http://schemas.openxmlformats.org/officeDocument/2006/relationships/hyperlink" Target="https://e5c9a.mailupclient.com/f/rnl.aspx/?jhe=vwt_y1w_/&amp;x=pv&amp;bdi=tzfd&amp;=st1qt/7f1-a=&amp;x=pv&amp;n1&amp;j&amp;kc949&amp;25&amp;x=pp&amp;uy.-5-&amp;x=pv&amp;83dbzb4h=rq1uwwNCLM" TargetMode="External"/><Relationship Id="rId847" Type="http://schemas.openxmlformats.org/officeDocument/2006/relationships/hyperlink" Target="https://a2g9b4.emailsp.com/f/rnl.aspx/?fei=1vvoo1vy.9ek=vyad8=t3orqy&amp;f2::=-l98i9di-10337&amp;x=pp&amp;yx0-2.e16.&amp;x=pv&amp;2b5g=qr_voNCLM" TargetMode="External"/><Relationship Id="rId846" Type="http://schemas.openxmlformats.org/officeDocument/2006/relationships/hyperlink" Target="https://a2g9b4.emailsp.com/f/rnl.aspx/?fei=2orws1vy.9ek=vyad8=t3oqpy&amp;f2::=7chafagb&amp;x=pp&amp;yx0-2.e16.&amp;x=pv&amp;2b5g=qr_vwNCLM" TargetMode="External"/><Relationship Id="rId845" Type="http://schemas.openxmlformats.org/officeDocument/2006/relationships/hyperlink" Target="https://a2g9b4.emailsp.com/f/rnl.aspx/?fei=2orws1vy.9ek=vyad8=t3oqsy&amp;f2::=7chafagb&amp;x=pp&amp;yx0-2.e16.&amp;x=pv&amp;2b5g=qr_wrNCLM" TargetMode="External"/><Relationship Id="rId1670" Type="http://schemas.openxmlformats.org/officeDocument/2006/relationships/hyperlink" Target="https://www.facebook.com/reel/1458725662138823" TargetMode="External"/><Relationship Id="rId840" Type="http://schemas.openxmlformats.org/officeDocument/2006/relationships/hyperlink" Target="https://a2g9b4.emailsp.com/f/rnl.aspx/?fei=1wqvoxxy.9ek=vyad8=t3oqwy&amp;f2::=4ibeh..e--:5d6.451&amp;x=pp&amp;r1.&amp;x=pv&amp;49-6&amp;aax00l=rttq1NCLM" TargetMode="External"/><Relationship Id="rId1671" Type="http://schemas.openxmlformats.org/officeDocument/2006/relationships/hyperlink" Target="https://e5c9a.mailupclient.com/f/rnl.aspx/?jhe=vwt_y1w_/&amp;x=pv&amp;bdi=tzfd&amp;=suvnu/7f1-a=&amp;x=pv&amp;n1&amp;j&amp;kc949&amp;25&amp;x=pp&amp;uy.-5-&amp;x=pv&amp;83dbzb4h=rr3nxwNCLM" TargetMode="External"/><Relationship Id="rId1672" Type="http://schemas.openxmlformats.org/officeDocument/2006/relationships/hyperlink" Target="https://www.facebook.com/GCBA/posts/pfbid0YwYACcYV7REW12QV7XvN4q9AbG82Vb6Z2o93wh7M7PWckpyDKSXBr2jBANihNU9Hl" TargetMode="External"/><Relationship Id="rId1673" Type="http://schemas.openxmlformats.org/officeDocument/2006/relationships/hyperlink" Target="https://a2g9b4.emailsp.com/f/rnl.aspx/?fei=1vvoo_2y.9ek=vyad8=t3pyqy&amp;f2::=k702m1k6.451&amp;x=pp&amp;r1.&amp;x=pv&amp;49-6&amp;aax00l=ruuoyNCLM" TargetMode="External"/><Relationship Id="rId2520" Type="http://schemas.openxmlformats.org/officeDocument/2006/relationships/hyperlink" Target="https://e5c9a.mailupclient.com/f/rnl.aspx/?jhe=vwvwwvrv/&amp;x=pv&amp;bdi=tzfd&amp;=suyps/7f1-a=8e.dgcn&amp;&amp;x=pp&amp;u_9f1-a2&amp;.b/&amp;:d=rtp/tyNCLM" TargetMode="External"/><Relationship Id="rId1674" Type="http://schemas.openxmlformats.org/officeDocument/2006/relationships/hyperlink" Target="https://www.facebook.com/GCBA/posts/pfbid02jCJ5V7vwaivM77uEP2XSRmbKhMopRwRuWQwt4h5ztYP2XFYy51u9NY9g8S3m29Scl" TargetMode="External"/><Relationship Id="rId2521" Type="http://schemas.openxmlformats.org/officeDocument/2006/relationships/hyperlink" Target="https://a2g9b4.emailsp.com/f/rnl.aspx/?fei=2orws1vy.9ek=vyad8=t3syoy&amp;f2::=7chafagb&amp;x=pp&amp;yx0-2.e16.&amp;x=pv&amp;2b5g=qut3vNCLM" TargetMode="External"/><Relationship Id="rId1664" Type="http://schemas.openxmlformats.org/officeDocument/2006/relationships/hyperlink" Target="https://www.facebook.com/reel/1458725662138823" TargetMode="External"/><Relationship Id="rId2511" Type="http://schemas.openxmlformats.org/officeDocument/2006/relationships/hyperlink" Target="https://e5c9a.mailupclient.com/f/rnl.aspx/?jhe=vwszuxsy/&amp;x=pv&amp;bdi=tzfd&amp;=suypy/7f1-a=l925n3r/&amp;749&amp;x=pp&amp;q_&amp;.99a45h-/-6l=ntrvyvNCLM" TargetMode="External"/><Relationship Id="rId1665" Type="http://schemas.openxmlformats.org/officeDocument/2006/relationships/hyperlink" Target="https://a2g9b4.emailsp.com/f/rnl.aspx/?fei=1vvoo1vy.9ek=vyad8=t3qzny&amp;f2::=-l98i9di-10337&amp;x=pp&amp;yx0-2.e16.&amp;x=pv&amp;2b5g=qs_xpNCLM" TargetMode="External"/><Relationship Id="rId2512" Type="http://schemas.openxmlformats.org/officeDocument/2006/relationships/hyperlink" Target="https://a2g9b4.emailsp.com/f/rnl.aspx/?fei=1vvoo_2y.9ek=vyad8=t3sxry&amp;f2::=k702m1k6.451&amp;x=pp&amp;r1.&amp;x=pv&amp;49-6&amp;aax00l=rwwswNCLM" TargetMode="External"/><Relationship Id="rId1666" Type="http://schemas.openxmlformats.org/officeDocument/2006/relationships/hyperlink" Target="https://www.facebook.com/GCBA/posts/pfbid0r4oaosridiutznaCN7d2C8nMt5TW85YUZNxReJvfbHNAwe71jktsWos8EuE6K1iWl" TargetMode="External"/><Relationship Id="rId2513" Type="http://schemas.openxmlformats.org/officeDocument/2006/relationships/hyperlink" Target="https://e5c9a.mailupclient.com/f/rnl.aspx/?jhe=vwszuxsy/&amp;x=pv&amp;bdi=tzfd&amp;=suypz/7f1-a=l925n3r/&amp;749&amp;x=pp&amp;q_&amp;.99a45h-/-6l=ntrv_uNCLM" TargetMode="External"/><Relationship Id="rId1667" Type="http://schemas.openxmlformats.org/officeDocument/2006/relationships/hyperlink" Target="https://e5c9a.mailupclient.com/f/rnl.aspx/?jhe=vwt_y1w_/&amp;x=pv&amp;bdi=tzfd&amp;=su3sx/7f1-a=&amp;x=pv&amp;n1&amp;j&amp;kc949&amp;25&amp;x=pp&amp;uy.-5-&amp;x=pv&amp;83dbzb4h=rr3nyuNCLM" TargetMode="External"/><Relationship Id="rId2514" Type="http://schemas.openxmlformats.org/officeDocument/2006/relationships/hyperlink" Target="https://e5c9a.mailupclient.com/f/rnl.aspx/?jhe=vwszuxsy/&amp;x=pv&amp;bdi=tzfd&amp;=suypz/7f1-a=l925n3r/&amp;749&amp;x=pp&amp;q_&amp;.99a45h-/-6l=ntrv_uNCLM" TargetMode="External"/><Relationship Id="rId1668" Type="http://schemas.openxmlformats.org/officeDocument/2006/relationships/hyperlink" Target="https://www.facebook.com/GCBA/posts/pfbid02uALvfqk3SZWZw4wDhygp9yrEvCjmdcYjLLgL7WsNqNRzGQHBf2qzNheXE4nBCXcSl" TargetMode="External"/><Relationship Id="rId2515" Type="http://schemas.openxmlformats.org/officeDocument/2006/relationships/hyperlink" Target="https://a2g9b4.emailsp.com/f/rnl.aspx/?fei=1wqvoxxy.9ek=vyad8=t3sywy&amp;f2::=4ibeh..e--:5d6.451&amp;x=pp&amp;r1.&amp;x=pv&amp;49-6&amp;aax00l=rwwvyNCLM" TargetMode="External"/><Relationship Id="rId1669" Type="http://schemas.openxmlformats.org/officeDocument/2006/relationships/hyperlink" Target="https://e5c9a.mailupclient.com/f/rnl.aspx/?jhe=vwt_y1w_/&amp;x=pv&amp;bdi=tzfd&amp;=su3uu/7f1-a=&amp;x=pv&amp;n1&amp;j&amp;kc949&amp;25&amp;x=pp&amp;uy.-5-&amp;x=pv&amp;83dbzb4h=rr3orvNCLM" TargetMode="External"/><Relationship Id="rId2516" Type="http://schemas.openxmlformats.org/officeDocument/2006/relationships/hyperlink" Target="https://a2g9b4.emailsp.com/f/rnl.aspx/?fei=1vvoo_2y.9ek=vyad8=t3swqy&amp;f2::=k702m1k6.451&amp;x=pp&amp;r1.&amp;x=pv&amp;49-6&amp;aax00l=rvvvtNCLM" TargetMode="External"/><Relationship Id="rId2517" Type="http://schemas.openxmlformats.org/officeDocument/2006/relationships/hyperlink" Target="https://e5c9a.mailupclient.com/f/rnl.aspx/?jhe=1r_yq2o/a&amp;le=t/.l7=swsvr/9.99a=59ndi-a&amp;9g-7e:-49&amp;25&amp;x=pp&amp;uy.-5-&amp;x=pv&amp;83dbzb4h=rrvstwNCLM" TargetMode="External"/><Relationship Id="rId2518" Type="http://schemas.openxmlformats.org/officeDocument/2006/relationships/hyperlink" Target="https://a2g9b4.emailsp.com/f/rnl.aspx/?fei=1vvoo_2y.9ek=vyad8=t3swqy&amp;f2::=k702m1k6.451&amp;x=pp&amp;r1.&amp;x=pv&amp;49-6&amp;aax00l=rvvvtNCLM" TargetMode="External"/><Relationship Id="rId2519" Type="http://schemas.openxmlformats.org/officeDocument/2006/relationships/hyperlink" Target="https://e5c9a.mailupclient.com/f/rnl.aspx/?jhe=vwurvxsx/&amp;x=pv&amp;bdi=tzfd&amp;=suypr/7f1-a=5k9hibg&amp;x=pv&amp;9a&amp;-c4&amp;501&amp;x=pp&amp;u_9f1-a2&amp;.b/&amp;:d=rtp/rvNCLM" TargetMode="External"/><Relationship Id="rId839" Type="http://schemas.openxmlformats.org/officeDocument/2006/relationships/hyperlink" Target="https://e5c9a.mailupclient.com/f/rnl.aspx/?jhe=1r_yq2o/a&amp;le=t/.l7=svwzw/9.99a=59ndi-a&amp;9g-7e:-49&amp;25&amp;x=pp&amp;uy.-5-&amp;x=pv&amp;83dbzb4h=rq1uzxNCLM" TargetMode="External"/><Relationship Id="rId838" Type="http://schemas.openxmlformats.org/officeDocument/2006/relationships/hyperlink" Target="https://a2g9b4.emailsp.com/f/rnl.aspx/?fei=1uwuq_vy.9ek=vyad8=t3orvy&amp;f2::=2-neh9.9bd:5-cb10337&amp;x=pp&amp;yx0-2.e16.&amp;x=pv&amp;2b5g=qr_xoNCLM" TargetMode="External"/><Relationship Id="rId833" Type="http://schemas.openxmlformats.org/officeDocument/2006/relationships/hyperlink" Target="https://e5c9a.mailupclient.com/f/rnl.aspx/?jhe=vwt_y1w_/&amp;x=pv&amp;bdi=tzfd&amp;=st1ox/7f1-a=&amp;x=pv&amp;n1&amp;j&amp;kc949&amp;25&amp;x=pp&amp;uy.-5-&amp;x=pv&amp;83dbzb4h=rq1uuyNCLM" TargetMode="External"/><Relationship Id="rId832" Type="http://schemas.openxmlformats.org/officeDocument/2006/relationships/hyperlink" Target="https://e5c9a.mailupclient.com/f/rnl.aspx/?jhe=vwt_y1w_/&amp;x=pv&amp;bdi=tzfd&amp;=st1pv/7f1-a=&amp;x=pv&amp;n1&amp;j&amp;kc949&amp;25&amp;x=pp&amp;uy.-5-&amp;x=pv&amp;83dbzb4h=rq1uszNCLM" TargetMode="External"/><Relationship Id="rId831" Type="http://schemas.openxmlformats.org/officeDocument/2006/relationships/hyperlink" Target="https://a2g9b4.emailsp.com/f/rnl.aspx/?fei=1vvoo1vy.9ek=vyad8=t3oqvy&amp;f2::=-l98i9di-10337&amp;x=pp&amp;yx0-2.e16.&amp;x=pv&amp;2b5g=qrz2rNCLM" TargetMode="External"/><Relationship Id="rId830" Type="http://schemas.openxmlformats.org/officeDocument/2006/relationships/hyperlink" Target="https://a2g9b4.emailsp.com/f/rnl.aspx/?fei=1vvoo1vy.9ek=vyad8=t3xyry&amp;f2::=-l98i9di-10337&amp;x=pp&amp;yx0-2.e16.&amp;x=pv&amp;2b5g=qry2qNCLM" TargetMode="External"/><Relationship Id="rId837" Type="http://schemas.openxmlformats.org/officeDocument/2006/relationships/hyperlink" Target="https://e5c9a.mailupclient.com/f/rnl.aspx/?jhe=1r_yq2o/a&amp;le=t/.l7=svw3t/9.99a=59ndi-a&amp;9g-7e:-49&amp;25&amp;x=pp&amp;uy.-5-&amp;x=pv&amp;83dbzb4h=rq1t_tNCLM" TargetMode="External"/><Relationship Id="rId836" Type="http://schemas.openxmlformats.org/officeDocument/2006/relationships/hyperlink" Target="https://a2g9b4.emailsp.com/f/rnl.aspx/?fei=1uwuq_vy.9ek=vyad8=t3xypy&amp;f2::=2-neh9.9bd:5-cb10337&amp;x=pp&amp;yx0-2.e16.&amp;x=pv&amp;2b5g=qrywsNCLM" TargetMode="External"/><Relationship Id="rId835" Type="http://schemas.openxmlformats.org/officeDocument/2006/relationships/hyperlink" Target="https://e5c9a.mailupclient.com/f/rnl.aspx/?jhe=1r_yq2o/a&amp;le=t/.l7=svwxt/9.99a=59ndi-a&amp;9g-7e:-49&amp;25&amp;x=pp&amp;uy.-5-&amp;x=pv&amp;83dbzb4h=rq1utyNCLM" TargetMode="External"/><Relationship Id="rId834" Type="http://schemas.openxmlformats.org/officeDocument/2006/relationships/hyperlink" Target="https://e5c9a.mailupclient.com/f/rnl.aspx/?jhe=vwszuxsy/&amp;x=pv&amp;bdi=tzfd&amp;=st1o_/7f1-a=l925n3r/&amp;749&amp;x=pp&amp;q_&amp;.99a45h-/-6l=nsyv_wNCLM" TargetMode="External"/><Relationship Id="rId1660" Type="http://schemas.openxmlformats.org/officeDocument/2006/relationships/hyperlink" Target="https://e5c9a.mailupclient.com/f/rnl.aspx/?jhe=vwvwwvrv/&amp;x=pv&amp;bdi=tzfd&amp;=suvny/7f1-a=8e.dgcn&amp;&amp;x=pp&amp;u_9f1-a2&amp;.b/&amp;:d=rtywnuNCLM" TargetMode="External"/><Relationship Id="rId1661" Type="http://schemas.openxmlformats.org/officeDocument/2006/relationships/hyperlink" Target="https://fb.me/adspreview/facebook/21SFcpMuCGdv3RC" TargetMode="External"/><Relationship Id="rId1662" Type="http://schemas.openxmlformats.org/officeDocument/2006/relationships/hyperlink" Target="https://a2g9b4.emailsp.com/f/rnl.aspx/?fei=2orws1vy.9ek=vyad8=t3qsvy&amp;f2::=7chafagb&amp;x=pp&amp;yx0-2.e16.&amp;x=pv&amp;2b5g=qs_ywNCLM" TargetMode="External"/><Relationship Id="rId1663" Type="http://schemas.openxmlformats.org/officeDocument/2006/relationships/hyperlink" Target="https://e5c9a.mailupclient.com/f/rnl.aspx/?jhe=vwt_y1w_/&amp;x=pv&amp;bdi=tzfd&amp;=su3ns/7f1-a=&amp;x=pv&amp;n1&amp;j&amp;kc949&amp;25&amp;x=pp&amp;uy.-5-&amp;x=pv&amp;83dbzb4h=rr3orxNCLM" TargetMode="External"/><Relationship Id="rId2510" Type="http://schemas.openxmlformats.org/officeDocument/2006/relationships/hyperlink" Target="https://a2g9b4.emailsp.com/f/rnl.aspx/?fei=1vvoo_2y.9ek=vyad8=t3tzoy&amp;f2::=k702m1k6.451&amp;x=pp&amp;r1.&amp;x=pv&amp;49-6&amp;aax00l=rwnryNCLM" TargetMode="External"/><Relationship Id="rId2148" Type="http://schemas.openxmlformats.org/officeDocument/2006/relationships/hyperlink" Target="https://e5c9a.mailupclient.com/f/rnl.aspx/?jhe=vwt_y1w_/&amp;x=pv&amp;bdi=tzfd&amp;=suvty/7f1-a=&amp;x=pv&amp;n1&amp;j&amp;kc949&amp;25&amp;x=pp&amp;uy.-5-&amp;x=pv&amp;83dbzb4h=rr3vuyNCLM" TargetMode="External"/><Relationship Id="rId2149" Type="http://schemas.openxmlformats.org/officeDocument/2006/relationships/hyperlink" Target="https://www.facebook.com/GCBA/posts/pfbid0pDN1KSpcwNmdzK3WhsivCjjDVoj8acsicMjBZk8kkhQjxJ74xtbXqJzP3PR3irb4l" TargetMode="External"/><Relationship Id="rId469" Type="http://schemas.openxmlformats.org/officeDocument/2006/relationships/hyperlink" Target="https://e5c9a.mailupclient.com/f/rnl.aspx/?jhe=vwurvxsx/&amp;x=pv&amp;bdi=tzfd&amp;=stzvu/7f1-a=5k9hibg&amp;x=pv&amp;9a&amp;-c4&amp;501&amp;x=pp&amp;u_9f1-a2&amp;.b/&amp;:d=rsv_qvNCLM" TargetMode="External"/><Relationship Id="rId468" Type="http://schemas.openxmlformats.org/officeDocument/2006/relationships/hyperlink" Target="https://www.facebook.com/GCBA/posts/pfbid02BLwc5PnG5EYzbVeS3qNZ6Nb5in3PifakagmTh6BFX3zNQZ1rLsJ3FsQx9JDG2gFdl" TargetMode="External"/><Relationship Id="rId467" Type="http://schemas.openxmlformats.org/officeDocument/2006/relationships/hyperlink" Target="https://a2g9b4.emailsp.com/f/rnl.aspx/?fei=1wqvoxxy.9ek=vyad8=/2txx6d90.=3d.lfc&amp;x=pv&amp;.&amp;e08c1-&amp;34&amp;x=pp&amp;qx-f2::19h&amp;x=pv&amp;_95j=yrzswNCLM" TargetMode="External"/><Relationship Id="rId1290" Type="http://schemas.openxmlformats.org/officeDocument/2006/relationships/hyperlink" Target="https://e5c9a.mailupclient.com/f/rnl.aspx/?jhe=1r_yq2o/a&amp;le=t/.l7=svxyv/9.99a=59ndi-a&amp;9g-7e:-49&amp;25&amp;x=pp&amp;uy.-5-&amp;x=pv&amp;83dbzb4h=rq2pxxNCLM" TargetMode="External"/><Relationship Id="rId1291" Type="http://schemas.openxmlformats.org/officeDocument/2006/relationships/hyperlink" Target="https://www.facebook.com/reel/1214416363924445" TargetMode="External"/><Relationship Id="rId1292" Type="http://schemas.openxmlformats.org/officeDocument/2006/relationships/hyperlink" Target="https://e5c9a.mailupclient.com/f/rnl.aspx/?jhe=vwurvxsx/&amp;x=pv&amp;bdi=tzfd&amp;=st2uw/7f1-a=5k9hibg&amp;x=pv&amp;9a&amp;-c4&amp;501&amp;x=pp&amp;u_9f1-a2&amp;.b/&amp;:d=rsxzqyNCLM" TargetMode="External"/><Relationship Id="rId462" Type="http://schemas.openxmlformats.org/officeDocument/2006/relationships/hyperlink" Target="https://e5c9a.mailupclient.com/f/rnl.aspx/?jhe=1r_yq2o/a&amp;le=t/.l7=svtws/9.99a=59ndi-a&amp;9g-7e:-49&amp;25&amp;x=pp&amp;uy.-5-&amp;x=pv&amp;83dbzb4h=rq/pysNCLM" TargetMode="External"/><Relationship Id="rId1293" Type="http://schemas.openxmlformats.org/officeDocument/2006/relationships/hyperlink" Target="https://www.facebook.com/reel/1214416363924445" TargetMode="External"/><Relationship Id="rId2140" Type="http://schemas.openxmlformats.org/officeDocument/2006/relationships/hyperlink" Target="https://a2g9b4.emailsp.com/f/rnl.aspx/?fei=2orws1vy.9ek=vyad8=t3ruty&amp;f2::=7chafagb&amp;x=pp&amp;yx0-2.e16.&amp;x=pv&amp;2b5g=qtwvuNCLM" TargetMode="External"/><Relationship Id="rId461" Type="http://schemas.openxmlformats.org/officeDocument/2006/relationships/hyperlink" Target="https://www.facebook.com/GCBA/posts/pfbid0rLEuW4M93zccXsLKxEbAgdx71UvEEJJusTpaAfZzdSBaQDr7KZx36ckPuiwG1Rhql" TargetMode="External"/><Relationship Id="rId1294" Type="http://schemas.openxmlformats.org/officeDocument/2006/relationships/hyperlink" Target="https://e5c9a.mailupclient.com/f/rnl.aspx/?jhe=vwurvxsx/&amp;x=pv&amp;bdi=tzfd&amp;=st2t_/7f1-a=5k9hibg&amp;x=pv&amp;9a&amp;-c4&amp;501&amp;x=pp&amp;u_9f1-a2&amp;.b/&amp;:d=rsxytrNCLM" TargetMode="External"/><Relationship Id="rId2141" Type="http://schemas.openxmlformats.org/officeDocument/2006/relationships/hyperlink" Target="https://www.facebook.com/baparticipacion/posts/pfbid0srFKWoDRckyinLXUSPUHxt84fw2YQ18pC2hLHNdh2DLZtcrJAN5HNqLoeLJgFRVel" TargetMode="External"/><Relationship Id="rId460" Type="http://schemas.openxmlformats.org/officeDocument/2006/relationships/hyperlink" Target="https://e5c9a.mailupclient.com/f/rnl.aspx/?jhe=1r_yq2o/a&amp;le=t/.l7=svtxu/9.99a=59ndi-a&amp;9g-7e:-49&amp;25&amp;x=pp&amp;uy.-5-&amp;x=pv&amp;83dbzb4h=rq/pzxNCLM" TargetMode="External"/><Relationship Id="rId1295" Type="http://schemas.openxmlformats.org/officeDocument/2006/relationships/hyperlink" Target="https://www.facebook.com/GCBA/posts/pfbid02j9NjjKC7QJSSUrKxkX55nDiWFRmCpVKSS3w7J3VpQA3DakuvLQQ5B3z96orCNRMUl" TargetMode="External"/><Relationship Id="rId2142" Type="http://schemas.openxmlformats.org/officeDocument/2006/relationships/hyperlink" Target="https://a2g9b4.emailsp.com/f/rnl.aspx/?fei=2orws1vy.9ek=vyad8=t3rury&amp;f2::=7chafagb&amp;x=pp&amp;yx0-2.e16.&amp;x=pv&amp;2b5g=qtwvsNCLM" TargetMode="External"/><Relationship Id="rId1296" Type="http://schemas.openxmlformats.org/officeDocument/2006/relationships/hyperlink" Target="https://e5c9a.mailupclient.com/f/rnl.aspx/?jhe=vwurvxsx/&amp;x=pv&amp;bdi=tzfd&amp;=st2tr/7f1-a=5k9hibg&amp;x=pv&amp;9a&amp;-c4&amp;501&amp;x=pp&amp;u_9f1-a2&amp;.b/&amp;:d=rsxytsNCLM" TargetMode="External"/><Relationship Id="rId2143" Type="http://schemas.openxmlformats.org/officeDocument/2006/relationships/hyperlink" Target="https://www.facebook.com/baparticipacion/posts/pfbid031oDtJGh4fxxuqVbmdz9z7keGnQQ6obNMcK8X5dA6zoZqFBNKw3sdx1u38eRB2AP5l" TargetMode="External"/><Relationship Id="rId466" Type="http://schemas.openxmlformats.org/officeDocument/2006/relationships/hyperlink" Target="https://e5c9a.mailupclient.com/f/rnl.aspx/?jhe=vwurvxsx/&amp;x=pv&amp;bdi=tzfd&amp;=stzsv/7f1-a=5k9hibg&amp;x=pv&amp;9a&amp;-c4&amp;501&amp;x=pp&amp;u_9f1-a2&amp;.b/&amp;:d=rsvznwNCLM" TargetMode="External"/><Relationship Id="rId1297" Type="http://schemas.openxmlformats.org/officeDocument/2006/relationships/hyperlink" Target="https://www.facebook.com/baparticipacion/posts/pfbid0fFhtpJqpsLYvKCoQdrSx9qawc4fNkRYx3sJRrh7NgP1kmb6eJyjAvRTLvHGRvbuEl" TargetMode="External"/><Relationship Id="rId2144" Type="http://schemas.openxmlformats.org/officeDocument/2006/relationships/hyperlink" Target="https://a2g9b4.emailsp.com/f/rnl.aspx/?fei=2orws1vy.9ek=vyad8=t3runy&amp;f2::=7chafagb&amp;x=pp&amp;yx0-2.e16.&amp;x=pv&amp;2b5g=qtwzvNCLM" TargetMode="External"/><Relationship Id="rId465" Type="http://schemas.openxmlformats.org/officeDocument/2006/relationships/hyperlink" Target="https://www.facebook.com/GCBA/posts/pfbid0rLEuW4M93zccXsLKxEbAgdx71UvEEJJusTpaAfZzdSBaQDr7KZx36ckPuiwG1Rhql" TargetMode="External"/><Relationship Id="rId1298" Type="http://schemas.openxmlformats.org/officeDocument/2006/relationships/hyperlink" Target="https://e5c9a.mailupclient.com/f/rnl.aspx/?jhe=vwurvxsx/&amp;x=pv&amp;bdi=tzfd&amp;=st2ts/7f1-a=5k9hibg&amp;x=pv&amp;9a&amp;-c4&amp;501&amp;x=pp&amp;u_9f1-a2&amp;.b/&amp;:d=rsxyttNCLM" TargetMode="External"/><Relationship Id="rId2145" Type="http://schemas.openxmlformats.org/officeDocument/2006/relationships/hyperlink" Target="https://www.facebook.com/baparticipacion/posts/pfbid02E5P9braUAV2GccdDoU5XnWpQdunbKyp2euecdWbPyj6YjMiHkcYcwf1byNzqryFpl" TargetMode="External"/><Relationship Id="rId464" Type="http://schemas.openxmlformats.org/officeDocument/2006/relationships/hyperlink" Target="https://e5c9a.mailupclient.com/f/rnl.aspx/?jhe=vwurvxsx/&amp;x=pv&amp;bdi=tzfd&amp;=stzrs/7f1-a=5k9hibg&amp;x=pv&amp;9a&amp;-c4&amp;501&amp;x=pp&amp;u_9f1-a2&amp;.b/&amp;:d=rsvytzNCLM" TargetMode="External"/><Relationship Id="rId1299" Type="http://schemas.openxmlformats.org/officeDocument/2006/relationships/hyperlink" Target="https://www.facebook.com/reel/976632781498219" TargetMode="External"/><Relationship Id="rId2146" Type="http://schemas.openxmlformats.org/officeDocument/2006/relationships/hyperlink" Target="https://e5c9a.mailupclient.com/f/rnl.aspx/?jhe=vwvwwvrv/&amp;x=pv&amp;bdi=tzfd&amp;=suwuw/7f1-a=8e.dgcn&amp;&amp;x=pp&amp;u_9f1-a2&amp;.b/&amp;:d=rty2uvNCLM" TargetMode="External"/><Relationship Id="rId463" Type="http://schemas.openxmlformats.org/officeDocument/2006/relationships/hyperlink" Target="https://www.facebook.com/GCBA/posts/pfbid0rLEuW4M93zccXsLKxEbAgdx71UvEEJJusTpaAfZzdSBaQDr7KZx36ckPuiwG1Rhql" TargetMode="External"/><Relationship Id="rId2147" Type="http://schemas.openxmlformats.org/officeDocument/2006/relationships/hyperlink" Target="https://www.facebook.com/GCBA/posts/pfbid02iNNf4Ns7gcEo4HWoJUSAjz6751M9Kkh3PeVP3UnroYxyFBXFwehL5Y79KBHQHattl" TargetMode="External"/><Relationship Id="rId2137" Type="http://schemas.openxmlformats.org/officeDocument/2006/relationships/hyperlink" Target="https://www.facebook.com/baparticipacion/posts/pfbid02DnZgeeMBCDtZf7ce2QRBReuqmNbgkG4184fUgsZLfnguymsSr4nRaT9fY5Zfety7l" TargetMode="External"/><Relationship Id="rId2138" Type="http://schemas.openxmlformats.org/officeDocument/2006/relationships/hyperlink" Target="https://e5c9a.mailupclient.com/f/rnl.aspx/?jhe=vwurvxsx/&amp;x=pv&amp;bdi=tzfd&amp;=suwvt/7f1-a=5k9hibg&amp;x=pv&amp;9a&amp;-c4&amp;501&amp;x=pp&amp;u_9f1-a2&amp;.b/&amp;:d=rty2vrNCLM" TargetMode="External"/><Relationship Id="rId2139" Type="http://schemas.openxmlformats.org/officeDocument/2006/relationships/hyperlink" Target="https://www.facebook.com/baparticipacion/posts/pfbid02S3JZwcAT2QCRPGavfdj36Ff7GYhqYXebVRTUJarmHgb7qDRbUF2FW6s4chXjBynnl" TargetMode="External"/><Relationship Id="rId459" Type="http://schemas.openxmlformats.org/officeDocument/2006/relationships/hyperlink" Target="https://www.facebook.com/GCBA/posts/pfbid0rLEuW4M93zccXsLKxEbAgdx71UvEEJJusTpaAfZzdSBaQDr7KZx36ckPuiwG1Rhql" TargetMode="External"/><Relationship Id="rId458" Type="http://schemas.openxmlformats.org/officeDocument/2006/relationships/hyperlink" Target="https://a2g9b4.emailsp.com/f/rnl.aspx/?fei=1uwuq_vy.9ek=vyad8=/2xux6d90.=18llf:&amp;x=pv&amp;4.k08:-.88622&amp;x=pp&amp;w38a10c84c-y.:e=tpuy3NCLM" TargetMode="External"/><Relationship Id="rId457" Type="http://schemas.openxmlformats.org/officeDocument/2006/relationships/hyperlink" Target="https://www.facebook.com/GCBA/posts/pfbid0rLEuW4M93zccXsLKxEbAgdx71UvEEJJusTpaAfZzdSBaQDr7KZx36ckPuiwG1Rhql" TargetMode="External"/><Relationship Id="rId456" Type="http://schemas.openxmlformats.org/officeDocument/2006/relationships/hyperlink" Target="https://e5c9a.mailupclient.com/f/rnl.aspx/?jhe=1r_yq2o/a&amp;le=t/.l7=svt2p/9.99a=59ndi-a&amp;9g-7e:-49&amp;25&amp;x=pp&amp;uy.-5-&amp;x=pv&amp;83dbzb4h=rq/svzNCLM" TargetMode="External"/><Relationship Id="rId1280" Type="http://schemas.openxmlformats.org/officeDocument/2006/relationships/hyperlink" Target="https://a2g9b4.emailsp.com/f/rnl.aspx/?fei=1vvoo1vy.9ek=vyad8=t3psry&amp;f2::=-l98i9di-10337&amp;x=pp&amp;yx0-2.e16.&amp;x=pv&amp;2b5g=qsvyrNCLM" TargetMode="External"/><Relationship Id="rId1281" Type="http://schemas.openxmlformats.org/officeDocument/2006/relationships/hyperlink" Target="https://fb.me/adspreview/facebook/1TLrgWWjgfhGCM8" TargetMode="External"/><Relationship Id="rId451" Type="http://schemas.openxmlformats.org/officeDocument/2006/relationships/hyperlink" Target="https://e5c9a.mailupclient.com/f/rnl.aspx/?jhe=1r_yq2o/a&amp;le=t/.l7=svtzv/9.99a=59ndi-a&amp;9g-7e:-49&amp;25&amp;x=pp&amp;uy.-5-&amp;x=pv&amp;83dbzb4h=rq/sswNCLM" TargetMode="External"/><Relationship Id="rId1282" Type="http://schemas.openxmlformats.org/officeDocument/2006/relationships/hyperlink" Target="https://a2g9b4.emailsp.com/f/rnl.aspx/?fei=1wqvoxxy.9ek=vyad8=t3ptwy&amp;f2::=4ibeh..e--:5d6.451&amp;x=pp&amp;r1.&amp;x=pv&amp;49-6&amp;aax00l=rupswNCLM" TargetMode="External"/><Relationship Id="rId450" Type="http://schemas.openxmlformats.org/officeDocument/2006/relationships/hyperlink" Target="https://www.facebook.com/100064853673908/posts/1304262748412169/" TargetMode="External"/><Relationship Id="rId1283" Type="http://schemas.openxmlformats.org/officeDocument/2006/relationships/hyperlink" Target="https://www.facebook.com/baparticipacion/posts/pfbid034YdpP2aCj4a3NF71q3dkVsnDbhNPMVqYjNZAKFyzDYxuFdcvFhUqS7oDMYJ9dSUQl" TargetMode="External"/><Relationship Id="rId2130" Type="http://schemas.openxmlformats.org/officeDocument/2006/relationships/hyperlink" Target="https://e5c9a.mailupclient.com/f/rnl.aspx/?jhe=1r_yq2o/a&amp;le=t/.l7=swq/q/9.99a=59ndi-a&amp;9g-7e:-49&amp;25&amp;x=pp&amp;uy.-5-&amp;x=pv&amp;83dbzb4h=rr3vwxNCLM" TargetMode="External"/><Relationship Id="rId1284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2131" Type="http://schemas.openxmlformats.org/officeDocument/2006/relationships/hyperlink" Target="https://fb.me/adspreview/facebook/2qUC8erS5AyVmEE" TargetMode="External"/><Relationship Id="rId1285" Type="http://schemas.openxmlformats.org/officeDocument/2006/relationships/hyperlink" Target="https://www.facebook.com/baparticipacion/posts/pfbid02Cd9WeTeR2MvAMMwZfG6fiw1RXx9T8DrkaBsfjpLgT1xQZFq9pRVZBMTcw4KKgQDPl" TargetMode="External"/><Relationship Id="rId2132" Type="http://schemas.openxmlformats.org/officeDocument/2006/relationships/hyperlink" Target="https://a2g9b4.emailsp.com/f/rnl.aspx/?fei=1uwuq_vy.9ek=vyad8=t3rvvy&amp;f2::=2-neh9.9bd:5-cb10337&amp;x=pp&amp;yx0-2.e16.&amp;x=pv&amp;2b5g=qtwytNCLM" TargetMode="External"/><Relationship Id="rId455" Type="http://schemas.openxmlformats.org/officeDocument/2006/relationships/hyperlink" Target="https://e5c9a.mailupclient.com/f/rnl.aspx/?jhe=vwurvxsx/&amp;x=pv&amp;bdi=tzfd&amp;=stzus/7f1-a=5k9hibg&amp;x=pv&amp;9a&amp;-c4&amp;501&amp;x=pp&amp;u_9f1-a2&amp;.b/&amp;:d=rsv_wsNCLM" TargetMode="External"/><Relationship Id="rId1286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2133" Type="http://schemas.openxmlformats.org/officeDocument/2006/relationships/hyperlink" Target="https://www.facebook.com/GCBA/posts/pfbid0hGpDjeWSoe8Gqw2N9T8VHKQMT4vT7GrXwibd72SVb33WbSymwwnpGdmZbQH9bvyXl" TargetMode="External"/><Relationship Id="rId454" Type="http://schemas.openxmlformats.org/officeDocument/2006/relationships/hyperlink" Target="https://e5c9a.mailupclient.com/f/rnl.aspx/?jhe=1r_yq2o/a&amp;le=t/.l7=svt_s/9.99a=59ndi-a&amp;9g-7e:-49&amp;25&amp;x=pp&amp;uy.-5-&amp;x=pv&amp;83dbzb4h=rq/sw_NCLM" TargetMode="External"/><Relationship Id="rId1287" Type="http://schemas.openxmlformats.org/officeDocument/2006/relationships/hyperlink" Target="https://www.facebook.com/baparticipacion/posts/pfbid0aiHtMwhdKZKogzkdAm5sZjZ8RPpvY4pTg5x8Pf26m1cy2KiC6hbiuG4THxXjumTBl" TargetMode="External"/><Relationship Id="rId2134" Type="http://schemas.openxmlformats.org/officeDocument/2006/relationships/hyperlink" Target="https://a2g9b4.emailsp.com/f/rnl.aspx/?fei=1wqvoxxy.9ek=vyad8=t3rtty&amp;f2::=4ibeh..e--:5d6.451&amp;x=pp&amp;r1.&amp;x=pv&amp;49-6&amp;aax00l=rvps1NCLM" TargetMode="External"/><Relationship Id="rId453" Type="http://schemas.openxmlformats.org/officeDocument/2006/relationships/hyperlink" Target="https://a2g9b4.emailsp.com/f/rnl.aspx/?fei=1wqvoxxy.9ek=vyad8=/2utx6d90.=3d.lfc&amp;x=pv&amp;.&amp;e08c1-&amp;34&amp;x=pp&amp;qx-f2::19h&amp;x=pv&amp;_95j=yrztrNCLM" TargetMode="External"/><Relationship Id="rId1288" Type="http://schemas.openxmlformats.org/officeDocument/2006/relationships/hyperlink" Target="https://a2g9b4.emailsp.com/f/rnl.aspx/?fei=1wqvoxxy.9ek=vyad8=t3pssy&amp;f2::=4ibeh..e--:5d6.451&amp;x=pp&amp;r1.&amp;x=pv&amp;49-6&amp;aax00l=rupqvNCLM" TargetMode="External"/><Relationship Id="rId2135" Type="http://schemas.openxmlformats.org/officeDocument/2006/relationships/hyperlink" Target="https://www.facebook.com/baparticipacion/posts/pfbid02WG9qdDvGGcxL9cvnqRGU2tutBeSufD7CYVK55FL34L5Zz81iuVtzo5eXcc1BPgptl" TargetMode="External"/><Relationship Id="rId452" Type="http://schemas.openxmlformats.org/officeDocument/2006/relationships/hyperlink" Target="https://www.instagram.com/p/DTIymi-DLs1/" TargetMode="External"/><Relationship Id="rId1289" Type="http://schemas.openxmlformats.org/officeDocument/2006/relationships/hyperlink" Target="https://www.facebook.com/baparticipacion/posts/pfbid0Ed8Uev5EPAvAM9UfPvra2XCBo8zCNAc9sygYL7GXb6eMNXrC2PoUzhEK76CY3riYl" TargetMode="External"/><Relationship Id="rId2136" Type="http://schemas.openxmlformats.org/officeDocument/2006/relationships/hyperlink" Target="https://a2g9b4.emailsp.com/f/rnl.aspx/?fei=1wqvoxxy.9ek=vyad8=t3rvoy&amp;f2::=4ibeh..e--:5d6.451&amp;x=pp&amp;r1.&amp;x=pv&amp;49-6&amp;aax00l=rvqp/NCLM" TargetMode="External"/><Relationship Id="rId491" Type="http://schemas.openxmlformats.org/officeDocument/2006/relationships/hyperlink" Target="https://e5c9a.mailupclient.com/f/rnl.aspx/?jhe=vwurvxsx/&amp;x=pv&amp;bdi=tzfd&amp;=stzvr/7f1-a=5k9hibg&amp;x=pv&amp;9a&amp;-c4&amp;501&amp;x=pp&amp;u_9f1-a2&amp;.b/&amp;:d=rsv_pxNCLM" TargetMode="External"/><Relationship Id="rId490" Type="http://schemas.openxmlformats.org/officeDocument/2006/relationships/hyperlink" Target="https://a2g9b4.emailsp.com/f/rnl.aspx/?fei=1wqvoxxy.9ek=vyad8=/2uvx6d90.=3d.lfc&amp;x=pv&amp;.&amp;e08c1-&amp;34&amp;x=pp&amp;qx-f2::19h&amp;x=pv&amp;_95j=yrztvNCLM" TargetMode="External"/><Relationship Id="rId489" Type="http://schemas.openxmlformats.org/officeDocument/2006/relationships/hyperlink" Target="https://a2g9b4.emailsp.com/f/rnl.aspx/?fei=1wqvoxxy.9ek=vyad8=/2ryx6d90.=3d.lfc&amp;x=pv&amp;.&amp;e08c1-&amp;34&amp;x=pp&amp;qx-f2::19h&amp;x=pv&amp;_95j=yqyqvNCLM" TargetMode="External"/><Relationship Id="rId2160" Type="http://schemas.openxmlformats.org/officeDocument/2006/relationships/hyperlink" Target="https://e5c9a.mailupclient.com/f/rnl.aspx/?jhe=1r_yq2o/a&amp;le=t/.l7=swq2r/9.99a=59ndi-a&amp;9g-7e:-49&amp;25&amp;x=pp&amp;uy.-5-&amp;x=pv&amp;83dbzb4h=rrvw_vNCLM" TargetMode="External"/><Relationship Id="rId2161" Type="http://schemas.openxmlformats.org/officeDocument/2006/relationships/hyperlink" Target="https://www.facebook.com/reel/1333766678147057" TargetMode="External"/><Relationship Id="rId484" Type="http://schemas.openxmlformats.org/officeDocument/2006/relationships/hyperlink" Target="https://e5c9a.mailupclient.com/f/rnl.aspx/?jhe=1r_yq2o/a&amp;le=t/.l7=svu3u/9.99a=59ndi-a&amp;9g-7e:-49&amp;25&amp;x=pp&amp;uy.-5-&amp;x=pv&amp;83dbzb4h=rq/ts_NCLM" TargetMode="External"/><Relationship Id="rId2162" Type="http://schemas.openxmlformats.org/officeDocument/2006/relationships/hyperlink" Target="https://e5c9a.mailupclient.com/f/rnl.aspx/?jhe=1r_yq2o/a&amp;le=t/.l7=swr3o/9.99a=59ndi-a&amp;9g-7e:-49&amp;25&amp;x=pp&amp;uy.-5-&amp;x=pv&amp;83dbzb4h=rrvwuxNCLM" TargetMode="External"/><Relationship Id="rId483" Type="http://schemas.openxmlformats.org/officeDocument/2006/relationships/hyperlink" Target="https://e5c9a.mailupclient.com/f/rnl.aspx/?jhe=1r_yq2o/a&amp;le=t/.l7=svt1o/9.99a=59ndi-a&amp;9g-7e:-49&amp;25&amp;x=pp&amp;uy.-5-&amp;x=pv&amp;83dbzb4h=rq/rztNCLM" TargetMode="External"/><Relationship Id="rId2163" Type="http://schemas.openxmlformats.org/officeDocument/2006/relationships/hyperlink" Target="https://www.facebook.com/reel/1538966754240714" TargetMode="External"/><Relationship Id="rId482" Type="http://schemas.openxmlformats.org/officeDocument/2006/relationships/hyperlink" Target="https://e5c9a.mailupclient.com/f/rnl.aspx/?jhe=1r_yq2o/a&amp;le=t/.l7=svtws/9.99a=59ndi-a&amp;9g-7e:-49&amp;25&amp;x=pp&amp;uy.-5-&amp;x=pv&amp;83dbzb4h=rq/pysNCLM" TargetMode="External"/><Relationship Id="rId2164" Type="http://schemas.openxmlformats.org/officeDocument/2006/relationships/hyperlink" Target="https://a2g9b4.emailsp.com/f/rnl.aspx/?fei=1uwuq_vy.9ek=vyad8=t3rvqy&amp;f2::=2-neh9.9bd:5-cb10337&amp;x=pp&amp;yx0-2.e16.&amp;x=pv&amp;2b5g=qtwyxNCLM" TargetMode="External"/><Relationship Id="rId481" Type="http://schemas.openxmlformats.org/officeDocument/2006/relationships/hyperlink" Target="https://e5c9a.mailupclient.com/f/rnl.aspx/?jhe=1r_yq2o/a&amp;le=t/.l7=svu3p/9.99a=59ndi-a&amp;9g-7e:-49&amp;25&amp;x=pp&amp;uy.-5-&amp;x=pv&amp;83dbzb4h=rq/syxNCLM" TargetMode="External"/><Relationship Id="rId2165" Type="http://schemas.openxmlformats.org/officeDocument/2006/relationships/hyperlink" Target="https://www.facebook.com/baparticipacion/posts/pfbid02XyXvYR65F9FBrjQUsz3KfFBJaixgH4QL6YFKe2iQydGqmGAJP2WGj79Te26zjz64l" TargetMode="External"/><Relationship Id="rId488" Type="http://schemas.openxmlformats.org/officeDocument/2006/relationships/hyperlink" Target="https://e5c9a.mailupclient.com/f/rnl.aspx/?jhe=vwurvxsx/&amp;x=pv&amp;bdi=tzfd&amp;=stzv_/7f1-a=5k9hibg&amp;x=pv&amp;9a&amp;-c4&amp;501&amp;x=pp&amp;u_9f1-a2&amp;.b/&amp;:d=rsv_psNCLM" TargetMode="External"/><Relationship Id="rId2166" Type="http://schemas.openxmlformats.org/officeDocument/2006/relationships/hyperlink" Target="https://a2g9b4.emailsp.com/f/rnl.aspx/?fei=1uwuq_vy.9ek=vyad8=t3rvry&amp;f2::=2-neh9.9bd:5-cb10337&amp;x=pp&amp;yx0-2.e16.&amp;x=pv&amp;2b5g=qtwyoNCLM" TargetMode="External"/><Relationship Id="rId487" Type="http://schemas.openxmlformats.org/officeDocument/2006/relationships/hyperlink" Target="https://e5c9a.mailupclient.com/f/rnl.aspx/?jhe=vwurvxsx/&amp;x=pv&amp;bdi=tzfd&amp;=stzuw/7f1-a=5k9hibg&amp;x=pv&amp;9a&amp;-c4&amp;501&amp;x=pp&amp;u_9f1-a2&amp;.b/&amp;:d=rsv_o_NCLM" TargetMode="External"/><Relationship Id="rId2167" Type="http://schemas.openxmlformats.org/officeDocument/2006/relationships/hyperlink" Target="https://www.facebook.com/GCBA/posts/pfbid08rDXqhyNHHgaXhxwyanZTXHtfRLQs15AaRbPk5k938ZVPg7ZL3Ea9rz5rPCgKLXEl" TargetMode="External"/><Relationship Id="rId486" Type="http://schemas.openxmlformats.org/officeDocument/2006/relationships/hyperlink" Target="https://e5c9a.mailupclient.com/f/rnl.aspx/?jhe=vwurvxsx/&amp;x=pv&amp;bdi=tzfd&amp;=st_wv/7f1-a=5k9hibg&amp;x=pv&amp;9a&amp;-c4&amp;501&amp;x=pp&amp;u_9f1-a2&amp;.b/&amp;:d=rsv2rvNCLM" TargetMode="External"/><Relationship Id="rId2168" Type="http://schemas.openxmlformats.org/officeDocument/2006/relationships/hyperlink" Target="https://a2g9b4.emailsp.com/f/rnl.aspx/?fei=1uwuq_vy.9ek=vyad8=t3rvsy&amp;f2::=2-neh9.9bd:5-cb10337&amp;x=pp&amp;yx0-2.e16.&amp;x=pv&amp;2b5g=qtwypNCLM" TargetMode="External"/><Relationship Id="rId485" Type="http://schemas.openxmlformats.org/officeDocument/2006/relationships/hyperlink" Target="https://e5c9a.mailupclient.com/f/rnl.aspx/?jhe=1r_yq2o/a&amp;le=t/.l7=svu3u/9.99a=59ndi-a&amp;9g-7e:-49&amp;25&amp;x=pp&amp;uy.-5-&amp;x=pv&amp;83dbzb4h=rq/ts_NCLM" TargetMode="External"/><Relationship Id="rId2169" Type="http://schemas.openxmlformats.org/officeDocument/2006/relationships/hyperlink" Target="https://www.facebook.com/GCBA/posts/pfbid0NZouXVjpaRX7dWN4duRKXkSB2SFM7V8kETW9PxprU5sVCx7fMuzF9a9Dt3LGaH5Zl" TargetMode="External"/><Relationship Id="rId2159" Type="http://schemas.openxmlformats.org/officeDocument/2006/relationships/hyperlink" Target="https://www.facebook.com/GCBA/posts/pfbid0hL6DnVWapHTEjHavJnJmhZrAV1oeXCFP5cu7KwkKVcgsUFRBsTZSBTT4W1LM6t76l" TargetMode="External"/><Relationship Id="rId480" Type="http://schemas.openxmlformats.org/officeDocument/2006/relationships/hyperlink" Target="https://e5c9a.mailupclient.com/f/rnl.aspx/?jhe=vwurvxsx/&amp;x=pv&amp;bdi=tzfd&amp;=st_w_/7f1-a=5k9hibg&amp;x=pv&amp;9a&amp;-c4&amp;501&amp;x=pp&amp;u_9f1-a2&amp;.b/&amp;:d=rsv/wvNCLM" TargetMode="External"/><Relationship Id="rId479" Type="http://schemas.openxmlformats.org/officeDocument/2006/relationships/hyperlink" Target="https://e5c9a.mailupclient.com/f/rnl.aspx/?jhe=1r_yq2o/a&amp;le=t/.l7=svt_w/9.99a=59ndi-a&amp;9g-7e:-49&amp;25&amp;x=pp&amp;uy.-5-&amp;x=pv&amp;83dbzb4h=rq/qzwNCLM" TargetMode="External"/><Relationship Id="rId478" Type="http://schemas.openxmlformats.org/officeDocument/2006/relationships/hyperlink" Target="https://e5c9a.mailupclient.com/f/rnl.aspx/?jhe=vwvwwvrv/&amp;x=pv&amp;bdi=tzfd&amp;=stzvw/7f1-a=8e.dgcn&amp;&amp;x=pp&amp;u_9f1-a2&amp;.b/&amp;:d=rsv_tyNCLM" TargetMode="External"/><Relationship Id="rId2150" Type="http://schemas.openxmlformats.org/officeDocument/2006/relationships/hyperlink" Target="https://e5c9a.mailupclient.com/f/rnl.aspx/?jhe=vwt_y1w_/&amp;x=pv&amp;bdi=tzfd&amp;=suvty/7f1-a=&amp;x=pv&amp;n1&amp;j&amp;kc949&amp;25&amp;x=pp&amp;uy.-5-&amp;x=pv&amp;83dbzb4h=rr3vuyNCLM" TargetMode="External"/><Relationship Id="rId473" Type="http://schemas.openxmlformats.org/officeDocument/2006/relationships/hyperlink" Target="https://a2g9b4.emailsp.com/f/rnl.aspx/?fei=2orws1vy.9ek=vyad8=/2uqx6d90.=6-fhddf:&amp;x=pp&amp;w38a10c84c-y.:e=tqx/3NCLM" TargetMode="External"/><Relationship Id="rId2151" Type="http://schemas.openxmlformats.org/officeDocument/2006/relationships/hyperlink" Target="https://www.facebook.com/GCBA/posts/pfbid0pDN1KSpcwNmdzK3WhsivCjjDVoj8acsicMjBZk8kkhQjxJ74xtbXqJzP3PR3irb4l" TargetMode="External"/><Relationship Id="rId472" Type="http://schemas.openxmlformats.org/officeDocument/2006/relationships/hyperlink" Target="https://a2g9b4.emailsp.com/f/rnl.aspx/?fei=1wqvoxxy.9ek=vyad8=/2uzx6d90.=3d.lfc&amp;x=pv&amp;.&amp;e08c1-&amp;34&amp;x=pp&amp;qx-f2::19h&amp;x=pv&amp;_95j=yrzqrNCLM" TargetMode="External"/><Relationship Id="rId2152" Type="http://schemas.openxmlformats.org/officeDocument/2006/relationships/hyperlink" Target="https://a2g9b4.emailsp.com/f/rnl.aspx/?fei=1vvoo1vy.9ek=vyad8=t3rrqy&amp;f2::=-l98i9di-10337&amp;x=pp&amp;yx0-2.e16.&amp;x=pv&amp;2b5g=qtv2vNCLM" TargetMode="External"/><Relationship Id="rId471" Type="http://schemas.openxmlformats.org/officeDocument/2006/relationships/hyperlink" Target="https://a2g9b4.emailsp.com/f/rnl.aspx/?fei=1wqvoxxy.9ek=vyad8=/2tyx6d90.=3d.lfc&amp;x=pv&amp;.&amp;e08c1-&amp;34&amp;x=pp&amp;qx-f2::19h&amp;x=pv&amp;_95j=yrzqqNCLM" TargetMode="External"/><Relationship Id="rId2153" Type="http://schemas.openxmlformats.org/officeDocument/2006/relationships/hyperlink" Target="https://www.facebook.com/GCBA/posts/pfbid02yWyBiqhzRGVqqWo4wAFMjpuCdCXBAKuNVMMEAvS8QuuNwD6NK6T56RXZ9yfwrvXjl" TargetMode="External"/><Relationship Id="rId470" Type="http://schemas.openxmlformats.org/officeDocument/2006/relationships/hyperlink" Target="https://a2g9b4.emailsp.com/f/rnl.aspx/?fei=1wqvoxxy.9ek=vyad8=/2uux6d90.=3d.lfc&amp;x=pv&amp;.&amp;e08c1-&amp;34&amp;x=pp&amp;qx-f2::19h&amp;x=pv&amp;_95j=yrztsNCLM" TargetMode="External"/><Relationship Id="rId2154" Type="http://schemas.openxmlformats.org/officeDocument/2006/relationships/hyperlink" Target="https://a2g9b4.emailsp.com/f/rnl.aspx/?fei=1vvoo1vy.9ek=vyad8=t3ruqy&amp;f2::=-l98i9di-10337&amp;x=pp&amp;yx0-2.e16.&amp;x=pv&amp;2b5g=qtv2wNCLM" TargetMode="External"/><Relationship Id="rId477" Type="http://schemas.openxmlformats.org/officeDocument/2006/relationships/hyperlink" Target="https://e5c9a.mailupclient.com/f/rnl.aspx/?jhe=vwvwwvrv/&amp;x=pv&amp;bdi=tzfd&amp;=stzvz/7f1-a=8e.dgcn&amp;&amp;x=pp&amp;u_9f1-a2&amp;.b/&amp;:d=rsv_u_NCLM" TargetMode="External"/><Relationship Id="rId2155" Type="http://schemas.openxmlformats.org/officeDocument/2006/relationships/hyperlink" Target="https://www.facebook.com/reel/1034798936155144" TargetMode="External"/><Relationship Id="rId476" Type="http://schemas.openxmlformats.org/officeDocument/2006/relationships/hyperlink" Target="https://e5c9a.mailupclient.com/f/rnl.aspx/?jhe=vwurvxsx/&amp;x=pv&amp;bdi=tzfd&amp;=stzvx/7f1-a=5k9hibg&amp;x=pv&amp;9a&amp;-c4&amp;501&amp;x=pp&amp;u_9f1-a2&amp;.b/&amp;:d=rsv_ssNCLM" TargetMode="External"/><Relationship Id="rId2156" Type="http://schemas.openxmlformats.org/officeDocument/2006/relationships/hyperlink" Target="https://e5c9a.mailupclient.com/f/rnl.aspx/?jhe=vwt_y1w_/&amp;x=pv&amp;bdi=tzfd&amp;=suwtx/7f1-a=&amp;x=pv&amp;n1&amp;j&amp;kc949&amp;25&amp;x=pp&amp;uy.-5-&amp;x=pv&amp;83dbzb4h=rr3vwvNCLM" TargetMode="External"/><Relationship Id="rId475" Type="http://schemas.openxmlformats.org/officeDocument/2006/relationships/hyperlink" Target="https://e5c9a.mailupclient.com/f/rnl.aspx/?jhe=vwvwwvrv/&amp;x=pv&amp;bdi=tzfd&amp;=stzut/7f1-a=8e.dgcn&amp;&amp;x=pp&amp;u_9f1-a2&amp;.b/&amp;:d=rsv_ntNCLM" TargetMode="External"/><Relationship Id="rId2157" Type="http://schemas.openxmlformats.org/officeDocument/2006/relationships/hyperlink" Target="https://www.facebook.com/GCBA/posts/pfbid09t4eBXvmBvMhaY6ZDfZBBJcTJy8a2tQ9AGN9TfUiSexR55gisERziVp2BXK5HpeXl" TargetMode="External"/><Relationship Id="rId474" Type="http://schemas.openxmlformats.org/officeDocument/2006/relationships/hyperlink" Target="https://a2g9b4.emailsp.com/f/rnl.aspx/?fei=2orws1vy.9ek=vyad8=/2urx6d90.=6-fhddf:&amp;x=pp&amp;w38a10c84c-y.:e=tqx__NCLM" TargetMode="External"/><Relationship Id="rId2158" Type="http://schemas.openxmlformats.org/officeDocument/2006/relationships/hyperlink" Target="https://e5c9a.mailupclient.com/f/rnl.aspx/?jhe=vwt_y1w_/&amp;x=pv&amp;bdi=tzfd&amp;=suwr_/7f1-a=&amp;x=pv&amp;n1&amp;j&amp;kc949&amp;25&amp;x=pp&amp;uy.-5-&amp;x=pv&amp;83dbzb4h=rr3urzNCLM" TargetMode="External"/><Relationship Id="rId1257" Type="http://schemas.openxmlformats.org/officeDocument/2006/relationships/hyperlink" Target="https://www.facebook.com/reel/1330701805649297" TargetMode="External"/><Relationship Id="rId2104" Type="http://schemas.openxmlformats.org/officeDocument/2006/relationships/hyperlink" Target="https://a2g9b4.emailsp.com/f/rnl.aspx/?fei=1wqvoxxy.9ek=vyad8=t3rsvy&amp;f2::=4ibeh..e--:5d6.451&amp;x=pp&amp;r1.&amp;x=pv&amp;49-6&amp;aax00l=rvpouNCLM" TargetMode="External"/><Relationship Id="rId2588" Type="http://schemas.openxmlformats.org/officeDocument/2006/relationships/hyperlink" Target="https://e5c9a.mailupclient.com/f/rnl.aspx/?jhe=1r_yq2o/a&amp;le=t/.l7=sws/v/9.99a=59ndi-a&amp;9g-7e:-49&amp;25&amp;x=pp&amp;uy.-5-&amp;x=pv&amp;83dbzb4h=rrvvwxNCLM" TargetMode="External"/><Relationship Id="rId1258" Type="http://schemas.openxmlformats.org/officeDocument/2006/relationships/hyperlink" Target="https://a2g9b4.emailsp.com/f/rnl.aspx/?fei=2orws1vy.9ek=vyad8=t3pqsy&amp;f2::=7chafagb&amp;x=pp&amp;yx0-2.e16.&amp;x=pv&amp;2b5g=qsvvoNCLM" TargetMode="External"/><Relationship Id="rId2105" Type="http://schemas.openxmlformats.org/officeDocument/2006/relationships/hyperlink" Target="https://www.facebook.com/GCBA/posts/pfbid0xKjM4LTwRYmWcPrifhJ5CdzFYWPzvztWoYBfZ7wABLGhrRmoXrdFwnkAMSBPvYWWl" TargetMode="External"/><Relationship Id="rId2589" Type="http://schemas.openxmlformats.org/officeDocument/2006/relationships/hyperlink" Target="https://e5c9a.mailupclient.com/f/rnl.aspx/?jhe=1r_yq2o/a&amp;le=t/.l7=sws1w/9.99a=59ndi-a&amp;9g-7e:-49&amp;25&amp;x=pp&amp;uy.-5-&amp;x=pv&amp;83dbzb4h=rrvvwyNCLM" TargetMode="External"/><Relationship Id="rId1259" Type="http://schemas.openxmlformats.org/officeDocument/2006/relationships/hyperlink" Target="https://www.facebook.com/reel/1330701805649297" TargetMode="External"/><Relationship Id="rId2106" Type="http://schemas.openxmlformats.org/officeDocument/2006/relationships/hyperlink" Target="https://a2g9b4.emailsp.com/f/rnl.aspx/?fei=1wqvoxxy.9ek=vyad8=t3ruvy&amp;f2::=4ibeh..e--:5d6.451&amp;x=pp&amp;r1.&amp;x=pv&amp;49-6&amp;aax00l=rvqxvNCLM" TargetMode="External"/><Relationship Id="rId2107" Type="http://schemas.openxmlformats.org/officeDocument/2006/relationships/hyperlink" Target="https://www.facebook.com/GCBA/posts/pfbid02z82SAfLYap92jjhR2ukoXQBgpAZNxaXGR8a8qbkaGS71Dz8hpx3kXeYwxNQzDpNUl" TargetMode="External"/><Relationship Id="rId2108" Type="http://schemas.openxmlformats.org/officeDocument/2006/relationships/hyperlink" Target="https://a2g9b4.emailsp.com/f/rnl.aspx/?fei=1wqvoxxy.9ek=vyad8=t3rswy&amp;f2::=4ibeh..e--:5d6.451&amp;x=pp&amp;r1.&amp;x=pv&amp;49-6&amp;aax00l=rvpsuNCLM" TargetMode="External"/><Relationship Id="rId2109" Type="http://schemas.openxmlformats.org/officeDocument/2006/relationships/hyperlink" Target="https://www.facebook.com/GCBA/posts/pfbid02T5v4qKgU7QdkQ74BompjV9MukcpHtX2Duj4jEoqA4NmFSqFEnNNub6XEq2JLrffrl" TargetMode="External"/><Relationship Id="rId426" Type="http://schemas.openxmlformats.org/officeDocument/2006/relationships/hyperlink" Target="https://e5c9a.mailupclient.com/f/rnl.aspx/?jhe=vwurvxsx/&amp;x=pv&amp;bdi=tzfd&amp;=stztu/7f1-a=5k9hibg&amp;x=pv&amp;9a&amp;-c4&amp;501&amp;x=pp&amp;u_9f1-a2&amp;.b/&amp;:d=rsv_wuNCLM" TargetMode="External"/><Relationship Id="rId425" Type="http://schemas.openxmlformats.org/officeDocument/2006/relationships/hyperlink" Target="https://www.facebook.com/reel/25486521711039015/" TargetMode="External"/><Relationship Id="rId424" Type="http://schemas.openxmlformats.org/officeDocument/2006/relationships/hyperlink" Target="https://e5c9a.mailupclient.com/f/rnl.aspx/?jhe=vwurvxsx/&amp;x=pv&amp;bdi=tzfd&amp;=stztv/7f1-a=5k9hibg&amp;x=pv&amp;9a&amp;-c4&amp;501&amp;x=pp&amp;u_9f1-a2&amp;.b/&amp;:d=rsv_wtNCLM" TargetMode="External"/><Relationship Id="rId423" Type="http://schemas.openxmlformats.org/officeDocument/2006/relationships/hyperlink" Target="http://facebook.com/reel/1186230880144850/" TargetMode="External"/><Relationship Id="rId429" Type="http://schemas.openxmlformats.org/officeDocument/2006/relationships/hyperlink" Target="https://www.facebook.com/reel/1401103571662551" TargetMode="External"/><Relationship Id="rId428" Type="http://schemas.openxmlformats.org/officeDocument/2006/relationships/hyperlink" Target="https://e5c9a.mailupclient.com/f/rnl.aspx/?jhe=vwurvxsx/&amp;x=pv&amp;bdi=tzfd&amp;=stztw/7f1-a=5k9hibg&amp;x=pv&amp;9a&amp;-c4&amp;501&amp;x=pp&amp;u_9f1-a2&amp;.b/&amp;:d=rsvzsyNCLM" TargetMode="External"/><Relationship Id="rId427" Type="http://schemas.openxmlformats.org/officeDocument/2006/relationships/hyperlink" Target="https://e5c9a.mailupclient.com/f/rnl.aspx/?jhe=1r_yq2o/a&amp;le=t/.l7=svt/t/9.99a=59ndi-a&amp;9g-7e:-49&amp;25&amp;x=pp&amp;uy.-5-&amp;x=pv&amp;83dbzb4h=rq/rzvNCLM" TargetMode="External"/><Relationship Id="rId2580" Type="http://schemas.openxmlformats.org/officeDocument/2006/relationships/hyperlink" Target="https://a2g9b4.emailsp.com/f/rnl.aspx/?fei=1vvoo_2y.9ek=vyad8=t3trny&amp;f2::=k702m1k6.451&amp;x=pp&amp;r1.&amp;x=pv&amp;49-6&amp;aax00l=rwou/NCLM" TargetMode="External"/><Relationship Id="rId1250" Type="http://schemas.openxmlformats.org/officeDocument/2006/relationships/hyperlink" Target="https://a2g9b4.emailsp.com/f/rnl.aspx/?fei=1wqvoxxy.9ek=vyad8=t3psvy&amp;f2::=4ibeh..e--:5d6.451&amp;x=pp&amp;r1.&amp;x=pv&amp;49-6&amp;aax00l=rupr_NCLM" TargetMode="External"/><Relationship Id="rId2581" Type="http://schemas.openxmlformats.org/officeDocument/2006/relationships/hyperlink" Target="https://e5c9a.mailupclient.com/f/rnl.aspx/?jhe=1r_yq2o/a&amp;le=t/.l7=sws/q/9.99a=59ndi-a&amp;9g-7e:-49&amp;25&amp;x=pp&amp;uy.-5-&amp;x=pv&amp;83dbzb4h=rrvvutNCLM" TargetMode="External"/><Relationship Id="rId1251" Type="http://schemas.openxmlformats.org/officeDocument/2006/relationships/hyperlink" Target="https://www.facebook.com/GCBA/posts/pfbid0UXKR5mtRmWYXP5cTzNVa3FmB9ij1evJuxPD588yGyfBNCcZ154rcMRwSRNXUtSDwl" TargetMode="External"/><Relationship Id="rId2582" Type="http://schemas.openxmlformats.org/officeDocument/2006/relationships/hyperlink" Target="https://e5c9a.mailupclient.com/f/rnl.aspx/?jhe=1r_yq2o/a&amp;le=t/.l7=sws/r/9.99a=59ndi-a&amp;9g-7e:-49&amp;25&amp;x=pp&amp;uy.-5-&amp;x=pv&amp;83dbzb4h=rrvvuvNCLM" TargetMode="External"/><Relationship Id="rId1252" Type="http://schemas.openxmlformats.org/officeDocument/2006/relationships/hyperlink" Target="https://e5c9a.mailupclient.com/f/rnl.aspx/?jhe=vwurvxsx/&amp;x=pv&amp;bdi=tzfd&amp;=st2tv/7f1-a=5k9hibg&amp;x=pv&amp;9a&amp;-c4&amp;501&amp;x=pp&amp;u_9f1-a2&amp;.b/&amp;:d=rsxyurNCLM" TargetMode="External"/><Relationship Id="rId2583" Type="http://schemas.openxmlformats.org/officeDocument/2006/relationships/hyperlink" Target="https://e5c9a.mailupclient.com/f/rnl.aspx/?jhe=vwurvxsx/&amp;x=pv&amp;bdi=tzfd&amp;=suytw/7f1-a=5k9hibg&amp;x=pv&amp;9a&amp;-c4&amp;501&amp;x=pp&amp;u_9f1-a2&amp;.b/&amp;:d=rtp2rrNCLM" TargetMode="External"/><Relationship Id="rId422" Type="http://schemas.openxmlformats.org/officeDocument/2006/relationships/hyperlink" Target="https://e5c9a.mailupclient.com/f/rnl.aspx/?jhe=1r_yq2o/a&amp;le=t/.l7=svtyp/9.99a=59ndi-a&amp;9g-7e:-49&amp;25&amp;x=pp&amp;uy.-5-&amp;x=pv&amp;83dbzb4h=rq/qrxNCLM" TargetMode="External"/><Relationship Id="rId1253" Type="http://schemas.openxmlformats.org/officeDocument/2006/relationships/hyperlink" Target="https://www.facebook.com/GCBA/posts/pfbid0UXKR5mtRmWYXP5cTzNVa3FmB9ij1evJuxPD588yGyfBNCcZ154rcMRwSRNXUtSDwl" TargetMode="External"/><Relationship Id="rId2100" Type="http://schemas.openxmlformats.org/officeDocument/2006/relationships/hyperlink" Target="https://a2g9b4.emailsp.com/f/rnl.aspx/?fei=1wqvoxxy.9ek=vyad8=t3rtny&amp;f2::=4ibeh..e--:5d6.451&amp;x=pp&amp;r1.&amp;x=pv&amp;49-6&amp;aax00l=rvppuNCLM" TargetMode="External"/><Relationship Id="rId2584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421" Type="http://schemas.openxmlformats.org/officeDocument/2006/relationships/hyperlink" Target="https://www.facebook.com/GCBA/posts/pfbid0yZFqpziwsSvEpGHnbKnvgTkMNo6Ys8gfLmUBqRKhRCH71tiHcf1cXzt2RhCmokjMl" TargetMode="External"/><Relationship Id="rId1254" Type="http://schemas.openxmlformats.org/officeDocument/2006/relationships/hyperlink" Target="https://a2g9b4.emailsp.com/f/rnl.aspx/?fei=1wqvoxxy.9ek=vyad8=t3pspy&amp;f2::=4ibeh..e--:5d6.451&amp;x=pp&amp;r1.&amp;x=pv&amp;49-6&amp;aax00l=ruppvNCLM" TargetMode="External"/><Relationship Id="rId2101" Type="http://schemas.openxmlformats.org/officeDocument/2006/relationships/hyperlink" Target="https://www.facebook.com/GCBA/posts/pfbid0NR5KWhCTLyp9EoiVBQq12h7XLiDd7jHMe5vvYYQ5tZwSdiVYhAxRWSej5kwVDD8ml" TargetMode="External"/><Relationship Id="rId2585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420" Type="http://schemas.openxmlformats.org/officeDocument/2006/relationships/hyperlink" Target="https://e5c9a.mailupclient.com/f/rnl.aspx/?jhe=1r_yq2o/a&amp;le=t/.l7=svtzs/9.99a=59ndi-a&amp;9g-7e:-49&amp;25&amp;x=pp&amp;uy.-5-&amp;x=pv&amp;83dbzb4h=rq/rxzNCLM" TargetMode="External"/><Relationship Id="rId1255" Type="http://schemas.openxmlformats.org/officeDocument/2006/relationships/hyperlink" Target="https://www.facebook.com/GCBA/posts/pfbid0UXKR5mtRmWYXP5cTzNVa3FmB9ij1evJuxPD588yGyfBNCcZ154rcMRwSRNXUtSDwl" TargetMode="External"/><Relationship Id="rId2102" Type="http://schemas.openxmlformats.org/officeDocument/2006/relationships/hyperlink" Target="https://e5c9a.mailupclient.com/f/rnl.aspx/?jhe=1r_yq2o/a&amp;le=t/.l7=swq_q/9.99a=59ndi-a&amp;9g-7e:-49&amp;25&amp;x=pp&amp;uy.-5-&amp;x=pv&amp;83dbzb4h=rr3uxuNCLM" TargetMode="External"/><Relationship Id="rId2586" Type="http://schemas.openxmlformats.org/officeDocument/2006/relationships/hyperlink" Target="https://e5c9a.mailupclient.com/f/rnl.aspx/?jhe=vwvwwvrv/&amp;x=pv&amp;bdi=tzfd&amp;=suytx/7f1-a=8e.dgcn&amp;&amp;x=pp&amp;u_9f1-a2&amp;.b/&amp;:d=rtp2s_NCLM" TargetMode="External"/><Relationship Id="rId1256" Type="http://schemas.openxmlformats.org/officeDocument/2006/relationships/hyperlink" Target="https://a2g9b4.emailsp.com/f/rnl.aspx/?fei=1wqvoxxy.9ek=vyad8=t3psqy&amp;f2::=4ibeh..e--:5d6.451&amp;x=pp&amp;r1.&amp;x=pv&amp;49-6&amp;aax00l=ruppxNCLM" TargetMode="External"/><Relationship Id="rId2103" Type="http://schemas.openxmlformats.org/officeDocument/2006/relationships/hyperlink" Target="https://www.facebook.com/GCBA/posts/pfbid0bsGmhnfVTWcbRzFYo8cF29iT6RskdNkmq7TrxZsqknpXgTK8r3Rn5HPVCNAtzvB1l" TargetMode="External"/><Relationship Id="rId2587" Type="http://schemas.openxmlformats.org/officeDocument/2006/relationships/hyperlink" Target="https://a2g9b4.emailsp.com/f/rnl.aspx/?fei=1wqvoxxy.9ek=vyad8=t3tqqy&amp;f2::=4ibeh..e--:5d6.451&amp;x=pp&amp;r1.&amp;x=pv&amp;49-6&amp;aax00l=rwoxxNCLM" TargetMode="External"/><Relationship Id="rId1246" Type="http://schemas.openxmlformats.org/officeDocument/2006/relationships/hyperlink" Target="https://e5c9a.mailupclient.com/f/rnl.aspx/?jhe=vwurvxsx/&amp;x=pv&amp;bdi=tzfd&amp;=st2sv/7f1-a=5k9hibg&amp;x=pv&amp;9a&amp;-c4&amp;501&amp;x=pp&amp;u_9f1-a2&amp;.b/&amp;:d=rsxznyNCLM" TargetMode="External"/><Relationship Id="rId2577" Type="http://schemas.openxmlformats.org/officeDocument/2006/relationships/hyperlink" Target="https://e5c9a.mailupclient.com/f/rnl.aspx/?jhe=vwt_y1w_/&amp;x=pv&amp;bdi=tzfd&amp;=suyt_/7f1-a=&amp;x=pv&amp;n1&amp;j&amp;kc949&amp;25&amp;x=pp&amp;uy.-5-&amp;x=pv&amp;83dbzb4h=rrvvusNCLM" TargetMode="External"/><Relationship Id="rId1247" Type="http://schemas.openxmlformats.org/officeDocument/2006/relationships/hyperlink" Target="https://www.facebook.com/GCBA/posts/pfbid02BLwc5PnG5EYzbVeS3qNZ6Nb5in3PifakagmTh6BFX3zNQZ1rLsJ3FsQx9JDG2gFdl" TargetMode="External"/><Relationship Id="rId2578" Type="http://schemas.openxmlformats.org/officeDocument/2006/relationships/hyperlink" Target="https://a2g9b4.emailsp.com/f/rnl.aspx/?fei=1vvoo_2y.9ek=vyad8=t3sxty&amp;f2::=k702m1k6.451&amp;x=pp&amp;r1.&amp;x=pv&amp;49-6&amp;aax00l=rwwtvNCLM" TargetMode="External"/><Relationship Id="rId1248" Type="http://schemas.openxmlformats.org/officeDocument/2006/relationships/hyperlink" Target="https://a2g9b4.emailsp.com/f/rnl.aspx/?fei=1wqvoxxy.9ek=vyad8=t3psny&amp;f2::=4ibeh..e--:5d6.451&amp;x=pp&amp;r1.&amp;x=pv&amp;49-6&amp;aax00l=ruprvNCLM" TargetMode="External"/><Relationship Id="rId2579" Type="http://schemas.openxmlformats.org/officeDocument/2006/relationships/hyperlink" Target="https://e5c9a.mailupclient.com/f/rnl.aspx/?jhe=vwszuxsy/&amp;x=pv&amp;bdi=tzfd&amp;=suyru/7f1-a=l925n3r/&amp;749&amp;x=pp&amp;q_&amp;.99a45h-/-6l=ntrxvoNCLM" TargetMode="External"/><Relationship Id="rId1249" Type="http://schemas.openxmlformats.org/officeDocument/2006/relationships/hyperlink" Target="https://www.facebook.com/GCBA/posts/pfbid0UXKR5mtRmWYXP5cTzNVa3FmB9ij1evJuxPD588yGyfBNCcZ154rcMRwSRNXUtSDwl" TargetMode="External"/><Relationship Id="rId415" Type="http://schemas.openxmlformats.org/officeDocument/2006/relationships/hyperlink" Target="https://a2g9b4.emailsp.com/f/rnl.aspx/?fei=1wqvoxxy.9ek=vyad8=/2sxx6d90.=3d.lfc&amp;x=pv&amp;.&amp;e08c1-&amp;34&amp;x=pp&amp;qx-f2::19h&amp;x=pv&amp;_95j=yqyuoNCLM" TargetMode="External"/><Relationship Id="rId899" Type="http://schemas.openxmlformats.org/officeDocument/2006/relationships/hyperlink" Target="https://e5c9a.mailupclient.com/f/rnl.aspx/?jhe=1r_yq2o/a&amp;le=t/.l7=svw_t/9.99a=59ndi-a&amp;9g-7e:-49&amp;25&amp;x=pp&amp;uy.-5-&amp;x=pv&amp;83dbzb4h=rq2wvrNCLM" TargetMode="External"/><Relationship Id="rId414" Type="http://schemas.openxmlformats.org/officeDocument/2006/relationships/hyperlink" Target="https://fb.me/adspreview/facebook/1OAFpHtWtwxdixl" TargetMode="External"/><Relationship Id="rId898" Type="http://schemas.openxmlformats.org/officeDocument/2006/relationships/hyperlink" Target="https://www.facebook.com/reel/918709524201295/" TargetMode="External"/><Relationship Id="rId413" Type="http://schemas.openxmlformats.org/officeDocument/2006/relationships/hyperlink" Target="https://e5c9a.mailupclient.com/f/rnl.aspx/?jhe=vwurvxsx/&amp;x=pv&amp;bdi=tzfd&amp;=stzqz/7f1-a=5k9hibg&amp;x=pv&amp;9a&amp;-c4&amp;501&amp;x=pp&amp;u_9f1-a2&amp;.b/&amp;:d=rsvysuNCLM" TargetMode="External"/><Relationship Id="rId897" Type="http://schemas.openxmlformats.org/officeDocument/2006/relationships/hyperlink" Target="https://e5c9a.mailupclient.com/f/rnl.aspx/?jhe=vwszuxsy/&amp;x=pv&amp;bdi=tzfd&amp;=st1s_/7f1-a=l925n3r/&amp;749&amp;x=pp&amp;q_&amp;.99a45h-/-6l=nsyxypNCLM" TargetMode="External"/><Relationship Id="rId412" Type="http://schemas.openxmlformats.org/officeDocument/2006/relationships/hyperlink" Target="https://e5c9a.mailupclient.com/f/rnl.aspx/?jhe=vwurvxsx/&amp;x=pv&amp;bdi=tzfd&amp;=stzrt/7f1-a=5k9hibg&amp;x=pv&amp;9a&amp;-c4&amp;501&amp;x=pp&amp;u_9f1-a2&amp;.b/&amp;:d=rsvyu_NCLM" TargetMode="External"/><Relationship Id="rId896" Type="http://schemas.openxmlformats.org/officeDocument/2006/relationships/hyperlink" Target="https://www.facebook.com/reel/1312790364159946" TargetMode="External"/><Relationship Id="rId419" Type="http://schemas.openxmlformats.org/officeDocument/2006/relationships/hyperlink" Target="https://a2g9b4.emailsp.com/f/rnl.aspx/?fei=2orws1vy.9ek=vyad8=/2syx6d90.=6-fhddf:&amp;x=pp&amp;w38a10c84c-y.:e=tqx12NCLM" TargetMode="External"/><Relationship Id="rId418" Type="http://schemas.openxmlformats.org/officeDocument/2006/relationships/hyperlink" Target="https://a2g9b4.emailsp.com/f/rnl.aspx/?fei=2orws1vy.9ek=vyad8=/2tzx6d90.=6-fhddf:&amp;x=pp&amp;w38a10c84c-y.:e=tqx11NCLM" TargetMode="External"/><Relationship Id="rId417" Type="http://schemas.openxmlformats.org/officeDocument/2006/relationships/hyperlink" Target="https://e5c9a.mailupclient.com/f/rnl.aspx/?jhe=vwurvxsx/&amp;x=pv&amp;bdi=tzfd&amp;=stzrr/7f1-a=5k9hibg&amp;x=pv&amp;9a&amp;-c4&amp;501&amp;x=pp&amp;u_9f1-a2&amp;.b/&amp;:d=rsvytuNCLM" TargetMode="External"/><Relationship Id="rId416" Type="http://schemas.openxmlformats.org/officeDocument/2006/relationships/hyperlink" Target="https://a2g9b4.emailsp.com/f/rnl.aspx/?fei=1wqvoxxy.9ek=vyad8=/2sux6d90.=3d.lfc&amp;x=pv&amp;.&amp;e08c1-&amp;34&amp;x=pp&amp;qx-f2::19h&amp;x=pv&amp;_95j=yqysqNCLM" TargetMode="External"/><Relationship Id="rId891" Type="http://schemas.openxmlformats.org/officeDocument/2006/relationships/hyperlink" Target="https://e5c9a.mailupclient.com/f/rnl.aspx/?jhe=vwt_y1w_/&amp;x=pv&amp;bdi=tzfd&amp;=st1ss/7f1-a=&amp;x=pv&amp;n1&amp;j&amp;kc949&amp;25&amp;x=pp&amp;uy.-5-&amp;x=pv&amp;83dbzb4h=rq1vz_NCLM" TargetMode="External"/><Relationship Id="rId890" Type="http://schemas.openxmlformats.org/officeDocument/2006/relationships/hyperlink" Target="https://www.facebook.com/reel/1312790364159946" TargetMode="External"/><Relationship Id="rId2570" Type="http://schemas.openxmlformats.org/officeDocument/2006/relationships/hyperlink" Target="https://a2g9b4.emailsp.com/f/rnl.aspx/?fei=1vvoo1vy.9ek=vyad8=t3tqny&amp;f2::=-l98i9di-10337&amp;x=pp&amp;yx0-2.e16.&amp;x=pv&amp;2b5g=quuzsNCLM" TargetMode="External"/><Relationship Id="rId1240" Type="http://schemas.openxmlformats.org/officeDocument/2006/relationships/hyperlink" Target="https://a2g9b4.emailsp.com/f/rnl.aspx/?fei=1vvoo_2y.9ek=vyad8=t3prvy&amp;f2::=k702m1k6.451&amp;x=pp&amp;r1.&amp;x=pv&amp;49-6&amp;aax00l=rupouNCLM" TargetMode="External"/><Relationship Id="rId2571" Type="http://schemas.openxmlformats.org/officeDocument/2006/relationships/hyperlink" Target="https://e5c9a.mailupclient.com/f/rnl.aspx/?jhe=vwt_y1w_/&amp;x=pv&amp;bdi=tzfd&amp;=suysv/7f1-a=&amp;x=pv&amp;n1&amp;j&amp;kc949&amp;25&amp;x=pp&amp;uy.-5-&amp;x=pv&amp;83dbzb4h=rrvvtyNCLM" TargetMode="External"/><Relationship Id="rId1241" Type="http://schemas.openxmlformats.org/officeDocument/2006/relationships/hyperlink" Target="https://www.facebook.com/GCBA/posts/pfbid02BLwc5PnG5EYzbVeS3qNZ6Nb5in3PifakagmTh6BFX3zNQZ1rLsJ3FsQx9JDG2gFdl" TargetMode="External"/><Relationship Id="rId2572" Type="http://schemas.openxmlformats.org/officeDocument/2006/relationships/hyperlink" Target="https://e5c9a.mailupclient.com/f/rnl.aspx/?jhe=vwt_y1w_/&amp;x=pv&amp;bdi=tzfd&amp;=suysw/7f1-a=&amp;x=pv&amp;n1&amp;j&amp;kc949&amp;25&amp;x=pp&amp;uy.-5-&amp;x=pv&amp;83dbzb4h=rrvvtzNCLM" TargetMode="External"/><Relationship Id="rId411" Type="http://schemas.openxmlformats.org/officeDocument/2006/relationships/hyperlink" Target="https://www.facebook.com/GCBA/posts/1295953569230956" TargetMode="External"/><Relationship Id="rId895" Type="http://schemas.openxmlformats.org/officeDocument/2006/relationships/hyperlink" Target="https://e5c9a.mailupclient.com/f/rnl.aspx/?jhe=vwszuxsy/&amp;x=pv&amp;bdi=tzfd&amp;=st1s_/7f1-a=l925n3r/&amp;749&amp;x=pp&amp;q_&amp;.99a45h-/-6l=nsyxypNCLM" TargetMode="External"/><Relationship Id="rId1242" Type="http://schemas.openxmlformats.org/officeDocument/2006/relationships/hyperlink" Target="https://a2g9b4.emailsp.com/f/rnl.aspx/?fei=1uwuq_vy.9ek=vyad8=t3ptty&amp;f2::=2-neh9.9bd:5-cb10337&amp;x=pp&amp;yx0-2.e16.&amp;x=pv&amp;2b5g=qsv1rNCLM" TargetMode="External"/><Relationship Id="rId2573" Type="http://schemas.openxmlformats.org/officeDocument/2006/relationships/hyperlink" Target="https://e5c9a.mailupclient.com/f/rnl.aspx/?jhe=vwt_y1w_/&amp;x=pv&amp;bdi=tzfd&amp;=suysx/7f1-a=&amp;x=pv&amp;n1&amp;j&amp;kc949&amp;25&amp;x=pp&amp;uy.-5-&amp;x=pv&amp;83dbzb4h=rrvvuwNCLM" TargetMode="External"/><Relationship Id="rId410" Type="http://schemas.openxmlformats.org/officeDocument/2006/relationships/hyperlink" Target="https://e5c9a.mailupclient.com/f/rnl.aspx/?jhe=vwurvxsx/&amp;x=pv&amp;bdi=tzfd&amp;=stzr_/7f1-a=5k9hibg&amp;x=pv&amp;9a&amp;-c4&amp;501&amp;x=pp&amp;u_9f1-a2&amp;.b/&amp;:d=rsvzowNCLM" TargetMode="External"/><Relationship Id="rId894" Type="http://schemas.openxmlformats.org/officeDocument/2006/relationships/hyperlink" Target="https://www.facebook.com/reel/1312790364159946" TargetMode="External"/><Relationship Id="rId1243" Type="http://schemas.openxmlformats.org/officeDocument/2006/relationships/hyperlink" Target="https://www.facebook.com/GCBA/posts/pfbid02BLwc5PnG5EYzbVeS3qNZ6Nb5in3PifakagmTh6BFX3zNQZ1rLsJ3FsQx9JDG2gFdl" TargetMode="External"/><Relationship Id="rId2574" Type="http://schemas.openxmlformats.org/officeDocument/2006/relationships/hyperlink" Target="https://e5c9a.mailupclient.com/f/rnl.aspx/?jhe=vwt_y1w_/&amp;x=pv&amp;bdi=tzfd&amp;=suysy/7f1-a=&amp;x=pv&amp;n1&amp;j&amp;kc949&amp;25&amp;x=pp&amp;uy.-5-&amp;x=pv&amp;83dbzb4h=rrvvu_NCLM" TargetMode="External"/><Relationship Id="rId893" Type="http://schemas.openxmlformats.org/officeDocument/2006/relationships/hyperlink" Target="https://a2g9b4.emailsp.com/f/rnl.aspx/?fei=1vvoo_2y.9ek=vyad8=t3otny&amp;f2::=k702m1k6.451&amp;x=pp&amp;r1.&amp;x=pv&amp;49-6&amp;aax00l=rtuuwNCLM" TargetMode="External"/><Relationship Id="rId1244" Type="http://schemas.openxmlformats.org/officeDocument/2006/relationships/hyperlink" Target="https://a2g9b4.emailsp.com/f/rnl.aspx/?fei=1wqvoxxy.9ek=vyad8=t3proy&amp;f2::=4ibeh..e--:5d6.451&amp;x=pp&amp;r1.&amp;x=pv&amp;49-6&amp;aax00l=ruot/NCLM" TargetMode="External"/><Relationship Id="rId2575" Type="http://schemas.openxmlformats.org/officeDocument/2006/relationships/hyperlink" Target="https://e5c9a.mailupclient.com/f/rnl.aspx/?jhe=vwt_y1w_/&amp;x=pv&amp;bdi=tzfd&amp;=suysz/7f1-a=&amp;x=pv&amp;n1&amp;j&amp;kc949&amp;25&amp;x=pp&amp;uy.-5-&amp;x=pv&amp;83dbzb4h=rrvvuxNCLM" TargetMode="External"/><Relationship Id="rId892" Type="http://schemas.openxmlformats.org/officeDocument/2006/relationships/hyperlink" Target="https://www.facebook.com/reel/1312790364159946" TargetMode="External"/><Relationship Id="rId1245" Type="http://schemas.openxmlformats.org/officeDocument/2006/relationships/hyperlink" Target="https://www.facebook.com/GCBA/posts/pfbid02BLwc5PnG5EYzbVeS3qNZ6Nb5in3PifakagmTh6BFX3zNQZ1rLsJ3FsQx9JDG2gFdl" TargetMode="External"/><Relationship Id="rId2576" Type="http://schemas.openxmlformats.org/officeDocument/2006/relationships/hyperlink" Target="https://e5c9a.mailupclient.com/f/rnl.aspx/?jhe=vwt_y1w_/&amp;x=pv&amp;bdi=tzfd&amp;=suyts/7f1-a=&amp;x=pv&amp;n1&amp;j&amp;kc949&amp;25&amp;x=pp&amp;uy.-5-&amp;x=pv&amp;83dbzb4h=rrvvurNCLM" TargetMode="External"/><Relationship Id="rId1279" Type="http://schemas.openxmlformats.org/officeDocument/2006/relationships/hyperlink" Target="https://www.facebook.com/GCBA/posts/pfbid02aNCMtfa2ugz4oUAhKsTz8d9nWexr2u33cXHACEdWgPBU9sw8nFwG6qceFSSgEHyVl" TargetMode="External"/><Relationship Id="rId2126" Type="http://schemas.openxmlformats.org/officeDocument/2006/relationships/hyperlink" Target="https://e5c9a.mailupclient.com/f/rnl.aspx/?jhe=vwurvxsx/&amp;x=pv&amp;bdi=tzfd&amp;=suwsz/7f1-a=5k9hibg&amp;x=pv&amp;9a&amp;-c4&amp;501&amp;x=pp&amp;u_9f1-a2&amp;.b/&amp;:d=rty2nsNCLM" TargetMode="External"/><Relationship Id="rId2127" Type="http://schemas.openxmlformats.org/officeDocument/2006/relationships/hyperlink" Target="https://fb.me/adspreview/facebook/22CmxRCVtbzCnkb" TargetMode="External"/><Relationship Id="rId2128" Type="http://schemas.openxmlformats.org/officeDocument/2006/relationships/hyperlink" Target="https://a2g9b4.emailsp.com/f/rnl.aspx/?fei=1wqvoxxy.9ek=vyad8=t3rupy&amp;f2::=4ibeh..e--:5d6.451&amp;x=pp&amp;r1.&amp;x=pv&amp;49-6&amp;aax00l=rvptwNCLM" TargetMode="External"/><Relationship Id="rId2129" Type="http://schemas.openxmlformats.org/officeDocument/2006/relationships/hyperlink" Target="https://fb.me/adspreview/facebook/26tQ7QVYkRlhgEw" TargetMode="External"/><Relationship Id="rId448" Type="http://schemas.openxmlformats.org/officeDocument/2006/relationships/hyperlink" Target="https://a2g9b4.emailsp.com/f/rnl.aspx/?fei=1wqvoxxy.9ek=vyad8=/2ttx6d90.=3d.lfc&amp;x=pv&amp;.&amp;e08c1-&amp;34&amp;x=pp&amp;qx-f2::19h&amp;x=pv&amp;_95j=yrznsNCLM" TargetMode="External"/><Relationship Id="rId447" Type="http://schemas.openxmlformats.org/officeDocument/2006/relationships/hyperlink" Target="https://e5c9a.mailupclient.com/f/rnl.aspx/?jhe=1ovurwr/a&amp;le=t/.l7=svt_p/9.99a=hbea9g7s35hgk.4&amp;501&amp;x=pp&amp;u_9f1-a2&amp;.b/&amp;:d=rsvzssNCLM" TargetMode="External"/><Relationship Id="rId446" Type="http://schemas.openxmlformats.org/officeDocument/2006/relationships/hyperlink" Target="https://a2g9b4.emailsp.com/f/rnl.aspx/?fei=2orws1vy.9ek=vyad8=/2tux6d90.=6-fhddf:&amp;x=pp&amp;w38a10c84c-y.:e=tqxvvNCLM" TargetMode="External"/><Relationship Id="rId445" Type="http://schemas.openxmlformats.org/officeDocument/2006/relationships/hyperlink" Target="https://e5c9a.mailupclient.com/f/rnl.aspx/?jhe=vwvwwvrv/&amp;x=pv&amp;bdi=tzfd&amp;=stzts/7f1-a=8e.dgcn&amp;&amp;x=pp&amp;u_9f1-a2&amp;.b/&amp;:d=rsvzsxNCLM" TargetMode="External"/><Relationship Id="rId449" Type="http://schemas.openxmlformats.org/officeDocument/2006/relationships/hyperlink" Target="https://e5c9a.mailupclient.com/f/rnl.aspx/?jhe=1r_yq2o/a&amp;le=t/.l7=svtzu/9.99a=59ndi-a&amp;9g-7e:-49&amp;25&amp;x=pp&amp;uy.-5-&amp;x=pv&amp;83dbzb4h=rq/srxNCLM" TargetMode="External"/><Relationship Id="rId1270" Type="http://schemas.openxmlformats.org/officeDocument/2006/relationships/hyperlink" Target="https://e5c9a.mailupclient.com/f/rnl.aspx/?jhe=vwt_y1w_/&amp;x=pv&amp;bdi=tzfd&amp;=st2su/7f1-a=&amp;x=pv&amp;n1&amp;j&amp;kc949&amp;25&amp;x=pp&amp;uy.-5-&amp;x=pv&amp;83dbzb4h=rq2qxzNCLM" TargetMode="External"/><Relationship Id="rId440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1271" Type="http://schemas.openxmlformats.org/officeDocument/2006/relationships/hyperlink" Target="https://www.facebook.com/baparticipacion/posts/pfbid0NsuYsQqCMf2nfQNUxYatuEnSRbrSBKmf4sB6ZgcyQ4AwVpSiXVGsQC78JgT44Ny9l" TargetMode="External"/><Relationship Id="rId1272" Type="http://schemas.openxmlformats.org/officeDocument/2006/relationships/hyperlink" Target="https://e5c9a.mailupclient.com/f/rnl.aspx/?jhe=vwt_y1w_/&amp;x=pv&amp;bdi=tzfd&amp;=st2sw/7f1-a=&amp;x=pv&amp;n1&amp;j&amp;kc949&amp;25&amp;x=pp&amp;uy.-5-&amp;x=pv&amp;83dbzb4h=rq2rtsNCLM" TargetMode="External"/><Relationship Id="rId1273" Type="http://schemas.openxmlformats.org/officeDocument/2006/relationships/hyperlink" Target="https://www.facebook.com/baparticipacion/posts/pfbid0XEULNebDXk1ywWcpcojCyfFSneCeUgxVJu926P5wGVrJP3Qwru1tRir4rro7HusWl" TargetMode="External"/><Relationship Id="rId2120" Type="http://schemas.openxmlformats.org/officeDocument/2006/relationships/hyperlink" Target="https://e5c9a.mailupclient.com/f/rnl.aspx/?jhe=vwurvxsx/&amp;x=pv&amp;bdi=tzfd&amp;=suwst/7f1-a=5k9hibg&amp;x=pv&amp;9a&amp;-c4&amp;501&amp;x=pp&amp;u_9f1-a2&amp;.b/&amp;:d=rty1syNCLM" TargetMode="External"/><Relationship Id="rId1274" Type="http://schemas.openxmlformats.org/officeDocument/2006/relationships/hyperlink" Target="https://e5c9a.mailupclient.com/f/rnl.aspx/?jhe=vwt_y1w_/&amp;x=pv&amp;bdi=tzfd&amp;=st2sy/7f1-a=&amp;x=pv&amp;n1&amp;j&amp;kc949&amp;25&amp;x=pp&amp;uy.-5-&amp;x=pv&amp;83dbzb4h=rq2rsrNCLM" TargetMode="External"/><Relationship Id="rId2121" Type="http://schemas.openxmlformats.org/officeDocument/2006/relationships/hyperlink" Target="https://www.facebook.com/reel/1739191770421854/" TargetMode="External"/><Relationship Id="rId444" Type="http://schemas.openxmlformats.org/officeDocument/2006/relationships/hyperlink" Target="https://www.facebook.com/GCBA/posts/pfbid02PmAtvdzD176mjzPpPRZmFQTNXzNjqoKr7o9wByEVUtzkzYpigMPqtXRGysNDa6Wjl" TargetMode="External"/><Relationship Id="rId1275" Type="http://schemas.openxmlformats.org/officeDocument/2006/relationships/hyperlink" Target="https://www.facebook.com/GCBA/posts/pfbid0yJbTFZ1bu3XPMWb9zMuZCve5X87Q4ugRLcfLkSzVdBZ4wp7SvnPjPrQnwKh2Q7CTl" TargetMode="External"/><Relationship Id="rId2122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443" Type="http://schemas.openxmlformats.org/officeDocument/2006/relationships/hyperlink" Target="https://e5c9a.mailupclient.com/f/rnl.aspx/?jhe=vwvwwvrv/&amp;x=pv&amp;bdi=tzfd&amp;=stztr/7f1-a=8e.dgcn&amp;&amp;x=pp&amp;u_9f1-a2&amp;.b/&amp;:d=rsvzruNCLM" TargetMode="External"/><Relationship Id="rId1276" Type="http://schemas.openxmlformats.org/officeDocument/2006/relationships/hyperlink" Target="https://e5c9a.mailupclient.com/f/rnl.aspx/?jhe=vwt_y1w_/&amp;x=pv&amp;bdi=tzfd&amp;=st2sz/7f1-a=&amp;x=pv&amp;n1&amp;j&amp;kc949&amp;25&amp;x=pp&amp;uy.-5-&amp;x=pv&amp;83dbzb4h=rq2rsuNCLM" TargetMode="External"/><Relationship Id="rId2123" Type="http://schemas.openxmlformats.org/officeDocument/2006/relationships/hyperlink" Target="https://www.facebook.com/reel/2391073264716114" TargetMode="External"/><Relationship Id="rId442" Type="http://schemas.openxmlformats.org/officeDocument/2006/relationships/hyperlink" Target="https://www.facebook.com/reel/1401103571662551" TargetMode="External"/><Relationship Id="rId1277" Type="http://schemas.openxmlformats.org/officeDocument/2006/relationships/hyperlink" Target="https://www.facebook.com/GCBA/posts/pfbid02aNCMtfa2ugz4oUAhKsTz8d9nWexr2u33cXHACEdWgPBU9sw8nFwG6qceFSSgEHyVl" TargetMode="External"/><Relationship Id="rId2124" Type="http://schemas.openxmlformats.org/officeDocument/2006/relationships/hyperlink" Target="https://e5c9a.mailupclient.com/f/rnl.aspx/?jhe=vwvwwvrv/&amp;x=pv&amp;bdi=tzfd&amp;=suwtr/7f1-a=8e.dgcn&amp;&amp;x=pp&amp;u_9f1-a2&amp;.b/&amp;:d=rty2o_NCLM" TargetMode="External"/><Relationship Id="rId441" Type="http://schemas.openxmlformats.org/officeDocument/2006/relationships/hyperlink" Target="https://e5c9a.mailupclient.com/f/rnl.aspx/?jhe=vwvwwvrv/&amp;x=pv&amp;bdi=tzfd&amp;=stzts/7f1-a=8e.dgcn&amp;&amp;x=pp&amp;u_9f1-a2&amp;.b/&amp;:d=rsvzsxNCLM" TargetMode="External"/><Relationship Id="rId1278" Type="http://schemas.openxmlformats.org/officeDocument/2006/relationships/hyperlink" Target="https://e5c9a.mailupclient.com/f/rnl.aspx/?jhe=vwt_y1w_/&amp;x=pv&amp;bdi=tzfd&amp;=st2uv/7f1-a=&amp;x=pv&amp;n1&amp;j&amp;kc949&amp;25&amp;x=pp&amp;uy.-5-&amp;x=pv&amp;83dbzb4h=rq2rtwNCLM" TargetMode="External"/><Relationship Id="rId2125" Type="http://schemas.openxmlformats.org/officeDocument/2006/relationships/hyperlink" Target="https://www.facebook.com/GCBA/posts/pfbid037MiiHWnSJuAZbmEN4MWTeQWEiyEjLemT7MWQ7YXNnyJyeft5nCp6qUnvRCj7uv2Yl" TargetMode="External"/><Relationship Id="rId1268" Type="http://schemas.openxmlformats.org/officeDocument/2006/relationships/hyperlink" Target="https://e5c9a.mailupclient.com/f/rnl.aspx/?jhe=vwt_y1w_/&amp;x=pv&amp;bdi=tzfd&amp;=st2uu/7f1-a=&amp;x=pv&amp;n1&amp;j&amp;kc949&amp;25&amp;x=pp&amp;uy.-5-&amp;x=pv&amp;83dbzb4h=rq2rttNCLM" TargetMode="External"/><Relationship Id="rId2115" Type="http://schemas.openxmlformats.org/officeDocument/2006/relationships/hyperlink" Target="https://www.facebook.com/GCBA/posts/pfbid0SCv36fUn9suSse5UeEgMhVjYT6xS8nEu9sNA4EDWjSv4HxcYY4oCzaUMJs2J9HQbl" TargetMode="External"/><Relationship Id="rId2599" Type="http://schemas.openxmlformats.org/officeDocument/2006/relationships/hyperlink" Target="https://a2g9b4.emailsp.com/f/rnl.aspx/?fei=1wqvoxxy.9ek=vyad8=t3ttpy&amp;f2::=4ibeh..e--:5d6.451&amp;x=pp&amp;r1.&amp;x=pv&amp;49-6&amp;aax00l=rwptyNCLM" TargetMode="External"/><Relationship Id="rId1269" Type="http://schemas.openxmlformats.org/officeDocument/2006/relationships/hyperlink" Target="https://fb.me/adspreview/facebook/1U53Ljp62nKtRhr" TargetMode="External"/><Relationship Id="rId2116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117" Type="http://schemas.openxmlformats.org/officeDocument/2006/relationships/hyperlink" Target="https://www.facebook.com/reel/1680003459878017" TargetMode="External"/><Relationship Id="rId2118" Type="http://schemas.openxmlformats.org/officeDocument/2006/relationships/hyperlink" Target="https://e5c9a.mailupclient.com/f/rnl.aspx/?jhe=vwvwwvrv/&amp;x=pv&amp;bdi=tzfd&amp;=suwqx/7f1-a=8e.dgcn&amp;&amp;x=pp&amp;u_9f1-a2&amp;.b/&amp;:d=rty/vzNCLM" TargetMode="External"/><Relationship Id="rId2119" Type="http://schemas.openxmlformats.org/officeDocument/2006/relationships/hyperlink" Target="https://www.facebook.com/reel/1739191770421854/" TargetMode="External"/><Relationship Id="rId437" Type="http://schemas.openxmlformats.org/officeDocument/2006/relationships/hyperlink" Target="https://www.facebook.com/reel/1401103571662551" TargetMode="External"/><Relationship Id="rId436" Type="http://schemas.openxmlformats.org/officeDocument/2006/relationships/hyperlink" Target="https://e5c9a.mailupclient.com/f/rnl.aspx/?jhe=vwurvxsx/&amp;x=pv&amp;bdi=tzfd&amp;=stzu_/7f1-a=5k9hibg&amp;x=pv&amp;9a&amp;-c4&amp;501&amp;x=pp&amp;u_9f1-a2&amp;.b/&amp;:d=rsv_wrNCLM" TargetMode="External"/><Relationship Id="rId435" Type="http://schemas.openxmlformats.org/officeDocument/2006/relationships/hyperlink" Target="https://www.facebook.com/reel/1401103571662551" TargetMode="External"/><Relationship Id="rId434" Type="http://schemas.openxmlformats.org/officeDocument/2006/relationships/hyperlink" Target="https://e5c9a.mailupclient.com/f/rnl.aspx/?jhe=vwurvxsx/&amp;x=pv&amp;bdi=tzfd&amp;=stzty/7f1-a=5k9hibg&amp;x=pv&amp;9a&amp;-c4&amp;501&amp;x=pp&amp;u_9f1-a2&amp;.b/&amp;:d=rsvzutNCLM" TargetMode="External"/><Relationship Id="rId439" Type="http://schemas.openxmlformats.org/officeDocument/2006/relationships/hyperlink" Target="https://e5c9a.mailupclient.com/f/rnl.aspx/?jhe=vwvwwvrv/&amp;x=pv&amp;bdi=tzfd&amp;=stzrx/7f1-a=8e.dgcn&amp;&amp;x=pp&amp;u_9f1-a2&amp;.b/&amp;:d=rsvzpzNCLM" TargetMode="External"/><Relationship Id="rId438" Type="http://schemas.openxmlformats.org/officeDocument/2006/relationships/hyperlink" Target="https://e5c9a.mailupclient.com/f/rnl.aspx/?jhe=vwvwwvrv/&amp;x=pv&amp;bdi=tzfd&amp;=stztz/7f1-a=8e.dgcn&amp;&amp;x=pp&amp;u_9f1-a2&amp;.b/&amp;:d=rsvzvwNCLM" TargetMode="External"/><Relationship Id="rId2590" Type="http://schemas.openxmlformats.org/officeDocument/2006/relationships/hyperlink" Target="https://e5c9a.mailupclient.com/f/rnl.aspx/?jhe=1r_yq2o/a&amp;le=t/.l7=sws1n/9.99a=59ndi-a&amp;9g-7e:-49&amp;25&amp;x=pp&amp;uy.-5-&amp;x=pv&amp;83dbzb4h=rrvvwzNCLM" TargetMode="External"/><Relationship Id="rId1260" Type="http://schemas.openxmlformats.org/officeDocument/2006/relationships/hyperlink" Target="https://e5c9a.mailupclient.com/f/rnl.aspx/?jhe=vwvwwvrv/&amp;x=pv&amp;bdi=tzfd&amp;=st2qx/7f1-a=8e.dgcn&amp;&amp;x=pp&amp;u_9f1-a2&amp;.b/&amp;:d=rsxyvyNCLM" TargetMode="External"/><Relationship Id="rId2591" Type="http://schemas.openxmlformats.org/officeDocument/2006/relationships/hyperlink" Target="https://e5c9a.mailupclient.com/f/rnl.aspx/?jhe=1r_yq2o/a&amp;le=t/.l7=sws1r/9.99a=59ndi-a&amp;9g-7e:-49&amp;25&amp;x=pp&amp;uy.-5-&amp;x=pv&amp;83dbzb4h=rrvvyxNCLM" TargetMode="External"/><Relationship Id="rId1261" Type="http://schemas.openxmlformats.org/officeDocument/2006/relationships/hyperlink" Target="https://www.facebook.com/reel/1295138989235506" TargetMode="External"/><Relationship Id="rId2592" Type="http://schemas.openxmlformats.org/officeDocument/2006/relationships/hyperlink" Target="https://e5c9a.mailupclient.com/f/rnl.aspx/?jhe=vwurvxsx/&amp;x=pv&amp;bdi=tzfd&amp;=suyqu/7f1-a=5k9hibg&amp;x=pv&amp;9a&amp;-c4&amp;501&amp;x=pp&amp;u_9f1-a2&amp;.b/&amp;:d=rtp1nwNCLM" TargetMode="External"/><Relationship Id="rId1262" Type="http://schemas.openxmlformats.org/officeDocument/2006/relationships/hyperlink" Target="https://e5c9a.mailupclient.com/f/rnl.aspx/?jhe=vwvwwvrv/&amp;x=pv&amp;bdi=tzfd&amp;=st2qy/7f1-a=8e.dgcn&amp;&amp;x=pp&amp;u_9f1-a2&amp;.b/&amp;:d=rsxyvsNCLM" TargetMode="External"/><Relationship Id="rId2593" Type="http://schemas.openxmlformats.org/officeDocument/2006/relationships/hyperlink" Target="https://a2g9b4.emailsp.com/f/rnl.aspx/?fei=1wqvoxxy.9ek=vyad8=t3tzty&amp;f2::=4ibeh..e--:5d6.451&amp;x=pp&amp;r1.&amp;x=pv&amp;49-6&amp;aax00l=rwnttNCLM" TargetMode="External"/><Relationship Id="rId1263" Type="http://schemas.openxmlformats.org/officeDocument/2006/relationships/hyperlink" Target="https://www.facebook.com/baparticipacion/posts/pfbid09GkkAAkqoFPGdoydEHzWi3RWWfTrmQnxpo6ZWXqCf26wuME2jVZEq4GMgRy9rm8yl" TargetMode="External"/><Relationship Id="rId2110" Type="http://schemas.openxmlformats.org/officeDocument/2006/relationships/hyperlink" Target="https://a2g9b4.emailsp.com/f/rnl.aspx/?fei=1wqvoxxy.9ek=vyad8=t3rvwy&amp;f2::=4ibeh..e--:5d6.451&amp;x=pp&amp;r1.&amp;x=pv&amp;49-6&amp;aax00l=rvqo1NCLM" TargetMode="External"/><Relationship Id="rId2594" Type="http://schemas.openxmlformats.org/officeDocument/2006/relationships/hyperlink" Target="https://e5c9a.mailupclient.com/f/rnl.aspx/?jhe=vwurvxsx/&amp;x=pv&amp;bdi=tzfd&amp;=suynr/7f1-a=5k9hibg&amp;x=pv&amp;9a&amp;-c4&amp;501&amp;x=pp&amp;u_9f1-a2&amp;.b/&amp;:d=rtp_nyNCLM" TargetMode="External"/><Relationship Id="rId433" Type="http://schemas.openxmlformats.org/officeDocument/2006/relationships/hyperlink" Target="https://www.facebook.com/reel/1401103571662551" TargetMode="External"/><Relationship Id="rId1264" Type="http://schemas.openxmlformats.org/officeDocument/2006/relationships/hyperlink" Target="https://e5c9a.mailupclient.com/f/rnl.aspx/?jhe=vwvwwvrv/&amp;x=pv&amp;bdi=tzfd&amp;=st2s_/7f1-a=8e.dgcn&amp;&amp;x=pp&amp;u_9f1-a2&amp;.b/&amp;:d=rsxyvxNCLM" TargetMode="External"/><Relationship Id="rId2111" Type="http://schemas.openxmlformats.org/officeDocument/2006/relationships/hyperlink" Target="https://www.facebook.com/GCBA/posts/pfbid0ST19UoqhurJhZPhq7dJfEkZrJhyH4rZPrLJ7W6zqymdatS9zfuz5QK26T3aXaWbkl" TargetMode="External"/><Relationship Id="rId2595" Type="http://schemas.openxmlformats.org/officeDocument/2006/relationships/hyperlink" Target="https://e5c9a.mailupclient.com/f/rnl.aspx/?jhe=vwurvxsx/&amp;x=pv&amp;bdi=tzfd&amp;=suyut/7f1-a=5k9hibg&amp;x=pv&amp;9a&amp;-c4&amp;501&amp;x=pp&amp;u_9f1-a2&amp;.b/&amp;:d=rtp2uuNCLM" TargetMode="External"/><Relationship Id="rId432" Type="http://schemas.openxmlformats.org/officeDocument/2006/relationships/hyperlink" Target="https://e5c9a.mailupclient.com/f/rnl.aspx/?jhe=vwurvxsx/&amp;x=pv&amp;bdi=tzfd&amp;=stzsx/7f1-a=5k9hibg&amp;x=pv&amp;9a&amp;-c4&amp;501&amp;x=pp&amp;u_9f1-a2&amp;.b/&amp;:d=rsvzpyNCLM" TargetMode="External"/><Relationship Id="rId1265" Type="http://schemas.openxmlformats.org/officeDocument/2006/relationships/hyperlink" Target="https://www.facebook.com/baparticipacion/posts/pfbid0brFm1bCbtuAtW9tkjBSjQLmnYttosXrpaAzso8fwbQuuLicQZWbN76MWrN71RekHl" TargetMode="External"/><Relationship Id="rId2112" Type="http://schemas.openxmlformats.org/officeDocument/2006/relationships/hyperlink" Target="https://e5c9a.mailupclient.com/f/rnl.aspx/?jhe=vwurvxsx/&amp;x=pv&amp;bdi=tzfd&amp;=suwt_/7f1-a=5k9hibg&amp;x=pv&amp;9a&amp;-c4&amp;501&amp;x=pp&amp;u_9f1-a2&amp;.b/&amp;:d=rty2nuNCLM" TargetMode="External"/><Relationship Id="rId2596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431" Type="http://schemas.openxmlformats.org/officeDocument/2006/relationships/hyperlink" Target="https://www.facebook.com/reel/1401103571662551" TargetMode="External"/><Relationship Id="rId1266" Type="http://schemas.openxmlformats.org/officeDocument/2006/relationships/hyperlink" Target="https://e5c9a.mailupclient.com/f/rnl.aspx/?jhe=vwt_y1w_/&amp;x=pv&amp;bdi=tzfd&amp;=st2sx/7f1-a=&amp;x=pv&amp;n1&amp;j&amp;kc949&amp;25&amp;x=pp&amp;uy.-5-&amp;x=pv&amp;83dbzb4h=rq2qvwNCLM" TargetMode="External"/><Relationship Id="rId2113" Type="http://schemas.openxmlformats.org/officeDocument/2006/relationships/hyperlink" Target="https://www.facebook.com/GCBA/posts/pfbid0b4e3p1kdCqSay8vtiHJSCCVLY7GjUq3R1LwXjZ4orfdwFFTNqqNXeh8NDwZcZNoTl" TargetMode="External"/><Relationship Id="rId2597" Type="http://schemas.openxmlformats.org/officeDocument/2006/relationships/hyperlink" Target="https://a2g9b4.emailsp.com/f/rnl.aspx/?fei=1wqvoxxy.9ek=vyad8=t3tswy&amp;f2::=4ibeh..e--:5d6.451&amp;x=pp&amp;r1.&amp;x=pv&amp;49-6&amp;aax00l=rwov1NCLM" TargetMode="External"/><Relationship Id="rId430" Type="http://schemas.openxmlformats.org/officeDocument/2006/relationships/hyperlink" Target="https://a2g9b4.emailsp.com/f/rnl.aspx/?fei=1wqvoxxy.9ek=vyad8=/2trx6d90.=3d.lfc&amp;x=pv&amp;.&amp;e08c1-&amp;34&amp;x=pp&amp;qx-f2::19h&amp;x=pv&amp;_95j=yrzorNCLM" TargetMode="External"/><Relationship Id="rId1267" Type="http://schemas.openxmlformats.org/officeDocument/2006/relationships/hyperlink" Target="https://www.facebook.com/baparticipacion/posts/pfbid0KLowxoSSsyPpnxzoG5kuw1zrmDKcvdiDrZyXprZBLCSbaHeF3NxNiMzHqaFMdnSdl" TargetMode="External"/><Relationship Id="rId2114" Type="http://schemas.openxmlformats.org/officeDocument/2006/relationships/hyperlink" Target="https://a2g9b4.emailsp.com/f/rnl.aspx/?fei=1wqvoxxy.9ek=vyad8=t3rusy&amp;f2::=4ibeh..e--:5d6.451&amp;x=pp&amp;r1.&amp;x=pv&amp;49-6&amp;aax00l=rvpvwNCLM" TargetMode="External"/><Relationship Id="rId2598" Type="http://schemas.openxmlformats.org/officeDocument/2006/relationships/hyperlink" Target="https://a2g9b4.emailsp.com/f/rnl.aspx/?fei=1wqvoxxy.9ek=vyad8=t3ttoy&amp;f2::=4ibeh..e--:5d6.451&amp;x=pp&amp;r1.&amp;x=pv&amp;49-6&amp;aax00l=rwptxNCLM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1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 t="array" ref="H1:H868">{"digital_impresiones";SUMIF(DIGITAL!A2:A1000,A2:A1000,DIGITAL!C2:C1000)}</f>
        <v>digital_impresiones</v>
      </c>
      <c r="I1" s="1" t="str">
        <f t="array" ref="I1:I868">{"digital_visualizaciones";SUMIF(DIGITAL!A2:A1000,A2:A1000,DIGITAL!D2:D1000)}</f>
        <v>digital_visualizaciones</v>
      </c>
      <c r="J1" s="1" t="str">
        <f t="array" ref="J1:J868">{"digital_clics";SUMIF(DIGITAL!A2:A1000,A2:A1000,DIGITAL!E2:E1000)}</f>
        <v>digital_clics</v>
      </c>
      <c r="K1" s="1" t="str">
        <f t="array" ref="K1:K868">{"meta_alcance";IFERROR(VLOOKUP(A2:A1000,ALCANCE!$A$2:$C1000,2,0),0)}</f>
        <v>meta_alcance</v>
      </c>
      <c r="L1" s="1" t="str">
        <f t="array" ref="L1:L868">{"meta_frecuencia";IFERROR(VLOOKUP(A2:A1000,ALCANCE!$A$2:$C1000,3,0),0)}</f>
        <v>meta_frecuencia</v>
      </c>
      <c r="M1" s="1" t="str">
        <f t="array" ref="M1:M868">{"frecuencia_total";IFERROR(H2:H1000/K2:K1000,0)}</f>
        <v>frecuencia_total</v>
      </c>
      <c r="N1" s="1" t="str">
        <f t="array" ref="N1:N868">{"mails_enviados";SUMIF(MAIL!A2:A1000,A2:A1000,MAIL!B2:B1000)}</f>
        <v>mails_enviados</v>
      </c>
      <c r="O1" s="1" t="str">
        <f t="array" ref="O1:O868">{"mails_entregados";SUMIF(MAIL!A2:A1000,A2:A1000,MAIL!C2:C1000)}</f>
        <v>mails_entregados</v>
      </c>
      <c r="P1" s="1" t="str">
        <f t="array" ref="P1:P868">{"mails_aperturas";SUMIF(MAIL!A2:A1000,A2:A1000,MAIL!D2:D1000)}</f>
        <v>mails_aperturas</v>
      </c>
      <c r="Q1" s="1" t="str">
        <f t="array" ref="Q1:Q868">{"mails_clics";SUMIF(MAIL!A2:A1000,A2:A1000,MAIL!E2:E1000)}</f>
        <v>mails_clics</v>
      </c>
      <c r="R1" s="1" t="str">
        <f t="array" ref="R1:R868">{"call_enviado";SUMIF(CC!A2:A1000,A2:A1000,CC!B2:B1000)}</f>
        <v>call_enviado</v>
      </c>
      <c r="S1" s="1" t="str">
        <f t="array" ref="S1:S868">{"call_discado";SUMIF(CC!A2:A1000,A2:A1000,CC!C2:C1000)}</f>
        <v>call_discado</v>
      </c>
      <c r="T1" s="1" t="str">
        <f t="array" ref="T1:T868">{"call_contactados";SUMIF(CC!A2:A1000,A2:A1000,CC!D2:D1000)}</f>
        <v>call_contactados</v>
      </c>
      <c r="U1" s="1" t="str">
        <f t="array" ref="U1:U868">{"call_efectivos";SUMIF(CC!A2:A1000,A2:A1000,CC!E2:E1000)}</f>
        <v>call_efectivos</v>
      </c>
      <c r="V1" s="1" t="str">
        <f t="array" ref="V1:V868">{"ivr_audiencia";SUMIF(IVR!A2:A1000,A2:A1000,IVR!B2:B1000)}</f>
        <v>ivr_audiencia</v>
      </c>
      <c r="W1" s="1" t="str">
        <f t="array" ref="W1:W868">{"ivr_realizados";SUMIF(IVR!A2:A1000,A2:A1000,IVR!C2:C1000)}</f>
        <v>ivr_realizados</v>
      </c>
      <c r="X1" s="1" t="str">
        <f t="array" ref="X1:X868">{"ivr_atendidos";SUMIF(IVR!A2:A1000,A2:A1000,IVR!D2:D1000)}</f>
        <v>ivr_atendidos</v>
      </c>
      <c r="Y1" s="1" t="str">
        <f t="array" ref="Y1:Y868">{"ivr_escucha75";SUMIF(IVR!A2:A1000,A2:A1000,IVR!E2:E1000)}</f>
        <v>ivr_escucha75</v>
      </c>
      <c r="Z1" s="1" t="str">
        <f t="array" ref="Z1:Z868">{"ivr_marque1";SUMIF(IVR!A2:A1000,A2:A1000,IVR!F2:F1000)}</f>
        <v>ivr_marque1</v>
      </c>
      <c r="AA1" s="1" t="str">
        <f t="array" ref="AA1:AA868">{"sms_enviados";SUMIF(SMS!A2:A1000,A2:A1000,SMS!B2:B1000)}</f>
        <v>sms_enviados</v>
      </c>
      <c r="AB1" s="1" t="str">
        <f t="array" ref="AB1:AB868">{"sms_entregados";SUMIF(SMS!A2:A1000,A2:A1000,SMS!C2:C1000)}</f>
        <v>sms_entregados</v>
      </c>
      <c r="AC1" s="1" t="str">
        <f t="array" ref="AC1:AC868">{"sms_clics";SUMIF(SMS!A2:A1000,A2:A1000,SMS!D2:D1000)}</f>
        <v>sms_clics</v>
      </c>
      <c r="AD1" s="1" t="str">
        <f t="array" ref="AD1:AD868">{"pieza_meta";IFERROR(VLOOKUP(A2:A1000,URLs!D1:F1000,3,0),"")}</f>
        <v>pieza_meta</v>
      </c>
      <c r="AE1" s="1" t="str">
        <f t="array" ref="AE1:AE868">{"pieza_mail";IFERROR(VLOOKUP(A2:A1000,URLs!A1:C1000,3,0),"")}</f>
        <v>pieza_mail</v>
      </c>
    </row>
    <row r="2" ht="16.5" customHeight="1">
      <c r="A2" s="2" t="str">
        <f>IFERROR(__xludf.DUMMYFUNCTION("QUERY(Cuentas!A2:G1000,""SELECT * WHERE Col1 is not null AND Col7 &lt;&gt; 'Pendiente'"",0)"),"1871-AGOEDUGC")</f>
        <v>1871-AGOEDUGC</v>
      </c>
      <c r="B2" s="2" t="str">
        <f>IFERROR(__xludf.DUMMYFUNCTION("""COMPUTED_VALUE"""),"Campaña GCBA | Educación | TUMO")</f>
        <v>Campaña GCBA | Educación | TUMO</v>
      </c>
      <c r="C2" s="3">
        <f>IFERROR(__xludf.DUMMYFUNCTION("""COMPUTED_VALUE"""),45959.0)</f>
        <v>45959</v>
      </c>
      <c r="D2" s="3">
        <f>IFERROR(__xludf.DUMMYFUNCTION("""COMPUTED_VALUE"""),46203.0)</f>
        <v>46203</v>
      </c>
      <c r="E2" s="2" t="str">
        <f>IFERROR(__xludf.DUMMYFUNCTION("""COMPUTED_VALUE"""),"Cuidado")</f>
        <v>Cuidado</v>
      </c>
      <c r="F2" s="2" t="str">
        <f>IFERROR(__xludf.DUMMYFUNCTION("""COMPUTED_VALUE"""),"Educación")</f>
        <v>Educación</v>
      </c>
      <c r="G2" s="2" t="str">
        <f>IFERROR(__xludf.DUMMYFUNCTION("""COMPUTED_VALUE"""),"Finalizada")</f>
        <v>Finalizada</v>
      </c>
      <c r="H2" s="4">
        <v>2.01273767E8</v>
      </c>
      <c r="I2" s="4">
        <v>2.1618564E7</v>
      </c>
      <c r="J2" s="4">
        <v>2637230.0</v>
      </c>
      <c r="K2" s="4">
        <v>9405671.0</v>
      </c>
      <c r="L2" s="5">
        <v>1.2114669968787979</v>
      </c>
      <c r="M2" s="5">
        <v>21.399192784863516</v>
      </c>
      <c r="N2" s="4">
        <v>858783.0</v>
      </c>
      <c r="O2" s="4">
        <v>844304.0</v>
      </c>
      <c r="P2" s="4">
        <v>285060.0</v>
      </c>
      <c r="Q2" s="4">
        <v>8156.0</v>
      </c>
      <c r="R2" s="4">
        <v>4476.0</v>
      </c>
      <c r="S2" s="4">
        <v>4476.0</v>
      </c>
      <c r="T2" s="4">
        <v>1117.0</v>
      </c>
      <c r="U2" s="4">
        <v>854.0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6" t="s">
        <v>7</v>
      </c>
      <c r="AE2" s="4" t="s">
        <v>8</v>
      </c>
    </row>
    <row r="3" ht="16.5" customHeight="1">
      <c r="A3" s="2" t="str">
        <f>IFERROR(__xludf.DUMMYFUNCTION("""COMPUTED_VALUE"""),"1895-SEPEPHGC")</f>
        <v>1895-SEPEPHGC</v>
      </c>
      <c r="B3" s="2" t="str">
        <f>IFERROR(__xludf.DUMMYFUNCTION("""COMPUTED_VALUE"""),"PIEZAS M2 | MEPHU | REPAVIMENTACIÓN")</f>
        <v>PIEZAS M2 | MEPHU | REPAVIMENTACIÓN</v>
      </c>
      <c r="C3" s="3">
        <f>IFERROR(__xludf.DUMMYFUNCTION("""COMPUTED_VALUE"""),46052.0)</f>
        <v>46052</v>
      </c>
      <c r="D3" s="3">
        <f>IFERROR(__xludf.DUMMYFUNCTION("""COMPUTED_VALUE"""),46178.0)</f>
        <v>46178</v>
      </c>
      <c r="E3" s="2" t="str">
        <f>IFERROR(__xludf.DUMMYFUNCTION("""COMPUTED_VALUE"""),"M2")</f>
        <v>M2</v>
      </c>
      <c r="F3" s="2" t="str">
        <f>IFERROR(__xludf.DUMMYFUNCTION("""COMPUTED_VALUE"""),"Espacio Público e Higiene Urbana")</f>
        <v>Espacio Público e Higiene Urbana</v>
      </c>
      <c r="G3" s="2" t="str">
        <f>IFERROR(__xludf.DUMMYFUNCTION("""COMPUTED_VALUE"""),"Finalizada")</f>
        <v>Finalizada</v>
      </c>
      <c r="H3" s="4">
        <v>0.0</v>
      </c>
      <c r="I3" s="4">
        <v>0.0</v>
      </c>
      <c r="J3" s="4">
        <v>0.0</v>
      </c>
      <c r="K3" s="4">
        <v>0.0</v>
      </c>
      <c r="L3" s="5">
        <v>0.0</v>
      </c>
      <c r="M3" s="5">
        <v>0.0</v>
      </c>
      <c r="N3" s="4">
        <v>21556.0</v>
      </c>
      <c r="O3" s="4">
        <v>21228.0</v>
      </c>
      <c r="P3" s="4">
        <v>7666.0</v>
      </c>
      <c r="Q3" s="4">
        <v>393.0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 t="s">
        <v>8</v>
      </c>
      <c r="AE3" s="6" t="s">
        <v>9</v>
      </c>
    </row>
    <row r="4" ht="16.5" customHeight="1">
      <c r="A4" s="2" t="str">
        <f>IFERROR(__xludf.DUMMYFUNCTION("""COMPUTED_VALUE"""),"1896-SEPEPHGC")</f>
        <v>1896-SEPEPHGC</v>
      </c>
      <c r="B4" s="2" t="str">
        <f>IFERROR(__xludf.DUMMYFUNCTION("""COMPUTED_VALUE"""),"PIEZAS M2 | MEPHU | LIMPIEZA INTENSIVA")</f>
        <v>PIEZAS M2 | MEPHU | LIMPIEZA INTENSIVA</v>
      </c>
      <c r="C4" s="3">
        <f>IFERROR(__xludf.DUMMYFUNCTION("""COMPUTED_VALUE"""),46031.0)</f>
        <v>46031</v>
      </c>
      <c r="D4" s="3">
        <f>IFERROR(__xludf.DUMMYFUNCTION("""COMPUTED_VALUE"""),46136.0)</f>
        <v>46136</v>
      </c>
      <c r="E4" s="2" t="str">
        <f>IFERROR(__xludf.DUMMYFUNCTION("""COMPUTED_VALUE"""),"M2")</f>
        <v>M2</v>
      </c>
      <c r="F4" s="2" t="str">
        <f>IFERROR(__xludf.DUMMYFUNCTION("""COMPUTED_VALUE"""),"Espacio Público e Higiene Urbana")</f>
        <v>Espacio Público e Higiene Urbana</v>
      </c>
      <c r="G4" s="2" t="str">
        <f>IFERROR(__xludf.DUMMYFUNCTION("""COMPUTED_VALUE"""),"Finalizada")</f>
        <v>Finalizada</v>
      </c>
      <c r="H4" s="4">
        <v>0.0</v>
      </c>
      <c r="I4" s="4">
        <v>0.0</v>
      </c>
      <c r="J4" s="4">
        <v>0.0</v>
      </c>
      <c r="K4" s="4">
        <v>0.0</v>
      </c>
      <c r="L4" s="5">
        <v>0.0</v>
      </c>
      <c r="M4" s="5">
        <v>0.0</v>
      </c>
      <c r="N4" s="4">
        <v>648150.0</v>
      </c>
      <c r="O4" s="4">
        <v>634433.0</v>
      </c>
      <c r="P4" s="4">
        <v>181275.0</v>
      </c>
      <c r="Q4" s="4">
        <v>1540.0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 t="s">
        <v>8</v>
      </c>
      <c r="AE4" s="6" t="s">
        <v>9</v>
      </c>
    </row>
    <row r="5" ht="16.5" customHeight="1">
      <c r="A5" s="2" t="str">
        <f>IFERROR(__xludf.DUMMYFUNCTION("""COMPUTED_VALUE"""),"1933-SEPINFGC")</f>
        <v>1933-SEPINFGC</v>
      </c>
      <c r="B5" s="2" t="str">
        <f>IFERROR(__xludf.DUMMYFUNCTION("""COMPUTED_VALUE"""),"CAMPAÑA GCBA | INFRAESTRUCTURA | Campaña 360° Movilidad 2025")</f>
        <v>CAMPAÑA GCBA | INFRAESTRUCTURA | Campaña 360° Movilidad 2025</v>
      </c>
      <c r="C5" s="3">
        <f>IFERROR(__xludf.DUMMYFUNCTION("""COMPUTED_VALUE"""),45936.0)</f>
        <v>45936</v>
      </c>
      <c r="D5" s="3">
        <f>IFERROR(__xludf.DUMMYFUNCTION("""COMPUTED_VALUE"""),46081.0)</f>
        <v>46081</v>
      </c>
      <c r="E5" s="2" t="str">
        <f>IFERROR(__xludf.DUMMYFUNCTION("""COMPUTED_VALUE"""),"Movilidad")</f>
        <v>Movilidad</v>
      </c>
      <c r="F5" s="2" t="str">
        <f>IFERROR(__xludf.DUMMYFUNCTION("""COMPUTED_VALUE"""),"Infraestructura")</f>
        <v>Infraestructura</v>
      </c>
      <c r="G5" s="2" t="str">
        <f>IFERROR(__xludf.DUMMYFUNCTION("""COMPUTED_VALUE"""),"Finalizada")</f>
        <v>Finalizada</v>
      </c>
      <c r="H5" s="4">
        <v>1.20265231E8</v>
      </c>
      <c r="I5" s="4">
        <v>1.4353067E7</v>
      </c>
      <c r="J5" s="4">
        <v>530499.0</v>
      </c>
      <c r="K5" s="4">
        <v>6681997.0</v>
      </c>
      <c r="L5" s="5">
        <v>0.9273354956609529</v>
      </c>
      <c r="M5" s="5">
        <v>17.99839643747221</v>
      </c>
      <c r="N5" s="4">
        <v>2962736.0</v>
      </c>
      <c r="O5" s="4">
        <v>3124082.0</v>
      </c>
      <c r="P5" s="4">
        <v>1008617.0</v>
      </c>
      <c r="Q5" s="4">
        <v>19835.0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16505.0</v>
      </c>
      <c r="AB5" s="4">
        <v>15794.0</v>
      </c>
      <c r="AC5" s="4">
        <v>82.0</v>
      </c>
      <c r="AD5" s="6" t="s">
        <v>10</v>
      </c>
      <c r="AE5" s="6" t="s">
        <v>9</v>
      </c>
    </row>
    <row r="6" ht="16.5" customHeight="1">
      <c r="A6" s="2" t="str">
        <f>IFERROR(__xludf.DUMMYFUNCTION("""COMPUTED_VALUE"""),"1942-SEPEPHGC")</f>
        <v>1942-SEPEPHGC</v>
      </c>
      <c r="B6" s="2" t="str">
        <f>IFERROR(__xludf.DUMMYFUNCTION("""COMPUTED_VALUE"""),"DGPLES | MEPHU  | REPARACIÓN DE VEREDAS")</f>
        <v>DGPLES | MEPHU  | REPARACIÓN DE VEREDAS</v>
      </c>
      <c r="C6" s="3">
        <f>IFERROR(__xludf.DUMMYFUNCTION("""COMPUTED_VALUE"""),46031.0)</f>
        <v>46031</v>
      </c>
      <c r="D6" s="3">
        <f>IFERROR(__xludf.DUMMYFUNCTION("""COMPUTED_VALUE"""),46223.0)</f>
        <v>46223</v>
      </c>
      <c r="E6" s="2" t="str">
        <f>IFERROR(__xludf.DUMMYFUNCTION("""COMPUTED_VALUE"""),"M2")</f>
        <v>M2</v>
      </c>
      <c r="F6" s="2" t="str">
        <f>IFERROR(__xludf.DUMMYFUNCTION("""COMPUTED_VALUE"""),"Espacio Público e Higiene Urbana")</f>
        <v>Espacio Público e Higiene Urbana</v>
      </c>
      <c r="G6" s="2" t="str">
        <f>IFERROR(__xludf.DUMMYFUNCTION("""COMPUTED_VALUE"""),"Finalizada")</f>
        <v>Finalizada</v>
      </c>
      <c r="H6" s="4">
        <v>0.0</v>
      </c>
      <c r="I6" s="4">
        <v>0.0</v>
      </c>
      <c r="J6" s="4">
        <v>0.0</v>
      </c>
      <c r="K6" s="4">
        <v>0.0</v>
      </c>
      <c r="L6" s="5">
        <v>0.0</v>
      </c>
      <c r="M6" s="5">
        <v>0.0</v>
      </c>
      <c r="N6" s="4">
        <v>69878.0</v>
      </c>
      <c r="O6" s="4">
        <v>68815.0</v>
      </c>
      <c r="P6" s="4">
        <v>23523.0</v>
      </c>
      <c r="Q6" s="4">
        <v>1379.0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 t="s">
        <v>8</v>
      </c>
      <c r="AE6" s="6" t="s">
        <v>9</v>
      </c>
    </row>
    <row r="7" ht="16.5" customHeight="1">
      <c r="A7" s="2" t="str">
        <f>IFERROR(__xludf.DUMMYFUNCTION("""COMPUTED_VALUE"""),"1943-SEPEPHGC")</f>
        <v>1943-SEPEPHGC</v>
      </c>
      <c r="B7" s="2" t="str">
        <f>IFERROR(__xludf.DUMMYFUNCTION("""COMPUTED_VALUE"""),"DGPLES | MEPHU  | READOQUINADO")</f>
        <v>DGPLES | MEPHU  | READOQUINADO</v>
      </c>
      <c r="C7" s="3">
        <f>IFERROR(__xludf.DUMMYFUNCTION("""COMPUTED_VALUE"""),46031.0)</f>
        <v>46031</v>
      </c>
      <c r="D7" s="3">
        <f>IFERROR(__xludf.DUMMYFUNCTION("""COMPUTED_VALUE"""),46223.0)</f>
        <v>46223</v>
      </c>
      <c r="E7" s="2" t="str">
        <f>IFERROR(__xludf.DUMMYFUNCTION("""COMPUTED_VALUE"""),"M2")</f>
        <v>M2</v>
      </c>
      <c r="F7" s="2" t="str">
        <f>IFERROR(__xludf.DUMMYFUNCTION("""COMPUTED_VALUE"""),"Espacio Público e Higiene Urbana")</f>
        <v>Espacio Público e Higiene Urbana</v>
      </c>
      <c r="G7" s="2" t="str">
        <f>IFERROR(__xludf.DUMMYFUNCTION("""COMPUTED_VALUE"""),"Finalizada")</f>
        <v>Finalizada</v>
      </c>
      <c r="H7" s="4">
        <v>0.0</v>
      </c>
      <c r="I7" s="4">
        <v>0.0</v>
      </c>
      <c r="J7" s="4">
        <v>0.0</v>
      </c>
      <c r="K7" s="4">
        <v>0.0</v>
      </c>
      <c r="L7" s="5">
        <v>0.0</v>
      </c>
      <c r="M7" s="5">
        <v>0.0</v>
      </c>
      <c r="N7" s="4">
        <v>15590.0</v>
      </c>
      <c r="O7" s="4">
        <v>15371.0</v>
      </c>
      <c r="P7" s="4">
        <v>5329.0</v>
      </c>
      <c r="Q7" s="4">
        <v>415.0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 t="s">
        <v>8</v>
      </c>
      <c r="AE7" s="6" t="s">
        <v>9</v>
      </c>
    </row>
    <row r="8" ht="16.5" customHeight="1">
      <c r="A8" s="2" t="str">
        <f>IFERROR(__xludf.DUMMYFUNCTION("""COMPUTED_VALUE"""),"1946-SEPEPHGC")</f>
        <v>1946-SEPEPHGC</v>
      </c>
      <c r="B8" s="2" t="str">
        <f>IFERROR(__xludf.DUMMYFUNCTION("""COMPUTED_VALUE"""),"CAMPAÑA GCBA | MEPHU  | PLUVIALES")</f>
        <v>CAMPAÑA GCBA | MEPHU  | PLUVIALES</v>
      </c>
      <c r="C8" s="3">
        <f>IFERROR(__xludf.DUMMYFUNCTION("""COMPUTED_VALUE"""),46038.0)</f>
        <v>46038</v>
      </c>
      <c r="D8" s="3">
        <f>IFERROR(__xludf.DUMMYFUNCTION("""COMPUTED_VALUE"""),46223.0)</f>
        <v>46223</v>
      </c>
      <c r="E8" s="2" t="str">
        <f>IFERROR(__xludf.DUMMYFUNCTION("""COMPUTED_VALUE"""),"M2")</f>
        <v>M2</v>
      </c>
      <c r="F8" s="2" t="str">
        <f>IFERROR(__xludf.DUMMYFUNCTION("""COMPUTED_VALUE"""),"Espacio Público e Higiene Urbana")</f>
        <v>Espacio Público e Higiene Urbana</v>
      </c>
      <c r="G8" s="2" t="str">
        <f>IFERROR(__xludf.DUMMYFUNCTION("""COMPUTED_VALUE"""),"Finalizada")</f>
        <v>Finalizada</v>
      </c>
      <c r="H8" s="4">
        <v>0.0</v>
      </c>
      <c r="I8" s="4">
        <v>0.0</v>
      </c>
      <c r="J8" s="4">
        <v>0.0</v>
      </c>
      <c r="K8" s="4">
        <v>0.0</v>
      </c>
      <c r="L8" s="5">
        <v>0.0</v>
      </c>
      <c r="M8" s="5">
        <v>0.0</v>
      </c>
      <c r="N8" s="4">
        <v>18528.0</v>
      </c>
      <c r="O8" s="4">
        <v>18309.0</v>
      </c>
      <c r="P8" s="4">
        <v>6404.0</v>
      </c>
      <c r="Q8" s="4">
        <v>426.0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 t="s">
        <v>8</v>
      </c>
      <c r="AE8" s="6" t="s">
        <v>9</v>
      </c>
    </row>
    <row r="9" ht="16.5" customHeight="1">
      <c r="A9" s="2" t="str">
        <f>IFERROR(__xludf.DUMMYFUNCTION("""COMPUTED_VALUE"""),"1964-SEPEPHGC")</f>
        <v>1964-SEPEPHGC</v>
      </c>
      <c r="B9" s="2" t="str">
        <f>IFERROR(__xludf.DUMMYFUNCTION("""COMPUTED_VALUE"""),"MEPHU RECAMBIO TECNOLÓGICO M2")</f>
        <v>MEPHU RECAMBIO TECNOLÓGICO M2</v>
      </c>
      <c r="C9" s="3">
        <f>IFERROR(__xludf.DUMMYFUNCTION("""COMPUTED_VALUE"""),46071.0)</f>
        <v>46071</v>
      </c>
      <c r="D9" s="3">
        <f>IFERROR(__xludf.DUMMYFUNCTION("""COMPUTED_VALUE"""),46220.0)</f>
        <v>46220</v>
      </c>
      <c r="E9" s="2" t="str">
        <f>IFERROR(__xludf.DUMMYFUNCTION("""COMPUTED_VALUE"""),"M2")</f>
        <v>M2</v>
      </c>
      <c r="F9" s="2" t="str">
        <f>IFERROR(__xludf.DUMMYFUNCTION("""COMPUTED_VALUE"""),"Espacio Público e Higiene Urbana")</f>
        <v>Espacio Público e Higiene Urbana</v>
      </c>
      <c r="G9" s="2" t="str">
        <f>IFERROR(__xludf.DUMMYFUNCTION("""COMPUTED_VALUE"""),"Finalizada")</f>
        <v>Finalizada</v>
      </c>
      <c r="H9" s="4">
        <v>0.0</v>
      </c>
      <c r="I9" s="4">
        <v>0.0</v>
      </c>
      <c r="J9" s="4">
        <v>0.0</v>
      </c>
      <c r="K9" s="4">
        <v>0.0</v>
      </c>
      <c r="L9" s="5">
        <v>0.0</v>
      </c>
      <c r="M9" s="5">
        <v>0.0</v>
      </c>
      <c r="N9" s="4">
        <v>444872.0</v>
      </c>
      <c r="O9" s="4">
        <v>439325.0</v>
      </c>
      <c r="P9" s="4">
        <v>133653.0</v>
      </c>
      <c r="Q9" s="4">
        <v>3043.0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 t="s">
        <v>8</v>
      </c>
      <c r="AE9" s="6" t="s">
        <v>9</v>
      </c>
    </row>
    <row r="10" ht="16.5" customHeight="1">
      <c r="A10" s="2" t="str">
        <f>IFERROR(__xludf.DUMMYFUNCTION("""COMPUTED_VALUE"""),"2033-SEPEPHGC")</f>
        <v>2033-SEPEPHGC</v>
      </c>
      <c r="B10" s="2" t="str">
        <f>IFERROR(__xludf.DUMMYFUNCTION("""COMPUTED_VALUE"""),"M2 PODA")</f>
        <v>M2 PODA</v>
      </c>
      <c r="C10" s="3">
        <f>IFERROR(__xludf.DUMMYFUNCTION("""COMPUTED_VALUE"""),46035.0)</f>
        <v>46035</v>
      </c>
      <c r="D10" s="3">
        <f>IFERROR(__xludf.DUMMYFUNCTION("""COMPUTED_VALUE"""),46216.0)</f>
        <v>46216</v>
      </c>
      <c r="E10" s="2" t="str">
        <f>IFERROR(__xludf.DUMMYFUNCTION("""COMPUTED_VALUE"""),"M2")</f>
        <v>M2</v>
      </c>
      <c r="F10" s="2" t="str">
        <f>IFERROR(__xludf.DUMMYFUNCTION("""COMPUTED_VALUE"""),"Espacio Público e Higiene Urbana")</f>
        <v>Espacio Público e Higiene Urbana</v>
      </c>
      <c r="G10" s="2" t="str">
        <f>IFERROR(__xludf.DUMMYFUNCTION("""COMPUTED_VALUE"""),"Finalizada")</f>
        <v>Finalizada</v>
      </c>
      <c r="H10" s="4">
        <v>0.0</v>
      </c>
      <c r="I10" s="4">
        <v>0.0</v>
      </c>
      <c r="J10" s="4">
        <v>0.0</v>
      </c>
      <c r="K10" s="4">
        <v>0.0</v>
      </c>
      <c r="L10" s="5">
        <v>0.0</v>
      </c>
      <c r="M10" s="5">
        <v>0.0</v>
      </c>
      <c r="N10" s="4">
        <v>145204.0</v>
      </c>
      <c r="O10" s="4">
        <v>141927.0</v>
      </c>
      <c r="P10" s="4">
        <v>46936.0</v>
      </c>
      <c r="Q10" s="4">
        <v>2044.0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 t="s">
        <v>8</v>
      </c>
      <c r="AE10" s="6" t="s">
        <v>9</v>
      </c>
    </row>
    <row r="11" ht="16.5" customHeight="1">
      <c r="A11" s="2" t="str">
        <f>IFERROR(__xludf.DUMMYFUNCTION("""COMPUTED_VALUE"""),"2100-OCTSALGC")</f>
        <v>2100-OCTSALGC</v>
      </c>
      <c r="B11" s="2" t="str">
        <f>IFERROR(__xludf.DUMMYFUNCTION("""COMPUTED_VALUE"""),"Cesac 12 - Más consultorios")</f>
        <v>Cesac 12 - Más consultorios</v>
      </c>
      <c r="C11" s="3">
        <f>IFERROR(__xludf.DUMMYFUNCTION("""COMPUTED_VALUE"""),46013.0)</f>
        <v>46013</v>
      </c>
      <c r="D11" s="3">
        <f>IFERROR(__xludf.DUMMYFUNCTION("""COMPUTED_VALUE"""),46027.0)</f>
        <v>46027</v>
      </c>
      <c r="E11" s="2" t="str">
        <f>IFERROR(__xludf.DUMMYFUNCTION("""COMPUTED_VALUE"""),"Cuidado")</f>
        <v>Cuidado</v>
      </c>
      <c r="F11" s="2" t="str">
        <f>IFERROR(__xludf.DUMMYFUNCTION("""COMPUTED_VALUE"""),"Salud")</f>
        <v>Salud</v>
      </c>
      <c r="G11" s="2" t="str">
        <f>IFERROR(__xludf.DUMMYFUNCTION("""COMPUTED_VALUE"""),"Finalizada")</f>
        <v>Finalizada</v>
      </c>
      <c r="H11" s="4">
        <v>5541119.0</v>
      </c>
      <c r="I11" s="4">
        <v>634751.0</v>
      </c>
      <c r="J11" s="4">
        <v>14536.0</v>
      </c>
      <c r="K11" s="4">
        <v>0.0</v>
      </c>
      <c r="L11" s="5">
        <v>0.0</v>
      </c>
      <c r="M11" s="5">
        <v>0.0</v>
      </c>
      <c r="N11" s="4">
        <v>81077.0</v>
      </c>
      <c r="O11" s="4">
        <v>79591.0</v>
      </c>
      <c r="P11" s="4">
        <v>31217.0</v>
      </c>
      <c r="Q11" s="4">
        <v>1060.0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 t="s">
        <v>8</v>
      </c>
      <c r="AE11" s="4" t="s">
        <v>8</v>
      </c>
    </row>
    <row r="12" ht="16.5" customHeight="1">
      <c r="A12" s="2" t="str">
        <f>IFERROR(__xludf.DUMMYFUNCTION("""COMPUTED_VALUE"""),"2108-OCTEDUGC")</f>
        <v>2108-OCTEDUGC</v>
      </c>
      <c r="B12" s="2" t="str">
        <f>IFERROR(__xludf.DUMMYFUNCTION("""COMPUTED_VALUE"""),"Inscripción 2025 a Profesorados de la Ciudad")</f>
        <v>Inscripción 2025 a Profesorados de la Ciudad</v>
      </c>
      <c r="C12" s="3">
        <f>IFERROR(__xludf.DUMMYFUNCTION("""COMPUTED_VALUE"""),45952.0)</f>
        <v>45952</v>
      </c>
      <c r="D12" s="3">
        <f>IFERROR(__xludf.DUMMYFUNCTION("""COMPUTED_VALUE"""),46073.0)</f>
        <v>46073</v>
      </c>
      <c r="E12" s="2" t="str">
        <f>IFERROR(__xludf.DUMMYFUNCTION("""COMPUTED_VALUE"""),"Cuidado")</f>
        <v>Cuidado</v>
      </c>
      <c r="F12" s="2" t="str">
        <f>IFERROR(__xludf.DUMMYFUNCTION("""COMPUTED_VALUE"""),"Educación")</f>
        <v>Educación</v>
      </c>
      <c r="G12" s="2" t="str">
        <f>IFERROR(__xludf.DUMMYFUNCTION("""COMPUTED_VALUE"""),"Finalizada")</f>
        <v>Finalizada</v>
      </c>
      <c r="H12" s="4">
        <v>2.4528982E7</v>
      </c>
      <c r="I12" s="4">
        <v>0.0</v>
      </c>
      <c r="J12" s="4">
        <v>555619.0</v>
      </c>
      <c r="K12" s="4">
        <v>1745904.0</v>
      </c>
      <c r="L12" s="5">
        <v>1.3171445852692931</v>
      </c>
      <c r="M12" s="5">
        <v>14.049444872112097</v>
      </c>
      <c r="N12" s="4">
        <v>132413.0</v>
      </c>
      <c r="O12" s="4">
        <v>130535.0</v>
      </c>
      <c r="P12" s="4">
        <v>87400.0</v>
      </c>
      <c r="Q12" s="4">
        <v>8263.0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6" t="s">
        <v>11</v>
      </c>
      <c r="AE12" s="4" t="s">
        <v>8</v>
      </c>
    </row>
    <row r="13" ht="16.5" customHeight="1">
      <c r="A13" s="2" t="str">
        <f>IFERROR(__xludf.DUMMYFUNCTION("""COMPUTED_VALUE"""),"2109-OCTEPHGC")</f>
        <v>2109-OCTEPHGC</v>
      </c>
      <c r="B13" s="2" t="str">
        <f>IFERROR(__xludf.DUMMYFUNCTION("""COMPUTED_VALUE"""),"LIMPIEZA DE FACHADAS | M2")</f>
        <v>LIMPIEZA DE FACHADAS | M2</v>
      </c>
      <c r="C13" s="3">
        <f>IFERROR(__xludf.DUMMYFUNCTION("""COMPUTED_VALUE"""),46028.0)</f>
        <v>46028</v>
      </c>
      <c r="D13" s="3">
        <f>IFERROR(__xludf.DUMMYFUNCTION("""COMPUTED_VALUE"""),46099.0)</f>
        <v>46099</v>
      </c>
      <c r="E13" s="2" t="str">
        <f>IFERROR(__xludf.DUMMYFUNCTION("""COMPUTED_VALUE"""),"M2")</f>
        <v>M2</v>
      </c>
      <c r="F13" s="2" t="str">
        <f>IFERROR(__xludf.DUMMYFUNCTION("""COMPUTED_VALUE"""),"Espacio Público e Higiene Urbana")</f>
        <v>Espacio Público e Higiene Urbana</v>
      </c>
      <c r="G13" s="2" t="str">
        <f>IFERROR(__xludf.DUMMYFUNCTION("""COMPUTED_VALUE"""),"Finalizada")</f>
        <v>Finalizada</v>
      </c>
      <c r="H13" s="4">
        <v>0.0</v>
      </c>
      <c r="I13" s="4">
        <v>0.0</v>
      </c>
      <c r="J13" s="4">
        <v>0.0</v>
      </c>
      <c r="K13" s="4">
        <v>0.0</v>
      </c>
      <c r="L13" s="5">
        <v>0.0</v>
      </c>
      <c r="M13" s="5">
        <v>0.0</v>
      </c>
      <c r="N13" s="4">
        <v>923.0</v>
      </c>
      <c r="O13" s="4">
        <v>898.0</v>
      </c>
      <c r="P13" s="4">
        <v>294.0</v>
      </c>
      <c r="Q13" s="4">
        <v>38.0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 t="s">
        <v>8</v>
      </c>
      <c r="AE13" s="6" t="s">
        <v>9</v>
      </c>
    </row>
    <row r="14" ht="16.5" customHeight="1">
      <c r="A14" s="2" t="str">
        <f>IFERROR(__xludf.DUMMYFUNCTION("""COMPUTED_VALUE"""),"2130-OCTSALGC")</f>
        <v>2130-OCTSALGC</v>
      </c>
      <c r="B14" s="2" t="str">
        <f>IFERROR(__xludf.DUMMYFUNCTION("""COMPUTED_VALUE"""),"Hospital Pirovano: Remodelaciones")</f>
        <v>Hospital Pirovano: Remodelaciones</v>
      </c>
      <c r="C14" s="3">
        <f>IFERROR(__xludf.DUMMYFUNCTION("""COMPUTED_VALUE"""),46050.0)</f>
        <v>46050</v>
      </c>
      <c r="D14" s="3">
        <f>IFERROR(__xludf.DUMMYFUNCTION("""COMPUTED_VALUE"""),46066.0)</f>
        <v>46066</v>
      </c>
      <c r="E14" s="2" t="str">
        <f>IFERROR(__xludf.DUMMYFUNCTION("""COMPUTED_VALUE"""),"Cuidado")</f>
        <v>Cuidado</v>
      </c>
      <c r="F14" s="2" t="str">
        <f>IFERROR(__xludf.DUMMYFUNCTION("""COMPUTED_VALUE"""),"Salud")</f>
        <v>Salud</v>
      </c>
      <c r="G14" s="2" t="str">
        <f>IFERROR(__xludf.DUMMYFUNCTION("""COMPUTED_VALUE"""),"Finalizada")</f>
        <v>Finalizada</v>
      </c>
      <c r="H14" s="4">
        <v>3945078.0</v>
      </c>
      <c r="I14" s="4">
        <v>0.0</v>
      </c>
      <c r="J14" s="4">
        <v>9197.0</v>
      </c>
      <c r="K14" s="4">
        <v>1208470.0</v>
      </c>
      <c r="L14" s="5">
        <v>1.0665105463933735</v>
      </c>
      <c r="M14" s="5">
        <v>3.264522909133036</v>
      </c>
      <c r="N14" s="4">
        <v>100614.0</v>
      </c>
      <c r="O14" s="4">
        <v>99157.0</v>
      </c>
      <c r="P14" s="4">
        <v>42370.0</v>
      </c>
      <c r="Q14" s="4">
        <v>787.0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/>
      <c r="AE14" s="6" t="s">
        <v>9</v>
      </c>
    </row>
    <row r="15" ht="16.5" customHeight="1">
      <c r="A15" s="2" t="str">
        <f>IFERROR(__xludf.DUMMYFUNCTION("""COMPUTED_VALUE"""),"2145-OCTVINGC")</f>
        <v>2145-OCTVINGC</v>
      </c>
      <c r="B15" s="2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5" s="3">
        <f>IFERROR(__xludf.DUMMYFUNCTION("""COMPUTED_VALUE"""),46020.0)</f>
        <v>46020</v>
      </c>
      <c r="D15" s="3">
        <f>IFERROR(__xludf.DUMMYFUNCTION("""COMPUTED_VALUE"""),46174.0)</f>
        <v>46174</v>
      </c>
      <c r="E15" s="2" t="str">
        <f>IFERROR(__xludf.DUMMYFUNCTION("""COMPUTED_VALUE"""),"M2")</f>
        <v>M2</v>
      </c>
      <c r="F15" s="2" t="str">
        <f>IFERROR(__xludf.DUMMYFUNCTION("""COMPUTED_VALUE"""),"Vínculo Ciudadano")</f>
        <v>Vínculo Ciudadano</v>
      </c>
      <c r="G15" s="2" t="str">
        <f>IFERROR(__xludf.DUMMYFUNCTION("""COMPUTED_VALUE"""),"Finalizada")</f>
        <v>Finalizada</v>
      </c>
      <c r="H15" s="4">
        <v>2352745.0</v>
      </c>
      <c r="I15" s="4">
        <v>0.0</v>
      </c>
      <c r="J15" s="4">
        <v>7138.0</v>
      </c>
      <c r="K15" s="4">
        <v>1084144.0</v>
      </c>
      <c r="L15" s="5">
        <v>1.9502769004855443</v>
      </c>
      <c r="M15" s="5">
        <v>2.170140682418572</v>
      </c>
      <c r="N15" s="4">
        <v>1136573.0</v>
      </c>
      <c r="O15" s="4">
        <v>1111059.0</v>
      </c>
      <c r="P15" s="4">
        <v>368628.0</v>
      </c>
      <c r="Q15" s="4">
        <v>9109.0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6" t="s">
        <v>12</v>
      </c>
      <c r="AE15" s="6" t="s">
        <v>9</v>
      </c>
    </row>
    <row r="16" ht="16.5" customHeight="1">
      <c r="A16" s="2" t="str">
        <f>IFERROR(__xludf.DUMMYFUNCTION("""COMPUTED_VALUE"""),"2183-OCTSALGC")</f>
        <v>2183-OCTSALGC</v>
      </c>
      <c r="B16" s="2" t="str">
        <f>IFERROR(__xludf.DUMMYFUNCTION("""COMPUTED_VALUE"""),"Sistema de Salud Público - Genérico")</f>
        <v>Sistema de Salud Público - Genérico</v>
      </c>
      <c r="C16" s="3">
        <f>IFERROR(__xludf.DUMMYFUNCTION("""COMPUTED_VALUE"""),45992.0)</f>
        <v>45992</v>
      </c>
      <c r="D16" s="3">
        <f>IFERROR(__xludf.DUMMYFUNCTION("""COMPUTED_VALUE"""),46068.0)</f>
        <v>46068</v>
      </c>
      <c r="E16" s="2" t="str">
        <f>IFERROR(__xludf.DUMMYFUNCTION("""COMPUTED_VALUE"""),"Cuidado")</f>
        <v>Cuidado</v>
      </c>
      <c r="F16" s="2" t="str">
        <f>IFERROR(__xludf.DUMMYFUNCTION("""COMPUTED_VALUE"""),"Salud")</f>
        <v>Salud</v>
      </c>
      <c r="G16" s="2" t="str">
        <f>IFERROR(__xludf.DUMMYFUNCTION("""COMPUTED_VALUE"""),"Finalizada")</f>
        <v>Finalizada</v>
      </c>
      <c r="H16" s="4">
        <v>6.3685126E7</v>
      </c>
      <c r="I16" s="4">
        <v>1.1819633E7</v>
      </c>
      <c r="J16" s="4">
        <v>218716.0</v>
      </c>
      <c r="K16" s="4">
        <v>2510514.0</v>
      </c>
      <c r="L16" s="5">
        <v>2.9775759067665026</v>
      </c>
      <c r="M16" s="5">
        <v>25.367365408039948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44842.0</v>
      </c>
      <c r="AB16" s="4">
        <v>43029.0</v>
      </c>
      <c r="AC16" s="4">
        <v>724.0</v>
      </c>
      <c r="AD16" s="6" t="s">
        <v>13</v>
      </c>
      <c r="AE16" s="4" t="s">
        <v>8</v>
      </c>
    </row>
    <row r="17" ht="16.5" customHeight="1">
      <c r="A17" s="2" t="str">
        <f>IFERROR(__xludf.DUMMYFUNCTION("""COMPUTED_VALUE"""),"2227-NOVINFGC")</f>
        <v>2227-NOVINFGC</v>
      </c>
      <c r="B17" s="2" t="str">
        <f>IFERROR(__xludf.DUMMYFUNCTION("""COMPUTED_VALUE"""),"Infraestructura - SBASE | Campaña GCBA | Seguridad en Subte")</f>
        <v>Infraestructura - SBASE | Campaña GCBA | Seguridad en Subte</v>
      </c>
      <c r="C17" s="3">
        <f>IFERROR(__xludf.DUMMYFUNCTION("""COMPUTED_VALUE"""),45981.0)</f>
        <v>45981</v>
      </c>
      <c r="D17" s="3">
        <f>IFERROR(__xludf.DUMMYFUNCTION("""COMPUTED_VALUE"""),46037.0)</f>
        <v>46037</v>
      </c>
      <c r="E17" s="2" t="str">
        <f>IFERROR(__xludf.DUMMYFUNCTION("""COMPUTED_VALUE"""),"Movilidad")</f>
        <v>Movilidad</v>
      </c>
      <c r="F17" s="2" t="str">
        <f>IFERROR(__xludf.DUMMYFUNCTION("""COMPUTED_VALUE"""),"Infraestructura")</f>
        <v>Infraestructura</v>
      </c>
      <c r="G17" s="2" t="str">
        <f>IFERROR(__xludf.DUMMYFUNCTION("""COMPUTED_VALUE"""),"Finalizada")</f>
        <v>Finalizada</v>
      </c>
      <c r="H17" s="4">
        <v>5.6510666E7</v>
      </c>
      <c r="I17" s="4">
        <v>1.3306488E7</v>
      </c>
      <c r="J17" s="4">
        <v>109062.0</v>
      </c>
      <c r="K17" s="4">
        <v>2996348.0</v>
      </c>
      <c r="L17" s="5">
        <v>1.9993094927558481</v>
      </c>
      <c r="M17" s="5">
        <v>18.859847387553113</v>
      </c>
      <c r="N17" s="4">
        <v>448806.0</v>
      </c>
      <c r="O17" s="4">
        <v>441370.0</v>
      </c>
      <c r="P17" s="4">
        <v>157871.0</v>
      </c>
      <c r="Q17" s="4">
        <v>1073.0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6" t="s">
        <v>14</v>
      </c>
      <c r="AE17" s="6" t="s">
        <v>9</v>
      </c>
    </row>
    <row r="18" ht="16.5" customHeight="1">
      <c r="A18" s="2" t="str">
        <f>IFERROR(__xludf.DUMMYFUNCTION("""COMPUTED_VALUE"""),"2239-NOVSALGC")</f>
        <v>2239-NOVSALGC</v>
      </c>
      <c r="B18" s="2" t="str">
        <f>IFERROR(__xludf.DUMMYFUNCTION("""COMPUTED_VALUE"""),"Cuidados del Calor 2025 - Prevención")</f>
        <v>Cuidados del Calor 2025 - Prevención</v>
      </c>
      <c r="C18" s="3">
        <f>IFERROR(__xludf.DUMMYFUNCTION("""COMPUTED_VALUE"""),45996.0)</f>
        <v>45996</v>
      </c>
      <c r="D18" s="3">
        <f>IFERROR(__xludf.DUMMYFUNCTION("""COMPUTED_VALUE"""),46081.0)</f>
        <v>46081</v>
      </c>
      <c r="E18" s="2" t="str">
        <f>IFERROR(__xludf.DUMMYFUNCTION("""COMPUTED_VALUE"""),"Cuidado")</f>
        <v>Cuidado</v>
      </c>
      <c r="F18" s="2" t="str">
        <f>IFERROR(__xludf.DUMMYFUNCTION("""COMPUTED_VALUE"""),"Salud")</f>
        <v>Salud</v>
      </c>
      <c r="G18" s="2" t="str">
        <f>IFERROR(__xludf.DUMMYFUNCTION("""COMPUTED_VALUE"""),"Finalizada")</f>
        <v>Finalizada</v>
      </c>
      <c r="H18" s="4">
        <v>4.4318251E7</v>
      </c>
      <c r="I18" s="4">
        <v>7628858.0</v>
      </c>
      <c r="J18" s="4">
        <v>207888.0</v>
      </c>
      <c r="K18" s="4">
        <v>3270088.0</v>
      </c>
      <c r="L18" s="5">
        <v>3.1020116278216365</v>
      </c>
      <c r="M18" s="5">
        <v>13.552617238435174</v>
      </c>
      <c r="N18" s="4">
        <v>393084.0</v>
      </c>
      <c r="O18" s="4">
        <v>386497.0</v>
      </c>
      <c r="P18" s="4">
        <v>128673.0</v>
      </c>
      <c r="Q18" s="4">
        <v>1026.0</v>
      </c>
      <c r="R18" s="4">
        <v>0.0</v>
      </c>
      <c r="S18" s="4">
        <v>0.0</v>
      </c>
      <c r="T18" s="4">
        <v>0.0</v>
      </c>
      <c r="U18" s="4">
        <v>0.0</v>
      </c>
      <c r="V18" s="4">
        <v>60114.0</v>
      </c>
      <c r="W18" s="4">
        <v>60114.0</v>
      </c>
      <c r="X18" s="4">
        <v>50294.0</v>
      </c>
      <c r="Y18" s="4">
        <v>14803.0</v>
      </c>
      <c r="Z18" s="4">
        <v>0.0</v>
      </c>
      <c r="AA18" s="4">
        <v>44261.0</v>
      </c>
      <c r="AB18" s="4">
        <v>42094.0</v>
      </c>
      <c r="AC18" s="4">
        <v>432.0</v>
      </c>
      <c r="AD18" s="6" t="s">
        <v>15</v>
      </c>
      <c r="AE18" s="6" t="s">
        <v>9</v>
      </c>
    </row>
    <row r="19" ht="16.5" customHeight="1">
      <c r="A19" s="2" t="str">
        <f>IFERROR(__xludf.DUMMYFUNCTION("""COMPUTED_VALUE"""),"2240-NOVSALGC")</f>
        <v>2240-NOVSALGC</v>
      </c>
      <c r="B19" s="2" t="str">
        <f>IFERROR(__xludf.DUMMYFUNCTION("""COMPUTED_VALUE"""),"Cuidados del Calor 2025 - Síntomas")</f>
        <v>Cuidados del Calor 2025 - Síntomas</v>
      </c>
      <c r="C19" s="3">
        <f>IFERROR(__xludf.DUMMYFUNCTION("""COMPUTED_VALUE"""),46009.0)</f>
        <v>46009</v>
      </c>
      <c r="D19" s="3">
        <f>IFERROR(__xludf.DUMMYFUNCTION("""COMPUTED_VALUE"""),46081.0)</f>
        <v>46081</v>
      </c>
      <c r="E19" s="2" t="str">
        <f>IFERROR(__xludf.DUMMYFUNCTION("""COMPUTED_VALUE"""),"Cuidado")</f>
        <v>Cuidado</v>
      </c>
      <c r="F19" s="2" t="str">
        <f>IFERROR(__xludf.DUMMYFUNCTION("""COMPUTED_VALUE"""),"Salud")</f>
        <v>Salud</v>
      </c>
      <c r="G19" s="2" t="str">
        <f>IFERROR(__xludf.DUMMYFUNCTION("""COMPUTED_VALUE"""),"Finalizada")</f>
        <v>Finalizada</v>
      </c>
      <c r="H19" s="4">
        <v>3.779245E7</v>
      </c>
      <c r="I19" s="4">
        <v>5153493.0</v>
      </c>
      <c r="J19" s="4">
        <v>136800.0</v>
      </c>
      <c r="K19" s="4">
        <v>1979868.0</v>
      </c>
      <c r="L19" s="5">
        <v>3.427690633921049</v>
      </c>
      <c r="M19" s="5">
        <v>19.088368517497127</v>
      </c>
      <c r="N19" s="4">
        <v>202759.0</v>
      </c>
      <c r="O19" s="4">
        <v>198265.0</v>
      </c>
      <c r="P19" s="4">
        <v>46872.0</v>
      </c>
      <c r="Q19" s="4">
        <v>167.0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6" t="s">
        <v>16</v>
      </c>
      <c r="AE19" s="6" t="s">
        <v>9</v>
      </c>
    </row>
    <row r="20" ht="16.5" customHeight="1">
      <c r="A20" s="2" t="str">
        <f>IFERROR(__xludf.DUMMYFUNCTION("""COMPUTED_VALUE"""),"2241-NOVSALGC")</f>
        <v>2241-NOVSALGC</v>
      </c>
      <c r="B20" s="2" t="str">
        <f>IFERROR(__xludf.DUMMYFUNCTION("""COMPUTED_VALUE"""),"Cuidados del Calor 2025 - Alertas Meteorológicas")</f>
        <v>Cuidados del Calor 2025 - Alertas Meteorológicas</v>
      </c>
      <c r="C20" s="3">
        <f>IFERROR(__xludf.DUMMYFUNCTION("""COMPUTED_VALUE"""),46020.0)</f>
        <v>46020</v>
      </c>
      <c r="D20" s="3">
        <f>IFERROR(__xludf.DUMMYFUNCTION("""COMPUTED_VALUE"""),46058.0)</f>
        <v>46058</v>
      </c>
      <c r="E20" s="2" t="str">
        <f>IFERROR(__xludf.DUMMYFUNCTION("""COMPUTED_VALUE"""),"Cuidado")</f>
        <v>Cuidado</v>
      </c>
      <c r="F20" s="2" t="str">
        <f>IFERROR(__xludf.DUMMYFUNCTION("""COMPUTED_VALUE"""),"Salud")</f>
        <v>Salud</v>
      </c>
      <c r="G20" s="2" t="str">
        <f>IFERROR(__xludf.DUMMYFUNCTION("""COMPUTED_VALUE"""),"Finalizada")</f>
        <v>Finalizada</v>
      </c>
      <c r="H20" s="4">
        <v>6328947.0</v>
      </c>
      <c r="I20" s="4">
        <v>0.0</v>
      </c>
      <c r="J20" s="4">
        <v>50769.0</v>
      </c>
      <c r="K20" s="4">
        <v>2394484.0</v>
      </c>
      <c r="L20" s="5">
        <v>1.3164297610675202</v>
      </c>
      <c r="M20" s="5">
        <v>2.643136057705961</v>
      </c>
      <c r="N20" s="4">
        <v>246623.0</v>
      </c>
      <c r="O20" s="4">
        <v>243978.0</v>
      </c>
      <c r="P20" s="4">
        <v>116854.0</v>
      </c>
      <c r="Q20" s="4">
        <v>114.0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62485.0</v>
      </c>
      <c r="AB20" s="4">
        <v>59237.0</v>
      </c>
      <c r="AC20" s="4">
        <v>372.0</v>
      </c>
      <c r="AD20" s="6" t="s">
        <v>12</v>
      </c>
      <c r="AE20" s="4" t="s">
        <v>8</v>
      </c>
    </row>
    <row r="21" ht="16.5" customHeight="1">
      <c r="A21" s="2" t="str">
        <f>IFERROR(__xludf.DUMMYFUNCTION("""COMPUTED_VALUE"""),"2255-NOVSALGC")</f>
        <v>2255-NOVSALGC</v>
      </c>
      <c r="B21" s="2" t="str">
        <f>IFERROR(__xludf.DUMMYFUNCTION("""COMPUTED_VALUE"""),"Sistema de Salud Público - Geolocalizado")</f>
        <v>Sistema de Salud Público - Geolocalizado</v>
      </c>
      <c r="C21" s="3">
        <f>IFERROR(__xludf.DUMMYFUNCTION("""COMPUTED_VALUE"""),46008.0)</f>
        <v>46008</v>
      </c>
      <c r="D21" s="3">
        <f>IFERROR(__xludf.DUMMYFUNCTION("""COMPUTED_VALUE"""),46068.0)</f>
        <v>46068</v>
      </c>
      <c r="E21" s="2" t="str">
        <f>IFERROR(__xludf.DUMMYFUNCTION("""COMPUTED_VALUE"""),"Cuidado")</f>
        <v>Cuidado</v>
      </c>
      <c r="F21" s="2" t="str">
        <f>IFERROR(__xludf.DUMMYFUNCTION("""COMPUTED_VALUE"""),"Salud")</f>
        <v>Salud</v>
      </c>
      <c r="G21" s="2" t="str">
        <f>IFERROR(__xludf.DUMMYFUNCTION("""COMPUTED_VALUE"""),"Finalizada")</f>
        <v>Finalizada</v>
      </c>
      <c r="H21" s="4">
        <v>3.8197009E7</v>
      </c>
      <c r="I21" s="4">
        <v>0.0</v>
      </c>
      <c r="J21" s="4">
        <v>552532.0</v>
      </c>
      <c r="K21" s="4">
        <v>1566896.0</v>
      </c>
      <c r="L21" s="5">
        <v>3.622640558148084</v>
      </c>
      <c r="M21" s="5">
        <v>24.37750112323983</v>
      </c>
      <c r="N21" s="4">
        <v>907590.0</v>
      </c>
      <c r="O21" s="4">
        <v>862876.0</v>
      </c>
      <c r="P21" s="4">
        <v>284653.0</v>
      </c>
      <c r="Q21" s="4">
        <v>624.0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6" t="s">
        <v>17</v>
      </c>
      <c r="AE21" s="6" t="s">
        <v>9</v>
      </c>
    </row>
    <row r="22" ht="16.5" customHeight="1">
      <c r="A22" s="2" t="str">
        <f>IFERROR(__xludf.DUMMYFUNCTION("""COMPUTED_VALUE"""),"2256-NOVSALGC")</f>
        <v>2256-NOVSALGC</v>
      </c>
      <c r="B22" s="2" t="str">
        <f>IFERROR(__xludf.DUMMYFUNCTION("""COMPUTED_VALUE"""),"Sistema de Salud Público - Diferenciado x Audiencias")</f>
        <v>Sistema de Salud Público - Diferenciado x Audiencias</v>
      </c>
      <c r="C22" s="3">
        <f>IFERROR(__xludf.DUMMYFUNCTION("""COMPUTED_VALUE"""),46010.0)</f>
        <v>46010</v>
      </c>
      <c r="D22" s="3">
        <f>IFERROR(__xludf.DUMMYFUNCTION("""COMPUTED_VALUE"""),46068.0)</f>
        <v>46068</v>
      </c>
      <c r="E22" s="2" t="str">
        <f>IFERROR(__xludf.DUMMYFUNCTION("""COMPUTED_VALUE"""),"Cuidado")</f>
        <v>Cuidado</v>
      </c>
      <c r="F22" s="2" t="str">
        <f>IFERROR(__xludf.DUMMYFUNCTION("""COMPUTED_VALUE"""),"Salud")</f>
        <v>Salud</v>
      </c>
      <c r="G22" s="2" t="str">
        <f>IFERROR(__xludf.DUMMYFUNCTION("""COMPUTED_VALUE"""),"Finalizada")</f>
        <v>Finalizada</v>
      </c>
      <c r="H22" s="4">
        <v>2.826148E7</v>
      </c>
      <c r="I22" s="4">
        <v>5404995.0</v>
      </c>
      <c r="J22" s="4">
        <v>94248.0</v>
      </c>
      <c r="K22" s="4">
        <v>1318610.0</v>
      </c>
      <c r="L22" s="5">
        <v>2.642122386452401</v>
      </c>
      <c r="M22" s="5">
        <v>21.432781489598895</v>
      </c>
      <c r="N22" s="4">
        <v>348034.0</v>
      </c>
      <c r="O22" s="4">
        <v>344435.0</v>
      </c>
      <c r="P22" s="4">
        <v>178103.0</v>
      </c>
      <c r="Q22" s="4">
        <v>356.0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6" t="s">
        <v>18</v>
      </c>
      <c r="AE22" s="6" t="s">
        <v>9</v>
      </c>
    </row>
    <row r="23" ht="16.5" customHeight="1">
      <c r="A23" s="2" t="str">
        <f>IFERROR(__xludf.DUMMYFUNCTION("""COMPUTED_VALUE"""),"2293-NOVFESGC")</f>
        <v>2293-NOVFESGC</v>
      </c>
      <c r="B23" s="2" t="str">
        <f>IFERROR(__xludf.DUMMYFUNCTION("""COMPUTED_VALUE"""),"LA CIUDAD MAS LINDA DEL MUNDO")</f>
        <v>LA CIUDAD MAS LINDA DEL MUNDO</v>
      </c>
      <c r="C23" s="3">
        <f>IFERROR(__xludf.DUMMYFUNCTION("""COMPUTED_VALUE"""),45994.0)</f>
        <v>45994</v>
      </c>
      <c r="D23" s="3">
        <f>IFERROR(__xludf.DUMMYFUNCTION("""COMPUTED_VALUE"""),46053.0)</f>
        <v>46053</v>
      </c>
      <c r="E23" s="2" t="str">
        <f>IFERROR(__xludf.DUMMYFUNCTION("""COMPUTED_VALUE"""),"Ciudad Atractiva")</f>
        <v>Ciudad Atractiva</v>
      </c>
      <c r="F23" s="2" t="str">
        <f>IFERROR(__xludf.DUMMYFUNCTION("""COMPUTED_VALUE"""),"Festivales y Eventos")</f>
        <v>Festivales y Eventos</v>
      </c>
      <c r="G23" s="2" t="str">
        <f>IFERROR(__xludf.DUMMYFUNCTION("""COMPUTED_VALUE"""),"Finalizada")</f>
        <v>Finalizada</v>
      </c>
      <c r="H23" s="4">
        <v>7.5245249E7</v>
      </c>
      <c r="I23" s="4">
        <v>1.3466546E7</v>
      </c>
      <c r="J23" s="4">
        <v>799082.0</v>
      </c>
      <c r="K23" s="4">
        <v>7843297.0</v>
      </c>
      <c r="L23" s="5">
        <v>1.9541975778808325</v>
      </c>
      <c r="M23" s="5">
        <v>9.593573850384603</v>
      </c>
      <c r="N23" s="4">
        <v>657996.0</v>
      </c>
      <c r="O23" s="4">
        <v>645327.0</v>
      </c>
      <c r="P23" s="4">
        <v>198939.0</v>
      </c>
      <c r="Q23" s="4">
        <v>10076.0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6" t="s">
        <v>19</v>
      </c>
      <c r="AE23" s="4" t="s">
        <v>8</v>
      </c>
    </row>
    <row r="24" ht="16.5" customHeight="1">
      <c r="A24" s="2" t="str">
        <f>IFERROR(__xludf.DUMMYFUNCTION("""COMPUTED_VALUE"""),"2318-ENEINFGC")</f>
        <v>2318-ENEINFGC</v>
      </c>
      <c r="B24" s="2" t="str">
        <f>IFERROR(__xludf.DUMMYFUNCTION("""COMPUTED_VALUE"""),"Infraestructura I Cambio de sentido Avelino Díaz y Las Casas")</f>
        <v>Infraestructura I Cambio de sentido Avelino Díaz y Las Casas</v>
      </c>
      <c r="C24" s="3">
        <f>IFERROR(__xludf.DUMMYFUNCTION("""COMPUTED_VALUE"""),46040.0)</f>
        <v>46040</v>
      </c>
      <c r="D24" s="3">
        <f>IFERROR(__xludf.DUMMYFUNCTION("""COMPUTED_VALUE"""),46053.0)</f>
        <v>46053</v>
      </c>
      <c r="E24" s="2" t="str">
        <f>IFERROR(__xludf.DUMMYFUNCTION("""COMPUTED_VALUE"""),"M2")</f>
        <v>M2</v>
      </c>
      <c r="F24" s="2" t="str">
        <f>IFERROR(__xludf.DUMMYFUNCTION("""COMPUTED_VALUE"""),"Infraestructura")</f>
        <v>Infraestructura</v>
      </c>
      <c r="G24" s="2" t="str">
        <f>IFERROR(__xludf.DUMMYFUNCTION("""COMPUTED_VALUE"""),"Finalizada")</f>
        <v>Finalizada</v>
      </c>
      <c r="H24" s="4">
        <v>656152.0</v>
      </c>
      <c r="I24" s="4">
        <v>0.0</v>
      </c>
      <c r="J24" s="4">
        <v>4677.0</v>
      </c>
      <c r="K24" s="4">
        <v>293307.0</v>
      </c>
      <c r="L24" s="5">
        <v>2.237082647192191</v>
      </c>
      <c r="M24" s="5">
        <v>2.237082647192191</v>
      </c>
      <c r="N24" s="4">
        <v>34125.0</v>
      </c>
      <c r="O24" s="4">
        <v>33543.0</v>
      </c>
      <c r="P24" s="4">
        <v>11623.0</v>
      </c>
      <c r="Q24" s="4">
        <v>221.0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6" t="s">
        <v>20</v>
      </c>
      <c r="AE24" s="6" t="s">
        <v>9</v>
      </c>
    </row>
    <row r="25" ht="16.5" customHeight="1">
      <c r="A25" s="2" t="str">
        <f>IFERROR(__xludf.DUMMYFUNCTION("""COMPUTED_VALUE"""),"2322-NOVEDUGC")</f>
        <v>2322-NOVEDUGC</v>
      </c>
      <c r="B25" s="2" t="str">
        <f>IFERROR(__xludf.DUMMYFUNCTION("""COMPUTED_VALUE"""),"TUMO Parque de la Innovación")</f>
        <v>TUMO Parque de la Innovación</v>
      </c>
      <c r="C25" s="3">
        <f>IFERROR(__xludf.DUMMYFUNCTION("""COMPUTED_VALUE"""),46006.0)</f>
        <v>46006</v>
      </c>
      <c r="D25" s="3">
        <f>IFERROR(__xludf.DUMMYFUNCTION("""COMPUTED_VALUE"""),46265.0)</f>
        <v>46265</v>
      </c>
      <c r="E25" s="2" t="str">
        <f>IFERROR(__xludf.DUMMYFUNCTION("""COMPUTED_VALUE"""),"Cuidado")</f>
        <v>Cuidado</v>
      </c>
      <c r="F25" s="2" t="str">
        <f>IFERROR(__xludf.DUMMYFUNCTION("""COMPUTED_VALUE"""),"Educación")</f>
        <v>Educación</v>
      </c>
      <c r="G25" s="2" t="str">
        <f>IFERROR(__xludf.DUMMYFUNCTION("""COMPUTED_VALUE"""),"Activa")</f>
        <v>Activa</v>
      </c>
      <c r="H25" s="4">
        <v>3.7630874E7</v>
      </c>
      <c r="I25" s="4">
        <v>2298580.0</v>
      </c>
      <c r="J25" s="4">
        <v>197893.0</v>
      </c>
      <c r="K25" s="4">
        <v>845956.0</v>
      </c>
      <c r="L25" s="5">
        <v>2.745192421355248</v>
      </c>
      <c r="M25" s="5">
        <v>44.48325208403274</v>
      </c>
      <c r="N25" s="4">
        <v>390326.0</v>
      </c>
      <c r="O25" s="4">
        <v>382880.0</v>
      </c>
      <c r="P25" s="4">
        <v>132608.0</v>
      </c>
      <c r="Q25" s="4">
        <v>2847.0</v>
      </c>
      <c r="R25" s="4">
        <v>2471.0</v>
      </c>
      <c r="S25" s="4">
        <v>2471.0</v>
      </c>
      <c r="T25" s="4">
        <v>938.0</v>
      </c>
      <c r="U25" s="4">
        <v>695.0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6" t="s">
        <v>21</v>
      </c>
      <c r="AE25" s="6" t="s">
        <v>9</v>
      </c>
    </row>
    <row r="26" ht="16.5" customHeight="1">
      <c r="A26" s="2" t="str">
        <f>IFERROR(__xludf.DUMMYFUNCTION("""COMPUTED_VALUE"""),"2407-DICDHHGC")</f>
        <v>2407-DICDHHGC</v>
      </c>
      <c r="B26" s="2" t="str">
        <f>IFERROR(__xludf.DUMMYFUNCTION("""COMPUTED_VALUE"""),"Red de atención - Comuna 14")</f>
        <v>Red de atención - Comuna 14</v>
      </c>
      <c r="C26" s="3">
        <f>IFERROR(__xludf.DUMMYFUNCTION("""COMPUTED_VALUE"""),46009.0)</f>
        <v>46009</v>
      </c>
      <c r="D26" s="3">
        <f>IFERROR(__xludf.DUMMYFUNCTION("""COMPUTED_VALUE"""),46035.0)</f>
        <v>46035</v>
      </c>
      <c r="E26" s="2" t="str">
        <f>IFERROR(__xludf.DUMMYFUNCTION("""COMPUTED_VALUE"""),"Cuidado")</f>
        <v>Cuidado</v>
      </c>
      <c r="F26" s="2" t="str">
        <f>IFERROR(__xludf.DUMMYFUNCTION("""COMPUTED_VALUE"""),"Desarrollo Humano y Hábitat")</f>
        <v>Desarrollo Humano y Hábitat</v>
      </c>
      <c r="G26" s="2" t="str">
        <f>IFERROR(__xludf.DUMMYFUNCTION("""COMPUTED_VALUE"""),"Finalizada")</f>
        <v>Finalizada</v>
      </c>
      <c r="H26" s="4">
        <v>5648733.0</v>
      </c>
      <c r="I26" s="4">
        <v>908168.0</v>
      </c>
      <c r="J26" s="4">
        <v>31911.0</v>
      </c>
      <c r="K26" s="4">
        <v>345688.0</v>
      </c>
      <c r="L26" s="5">
        <v>1.5532705792506538</v>
      </c>
      <c r="M26" s="5">
        <v>16.340552752771284</v>
      </c>
      <c r="N26" s="4">
        <v>82291.0</v>
      </c>
      <c r="O26" s="4">
        <v>80644.0</v>
      </c>
      <c r="P26" s="4">
        <v>34390.0</v>
      </c>
      <c r="Q26" s="4">
        <v>427.0</v>
      </c>
      <c r="R26" s="4">
        <v>41000.0</v>
      </c>
      <c r="S26" s="4">
        <v>38657.0</v>
      </c>
      <c r="T26" s="4">
        <v>7137.0</v>
      </c>
      <c r="U26" s="4">
        <v>4305.0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6" t="s">
        <v>22</v>
      </c>
      <c r="AE26" s="6" t="s">
        <v>9</v>
      </c>
    </row>
    <row r="27" ht="16.5" customHeight="1">
      <c r="A27" s="2" t="str">
        <f>IFERROR(__xludf.DUMMYFUNCTION("""COMPUTED_VALUE"""),"2410-DICJDGAG")</f>
        <v>2410-DICJDGAG</v>
      </c>
      <c r="B27" s="2" t="str">
        <f>IFERROR(__xludf.DUMMYFUNCTION("""COMPUTED_VALUE"""),"RDV JM | Villa Devoto 15/12")</f>
        <v>RDV JM | Villa Devoto 15/12</v>
      </c>
      <c r="C27" s="3">
        <f>IFERROR(__xludf.DUMMYFUNCTION("""COMPUTED_VALUE"""),46013.0)</f>
        <v>46013</v>
      </c>
      <c r="D27" s="3">
        <f>IFERROR(__xludf.DUMMYFUNCTION("""COMPUTED_VALUE"""),46024.0)</f>
        <v>46024</v>
      </c>
      <c r="E27" s="2" t="str">
        <f>IFERROR(__xludf.DUMMYFUNCTION("""COMPUTED_VALUE"""),"Cercanía")</f>
        <v>Cercanía</v>
      </c>
      <c r="F27" s="2" t="str">
        <f>IFERROR(__xludf.DUMMYFUNCTION("""COMPUTED_VALUE"""),"Jefatura de Gobierno")</f>
        <v>Jefatura de Gobierno</v>
      </c>
      <c r="G27" s="2" t="str">
        <f>IFERROR(__xludf.DUMMYFUNCTION("""COMPUTED_VALUE"""),"Finalizada")</f>
        <v>Finalizada</v>
      </c>
      <c r="H27" s="4">
        <v>1.4229634E7</v>
      </c>
      <c r="I27" s="4">
        <v>322142.0</v>
      </c>
      <c r="J27" s="4">
        <v>29184.0</v>
      </c>
      <c r="K27" s="4">
        <v>0.0</v>
      </c>
      <c r="L27" s="5">
        <v>0.0</v>
      </c>
      <c r="M27" s="5">
        <v>0.0</v>
      </c>
      <c r="N27" s="4">
        <v>30540.0</v>
      </c>
      <c r="O27" s="4">
        <v>30402.0</v>
      </c>
      <c r="P27" s="4">
        <v>9314.0</v>
      </c>
      <c r="Q27" s="4">
        <v>336.0</v>
      </c>
      <c r="R27" s="4">
        <v>0.0</v>
      </c>
      <c r="S27" s="4">
        <v>0.0</v>
      </c>
      <c r="T27" s="4">
        <v>0.0</v>
      </c>
      <c r="U27" s="4">
        <v>0.0</v>
      </c>
      <c r="V27" s="4">
        <v>20067.047</v>
      </c>
      <c r="W27" s="4">
        <v>20067.047</v>
      </c>
      <c r="X27" s="4">
        <v>18323.305</v>
      </c>
      <c r="Y27" s="4">
        <v>7084.077</v>
      </c>
      <c r="Z27" s="4">
        <v>180.0</v>
      </c>
      <c r="AA27" s="4">
        <v>0.0</v>
      </c>
      <c r="AB27" s="4">
        <v>0.0</v>
      </c>
      <c r="AC27" s="4">
        <v>0.0</v>
      </c>
      <c r="AD27" s="4" t="s">
        <v>8</v>
      </c>
      <c r="AE27" s="4" t="s">
        <v>8</v>
      </c>
    </row>
    <row r="28" ht="16.5" customHeight="1">
      <c r="A28" s="2" t="str">
        <f>IFERROR(__xludf.DUMMYFUNCTION("""COMPUTED_VALUE"""),"2412-DICJDGAG")</f>
        <v>2412-DICJDGAG</v>
      </c>
      <c r="B28" s="2" t="str">
        <f>IFERROR(__xludf.DUMMYFUNCTION("""COMPUTED_VALUE"""),"RDV JM | Colegiales 19/12")</f>
        <v>RDV JM | Colegiales 19/12</v>
      </c>
      <c r="C28" s="3">
        <f>IFERROR(__xludf.DUMMYFUNCTION("""COMPUTED_VALUE"""),46014.0)</f>
        <v>46014</v>
      </c>
      <c r="D28" s="3">
        <f>IFERROR(__xludf.DUMMYFUNCTION("""COMPUTED_VALUE"""),46025.0)</f>
        <v>46025</v>
      </c>
      <c r="E28" s="2" t="str">
        <f>IFERROR(__xludf.DUMMYFUNCTION("""COMPUTED_VALUE"""),"Cercanía")</f>
        <v>Cercanía</v>
      </c>
      <c r="F28" s="2" t="str">
        <f>IFERROR(__xludf.DUMMYFUNCTION("""COMPUTED_VALUE"""),"Jefatura de Gobierno")</f>
        <v>Jefatura de Gobierno</v>
      </c>
      <c r="G28" s="2" t="str">
        <f>IFERROR(__xludf.DUMMYFUNCTION("""COMPUTED_VALUE"""),"Finalizada")</f>
        <v>Finalizada</v>
      </c>
      <c r="H28" s="4">
        <v>1782381.0</v>
      </c>
      <c r="I28" s="4">
        <v>139137.0</v>
      </c>
      <c r="J28" s="4">
        <v>7011.0</v>
      </c>
      <c r="K28" s="4">
        <v>0.0</v>
      </c>
      <c r="L28" s="5">
        <v>0.0</v>
      </c>
      <c r="M28" s="5">
        <v>0.0</v>
      </c>
      <c r="N28" s="4">
        <v>24878.0</v>
      </c>
      <c r="O28" s="4">
        <v>24515.0</v>
      </c>
      <c r="P28" s="4">
        <v>6879.0</v>
      </c>
      <c r="Q28" s="4">
        <v>163.0</v>
      </c>
      <c r="R28" s="4">
        <v>6770.0</v>
      </c>
      <c r="S28" s="4">
        <v>6769.0</v>
      </c>
      <c r="T28" s="4">
        <v>1751.0</v>
      </c>
      <c r="U28" s="4">
        <v>1295.0</v>
      </c>
      <c r="V28" s="4">
        <v>26545.519</v>
      </c>
      <c r="W28" s="4">
        <v>26545.519</v>
      </c>
      <c r="X28" s="4">
        <v>23902.879</v>
      </c>
      <c r="Y28" s="4">
        <v>10339.329</v>
      </c>
      <c r="Z28" s="4">
        <v>126.0</v>
      </c>
      <c r="AA28" s="4">
        <v>0.0</v>
      </c>
      <c r="AB28" s="4">
        <v>0.0</v>
      </c>
      <c r="AC28" s="4">
        <v>0.0</v>
      </c>
      <c r="AD28" s="4" t="s">
        <v>8</v>
      </c>
      <c r="AE28" s="4" t="s">
        <v>8</v>
      </c>
    </row>
    <row r="29" ht="16.5" customHeight="1">
      <c r="A29" s="2" t="str">
        <f>IFERROR(__xludf.DUMMYFUNCTION("""COMPUTED_VALUE"""),"2423-DICJDGGC")</f>
        <v>2423-DICJDGGC</v>
      </c>
      <c r="B29" s="2" t="str">
        <f>IFERROR(__xludf.DUMMYFUNCTION("""COMPUTED_VALUE"""),"Festejos Responsables 2025")</f>
        <v>Festejos Responsables 2025</v>
      </c>
      <c r="C29" s="3">
        <f>IFERROR(__xludf.DUMMYFUNCTION("""COMPUTED_VALUE"""),46014.0)</f>
        <v>46014</v>
      </c>
      <c r="D29" s="3">
        <f>IFERROR(__xludf.DUMMYFUNCTION("""COMPUTED_VALUE"""),46023.0)</f>
        <v>46023</v>
      </c>
      <c r="E29" s="2" t="str">
        <f>IFERROR(__xludf.DUMMYFUNCTION("""COMPUTED_VALUE"""),"Cuidado")</f>
        <v>Cuidado</v>
      </c>
      <c r="F29" s="2" t="str">
        <f>IFERROR(__xludf.DUMMYFUNCTION("""COMPUTED_VALUE"""),"Jefatura de Gobierno")</f>
        <v>Jefatura de Gobierno</v>
      </c>
      <c r="G29" s="2" t="str">
        <f>IFERROR(__xludf.DUMMYFUNCTION("""COMPUTED_VALUE"""),"Finalizada")</f>
        <v>Finalizada</v>
      </c>
      <c r="H29" s="4">
        <v>113032.0</v>
      </c>
      <c r="I29" s="4">
        <v>0.0</v>
      </c>
      <c r="J29" s="4">
        <v>5003.0</v>
      </c>
      <c r="K29" s="4">
        <v>0.0</v>
      </c>
      <c r="L29" s="5">
        <v>0.0</v>
      </c>
      <c r="M29" s="5">
        <v>0.0</v>
      </c>
      <c r="N29" s="4">
        <v>497431.0</v>
      </c>
      <c r="O29" s="4">
        <v>490986.0</v>
      </c>
      <c r="P29" s="4">
        <v>208233.0</v>
      </c>
      <c r="Q29" s="4">
        <v>1469.0</v>
      </c>
      <c r="R29" s="4">
        <v>12000.0</v>
      </c>
      <c r="S29" s="4">
        <v>11037.0</v>
      </c>
      <c r="T29" s="4">
        <v>2752.0</v>
      </c>
      <c r="U29" s="4">
        <v>2052.0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 t="s">
        <v>8</v>
      </c>
      <c r="AE29" s="4" t="s">
        <v>8</v>
      </c>
    </row>
    <row r="30" ht="16.5" customHeight="1">
      <c r="A30" s="2" t="str">
        <f>IFERROR(__xludf.DUMMYFUNCTION("""COMPUTED_VALUE"""),"2424-DICFESGC")</f>
        <v>2424-DICFESGC</v>
      </c>
      <c r="B30" s="2" t="str">
        <f>IFERROR(__xludf.DUMMYFUNCTION("""COMPUTED_VALUE"""),"Verano en Buenos Aires 2026 | Generico")</f>
        <v>Verano en Buenos Aires 2026 | Generico</v>
      </c>
      <c r="C30" s="3">
        <f>IFERROR(__xludf.DUMMYFUNCTION("""COMPUTED_VALUE"""),46029.0)</f>
        <v>46029</v>
      </c>
      <c r="D30" s="3">
        <f>IFERROR(__xludf.DUMMYFUNCTION("""COMPUTED_VALUE"""),46081.0)</f>
        <v>46081</v>
      </c>
      <c r="E30" s="2" t="str">
        <f>IFERROR(__xludf.DUMMYFUNCTION("""COMPUTED_VALUE"""),"Ciudad Atractiva")</f>
        <v>Ciudad Atractiva</v>
      </c>
      <c r="F30" s="2" t="str">
        <f>IFERROR(__xludf.DUMMYFUNCTION("""COMPUTED_VALUE"""),"Festivales y Eventos")</f>
        <v>Festivales y Eventos</v>
      </c>
      <c r="G30" s="2" t="str">
        <f>IFERROR(__xludf.DUMMYFUNCTION("""COMPUTED_VALUE"""),"Finalizada")</f>
        <v>Finalizada</v>
      </c>
      <c r="H30" s="4">
        <v>3.2919907E7</v>
      </c>
      <c r="I30" s="4">
        <v>2721109.0</v>
      </c>
      <c r="J30" s="4">
        <v>164357.0</v>
      </c>
      <c r="K30" s="4">
        <v>3975434.0</v>
      </c>
      <c r="L30" s="5">
        <v>2.6766624725753214</v>
      </c>
      <c r="M30" s="5">
        <v>8.280833488871906</v>
      </c>
      <c r="N30" s="4">
        <v>306526.0</v>
      </c>
      <c r="O30" s="4">
        <v>303199.0</v>
      </c>
      <c r="P30" s="4">
        <v>151566.0</v>
      </c>
      <c r="Q30" s="4">
        <v>7233.0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6" t="s">
        <v>23</v>
      </c>
      <c r="AE30" s="6" t="s">
        <v>9</v>
      </c>
    </row>
    <row r="31" ht="16.5" customHeight="1">
      <c r="A31" s="2" t="str">
        <f>IFERROR(__xludf.DUMMYFUNCTION("""COMPUTED_VALUE"""),"2425-DICEPHGC")</f>
        <v>2425-DICEPHGC</v>
      </c>
      <c r="B31" s="2" t="str">
        <f>IFERROR(__xludf.DUMMYFUNCTION("""COMPUTED_VALUE"""),"Parques Iluminados  M2")</f>
        <v>Parques Iluminados  M2</v>
      </c>
      <c r="C31" s="3">
        <f>IFERROR(__xludf.DUMMYFUNCTION("""COMPUTED_VALUE"""),46163.0)</f>
        <v>46163</v>
      </c>
      <c r="D31" s="3">
        <f>IFERROR(__xludf.DUMMYFUNCTION("""COMPUTED_VALUE"""),46190.0)</f>
        <v>46190</v>
      </c>
      <c r="E31" s="2" t="str">
        <f>IFERROR(__xludf.DUMMYFUNCTION("""COMPUTED_VALUE"""),"M2")</f>
        <v>M2</v>
      </c>
      <c r="F31" s="2" t="str">
        <f>IFERROR(__xludf.DUMMYFUNCTION("""COMPUTED_VALUE"""),"Espacio Público e Higiene Urbana")</f>
        <v>Espacio Público e Higiene Urbana</v>
      </c>
      <c r="G31" s="2" t="str">
        <f>IFERROR(__xludf.DUMMYFUNCTION("""COMPUTED_VALUE"""),"Finalizada")</f>
        <v>Finalizada</v>
      </c>
      <c r="H31" s="4">
        <v>0.0</v>
      </c>
      <c r="I31" s="4">
        <v>0.0</v>
      </c>
      <c r="J31" s="4">
        <v>0.0</v>
      </c>
      <c r="K31" s="4">
        <v>0.0</v>
      </c>
      <c r="L31" s="5">
        <v>0.0</v>
      </c>
      <c r="M31" s="5">
        <v>0.0</v>
      </c>
      <c r="N31" s="4">
        <v>21456.0</v>
      </c>
      <c r="O31" s="4">
        <v>21233.0</v>
      </c>
      <c r="P31" s="4">
        <v>7139.0</v>
      </c>
      <c r="Q31" s="4">
        <v>191.0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 t="s">
        <v>8</v>
      </c>
      <c r="AE31" s="6" t="s">
        <v>9</v>
      </c>
    </row>
    <row r="32" ht="16.5" customHeight="1">
      <c r="A32" s="2" t="str">
        <f>IFERROR(__xludf.DUMMYFUNCTION("""COMPUTED_VALUE"""),"2426-DICSALGC")</f>
        <v>2426-DICSALGC</v>
      </c>
      <c r="B32" s="2" t="str">
        <f>IFERROR(__xludf.DUMMYFUNCTION("""COMPUTED_VALUE"""),"Deploy HIS Ambulatorio")</f>
        <v>Deploy HIS Ambulatorio</v>
      </c>
      <c r="C32" s="3">
        <f>IFERROR(__xludf.DUMMYFUNCTION("""COMPUTED_VALUE"""),46030.0)</f>
        <v>46030</v>
      </c>
      <c r="D32" s="3">
        <f>IFERROR(__xludf.DUMMYFUNCTION("""COMPUTED_VALUE"""),46030.0)</f>
        <v>46030</v>
      </c>
      <c r="E32" s="2" t="str">
        <f>IFERROR(__xludf.DUMMYFUNCTION("""COMPUTED_VALUE"""),"Cuidado")</f>
        <v>Cuidado</v>
      </c>
      <c r="F32" s="2" t="str">
        <f>IFERROR(__xludf.DUMMYFUNCTION("""COMPUTED_VALUE"""),"Salud")</f>
        <v>Salud</v>
      </c>
      <c r="G32" s="2" t="str">
        <f>IFERROR(__xludf.DUMMYFUNCTION("""COMPUTED_VALUE"""),"Finalizada")</f>
        <v>Finalizada</v>
      </c>
      <c r="H32" s="4">
        <v>0.0</v>
      </c>
      <c r="I32" s="4">
        <v>0.0</v>
      </c>
      <c r="J32" s="4">
        <v>0.0</v>
      </c>
      <c r="K32" s="4">
        <v>0.0</v>
      </c>
      <c r="L32" s="5">
        <v>0.0</v>
      </c>
      <c r="M32" s="5">
        <v>0.0</v>
      </c>
      <c r="N32" s="4">
        <v>3471.0</v>
      </c>
      <c r="O32" s="4">
        <v>3443.0</v>
      </c>
      <c r="P32" s="4">
        <v>1477.0</v>
      </c>
      <c r="Q32" s="4">
        <v>169.0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 t="s">
        <v>8</v>
      </c>
      <c r="AE32" s="6" t="s">
        <v>9</v>
      </c>
    </row>
    <row r="33" ht="16.5" customHeight="1">
      <c r="A33" s="2" t="str">
        <f>IFERROR(__xludf.DUMMYFUNCTION("""COMPUTED_VALUE"""),"2430-DICPCCVC")</f>
        <v>2430-DICPCCVC</v>
      </c>
      <c r="B33" s="2" t="str">
        <f>IFERROR(__xludf.DUMMYFUNCTION("""COMPUTED_VALUE"""),"DGPCyC | Verano 2026 - Misión Bomberos: Un día en la estación")</f>
        <v>DGPCyC | Verano 2026 - Misión Bomberos: Un día en la estación</v>
      </c>
      <c r="C33" s="3">
        <f>IFERROR(__xludf.DUMMYFUNCTION("""COMPUTED_VALUE"""),46029.0)</f>
        <v>46029</v>
      </c>
      <c r="D33" s="3">
        <f>IFERROR(__xludf.DUMMYFUNCTION("""COMPUTED_VALUE"""),46029.0)</f>
        <v>46029</v>
      </c>
      <c r="E33" s="2" t="str">
        <f>IFERROR(__xludf.DUMMYFUNCTION("""COMPUTED_VALUE"""),"Cercanía")</f>
        <v>Cercanía</v>
      </c>
      <c r="F33" s="2" t="str">
        <f>IFERROR(__xludf.DUMMYFUNCTION("""COMPUTED_VALUE"""),"Cercanía y PC")</f>
        <v>Cercanía y PC</v>
      </c>
      <c r="G33" s="2" t="str">
        <f>IFERROR(__xludf.DUMMYFUNCTION("""COMPUTED_VALUE"""),"Finalizada")</f>
        <v>Finalizada</v>
      </c>
      <c r="H33" s="4">
        <v>0.0</v>
      </c>
      <c r="I33" s="4">
        <v>0.0</v>
      </c>
      <c r="J33" s="4">
        <v>0.0</v>
      </c>
      <c r="K33" s="4">
        <v>0.0</v>
      </c>
      <c r="L33" s="5">
        <v>0.0</v>
      </c>
      <c r="M33" s="5">
        <v>0.0</v>
      </c>
      <c r="N33" s="4">
        <v>26990.0</v>
      </c>
      <c r="O33" s="4">
        <v>26313.0</v>
      </c>
      <c r="P33" s="4">
        <v>4518.0</v>
      </c>
      <c r="Q33" s="4">
        <v>419.0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 t="s">
        <v>8</v>
      </c>
      <c r="AE33" s="6" t="s">
        <v>9</v>
      </c>
    </row>
    <row r="34" ht="16.5" customHeight="1">
      <c r="A34" s="2" t="str">
        <f>IFERROR(__xludf.DUMMYFUNCTION("""COMPUTED_VALUE"""),"2433-DICFESGC")</f>
        <v>2433-DICFESGC</v>
      </c>
      <c r="B34" s="2" t="str">
        <f>IFERROR(__xludf.DUMMYFUNCTION("""COMPUTED_VALUE"""),"Verano en la Ciudad | AftersBA")</f>
        <v>Verano en la Ciudad | AftersBA</v>
      </c>
      <c r="C34" s="3">
        <f>IFERROR(__xludf.DUMMYFUNCTION("""COMPUTED_VALUE"""),46035.0)</f>
        <v>46035</v>
      </c>
      <c r="D34" s="3">
        <f>IFERROR(__xludf.DUMMYFUNCTION("""COMPUTED_VALUE"""),46071.0)</f>
        <v>46071</v>
      </c>
      <c r="E34" s="2" t="str">
        <f>IFERROR(__xludf.DUMMYFUNCTION("""COMPUTED_VALUE"""),"Ciudad Atractiva")</f>
        <v>Ciudad Atractiva</v>
      </c>
      <c r="F34" s="2" t="str">
        <f>IFERROR(__xludf.DUMMYFUNCTION("""COMPUTED_VALUE"""),"Festivales y Eventos")</f>
        <v>Festivales y Eventos</v>
      </c>
      <c r="G34" s="2" t="str">
        <f>IFERROR(__xludf.DUMMYFUNCTION("""COMPUTED_VALUE"""),"Finalizada")</f>
        <v>Finalizada</v>
      </c>
      <c r="H34" s="4">
        <v>3.1715868E7</v>
      </c>
      <c r="I34" s="4">
        <v>6079572.0</v>
      </c>
      <c r="J34" s="4">
        <v>33441.0</v>
      </c>
      <c r="K34" s="4">
        <v>103786.0</v>
      </c>
      <c r="L34" s="5">
        <v>81.18254870599118</v>
      </c>
      <c r="M34" s="5">
        <v>305.589077524907</v>
      </c>
      <c r="N34" s="4">
        <v>231781.0</v>
      </c>
      <c r="O34" s="4">
        <v>227305.0</v>
      </c>
      <c r="P34" s="4">
        <v>76967.0</v>
      </c>
      <c r="Q34" s="4">
        <v>3329.0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6" t="s">
        <v>24</v>
      </c>
      <c r="AE34" s="6" t="s">
        <v>9</v>
      </c>
    </row>
    <row r="35" ht="16.5" customHeight="1">
      <c r="A35" s="2" t="str">
        <f>IFERROR(__xludf.DUMMYFUNCTION("""COMPUTED_VALUE"""),"2434-DICFESGC")</f>
        <v>2434-DICFESGC</v>
      </c>
      <c r="B35" s="2" t="str">
        <f>IFERROR(__xludf.DUMMYFUNCTION("""COMPUTED_VALUE"""),"Verano en la Ciudad | Billboard Summer")</f>
        <v>Verano en la Ciudad | Billboard Summer</v>
      </c>
      <c r="C35" s="3">
        <f>IFERROR(__xludf.DUMMYFUNCTION("""COMPUTED_VALUE"""),46031.0)</f>
        <v>46031</v>
      </c>
      <c r="D35" s="3">
        <f>IFERROR(__xludf.DUMMYFUNCTION("""COMPUTED_VALUE"""),46039.0)</f>
        <v>46039</v>
      </c>
      <c r="E35" s="2" t="str">
        <f>IFERROR(__xludf.DUMMYFUNCTION("""COMPUTED_VALUE"""),"Ciudad Atractiva")</f>
        <v>Ciudad Atractiva</v>
      </c>
      <c r="F35" s="2" t="str">
        <f>IFERROR(__xludf.DUMMYFUNCTION("""COMPUTED_VALUE"""),"Festivales y Eventos")</f>
        <v>Festivales y Eventos</v>
      </c>
      <c r="G35" s="2" t="str">
        <f>IFERROR(__xludf.DUMMYFUNCTION("""COMPUTED_VALUE"""),"Finalizada")</f>
        <v>Finalizada</v>
      </c>
      <c r="H35" s="4">
        <v>1.2944042E7</v>
      </c>
      <c r="I35" s="4">
        <v>2874187.0</v>
      </c>
      <c r="J35" s="4">
        <v>12481.0</v>
      </c>
      <c r="K35" s="4">
        <v>29161.0</v>
      </c>
      <c r="L35" s="5">
        <v>137.44429203388086</v>
      </c>
      <c r="M35" s="5">
        <v>443.88196563903847</v>
      </c>
      <c r="N35" s="4">
        <v>175380.0</v>
      </c>
      <c r="O35" s="4">
        <v>172038.0</v>
      </c>
      <c r="P35" s="4">
        <v>58466.0</v>
      </c>
      <c r="Q35" s="4">
        <v>3201.0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6" t="s">
        <v>25</v>
      </c>
      <c r="AE35" s="6" t="s">
        <v>9</v>
      </c>
    </row>
    <row r="36" ht="16.5" customHeight="1">
      <c r="A36" s="2" t="str">
        <f>IFERROR(__xludf.DUMMYFUNCTION("""COMPUTED_VALUE"""),"2435-DICFESGC")</f>
        <v>2435-DICFESGC</v>
      </c>
      <c r="B36" s="2" t="str">
        <f>IFERROR(__xludf.DUMMYFUNCTION("""COMPUTED_VALUE"""),"Verano en la Ciudad | Atardeceres en los parques")</f>
        <v>Verano en la Ciudad | Atardeceres en los parques</v>
      </c>
      <c r="C36" s="3">
        <f>IFERROR(__xludf.DUMMYFUNCTION("""COMPUTED_VALUE"""),46041.0)</f>
        <v>46041</v>
      </c>
      <c r="D36" s="3">
        <f>IFERROR(__xludf.DUMMYFUNCTION("""COMPUTED_VALUE"""),46062.0)</f>
        <v>46062</v>
      </c>
      <c r="E36" s="2" t="str">
        <f>IFERROR(__xludf.DUMMYFUNCTION("""COMPUTED_VALUE"""),"Ciudad Atractiva")</f>
        <v>Ciudad Atractiva</v>
      </c>
      <c r="F36" s="2" t="str">
        <f>IFERROR(__xludf.DUMMYFUNCTION("""COMPUTED_VALUE"""),"Festivales y Eventos")</f>
        <v>Festivales y Eventos</v>
      </c>
      <c r="G36" s="2" t="str">
        <f>IFERROR(__xludf.DUMMYFUNCTION("""COMPUTED_VALUE"""),"Finalizada")</f>
        <v>Finalizada</v>
      </c>
      <c r="H36" s="4">
        <v>1.8780836E7</v>
      </c>
      <c r="I36" s="4">
        <v>4407686.0</v>
      </c>
      <c r="J36" s="4">
        <v>26564.0</v>
      </c>
      <c r="K36" s="4">
        <v>2036212.0</v>
      </c>
      <c r="L36" s="5">
        <v>2.9967616338573784</v>
      </c>
      <c r="M36" s="5">
        <v>9.22341877957698</v>
      </c>
      <c r="N36" s="4">
        <v>107518.0</v>
      </c>
      <c r="O36" s="4">
        <v>86557.0</v>
      </c>
      <c r="P36" s="4">
        <v>31980.0</v>
      </c>
      <c r="Q36" s="4">
        <v>2402.0</v>
      </c>
      <c r="R36" s="4">
        <v>6925.0</v>
      </c>
      <c r="S36" s="4">
        <v>6908.0</v>
      </c>
      <c r="T36" s="4">
        <v>1374.0</v>
      </c>
      <c r="U36" s="4">
        <v>1022.0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6" t="s">
        <v>26</v>
      </c>
      <c r="AE36" s="6" t="s">
        <v>9</v>
      </c>
    </row>
    <row r="37" ht="16.5" customHeight="1">
      <c r="A37" s="2" t="str">
        <f>IFERROR(__xludf.DUMMYFUNCTION("""COMPUTED_VALUE"""),"2437-DICFESGC")</f>
        <v>2437-DICFESGC</v>
      </c>
      <c r="B37" s="2" t="str">
        <f>IFERROR(__xludf.DUMMYFUNCTION("""COMPUTED_VALUE"""),"Verano en la Ciudad  | Verano en las plazas")</f>
        <v>Verano en la Ciudad  | Verano en las plazas</v>
      </c>
      <c r="C37" s="3">
        <f>IFERROR(__xludf.DUMMYFUNCTION("""COMPUTED_VALUE"""),46038.0)</f>
        <v>46038</v>
      </c>
      <c r="D37" s="3">
        <f>IFERROR(__xludf.DUMMYFUNCTION("""COMPUTED_VALUE"""),46073.0)</f>
        <v>46073</v>
      </c>
      <c r="E37" s="2" t="str">
        <f>IFERROR(__xludf.DUMMYFUNCTION("""COMPUTED_VALUE"""),"Ciudad Atractiva")</f>
        <v>Ciudad Atractiva</v>
      </c>
      <c r="F37" s="2" t="str">
        <f>IFERROR(__xludf.DUMMYFUNCTION("""COMPUTED_VALUE"""),"Festivales y Eventos")</f>
        <v>Festivales y Eventos</v>
      </c>
      <c r="G37" s="2" t="str">
        <f>IFERROR(__xludf.DUMMYFUNCTION("""COMPUTED_VALUE"""),"Finalizada")</f>
        <v>Finalizada</v>
      </c>
      <c r="H37" s="4">
        <v>1.8930747E7</v>
      </c>
      <c r="I37" s="4">
        <v>5099312.0</v>
      </c>
      <c r="J37" s="4">
        <v>20844.0</v>
      </c>
      <c r="K37" s="4">
        <v>1292752.0</v>
      </c>
      <c r="L37" s="5">
        <v>5.52835423963761</v>
      </c>
      <c r="M37" s="5">
        <v>14.643757658081364</v>
      </c>
      <c r="N37" s="4">
        <v>710718.0</v>
      </c>
      <c r="O37" s="4">
        <v>674580.0</v>
      </c>
      <c r="P37" s="4">
        <v>197102.0</v>
      </c>
      <c r="Q37" s="4">
        <v>16421.0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6" t="s">
        <v>27</v>
      </c>
      <c r="AE37" s="6" t="s">
        <v>9</v>
      </c>
    </row>
    <row r="38" ht="16.5" customHeight="1">
      <c r="A38" s="2" t="str">
        <f>IFERROR(__xludf.DUMMYFUNCTION("""COMPUTED_VALUE"""),"2439-DICINFGC")</f>
        <v>2439-DICINFGC</v>
      </c>
      <c r="B38" s="2" t="str">
        <f>IFERROR(__xludf.DUMMYFUNCTION("""COMPUTED_VALUE""")," Infraestructura I Bus Eléctricos: extensión recorrido")</f>
        <v> Infraestructura I Bus Eléctricos: extensión recorrido</v>
      </c>
      <c r="C38" s="3">
        <f>IFERROR(__xludf.DUMMYFUNCTION("""COMPUTED_VALUE"""),46028.0)</f>
        <v>46028</v>
      </c>
      <c r="D38" s="3">
        <f>IFERROR(__xludf.DUMMYFUNCTION("""COMPUTED_VALUE"""),46042.0)</f>
        <v>46042</v>
      </c>
      <c r="E38" s="2" t="str">
        <f>IFERROR(__xludf.DUMMYFUNCTION("""COMPUTED_VALUE"""),"Movilidad")</f>
        <v>Movilidad</v>
      </c>
      <c r="F38" s="2" t="str">
        <f>IFERROR(__xludf.DUMMYFUNCTION("""COMPUTED_VALUE"""),"Infraestructura")</f>
        <v>Infraestructura</v>
      </c>
      <c r="G38" s="2" t="str">
        <f>IFERROR(__xludf.DUMMYFUNCTION("""COMPUTED_VALUE"""),"Finalizada")</f>
        <v>Finalizada</v>
      </c>
      <c r="H38" s="4">
        <v>665162.0</v>
      </c>
      <c r="I38" s="4">
        <v>3616.0</v>
      </c>
      <c r="J38" s="4">
        <v>2743.0</v>
      </c>
      <c r="K38" s="4">
        <v>355350.0</v>
      </c>
      <c r="L38" s="5">
        <v>1.871850288448009</v>
      </c>
      <c r="M38" s="5">
        <v>1.871850288448009</v>
      </c>
      <c r="N38" s="4">
        <v>90056.0</v>
      </c>
      <c r="O38" s="4">
        <v>88895.0</v>
      </c>
      <c r="P38" s="4">
        <v>43812.0</v>
      </c>
      <c r="Q38" s="4">
        <v>2567.0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6" t="s">
        <v>28</v>
      </c>
      <c r="AE38" s="6" t="s">
        <v>9</v>
      </c>
    </row>
    <row r="39" ht="16.5" customHeight="1">
      <c r="A39" s="2" t="str">
        <f>IFERROR(__xludf.DUMMYFUNCTION("""COMPUTED_VALUE"""),"2441-DICINFGC")</f>
        <v>2441-DICINFGC</v>
      </c>
      <c r="B39" s="2" t="str">
        <f>IFERROR(__xludf.DUMMYFUNCTION("""COMPUTED_VALUE"""),"Infraestructura I Obras M2: Trambus ENERO")</f>
        <v>Infraestructura I Obras M2: Trambus ENERO</v>
      </c>
      <c r="C39" s="3">
        <f>IFERROR(__xludf.DUMMYFUNCTION("""COMPUTED_VALUE"""),46035.0)</f>
        <v>46035</v>
      </c>
      <c r="D39" s="3">
        <f>IFERROR(__xludf.DUMMYFUNCTION("""COMPUTED_VALUE"""),46053.0)</f>
        <v>46053</v>
      </c>
      <c r="E39" s="2" t="str">
        <f>IFERROR(__xludf.DUMMYFUNCTION("""COMPUTED_VALUE"""),"Movilidad")</f>
        <v>Movilidad</v>
      </c>
      <c r="F39" s="2" t="str">
        <f>IFERROR(__xludf.DUMMYFUNCTION("""COMPUTED_VALUE"""),"Infraestructura")</f>
        <v>Infraestructura</v>
      </c>
      <c r="G39" s="2" t="str">
        <f>IFERROR(__xludf.DUMMYFUNCTION("""COMPUTED_VALUE"""),"Finalizada")</f>
        <v>Finalizada</v>
      </c>
      <c r="H39" s="4">
        <v>3270390.0</v>
      </c>
      <c r="I39" s="4">
        <v>0.0</v>
      </c>
      <c r="J39" s="4">
        <v>47102.0</v>
      </c>
      <c r="K39" s="4">
        <v>469739.0</v>
      </c>
      <c r="L39" s="5">
        <v>2.068197445815655</v>
      </c>
      <c r="M39" s="5">
        <v>6.962142806963016</v>
      </c>
      <c r="N39" s="4">
        <v>56667.0</v>
      </c>
      <c r="O39" s="4">
        <v>55627.0</v>
      </c>
      <c r="P39" s="4">
        <v>19152.0</v>
      </c>
      <c r="Q39" s="4">
        <v>1989.0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6" t="s">
        <v>29</v>
      </c>
      <c r="AE39" s="6" t="s">
        <v>9</v>
      </c>
    </row>
    <row r="40" ht="16.5" customHeight="1">
      <c r="A40" s="2" t="str">
        <f>IFERROR(__xludf.DUMMYFUNCTION("""COMPUTED_VALUE"""),"2443-DICNEWAN")</f>
        <v>2443-DICNEWAN</v>
      </c>
      <c r="B40" s="2" t="str">
        <f>IFERROR(__xludf.DUMMYFUNCTION("""COMPUTED_VALUE"""),"Acciones de la Ciudad ante el calor extremo")</f>
        <v>Acciones de la Ciudad ante el calor extremo</v>
      </c>
      <c r="C40" s="3">
        <f>IFERROR(__xludf.DUMMYFUNCTION("""COMPUTED_VALUE"""),46027.0)</f>
        <v>46027</v>
      </c>
      <c r="D40" s="3">
        <f>IFERROR(__xludf.DUMMYFUNCTION("""COMPUTED_VALUE"""),46035.0)</f>
        <v>46035</v>
      </c>
      <c r="E40" s="2" t="str">
        <f>IFERROR(__xludf.DUMMYFUNCTION("""COMPUTED_VALUE"""),"Cuidado")</f>
        <v>Cuidado</v>
      </c>
      <c r="F40" s="2" t="str">
        <f>IFERROR(__xludf.DUMMYFUNCTION("""COMPUTED_VALUE"""),"Anuncios y Newsletter")</f>
        <v>Anuncios y Newsletter</v>
      </c>
      <c r="G40" s="2" t="str">
        <f>IFERROR(__xludf.DUMMYFUNCTION("""COMPUTED_VALUE"""),"Finalizada")</f>
        <v>Finalizada</v>
      </c>
      <c r="H40" s="4">
        <v>8154163.0</v>
      </c>
      <c r="I40" s="4">
        <v>0.0</v>
      </c>
      <c r="J40" s="4">
        <v>49108.0</v>
      </c>
      <c r="K40" s="4">
        <v>682062.0</v>
      </c>
      <c r="L40" s="5">
        <v>1.5975703088575526</v>
      </c>
      <c r="M40" s="5">
        <v>11.955163900056007</v>
      </c>
      <c r="N40" s="4">
        <v>236590.0</v>
      </c>
      <c r="O40" s="4">
        <v>233694.0</v>
      </c>
      <c r="P40" s="4">
        <v>54587.0</v>
      </c>
      <c r="Q40" s="4">
        <v>2742.0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6" t="s">
        <v>30</v>
      </c>
      <c r="AE40" s="4" t="s">
        <v>8</v>
      </c>
    </row>
    <row r="41" ht="16.5" customHeight="1">
      <c r="A41" s="2" t="str">
        <f>IFERROR(__xludf.DUMMYFUNCTION("""COMPUTED_VALUE"""),"2444-DICINFGC")</f>
        <v>2444-DICINFGC</v>
      </c>
      <c r="B41" s="2" t="str">
        <f>IFERROR(__xludf.DUMMYFUNCTION("""COMPUTED_VALUE"""),"Infraestructura I Cortes en AU Dellepiane por obras")</f>
        <v>Infraestructura I Cortes en AU Dellepiane por obras</v>
      </c>
      <c r="C41" s="3">
        <f>IFERROR(__xludf.DUMMYFUNCTION("""COMPUTED_VALUE"""),46021.0)</f>
        <v>46021</v>
      </c>
      <c r="D41" s="3">
        <f>IFERROR(__xludf.DUMMYFUNCTION("""COMPUTED_VALUE"""),46034.0)</f>
        <v>46034</v>
      </c>
      <c r="E41" s="2" t="str">
        <f>IFERROR(__xludf.DUMMYFUNCTION("""COMPUTED_VALUE"""),"Movilidad")</f>
        <v>Movilidad</v>
      </c>
      <c r="F41" s="2" t="str">
        <f>IFERROR(__xludf.DUMMYFUNCTION("""COMPUTED_VALUE"""),"Infraestructura")</f>
        <v>Infraestructura</v>
      </c>
      <c r="G41" s="2" t="str">
        <f>IFERROR(__xludf.DUMMYFUNCTION("""COMPUTED_VALUE"""),"Finalizada")</f>
        <v>Finalizada</v>
      </c>
      <c r="H41" s="4">
        <v>210936.0</v>
      </c>
      <c r="I41" s="4">
        <v>0.0</v>
      </c>
      <c r="J41" s="4">
        <v>31.0</v>
      </c>
      <c r="K41" s="4">
        <v>140179.0</v>
      </c>
      <c r="L41" s="5">
        <v>1.1381590680487093</v>
      </c>
      <c r="M41" s="5">
        <v>1.5047617688812163</v>
      </c>
      <c r="N41" s="4">
        <v>80433.0</v>
      </c>
      <c r="O41" s="4">
        <v>79263.0</v>
      </c>
      <c r="P41" s="4">
        <v>31500.0</v>
      </c>
      <c r="Q41" s="4">
        <v>336.0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6" t="s">
        <v>31</v>
      </c>
      <c r="AE41" s="6" t="s">
        <v>9</v>
      </c>
    </row>
    <row r="42" ht="16.5" customHeight="1">
      <c r="A42" s="2" t="str">
        <f>IFERROR(__xludf.DUMMYFUNCTION("""COMPUTED_VALUE"""),"2445-DICPCCVC")</f>
        <v>2445-DICPCCVC</v>
      </c>
      <c r="B42" s="2" t="str">
        <f>IFERROR(__xludf.DUMMYFUNCTION("""COMPUTED_VALUE"""),"Verano 2026 - Expedicion botanica")</f>
        <v>Verano 2026 - Expedicion botanica</v>
      </c>
      <c r="C42" s="3">
        <f>IFERROR(__xludf.DUMMYFUNCTION("""COMPUTED_VALUE"""),46034.0)</f>
        <v>46034</v>
      </c>
      <c r="D42" s="3">
        <f>IFERROR(__xludf.DUMMYFUNCTION("""COMPUTED_VALUE"""),46034.0)</f>
        <v>46034</v>
      </c>
      <c r="E42" s="2" t="str">
        <f>IFERROR(__xludf.DUMMYFUNCTION("""COMPUTED_VALUE"""),"Cercanía")</f>
        <v>Cercanía</v>
      </c>
      <c r="F42" s="2" t="str">
        <f>IFERROR(__xludf.DUMMYFUNCTION("""COMPUTED_VALUE"""),"Cercanía y PC")</f>
        <v>Cercanía y PC</v>
      </c>
      <c r="G42" s="2" t="str">
        <f>IFERROR(__xludf.DUMMYFUNCTION("""COMPUTED_VALUE"""),"Finalizada")</f>
        <v>Finalizada</v>
      </c>
      <c r="H42" s="4">
        <v>0.0</v>
      </c>
      <c r="I42" s="4">
        <v>0.0</v>
      </c>
      <c r="J42" s="4">
        <v>0.0</v>
      </c>
      <c r="K42" s="4">
        <v>0.0</v>
      </c>
      <c r="L42" s="5">
        <v>0.0</v>
      </c>
      <c r="M42" s="5">
        <v>0.0</v>
      </c>
      <c r="N42" s="4">
        <v>19382.0</v>
      </c>
      <c r="O42" s="4">
        <v>19018.0</v>
      </c>
      <c r="P42" s="4">
        <v>6067.0</v>
      </c>
      <c r="Q42" s="4">
        <v>215.0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 t="s">
        <v>8</v>
      </c>
      <c r="AE42" s="6" t="s">
        <v>9</v>
      </c>
    </row>
    <row r="43" ht="16.5" customHeight="1">
      <c r="A43" s="2" t="str">
        <f>IFERROR(__xludf.DUMMYFUNCTION("""COMPUTED_VALUE"""),"2447-DICPCCVC")</f>
        <v>2447-DICPCCVC</v>
      </c>
      <c r="B43" s="2" t="str">
        <f>IFERROR(__xludf.DUMMYFUNCTION("""COMPUTED_VALUE"""),"Verano 2026 - La Gran Aventura del Reciclaje | Enero")</f>
        <v>Verano 2026 - La Gran Aventura del Reciclaje | Enero</v>
      </c>
      <c r="C43" s="3">
        <f>IFERROR(__xludf.DUMMYFUNCTION("""COMPUTED_VALUE"""),46031.0)</f>
        <v>46031</v>
      </c>
      <c r="D43" s="3">
        <f>IFERROR(__xludf.DUMMYFUNCTION("""COMPUTED_VALUE"""),46031.0)</f>
        <v>46031</v>
      </c>
      <c r="E43" s="2" t="str">
        <f>IFERROR(__xludf.DUMMYFUNCTION("""COMPUTED_VALUE"""),"Cercanía")</f>
        <v>Cercanía</v>
      </c>
      <c r="F43" s="2" t="str">
        <f>IFERROR(__xludf.DUMMYFUNCTION("""COMPUTED_VALUE"""),"Cercanía y PC")</f>
        <v>Cercanía y PC</v>
      </c>
      <c r="G43" s="2" t="str">
        <f>IFERROR(__xludf.DUMMYFUNCTION("""COMPUTED_VALUE"""),"Finalizada")</f>
        <v>Finalizada</v>
      </c>
      <c r="H43" s="4">
        <v>0.0</v>
      </c>
      <c r="I43" s="4">
        <v>0.0</v>
      </c>
      <c r="J43" s="4">
        <v>0.0</v>
      </c>
      <c r="K43" s="4">
        <v>0.0</v>
      </c>
      <c r="L43" s="5">
        <v>0.0</v>
      </c>
      <c r="M43" s="5">
        <v>0.0</v>
      </c>
      <c r="N43" s="4">
        <v>22406.0</v>
      </c>
      <c r="O43" s="4">
        <v>21763.0</v>
      </c>
      <c r="P43" s="4">
        <v>2883.0</v>
      </c>
      <c r="Q43" s="4">
        <v>56.0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 t="s">
        <v>8</v>
      </c>
      <c r="AE43" s="6" t="s">
        <v>9</v>
      </c>
    </row>
    <row r="44" ht="16.5" customHeight="1">
      <c r="A44" s="2" t="str">
        <f>IFERROR(__xludf.DUMMYFUNCTION("""COMPUTED_VALUE"""),"2450-ENEJDGAG")</f>
        <v>2450-ENEJDGAG</v>
      </c>
      <c r="B44" s="2" t="str">
        <f>IFERROR(__xludf.DUMMYFUNCTION("""COMPUTED_VALUE"""),"RDV JM - Boedo 9/1")</f>
        <v>RDV JM - Boedo 9/1</v>
      </c>
      <c r="C44" s="3">
        <f>IFERROR(__xludf.DUMMYFUNCTION("""COMPUTED_VALUE"""),46024.0)</f>
        <v>46024</v>
      </c>
      <c r="D44" s="3">
        <f>IFERROR(__xludf.DUMMYFUNCTION("""COMPUTED_VALUE"""),46052.0)</f>
        <v>46052</v>
      </c>
      <c r="E44" s="2" t="str">
        <f>IFERROR(__xludf.DUMMYFUNCTION("""COMPUTED_VALUE"""),"Cercanía")</f>
        <v>Cercanía</v>
      </c>
      <c r="F44" s="2" t="str">
        <f>IFERROR(__xludf.DUMMYFUNCTION("""COMPUTED_VALUE"""),"Jefatura de Gobierno")</f>
        <v>Jefatura de Gobierno</v>
      </c>
      <c r="G44" s="2" t="str">
        <f>IFERROR(__xludf.DUMMYFUNCTION("""COMPUTED_VALUE"""),"Finalizada")</f>
        <v>Finalizada</v>
      </c>
      <c r="H44" s="4">
        <v>1331244.0</v>
      </c>
      <c r="I44" s="4">
        <v>773019.0</v>
      </c>
      <c r="J44" s="4">
        <v>4155.0</v>
      </c>
      <c r="K44" s="4">
        <v>79990.0</v>
      </c>
      <c r="L44" s="5">
        <v>4.04008001000125</v>
      </c>
      <c r="M44" s="5">
        <v>16.6426303287911</v>
      </c>
      <c r="N44" s="4">
        <v>22300.0</v>
      </c>
      <c r="O44" s="4">
        <v>21947.0</v>
      </c>
      <c r="P44" s="4">
        <v>5124.0</v>
      </c>
      <c r="Q44" s="4">
        <v>185.0</v>
      </c>
      <c r="R44" s="4">
        <v>10319.0</v>
      </c>
      <c r="S44" s="4">
        <v>9805.0</v>
      </c>
      <c r="T44" s="4">
        <v>2224.0</v>
      </c>
      <c r="U44" s="4">
        <v>1648.0</v>
      </c>
      <c r="V44" s="4">
        <v>12049.0</v>
      </c>
      <c r="W44" s="4">
        <v>12049.0</v>
      </c>
      <c r="X44" s="4">
        <v>11592.0</v>
      </c>
      <c r="Y44" s="4">
        <v>4731.0</v>
      </c>
      <c r="Z44" s="4">
        <v>49.0</v>
      </c>
      <c r="AA44" s="4">
        <v>0.0</v>
      </c>
      <c r="AB44" s="4">
        <v>0.0</v>
      </c>
      <c r="AC44" s="4">
        <v>0.0</v>
      </c>
      <c r="AD44" s="6" t="s">
        <v>32</v>
      </c>
      <c r="AE44" s="6" t="s">
        <v>9</v>
      </c>
    </row>
    <row r="45" ht="16.5" customHeight="1">
      <c r="A45" s="2" t="str">
        <f>IFERROR(__xludf.DUMMYFUNCTION("""COMPUTED_VALUE"""),"2451-ENEPCCVC")</f>
        <v>2451-ENEPCCVC</v>
      </c>
      <c r="B45" s="2" t="str">
        <f>IFERROR(__xludf.DUMMYFUNCTION("""COMPUTED_VALUE"""),"Participación Ciudadana - Verano en la Ciudad (Pauta RRSS)")</f>
        <v>Participación Ciudadana - Verano en la Ciudad (Pauta RRSS)</v>
      </c>
      <c r="C45" s="3">
        <f>IFERROR(__xludf.DUMMYFUNCTION("""COMPUTED_VALUE"""),46027.0)</f>
        <v>46027</v>
      </c>
      <c r="D45" s="3">
        <f>IFERROR(__xludf.DUMMYFUNCTION("""COMPUTED_VALUE"""),46057.0)</f>
        <v>46057</v>
      </c>
      <c r="E45" s="2" t="str">
        <f>IFERROR(__xludf.DUMMYFUNCTION("""COMPUTED_VALUE"""),"Cercanía")</f>
        <v>Cercanía</v>
      </c>
      <c r="F45" s="2" t="str">
        <f>IFERROR(__xludf.DUMMYFUNCTION("""COMPUTED_VALUE"""),"Cercanía y PC")</f>
        <v>Cercanía y PC</v>
      </c>
      <c r="G45" s="2" t="str">
        <f>IFERROR(__xludf.DUMMYFUNCTION("""COMPUTED_VALUE"""),"Finalizada")</f>
        <v>Finalizada</v>
      </c>
      <c r="H45" s="4">
        <v>2493536.0</v>
      </c>
      <c r="I45" s="4">
        <v>0.0</v>
      </c>
      <c r="J45" s="4">
        <v>1632.0</v>
      </c>
      <c r="K45" s="4">
        <v>655062.0</v>
      </c>
      <c r="L45" s="5">
        <v>3.806564874775212</v>
      </c>
      <c r="M45" s="5">
        <v>3.806564874775212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6" t="s">
        <v>33</v>
      </c>
      <c r="AE45" s="4" t="s">
        <v>8</v>
      </c>
    </row>
    <row r="46" ht="16.5" customHeight="1">
      <c r="A46" s="2" t="str">
        <f>IFERROR(__xludf.DUMMYFUNCTION("""COMPUTED_VALUE"""),"2453-ENEPCCVC")</f>
        <v>2453-ENEPCCVC</v>
      </c>
      <c r="B46" s="2" t="str">
        <f>IFERROR(__xludf.DUMMYFUNCTION("""COMPUTED_VALUE"""),"Verano 2026 - CIFA para chicos")</f>
        <v>Verano 2026 - CIFA para chicos</v>
      </c>
      <c r="C46" s="3">
        <f>IFERROR(__xludf.DUMMYFUNCTION("""COMPUTED_VALUE"""),46043.0)</f>
        <v>46043</v>
      </c>
      <c r="D46" s="3">
        <f>IFERROR(__xludf.DUMMYFUNCTION("""COMPUTED_VALUE"""),46049.0)</f>
        <v>46049</v>
      </c>
      <c r="E46" s="2" t="str">
        <f>IFERROR(__xludf.DUMMYFUNCTION("""COMPUTED_VALUE"""),"Cercanía")</f>
        <v>Cercanía</v>
      </c>
      <c r="F46" s="2" t="str">
        <f>IFERROR(__xludf.DUMMYFUNCTION("""COMPUTED_VALUE"""),"Cercanía y PC")</f>
        <v>Cercanía y PC</v>
      </c>
      <c r="G46" s="2" t="str">
        <f>IFERROR(__xludf.DUMMYFUNCTION("""COMPUTED_VALUE"""),"Finalizada")</f>
        <v>Finalizada</v>
      </c>
      <c r="H46" s="4">
        <v>0.0</v>
      </c>
      <c r="I46" s="4">
        <v>0.0</v>
      </c>
      <c r="J46" s="4">
        <v>0.0</v>
      </c>
      <c r="K46" s="4">
        <v>0.0</v>
      </c>
      <c r="L46" s="5">
        <v>0.0</v>
      </c>
      <c r="M46" s="5">
        <v>0.0</v>
      </c>
      <c r="N46" s="4">
        <v>65448.0</v>
      </c>
      <c r="O46" s="4">
        <v>64031.0</v>
      </c>
      <c r="P46" s="4">
        <v>15667.0</v>
      </c>
      <c r="Q46" s="4">
        <v>168.0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 t="s">
        <v>8</v>
      </c>
      <c r="AE46" s="6" t="s">
        <v>9</v>
      </c>
    </row>
    <row r="47" ht="16.5" customHeight="1">
      <c r="A47" s="2" t="str">
        <f>IFERROR(__xludf.DUMMYFUNCTION("""COMPUTED_VALUE"""),"2454-ENEPCCVC")</f>
        <v>2454-ENEPCCVC</v>
      </c>
      <c r="B47" s="2" t="str">
        <f>IFERROR(__xludf.DUMMYFUNCTION("""COMPUTED_VALUE"""),"Verano 2026 - Aventura en el aire")</f>
        <v>Verano 2026 - Aventura en el aire</v>
      </c>
      <c r="C47" s="3">
        <f>IFERROR(__xludf.DUMMYFUNCTION("""COMPUTED_VALUE"""),46038.0)</f>
        <v>46038</v>
      </c>
      <c r="D47" s="3">
        <f>IFERROR(__xludf.DUMMYFUNCTION("""COMPUTED_VALUE"""),46038.0)</f>
        <v>46038</v>
      </c>
      <c r="E47" s="2" t="str">
        <f>IFERROR(__xludf.DUMMYFUNCTION("""COMPUTED_VALUE"""),"Cercanía")</f>
        <v>Cercanía</v>
      </c>
      <c r="F47" s="2" t="str">
        <f>IFERROR(__xludf.DUMMYFUNCTION("""COMPUTED_VALUE"""),"Cercanía y PC")</f>
        <v>Cercanía y PC</v>
      </c>
      <c r="G47" s="2" t="str">
        <f>IFERROR(__xludf.DUMMYFUNCTION("""COMPUTED_VALUE"""),"Finalizada")</f>
        <v>Finalizada</v>
      </c>
      <c r="H47" s="4">
        <v>0.0</v>
      </c>
      <c r="I47" s="4">
        <v>0.0</v>
      </c>
      <c r="J47" s="4">
        <v>0.0</v>
      </c>
      <c r="K47" s="4">
        <v>0.0</v>
      </c>
      <c r="L47" s="5">
        <v>0.0</v>
      </c>
      <c r="M47" s="5">
        <v>0.0</v>
      </c>
      <c r="N47" s="4">
        <v>33944.0</v>
      </c>
      <c r="O47" s="4">
        <v>33452.0</v>
      </c>
      <c r="P47" s="4">
        <v>13502.0</v>
      </c>
      <c r="Q47" s="4">
        <v>579.0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 t="s">
        <v>8</v>
      </c>
      <c r="AE47" s="6" t="s">
        <v>9</v>
      </c>
    </row>
    <row r="48" ht="16.5" customHeight="1">
      <c r="A48" s="2" t="str">
        <f>IFERROR(__xludf.DUMMYFUNCTION("""COMPUTED_VALUE"""),"2456-ENEPCCVC")</f>
        <v>2456-ENEPCCVC</v>
      </c>
      <c r="B48" s="2" t="str">
        <f>IFERROR(__xludf.DUMMYFUNCTION("""COMPUTED_VALUE"""),"Dejá tus rueditas")</f>
        <v>Dejá tus rueditas</v>
      </c>
      <c r="C48" s="3">
        <f>IFERROR(__xludf.DUMMYFUNCTION("""COMPUTED_VALUE"""),46035.0)</f>
        <v>46035</v>
      </c>
      <c r="D48" s="3">
        <f>IFERROR(__xludf.DUMMYFUNCTION("""COMPUTED_VALUE"""),46035.0)</f>
        <v>46035</v>
      </c>
      <c r="E48" s="2" t="str">
        <f>IFERROR(__xludf.DUMMYFUNCTION("""COMPUTED_VALUE"""),"Cercanía")</f>
        <v>Cercanía</v>
      </c>
      <c r="F48" s="2" t="str">
        <f>IFERROR(__xludf.DUMMYFUNCTION("""COMPUTED_VALUE"""),"Cercanía y PC")</f>
        <v>Cercanía y PC</v>
      </c>
      <c r="G48" s="2" t="str">
        <f>IFERROR(__xludf.DUMMYFUNCTION("""COMPUTED_VALUE"""),"Finalizada")</f>
        <v>Finalizada</v>
      </c>
      <c r="H48" s="4">
        <v>0.0</v>
      </c>
      <c r="I48" s="4">
        <v>0.0</v>
      </c>
      <c r="J48" s="4">
        <v>0.0</v>
      </c>
      <c r="K48" s="4">
        <v>0.0</v>
      </c>
      <c r="L48" s="5">
        <v>0.0</v>
      </c>
      <c r="M48" s="5">
        <v>0.0</v>
      </c>
      <c r="N48" s="4">
        <v>25908.0</v>
      </c>
      <c r="O48" s="4">
        <v>25161.0</v>
      </c>
      <c r="P48" s="4">
        <v>3454.0</v>
      </c>
      <c r="Q48" s="4">
        <v>147.0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 t="s">
        <v>8</v>
      </c>
      <c r="AE48" s="6" t="s">
        <v>9</v>
      </c>
    </row>
    <row r="49" ht="16.5" customHeight="1">
      <c r="A49" s="2" t="str">
        <f>IFERROR(__xludf.DUMMYFUNCTION("""COMPUTED_VALUE"""),"2457-ENEPCCVC")</f>
        <v>2457-ENEPCCVC</v>
      </c>
      <c r="B49" s="2" t="str">
        <f>IFERROR(__xludf.DUMMYFUNCTION("""COMPUTED_VALUE"""),"Verano 2026 - Exploradores del Ecoparque")</f>
        <v>Verano 2026 - Exploradores del Ecoparque</v>
      </c>
      <c r="C49" s="3">
        <f>IFERROR(__xludf.DUMMYFUNCTION("""COMPUTED_VALUE"""),46036.0)</f>
        <v>46036</v>
      </c>
      <c r="D49" s="3">
        <f>IFERROR(__xludf.DUMMYFUNCTION("""COMPUTED_VALUE"""),46036.0)</f>
        <v>46036</v>
      </c>
      <c r="E49" s="2" t="str">
        <f>IFERROR(__xludf.DUMMYFUNCTION("""COMPUTED_VALUE"""),"Cercanía")</f>
        <v>Cercanía</v>
      </c>
      <c r="F49" s="2" t="str">
        <f>IFERROR(__xludf.DUMMYFUNCTION("""COMPUTED_VALUE"""),"Cercanía y PC")</f>
        <v>Cercanía y PC</v>
      </c>
      <c r="G49" s="2" t="str">
        <f>IFERROR(__xludf.DUMMYFUNCTION("""COMPUTED_VALUE"""),"Finalizada")</f>
        <v>Finalizada</v>
      </c>
      <c r="H49" s="4">
        <v>0.0</v>
      </c>
      <c r="I49" s="4">
        <v>0.0</v>
      </c>
      <c r="J49" s="4">
        <v>0.0</v>
      </c>
      <c r="K49" s="4">
        <v>0.0</v>
      </c>
      <c r="L49" s="5">
        <v>0.0</v>
      </c>
      <c r="M49" s="5">
        <v>0.0</v>
      </c>
      <c r="N49" s="4">
        <v>36289.0</v>
      </c>
      <c r="O49" s="4">
        <v>35904.0</v>
      </c>
      <c r="P49" s="4">
        <v>19164.0</v>
      </c>
      <c r="Q49" s="4">
        <v>240.0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 t="s">
        <v>8</v>
      </c>
      <c r="AE49" s="6" t="s">
        <v>9</v>
      </c>
    </row>
    <row r="50" ht="16.5" customHeight="1">
      <c r="A50" s="2" t="str">
        <f>IFERROR(__xludf.DUMMYFUNCTION("""COMPUTED_VALUE"""),"2458-ENESEGGC")</f>
        <v>2458-ENESEGGC</v>
      </c>
      <c r="B50" s="2" t="str">
        <f>IFERROR(__xludf.DUMMYFUNCTION("""COMPUTED_VALUE"""),"Campaña GCBA I Seguridad I Desalojo edificio San Telmo")</f>
        <v>Campaña GCBA I Seguridad I Desalojo edificio San Telmo</v>
      </c>
      <c r="C50" s="3">
        <f>IFERROR(__xludf.DUMMYFUNCTION("""COMPUTED_VALUE"""),46029.0)</f>
        <v>46029</v>
      </c>
      <c r="D50" s="3">
        <f>IFERROR(__xludf.DUMMYFUNCTION("""COMPUTED_VALUE"""),46044.0)</f>
        <v>46044</v>
      </c>
      <c r="E50" s="2" t="str">
        <f>IFERROR(__xludf.DUMMYFUNCTION("""COMPUTED_VALUE"""),"M2")</f>
        <v>M2</v>
      </c>
      <c r="F50" s="2" t="str">
        <f>IFERROR(__xludf.DUMMYFUNCTION("""COMPUTED_VALUE"""),"Seguridad")</f>
        <v>Seguridad</v>
      </c>
      <c r="G50" s="2" t="str">
        <f>IFERROR(__xludf.DUMMYFUNCTION("""COMPUTED_VALUE"""),"Finalizada")</f>
        <v>Finalizada</v>
      </c>
      <c r="H50" s="4">
        <v>1958412.0</v>
      </c>
      <c r="I50" s="4">
        <v>1314287.0</v>
      </c>
      <c r="J50" s="4">
        <v>1288.0</v>
      </c>
      <c r="K50" s="4">
        <v>208110.0</v>
      </c>
      <c r="L50" s="5">
        <v>1.7622507327855461</v>
      </c>
      <c r="M50" s="5">
        <v>9.410465619143721</v>
      </c>
      <c r="N50" s="4">
        <v>126455.0</v>
      </c>
      <c r="O50" s="4">
        <v>124209.0</v>
      </c>
      <c r="P50" s="4">
        <v>32515.0</v>
      </c>
      <c r="Q50" s="4">
        <v>1193.0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6" t="s">
        <v>34</v>
      </c>
      <c r="AE50" s="6" t="s">
        <v>9</v>
      </c>
    </row>
    <row r="51" ht="16.5" customHeight="1">
      <c r="A51" s="2" t="str">
        <f>IFERROR(__xludf.DUMMYFUNCTION("""COMPUTED_VALUE"""),"2459-ENESEGGC")</f>
        <v>2459-ENESEGGC</v>
      </c>
      <c r="B51" s="2" t="str">
        <f>IFERROR(__xludf.DUMMYFUNCTION("""COMPUTED_VALUE"""),"Campaña GCBA I Seguridad I Desalojo predio Parque Avellaneda")</f>
        <v>Campaña GCBA I Seguridad I Desalojo predio Parque Avellaneda</v>
      </c>
      <c r="C51" s="3">
        <f>IFERROR(__xludf.DUMMYFUNCTION("""COMPUTED_VALUE"""),46030.0)</f>
        <v>46030</v>
      </c>
      <c r="D51" s="3">
        <f>IFERROR(__xludf.DUMMYFUNCTION("""COMPUTED_VALUE"""),46045.0)</f>
        <v>46045</v>
      </c>
      <c r="E51" s="2" t="str">
        <f>IFERROR(__xludf.DUMMYFUNCTION("""COMPUTED_VALUE"""),"M2")</f>
        <v>M2</v>
      </c>
      <c r="F51" s="2" t="str">
        <f>IFERROR(__xludf.DUMMYFUNCTION("""COMPUTED_VALUE"""),"Seguridad")</f>
        <v>Seguridad</v>
      </c>
      <c r="G51" s="2" t="str">
        <f>IFERROR(__xludf.DUMMYFUNCTION("""COMPUTED_VALUE"""),"Finalizada")</f>
        <v>Finalizada</v>
      </c>
      <c r="H51" s="4">
        <v>2545129.0</v>
      </c>
      <c r="I51" s="4">
        <v>1397894.0</v>
      </c>
      <c r="J51" s="4">
        <v>2481.0</v>
      </c>
      <c r="K51" s="4">
        <v>550772.0</v>
      </c>
      <c r="L51" s="5">
        <v>1.8618212254798718</v>
      </c>
      <c r="M51" s="5">
        <v>4.621021039559019</v>
      </c>
      <c r="N51" s="4">
        <v>199955.0</v>
      </c>
      <c r="O51" s="4">
        <v>196224.0</v>
      </c>
      <c r="P51" s="4">
        <v>45064.0</v>
      </c>
      <c r="Q51" s="4">
        <v>964.0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6" t="s">
        <v>35</v>
      </c>
      <c r="AE51" s="6" t="s">
        <v>9</v>
      </c>
    </row>
    <row r="52" ht="16.5" customHeight="1">
      <c r="A52" s="2" t="str">
        <f>IFERROR(__xludf.DUMMYFUNCTION("""COMPUTED_VALUE"""),"2460-ENEFESGC")</f>
        <v>2460-ENEFESGC</v>
      </c>
      <c r="B52" s="2" t="str">
        <f>IFERROR(__xludf.DUMMYFUNCTION("""COMPUTED_VALUE"""),"Campaña verano en la ciudad | Verano en los anfiteatros")</f>
        <v>Campaña verano en la ciudad | Verano en los anfiteatros</v>
      </c>
      <c r="C52" s="3">
        <f>IFERROR(__xludf.DUMMYFUNCTION("""COMPUTED_VALUE"""),46057.0)</f>
        <v>46057</v>
      </c>
      <c r="D52" s="3">
        <f>IFERROR(__xludf.DUMMYFUNCTION("""COMPUTED_VALUE"""),46080.0)</f>
        <v>46080</v>
      </c>
      <c r="E52" s="2" t="str">
        <f>IFERROR(__xludf.DUMMYFUNCTION("""COMPUTED_VALUE"""),"Ciudad Atractiva")</f>
        <v>Ciudad Atractiva</v>
      </c>
      <c r="F52" s="2" t="str">
        <f>IFERROR(__xludf.DUMMYFUNCTION("""COMPUTED_VALUE"""),"Festivales y Eventos")</f>
        <v>Festivales y Eventos</v>
      </c>
      <c r="G52" s="2" t="str">
        <f>IFERROR(__xludf.DUMMYFUNCTION("""COMPUTED_VALUE"""),"Finalizada")</f>
        <v>Finalizada</v>
      </c>
      <c r="H52" s="4">
        <v>1.0431799E7</v>
      </c>
      <c r="I52" s="4">
        <v>0.0</v>
      </c>
      <c r="J52" s="4">
        <v>45286.0</v>
      </c>
      <c r="K52" s="4">
        <v>297850.0</v>
      </c>
      <c r="L52" s="5">
        <v>8.686657713614235</v>
      </c>
      <c r="M52" s="5">
        <v>35.02366627497062</v>
      </c>
      <c r="N52" s="4">
        <v>165205.0</v>
      </c>
      <c r="O52" s="4">
        <v>161928.0</v>
      </c>
      <c r="P52" s="4">
        <v>45115.0</v>
      </c>
      <c r="Q52" s="4">
        <v>4265.0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/>
      <c r="AE52" s="6" t="s">
        <v>9</v>
      </c>
    </row>
    <row r="53" ht="16.5" customHeight="1">
      <c r="A53" s="2" t="str">
        <f>IFERROR(__xludf.DUMMYFUNCTION("""COMPUTED_VALUE"""),"2463-ENETURGC")</f>
        <v>2463-ENETURGC</v>
      </c>
      <c r="B53" s="2" t="str">
        <f>IFERROR(__xludf.DUMMYFUNCTION("""COMPUTED_VALUE"""),"Elegí Argentina 2026 | Registro de Prestadores Turísticos | Viernes 9/1")</f>
        <v>Elegí Argentina 2026 | Registro de Prestadores Turísticos | Viernes 9/1</v>
      </c>
      <c r="C53" s="3">
        <f>IFERROR(__xludf.DUMMYFUNCTION("""COMPUTED_VALUE"""),46031.0)</f>
        <v>46031</v>
      </c>
      <c r="D53" s="3">
        <f>IFERROR(__xludf.DUMMYFUNCTION("""COMPUTED_VALUE"""),46031.0)</f>
        <v>46031</v>
      </c>
      <c r="E53" s="2" t="str">
        <f>IFERROR(__xludf.DUMMYFUNCTION("""COMPUTED_VALUE"""),"Otros")</f>
        <v>Otros</v>
      </c>
      <c r="F53" s="2" t="str">
        <f>IFERROR(__xludf.DUMMYFUNCTION("""COMPUTED_VALUE"""),"Turismo")</f>
        <v>Turismo</v>
      </c>
      <c r="G53" s="2" t="str">
        <f>IFERROR(__xludf.DUMMYFUNCTION("""COMPUTED_VALUE"""),"Finalizada")</f>
        <v>Finalizada</v>
      </c>
      <c r="H53" s="4">
        <v>0.0</v>
      </c>
      <c r="I53" s="4">
        <v>0.0</v>
      </c>
      <c r="J53" s="4">
        <v>0.0</v>
      </c>
      <c r="K53" s="4">
        <v>0.0</v>
      </c>
      <c r="L53" s="5">
        <v>0.0</v>
      </c>
      <c r="M53" s="5">
        <v>0.0</v>
      </c>
      <c r="N53" s="4">
        <v>575.0</v>
      </c>
      <c r="O53" s="4">
        <v>552.0</v>
      </c>
      <c r="P53" s="4">
        <v>217.0</v>
      </c>
      <c r="Q53" s="4">
        <v>52.0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 t="s">
        <v>8</v>
      </c>
      <c r="AE53" s="6" t="s">
        <v>9</v>
      </c>
    </row>
    <row r="54" ht="16.5" customHeight="1">
      <c r="A54" s="2" t="str">
        <f>IFERROR(__xludf.DUMMYFUNCTION("""COMPUTED_VALUE"""),"2464-ENEINFGC")</f>
        <v>2464-ENEINFGC</v>
      </c>
      <c r="B54" s="2" t="str">
        <f>IFERROR(__xludf.DUMMYFUNCTION("""COMPUTED_VALUE"""),"CAMPAÑA GCBA | INFRAESTRUCTURA | PBN García Lorca: durante de obra")</f>
        <v>CAMPAÑA GCBA | INFRAESTRUCTURA | PBN García Lorca: durante de obra</v>
      </c>
      <c r="C54" s="3">
        <f>IFERROR(__xludf.DUMMYFUNCTION("""COMPUTED_VALUE"""),46036.0)</f>
        <v>46036</v>
      </c>
      <c r="D54" s="3">
        <f>IFERROR(__xludf.DUMMYFUNCTION("""COMPUTED_VALUE"""),46056.0)</f>
        <v>46056</v>
      </c>
      <c r="E54" s="2" t="str">
        <f>IFERROR(__xludf.DUMMYFUNCTION("""COMPUTED_VALUE"""),"Movilidad")</f>
        <v>Movilidad</v>
      </c>
      <c r="F54" s="2" t="str">
        <f>IFERROR(__xludf.DUMMYFUNCTION("""COMPUTED_VALUE"""),"Infraestructura")</f>
        <v>Infraestructura</v>
      </c>
      <c r="G54" s="2" t="str">
        <f>IFERROR(__xludf.DUMMYFUNCTION("""COMPUTED_VALUE"""),"Finalizada")</f>
        <v>Finalizada</v>
      </c>
      <c r="H54" s="4">
        <v>4636754.0</v>
      </c>
      <c r="I54" s="4">
        <v>23533.0</v>
      </c>
      <c r="J54" s="4">
        <v>13640.0</v>
      </c>
      <c r="K54" s="4">
        <v>484653.0</v>
      </c>
      <c r="L54" s="5">
        <v>1.4793739025653405</v>
      </c>
      <c r="M54" s="5">
        <v>9.567162485324552</v>
      </c>
      <c r="N54" s="4">
        <v>71838.0</v>
      </c>
      <c r="O54" s="4">
        <v>70767.0</v>
      </c>
      <c r="P54" s="4">
        <v>28370.0</v>
      </c>
      <c r="Q54" s="4">
        <v>747.0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6" t="s">
        <v>36</v>
      </c>
      <c r="AE54" s="6" t="s">
        <v>9</v>
      </c>
    </row>
    <row r="55" ht="16.5" customHeight="1">
      <c r="A55" s="2" t="str">
        <f>IFERROR(__xludf.DUMMYFUNCTION("""COMPUTED_VALUE"""),"2465-ENEJDGAG")</f>
        <v>2465-ENEJDGAG</v>
      </c>
      <c r="B55" s="2" t="str">
        <f>IFERROR(__xludf.DUMMYFUNCTION("""COMPUTED_VALUE"""),"Cafe JM - Puerto Madero 16/1")</f>
        <v>Cafe JM - Puerto Madero 16/1</v>
      </c>
      <c r="C55" s="3">
        <f>IFERROR(__xludf.DUMMYFUNCTION("""COMPUTED_VALUE"""),46031.0)</f>
        <v>46031</v>
      </c>
      <c r="D55" s="3">
        <f>IFERROR(__xludf.DUMMYFUNCTION("""COMPUTED_VALUE"""),46053.0)</f>
        <v>46053</v>
      </c>
      <c r="E55" s="2" t="str">
        <f>IFERROR(__xludf.DUMMYFUNCTION("""COMPUTED_VALUE"""),"Cercanía")</f>
        <v>Cercanía</v>
      </c>
      <c r="F55" s="2" t="str">
        <f>IFERROR(__xludf.DUMMYFUNCTION("""COMPUTED_VALUE"""),"Jefatura de Gobierno")</f>
        <v>Jefatura de Gobierno</v>
      </c>
      <c r="G55" s="2" t="str">
        <f>IFERROR(__xludf.DUMMYFUNCTION("""COMPUTED_VALUE"""),"Finalizada")</f>
        <v>Finalizada</v>
      </c>
      <c r="H55" s="4">
        <v>2758449.0</v>
      </c>
      <c r="I55" s="4">
        <v>903317.0</v>
      </c>
      <c r="J55" s="4">
        <v>4118.0</v>
      </c>
      <c r="K55" s="4">
        <v>31114.0</v>
      </c>
      <c r="L55" s="5">
        <v>2.890949411840329</v>
      </c>
      <c r="M55" s="5">
        <v>88.65619978144886</v>
      </c>
      <c r="N55" s="4">
        <v>2567.0</v>
      </c>
      <c r="O55" s="4">
        <v>2526.0</v>
      </c>
      <c r="P55" s="4">
        <v>990.0</v>
      </c>
      <c r="Q55" s="4">
        <v>81.0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6" t="s">
        <v>37</v>
      </c>
      <c r="AE55" s="6" t="s">
        <v>9</v>
      </c>
    </row>
    <row r="56" ht="16.5" customHeight="1">
      <c r="A56" s="2" t="str">
        <f>IFERROR(__xludf.DUMMYFUNCTION("""COMPUTED_VALUE"""),"2466-ENEFESGC")</f>
        <v>2466-ENEFESGC</v>
      </c>
      <c r="B56" s="2" t="str">
        <f>IFERROR(__xludf.DUMMYFUNCTION("""COMPUTED_VALUE"""),"Verano en la Ciudad  | Parque de la Ciudad")</f>
        <v>Verano en la Ciudad  | Parque de la Ciudad</v>
      </c>
      <c r="C56" s="3">
        <f>IFERROR(__xludf.DUMMYFUNCTION("""COMPUTED_VALUE"""),46041.0)</f>
        <v>46041</v>
      </c>
      <c r="D56" s="3">
        <f>IFERROR(__xludf.DUMMYFUNCTION("""COMPUTED_VALUE"""),46066.0)</f>
        <v>46066</v>
      </c>
      <c r="E56" s="2" t="str">
        <f>IFERROR(__xludf.DUMMYFUNCTION("""COMPUTED_VALUE"""),"Ciudad Atractiva")</f>
        <v>Ciudad Atractiva</v>
      </c>
      <c r="F56" s="2" t="str">
        <f>IFERROR(__xludf.DUMMYFUNCTION("""COMPUTED_VALUE"""),"Festivales y Eventos")</f>
        <v>Festivales y Eventos</v>
      </c>
      <c r="G56" s="2" t="str">
        <f>IFERROR(__xludf.DUMMYFUNCTION("""COMPUTED_VALUE"""),"Finalizada")</f>
        <v>Finalizada</v>
      </c>
      <c r="H56" s="4">
        <v>7612586.0</v>
      </c>
      <c r="I56" s="4">
        <v>230619.0</v>
      </c>
      <c r="J56" s="4">
        <v>9111.0</v>
      </c>
      <c r="K56" s="4"/>
      <c r="L56" s="5">
        <v>0.0</v>
      </c>
      <c r="M56" s="5">
        <v>0.0</v>
      </c>
      <c r="N56" s="4">
        <v>243518.0</v>
      </c>
      <c r="O56" s="4">
        <v>238203.0</v>
      </c>
      <c r="P56" s="4">
        <v>60526.0</v>
      </c>
      <c r="Q56" s="4">
        <v>2710.0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6" t="s">
        <v>38</v>
      </c>
      <c r="AE56" s="6" t="s">
        <v>9</v>
      </c>
    </row>
    <row r="57" ht="16.5" customHeight="1">
      <c r="A57" s="2" t="str">
        <f>IFERROR(__xludf.DUMMYFUNCTION("""COMPUTED_VALUE"""),"2467-ENEFESGC")</f>
        <v>2467-ENEFESGC</v>
      </c>
      <c r="B57" s="2" t="str">
        <f>IFERROR(__xludf.DUMMYFUNCTION("""COMPUTED_VALUE"""),"Verano en la Ciudad | Verano Joven BA enero")</f>
        <v>Verano en la Ciudad | Verano Joven BA enero</v>
      </c>
      <c r="C57" s="3">
        <f>IFERROR(__xludf.DUMMYFUNCTION("""COMPUTED_VALUE"""),46050.0)</f>
        <v>46050</v>
      </c>
      <c r="D57" s="3">
        <f>IFERROR(__xludf.DUMMYFUNCTION("""COMPUTED_VALUE"""),46053.0)</f>
        <v>46053</v>
      </c>
      <c r="E57" s="2" t="str">
        <f>IFERROR(__xludf.DUMMYFUNCTION("""COMPUTED_VALUE"""),"Ciudad Atractiva")</f>
        <v>Ciudad Atractiva</v>
      </c>
      <c r="F57" s="2" t="str">
        <f>IFERROR(__xludf.DUMMYFUNCTION("""COMPUTED_VALUE"""),"Festivales y Eventos")</f>
        <v>Festivales y Eventos</v>
      </c>
      <c r="G57" s="2" t="str">
        <f>IFERROR(__xludf.DUMMYFUNCTION("""COMPUTED_VALUE"""),"Finalizada")</f>
        <v>Finalizada</v>
      </c>
      <c r="H57" s="4">
        <v>1.3260814E7</v>
      </c>
      <c r="I57" s="4">
        <v>1700132.0</v>
      </c>
      <c r="J57" s="4">
        <v>13721.0</v>
      </c>
      <c r="K57" s="4">
        <v>176068.0</v>
      </c>
      <c r="L57" s="5">
        <v>40.10844105686439</v>
      </c>
      <c r="M57" s="5">
        <v>75.31643455937478</v>
      </c>
      <c r="N57" s="4">
        <v>191896.0</v>
      </c>
      <c r="O57" s="4">
        <v>188174.0</v>
      </c>
      <c r="P57" s="4">
        <v>63834.0</v>
      </c>
      <c r="Q57" s="4">
        <v>1357.0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/>
      <c r="AE57" s="6" t="s">
        <v>9</v>
      </c>
    </row>
    <row r="58" ht="16.5" customHeight="1">
      <c r="A58" s="2" t="str">
        <f>IFERROR(__xludf.DUMMYFUNCTION("""COMPUTED_VALUE"""),"2468-ENEINFGC")</f>
        <v>2468-ENEINFGC</v>
      </c>
      <c r="B58" s="2" t="str">
        <f>IFERROR(__xludf.DUMMYFUNCTION("""COMPUTED_VALUE"""),"CAMPAÑA GCBA | INFRAESTRUCTURA | Cierre estación Piedras - Línea A | 12/1")</f>
        <v>CAMPAÑA GCBA | INFRAESTRUCTURA | Cierre estación Piedras - Línea A | 12/1</v>
      </c>
      <c r="C58" s="3">
        <f>IFERROR(__xludf.DUMMYFUNCTION("""COMPUTED_VALUE"""),46031.0)</f>
        <v>46031</v>
      </c>
      <c r="D58" s="3">
        <f>IFERROR(__xludf.DUMMYFUNCTION("""COMPUTED_VALUE"""),46045.0)</f>
        <v>46045</v>
      </c>
      <c r="E58" s="2" t="str">
        <f>IFERROR(__xludf.DUMMYFUNCTION("""COMPUTED_VALUE"""),"Movilidad")</f>
        <v>Movilidad</v>
      </c>
      <c r="F58" s="2" t="str">
        <f>IFERROR(__xludf.DUMMYFUNCTION("""COMPUTED_VALUE"""),"Infraestructura")</f>
        <v>Infraestructura</v>
      </c>
      <c r="G58" s="2" t="str">
        <f>IFERROR(__xludf.DUMMYFUNCTION("""COMPUTED_VALUE"""),"Finalizada")</f>
        <v>Finalizada</v>
      </c>
      <c r="H58" s="4">
        <v>2008143.0</v>
      </c>
      <c r="I58" s="4">
        <v>0.0</v>
      </c>
      <c r="J58" s="4">
        <v>2313.0</v>
      </c>
      <c r="K58" s="4">
        <v>138774.0</v>
      </c>
      <c r="L58" s="5">
        <v>1.987829132258204</v>
      </c>
      <c r="M58" s="5">
        <v>14.470599680055342</v>
      </c>
      <c r="N58" s="4">
        <v>69307.0</v>
      </c>
      <c r="O58" s="4">
        <v>68518.0</v>
      </c>
      <c r="P58" s="4">
        <v>27095.0</v>
      </c>
      <c r="Q58" s="4">
        <v>193.0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6" t="s">
        <v>39</v>
      </c>
      <c r="AE58" s="6" t="s">
        <v>9</v>
      </c>
    </row>
    <row r="59" ht="16.5" customHeight="1">
      <c r="A59" s="2" t="str">
        <f>IFERROR(__xludf.DUMMYFUNCTION("""COMPUTED_VALUE"""),"2469-ENEPCCVC")</f>
        <v>2469-ENEPCCVC</v>
      </c>
      <c r="B59" s="2" t="str">
        <f>IFERROR(__xludf.DUMMYFUNCTION("""COMPUTED_VALUE"""),"Reunion de Cocreación Parque Ferroviario Palermo")</f>
        <v>Reunion de Cocreación Parque Ferroviario Palermo</v>
      </c>
      <c r="C59" s="3">
        <f>IFERROR(__xludf.DUMMYFUNCTION("""COMPUTED_VALUE"""),46049.0)</f>
        <v>46049</v>
      </c>
      <c r="D59" s="3">
        <f>IFERROR(__xludf.DUMMYFUNCTION("""COMPUTED_VALUE"""),46050.0)</f>
        <v>46050</v>
      </c>
      <c r="E59" s="2" t="str">
        <f>IFERROR(__xludf.DUMMYFUNCTION("""COMPUTED_VALUE"""),"Cercanía")</f>
        <v>Cercanía</v>
      </c>
      <c r="F59" s="2" t="str">
        <f>IFERROR(__xludf.DUMMYFUNCTION("""COMPUTED_VALUE"""),"Cercanía y PC")</f>
        <v>Cercanía y PC</v>
      </c>
      <c r="G59" s="2" t="str">
        <f>IFERROR(__xludf.DUMMYFUNCTION("""COMPUTED_VALUE"""),"Finalizada")</f>
        <v>Finalizada</v>
      </c>
      <c r="H59" s="4">
        <v>0.0</v>
      </c>
      <c r="I59" s="4">
        <v>0.0</v>
      </c>
      <c r="J59" s="4">
        <v>0.0</v>
      </c>
      <c r="K59" s="4">
        <v>0.0</v>
      </c>
      <c r="L59" s="5">
        <v>0.0</v>
      </c>
      <c r="M59" s="5">
        <v>0.0</v>
      </c>
      <c r="N59" s="4">
        <v>84765.0</v>
      </c>
      <c r="O59" s="4">
        <v>83136.0</v>
      </c>
      <c r="P59" s="4">
        <v>30285.0</v>
      </c>
      <c r="Q59" s="4">
        <v>289.0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 t="s">
        <v>8</v>
      </c>
      <c r="AE59" s="6" t="s">
        <v>9</v>
      </c>
    </row>
    <row r="60" ht="16.5" customHeight="1">
      <c r="A60" s="2" t="str">
        <f>IFERROR(__xludf.DUMMYFUNCTION("""COMPUTED_VALUE"""),"2470-ENEINFGC")</f>
        <v>2470-ENEINFGC</v>
      </c>
      <c r="B60" s="2" t="str">
        <f>IFERROR(__xludf.DUMMYFUNCTION("""COMPUTED_VALUE"""),"CAMPAÑA GCBA | INFRAESTRUCTURA |  Corte AU Illia")</f>
        <v>CAMPAÑA GCBA | INFRAESTRUCTURA |  Corte AU Illia</v>
      </c>
      <c r="C60" s="3">
        <f>IFERROR(__xludf.DUMMYFUNCTION("""COMPUTED_VALUE"""),46031.0)</f>
        <v>46031</v>
      </c>
      <c r="D60" s="3">
        <f>IFERROR(__xludf.DUMMYFUNCTION("""COMPUTED_VALUE"""),46045.0)</f>
        <v>46045</v>
      </c>
      <c r="E60" s="2" t="str">
        <f>IFERROR(__xludf.DUMMYFUNCTION("""COMPUTED_VALUE"""),"Movilidad")</f>
        <v>Movilidad</v>
      </c>
      <c r="F60" s="2" t="str">
        <f>IFERROR(__xludf.DUMMYFUNCTION("""COMPUTED_VALUE"""),"Infraestructura")</f>
        <v>Infraestructura</v>
      </c>
      <c r="G60" s="2" t="str">
        <f>IFERROR(__xludf.DUMMYFUNCTION("""COMPUTED_VALUE"""),"Finalizada")</f>
        <v>Finalizada</v>
      </c>
      <c r="H60" s="4">
        <v>270415.0</v>
      </c>
      <c r="I60" s="4">
        <v>0.0</v>
      </c>
      <c r="J60" s="4">
        <v>11.0</v>
      </c>
      <c r="K60" s="4">
        <v>270165.0</v>
      </c>
      <c r="L60" s="5">
        <v>1.0009253604278867</v>
      </c>
      <c r="M60" s="5">
        <v>1.0009253604278867</v>
      </c>
      <c r="N60" s="4">
        <v>133380.0</v>
      </c>
      <c r="O60" s="4">
        <v>131124.0</v>
      </c>
      <c r="P60" s="4">
        <v>51525.0</v>
      </c>
      <c r="Q60" s="4">
        <v>206.0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6" t="s">
        <v>40</v>
      </c>
      <c r="AE60" s="6" t="s">
        <v>9</v>
      </c>
    </row>
    <row r="61" ht="16.5" customHeight="1">
      <c r="A61" s="2" t="str">
        <f>IFERROR(__xludf.DUMMYFUNCTION("""COMPUTED_VALUE"""),"2471-ENEINFGC")</f>
        <v>2471-ENEINFGC</v>
      </c>
      <c r="B61" s="2" t="str">
        <f>IFERROR(__xludf.DUMMYFUNCTION("""COMPUTED_VALUE"""),"CAMPAÑA GCBA | INFRAESTRUCTURA | PBN Irigoyen: durante de obra")</f>
        <v>CAMPAÑA GCBA | INFRAESTRUCTURA | PBN Irigoyen: durante de obra</v>
      </c>
      <c r="C61" s="3">
        <f>IFERROR(__xludf.DUMMYFUNCTION("""COMPUTED_VALUE"""),46035.0)</f>
        <v>46035</v>
      </c>
      <c r="D61" s="3">
        <f>IFERROR(__xludf.DUMMYFUNCTION("""COMPUTED_VALUE"""),46049.0)</f>
        <v>46049</v>
      </c>
      <c r="E61" s="2" t="str">
        <f>IFERROR(__xludf.DUMMYFUNCTION("""COMPUTED_VALUE"""),"Movilidad")</f>
        <v>Movilidad</v>
      </c>
      <c r="F61" s="2" t="str">
        <f>IFERROR(__xludf.DUMMYFUNCTION("""COMPUTED_VALUE"""),"Infraestructura")</f>
        <v>Infraestructura</v>
      </c>
      <c r="G61" s="2" t="str">
        <f>IFERROR(__xludf.DUMMYFUNCTION("""COMPUTED_VALUE"""),"Finalizada")</f>
        <v>Finalizada</v>
      </c>
      <c r="H61" s="4">
        <v>5445044.0</v>
      </c>
      <c r="I61" s="4">
        <v>1315669.0</v>
      </c>
      <c r="J61" s="4">
        <v>12536.0</v>
      </c>
      <c r="K61" s="4">
        <v>24740.0</v>
      </c>
      <c r="L61" s="5">
        <v>1.1219482619240098</v>
      </c>
      <c r="M61" s="5">
        <v>220.0907033144705</v>
      </c>
      <c r="N61" s="4">
        <v>26442.0</v>
      </c>
      <c r="O61" s="4">
        <v>26188.0</v>
      </c>
      <c r="P61" s="4">
        <v>12713.0</v>
      </c>
      <c r="Q61" s="4">
        <v>753.0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6" t="s">
        <v>41</v>
      </c>
      <c r="AE61" s="6" t="s">
        <v>9</v>
      </c>
    </row>
    <row r="62" ht="16.5" customHeight="1">
      <c r="A62" s="2" t="str">
        <f>IFERROR(__xludf.DUMMYFUNCTION("""COMPUTED_VALUE"""),"2472-ENEINFGC")</f>
        <v>2472-ENEINFGC</v>
      </c>
      <c r="B62" s="2" t="str">
        <f>IFERROR(__xludf.DUMMYFUNCTION("""COMPUTED_VALUE"""),"CAMPAÑA GCBA |  Infraestructura | Cortes y desvíos en Palermo por trabajos en vías")</f>
        <v>CAMPAÑA GCBA |  Infraestructura | Cortes y desvíos en Palermo por trabajos en vías</v>
      </c>
      <c r="C62" s="3">
        <f>IFERROR(__xludf.DUMMYFUNCTION("""COMPUTED_VALUE"""),46035.0)</f>
        <v>46035</v>
      </c>
      <c r="D62" s="3">
        <f>IFERROR(__xludf.DUMMYFUNCTION("""COMPUTED_VALUE"""),46036.0)</f>
        <v>46036</v>
      </c>
      <c r="E62" s="2" t="str">
        <f>IFERROR(__xludf.DUMMYFUNCTION("""COMPUTED_VALUE"""),"Movilidad")</f>
        <v>Movilidad</v>
      </c>
      <c r="F62" s="2" t="str">
        <f>IFERROR(__xludf.DUMMYFUNCTION("""COMPUTED_VALUE"""),"Infraestructura")</f>
        <v>Infraestructura</v>
      </c>
      <c r="G62" s="2" t="str">
        <f>IFERROR(__xludf.DUMMYFUNCTION("""COMPUTED_VALUE"""),"Finalizada")</f>
        <v>Finalizada</v>
      </c>
      <c r="H62" s="4">
        <v>428813.0</v>
      </c>
      <c r="I62" s="4">
        <v>0.0</v>
      </c>
      <c r="J62" s="4">
        <v>704.0</v>
      </c>
      <c r="K62" s="4">
        <v>427850.0</v>
      </c>
      <c r="L62" s="5">
        <v>1.0022507888278602</v>
      </c>
      <c r="M62" s="5">
        <v>1.0022507888278602</v>
      </c>
      <c r="N62" s="4">
        <v>61921.0</v>
      </c>
      <c r="O62" s="4">
        <v>61010.0</v>
      </c>
      <c r="P62" s="4">
        <v>27996.0</v>
      </c>
      <c r="Q62" s="4">
        <v>209.0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6" t="s">
        <v>42</v>
      </c>
      <c r="AE62" s="6" t="s">
        <v>9</v>
      </c>
    </row>
    <row r="63" ht="16.5" customHeight="1">
      <c r="A63" s="2" t="str">
        <f>IFERROR(__xludf.DUMMYFUNCTION("""COMPUTED_VALUE"""),"2474-ENEINFGC")</f>
        <v>2474-ENEINFGC</v>
      </c>
      <c r="B63" s="2" t="str">
        <f>IFERROR(__xludf.DUMMYFUNCTION("""COMPUTED_VALUE"""),"Campaña GCBA I Infraestructura I Nuevo ramal línea 42")</f>
        <v>Campaña GCBA I Infraestructura I Nuevo ramal línea 42</v>
      </c>
      <c r="C63" s="3">
        <f>IFERROR(__xludf.DUMMYFUNCTION("""COMPUTED_VALUE"""),46041.0)</f>
        <v>46041</v>
      </c>
      <c r="D63" s="3">
        <f>IFERROR(__xludf.DUMMYFUNCTION("""COMPUTED_VALUE"""),46055.0)</f>
        <v>46055</v>
      </c>
      <c r="E63" s="2" t="str">
        <f>IFERROR(__xludf.DUMMYFUNCTION("""COMPUTED_VALUE"""),"Movilidad")</f>
        <v>Movilidad</v>
      </c>
      <c r="F63" s="2" t="str">
        <f>IFERROR(__xludf.DUMMYFUNCTION("""COMPUTED_VALUE"""),"Infraestructura")</f>
        <v>Infraestructura</v>
      </c>
      <c r="G63" s="2" t="str">
        <f>IFERROR(__xludf.DUMMYFUNCTION("""COMPUTED_VALUE"""),"Finalizada")</f>
        <v>Finalizada</v>
      </c>
      <c r="H63" s="4">
        <v>3771995.0</v>
      </c>
      <c r="I63" s="4">
        <v>0.0</v>
      </c>
      <c r="J63" s="4">
        <v>17133.0</v>
      </c>
      <c r="K63" s="4">
        <v>1236622.0</v>
      </c>
      <c r="L63" s="5">
        <v>0.48297296991319905</v>
      </c>
      <c r="M63" s="5">
        <v>3.0502408981887754</v>
      </c>
      <c r="N63" s="4">
        <v>99866.0</v>
      </c>
      <c r="O63" s="4">
        <v>97981.0</v>
      </c>
      <c r="P63" s="4">
        <v>38813.0</v>
      </c>
      <c r="Q63" s="4">
        <v>4158.0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6" t="s">
        <v>43</v>
      </c>
      <c r="AE63" s="6" t="s">
        <v>9</v>
      </c>
    </row>
    <row r="64" ht="16.5" customHeight="1">
      <c r="A64" s="2" t="str">
        <f>IFERROR(__xludf.DUMMYFUNCTION("""COMPUTED_VALUE"""),"2475-ENESEGAG")</f>
        <v>2475-ENESEGAG</v>
      </c>
      <c r="B64" s="2" t="str">
        <f>IFERROR(__xludf.DUMMYFUNCTION("""COMPUTED_VALUE"""),"RECORRIDA POR SERVICIO PENITENCIARIO de Marcos Paz")</f>
        <v>RECORRIDA POR SERVICIO PENITENCIARIO de Marcos Paz</v>
      </c>
      <c r="C64" s="3">
        <f>IFERROR(__xludf.DUMMYFUNCTION("""COMPUTED_VALUE"""),46038.0)</f>
        <v>46038</v>
      </c>
      <c r="D64" s="3">
        <f>IFERROR(__xludf.DUMMYFUNCTION("""COMPUTED_VALUE"""),46055.0)</f>
        <v>46055</v>
      </c>
      <c r="E64" s="2" t="str">
        <f>IFERROR(__xludf.DUMMYFUNCTION("""COMPUTED_VALUE"""),"M2")</f>
        <v>M2</v>
      </c>
      <c r="F64" s="2" t="str">
        <f>IFERROR(__xludf.DUMMYFUNCTION("""COMPUTED_VALUE"""),"Seguridad")</f>
        <v>Seguridad</v>
      </c>
      <c r="G64" s="2" t="str">
        <f>IFERROR(__xludf.DUMMYFUNCTION("""COMPUTED_VALUE"""),"Finalizada")</f>
        <v>Finalizada</v>
      </c>
      <c r="H64" s="4">
        <v>4108318.0</v>
      </c>
      <c r="I64" s="4">
        <v>362022.0</v>
      </c>
      <c r="J64" s="4">
        <v>22820.0</v>
      </c>
      <c r="K64" s="4">
        <v>324234.0</v>
      </c>
      <c r="L64" s="5">
        <v>2.4565375623777888</v>
      </c>
      <c r="M64" s="5">
        <v>12.670842663014984</v>
      </c>
      <c r="N64" s="4">
        <v>79361.0</v>
      </c>
      <c r="O64" s="4">
        <v>78087.0</v>
      </c>
      <c r="P64" s="4">
        <v>22745.0</v>
      </c>
      <c r="Q64" s="4">
        <v>87.0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6" t="s">
        <v>44</v>
      </c>
      <c r="AE64" s="6" t="s">
        <v>9</v>
      </c>
    </row>
    <row r="65" ht="16.5" customHeight="1">
      <c r="A65" s="2" t="str">
        <f>IFERROR(__xludf.DUMMYFUNCTION("""COMPUTED_VALUE"""),"2476-ENEFESGC")</f>
        <v>2476-ENEFESGC</v>
      </c>
      <c r="B65" s="2" t="str">
        <f>IFERROR(__xludf.DUMMYFUNCTION("""COMPUTED_VALUE"""),"Verano en la Ciudad | Corrientes 24h")</f>
        <v>Verano en la Ciudad | Corrientes 24h</v>
      </c>
      <c r="C65" s="3">
        <f>IFERROR(__xludf.DUMMYFUNCTION("""COMPUTED_VALUE"""),46043.0)</f>
        <v>46043</v>
      </c>
      <c r="D65" s="3">
        <f>IFERROR(__xludf.DUMMYFUNCTION("""COMPUTED_VALUE"""),46081.0)</f>
        <v>46081</v>
      </c>
      <c r="E65" s="2" t="str">
        <f>IFERROR(__xludf.DUMMYFUNCTION("""COMPUTED_VALUE"""),"Ciudad Atractiva")</f>
        <v>Ciudad Atractiva</v>
      </c>
      <c r="F65" s="2" t="str">
        <f>IFERROR(__xludf.DUMMYFUNCTION("""COMPUTED_VALUE"""),"Festivales y Eventos")</f>
        <v>Festivales y Eventos</v>
      </c>
      <c r="G65" s="2" t="str">
        <f>IFERROR(__xludf.DUMMYFUNCTION("""COMPUTED_VALUE"""),"Finalizada")</f>
        <v>Finalizada</v>
      </c>
      <c r="H65" s="4">
        <v>1.9987991E7</v>
      </c>
      <c r="I65" s="4">
        <v>4636267.0</v>
      </c>
      <c r="J65" s="4">
        <v>26588.0</v>
      </c>
      <c r="K65" s="4">
        <v>467329.0</v>
      </c>
      <c r="L65" s="5">
        <v>6.596147467843853</v>
      </c>
      <c r="M65" s="5">
        <v>42.770705434501174</v>
      </c>
      <c r="N65" s="4">
        <v>131580.0</v>
      </c>
      <c r="O65" s="4">
        <v>130254.0</v>
      </c>
      <c r="P65" s="4">
        <v>67844.0</v>
      </c>
      <c r="Q65" s="4">
        <v>3426.0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6" t="s">
        <v>45</v>
      </c>
      <c r="AE65" s="6" t="s">
        <v>9</v>
      </c>
    </row>
    <row r="66" ht="16.5" customHeight="1">
      <c r="A66" s="2" t="str">
        <f>IFERROR(__xludf.DUMMYFUNCTION("""COMPUTED_VALUE"""),"2477-ENEPCCVC")</f>
        <v>2477-ENEPCCVC</v>
      </c>
      <c r="B66" s="2" t="str">
        <f>IFERROR(__xludf.DUMMYFUNCTION("""COMPUTED_VALUE"""),"Refuncionalización Calle Necochea y entorno")</f>
        <v>Refuncionalización Calle Necochea y entorno</v>
      </c>
      <c r="C66" s="3">
        <f>IFERROR(__xludf.DUMMYFUNCTION("""COMPUTED_VALUE"""),46041.0)</f>
        <v>46041</v>
      </c>
      <c r="D66" s="3">
        <f>IFERROR(__xludf.DUMMYFUNCTION("""COMPUTED_VALUE"""),46041.0)</f>
        <v>46041</v>
      </c>
      <c r="E66" s="2" t="str">
        <f>IFERROR(__xludf.DUMMYFUNCTION("""COMPUTED_VALUE"""),"Cercanía")</f>
        <v>Cercanía</v>
      </c>
      <c r="F66" s="2" t="str">
        <f>IFERROR(__xludf.DUMMYFUNCTION("""COMPUTED_VALUE"""),"Cercanía y PC")</f>
        <v>Cercanía y PC</v>
      </c>
      <c r="G66" s="2" t="str">
        <f>IFERROR(__xludf.DUMMYFUNCTION("""COMPUTED_VALUE"""),"Finalizada")</f>
        <v>Finalizada</v>
      </c>
      <c r="H66" s="4">
        <v>0.0</v>
      </c>
      <c r="I66" s="4">
        <v>0.0</v>
      </c>
      <c r="J66" s="4">
        <v>0.0</v>
      </c>
      <c r="K66" s="4">
        <v>0.0</v>
      </c>
      <c r="L66" s="5">
        <v>0.0</v>
      </c>
      <c r="M66" s="5">
        <v>0.0</v>
      </c>
      <c r="N66" s="4">
        <v>13427.0</v>
      </c>
      <c r="O66" s="4">
        <v>13123.0</v>
      </c>
      <c r="P66" s="4">
        <v>2286.0</v>
      </c>
      <c r="Q66" s="4">
        <v>83.0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 t="s">
        <v>8</v>
      </c>
      <c r="AE66" s="6" t="s">
        <v>9</v>
      </c>
    </row>
    <row r="67" ht="16.5" customHeight="1">
      <c r="A67" s="2" t="str">
        <f>IFERROR(__xludf.DUMMYFUNCTION("""COMPUTED_VALUE"""),"2478-ENEINNGC")</f>
        <v>2478-ENEINNGC</v>
      </c>
      <c r="B67" s="2" t="str">
        <f>IFERROR(__xludf.DUMMYFUNCTION("""COMPUTED_VALUE"""),"Lanzamiento BAX")</f>
        <v>Lanzamiento BAX</v>
      </c>
      <c r="C67" s="3">
        <f>IFERROR(__xludf.DUMMYFUNCTION("""COMPUTED_VALUE"""),46205.0)</f>
        <v>46205</v>
      </c>
      <c r="D67" s="3">
        <f>IFERROR(__xludf.DUMMYFUNCTION("""COMPUTED_VALUE"""),46265.0)</f>
        <v>46265</v>
      </c>
      <c r="E67" s="2" t="str">
        <f>IFERROR(__xludf.DUMMYFUNCTION("""COMPUTED_VALUE"""),"Reforma del Estado")</f>
        <v>Reforma del Estado</v>
      </c>
      <c r="F67" s="2" t="str">
        <f>IFERROR(__xludf.DUMMYFUNCTION("""COMPUTED_VALUE"""),"Innovación")</f>
        <v>Innovación</v>
      </c>
      <c r="G67" s="2" t="str">
        <f>IFERROR(__xludf.DUMMYFUNCTION("""COMPUTED_VALUE"""),"Activa")</f>
        <v>Activa</v>
      </c>
      <c r="H67" s="4">
        <v>2.1389768E7</v>
      </c>
      <c r="I67" s="4">
        <v>5608558.0</v>
      </c>
      <c r="J67" s="4">
        <v>290709.0</v>
      </c>
      <c r="K67" s="4">
        <v>1151860.0</v>
      </c>
      <c r="L67" s="5">
        <v>3.6945210355425138</v>
      </c>
      <c r="M67" s="5">
        <v>18.56976368655913</v>
      </c>
      <c r="N67" s="4">
        <v>561058.0</v>
      </c>
      <c r="O67" s="4">
        <v>553314.0</v>
      </c>
      <c r="P67" s="4">
        <v>168616.0</v>
      </c>
      <c r="Q67" s="4">
        <v>10926.0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/>
      <c r="AE67" s="6" t="s">
        <v>9</v>
      </c>
    </row>
    <row r="68" ht="16.5" customHeight="1">
      <c r="A68" s="2" t="str">
        <f>IFERROR(__xludf.DUMMYFUNCTION("""COMPUTED_VALUE"""),"2480-ENEINFGC")</f>
        <v>2480-ENEINFGC</v>
      </c>
      <c r="B68" s="2" t="str">
        <f>IFERROR(__xludf.DUMMYFUNCTION("""COMPUTED_VALUE"""),"Campaña GCBA | Infraestructura: Obras en La Boca: calle Necochea")</f>
        <v>Campaña GCBA | Infraestructura: Obras en La Boca: calle Necochea</v>
      </c>
      <c r="C68" s="3">
        <f>IFERROR(__xludf.DUMMYFUNCTION("""COMPUTED_VALUE"""),46083.0)</f>
        <v>46083</v>
      </c>
      <c r="D68" s="3">
        <f>IFERROR(__xludf.DUMMYFUNCTION("""COMPUTED_VALUE"""),46112.0)</f>
        <v>46112</v>
      </c>
      <c r="E68" s="2" t="str">
        <f>IFERROR(__xludf.DUMMYFUNCTION("""COMPUTED_VALUE"""),"M2")</f>
        <v>M2</v>
      </c>
      <c r="F68" s="2" t="str">
        <f>IFERROR(__xludf.DUMMYFUNCTION("""COMPUTED_VALUE"""),"Infraestructura")</f>
        <v>Infraestructura</v>
      </c>
      <c r="G68" s="2" t="str">
        <f>IFERROR(__xludf.DUMMYFUNCTION("""COMPUTED_VALUE"""),"Finalizada")</f>
        <v>Finalizada</v>
      </c>
      <c r="H68" s="4">
        <v>381747.0</v>
      </c>
      <c r="I68" s="4">
        <v>0.0</v>
      </c>
      <c r="J68" s="4">
        <v>6705.0</v>
      </c>
      <c r="K68" s="4">
        <v>78939.0</v>
      </c>
      <c r="L68" s="5">
        <v>1.8810220550044972</v>
      </c>
      <c r="M68" s="5">
        <v>4.835974613309011</v>
      </c>
      <c r="N68" s="4">
        <v>10370.0</v>
      </c>
      <c r="O68" s="4">
        <v>10174.0</v>
      </c>
      <c r="P68" s="4">
        <v>2757.0</v>
      </c>
      <c r="Q68" s="4">
        <v>178.0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/>
      <c r="AE68" s="6" t="s">
        <v>9</v>
      </c>
    </row>
    <row r="69" ht="16.5" customHeight="1">
      <c r="A69" s="2" t="str">
        <f>IFERROR(__xludf.DUMMYFUNCTION("""COMPUTED_VALUE"""),"2481-ENETURGC")</f>
        <v>2481-ENETURGC</v>
      </c>
      <c r="B69" s="2" t="str">
        <f>IFERROR(__xludf.DUMMYFUNCTION("""COMPUTED_VALUE"""),"Informe mensual Observatorio | Diciembre 2025 | Viernes 16/01")</f>
        <v>Informe mensual Observatorio | Diciembre 2025 | Viernes 16/01</v>
      </c>
      <c r="C69" s="3">
        <f>IFERROR(__xludf.DUMMYFUNCTION("""COMPUTED_VALUE"""),46037.0)</f>
        <v>46037</v>
      </c>
      <c r="D69" s="3">
        <f>IFERROR(__xludf.DUMMYFUNCTION("""COMPUTED_VALUE"""),46037.0)</f>
        <v>46037</v>
      </c>
      <c r="E69" s="2" t="str">
        <f>IFERROR(__xludf.DUMMYFUNCTION("""COMPUTED_VALUE"""),"Otros")</f>
        <v>Otros</v>
      </c>
      <c r="F69" s="2" t="str">
        <f>IFERROR(__xludf.DUMMYFUNCTION("""COMPUTED_VALUE"""),"Turismo")</f>
        <v>Turismo</v>
      </c>
      <c r="G69" s="2" t="str">
        <f>IFERROR(__xludf.DUMMYFUNCTION("""COMPUTED_VALUE"""),"Finalizada")</f>
        <v>Finalizada</v>
      </c>
      <c r="H69" s="4">
        <v>0.0</v>
      </c>
      <c r="I69" s="4">
        <v>0.0</v>
      </c>
      <c r="J69" s="4">
        <v>0.0</v>
      </c>
      <c r="K69" s="4">
        <v>0.0</v>
      </c>
      <c r="L69" s="5">
        <v>0.0</v>
      </c>
      <c r="M69" s="5">
        <v>0.0</v>
      </c>
      <c r="N69" s="4">
        <v>311.0</v>
      </c>
      <c r="O69" s="4">
        <v>305.0</v>
      </c>
      <c r="P69" s="4">
        <v>146.0</v>
      </c>
      <c r="Q69" s="4">
        <v>17.0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 t="s">
        <v>8</v>
      </c>
      <c r="AE69" s="6" t="s">
        <v>9</v>
      </c>
    </row>
    <row r="70" ht="16.5" customHeight="1">
      <c r="A70" s="2" t="str">
        <f>IFERROR(__xludf.DUMMYFUNCTION("""COMPUTED_VALUE"""),"2482-ENEINFGC")</f>
        <v>2482-ENEINFGC</v>
      </c>
      <c r="B70" s="2" t="str">
        <f>IFERROR(__xludf.DUMMYFUNCTION("""COMPUTED_VALUE"""),"VTV - Recordatorio de turno 2026")</f>
        <v>VTV - Recordatorio de turno 2026</v>
      </c>
      <c r="C70" s="3">
        <f>IFERROR(__xludf.DUMMYFUNCTION("""COMPUTED_VALUE"""),46042.0)</f>
        <v>46042</v>
      </c>
      <c r="D70" s="3">
        <f>IFERROR(__xludf.DUMMYFUNCTION("""COMPUTED_VALUE"""),46205.0)</f>
        <v>46205</v>
      </c>
      <c r="E70" s="2" t="str">
        <f>IFERROR(__xludf.DUMMYFUNCTION("""COMPUTED_VALUE"""),"M2")</f>
        <v>M2</v>
      </c>
      <c r="F70" s="2" t="str">
        <f>IFERROR(__xludf.DUMMYFUNCTION("""COMPUTED_VALUE"""),"Infraestructura")</f>
        <v>Infraestructura</v>
      </c>
      <c r="G70" s="2" t="str">
        <f>IFERROR(__xludf.DUMMYFUNCTION("""COMPUTED_VALUE"""),"Finalizada")</f>
        <v>Finalizada</v>
      </c>
      <c r="H70" s="4">
        <v>0.0</v>
      </c>
      <c r="I70" s="4">
        <v>0.0</v>
      </c>
      <c r="J70" s="4">
        <v>0.0</v>
      </c>
      <c r="K70" s="4">
        <v>0.0</v>
      </c>
      <c r="L70" s="5">
        <v>0.0</v>
      </c>
      <c r="M70" s="5">
        <v>0.0</v>
      </c>
      <c r="N70" s="4">
        <v>236790.0</v>
      </c>
      <c r="O70" s="4">
        <v>236474.0</v>
      </c>
      <c r="P70" s="4">
        <v>96019.0</v>
      </c>
      <c r="Q70" s="4">
        <v>18061.0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 t="s">
        <v>8</v>
      </c>
      <c r="AE70" s="6" t="s">
        <v>9</v>
      </c>
    </row>
    <row r="71" ht="16.5" customHeight="1">
      <c r="A71" s="2" t="str">
        <f>IFERROR(__xludf.DUMMYFUNCTION("""COMPUTED_VALUE"""),"2483-ENESEGGC")</f>
        <v>2483-ENESEGGC</v>
      </c>
      <c r="B71" s="2" t="str">
        <f>IFERROR(__xludf.DUMMYFUNCTION("""COMPUTED_VALUE"""),"Campaña GCBA I Seguridad | Desalojo Constitución")</f>
        <v>Campaña GCBA I Seguridad | Desalojo Constitución</v>
      </c>
      <c r="C71" s="3">
        <f>IFERROR(__xludf.DUMMYFUNCTION("""COMPUTED_VALUE"""),46038.0)</f>
        <v>46038</v>
      </c>
      <c r="D71" s="3">
        <f>IFERROR(__xludf.DUMMYFUNCTION("""COMPUTED_VALUE"""),46056.0)</f>
        <v>46056</v>
      </c>
      <c r="E71" s="2" t="str">
        <f>IFERROR(__xludf.DUMMYFUNCTION("""COMPUTED_VALUE"""),"M2")</f>
        <v>M2</v>
      </c>
      <c r="F71" s="2" t="str">
        <f>IFERROR(__xludf.DUMMYFUNCTION("""COMPUTED_VALUE"""),"Seguridad")</f>
        <v>Seguridad</v>
      </c>
      <c r="G71" s="2" t="str">
        <f>IFERROR(__xludf.DUMMYFUNCTION("""COMPUTED_VALUE"""),"Finalizada")</f>
        <v>Finalizada</v>
      </c>
      <c r="H71" s="4">
        <v>1143474.0</v>
      </c>
      <c r="I71" s="4">
        <v>145591.0</v>
      </c>
      <c r="J71" s="4">
        <v>2412.0</v>
      </c>
      <c r="K71" s="4">
        <v>355943.0</v>
      </c>
      <c r="L71" s="5">
        <v>2.8286888631044858</v>
      </c>
      <c r="M71" s="5">
        <v>3.2125199821319708</v>
      </c>
      <c r="N71" s="4">
        <v>179393.0</v>
      </c>
      <c r="O71" s="4">
        <v>176101.0</v>
      </c>
      <c r="P71" s="4">
        <v>42189.0</v>
      </c>
      <c r="Q71" s="4">
        <v>823.0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6" t="s">
        <v>46</v>
      </c>
      <c r="AE71" s="6" t="s">
        <v>9</v>
      </c>
    </row>
    <row r="72" ht="16.5" customHeight="1">
      <c r="A72" s="2" t="str">
        <f>IFERROR(__xludf.DUMMYFUNCTION("""COMPUTED_VALUE"""),"2486-ENEDHHGC")</f>
        <v>2486-ENEDHHGC</v>
      </c>
      <c r="B72" s="2" t="str">
        <f>IFERROR(__xludf.DUMMYFUNCTION("""COMPUTED_VALUE"""),"MDHYH | Programa Adolescencia")</f>
        <v>MDHYH | Programa Adolescencia</v>
      </c>
      <c r="C72" s="3">
        <f>IFERROR(__xludf.DUMMYFUNCTION("""COMPUTED_VALUE"""),46049.0)</f>
        <v>46049</v>
      </c>
      <c r="D72" s="3">
        <f>IFERROR(__xludf.DUMMYFUNCTION("""COMPUTED_VALUE"""),46049.0)</f>
        <v>46049</v>
      </c>
      <c r="E72" s="2" t="str">
        <f>IFERROR(__xludf.DUMMYFUNCTION("""COMPUTED_VALUE"""),"Cuidado")</f>
        <v>Cuidado</v>
      </c>
      <c r="F72" s="2" t="str">
        <f>IFERROR(__xludf.DUMMYFUNCTION("""COMPUTED_VALUE"""),"Desarrollo Humano y Hábitat")</f>
        <v>Desarrollo Humano y Hábitat</v>
      </c>
      <c r="G72" s="2" t="str">
        <f>IFERROR(__xludf.DUMMYFUNCTION("""COMPUTED_VALUE"""),"Finalizada")</f>
        <v>Finalizada</v>
      </c>
      <c r="H72" s="4">
        <v>0.0</v>
      </c>
      <c r="I72" s="4">
        <v>0.0</v>
      </c>
      <c r="J72" s="4">
        <v>0.0</v>
      </c>
      <c r="K72" s="4">
        <v>0.0</v>
      </c>
      <c r="L72" s="5">
        <v>0.0</v>
      </c>
      <c r="M72" s="5">
        <v>0.0</v>
      </c>
      <c r="N72" s="4">
        <v>82441.0</v>
      </c>
      <c r="O72" s="4">
        <v>80581.0</v>
      </c>
      <c r="P72" s="4">
        <v>22327.0</v>
      </c>
      <c r="Q72" s="4">
        <v>5566.0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 t="s">
        <v>8</v>
      </c>
      <c r="AE72" s="6" t="s">
        <v>9</v>
      </c>
    </row>
    <row r="73" ht="16.5" customHeight="1">
      <c r="A73" s="2" t="str">
        <f>IFERROR(__xludf.DUMMYFUNCTION("""COMPUTED_VALUE"""),"2487-ENEVINGC")</f>
        <v>2487-ENEVINGC</v>
      </c>
      <c r="B73" s="2" t="str">
        <f>IFERROR(__xludf.DUMMYFUNCTION("""COMPUTED_VALUE"""),"CAMPAÑA GCBA | VINCULO CIUDADANO | Mas servicios en tu barrio 2026: Parque Chacabuco 02/02")</f>
        <v>CAMPAÑA GCBA | VINCULO CIUDADANO | Mas servicios en tu barrio 2026: Parque Chacabuco 02/02</v>
      </c>
      <c r="C73" s="3">
        <f>IFERROR(__xludf.DUMMYFUNCTION("""COMPUTED_VALUE"""),46051.0)</f>
        <v>46051</v>
      </c>
      <c r="D73" s="3">
        <f>IFERROR(__xludf.DUMMYFUNCTION("""COMPUTED_VALUE"""),46051.0)</f>
        <v>46051</v>
      </c>
      <c r="E73" s="2" t="str">
        <f>IFERROR(__xludf.DUMMYFUNCTION("""COMPUTED_VALUE"""),"M2")</f>
        <v>M2</v>
      </c>
      <c r="F73" s="2" t="str">
        <f>IFERROR(__xludf.DUMMYFUNCTION("""COMPUTED_VALUE"""),"Vínculo Ciudadano")</f>
        <v>Vínculo Ciudadano</v>
      </c>
      <c r="G73" s="2" t="str">
        <f>IFERROR(__xludf.DUMMYFUNCTION("""COMPUTED_VALUE"""),"Finalizada")</f>
        <v>Finalizada</v>
      </c>
      <c r="H73" s="4">
        <v>0.0</v>
      </c>
      <c r="I73" s="4">
        <v>0.0</v>
      </c>
      <c r="J73" s="4">
        <v>0.0</v>
      </c>
      <c r="K73" s="4">
        <v>0.0</v>
      </c>
      <c r="L73" s="5">
        <v>0.0</v>
      </c>
      <c r="M73" s="5">
        <v>0.0</v>
      </c>
      <c r="N73" s="4">
        <v>15253.0</v>
      </c>
      <c r="O73" s="4">
        <v>14992.0</v>
      </c>
      <c r="P73" s="4">
        <v>5465.0</v>
      </c>
      <c r="Q73" s="4">
        <v>252.0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 t="s">
        <v>8</v>
      </c>
      <c r="AE73" s="6" t="s">
        <v>9</v>
      </c>
    </row>
    <row r="74" ht="16.5" customHeight="1">
      <c r="A74" s="2" t="str">
        <f>IFERROR(__xludf.DUMMYFUNCTION("""COMPUTED_VALUE"""),"2488-ENEVINGC")</f>
        <v>2488-ENEVINGC</v>
      </c>
      <c r="B74" s="2" t="str">
        <f>IFERROR(__xludf.DUMMYFUNCTION("""COMPUTED_VALUE"""),"CAMPAÑA GCBA | VINCULO CIUDADANO | Mas servicios en tu barrio 2026: Caballito 04/02")</f>
        <v>CAMPAÑA GCBA | VINCULO CIUDADANO | Mas servicios en tu barrio 2026: Caballito 04/02</v>
      </c>
      <c r="C74" s="3">
        <f>IFERROR(__xludf.DUMMYFUNCTION("""COMPUTED_VALUE"""),46052.0)</f>
        <v>46052</v>
      </c>
      <c r="D74" s="3">
        <f>IFERROR(__xludf.DUMMYFUNCTION("""COMPUTED_VALUE"""),46052.0)</f>
        <v>46052</v>
      </c>
      <c r="E74" s="2" t="str">
        <f>IFERROR(__xludf.DUMMYFUNCTION("""COMPUTED_VALUE"""),"M2")</f>
        <v>M2</v>
      </c>
      <c r="F74" s="2" t="str">
        <f>IFERROR(__xludf.DUMMYFUNCTION("""COMPUTED_VALUE"""),"Vínculo Ciudadano")</f>
        <v>Vínculo Ciudadano</v>
      </c>
      <c r="G74" s="2" t="str">
        <f>IFERROR(__xludf.DUMMYFUNCTION("""COMPUTED_VALUE"""),"Finalizada")</f>
        <v>Finalizada</v>
      </c>
      <c r="H74" s="4">
        <v>0.0</v>
      </c>
      <c r="I74" s="4">
        <v>0.0</v>
      </c>
      <c r="J74" s="4">
        <v>0.0</v>
      </c>
      <c r="K74" s="4">
        <v>0.0</v>
      </c>
      <c r="L74" s="5">
        <v>0.0</v>
      </c>
      <c r="M74" s="5">
        <v>0.0</v>
      </c>
      <c r="N74" s="4">
        <v>30581.0</v>
      </c>
      <c r="O74" s="4">
        <v>30053.0</v>
      </c>
      <c r="P74" s="4">
        <v>10808.0</v>
      </c>
      <c r="Q74" s="4">
        <v>399.0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 t="s">
        <v>8</v>
      </c>
      <c r="AE74" s="6" t="s">
        <v>9</v>
      </c>
    </row>
    <row r="75" ht="16.5" customHeight="1">
      <c r="A75" s="2" t="str">
        <f>IFERROR(__xludf.DUMMYFUNCTION("""COMPUTED_VALUE"""),"2489-ENEVINGC")</f>
        <v>2489-ENEVINGC</v>
      </c>
      <c r="B75" s="2" t="str">
        <f>IFERROR(__xludf.DUMMYFUNCTION("""COMPUTED_VALUE"""),"CAMPAÑA GCBA | VINCULO CIUDADANO | Mas servicios en tu barrio 2026:  Villa Riachuelo  06/02")</f>
        <v>CAMPAÑA GCBA | VINCULO CIUDADANO | Mas servicios en tu barrio 2026:  Villa Riachuelo  06/02</v>
      </c>
      <c r="C75" s="3">
        <f>IFERROR(__xludf.DUMMYFUNCTION("""COMPUTED_VALUE"""),46055.0)</f>
        <v>46055</v>
      </c>
      <c r="D75" s="3">
        <f>IFERROR(__xludf.DUMMYFUNCTION("""COMPUTED_VALUE"""),46055.0)</f>
        <v>46055</v>
      </c>
      <c r="E75" s="2" t="str">
        <f>IFERROR(__xludf.DUMMYFUNCTION("""COMPUTED_VALUE"""),"M2")</f>
        <v>M2</v>
      </c>
      <c r="F75" s="2" t="str">
        <f>IFERROR(__xludf.DUMMYFUNCTION("""COMPUTED_VALUE"""),"Vínculo Ciudadano")</f>
        <v>Vínculo Ciudadano</v>
      </c>
      <c r="G75" s="2" t="str">
        <f>IFERROR(__xludf.DUMMYFUNCTION("""COMPUTED_VALUE"""),"Finalizada")</f>
        <v>Finalizada</v>
      </c>
      <c r="H75" s="4">
        <v>0.0</v>
      </c>
      <c r="I75" s="4">
        <v>0.0</v>
      </c>
      <c r="J75" s="4">
        <v>0.0</v>
      </c>
      <c r="K75" s="4">
        <v>0.0</v>
      </c>
      <c r="L75" s="5">
        <v>0.0</v>
      </c>
      <c r="M75" s="5">
        <v>0.0</v>
      </c>
      <c r="N75" s="4">
        <v>10310.0</v>
      </c>
      <c r="O75" s="4">
        <v>10090.0</v>
      </c>
      <c r="P75" s="4">
        <v>2994.0</v>
      </c>
      <c r="Q75" s="4">
        <v>170.0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 t="s">
        <v>8</v>
      </c>
      <c r="AE75" s="6" t="s">
        <v>9</v>
      </c>
    </row>
    <row r="76" ht="16.5" customHeight="1">
      <c r="A76" s="2" t="str">
        <f>IFERROR(__xludf.DUMMYFUNCTION("""COMPUTED_VALUE"""),"2490-ENEVINGC")</f>
        <v>2490-ENEVINGC</v>
      </c>
      <c r="B76" s="2" t="str">
        <f>IFERROR(__xludf.DUMMYFUNCTION("""COMPUTED_VALUE"""),"CAMPAÑA GCBA | VINCULO CIUDADANO | Mas servicios en tu barrio 2026: Villa Devoto 09/02")</f>
        <v>CAMPAÑA GCBA | VINCULO CIUDADANO | Mas servicios en tu barrio 2026: Villa Devoto 09/02</v>
      </c>
      <c r="C76" s="3">
        <f>IFERROR(__xludf.DUMMYFUNCTION("""COMPUTED_VALUE"""),46062.0)</f>
        <v>46062</v>
      </c>
      <c r="D76" s="3">
        <f>IFERROR(__xludf.DUMMYFUNCTION("""COMPUTED_VALUE"""),46062.0)</f>
        <v>46062</v>
      </c>
      <c r="E76" s="2" t="str">
        <f>IFERROR(__xludf.DUMMYFUNCTION("""COMPUTED_VALUE"""),"M2")</f>
        <v>M2</v>
      </c>
      <c r="F76" s="2" t="str">
        <f>IFERROR(__xludf.DUMMYFUNCTION("""COMPUTED_VALUE"""),"Vínculo Ciudadano")</f>
        <v>Vínculo Ciudadano</v>
      </c>
      <c r="G76" s="2" t="str">
        <f>IFERROR(__xludf.DUMMYFUNCTION("""COMPUTED_VALUE"""),"Finalizada")</f>
        <v>Finalizada</v>
      </c>
      <c r="H76" s="4">
        <v>0.0</v>
      </c>
      <c r="I76" s="4">
        <v>0.0</v>
      </c>
      <c r="J76" s="4">
        <v>0.0</v>
      </c>
      <c r="K76" s="4">
        <v>0.0</v>
      </c>
      <c r="L76" s="5">
        <v>0.0</v>
      </c>
      <c r="M76" s="5">
        <v>0.0</v>
      </c>
      <c r="N76" s="4">
        <v>10019.0</v>
      </c>
      <c r="O76" s="4">
        <v>9829.0</v>
      </c>
      <c r="P76" s="4">
        <v>4405.0</v>
      </c>
      <c r="Q76" s="4">
        <v>210.0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  <c r="AD76" s="4" t="s">
        <v>8</v>
      </c>
      <c r="AE76" s="6" t="s">
        <v>9</v>
      </c>
    </row>
    <row r="77" ht="16.5" customHeight="1">
      <c r="A77" s="2" t="str">
        <f>IFERROR(__xludf.DUMMYFUNCTION("""COMPUTED_VALUE"""),"2491-ENEVINGC")</f>
        <v>2491-ENEVINGC</v>
      </c>
      <c r="B77" s="2" t="str">
        <f>IFERROR(__xludf.DUMMYFUNCTION("""COMPUTED_VALUE"""),"CAMPAÑA GCBA | VINCULO CIUDADANO | Mas servicios en tu barrio 2026: Mataderos 11/02")</f>
        <v>CAMPAÑA GCBA | VINCULO CIUDADANO | Mas servicios en tu barrio 2026: Mataderos 11/02</v>
      </c>
      <c r="C77" s="3">
        <f>IFERROR(__xludf.DUMMYFUNCTION("""COMPUTED_VALUE"""),46062.0)</f>
        <v>46062</v>
      </c>
      <c r="D77" s="3">
        <f>IFERROR(__xludf.DUMMYFUNCTION("""COMPUTED_VALUE"""),46062.0)</f>
        <v>46062</v>
      </c>
      <c r="E77" s="2" t="str">
        <f>IFERROR(__xludf.DUMMYFUNCTION("""COMPUTED_VALUE"""),"M2")</f>
        <v>M2</v>
      </c>
      <c r="F77" s="2" t="str">
        <f>IFERROR(__xludf.DUMMYFUNCTION("""COMPUTED_VALUE"""),"Vínculo Ciudadano")</f>
        <v>Vínculo Ciudadano</v>
      </c>
      <c r="G77" s="2" t="str">
        <f>IFERROR(__xludf.DUMMYFUNCTION("""COMPUTED_VALUE"""),"Finalizada")</f>
        <v>Finalizada</v>
      </c>
      <c r="H77" s="4">
        <v>0.0</v>
      </c>
      <c r="I77" s="4">
        <v>0.0</v>
      </c>
      <c r="J77" s="4">
        <v>0.0</v>
      </c>
      <c r="K77" s="4">
        <v>0.0</v>
      </c>
      <c r="L77" s="5">
        <v>0.0</v>
      </c>
      <c r="M77" s="5">
        <v>0.0</v>
      </c>
      <c r="N77" s="4">
        <v>9931.0</v>
      </c>
      <c r="O77" s="4">
        <v>9762.0</v>
      </c>
      <c r="P77" s="4">
        <v>3403.0</v>
      </c>
      <c r="Q77" s="4">
        <v>223.0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 t="s">
        <v>8</v>
      </c>
      <c r="AE77" s="6" t="s">
        <v>9</v>
      </c>
    </row>
    <row r="78" ht="16.5" customHeight="1">
      <c r="A78" s="2" t="str">
        <f>IFERROR(__xludf.DUMMYFUNCTION("""COMPUTED_VALUE"""),"2492-ENEVINGC")</f>
        <v>2492-ENEVINGC</v>
      </c>
      <c r="B78" s="2" t="str">
        <f>IFERROR(__xludf.DUMMYFUNCTION("""COMPUTED_VALUE"""),"CAMPAÑA GCBA | VINCULO CIUDADANO | Mas servicios en tu barrio 2026: Villa Crespo 13/02")</f>
        <v>CAMPAÑA GCBA | VINCULO CIUDADANO | Mas servicios en tu barrio 2026: Villa Crespo 13/02</v>
      </c>
      <c r="C78" s="3">
        <f>IFERROR(__xludf.DUMMYFUNCTION("""COMPUTED_VALUE"""),46063.0)</f>
        <v>46063</v>
      </c>
      <c r="D78" s="3">
        <f>IFERROR(__xludf.DUMMYFUNCTION("""COMPUTED_VALUE"""),46063.0)</f>
        <v>46063</v>
      </c>
      <c r="E78" s="2" t="str">
        <f>IFERROR(__xludf.DUMMYFUNCTION("""COMPUTED_VALUE"""),"M2")</f>
        <v>M2</v>
      </c>
      <c r="F78" s="2" t="str">
        <f>IFERROR(__xludf.DUMMYFUNCTION("""COMPUTED_VALUE"""),"Vínculo Ciudadano")</f>
        <v>Vínculo Ciudadano</v>
      </c>
      <c r="G78" s="2" t="str">
        <f>IFERROR(__xludf.DUMMYFUNCTION("""COMPUTED_VALUE"""),"Finalizada")</f>
        <v>Finalizada</v>
      </c>
      <c r="H78" s="4">
        <v>0.0</v>
      </c>
      <c r="I78" s="4">
        <v>0.0</v>
      </c>
      <c r="J78" s="4">
        <v>0.0</v>
      </c>
      <c r="K78" s="4">
        <v>0.0</v>
      </c>
      <c r="L78" s="5">
        <v>0.0</v>
      </c>
      <c r="M78" s="5">
        <v>0.0</v>
      </c>
      <c r="N78" s="4">
        <v>19496.0</v>
      </c>
      <c r="O78" s="4">
        <v>19166.0</v>
      </c>
      <c r="P78" s="4">
        <v>6746.0</v>
      </c>
      <c r="Q78" s="4">
        <v>239.0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 t="s">
        <v>8</v>
      </c>
      <c r="AE78" s="6" t="s">
        <v>9</v>
      </c>
    </row>
    <row r="79" ht="16.5" customHeight="1">
      <c r="A79" s="2" t="str">
        <f>IFERROR(__xludf.DUMMYFUNCTION("""COMPUTED_VALUE"""),"2493-ENEVINGC")</f>
        <v>2493-ENEVINGC</v>
      </c>
      <c r="B79" s="2" t="str">
        <f>IFERROR(__xludf.DUMMYFUNCTION("""COMPUTED_VALUE"""),"CAMPAÑA GCBA | VINCULO CIUDADANO | Mas servicios en tu barrio 2026: Villa Luro 18/02")</f>
        <v>CAMPAÑA GCBA | VINCULO CIUDADANO | Mas servicios en tu barrio 2026: Villa Luro 18/02</v>
      </c>
      <c r="C79" s="3">
        <f>IFERROR(__xludf.DUMMYFUNCTION("""COMPUTED_VALUE"""),46067.0)</f>
        <v>46067</v>
      </c>
      <c r="D79" s="3">
        <f>IFERROR(__xludf.DUMMYFUNCTION("""COMPUTED_VALUE"""),46067.0)</f>
        <v>46067</v>
      </c>
      <c r="E79" s="2" t="str">
        <f>IFERROR(__xludf.DUMMYFUNCTION("""COMPUTED_VALUE"""),"M2")</f>
        <v>M2</v>
      </c>
      <c r="F79" s="2" t="str">
        <f>IFERROR(__xludf.DUMMYFUNCTION("""COMPUTED_VALUE"""),"Vínculo Ciudadano")</f>
        <v>Vínculo Ciudadano</v>
      </c>
      <c r="G79" s="2" t="str">
        <f>IFERROR(__xludf.DUMMYFUNCTION("""COMPUTED_VALUE"""),"Finalizada")</f>
        <v>Finalizada</v>
      </c>
      <c r="H79" s="4">
        <v>0.0</v>
      </c>
      <c r="I79" s="4">
        <v>0.0</v>
      </c>
      <c r="J79" s="4">
        <v>0.0</v>
      </c>
      <c r="K79" s="4">
        <v>0.0</v>
      </c>
      <c r="L79" s="5">
        <v>0.0</v>
      </c>
      <c r="M79" s="5">
        <v>0.0</v>
      </c>
      <c r="N79" s="4">
        <v>11830.0</v>
      </c>
      <c r="O79" s="4">
        <v>11398.0</v>
      </c>
      <c r="P79" s="4">
        <v>4126.0</v>
      </c>
      <c r="Q79" s="4">
        <v>15.0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 t="s">
        <v>8</v>
      </c>
      <c r="AE79" s="6" t="s">
        <v>9</v>
      </c>
    </row>
    <row r="80" ht="16.5" customHeight="1">
      <c r="A80" s="2" t="str">
        <f>IFERROR(__xludf.DUMMYFUNCTION("""COMPUTED_VALUE"""),"2496-ENEVINGC")</f>
        <v>2496-ENEVINGC</v>
      </c>
      <c r="B80" s="2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C80" s="3">
        <f>IFERROR(__xludf.DUMMYFUNCTION("""COMPUTED_VALUE"""),46071.0)</f>
        <v>46071</v>
      </c>
      <c r="D80" s="3">
        <f>IFERROR(__xludf.DUMMYFUNCTION("""COMPUTED_VALUE"""),46265.0)</f>
        <v>46265</v>
      </c>
      <c r="E80" s="2" t="str">
        <f>IFERROR(__xludf.DUMMYFUNCTION("""COMPUTED_VALUE"""),"M2")</f>
        <v>M2</v>
      </c>
      <c r="F80" s="2" t="str">
        <f>IFERROR(__xludf.DUMMYFUNCTION("""COMPUTED_VALUE"""),"Vínculo Ciudadano")</f>
        <v>Vínculo Ciudadano</v>
      </c>
      <c r="G80" s="2" t="str">
        <f>IFERROR(__xludf.DUMMYFUNCTION("""COMPUTED_VALUE"""),"Activa")</f>
        <v>Activa</v>
      </c>
      <c r="H80" s="4">
        <v>7822741.0</v>
      </c>
      <c r="I80" s="4">
        <v>0.0</v>
      </c>
      <c r="J80" s="4">
        <v>27788.0</v>
      </c>
      <c r="K80" s="4">
        <v>1977609.0</v>
      </c>
      <c r="L80" s="5">
        <v>3.955656047277293</v>
      </c>
      <c r="M80" s="5">
        <v>3.955656047277293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6" t="s">
        <v>47</v>
      </c>
      <c r="AE80" s="4" t="s">
        <v>8</v>
      </c>
    </row>
    <row r="81" ht="16.5" customHeight="1">
      <c r="A81" s="2" t="str">
        <f>IFERROR(__xludf.DUMMYFUNCTION("""COMPUTED_VALUE"""),"2497-ENEVINGC")</f>
        <v>2497-ENEVINGC</v>
      </c>
      <c r="B81" s="2" t="str">
        <f>IFERROR(__xludf.DUMMYFUNCTION("""COMPUTED_VALUE"""),"CAMPAÑA GCBA | VINCULO CIUDADANO | Mas servicios en tu barrio 2026: Palermo 27/02")</f>
        <v>CAMPAÑA GCBA | VINCULO CIUDADANO | Mas servicios en tu barrio 2026: Palermo 27/02</v>
      </c>
      <c r="C81" s="3">
        <f>IFERROR(__xludf.DUMMYFUNCTION("""COMPUTED_VALUE"""),46077.0)</f>
        <v>46077</v>
      </c>
      <c r="D81" s="3">
        <f>IFERROR(__xludf.DUMMYFUNCTION("""COMPUTED_VALUE"""),46077.0)</f>
        <v>46077</v>
      </c>
      <c r="E81" s="2" t="str">
        <f>IFERROR(__xludf.DUMMYFUNCTION("""COMPUTED_VALUE"""),"M2")</f>
        <v>M2</v>
      </c>
      <c r="F81" s="2" t="str">
        <f>IFERROR(__xludf.DUMMYFUNCTION("""COMPUTED_VALUE"""),"Vínculo Ciudadano")</f>
        <v>Vínculo Ciudadano</v>
      </c>
      <c r="G81" s="2" t="str">
        <f>IFERROR(__xludf.DUMMYFUNCTION("""COMPUTED_VALUE"""),"Finalizada")</f>
        <v>Finalizada</v>
      </c>
      <c r="H81" s="4">
        <v>0.0</v>
      </c>
      <c r="I81" s="4">
        <v>0.0</v>
      </c>
      <c r="J81" s="4">
        <v>0.0</v>
      </c>
      <c r="K81" s="4">
        <v>0.0</v>
      </c>
      <c r="L81" s="5">
        <v>0.0</v>
      </c>
      <c r="M81" s="5">
        <v>0.0</v>
      </c>
      <c r="N81" s="4">
        <v>33785.0</v>
      </c>
      <c r="O81" s="4">
        <v>33409.0</v>
      </c>
      <c r="P81" s="4">
        <v>13633.0</v>
      </c>
      <c r="Q81" s="4">
        <v>347.0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 t="s">
        <v>8</v>
      </c>
      <c r="AE81" s="6" t="s">
        <v>9</v>
      </c>
    </row>
    <row r="82" ht="16.5" customHeight="1">
      <c r="A82" s="2" t="str">
        <f>IFERROR(__xludf.DUMMYFUNCTION("""COMPUTED_VALUE"""),"2498-ENEEPHGC")</f>
        <v>2498-ENEEPHGC</v>
      </c>
      <c r="B82" s="2" t="str">
        <f>IFERROR(__xludf.DUMMYFUNCTION("""COMPUTED_VALUE"""),"CAMPAÑA GCBA | CONVIVENCIA | Genérica")</f>
        <v>CAMPAÑA GCBA | CONVIVENCIA | Genérica</v>
      </c>
      <c r="C82" s="3">
        <f>IFERROR(__xludf.DUMMYFUNCTION("""COMPUTED_VALUE"""),46063.0)</f>
        <v>46063</v>
      </c>
      <c r="D82" s="3">
        <f>IFERROR(__xludf.DUMMYFUNCTION("""COMPUTED_VALUE"""),46112.0)</f>
        <v>46112</v>
      </c>
      <c r="E82" s="2" t="str">
        <f>IFERROR(__xludf.DUMMYFUNCTION("""COMPUTED_VALUE"""),"M2")</f>
        <v>M2</v>
      </c>
      <c r="F82" s="2" t="str">
        <f>IFERROR(__xludf.DUMMYFUNCTION("""COMPUTED_VALUE"""),"Espacio Público e Higiene Urbana")</f>
        <v>Espacio Público e Higiene Urbana</v>
      </c>
      <c r="G82" s="2" t="str">
        <f>IFERROR(__xludf.DUMMYFUNCTION("""COMPUTED_VALUE"""),"Finalizada")</f>
        <v>Finalizada</v>
      </c>
      <c r="H82" s="4">
        <v>1.1971276E7</v>
      </c>
      <c r="I82" s="4">
        <v>4057311.0</v>
      </c>
      <c r="J82" s="4">
        <v>70881.0</v>
      </c>
      <c r="K82" s="4">
        <v>25626.0</v>
      </c>
      <c r="L82" s="5">
        <v>169.10965425739482</v>
      </c>
      <c r="M82" s="5">
        <v>467.15351596035276</v>
      </c>
      <c r="N82" s="4">
        <v>103961.0</v>
      </c>
      <c r="O82" s="4">
        <v>103286.0</v>
      </c>
      <c r="P82" s="4">
        <v>52535.0</v>
      </c>
      <c r="Q82" s="4">
        <v>360.0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/>
      <c r="AE82" s="6" t="s">
        <v>9</v>
      </c>
    </row>
    <row r="83" ht="16.5" customHeight="1">
      <c r="A83" s="2" t="str">
        <f>IFERROR(__xludf.DUMMYFUNCTION("""COMPUTED_VALUE"""),"2499-ENEEPHGC")</f>
        <v>2499-ENEEPHGC</v>
      </c>
      <c r="B83" s="2" t="str">
        <f>IFERROR(__xludf.DUMMYFUNCTION("""COMPUTED_VALUE"""),"CAMPAÑA GCBA | CONVIVENCIA | Cuidado de perros")</f>
        <v>CAMPAÑA GCBA | CONVIVENCIA | Cuidado de perros</v>
      </c>
      <c r="C83" s="3">
        <f>IFERROR(__xludf.DUMMYFUNCTION("""COMPUTED_VALUE"""),46063.0)</f>
        <v>46063</v>
      </c>
      <c r="D83" s="3">
        <f>IFERROR(__xludf.DUMMYFUNCTION("""COMPUTED_VALUE"""),46112.0)</f>
        <v>46112</v>
      </c>
      <c r="E83" s="2" t="str">
        <f>IFERROR(__xludf.DUMMYFUNCTION("""COMPUTED_VALUE"""),"M2")</f>
        <v>M2</v>
      </c>
      <c r="F83" s="2" t="str">
        <f>IFERROR(__xludf.DUMMYFUNCTION("""COMPUTED_VALUE"""),"Espacio Público e Higiene Urbana")</f>
        <v>Espacio Público e Higiene Urbana</v>
      </c>
      <c r="G83" s="2" t="str">
        <f>IFERROR(__xludf.DUMMYFUNCTION("""COMPUTED_VALUE"""),"Finalizada")</f>
        <v>Finalizada</v>
      </c>
      <c r="H83" s="4">
        <v>6958541.0</v>
      </c>
      <c r="I83" s="4">
        <v>0.0</v>
      </c>
      <c r="J83" s="4">
        <v>54847.0</v>
      </c>
      <c r="K83" s="4">
        <v>421569.0</v>
      </c>
      <c r="L83" s="5">
        <v>6.548614817503185</v>
      </c>
      <c r="M83" s="5">
        <v>16.50629197118384</v>
      </c>
      <c r="N83" s="4">
        <v>87630.0</v>
      </c>
      <c r="O83" s="4">
        <v>86596.0</v>
      </c>
      <c r="P83" s="4">
        <v>33826.0</v>
      </c>
      <c r="Q83" s="4">
        <v>192.0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/>
      <c r="AE83" s="6" t="s">
        <v>9</v>
      </c>
    </row>
    <row r="84" ht="16.5" customHeight="1">
      <c r="A84" s="2" t="str">
        <f>IFERROR(__xludf.DUMMYFUNCTION("""COMPUTED_VALUE"""),"2500-ENEEPHGC")</f>
        <v>2500-ENEEPHGC</v>
      </c>
      <c r="B84" s="2" t="str">
        <f>IFERROR(__xludf.DUMMYFUNCTION("""COMPUTED_VALUE"""),"CAMPAÑA GCBA | CONVIVENCIA | Doble Fila")</f>
        <v>CAMPAÑA GCBA | CONVIVENCIA | Doble Fila</v>
      </c>
      <c r="C84" s="3">
        <f>IFERROR(__xludf.DUMMYFUNCTION("""COMPUTED_VALUE"""),46064.0)</f>
        <v>46064</v>
      </c>
      <c r="D84" s="3">
        <f>IFERROR(__xludf.DUMMYFUNCTION("""COMPUTED_VALUE"""),46112.0)</f>
        <v>46112</v>
      </c>
      <c r="E84" s="2" t="str">
        <f>IFERROR(__xludf.DUMMYFUNCTION("""COMPUTED_VALUE"""),"M2")</f>
        <v>M2</v>
      </c>
      <c r="F84" s="2" t="str">
        <f>IFERROR(__xludf.DUMMYFUNCTION("""COMPUTED_VALUE"""),"Espacio Público e Higiene Urbana")</f>
        <v>Espacio Público e Higiene Urbana</v>
      </c>
      <c r="G84" s="2" t="str">
        <f>IFERROR(__xludf.DUMMYFUNCTION("""COMPUTED_VALUE"""),"Finalizada")</f>
        <v>Finalizada</v>
      </c>
      <c r="H84" s="4">
        <v>9961877.0</v>
      </c>
      <c r="I84" s="4">
        <v>0.0</v>
      </c>
      <c r="J84" s="4">
        <v>64850.0</v>
      </c>
      <c r="K84" s="4">
        <v>317029.0</v>
      </c>
      <c r="L84" s="5">
        <v>17.05584347173287</v>
      </c>
      <c r="M84" s="5">
        <v>31.422604872109492</v>
      </c>
      <c r="N84" s="4">
        <v>181226.0</v>
      </c>
      <c r="O84" s="4">
        <v>180694.0</v>
      </c>
      <c r="P84" s="4">
        <v>113730.0</v>
      </c>
      <c r="Q84" s="4">
        <v>1220.0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/>
      <c r="AE84" s="6" t="s">
        <v>9</v>
      </c>
    </row>
    <row r="85" ht="16.5" customHeight="1">
      <c r="A85" s="2" t="str">
        <f>IFERROR(__xludf.DUMMYFUNCTION("""COMPUTED_VALUE"""),"2501-ENEJDGAG")</f>
        <v>2501-ENEJDGAG</v>
      </c>
      <c r="B85" s="2" t="str">
        <f>IFERROR(__xludf.DUMMYFUNCTION("""COMPUTED_VALUE"""),"RDV JM Flores 30/01")</f>
        <v>RDV JM Flores 30/01</v>
      </c>
      <c r="C85" s="3">
        <f>IFERROR(__xludf.DUMMYFUNCTION("""COMPUTED_VALUE"""),46045.0)</f>
        <v>46045</v>
      </c>
      <c r="D85" s="3">
        <f>IFERROR(__xludf.DUMMYFUNCTION("""COMPUTED_VALUE"""),46067.0)</f>
        <v>46067</v>
      </c>
      <c r="E85" s="2" t="str">
        <f>IFERROR(__xludf.DUMMYFUNCTION("""COMPUTED_VALUE"""),"Cercanía")</f>
        <v>Cercanía</v>
      </c>
      <c r="F85" s="2" t="str">
        <f>IFERROR(__xludf.DUMMYFUNCTION("""COMPUTED_VALUE"""),"Jefatura de Gobierno")</f>
        <v>Jefatura de Gobierno</v>
      </c>
      <c r="G85" s="2" t="str">
        <f>IFERROR(__xludf.DUMMYFUNCTION("""COMPUTED_VALUE"""),"Finalizada")</f>
        <v>Finalizada</v>
      </c>
      <c r="H85" s="4">
        <v>2825033.0</v>
      </c>
      <c r="I85" s="4">
        <v>1642319.0</v>
      </c>
      <c r="J85" s="4">
        <v>6937.0</v>
      </c>
      <c r="K85" s="4">
        <v>75466.0</v>
      </c>
      <c r="L85" s="5">
        <v>3.4477778072244454</v>
      </c>
      <c r="M85" s="5">
        <v>37.434513555773464</v>
      </c>
      <c r="N85" s="4">
        <v>118035.0</v>
      </c>
      <c r="O85" s="4">
        <v>115928.0</v>
      </c>
      <c r="P85" s="4">
        <v>20333.0</v>
      </c>
      <c r="Q85" s="4">
        <v>873.0</v>
      </c>
      <c r="R85" s="4">
        <v>9405.0</v>
      </c>
      <c r="S85" s="4">
        <v>7521.0</v>
      </c>
      <c r="T85" s="4">
        <v>1735.0</v>
      </c>
      <c r="U85" s="4">
        <v>1312.0</v>
      </c>
      <c r="V85" s="4">
        <v>32361.0</v>
      </c>
      <c r="W85" s="4">
        <v>32361.0</v>
      </c>
      <c r="X85" s="4">
        <v>25759.0</v>
      </c>
      <c r="Y85" s="4">
        <v>10328.0</v>
      </c>
      <c r="Z85" s="4">
        <v>108.0</v>
      </c>
      <c r="AA85" s="4">
        <v>0.0</v>
      </c>
      <c r="AB85" s="4">
        <v>0.0</v>
      </c>
      <c r="AC85" s="4">
        <v>0.0</v>
      </c>
      <c r="AD85" s="6" t="s">
        <v>48</v>
      </c>
      <c r="AE85" s="6" t="s">
        <v>9</v>
      </c>
    </row>
    <row r="86" ht="16.5" customHeight="1">
      <c r="A86" s="2" t="str">
        <f>IFERROR(__xludf.DUMMYFUNCTION("""COMPUTED_VALUE"""),"2502-ENEJDGAG")</f>
        <v>2502-ENEJDGAG</v>
      </c>
      <c r="B86" s="2" t="str">
        <f>IFERROR(__xludf.DUMMYFUNCTION("""COMPUTED_VALUE"""),"CAFE JM Versalles 29/01")</f>
        <v>CAFE JM Versalles 29/01</v>
      </c>
      <c r="C86" s="3">
        <f>IFERROR(__xludf.DUMMYFUNCTION("""COMPUTED_VALUE"""),46048.0)</f>
        <v>46048</v>
      </c>
      <c r="D86" s="3">
        <f>IFERROR(__xludf.DUMMYFUNCTION("""COMPUTED_VALUE"""),46073.0)</f>
        <v>46073</v>
      </c>
      <c r="E86" s="2" t="str">
        <f>IFERROR(__xludf.DUMMYFUNCTION("""COMPUTED_VALUE"""),"Cercanía")</f>
        <v>Cercanía</v>
      </c>
      <c r="F86" s="2" t="str">
        <f>IFERROR(__xludf.DUMMYFUNCTION("""COMPUTED_VALUE"""),"Jefatura de Gobierno")</f>
        <v>Jefatura de Gobierno</v>
      </c>
      <c r="G86" s="2" t="str">
        <f>IFERROR(__xludf.DUMMYFUNCTION("""COMPUTED_VALUE"""),"Finalizada")</f>
        <v>Finalizada</v>
      </c>
      <c r="H86" s="4">
        <v>124669.0</v>
      </c>
      <c r="I86" s="4">
        <v>3423.0</v>
      </c>
      <c r="J86" s="4">
        <v>1975.0</v>
      </c>
      <c r="K86" s="4">
        <v>17945.0</v>
      </c>
      <c r="L86" s="5">
        <v>2.4849261632766786</v>
      </c>
      <c r="M86" s="5">
        <v>6.947283365840067</v>
      </c>
      <c r="N86" s="4">
        <v>6610.0</v>
      </c>
      <c r="O86" s="4">
        <v>6518.0</v>
      </c>
      <c r="P86" s="4">
        <v>1169.0</v>
      </c>
      <c r="Q86" s="4">
        <v>169.0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/>
      <c r="AE86" s="6" t="s">
        <v>9</v>
      </c>
    </row>
    <row r="87" ht="16.5" customHeight="1">
      <c r="A87" s="2" t="str">
        <f>IFERROR(__xludf.DUMMYFUNCTION("""COMPUTED_VALUE"""),"2503-ENEPCCVC")</f>
        <v>2503-ENEPCCVC</v>
      </c>
      <c r="B87" s="2" t="str">
        <f>IFERROR(__xludf.DUMMYFUNCTION("""COMPUTED_VALUE"""),"Reunión de Co-creación - Eventos Masivos Huracán")</f>
        <v>Reunión de Co-creación - Eventos Masivos Huracán</v>
      </c>
      <c r="C87" s="3">
        <f>IFERROR(__xludf.DUMMYFUNCTION("""COMPUTED_VALUE"""),46055.0)</f>
        <v>46055</v>
      </c>
      <c r="D87" s="3">
        <f>IFERROR(__xludf.DUMMYFUNCTION("""COMPUTED_VALUE"""),46055.0)</f>
        <v>46055</v>
      </c>
      <c r="E87" s="2" t="str">
        <f>IFERROR(__xludf.DUMMYFUNCTION("""COMPUTED_VALUE"""),"Cercanía")</f>
        <v>Cercanía</v>
      </c>
      <c r="F87" s="2" t="str">
        <f>IFERROR(__xludf.DUMMYFUNCTION("""COMPUTED_VALUE"""),"Cercanía y PC")</f>
        <v>Cercanía y PC</v>
      </c>
      <c r="G87" s="2" t="str">
        <f>IFERROR(__xludf.DUMMYFUNCTION("""COMPUTED_VALUE"""),"Finalizada")</f>
        <v>Finalizada</v>
      </c>
      <c r="H87" s="4">
        <v>0.0</v>
      </c>
      <c r="I87" s="4">
        <v>0.0</v>
      </c>
      <c r="J87" s="4">
        <v>0.0</v>
      </c>
      <c r="K87" s="4">
        <v>0.0</v>
      </c>
      <c r="L87" s="5">
        <v>0.0</v>
      </c>
      <c r="M87" s="5">
        <v>0.0</v>
      </c>
      <c r="N87" s="4">
        <v>31878.0</v>
      </c>
      <c r="O87" s="4">
        <v>31183.0</v>
      </c>
      <c r="P87" s="4">
        <v>5171.0</v>
      </c>
      <c r="Q87" s="4">
        <v>112.0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  <c r="AD87" s="4" t="s">
        <v>8</v>
      </c>
      <c r="AE87" s="6" t="s">
        <v>9</v>
      </c>
    </row>
    <row r="88" ht="16.5" customHeight="1">
      <c r="A88" s="2" t="str">
        <f>IFERROR(__xludf.DUMMYFUNCTION("""COMPUTED_VALUE"""),"2504-ENEFESGC")</f>
        <v>2504-ENEFESGC</v>
      </c>
      <c r="B88" s="2" t="str">
        <f>IFERROR(__xludf.DUMMYFUNCTION("""COMPUTED_VALUE"""),"La Ciudad Más Linda del Mundo | Etapa 2")</f>
        <v>La Ciudad Más Linda del Mundo | Etapa 2</v>
      </c>
      <c r="C88" s="3">
        <f>IFERROR(__xludf.DUMMYFUNCTION("""COMPUTED_VALUE"""),46087.0)</f>
        <v>46087</v>
      </c>
      <c r="D88" s="3">
        <f>IFERROR(__xludf.DUMMYFUNCTION("""COMPUTED_VALUE"""),46112.0)</f>
        <v>46112</v>
      </c>
      <c r="E88" s="2" t="str">
        <f>IFERROR(__xludf.DUMMYFUNCTION("""COMPUTED_VALUE"""),"Ciudad Atractiva")</f>
        <v>Ciudad Atractiva</v>
      </c>
      <c r="F88" s="2" t="str">
        <f>IFERROR(__xludf.DUMMYFUNCTION("""COMPUTED_VALUE"""),"Festivales y Eventos")</f>
        <v>Festivales y Eventos</v>
      </c>
      <c r="G88" s="2" t="str">
        <f>IFERROR(__xludf.DUMMYFUNCTION("""COMPUTED_VALUE"""),"Finalizada")</f>
        <v>Finalizada</v>
      </c>
      <c r="H88" s="4">
        <v>2.638707E7</v>
      </c>
      <c r="I88" s="4">
        <v>1127725.0</v>
      </c>
      <c r="J88" s="4">
        <v>16601.0</v>
      </c>
      <c r="K88" s="4">
        <v>672600.0</v>
      </c>
      <c r="L88" s="5">
        <v>18.517805530776094</v>
      </c>
      <c r="M88" s="5">
        <v>39.2314451382694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  <c r="AD88" s="4"/>
      <c r="AE88" s="4" t="s">
        <v>8</v>
      </c>
    </row>
    <row r="89" ht="16.5" customHeight="1">
      <c r="A89" s="2" t="str">
        <f>IFERROR(__xludf.DUMMYFUNCTION("""COMPUTED_VALUE"""),"2505-ENEPCCVC")</f>
        <v>2505-ENEPCCVC</v>
      </c>
      <c r="B89" s="2" t="str">
        <f>IFERROR(__xludf.DUMMYFUNCTION("""COMPUTED_VALUE"""),"Verano 2026 - Misión Bomberos: Un Día en la Estación FEBRERO")</f>
        <v>Verano 2026 - Misión Bomberos: Un Día en la Estación FEBRERO</v>
      </c>
      <c r="C89" s="3">
        <f>IFERROR(__xludf.DUMMYFUNCTION("""COMPUTED_VALUE"""),46051.0)</f>
        <v>46051</v>
      </c>
      <c r="D89" s="3">
        <f>IFERROR(__xludf.DUMMYFUNCTION("""COMPUTED_VALUE"""),46051.0)</f>
        <v>46051</v>
      </c>
      <c r="E89" s="2" t="str">
        <f>IFERROR(__xludf.DUMMYFUNCTION("""COMPUTED_VALUE"""),"Cercanía")</f>
        <v>Cercanía</v>
      </c>
      <c r="F89" s="2" t="str">
        <f>IFERROR(__xludf.DUMMYFUNCTION("""COMPUTED_VALUE"""),"Cercanía y PC")</f>
        <v>Cercanía y PC</v>
      </c>
      <c r="G89" s="2" t="str">
        <f>IFERROR(__xludf.DUMMYFUNCTION("""COMPUTED_VALUE"""),"Finalizada")</f>
        <v>Finalizada</v>
      </c>
      <c r="H89" s="4">
        <v>0.0</v>
      </c>
      <c r="I89" s="4">
        <v>0.0</v>
      </c>
      <c r="J89" s="4">
        <v>0.0</v>
      </c>
      <c r="K89" s="4">
        <v>0.0</v>
      </c>
      <c r="L89" s="5">
        <v>0.0</v>
      </c>
      <c r="M89" s="5">
        <v>0.0</v>
      </c>
      <c r="N89" s="4">
        <v>57099.0</v>
      </c>
      <c r="O89" s="4">
        <v>56035.0</v>
      </c>
      <c r="P89" s="4">
        <v>16960.0</v>
      </c>
      <c r="Q89" s="4">
        <v>393.0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  <c r="AB89" s="4">
        <v>0.0</v>
      </c>
      <c r="AC89" s="4">
        <v>0.0</v>
      </c>
      <c r="AD89" s="4" t="s">
        <v>8</v>
      </c>
      <c r="AE89" s="6" t="s">
        <v>9</v>
      </c>
    </row>
    <row r="90" ht="16.5" customHeight="1">
      <c r="A90" s="2" t="str">
        <f>IFERROR(__xludf.DUMMYFUNCTION("""COMPUTED_VALUE"""),"2506-ENEPCCVC")</f>
        <v>2506-ENEPCCVC</v>
      </c>
      <c r="B90" s="2" t="str">
        <f>IFERROR(__xludf.DUMMYFUNCTION("""COMPUTED_VALUE"""),"Verano 2026 - La Gran Aventura del Reciclaje | Febrero")</f>
        <v>Verano 2026 - La Gran Aventura del Reciclaje | Febrero</v>
      </c>
      <c r="C90" s="3">
        <f>IFERROR(__xludf.DUMMYFUNCTION("""COMPUTED_VALUE"""),46050.0)</f>
        <v>46050</v>
      </c>
      <c r="D90" s="3">
        <f>IFERROR(__xludf.DUMMYFUNCTION("""COMPUTED_VALUE"""),46050.0)</f>
        <v>46050</v>
      </c>
      <c r="E90" s="2" t="str">
        <f>IFERROR(__xludf.DUMMYFUNCTION("""COMPUTED_VALUE"""),"Cercanía")</f>
        <v>Cercanía</v>
      </c>
      <c r="F90" s="2" t="str">
        <f>IFERROR(__xludf.DUMMYFUNCTION("""COMPUTED_VALUE"""),"Cercanía y PC")</f>
        <v>Cercanía y PC</v>
      </c>
      <c r="G90" s="2" t="str">
        <f>IFERROR(__xludf.DUMMYFUNCTION("""COMPUTED_VALUE"""),"Finalizada")</f>
        <v>Finalizada</v>
      </c>
      <c r="H90" s="4">
        <v>0.0</v>
      </c>
      <c r="I90" s="4">
        <v>0.0</v>
      </c>
      <c r="J90" s="4">
        <v>0.0</v>
      </c>
      <c r="K90" s="4">
        <v>0.0</v>
      </c>
      <c r="L90" s="5">
        <v>0.0</v>
      </c>
      <c r="M90" s="5">
        <v>0.0</v>
      </c>
      <c r="N90" s="4">
        <v>34666.0</v>
      </c>
      <c r="O90" s="4">
        <v>33494.0</v>
      </c>
      <c r="P90" s="4">
        <v>5167.0</v>
      </c>
      <c r="Q90" s="4">
        <v>97.0</v>
      </c>
      <c r="R90" s="4">
        <v>0.0</v>
      </c>
      <c r="S90" s="4">
        <v>0.0</v>
      </c>
      <c r="T90" s="4">
        <v>0.0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0.0</v>
      </c>
      <c r="AB90" s="4">
        <v>0.0</v>
      </c>
      <c r="AC90" s="4">
        <v>0.0</v>
      </c>
      <c r="AD90" s="4" t="s">
        <v>8</v>
      </c>
      <c r="AE90" s="6" t="s">
        <v>9</v>
      </c>
    </row>
    <row r="91" ht="16.5" customHeight="1">
      <c r="A91" s="2" t="str">
        <f>IFERROR(__xludf.DUMMYFUNCTION("""COMPUTED_VALUE"""),"2507-ENEPCCVC")</f>
        <v>2507-ENEPCCVC</v>
      </c>
      <c r="B91" s="2" t="str">
        <f>IFERROR(__xludf.DUMMYFUNCTION("""COMPUTED_VALUE"""),"Verano 2026 - Expedición Botánica - 2")</f>
        <v>Verano 2026 - Expedición Botánica - 2</v>
      </c>
      <c r="C91" s="3">
        <f>IFERROR(__xludf.DUMMYFUNCTION("""COMPUTED_VALUE"""),46051.0)</f>
        <v>46051</v>
      </c>
      <c r="D91" s="3">
        <f>IFERROR(__xludf.DUMMYFUNCTION("""COMPUTED_VALUE"""),46051.0)</f>
        <v>46051</v>
      </c>
      <c r="E91" s="2" t="str">
        <f>IFERROR(__xludf.DUMMYFUNCTION("""COMPUTED_VALUE"""),"Cercanía")</f>
        <v>Cercanía</v>
      </c>
      <c r="F91" s="2" t="str">
        <f>IFERROR(__xludf.DUMMYFUNCTION("""COMPUTED_VALUE"""),"Cercanía y PC")</f>
        <v>Cercanía y PC</v>
      </c>
      <c r="G91" s="2" t="str">
        <f>IFERROR(__xludf.DUMMYFUNCTION("""COMPUTED_VALUE"""),"Finalizada")</f>
        <v>Finalizada</v>
      </c>
      <c r="H91" s="4">
        <v>0.0</v>
      </c>
      <c r="I91" s="4">
        <v>0.0</v>
      </c>
      <c r="J91" s="4">
        <v>0.0</v>
      </c>
      <c r="K91" s="4">
        <v>0.0</v>
      </c>
      <c r="L91" s="5">
        <v>0.0</v>
      </c>
      <c r="M91" s="5">
        <v>0.0</v>
      </c>
      <c r="N91" s="4">
        <v>49880.0</v>
      </c>
      <c r="O91" s="4">
        <v>48946.0</v>
      </c>
      <c r="P91" s="4">
        <v>15010.0</v>
      </c>
      <c r="Q91" s="4">
        <v>433.0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 t="s">
        <v>8</v>
      </c>
      <c r="AE91" s="6" t="s">
        <v>9</v>
      </c>
    </row>
    <row r="92" ht="16.5" customHeight="1">
      <c r="A92" s="2" t="str">
        <f>IFERROR(__xludf.DUMMYFUNCTION("""COMPUTED_VALUE"""),"2508-ENEINFGC")</f>
        <v>2508-ENEINFGC</v>
      </c>
      <c r="B92" s="2" t="str">
        <f>IFERROR(__xludf.DUMMYFUNCTION("""COMPUTED_VALUE"""),"Infraestructura I AU Dellepiane : durante de obra")</f>
        <v>Infraestructura I AU Dellepiane : durante de obra</v>
      </c>
      <c r="C92" s="3">
        <f>IFERROR(__xludf.DUMMYFUNCTION("""COMPUTED_VALUE"""),46049.0)</f>
        <v>46049</v>
      </c>
      <c r="D92" s="3">
        <f>IFERROR(__xludf.DUMMYFUNCTION("""COMPUTED_VALUE"""),46063.0)</f>
        <v>46063</v>
      </c>
      <c r="E92" s="2" t="str">
        <f>IFERROR(__xludf.DUMMYFUNCTION("""COMPUTED_VALUE"""),"Movilidad")</f>
        <v>Movilidad</v>
      </c>
      <c r="F92" s="2" t="str">
        <f>IFERROR(__xludf.DUMMYFUNCTION("""COMPUTED_VALUE"""),"Infraestructura")</f>
        <v>Infraestructura</v>
      </c>
      <c r="G92" s="2" t="str">
        <f>IFERROR(__xludf.DUMMYFUNCTION("""COMPUTED_VALUE"""),"Finalizada")</f>
        <v>Finalizada</v>
      </c>
      <c r="H92" s="4">
        <v>2133201.0</v>
      </c>
      <c r="I92" s="4">
        <v>0.0</v>
      </c>
      <c r="J92" s="4">
        <v>11726.0</v>
      </c>
      <c r="K92" s="4">
        <v>810555.0</v>
      </c>
      <c r="L92" s="5">
        <v>0.5683537822849776</v>
      </c>
      <c r="M92" s="5">
        <v>2.6317782260303124</v>
      </c>
      <c r="N92" s="4">
        <v>150038.0</v>
      </c>
      <c r="O92" s="4">
        <v>146815.0</v>
      </c>
      <c r="P92" s="4">
        <v>34417.0</v>
      </c>
      <c r="Q92" s="4">
        <v>972.0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/>
      <c r="AE92" s="6" t="s">
        <v>9</v>
      </c>
    </row>
    <row r="93" ht="16.5" customHeight="1">
      <c r="A93" s="2" t="str">
        <f>IFERROR(__xludf.DUMMYFUNCTION("""COMPUTED_VALUE"""),"2510-ENEINFGC")</f>
        <v>2510-ENEINFGC</v>
      </c>
      <c r="B93" s="2" t="str">
        <f>IFERROR(__xludf.DUMMYFUNCTION("""COMPUTED_VALUE"""),"Infraestructura I Cambio de sentido calle Reconquista")</f>
        <v>Infraestructura I Cambio de sentido calle Reconquista</v>
      </c>
      <c r="C93" s="3">
        <f>IFERROR(__xludf.DUMMYFUNCTION("""COMPUTED_VALUE"""),46048.0)</f>
        <v>46048</v>
      </c>
      <c r="D93" s="3">
        <f>IFERROR(__xludf.DUMMYFUNCTION("""COMPUTED_VALUE"""),46062.0)</f>
        <v>46062</v>
      </c>
      <c r="E93" s="2" t="str">
        <f>IFERROR(__xludf.DUMMYFUNCTION("""COMPUTED_VALUE"""),"Movilidad")</f>
        <v>Movilidad</v>
      </c>
      <c r="F93" s="2" t="str">
        <f>IFERROR(__xludf.DUMMYFUNCTION("""COMPUTED_VALUE"""),"Infraestructura")</f>
        <v>Infraestructura</v>
      </c>
      <c r="G93" s="2" t="str">
        <f>IFERROR(__xludf.DUMMYFUNCTION("""COMPUTED_VALUE"""),"Finalizada")</f>
        <v>Finalizada</v>
      </c>
      <c r="H93" s="4">
        <v>194515.0</v>
      </c>
      <c r="I93" s="4">
        <v>0.0</v>
      </c>
      <c r="J93" s="4">
        <v>13.0</v>
      </c>
      <c r="K93" s="4">
        <v>137491.0</v>
      </c>
      <c r="L93" s="5">
        <v>1.4147471470859911</v>
      </c>
      <c r="M93" s="5">
        <v>1.4147471470859911</v>
      </c>
      <c r="N93" s="4">
        <v>22322.0</v>
      </c>
      <c r="O93" s="4">
        <v>21947.0</v>
      </c>
      <c r="P93" s="4">
        <v>8823.0</v>
      </c>
      <c r="Q93" s="4">
        <v>203.0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/>
      <c r="AE93" s="6" t="s">
        <v>9</v>
      </c>
    </row>
    <row r="94" ht="16.5" customHeight="1">
      <c r="A94" s="2" t="str">
        <f>IFERROR(__xludf.DUMMYFUNCTION("""COMPUTED_VALUE"""),"2511-ENEINFGC")</f>
        <v>2511-ENEINFGC</v>
      </c>
      <c r="B94" s="2" t="str">
        <f>IFERROR(__xludf.DUMMYFUNCTION("""COMPUTED_VALUE"""),"Infraestructura I Cortes por obras TramBus ENERO")</f>
        <v>Infraestructura I Cortes por obras TramBus ENERO</v>
      </c>
      <c r="C94" s="3">
        <f>IFERROR(__xludf.DUMMYFUNCTION("""COMPUTED_VALUE"""),46051.0)</f>
        <v>46051</v>
      </c>
      <c r="D94" s="3">
        <f>IFERROR(__xludf.DUMMYFUNCTION("""COMPUTED_VALUE"""),46054.0)</f>
        <v>46054</v>
      </c>
      <c r="E94" s="2" t="str">
        <f>IFERROR(__xludf.DUMMYFUNCTION("""COMPUTED_VALUE"""),"Movilidad")</f>
        <v>Movilidad</v>
      </c>
      <c r="F94" s="2" t="str">
        <f>IFERROR(__xludf.DUMMYFUNCTION("""COMPUTED_VALUE"""),"Infraestructura")</f>
        <v>Infraestructura</v>
      </c>
      <c r="G94" s="2" t="str">
        <f>IFERROR(__xludf.DUMMYFUNCTION("""COMPUTED_VALUE"""),"Finalizada")</f>
        <v>Finalizada</v>
      </c>
      <c r="H94" s="4">
        <v>1038637.0</v>
      </c>
      <c r="I94" s="4">
        <v>0.0</v>
      </c>
      <c r="J94" s="4">
        <v>20.0</v>
      </c>
      <c r="K94" s="4">
        <v>635853.0</v>
      </c>
      <c r="L94" s="5">
        <v>1.6334545877742181</v>
      </c>
      <c r="M94" s="5">
        <v>1.6334545877742181</v>
      </c>
      <c r="N94" s="4">
        <v>218884.0</v>
      </c>
      <c r="O94" s="4">
        <v>215091.0</v>
      </c>
      <c r="P94" s="4">
        <v>68978.0</v>
      </c>
      <c r="Q94" s="4">
        <v>2643.0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38263.0</v>
      </c>
      <c r="AB94" s="4">
        <v>35939.0</v>
      </c>
      <c r="AC94" s="4">
        <v>182.0</v>
      </c>
      <c r="AD94" s="4"/>
      <c r="AE94" s="6" t="s">
        <v>9</v>
      </c>
    </row>
    <row r="95" ht="16.5" customHeight="1">
      <c r="A95" s="2" t="str">
        <f>IFERROR(__xludf.DUMMYFUNCTION("""COMPUTED_VALUE"""),"2512-ENESALGC")</f>
        <v>2512-ENESALGC</v>
      </c>
      <c r="B95" s="2" t="str">
        <f>IFERROR(__xludf.DUMMYFUNCTION("""COMPUTED_VALUE""")," Envío Deploy GDE 27.01.2026")</f>
        <v> Envío Deploy GDE 27.01.2026</v>
      </c>
      <c r="C95" s="3">
        <f>IFERROR(__xludf.DUMMYFUNCTION("""COMPUTED_VALUE"""),46049.0)</f>
        <v>46049</v>
      </c>
      <c r="D95" s="3">
        <f>IFERROR(__xludf.DUMMYFUNCTION("""COMPUTED_VALUE"""),46049.0)</f>
        <v>46049</v>
      </c>
      <c r="E95" s="2" t="str">
        <f>IFERROR(__xludf.DUMMYFUNCTION("""COMPUTED_VALUE"""),"Cuidado")</f>
        <v>Cuidado</v>
      </c>
      <c r="F95" s="2" t="str">
        <f>IFERROR(__xludf.DUMMYFUNCTION("""COMPUTED_VALUE"""),"Salud")</f>
        <v>Salud</v>
      </c>
      <c r="G95" s="2" t="str">
        <f>IFERROR(__xludf.DUMMYFUNCTION("""COMPUTED_VALUE"""),"Finalizada")</f>
        <v>Finalizada</v>
      </c>
      <c r="H95" s="4">
        <v>0.0</v>
      </c>
      <c r="I95" s="4">
        <v>0.0</v>
      </c>
      <c r="J95" s="4">
        <v>0.0</v>
      </c>
      <c r="K95" s="4">
        <v>0.0</v>
      </c>
      <c r="L95" s="5">
        <v>0.0</v>
      </c>
      <c r="M95" s="5">
        <v>0.0</v>
      </c>
      <c r="N95" s="4">
        <v>7062.0</v>
      </c>
      <c r="O95" s="4">
        <v>7019.0</v>
      </c>
      <c r="P95" s="4">
        <v>2964.0</v>
      </c>
      <c r="Q95" s="4">
        <v>229.0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 t="s">
        <v>8</v>
      </c>
      <c r="AE95" s="6" t="s">
        <v>9</v>
      </c>
    </row>
    <row r="96" ht="16.5" customHeight="1">
      <c r="A96" s="2" t="str">
        <f>IFERROR(__xludf.DUMMYFUNCTION("""COMPUTED_VALUE"""),"2513-ENEPCCVC")</f>
        <v>2513-ENEPCCVC</v>
      </c>
      <c r="B96" s="2" t="str">
        <f>IFERROR(__xludf.DUMMYFUNCTION("""COMPUTED_VALUE"""),"Priorización de Nombre Paso Bajo Nivel Bosch")</f>
        <v>Priorización de Nombre Paso Bajo Nivel Bosch</v>
      </c>
      <c r="C96" s="3">
        <f>IFERROR(__xludf.DUMMYFUNCTION("""COMPUTED_VALUE"""),46057.0)</f>
        <v>46057</v>
      </c>
      <c r="D96" s="3">
        <f>IFERROR(__xludf.DUMMYFUNCTION("""COMPUTED_VALUE"""),46057.0)</f>
        <v>46057</v>
      </c>
      <c r="E96" s="2" t="str">
        <f>IFERROR(__xludf.DUMMYFUNCTION("""COMPUTED_VALUE"""),"Cercanía")</f>
        <v>Cercanía</v>
      </c>
      <c r="F96" s="2" t="str">
        <f>IFERROR(__xludf.DUMMYFUNCTION("""COMPUTED_VALUE"""),"Cercanía y PC")</f>
        <v>Cercanía y PC</v>
      </c>
      <c r="G96" s="2" t="str">
        <f>IFERROR(__xludf.DUMMYFUNCTION("""COMPUTED_VALUE"""),"Finalizada")</f>
        <v>Finalizada</v>
      </c>
      <c r="H96" s="4">
        <v>0.0</v>
      </c>
      <c r="I96" s="4">
        <v>0.0</v>
      </c>
      <c r="J96" s="4">
        <v>0.0</v>
      </c>
      <c r="K96" s="4">
        <v>0.0</v>
      </c>
      <c r="L96" s="5">
        <v>0.0</v>
      </c>
      <c r="M96" s="5">
        <v>0.0</v>
      </c>
      <c r="N96" s="4">
        <v>26962.0</v>
      </c>
      <c r="O96" s="4">
        <v>26396.0</v>
      </c>
      <c r="P96" s="4">
        <v>5693.0</v>
      </c>
      <c r="Q96" s="4">
        <v>547.0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 t="s">
        <v>8</v>
      </c>
      <c r="AE96" s="6" t="s">
        <v>9</v>
      </c>
    </row>
    <row r="97" ht="16.5" customHeight="1">
      <c r="A97" s="2" t="str">
        <f>IFERROR(__xludf.DUMMYFUNCTION("""COMPUTED_VALUE"""),"2514-ENEINFGC")</f>
        <v>2514-ENEINFGC</v>
      </c>
      <c r="B97" s="2" t="str">
        <f>IFERROR(__xludf.DUMMYFUNCTION("""COMPUTED_VALUE"""),"Infraestructura I Nuevo Acceso al Paseo del Bajo")</f>
        <v>Infraestructura I Nuevo Acceso al Paseo del Bajo</v>
      </c>
      <c r="C97" s="3">
        <f>IFERROR(__xludf.DUMMYFUNCTION("""COMPUTED_VALUE"""),46150.0)</f>
        <v>46150</v>
      </c>
      <c r="D97" s="3">
        <f>IFERROR(__xludf.DUMMYFUNCTION("""COMPUTED_VALUE"""),46150.0)</f>
        <v>46150</v>
      </c>
      <c r="E97" s="2" t="str">
        <f>IFERROR(__xludf.DUMMYFUNCTION("""COMPUTED_VALUE"""),"Movilidad")</f>
        <v>Movilidad</v>
      </c>
      <c r="F97" s="2" t="str">
        <f>IFERROR(__xludf.DUMMYFUNCTION("""COMPUTED_VALUE"""),"Infraestructura")</f>
        <v>Infraestructura</v>
      </c>
      <c r="G97" s="2" t="str">
        <f>IFERROR(__xludf.DUMMYFUNCTION("""COMPUTED_VALUE"""),"Finalizada")</f>
        <v>Finalizada</v>
      </c>
      <c r="H97" s="4">
        <v>0.0</v>
      </c>
      <c r="I97" s="4">
        <v>0.0</v>
      </c>
      <c r="J97" s="4">
        <v>0.0</v>
      </c>
      <c r="K97" s="4">
        <v>0.0</v>
      </c>
      <c r="L97" s="5">
        <v>0.0</v>
      </c>
      <c r="M97" s="5">
        <v>0.0</v>
      </c>
      <c r="N97" s="4">
        <v>155026.0</v>
      </c>
      <c r="O97" s="4">
        <v>153885.0</v>
      </c>
      <c r="P97" s="4">
        <v>67635.0</v>
      </c>
      <c r="Q97" s="4">
        <v>2686.0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 t="s">
        <v>8</v>
      </c>
      <c r="AE97" s="6" t="s">
        <v>9</v>
      </c>
    </row>
    <row r="98" ht="16.5" customHeight="1">
      <c r="A98" s="2" t="str">
        <f>IFERROR(__xludf.DUMMYFUNCTION("""COMPUTED_VALUE"""),"2515-ENEINFGJ")</f>
        <v>2515-ENEINFGJ</v>
      </c>
      <c r="B98" s="2" t="str">
        <f>IFERROR(__xludf.DUMMYFUNCTION("""COMPUTED_VALUE"""),"Infraestructura I Anillo Pampa: Inicio de obra + Cortes")</f>
        <v>Infraestructura I Anillo Pampa: Inicio de obra + Cortes</v>
      </c>
      <c r="C98" s="3">
        <f>IFERROR(__xludf.DUMMYFUNCTION("""COMPUTED_VALUE"""),46049.0)</f>
        <v>46049</v>
      </c>
      <c r="D98" s="3">
        <f>IFERROR(__xludf.DUMMYFUNCTION("""COMPUTED_VALUE"""),46167.0)</f>
        <v>46167</v>
      </c>
      <c r="E98" s="2" t="str">
        <f>IFERROR(__xludf.DUMMYFUNCTION("""COMPUTED_VALUE"""),"Movilidad")</f>
        <v>Movilidad</v>
      </c>
      <c r="F98" s="2" t="str">
        <f>IFERROR(__xludf.DUMMYFUNCTION("""COMPUTED_VALUE"""),"Infraestructura")</f>
        <v>Infraestructura</v>
      </c>
      <c r="G98" s="2" t="str">
        <f>IFERROR(__xludf.DUMMYFUNCTION("""COMPUTED_VALUE"""),"Finalizada")</f>
        <v>Finalizada</v>
      </c>
      <c r="H98" s="4">
        <v>1.0369425E7</v>
      </c>
      <c r="I98" s="4">
        <v>3848246.0</v>
      </c>
      <c r="J98" s="4">
        <v>31546.0</v>
      </c>
      <c r="K98" s="4">
        <v>316958.0</v>
      </c>
      <c r="L98" s="5">
        <v>2.681462528158305</v>
      </c>
      <c r="M98" s="5">
        <v>32.71545441351851</v>
      </c>
      <c r="N98" s="4">
        <v>399242.0</v>
      </c>
      <c r="O98" s="4">
        <v>394575.0</v>
      </c>
      <c r="P98" s="4">
        <v>134230.0</v>
      </c>
      <c r="Q98" s="4">
        <v>5084.0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6" t="s">
        <v>49</v>
      </c>
      <c r="AE98" s="6" t="s">
        <v>9</v>
      </c>
    </row>
    <row r="99" ht="16.5" customHeight="1">
      <c r="A99" s="2" t="str">
        <f>IFERROR(__xludf.DUMMYFUNCTION("""COMPUTED_VALUE"""),"2516-ENESALCG")</f>
        <v>2516-ENESALCG</v>
      </c>
      <c r="B99" s="2" t="str">
        <f>IFERROR(__xludf.DUMMYFUNCTION("""COMPUTED_VALUE"""),"Carrusel Refugios climáticos")</f>
        <v>Carrusel Refugios climáticos</v>
      </c>
      <c r="C99" s="3">
        <f>IFERROR(__xludf.DUMMYFUNCTION("""COMPUTED_VALUE"""),46049.0)</f>
        <v>46049</v>
      </c>
      <c r="D99" s="3">
        <f>IFERROR(__xludf.DUMMYFUNCTION("""COMPUTED_VALUE"""),46066.0)</f>
        <v>46066</v>
      </c>
      <c r="E99" s="2" t="str">
        <f>IFERROR(__xludf.DUMMYFUNCTION("""COMPUTED_VALUE"""),"Cuidado")</f>
        <v>Cuidado</v>
      </c>
      <c r="F99" s="2" t="str">
        <f>IFERROR(__xludf.DUMMYFUNCTION("""COMPUTED_VALUE"""),"Salud")</f>
        <v>Salud</v>
      </c>
      <c r="G99" s="2" t="str">
        <f>IFERROR(__xludf.DUMMYFUNCTION("""COMPUTED_VALUE"""),"Finalizada")</f>
        <v>Finalizada</v>
      </c>
      <c r="H99" s="4">
        <v>1502590.0</v>
      </c>
      <c r="I99" s="4">
        <v>0.0</v>
      </c>
      <c r="J99" s="4">
        <v>2460.0</v>
      </c>
      <c r="K99" s="4">
        <v>1034589.0</v>
      </c>
      <c r="L99" s="5">
        <v>1.4523545098585042</v>
      </c>
      <c r="M99" s="5">
        <v>1.4523545098585042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/>
      <c r="AE99" s="4" t="s">
        <v>8</v>
      </c>
    </row>
    <row r="100" ht="16.5" customHeight="1">
      <c r="A100" s="2" t="str">
        <f>IFERROR(__xludf.DUMMYFUNCTION("""COMPUTED_VALUE"""),"2517-ENEINFGC")</f>
        <v>2517-ENEINFGC</v>
      </c>
      <c r="B100" s="2" t="str">
        <f>IFERROR(__xludf.DUMMYFUNCTION("""COMPUTED_VALUE""")," Infraestructura I PAN: inicio de obra")</f>
        <v> Infraestructura I PAN: inicio de obra</v>
      </c>
      <c r="C100" s="3">
        <f>IFERROR(__xludf.DUMMYFUNCTION("""COMPUTED_VALUE"""),46052.0)</f>
        <v>46052</v>
      </c>
      <c r="D100" s="3">
        <f>IFERROR(__xludf.DUMMYFUNCTION("""COMPUTED_VALUE"""),46072.0)</f>
        <v>46072</v>
      </c>
      <c r="E100" s="2" t="str">
        <f>IFERROR(__xludf.DUMMYFUNCTION("""COMPUTED_VALUE"""),"Movilidad")</f>
        <v>Movilidad</v>
      </c>
      <c r="F100" s="2" t="str">
        <f>IFERROR(__xludf.DUMMYFUNCTION("""COMPUTED_VALUE"""),"Infraestructura")</f>
        <v>Infraestructura</v>
      </c>
      <c r="G100" s="2" t="str">
        <f>IFERROR(__xludf.DUMMYFUNCTION("""COMPUTED_VALUE"""),"Finalizada")</f>
        <v>Finalizada</v>
      </c>
      <c r="H100" s="4">
        <v>0.0</v>
      </c>
      <c r="I100" s="4">
        <v>0.0</v>
      </c>
      <c r="J100" s="4">
        <v>0.0</v>
      </c>
      <c r="K100" s="4">
        <v>0.0</v>
      </c>
      <c r="L100" s="5">
        <v>0.0</v>
      </c>
      <c r="M100" s="5">
        <v>0.0</v>
      </c>
      <c r="N100" s="4">
        <v>75358.0</v>
      </c>
      <c r="O100" s="4">
        <v>74094.0</v>
      </c>
      <c r="P100" s="4">
        <v>27113.0</v>
      </c>
      <c r="Q100" s="4">
        <v>1359.0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65784.0</v>
      </c>
      <c r="AB100" s="4">
        <v>62454.0</v>
      </c>
      <c r="AC100" s="4">
        <v>987.0</v>
      </c>
      <c r="AD100" s="4" t="s">
        <v>8</v>
      </c>
      <c r="AE100" s="6" t="s">
        <v>9</v>
      </c>
    </row>
    <row r="101" ht="16.5" customHeight="1">
      <c r="A101" s="2" t="str">
        <f>IFERROR(__xludf.DUMMYFUNCTION("""COMPUTED_VALUE"""),"2518-ENEINFGC")</f>
        <v>2518-ENEINFGC</v>
      </c>
      <c r="B101" s="2" t="str">
        <f>IFERROR(__xludf.DUMMYFUNCTION("""COMPUTED_VALUE"""),"CAMPAÑA GCBA | INFRAESTRUCTURA  | Cierre Cantilo por obras Puente Labruna")</f>
        <v>CAMPAÑA GCBA | INFRAESTRUCTURA  | Cierre Cantilo por obras Puente Labruna</v>
      </c>
      <c r="C101" s="3">
        <f>IFERROR(__xludf.DUMMYFUNCTION("""COMPUTED_VALUE"""),46050.0)</f>
        <v>46050</v>
      </c>
      <c r="D101" s="3">
        <f>IFERROR(__xludf.DUMMYFUNCTION("""COMPUTED_VALUE"""),46052.0)</f>
        <v>46052</v>
      </c>
      <c r="E101" s="2" t="str">
        <f>IFERROR(__xludf.DUMMYFUNCTION("""COMPUTED_VALUE"""),"Movilidad")</f>
        <v>Movilidad</v>
      </c>
      <c r="F101" s="2" t="str">
        <f>IFERROR(__xludf.DUMMYFUNCTION("""COMPUTED_VALUE"""),"Infraestructura")</f>
        <v>Infraestructura</v>
      </c>
      <c r="G101" s="2" t="str">
        <f>IFERROR(__xludf.DUMMYFUNCTION("""COMPUTED_VALUE"""),"Finalizada")</f>
        <v>Finalizada</v>
      </c>
      <c r="H101" s="4">
        <v>26589.0</v>
      </c>
      <c r="I101" s="4">
        <v>0.0</v>
      </c>
      <c r="J101" s="4">
        <v>2.0</v>
      </c>
      <c r="K101" s="4">
        <v>23011.0</v>
      </c>
      <c r="L101" s="5">
        <v>1.1554908522011211</v>
      </c>
      <c r="M101" s="5">
        <v>1.1554908522011211</v>
      </c>
      <c r="N101" s="4">
        <v>87752.0</v>
      </c>
      <c r="O101" s="4">
        <v>86121.0</v>
      </c>
      <c r="P101" s="4">
        <v>30858.0</v>
      </c>
      <c r="Q101" s="4">
        <v>133.0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35230.0</v>
      </c>
      <c r="AB101" s="4">
        <v>32378.0</v>
      </c>
      <c r="AC101" s="4">
        <v>364.0</v>
      </c>
      <c r="AD101" s="4"/>
      <c r="AE101" s="6" t="s">
        <v>9</v>
      </c>
    </row>
    <row r="102" ht="16.5" customHeight="1">
      <c r="A102" s="2" t="str">
        <f>IFERROR(__xludf.DUMMYFUNCTION("""COMPUTED_VALUE"""),"2519-ENEINFGC")</f>
        <v>2519-ENEINFGC</v>
      </c>
      <c r="B102" s="2" t="str">
        <f>IFERROR(__xludf.DUMMYFUNCTION("""COMPUTED_VALUE"""),"Infraestructura I Cortes y desvíos en Larralde")</f>
        <v>Infraestructura I Cortes y desvíos en Larralde</v>
      </c>
      <c r="C102" s="3">
        <f>IFERROR(__xludf.DUMMYFUNCTION("""COMPUTED_VALUE"""),46062.0)</f>
        <v>46062</v>
      </c>
      <c r="D102" s="3">
        <f>IFERROR(__xludf.DUMMYFUNCTION("""COMPUTED_VALUE"""),46158.0)</f>
        <v>46158</v>
      </c>
      <c r="E102" s="2" t="str">
        <f>IFERROR(__xludf.DUMMYFUNCTION("""COMPUTED_VALUE"""),"Movilidad")</f>
        <v>Movilidad</v>
      </c>
      <c r="F102" s="2" t="str">
        <f>IFERROR(__xludf.DUMMYFUNCTION("""COMPUTED_VALUE"""),"Infraestructura")</f>
        <v>Infraestructura</v>
      </c>
      <c r="G102" s="2" t="str">
        <f>IFERROR(__xludf.DUMMYFUNCTION("""COMPUTED_VALUE"""),"Finalizada")</f>
        <v>Finalizada</v>
      </c>
      <c r="H102" s="4">
        <v>421039.0</v>
      </c>
      <c r="I102" s="4">
        <v>0.0</v>
      </c>
      <c r="J102" s="4">
        <v>24.0</v>
      </c>
      <c r="K102" s="4">
        <v>134621.0</v>
      </c>
      <c r="L102" s="5">
        <v>3.12758782062234</v>
      </c>
      <c r="M102" s="5">
        <v>3.12758782062234</v>
      </c>
      <c r="N102" s="4">
        <v>71308.0</v>
      </c>
      <c r="O102" s="4">
        <v>70661.0</v>
      </c>
      <c r="P102" s="4">
        <v>27302.0</v>
      </c>
      <c r="Q102" s="4">
        <v>200.0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/>
      <c r="AE102" s="6" t="s">
        <v>9</v>
      </c>
    </row>
    <row r="103" ht="16.5" customHeight="1">
      <c r="A103" s="2" t="str">
        <f>IFERROR(__xludf.DUMMYFUNCTION("""COMPUTED_VALUE"""),"2521-ENEPCCVC")</f>
        <v>2521-ENEPCCVC</v>
      </c>
      <c r="B103" s="2" t="str">
        <f>IFERROR(__xludf.DUMMYFUNCTION("""COMPUTED_VALUE"""),"Paseo náutico por el Riachuelo")</f>
        <v>Paseo náutico por el Riachuelo</v>
      </c>
      <c r="C103" s="3">
        <f>IFERROR(__xludf.DUMMYFUNCTION("""COMPUTED_VALUE"""),46056.0)</f>
        <v>46056</v>
      </c>
      <c r="D103" s="3">
        <f>IFERROR(__xludf.DUMMYFUNCTION("""COMPUTED_VALUE"""),46056.0)</f>
        <v>46056</v>
      </c>
      <c r="E103" s="2" t="str">
        <f>IFERROR(__xludf.DUMMYFUNCTION("""COMPUTED_VALUE"""),"Cercanía")</f>
        <v>Cercanía</v>
      </c>
      <c r="F103" s="2" t="str">
        <f>IFERROR(__xludf.DUMMYFUNCTION("""COMPUTED_VALUE"""),"Cercanía y PC")</f>
        <v>Cercanía y PC</v>
      </c>
      <c r="G103" s="2" t="str">
        <f>IFERROR(__xludf.DUMMYFUNCTION("""COMPUTED_VALUE"""),"Finalizada")</f>
        <v>Finalizada</v>
      </c>
      <c r="H103" s="4">
        <v>0.0</v>
      </c>
      <c r="I103" s="4">
        <v>0.0</v>
      </c>
      <c r="J103" s="4">
        <v>0.0</v>
      </c>
      <c r="K103" s="4">
        <v>0.0</v>
      </c>
      <c r="L103" s="5">
        <v>0.0</v>
      </c>
      <c r="M103" s="5">
        <v>0.0</v>
      </c>
      <c r="N103" s="4">
        <v>69825.0</v>
      </c>
      <c r="O103" s="4">
        <v>68319.0</v>
      </c>
      <c r="P103" s="4">
        <v>12604.0</v>
      </c>
      <c r="Q103" s="4">
        <v>977.0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 t="s">
        <v>8</v>
      </c>
      <c r="AE103" s="6" t="s">
        <v>9</v>
      </c>
    </row>
    <row r="104" ht="16.5" customHeight="1">
      <c r="A104" s="2" t="str">
        <f>IFERROR(__xludf.DUMMYFUNCTION("""COMPUTED_VALUE"""),"2522-ENEPCCVC")</f>
        <v>2522-ENEPCCVC</v>
      </c>
      <c r="B104" s="2" t="str">
        <f>IFERROR(__xludf.DUMMYFUNCTION("""COMPUTED_VALUE"""),"Reunión Co-Creación: Eventos Masivos River")</f>
        <v>Reunión Co-Creación: Eventos Masivos River</v>
      </c>
      <c r="C104" s="3">
        <f>IFERROR(__xludf.DUMMYFUNCTION("""COMPUTED_VALUE"""),46056.0)</f>
        <v>46056</v>
      </c>
      <c r="D104" s="3">
        <f>IFERROR(__xludf.DUMMYFUNCTION("""COMPUTED_VALUE"""),46056.0)</f>
        <v>46056</v>
      </c>
      <c r="E104" s="2" t="str">
        <f>IFERROR(__xludf.DUMMYFUNCTION("""COMPUTED_VALUE"""),"Cercanía")</f>
        <v>Cercanía</v>
      </c>
      <c r="F104" s="2" t="str">
        <f>IFERROR(__xludf.DUMMYFUNCTION("""COMPUTED_VALUE"""),"Cercanía y PC")</f>
        <v>Cercanía y PC</v>
      </c>
      <c r="G104" s="2" t="str">
        <f>IFERROR(__xludf.DUMMYFUNCTION("""COMPUTED_VALUE"""),"Finalizada")</f>
        <v>Finalizada</v>
      </c>
      <c r="H104" s="4">
        <v>0.0</v>
      </c>
      <c r="I104" s="4">
        <v>0.0</v>
      </c>
      <c r="J104" s="4">
        <v>0.0</v>
      </c>
      <c r="K104" s="4">
        <v>0.0</v>
      </c>
      <c r="L104" s="5">
        <v>0.0</v>
      </c>
      <c r="M104" s="5">
        <v>0.0</v>
      </c>
      <c r="N104" s="4">
        <v>92020.0</v>
      </c>
      <c r="O104" s="4">
        <v>90328.0</v>
      </c>
      <c r="P104" s="4">
        <v>24881.0</v>
      </c>
      <c r="Q104" s="4">
        <v>459.0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 t="s">
        <v>8</v>
      </c>
      <c r="AE104" s="6" t="s">
        <v>9</v>
      </c>
    </row>
    <row r="105" ht="16.5" customHeight="1">
      <c r="A105" s="2" t="str">
        <f>IFERROR(__xludf.DUMMYFUNCTION("""COMPUTED_VALUE"""),"2523-ENEPCCVC")</f>
        <v>2523-ENEPCCVC</v>
      </c>
      <c r="B105" s="2" t="str">
        <f>IFERROR(__xludf.DUMMYFUNCTION("""COMPUTED_VALUE"""),"Verano 2026 - Perros en acción: Aventura K9")</f>
        <v>Verano 2026 - Perros en acción: Aventura K9</v>
      </c>
      <c r="C105" s="3">
        <f>IFERROR(__xludf.DUMMYFUNCTION("""COMPUTED_VALUE"""),46055.0)</f>
        <v>46055</v>
      </c>
      <c r="D105" s="3">
        <f>IFERROR(__xludf.DUMMYFUNCTION("""COMPUTED_VALUE"""),46055.0)</f>
        <v>46055</v>
      </c>
      <c r="E105" s="2" t="str">
        <f>IFERROR(__xludf.DUMMYFUNCTION("""COMPUTED_VALUE"""),"Cercanía")</f>
        <v>Cercanía</v>
      </c>
      <c r="F105" s="2" t="str">
        <f>IFERROR(__xludf.DUMMYFUNCTION("""COMPUTED_VALUE"""),"Cercanía y PC")</f>
        <v>Cercanía y PC</v>
      </c>
      <c r="G105" s="2" t="str">
        <f>IFERROR(__xludf.DUMMYFUNCTION("""COMPUTED_VALUE"""),"Finalizada")</f>
        <v>Finalizada</v>
      </c>
      <c r="H105" s="4">
        <v>0.0</v>
      </c>
      <c r="I105" s="4">
        <v>0.0</v>
      </c>
      <c r="J105" s="4">
        <v>0.0</v>
      </c>
      <c r="K105" s="4">
        <v>0.0</v>
      </c>
      <c r="L105" s="5">
        <v>0.0</v>
      </c>
      <c r="M105" s="5">
        <v>0.0</v>
      </c>
      <c r="N105" s="4">
        <v>56748.0</v>
      </c>
      <c r="O105" s="4">
        <v>55873.0</v>
      </c>
      <c r="P105" s="4">
        <v>15970.0</v>
      </c>
      <c r="Q105" s="4">
        <v>469.0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 t="s">
        <v>8</v>
      </c>
      <c r="AE105" s="6" t="s">
        <v>9</v>
      </c>
    </row>
    <row r="106" ht="16.5" customHeight="1">
      <c r="A106" s="2" t="str">
        <f>IFERROR(__xludf.DUMMYFUNCTION("""COMPUTED_VALUE"""),"2524-ENEPCCVC")</f>
        <v>2524-ENEPCCVC</v>
      </c>
      <c r="B106" s="2" t="str">
        <f>IFERROR(__xludf.DUMMYFUNCTION("""COMPUTED_VALUE"""),"Verano 2026 - Dejá que vuele tu imaginación")</f>
        <v>Verano 2026 - Dejá que vuele tu imaginación</v>
      </c>
      <c r="C106" s="3">
        <f>IFERROR(__xludf.DUMMYFUNCTION("""COMPUTED_VALUE"""),46052.0)</f>
        <v>46052</v>
      </c>
      <c r="D106" s="3">
        <f>IFERROR(__xludf.DUMMYFUNCTION("""COMPUTED_VALUE"""),46052.0)</f>
        <v>46052</v>
      </c>
      <c r="E106" s="2" t="str">
        <f>IFERROR(__xludf.DUMMYFUNCTION("""COMPUTED_VALUE"""),"Cercanía")</f>
        <v>Cercanía</v>
      </c>
      <c r="F106" s="2" t="str">
        <f>IFERROR(__xludf.DUMMYFUNCTION("""COMPUTED_VALUE"""),"Cercanía y PC")</f>
        <v>Cercanía y PC</v>
      </c>
      <c r="G106" s="2" t="str">
        <f>IFERROR(__xludf.DUMMYFUNCTION("""COMPUTED_VALUE"""),"Finalizada")</f>
        <v>Finalizada</v>
      </c>
      <c r="H106" s="4">
        <v>0.0</v>
      </c>
      <c r="I106" s="4">
        <v>0.0</v>
      </c>
      <c r="J106" s="4">
        <v>0.0</v>
      </c>
      <c r="K106" s="4">
        <v>0.0</v>
      </c>
      <c r="L106" s="5">
        <v>0.0</v>
      </c>
      <c r="M106" s="5">
        <v>0.0</v>
      </c>
      <c r="N106" s="4">
        <v>22101.0</v>
      </c>
      <c r="O106" s="4">
        <v>21495.0</v>
      </c>
      <c r="P106" s="4">
        <v>4375.0</v>
      </c>
      <c r="Q106" s="4">
        <v>220.0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 t="s">
        <v>8</v>
      </c>
      <c r="AE106" s="6" t="s">
        <v>9</v>
      </c>
    </row>
    <row r="107" ht="16.5" customHeight="1">
      <c r="A107" s="2" t="str">
        <f>IFERROR(__xludf.DUMMYFUNCTION("""COMPUTED_VALUE"""),"2525-ENEPCCVC")</f>
        <v>2525-ENEPCCVC</v>
      </c>
      <c r="B107" s="2" t="str">
        <f>IFERROR(__xludf.DUMMYFUNCTION("""COMPUTED_VALUE"""),"Verano 2026- Exploradores del Ecoparque")</f>
        <v>Verano 2026- Exploradores del Ecoparque</v>
      </c>
      <c r="C107" s="3">
        <f>IFERROR(__xludf.DUMMYFUNCTION("""COMPUTED_VALUE"""),46034.0)</f>
        <v>46034</v>
      </c>
      <c r="D107" s="3">
        <f>IFERROR(__xludf.DUMMYFUNCTION("""COMPUTED_VALUE"""),46034.0)</f>
        <v>46034</v>
      </c>
      <c r="E107" s="2" t="str">
        <f>IFERROR(__xludf.DUMMYFUNCTION("""COMPUTED_VALUE"""),"Cercanía")</f>
        <v>Cercanía</v>
      </c>
      <c r="F107" s="2" t="str">
        <f>IFERROR(__xludf.DUMMYFUNCTION("""COMPUTED_VALUE"""),"Cercanía y PC")</f>
        <v>Cercanía y PC</v>
      </c>
      <c r="G107" s="2" t="str">
        <f>IFERROR(__xludf.DUMMYFUNCTION("""COMPUTED_VALUE"""),"Finalizada")</f>
        <v>Finalizada</v>
      </c>
      <c r="H107" s="4">
        <v>0.0</v>
      </c>
      <c r="I107" s="4">
        <v>0.0</v>
      </c>
      <c r="J107" s="4">
        <v>0.0</v>
      </c>
      <c r="K107" s="4">
        <v>0.0</v>
      </c>
      <c r="L107" s="5">
        <v>0.0</v>
      </c>
      <c r="M107" s="5">
        <v>0.0</v>
      </c>
      <c r="N107" s="4">
        <v>36289.0</v>
      </c>
      <c r="O107" s="4">
        <v>35904.0</v>
      </c>
      <c r="P107" s="4">
        <v>19875.0</v>
      </c>
      <c r="Q107" s="4">
        <v>251.0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 t="s">
        <v>8</v>
      </c>
      <c r="AE107" s="6" t="s">
        <v>9</v>
      </c>
    </row>
    <row r="108" ht="16.5" customHeight="1">
      <c r="A108" s="2" t="str">
        <f>IFERROR(__xludf.DUMMYFUNCTION("""COMPUTED_VALUE"""),"2526-ENESEGGC")</f>
        <v>2526-ENESEGGC</v>
      </c>
      <c r="B108" s="2" t="str">
        <f>IFERROR(__xludf.DUMMYFUNCTION("""COMPUTED_VALUE"""),"CAMPAÑA GCBA | SEGURIDAD | Desalojo en San Nicolás")</f>
        <v>CAMPAÑA GCBA | SEGURIDAD | Desalojo en San Nicolás</v>
      </c>
      <c r="C108" s="3">
        <f>IFERROR(__xludf.DUMMYFUNCTION("""COMPUTED_VALUE"""),46051.0)</f>
        <v>46051</v>
      </c>
      <c r="D108" s="3">
        <f>IFERROR(__xludf.DUMMYFUNCTION("""COMPUTED_VALUE"""),46077.0)</f>
        <v>46077</v>
      </c>
      <c r="E108" s="2" t="str">
        <f>IFERROR(__xludf.DUMMYFUNCTION("""COMPUTED_VALUE"""),"M2")</f>
        <v>M2</v>
      </c>
      <c r="F108" s="2" t="str">
        <f>IFERROR(__xludf.DUMMYFUNCTION("""COMPUTED_VALUE"""),"Seguridad")</f>
        <v>Seguridad</v>
      </c>
      <c r="G108" s="2" t="str">
        <f>IFERROR(__xludf.DUMMYFUNCTION("""COMPUTED_VALUE"""),"Finalizada")</f>
        <v>Finalizada</v>
      </c>
      <c r="H108" s="4">
        <v>2830995.0</v>
      </c>
      <c r="I108" s="4">
        <v>1642223.0</v>
      </c>
      <c r="J108" s="4">
        <v>2194.0</v>
      </c>
      <c r="K108" s="4">
        <v>698997.0</v>
      </c>
      <c r="L108" s="5">
        <v>0.8593856625994103</v>
      </c>
      <c r="M108" s="5">
        <v>4.050081760007553</v>
      </c>
      <c r="N108" s="4">
        <v>183064.0</v>
      </c>
      <c r="O108" s="4">
        <v>179674.0</v>
      </c>
      <c r="P108" s="4">
        <v>44021.0</v>
      </c>
      <c r="Q108" s="4">
        <v>1019.0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/>
      <c r="AE108" s="6" t="s">
        <v>9</v>
      </c>
    </row>
    <row r="109" ht="16.5" customHeight="1">
      <c r="A109" s="2" t="str">
        <f>IFERROR(__xludf.DUMMYFUNCTION("""COMPUTED_VALUE"""),"2527-ENEPCCVC")</f>
        <v>2527-ENEPCCVC</v>
      </c>
      <c r="B109" s="2" t="str">
        <f>IFERROR(__xludf.DUMMYFUNCTION("""COMPUTED_VALUE"""),"Verano 2026- Un día perfecto")</f>
        <v>Verano 2026- Un día perfecto</v>
      </c>
      <c r="C109" s="3">
        <f>IFERROR(__xludf.DUMMYFUNCTION("""COMPUTED_VALUE"""),46058.0)</f>
        <v>46058</v>
      </c>
      <c r="D109" s="3">
        <f>IFERROR(__xludf.DUMMYFUNCTION("""COMPUTED_VALUE"""),46058.0)</f>
        <v>46058</v>
      </c>
      <c r="E109" s="2" t="str">
        <f>IFERROR(__xludf.DUMMYFUNCTION("""COMPUTED_VALUE"""),"Cercanía")</f>
        <v>Cercanía</v>
      </c>
      <c r="F109" s="2" t="str">
        <f>IFERROR(__xludf.DUMMYFUNCTION("""COMPUTED_VALUE"""),"Cercanía y PC")</f>
        <v>Cercanía y PC</v>
      </c>
      <c r="G109" s="2" t="str">
        <f>IFERROR(__xludf.DUMMYFUNCTION("""COMPUTED_VALUE"""),"Finalizada")</f>
        <v>Finalizada</v>
      </c>
      <c r="H109" s="4">
        <v>0.0</v>
      </c>
      <c r="I109" s="4">
        <v>0.0</v>
      </c>
      <c r="J109" s="4">
        <v>0.0</v>
      </c>
      <c r="K109" s="4">
        <v>0.0</v>
      </c>
      <c r="L109" s="5">
        <v>0.0</v>
      </c>
      <c r="M109" s="5">
        <v>0.0</v>
      </c>
      <c r="N109" s="4">
        <v>32778.0</v>
      </c>
      <c r="O109" s="4">
        <v>32330.0</v>
      </c>
      <c r="P109" s="4">
        <v>12651.0</v>
      </c>
      <c r="Q109" s="4">
        <v>232.0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 t="s">
        <v>8</v>
      </c>
      <c r="AE109" s="6" t="s">
        <v>9</v>
      </c>
    </row>
    <row r="110" ht="16.5" customHeight="1">
      <c r="A110" s="2" t="str">
        <f>IFERROR(__xludf.DUMMYFUNCTION("""COMPUTED_VALUE"""),"2528-ENEPCCVC")</f>
        <v>2528-ENEPCCVC</v>
      </c>
      <c r="B110" s="2" t="str">
        <f>IFERROR(__xludf.DUMMYFUNCTION("""COMPUTED_VALUE"""),"Verano 2026 - CIFA para chicos")</f>
        <v>Verano 2026 - CIFA para chicos</v>
      </c>
      <c r="C110" s="3">
        <f>IFERROR(__xludf.DUMMYFUNCTION("""COMPUTED_VALUE"""),46059.0)</f>
        <v>46059</v>
      </c>
      <c r="D110" s="3">
        <f>IFERROR(__xludf.DUMMYFUNCTION("""COMPUTED_VALUE"""),46071.0)</f>
        <v>46071</v>
      </c>
      <c r="E110" s="2" t="str">
        <f>IFERROR(__xludf.DUMMYFUNCTION("""COMPUTED_VALUE"""),"Cercanía")</f>
        <v>Cercanía</v>
      </c>
      <c r="F110" s="2" t="str">
        <f>IFERROR(__xludf.DUMMYFUNCTION("""COMPUTED_VALUE"""),"Cercanía y PC")</f>
        <v>Cercanía y PC</v>
      </c>
      <c r="G110" s="2" t="str">
        <f>IFERROR(__xludf.DUMMYFUNCTION("""COMPUTED_VALUE"""),"Finalizada")</f>
        <v>Finalizada</v>
      </c>
      <c r="H110" s="4">
        <v>0.0</v>
      </c>
      <c r="I110" s="4">
        <v>0.0</v>
      </c>
      <c r="J110" s="4">
        <v>0.0</v>
      </c>
      <c r="K110" s="4">
        <v>0.0</v>
      </c>
      <c r="L110" s="5">
        <v>0.0</v>
      </c>
      <c r="M110" s="5">
        <v>0.0</v>
      </c>
      <c r="N110" s="4">
        <v>104615.0</v>
      </c>
      <c r="O110" s="4">
        <v>102933.0</v>
      </c>
      <c r="P110" s="4">
        <v>30388.0</v>
      </c>
      <c r="Q110" s="4">
        <v>319.0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 t="s">
        <v>8</v>
      </c>
      <c r="AE110" s="6" t="s">
        <v>9</v>
      </c>
    </row>
    <row r="111" ht="16.5" customHeight="1">
      <c r="A111" s="2" t="str">
        <f>IFERROR(__xludf.DUMMYFUNCTION("""COMPUTED_VALUE"""),"2529-ENESEGGC")</f>
        <v>2529-ENESEGGC</v>
      </c>
      <c r="B111" s="2" t="str">
        <f>IFERROR(__xludf.DUMMYFUNCTION("""COMPUTED_VALUE"""),"CAMPAÑA GCBA | SEGURIDAD | Nuevo equipamiento PDLC")</f>
        <v>CAMPAÑA GCBA | SEGURIDAD | Nuevo equipamiento PDLC</v>
      </c>
      <c r="C111" s="3">
        <f>IFERROR(__xludf.DUMMYFUNCTION("""COMPUTED_VALUE"""),46052.0)</f>
        <v>46052</v>
      </c>
      <c r="D111" s="3">
        <f>IFERROR(__xludf.DUMMYFUNCTION("""COMPUTED_VALUE"""),46112.0)</f>
        <v>46112</v>
      </c>
      <c r="E111" s="2" t="str">
        <f>IFERROR(__xludf.DUMMYFUNCTION("""COMPUTED_VALUE"""),"M2")</f>
        <v>M2</v>
      </c>
      <c r="F111" s="2" t="str">
        <f>IFERROR(__xludf.DUMMYFUNCTION("""COMPUTED_VALUE"""),"Seguridad")</f>
        <v>Seguridad</v>
      </c>
      <c r="G111" s="2" t="str">
        <f>IFERROR(__xludf.DUMMYFUNCTION("""COMPUTED_VALUE"""),"Finalizada")</f>
        <v>Finalizada</v>
      </c>
      <c r="H111" s="4">
        <v>4097834.0</v>
      </c>
      <c r="I111" s="4">
        <v>387787.0</v>
      </c>
      <c r="J111" s="4">
        <v>19770.0</v>
      </c>
      <c r="K111" s="4">
        <v>26089.0</v>
      </c>
      <c r="L111" s="5">
        <v>72.77703246579019</v>
      </c>
      <c r="M111" s="5">
        <v>157.07133274560158</v>
      </c>
      <c r="N111" s="4">
        <v>643239.0</v>
      </c>
      <c r="O111" s="4">
        <v>633200.0</v>
      </c>
      <c r="P111" s="4">
        <v>189538.0</v>
      </c>
      <c r="Q111" s="4">
        <v>1521.0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0.0</v>
      </c>
      <c r="AD111" s="4"/>
      <c r="AE111" s="6" t="s">
        <v>9</v>
      </c>
    </row>
    <row r="112" ht="16.5" customHeight="1">
      <c r="A112" s="2" t="str">
        <f>IFERROR(__xludf.DUMMYFUNCTION("""COMPUTED_VALUE"""),"2530-ENEJDGVC")</f>
        <v>2530-ENEJDGVC</v>
      </c>
      <c r="B112" s="2" t="str">
        <f>IFERROR(__xludf.DUMMYFUNCTION("""COMPUTED_VALUE"""),"RDV MINISTROS | Gabriel Sanchez Zinny 04/02")</f>
        <v>RDV MINISTROS | Gabriel Sanchez Zinny 04/02</v>
      </c>
      <c r="C112" s="3">
        <f>IFERROR(__xludf.DUMMYFUNCTION("""COMPUTED_VALUE"""),46051.0)</f>
        <v>46051</v>
      </c>
      <c r="D112" s="3">
        <f>IFERROR(__xludf.DUMMYFUNCTION("""COMPUTED_VALUE"""),46058.0)</f>
        <v>46058</v>
      </c>
      <c r="E112" s="2" t="str">
        <f>IFERROR(__xludf.DUMMYFUNCTION("""COMPUTED_VALUE"""),"Cercanía")</f>
        <v>Cercanía</v>
      </c>
      <c r="F112" s="2" t="str">
        <f>IFERROR(__xludf.DUMMYFUNCTION("""COMPUTED_VALUE"""),"Jefatura de Gabinete")</f>
        <v>Jefatura de Gabinete</v>
      </c>
      <c r="G112" s="2" t="str">
        <f>IFERROR(__xludf.DUMMYFUNCTION("""COMPUTED_VALUE"""),"Finalizada")</f>
        <v>Finalizada</v>
      </c>
      <c r="H112" s="4">
        <v>20296.0</v>
      </c>
      <c r="I112" s="4">
        <v>0.0</v>
      </c>
      <c r="J112" s="4">
        <v>96.0</v>
      </c>
      <c r="K112" s="4">
        <v>17955.0</v>
      </c>
      <c r="L112" s="5">
        <v>1.1303815093288778</v>
      </c>
      <c r="M112" s="5">
        <v>1.1303815093288778</v>
      </c>
      <c r="N112" s="4">
        <v>7406.0</v>
      </c>
      <c r="O112" s="4">
        <v>7270.0</v>
      </c>
      <c r="P112" s="4">
        <v>1318.0</v>
      </c>
      <c r="Q112" s="4">
        <v>74.0</v>
      </c>
      <c r="R112" s="4">
        <v>56.0</v>
      </c>
      <c r="S112" s="4">
        <v>56.0</v>
      </c>
      <c r="T112" s="4">
        <v>17.0</v>
      </c>
      <c r="U112" s="4">
        <v>16.0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0.0</v>
      </c>
      <c r="AB112" s="4">
        <v>0.0</v>
      </c>
      <c r="AC112" s="4">
        <v>0.0</v>
      </c>
      <c r="AD112" s="4"/>
      <c r="AE112" s="6" t="s">
        <v>9</v>
      </c>
    </row>
    <row r="113" ht="16.5" customHeight="1">
      <c r="A113" s="2" t="str">
        <f>IFERROR(__xludf.DUMMYFUNCTION("""COMPUTED_VALUE"""),"2531-ENEJDGVC")</f>
        <v>2531-ENEJDGVC</v>
      </c>
      <c r="B113" s="2" t="str">
        <f>IFERROR(__xludf.DUMMYFUNCTION("""COMPUTED_VALUE"""),"RDV MINISTROS | Gabriel Sanchez Zinny 06/02")</f>
        <v>RDV MINISTROS | Gabriel Sanchez Zinny 06/02</v>
      </c>
      <c r="C113" s="3">
        <f>IFERROR(__xludf.DUMMYFUNCTION("""COMPUTED_VALUE"""),46055.0)</f>
        <v>46055</v>
      </c>
      <c r="D113" s="3">
        <f>IFERROR(__xludf.DUMMYFUNCTION("""COMPUTED_VALUE"""),46062.0)</f>
        <v>46062</v>
      </c>
      <c r="E113" s="2" t="str">
        <f>IFERROR(__xludf.DUMMYFUNCTION("""COMPUTED_VALUE"""),"Cercanía")</f>
        <v>Cercanía</v>
      </c>
      <c r="F113" s="2" t="str">
        <f>IFERROR(__xludf.DUMMYFUNCTION("""COMPUTED_VALUE"""),"Jefatura de Gabinete")</f>
        <v>Jefatura de Gabinete</v>
      </c>
      <c r="G113" s="2" t="str">
        <f>IFERROR(__xludf.DUMMYFUNCTION("""COMPUTED_VALUE"""),"Finalizada")</f>
        <v>Finalizada</v>
      </c>
      <c r="H113" s="4">
        <v>32148.0</v>
      </c>
      <c r="I113" s="4">
        <v>0.0</v>
      </c>
      <c r="J113" s="4">
        <v>120.0</v>
      </c>
      <c r="K113" s="4">
        <v>20763.0</v>
      </c>
      <c r="L113" s="5">
        <v>1.5483311660164716</v>
      </c>
      <c r="M113" s="5">
        <v>1.5483311660164716</v>
      </c>
      <c r="N113" s="4">
        <v>8564.0</v>
      </c>
      <c r="O113" s="4">
        <v>8412.0</v>
      </c>
      <c r="P113" s="4">
        <v>2216.0</v>
      </c>
      <c r="Q113" s="4">
        <v>81.0</v>
      </c>
      <c r="R113" s="4">
        <v>51.0</v>
      </c>
      <c r="S113" s="4">
        <v>51.0</v>
      </c>
      <c r="T113" s="4">
        <v>20.0</v>
      </c>
      <c r="U113" s="4">
        <v>19.0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/>
      <c r="AE113" s="6" t="s">
        <v>9</v>
      </c>
    </row>
    <row r="114" ht="16.5" customHeight="1">
      <c r="A114" s="2" t="str">
        <f>IFERROR(__xludf.DUMMYFUNCTION("""COMPUTED_VALUE"""),"2532-ENEJDGAG")</f>
        <v>2532-ENEJDGAG</v>
      </c>
      <c r="B114" s="2" t="str">
        <f>IFERROR(__xludf.DUMMYFUNCTION("""COMPUTED_VALUE"""),"RDV JM | VILLA URQUIZA 2/2")</f>
        <v>RDV JM | VILLA URQUIZA 2/2</v>
      </c>
      <c r="C114" s="3">
        <f>IFERROR(__xludf.DUMMYFUNCTION("""COMPUTED_VALUE"""),46051.0)</f>
        <v>46051</v>
      </c>
      <c r="D114" s="3">
        <f>IFERROR(__xludf.DUMMYFUNCTION("""COMPUTED_VALUE"""),46075.0)</f>
        <v>46075</v>
      </c>
      <c r="E114" s="2" t="str">
        <f>IFERROR(__xludf.DUMMYFUNCTION("""COMPUTED_VALUE"""),"Cercanía")</f>
        <v>Cercanía</v>
      </c>
      <c r="F114" s="2" t="str">
        <f>IFERROR(__xludf.DUMMYFUNCTION("""COMPUTED_VALUE"""),"Jefatura de Gobierno")</f>
        <v>Jefatura de Gobierno</v>
      </c>
      <c r="G114" s="2" t="str">
        <f>IFERROR(__xludf.DUMMYFUNCTION("""COMPUTED_VALUE"""),"Finalizada")</f>
        <v>Finalizada</v>
      </c>
      <c r="H114" s="4">
        <v>238128.0</v>
      </c>
      <c r="I114" s="4">
        <v>100224.0</v>
      </c>
      <c r="J114" s="4">
        <v>1291.0</v>
      </c>
      <c r="K114" s="4">
        <v>457936.0</v>
      </c>
      <c r="L114" s="5">
        <v>0.26342327312113484</v>
      </c>
      <c r="M114" s="5">
        <v>0.520002795150414</v>
      </c>
      <c r="N114" s="4">
        <v>49529.0</v>
      </c>
      <c r="O114" s="4">
        <v>48785.0</v>
      </c>
      <c r="P114" s="4">
        <v>13117.0</v>
      </c>
      <c r="Q114" s="4">
        <v>427.0</v>
      </c>
      <c r="R114" s="4">
        <v>11338.0</v>
      </c>
      <c r="S114" s="4">
        <v>11086.0</v>
      </c>
      <c r="T114" s="4">
        <v>2717.0</v>
      </c>
      <c r="U114" s="4">
        <v>2005.0</v>
      </c>
      <c r="V114" s="4">
        <v>42962.0</v>
      </c>
      <c r="W114" s="4">
        <v>42962.0</v>
      </c>
      <c r="X114" s="4">
        <v>34063.0</v>
      </c>
      <c r="Y114" s="4">
        <v>17710.0</v>
      </c>
      <c r="Z114" s="4">
        <v>113.0</v>
      </c>
      <c r="AA114" s="4">
        <v>0.0</v>
      </c>
      <c r="AB114" s="4">
        <v>0.0</v>
      </c>
      <c r="AC114" s="4">
        <v>0.0</v>
      </c>
      <c r="AD114" s="4"/>
      <c r="AE114" s="6" t="s">
        <v>9</v>
      </c>
    </row>
    <row r="115" ht="16.5" customHeight="1">
      <c r="A115" s="2" t="str">
        <f>IFERROR(__xludf.DUMMYFUNCTION("""COMPUTED_VALUE"""),"2533-ENEJDGAG")</f>
        <v>2533-ENEJDGAG</v>
      </c>
      <c r="B115" s="2" t="str">
        <f>IFERROR(__xludf.DUMMYFUNCTION("""COMPUTED_VALUE"""),"RDV JM | CONSTITUCIÓN 6/2")</f>
        <v>RDV JM | CONSTITUCIÓN 6/2</v>
      </c>
      <c r="C115" s="3">
        <f>IFERROR(__xludf.DUMMYFUNCTION("""COMPUTED_VALUE"""),46051.0)</f>
        <v>46051</v>
      </c>
      <c r="D115" s="3">
        <f>IFERROR(__xludf.DUMMYFUNCTION("""COMPUTED_VALUE"""),46063.0)</f>
        <v>46063</v>
      </c>
      <c r="E115" s="2" t="str">
        <f>IFERROR(__xludf.DUMMYFUNCTION("""COMPUTED_VALUE"""),"Cercanía")</f>
        <v>Cercanía</v>
      </c>
      <c r="F115" s="2" t="str">
        <f>IFERROR(__xludf.DUMMYFUNCTION("""COMPUTED_VALUE"""),"Jefatura de Gobierno")</f>
        <v>Jefatura de Gobierno</v>
      </c>
      <c r="G115" s="2" t="str">
        <f>IFERROR(__xludf.DUMMYFUNCTION("""COMPUTED_VALUE"""),"Finalizada")</f>
        <v>Finalizada</v>
      </c>
      <c r="H115" s="4">
        <v>342995.0</v>
      </c>
      <c r="I115" s="4">
        <v>7102.0</v>
      </c>
      <c r="J115" s="4">
        <v>2246.0</v>
      </c>
      <c r="K115" s="4">
        <v>39417.0</v>
      </c>
      <c r="L115" s="5">
        <v>1.2497906994444021</v>
      </c>
      <c r="M115" s="5">
        <v>8.70170231118553</v>
      </c>
      <c r="N115" s="4">
        <v>33124.0</v>
      </c>
      <c r="O115" s="4">
        <v>32464.0</v>
      </c>
      <c r="P115" s="4">
        <v>5369.0</v>
      </c>
      <c r="Q115" s="4">
        <v>526.0</v>
      </c>
      <c r="R115" s="4">
        <v>8405.0</v>
      </c>
      <c r="S115" s="4">
        <v>8399.0</v>
      </c>
      <c r="T115" s="4">
        <v>1486.0</v>
      </c>
      <c r="U115" s="4">
        <v>1149.0</v>
      </c>
      <c r="V115" s="4">
        <v>9388.0</v>
      </c>
      <c r="W115" s="4">
        <v>9388.0</v>
      </c>
      <c r="X115" s="4">
        <v>8433.0</v>
      </c>
      <c r="Y115" s="4">
        <v>3769.0</v>
      </c>
      <c r="Z115" s="4">
        <v>99.0</v>
      </c>
      <c r="AA115" s="4">
        <v>0.0</v>
      </c>
      <c r="AB115" s="4">
        <v>0.0</v>
      </c>
      <c r="AC115" s="4">
        <v>0.0</v>
      </c>
      <c r="AD115" s="4"/>
      <c r="AE115" s="6" t="s">
        <v>9</v>
      </c>
    </row>
    <row r="116" ht="16.5" customHeight="1">
      <c r="A116" s="2" t="str">
        <f>IFERROR(__xludf.DUMMYFUNCTION("""COMPUTED_VALUE"""),"2534-ENEJDGAG")</f>
        <v>2534-ENEJDGAG</v>
      </c>
      <c r="B116" s="2" t="str">
        <f>IFERROR(__xludf.DUMMYFUNCTION("""COMPUTED_VALUE"""),"RDV JM | VILLA RIACHUELO 5/2")</f>
        <v>RDV JM | VILLA RIACHUELO 5/2</v>
      </c>
      <c r="C116" s="3">
        <f>IFERROR(__xludf.DUMMYFUNCTION("""COMPUTED_VALUE"""),46052.0)</f>
        <v>46052</v>
      </c>
      <c r="D116" s="3">
        <f>IFERROR(__xludf.DUMMYFUNCTION("""COMPUTED_VALUE"""),46075.0)</f>
        <v>46075</v>
      </c>
      <c r="E116" s="2" t="str">
        <f>IFERROR(__xludf.DUMMYFUNCTION("""COMPUTED_VALUE"""),"Cercanía")</f>
        <v>Cercanía</v>
      </c>
      <c r="F116" s="2" t="str">
        <f>IFERROR(__xludf.DUMMYFUNCTION("""COMPUTED_VALUE"""),"Jefatura de Gobierno")</f>
        <v>Jefatura de Gobierno</v>
      </c>
      <c r="G116" s="2" t="str">
        <f>IFERROR(__xludf.DUMMYFUNCTION("""COMPUTED_VALUE"""),"Finalizada")</f>
        <v>Finalizada</v>
      </c>
      <c r="H116" s="4">
        <v>1124422.0</v>
      </c>
      <c r="I116" s="4">
        <v>883561.0</v>
      </c>
      <c r="J116" s="4">
        <v>2729.0</v>
      </c>
      <c r="K116" s="4">
        <v>21711.0</v>
      </c>
      <c r="L116" s="5">
        <v>2.8504444751508453</v>
      </c>
      <c r="M116" s="5">
        <v>51.79042881488646</v>
      </c>
      <c r="N116" s="4">
        <v>7310.0</v>
      </c>
      <c r="O116" s="4">
        <v>7143.0</v>
      </c>
      <c r="P116" s="4">
        <v>992.0</v>
      </c>
      <c r="Q116" s="4">
        <v>111.0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0.0</v>
      </c>
      <c r="AB116" s="4">
        <v>0.0</v>
      </c>
      <c r="AC116" s="4">
        <v>0.0</v>
      </c>
      <c r="AD116" s="4"/>
      <c r="AE116" s="6" t="s">
        <v>9</v>
      </c>
    </row>
    <row r="117" ht="16.5" customHeight="1">
      <c r="A117" s="2" t="str">
        <f>IFERROR(__xludf.DUMMYFUNCTION("""COMPUTED_VALUE"""),"2535-ENEEPHVC")</f>
        <v>2535-ENEEPHVC</v>
      </c>
      <c r="B117" s="2" t="str">
        <f>IFERROR(__xludf.DUMMYFUNCTION("""COMPUTED_VALUE"""),"RDV MINISTROS |  Ignacio Baistrocchi 3/2")</f>
        <v>RDV MINISTROS |  Ignacio Baistrocchi 3/2</v>
      </c>
      <c r="C117" s="3">
        <f>IFERROR(__xludf.DUMMYFUNCTION("""COMPUTED_VALUE"""),46051.0)</f>
        <v>46051</v>
      </c>
      <c r="D117" s="3">
        <f>IFERROR(__xludf.DUMMYFUNCTION("""COMPUTED_VALUE"""),46057.0)</f>
        <v>46057</v>
      </c>
      <c r="E117" s="2" t="str">
        <f>IFERROR(__xludf.DUMMYFUNCTION("""COMPUTED_VALUE"""),"Cercanía")</f>
        <v>Cercanía</v>
      </c>
      <c r="F117" s="2" t="str">
        <f>IFERROR(__xludf.DUMMYFUNCTION("""COMPUTED_VALUE"""),"Espacio Público e Higiene Urbana")</f>
        <v>Espacio Público e Higiene Urbana</v>
      </c>
      <c r="G117" s="2" t="str">
        <f>IFERROR(__xludf.DUMMYFUNCTION("""COMPUTED_VALUE"""),"Finalizada")</f>
        <v>Finalizada</v>
      </c>
      <c r="H117" s="4">
        <v>169634.0</v>
      </c>
      <c r="I117" s="4">
        <v>0.0</v>
      </c>
      <c r="J117" s="4">
        <v>885.0</v>
      </c>
      <c r="K117" s="4">
        <v>114439.0</v>
      </c>
      <c r="L117" s="5">
        <v>1.4823093525808508</v>
      </c>
      <c r="M117" s="5">
        <v>1.4823093525808508</v>
      </c>
      <c r="N117" s="4">
        <v>71603.0</v>
      </c>
      <c r="O117" s="4">
        <v>70384.0</v>
      </c>
      <c r="P117" s="4">
        <v>14594.0</v>
      </c>
      <c r="Q117" s="4">
        <v>432.0</v>
      </c>
      <c r="R117" s="4">
        <v>311.0</v>
      </c>
      <c r="S117" s="4">
        <v>311.0</v>
      </c>
      <c r="T117" s="4">
        <v>86.0</v>
      </c>
      <c r="U117" s="4">
        <v>81.0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0.0</v>
      </c>
      <c r="AB117" s="4">
        <v>0.0</v>
      </c>
      <c r="AC117" s="4">
        <v>0.0</v>
      </c>
      <c r="AD117" s="4"/>
      <c r="AE117" s="6" t="s">
        <v>9</v>
      </c>
    </row>
    <row r="118" ht="16.5" customHeight="1">
      <c r="A118" s="2" t="str">
        <f>IFERROR(__xludf.DUMMYFUNCTION("""COMPUTED_VALUE"""),"2536-ENESALGC")</f>
        <v>2536-ENESALGC</v>
      </c>
      <c r="B118" s="2" t="str">
        <f>IFERROR(__xludf.DUMMYFUNCTION("""COMPUTED_VALUE"""),"Mejoras y actualizaciones módulo HIS")</f>
        <v>Mejoras y actualizaciones módulo HIS</v>
      </c>
      <c r="C118" s="3">
        <f>IFERROR(__xludf.DUMMYFUNCTION("""COMPUTED_VALUE"""),46057.0)</f>
        <v>46057</v>
      </c>
      <c r="D118" s="3">
        <f>IFERROR(__xludf.DUMMYFUNCTION("""COMPUTED_VALUE"""),46057.0)</f>
        <v>46057</v>
      </c>
      <c r="E118" s="2" t="str">
        <f>IFERROR(__xludf.DUMMYFUNCTION("""COMPUTED_VALUE"""),"Cuidado")</f>
        <v>Cuidado</v>
      </c>
      <c r="F118" s="2" t="str">
        <f>IFERROR(__xludf.DUMMYFUNCTION("""COMPUTED_VALUE"""),"Salud")</f>
        <v>Salud</v>
      </c>
      <c r="G118" s="2" t="str">
        <f>IFERROR(__xludf.DUMMYFUNCTION("""COMPUTED_VALUE"""),"Finalizada")</f>
        <v>Finalizada</v>
      </c>
      <c r="H118" s="4">
        <v>0.0</v>
      </c>
      <c r="I118" s="4">
        <v>0.0</v>
      </c>
      <c r="J118" s="4">
        <v>0.0</v>
      </c>
      <c r="K118" s="4">
        <v>0.0</v>
      </c>
      <c r="L118" s="5">
        <v>0.0</v>
      </c>
      <c r="M118" s="5">
        <v>0.0</v>
      </c>
      <c r="N118" s="4">
        <v>2420.0</v>
      </c>
      <c r="O118" s="4">
        <v>2403.0</v>
      </c>
      <c r="P118" s="4">
        <v>972.0</v>
      </c>
      <c r="Q118" s="4">
        <v>121.0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  <c r="AD118" s="4" t="s">
        <v>8</v>
      </c>
      <c r="AE118" s="6" t="s">
        <v>9</v>
      </c>
    </row>
    <row r="119" ht="16.5" customHeight="1">
      <c r="A119" s="2" t="str">
        <f>IFERROR(__xludf.DUMMYFUNCTION("""COMPUTED_VALUE"""),"2537-ENESALGC")</f>
        <v>2537-ENESALGC</v>
      </c>
      <c r="B119" s="2" t="str">
        <f>IFERROR(__xludf.DUMMYFUNCTION("""COMPUTED_VALUE"""),"Mejoras en el módulo RIS - Febrero")</f>
        <v>Mejoras en el módulo RIS - Febrero</v>
      </c>
      <c r="C119" s="3">
        <f>IFERROR(__xludf.DUMMYFUNCTION("""COMPUTED_VALUE"""),46055.0)</f>
        <v>46055</v>
      </c>
      <c r="D119" s="3">
        <f>IFERROR(__xludf.DUMMYFUNCTION("""COMPUTED_VALUE"""),46055.0)</f>
        <v>46055</v>
      </c>
      <c r="E119" s="2" t="str">
        <f>IFERROR(__xludf.DUMMYFUNCTION("""COMPUTED_VALUE"""),"Cuidado")</f>
        <v>Cuidado</v>
      </c>
      <c r="F119" s="2" t="str">
        <f>IFERROR(__xludf.DUMMYFUNCTION("""COMPUTED_VALUE"""),"Salud")</f>
        <v>Salud</v>
      </c>
      <c r="G119" s="2" t="str">
        <f>IFERROR(__xludf.DUMMYFUNCTION("""COMPUTED_VALUE"""),"Finalizada")</f>
        <v>Finalizada</v>
      </c>
      <c r="H119" s="4">
        <v>0.0</v>
      </c>
      <c r="I119" s="4">
        <v>0.0</v>
      </c>
      <c r="J119" s="4">
        <v>0.0</v>
      </c>
      <c r="K119" s="4">
        <v>0.0</v>
      </c>
      <c r="L119" s="5">
        <v>0.0</v>
      </c>
      <c r="M119" s="5">
        <v>0.0</v>
      </c>
      <c r="N119" s="4">
        <v>452.0</v>
      </c>
      <c r="O119" s="4">
        <v>451.0</v>
      </c>
      <c r="P119" s="4">
        <v>169.0</v>
      </c>
      <c r="Q119" s="4">
        <v>24.0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 t="s">
        <v>8</v>
      </c>
      <c r="AE119" s="6" t="s">
        <v>9</v>
      </c>
    </row>
    <row r="120" ht="16.5" customHeight="1">
      <c r="A120" s="2" t="str">
        <f>IFERROR(__xludf.DUMMYFUNCTION("""COMPUTED_VALUE"""),"2538-ENEINFGC")</f>
        <v>2538-ENEINFGC</v>
      </c>
      <c r="B120" s="2" t="str">
        <f>IFERROR(__xludf.DUMMYFUNCTION("""COMPUTED_VALUE"""),"Infraestructura I Corte en Huracán por evento musical MY CHEMICAL ROMANCE")</f>
        <v>Infraestructura I Corte en Huracán por evento musical MY CHEMICAL ROMANCE</v>
      </c>
      <c r="C120" s="3">
        <f>IFERROR(__xludf.DUMMYFUNCTION("""COMPUTED_VALUE"""),46052.0)</f>
        <v>46052</v>
      </c>
      <c r="D120" s="3">
        <f>IFERROR(__xludf.DUMMYFUNCTION("""COMPUTED_VALUE"""),46055.0)</f>
        <v>46055</v>
      </c>
      <c r="E120" s="2" t="str">
        <f>IFERROR(__xludf.DUMMYFUNCTION("""COMPUTED_VALUE"""),"Movilidad")</f>
        <v>Movilidad</v>
      </c>
      <c r="F120" s="2" t="str">
        <f>IFERROR(__xludf.DUMMYFUNCTION("""COMPUTED_VALUE"""),"Infraestructura")</f>
        <v>Infraestructura</v>
      </c>
      <c r="G120" s="2" t="str">
        <f>IFERROR(__xludf.DUMMYFUNCTION("""COMPUTED_VALUE"""),"Finalizada")</f>
        <v>Finalizada</v>
      </c>
      <c r="H120" s="4">
        <v>0.0</v>
      </c>
      <c r="I120" s="4">
        <v>0.0</v>
      </c>
      <c r="J120" s="4">
        <v>0.0</v>
      </c>
      <c r="K120" s="4">
        <v>21071.0</v>
      </c>
      <c r="L120" s="5">
        <v>0.0</v>
      </c>
      <c r="M120" s="5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/>
      <c r="AE120" s="4" t="s">
        <v>8</v>
      </c>
    </row>
    <row r="121" ht="16.5" customHeight="1">
      <c r="A121" s="2" t="str">
        <f>IFERROR(__xludf.DUMMYFUNCTION("""COMPUTED_VALUE"""),"2539-ENEINFGC")</f>
        <v>2539-ENEINFGC</v>
      </c>
      <c r="B121" s="2" t="str">
        <f>IFERROR(__xludf.DUMMYFUNCTION("""COMPUTED_VALUE"""),"Infraestructura I Fusión Líneas 106 y 99 de colectivos")</f>
        <v>Infraestructura I Fusión Líneas 106 y 99 de colectivos</v>
      </c>
      <c r="C121" s="3">
        <f>IFERROR(__xludf.DUMMYFUNCTION("""COMPUTED_VALUE"""),46062.0)</f>
        <v>46062</v>
      </c>
      <c r="D121" s="3">
        <f>IFERROR(__xludf.DUMMYFUNCTION("""COMPUTED_VALUE"""),46062.0)</f>
        <v>46062</v>
      </c>
      <c r="E121" s="2" t="str">
        <f>IFERROR(__xludf.DUMMYFUNCTION("""COMPUTED_VALUE"""),"Movilidad")</f>
        <v>Movilidad</v>
      </c>
      <c r="F121" s="2" t="str">
        <f>IFERROR(__xludf.DUMMYFUNCTION("""COMPUTED_VALUE"""),"Infraestructura")</f>
        <v>Infraestructura</v>
      </c>
      <c r="G121" s="2" t="str">
        <f>IFERROR(__xludf.DUMMYFUNCTION("""COMPUTED_VALUE"""),"Finalizada")</f>
        <v>Finalizada</v>
      </c>
      <c r="H121" s="4">
        <v>0.0</v>
      </c>
      <c r="I121" s="4">
        <v>0.0</v>
      </c>
      <c r="J121" s="4">
        <v>0.0</v>
      </c>
      <c r="K121" s="4">
        <v>0.0</v>
      </c>
      <c r="L121" s="5">
        <v>0.0</v>
      </c>
      <c r="M121" s="5">
        <v>0.0</v>
      </c>
      <c r="N121" s="4">
        <v>131400.0</v>
      </c>
      <c r="O121" s="4">
        <v>129013.0</v>
      </c>
      <c r="P121" s="4">
        <v>46501.0</v>
      </c>
      <c r="Q121" s="4">
        <v>4711.0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 t="s">
        <v>8</v>
      </c>
      <c r="AE121" s="6" t="s">
        <v>9</v>
      </c>
    </row>
    <row r="122" ht="16.5" customHeight="1">
      <c r="A122" s="2" t="str">
        <f>IFERROR(__xludf.DUMMYFUNCTION("""COMPUTED_VALUE"""),"2540-ENESEGVC")</f>
        <v>2540-ENESEGVC</v>
      </c>
      <c r="B122" s="2" t="str">
        <f>IFERROR(__xludf.DUMMYFUNCTION("""COMPUTED_VALUE"""),"RDV MINISTROS |  MAXIMILIANO PIÑEIRO 5/2 COMUNA 1 SUR")</f>
        <v>RDV MINISTROS |  MAXIMILIANO PIÑEIRO 5/2 COMUNA 1 SUR</v>
      </c>
      <c r="C122" s="3">
        <f>IFERROR(__xludf.DUMMYFUNCTION("""COMPUTED_VALUE"""),46055.0)</f>
        <v>46055</v>
      </c>
      <c r="D122" s="3">
        <f>IFERROR(__xludf.DUMMYFUNCTION("""COMPUTED_VALUE"""),46062.0)</f>
        <v>46062</v>
      </c>
      <c r="E122" s="2" t="str">
        <f>IFERROR(__xludf.DUMMYFUNCTION("""COMPUTED_VALUE"""),"Cercanía")</f>
        <v>Cercanía</v>
      </c>
      <c r="F122" s="2" t="str">
        <f>IFERROR(__xludf.DUMMYFUNCTION("""COMPUTED_VALUE"""),"Seguridad")</f>
        <v>Seguridad</v>
      </c>
      <c r="G122" s="2" t="str">
        <f>IFERROR(__xludf.DUMMYFUNCTION("""COMPUTED_VALUE"""),"Finalizada")</f>
        <v>Finalizada</v>
      </c>
      <c r="H122" s="4">
        <v>123990.0</v>
      </c>
      <c r="I122" s="4">
        <v>0.0</v>
      </c>
      <c r="J122" s="4">
        <v>483.0</v>
      </c>
      <c r="K122" s="4">
        <v>82374.0</v>
      </c>
      <c r="L122" s="5">
        <v>1.5052079539660572</v>
      </c>
      <c r="M122" s="5">
        <v>1.5052079539660572</v>
      </c>
      <c r="N122" s="4">
        <v>38453.0</v>
      </c>
      <c r="O122" s="4">
        <v>37652.0</v>
      </c>
      <c r="P122" s="4">
        <v>7033.0</v>
      </c>
      <c r="Q122" s="4">
        <v>297.0</v>
      </c>
      <c r="R122" s="4">
        <v>170.0</v>
      </c>
      <c r="S122" s="4">
        <v>167.0</v>
      </c>
      <c r="T122" s="4">
        <v>48.0</v>
      </c>
      <c r="U122" s="4">
        <v>48.0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/>
      <c r="AE122" s="6" t="s">
        <v>9</v>
      </c>
    </row>
    <row r="123" ht="16.5" customHeight="1">
      <c r="A123" s="2" t="str">
        <f>IFERROR(__xludf.DUMMYFUNCTION("""COMPUTED_VALUE"""),"2541-ENESEGVC")</f>
        <v>2541-ENESEGVC</v>
      </c>
      <c r="B123" s="2" t="str">
        <f>IFERROR(__xludf.DUMMYFUNCTION("""COMPUTED_VALUE"""),"RDV MINISTROS | HORACIO GIMÉNEZ 5/2 COMUNA 1 NORTE")</f>
        <v>RDV MINISTROS | HORACIO GIMÉNEZ 5/2 COMUNA 1 NORTE</v>
      </c>
      <c r="C123" s="3">
        <f>IFERROR(__xludf.DUMMYFUNCTION("""COMPUTED_VALUE"""),46055.0)</f>
        <v>46055</v>
      </c>
      <c r="D123" s="3">
        <f>IFERROR(__xludf.DUMMYFUNCTION("""COMPUTED_VALUE"""),46062.0)</f>
        <v>46062</v>
      </c>
      <c r="E123" s="2" t="str">
        <f>IFERROR(__xludf.DUMMYFUNCTION("""COMPUTED_VALUE"""),"Cercanía")</f>
        <v>Cercanía</v>
      </c>
      <c r="F123" s="2" t="str">
        <f>IFERROR(__xludf.DUMMYFUNCTION("""COMPUTED_VALUE"""),"Seguridad")</f>
        <v>Seguridad</v>
      </c>
      <c r="G123" s="2" t="str">
        <f>IFERROR(__xludf.DUMMYFUNCTION("""COMPUTED_VALUE"""),"Finalizada")</f>
        <v>Finalizada</v>
      </c>
      <c r="H123" s="4">
        <v>139884.0</v>
      </c>
      <c r="I123" s="4">
        <v>0.0</v>
      </c>
      <c r="J123" s="4">
        <v>431.0</v>
      </c>
      <c r="K123" s="4">
        <v>89771.0</v>
      </c>
      <c r="L123" s="5">
        <v>1.5582315001503826</v>
      </c>
      <c r="M123" s="5">
        <v>1.5582315001503826</v>
      </c>
      <c r="N123" s="4">
        <v>32963.0</v>
      </c>
      <c r="O123" s="4">
        <v>32316.0</v>
      </c>
      <c r="P123" s="4">
        <v>8627.0</v>
      </c>
      <c r="Q123" s="4">
        <v>240.0</v>
      </c>
      <c r="R123" s="4">
        <v>108.0</v>
      </c>
      <c r="S123" s="4">
        <v>108.0</v>
      </c>
      <c r="T123" s="4">
        <v>43.0</v>
      </c>
      <c r="U123" s="4">
        <v>40.0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/>
      <c r="AE123" s="6" t="s">
        <v>9</v>
      </c>
    </row>
    <row r="124" ht="16.5" customHeight="1">
      <c r="A124" s="2" t="str">
        <f>IFERROR(__xludf.DUMMYFUNCTION("""COMPUTED_VALUE"""),"2542-ENESEGVC")</f>
        <v>2542-ENESEGVC</v>
      </c>
      <c r="B124" s="2" t="str">
        <f>IFERROR(__xludf.DUMMYFUNCTION("""COMPUTED_VALUE"""),"RDV MINISTROS | GABINO TAPIA 5/2 COMUNA 2")</f>
        <v>RDV MINISTROS | GABINO TAPIA 5/2 COMUNA 2</v>
      </c>
      <c r="C124" s="3">
        <f>IFERROR(__xludf.DUMMYFUNCTION("""COMPUTED_VALUE"""),46052.0)</f>
        <v>46052</v>
      </c>
      <c r="D124" s="3">
        <f>IFERROR(__xludf.DUMMYFUNCTION("""COMPUTED_VALUE"""),46062.0)</f>
        <v>46062</v>
      </c>
      <c r="E124" s="2" t="str">
        <f>IFERROR(__xludf.DUMMYFUNCTION("""COMPUTED_VALUE"""),"Cercanía")</f>
        <v>Cercanía</v>
      </c>
      <c r="F124" s="2" t="str">
        <f>IFERROR(__xludf.DUMMYFUNCTION("""COMPUTED_VALUE"""),"Seguridad")</f>
        <v>Seguridad</v>
      </c>
      <c r="G124" s="2" t="str">
        <f>IFERROR(__xludf.DUMMYFUNCTION("""COMPUTED_VALUE"""),"Finalizada")</f>
        <v>Finalizada</v>
      </c>
      <c r="H124" s="4">
        <v>114852.0</v>
      </c>
      <c r="I124" s="4">
        <v>0.0</v>
      </c>
      <c r="J124" s="4">
        <v>346.0</v>
      </c>
      <c r="K124" s="4">
        <v>90763.0</v>
      </c>
      <c r="L124" s="5">
        <v>1.2654055066491852</v>
      </c>
      <c r="M124" s="5">
        <v>1.2654055066491852</v>
      </c>
      <c r="N124" s="4">
        <v>53597.0</v>
      </c>
      <c r="O124" s="4">
        <v>52568.0</v>
      </c>
      <c r="P124" s="4">
        <v>15893.0</v>
      </c>
      <c r="Q124" s="4">
        <v>239.0</v>
      </c>
      <c r="R124" s="4">
        <v>128.0</v>
      </c>
      <c r="S124" s="4">
        <v>128.0</v>
      </c>
      <c r="T124" s="4">
        <v>28.0</v>
      </c>
      <c r="U124" s="4">
        <v>27.0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0.0</v>
      </c>
      <c r="AB124" s="4">
        <v>0.0</v>
      </c>
      <c r="AC124" s="4">
        <v>0.0</v>
      </c>
      <c r="AD124" s="4"/>
      <c r="AE124" s="6" t="s">
        <v>9</v>
      </c>
    </row>
    <row r="125" ht="16.5" customHeight="1">
      <c r="A125" s="2" t="str">
        <f>IFERROR(__xludf.DUMMYFUNCTION("""COMPUTED_VALUE"""),"2543-ENESEGVC")</f>
        <v>2543-ENESEGVC</v>
      </c>
      <c r="B125" s="2" t="str">
        <f>IFERROR(__xludf.DUMMYFUNCTION("""COMPUTED_VALUE"""),"RDV MINISTROS | RUTH LANDERRECHE 5/2 COMUNA 3")</f>
        <v>RDV MINISTROS | RUTH LANDERRECHE 5/2 COMUNA 3</v>
      </c>
      <c r="C125" s="3">
        <f>IFERROR(__xludf.DUMMYFUNCTION("""COMPUTED_VALUE"""),46055.0)</f>
        <v>46055</v>
      </c>
      <c r="D125" s="3">
        <f>IFERROR(__xludf.DUMMYFUNCTION("""COMPUTED_VALUE"""),46063.0)</f>
        <v>46063</v>
      </c>
      <c r="E125" s="2" t="str">
        <f>IFERROR(__xludf.DUMMYFUNCTION("""COMPUTED_VALUE"""),"Cercanía")</f>
        <v>Cercanía</v>
      </c>
      <c r="F125" s="2" t="str">
        <f>IFERROR(__xludf.DUMMYFUNCTION("""COMPUTED_VALUE"""),"Seguridad")</f>
        <v>Seguridad</v>
      </c>
      <c r="G125" s="2" t="str">
        <f>IFERROR(__xludf.DUMMYFUNCTION("""COMPUTED_VALUE"""),"Finalizada")</f>
        <v>Finalizada</v>
      </c>
      <c r="H125" s="4">
        <v>133662.0</v>
      </c>
      <c r="I125" s="4">
        <v>0.0</v>
      </c>
      <c r="J125" s="4">
        <v>175.0</v>
      </c>
      <c r="K125" s="4">
        <v>100262.0</v>
      </c>
      <c r="L125" s="5">
        <v>1.333127206718398</v>
      </c>
      <c r="M125" s="5">
        <v>1.333127206718398</v>
      </c>
      <c r="N125" s="4">
        <v>60537.0</v>
      </c>
      <c r="O125" s="4">
        <v>59252.0</v>
      </c>
      <c r="P125" s="4">
        <v>16439.0</v>
      </c>
      <c r="Q125" s="4">
        <v>348.0</v>
      </c>
      <c r="R125" s="4">
        <v>176.0</v>
      </c>
      <c r="S125" s="4">
        <v>176.0</v>
      </c>
      <c r="T125" s="4">
        <v>45.0</v>
      </c>
      <c r="U125" s="4">
        <v>42.0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/>
      <c r="AE125" s="6" t="s">
        <v>9</v>
      </c>
    </row>
    <row r="126" ht="16.5" customHeight="1">
      <c r="A126" s="2" t="str">
        <f>IFERROR(__xludf.DUMMYFUNCTION("""COMPUTED_VALUE"""),"2544-ENEEDUGC")</f>
        <v>2544-ENEEDUGC</v>
      </c>
      <c r="B126" s="2" t="str">
        <f>IFERROR(__xludf.DUMMYFUNCTION("""COMPUTED_VALUE"""),"Educación NO formal")</f>
        <v>Educación NO formal</v>
      </c>
      <c r="C126" s="3">
        <f>IFERROR(__xludf.DUMMYFUNCTION("""COMPUTED_VALUE"""),46066.0)</f>
        <v>46066</v>
      </c>
      <c r="D126" s="3">
        <f>IFERROR(__xludf.DUMMYFUNCTION("""COMPUTED_VALUE"""),46080.0)</f>
        <v>46080</v>
      </c>
      <c r="E126" s="2" t="str">
        <f>IFERROR(__xludf.DUMMYFUNCTION("""COMPUTED_VALUE"""),"Cuidado")</f>
        <v>Cuidado</v>
      </c>
      <c r="F126" s="2" t="str">
        <f>IFERROR(__xludf.DUMMYFUNCTION("""COMPUTED_VALUE"""),"Educación")</f>
        <v>Educación</v>
      </c>
      <c r="G126" s="2" t="str">
        <f>IFERROR(__xludf.DUMMYFUNCTION("""COMPUTED_VALUE"""),"Finalizada")</f>
        <v>Finalizada</v>
      </c>
      <c r="H126" s="4">
        <v>814662.0</v>
      </c>
      <c r="I126" s="4">
        <v>27401.0</v>
      </c>
      <c r="J126" s="4">
        <v>41487.0</v>
      </c>
      <c r="K126" s="4">
        <v>64556.0</v>
      </c>
      <c r="L126" s="5">
        <v>1.3925429084825578</v>
      </c>
      <c r="M126" s="5">
        <v>12.619462172377471</v>
      </c>
      <c r="N126" s="4">
        <v>81118.0</v>
      </c>
      <c r="O126" s="4">
        <v>80173.0</v>
      </c>
      <c r="P126" s="4">
        <v>31927.0</v>
      </c>
      <c r="Q126" s="4">
        <v>4350.0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/>
      <c r="AE126" s="6" t="s">
        <v>9</v>
      </c>
    </row>
    <row r="127" ht="16.5" customHeight="1">
      <c r="A127" s="2" t="str">
        <f>IFERROR(__xludf.DUMMYFUNCTION("""COMPUTED_VALUE"""),"2545-ENEEDUGC")</f>
        <v>2545-ENEEDUGC</v>
      </c>
      <c r="B127" s="2" t="str">
        <f>IFERROR(__xludf.DUMMYFUNCTION("""COMPUTED_VALUE"""),"Formacion profesional")</f>
        <v>Formacion profesional</v>
      </c>
      <c r="C127" s="3">
        <f>IFERROR(__xludf.DUMMYFUNCTION("""COMPUTED_VALUE"""),46065.0)</f>
        <v>46065</v>
      </c>
      <c r="D127" s="3">
        <f>IFERROR(__xludf.DUMMYFUNCTION("""COMPUTED_VALUE"""),46081.0)</f>
        <v>46081</v>
      </c>
      <c r="E127" s="2" t="str">
        <f>IFERROR(__xludf.DUMMYFUNCTION("""COMPUTED_VALUE"""),"Cuidado")</f>
        <v>Cuidado</v>
      </c>
      <c r="F127" s="2" t="str">
        <f>IFERROR(__xludf.DUMMYFUNCTION("""COMPUTED_VALUE"""),"Educación")</f>
        <v>Educación</v>
      </c>
      <c r="G127" s="2" t="str">
        <f>IFERROR(__xludf.DUMMYFUNCTION("""COMPUTED_VALUE"""),"Finalizada")</f>
        <v>Finalizada</v>
      </c>
      <c r="H127" s="4">
        <v>6188585.0</v>
      </c>
      <c r="I127" s="4">
        <v>0.0</v>
      </c>
      <c r="J127" s="4">
        <v>28131.0</v>
      </c>
      <c r="K127" s="4">
        <v>993671.0</v>
      </c>
      <c r="L127" s="5">
        <v>0.6052627076768871</v>
      </c>
      <c r="M127" s="5">
        <v>6.228002024815054</v>
      </c>
      <c r="N127" s="4">
        <v>154510.0</v>
      </c>
      <c r="O127" s="4">
        <v>151759.0</v>
      </c>
      <c r="P127" s="4">
        <v>60924.0</v>
      </c>
      <c r="Q127" s="4">
        <v>9206.0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/>
      <c r="AE127" s="6" t="s">
        <v>9</v>
      </c>
    </row>
    <row r="128" ht="16.5" customHeight="1">
      <c r="A128" s="2" t="str">
        <f>IFERROR(__xludf.DUMMYFUNCTION("""COMPUTED_VALUE"""),"2546-ENEEDUGC")</f>
        <v>2546-ENEEDUGC</v>
      </c>
      <c r="B128" s="2" t="str">
        <f>IFERROR(__xludf.DUMMYFUNCTION("""COMPUTED_VALUE"""),"Tecnica Superior")</f>
        <v>Tecnica Superior</v>
      </c>
      <c r="C128" s="3">
        <f>IFERROR(__xludf.DUMMYFUNCTION("""COMPUTED_VALUE"""),46065.0)</f>
        <v>46065</v>
      </c>
      <c r="D128" s="3">
        <f>IFERROR(__xludf.DUMMYFUNCTION("""COMPUTED_VALUE"""),46085.0)</f>
        <v>46085</v>
      </c>
      <c r="E128" s="2" t="str">
        <f>IFERROR(__xludf.DUMMYFUNCTION("""COMPUTED_VALUE"""),"Cuidado")</f>
        <v>Cuidado</v>
      </c>
      <c r="F128" s="2" t="str">
        <f>IFERROR(__xludf.DUMMYFUNCTION("""COMPUTED_VALUE"""),"Educación")</f>
        <v>Educación</v>
      </c>
      <c r="G128" s="2" t="str">
        <f>IFERROR(__xludf.DUMMYFUNCTION("""COMPUTED_VALUE"""),"Finalizada")</f>
        <v>Finalizada</v>
      </c>
      <c r="H128" s="4">
        <v>6038368.0</v>
      </c>
      <c r="I128" s="4">
        <v>0.0</v>
      </c>
      <c r="J128" s="4">
        <v>43032.0</v>
      </c>
      <c r="K128" s="4">
        <v>82633.0</v>
      </c>
      <c r="L128" s="5">
        <v>29.55497198455823</v>
      </c>
      <c r="M128" s="5">
        <v>73.07453438698825</v>
      </c>
      <c r="N128" s="4">
        <v>69710.0</v>
      </c>
      <c r="O128" s="4">
        <v>67839.0</v>
      </c>
      <c r="P128" s="4">
        <v>23434.0</v>
      </c>
      <c r="Q128" s="4">
        <v>3982.0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/>
      <c r="AE128" s="6" t="s">
        <v>9</v>
      </c>
    </row>
    <row r="129" ht="16.5" customHeight="1">
      <c r="A129" s="2" t="str">
        <f>IFERROR(__xludf.DUMMYFUNCTION("""COMPUTED_VALUE"""),"2547-ENEFESGC")</f>
        <v>2547-ENEFESGC</v>
      </c>
      <c r="B129" s="2" t="str">
        <f>IFERROR(__xludf.DUMMYFUNCTION("""COMPUTED_VALUE"""),"Verano BA | Noche de Verano: Devoto")</f>
        <v>Verano BA | Noche de Verano: Devoto</v>
      </c>
      <c r="C129" s="3">
        <f>IFERROR(__xludf.DUMMYFUNCTION("""COMPUTED_VALUE"""),46058.0)</f>
        <v>46058</v>
      </c>
      <c r="D129" s="3">
        <f>IFERROR(__xludf.DUMMYFUNCTION("""COMPUTED_VALUE"""),46060.0)</f>
        <v>46060</v>
      </c>
      <c r="E129" s="2" t="str">
        <f>IFERROR(__xludf.DUMMYFUNCTION("""COMPUTED_VALUE"""),"Ciudad Atractiva")</f>
        <v>Ciudad Atractiva</v>
      </c>
      <c r="F129" s="2" t="str">
        <f>IFERROR(__xludf.DUMMYFUNCTION("""COMPUTED_VALUE"""),"Festivales y Eventos")</f>
        <v>Festivales y Eventos</v>
      </c>
      <c r="G129" s="2" t="str">
        <f>IFERROR(__xludf.DUMMYFUNCTION("""COMPUTED_VALUE"""),"Finalizada")</f>
        <v>Finalizada</v>
      </c>
      <c r="H129" s="4">
        <v>4580746.0</v>
      </c>
      <c r="I129" s="4">
        <v>0.0</v>
      </c>
      <c r="J129" s="4">
        <v>9386.0</v>
      </c>
      <c r="K129" s="4">
        <v>795820.0</v>
      </c>
      <c r="L129" s="5">
        <v>0.9919416450956247</v>
      </c>
      <c r="M129" s="5">
        <v>5.7560076399185744</v>
      </c>
      <c r="N129" s="4">
        <v>97749.0</v>
      </c>
      <c r="O129" s="4">
        <v>96262.0</v>
      </c>
      <c r="P129" s="4">
        <v>40495.0</v>
      </c>
      <c r="Q129" s="4">
        <v>3965.0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/>
      <c r="AE129" s="6" t="s">
        <v>9</v>
      </c>
    </row>
    <row r="130" ht="16.5" customHeight="1">
      <c r="A130" s="2" t="str">
        <f>IFERROR(__xludf.DUMMYFUNCTION("""COMPUTED_VALUE"""),"2548-ENEFESGC")</f>
        <v>2548-ENEFESGC</v>
      </c>
      <c r="B130" s="2" t="str">
        <f>IFERROR(__xludf.DUMMYFUNCTION("""COMPUTED_VALUE"""),"Verano BA | Noche de Verano: Villa Crespo")</f>
        <v>Verano BA | Noche de Verano: Villa Crespo</v>
      </c>
      <c r="C130" s="3">
        <f>IFERROR(__xludf.DUMMYFUNCTION("""COMPUTED_VALUE"""),46064.0)</f>
        <v>46064</v>
      </c>
      <c r="D130" s="3">
        <f>IFERROR(__xludf.DUMMYFUNCTION("""COMPUTED_VALUE"""),46065.0)</f>
        <v>46065</v>
      </c>
      <c r="E130" s="2" t="str">
        <f>IFERROR(__xludf.DUMMYFUNCTION("""COMPUTED_VALUE"""),"Ciudad Atractiva")</f>
        <v>Ciudad Atractiva</v>
      </c>
      <c r="F130" s="2" t="str">
        <f>IFERROR(__xludf.DUMMYFUNCTION("""COMPUTED_VALUE"""),"Festivales y Eventos")</f>
        <v>Festivales y Eventos</v>
      </c>
      <c r="G130" s="2" t="str">
        <f>IFERROR(__xludf.DUMMYFUNCTION("""COMPUTED_VALUE"""),"Finalizada")</f>
        <v>Finalizada</v>
      </c>
      <c r="H130" s="4">
        <v>6759890.0</v>
      </c>
      <c r="I130" s="4">
        <v>1875813.0</v>
      </c>
      <c r="J130" s="4">
        <v>6390.0</v>
      </c>
      <c r="K130" s="4">
        <v>1282165.0</v>
      </c>
      <c r="L130" s="5">
        <v>0.5958499881060549</v>
      </c>
      <c r="M130" s="5">
        <v>5.272246551730862</v>
      </c>
      <c r="N130" s="4">
        <v>66232.0</v>
      </c>
      <c r="O130" s="4">
        <v>65037.0</v>
      </c>
      <c r="P130" s="4">
        <v>23174.0</v>
      </c>
      <c r="Q130" s="4">
        <v>725.0</v>
      </c>
      <c r="R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0.0</v>
      </c>
      <c r="AB130" s="4">
        <v>0.0</v>
      </c>
      <c r="AC130" s="4">
        <v>0.0</v>
      </c>
      <c r="AD130" s="4"/>
      <c r="AE130" s="6" t="s">
        <v>9</v>
      </c>
    </row>
    <row r="131" ht="16.5" customHeight="1">
      <c r="A131" s="2" t="str">
        <f>IFERROR(__xludf.DUMMYFUNCTION("""COMPUTED_VALUE"""),"2549-FEBDHHVC")</f>
        <v>2549-FEBDHHVC</v>
      </c>
      <c r="B131" s="2" t="str">
        <f>IFERROR(__xludf.DUMMYFUNCTION("""COMPUTED_VALUE"""),"RDV Ministros | Gabriel Mraida - 6/2")</f>
        <v>RDV Ministros | Gabriel Mraida - 6/2</v>
      </c>
      <c r="C131" s="3">
        <f>IFERROR(__xludf.DUMMYFUNCTION("""COMPUTED_VALUE"""),46055.0)</f>
        <v>46055</v>
      </c>
      <c r="D131" s="3">
        <f>IFERROR(__xludf.DUMMYFUNCTION("""COMPUTED_VALUE"""),46062.0)</f>
        <v>46062</v>
      </c>
      <c r="E131" s="2" t="str">
        <f>IFERROR(__xludf.DUMMYFUNCTION("""COMPUTED_VALUE"""),"Cercanía")</f>
        <v>Cercanía</v>
      </c>
      <c r="F131" s="2" t="str">
        <f>IFERROR(__xludf.DUMMYFUNCTION("""COMPUTED_VALUE"""),"Desarrollo Humano y Hábitat")</f>
        <v>Desarrollo Humano y Hábitat</v>
      </c>
      <c r="G131" s="2" t="str">
        <f>IFERROR(__xludf.DUMMYFUNCTION("""COMPUTED_VALUE"""),"Finalizada")</f>
        <v>Finalizada</v>
      </c>
      <c r="H131" s="4">
        <v>188003.0</v>
      </c>
      <c r="I131" s="4">
        <v>0.0</v>
      </c>
      <c r="J131" s="4">
        <v>707.0</v>
      </c>
      <c r="K131" s="4">
        <v>117960.0</v>
      </c>
      <c r="L131" s="5">
        <v>1.593786029162428</v>
      </c>
      <c r="M131" s="5">
        <v>1.593786029162428</v>
      </c>
      <c r="N131" s="4">
        <v>67263.0</v>
      </c>
      <c r="O131" s="4">
        <v>65865.0</v>
      </c>
      <c r="P131" s="4">
        <v>11448.0</v>
      </c>
      <c r="Q131" s="4">
        <v>253.0</v>
      </c>
      <c r="R131" s="4">
        <v>123.0</v>
      </c>
      <c r="S131" s="4">
        <v>122.0</v>
      </c>
      <c r="T131" s="4">
        <v>35.0</v>
      </c>
      <c r="U131" s="4">
        <v>33.0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0.0</v>
      </c>
      <c r="AD131" s="4"/>
      <c r="AE131" s="6" t="s">
        <v>9</v>
      </c>
    </row>
    <row r="132" ht="16.5" customHeight="1">
      <c r="A132" s="2" t="str">
        <f>IFERROR(__xludf.DUMMYFUNCTION("""COMPUTED_VALUE"""),"2550-FEBTURGC")</f>
        <v>2550-FEBTURGC</v>
      </c>
      <c r="B132" s="2" t="str">
        <f>IFERROR(__xludf.DUMMYFUNCTION("""COMPUTED_VALUE"""),"Sondeo Hotelero por el finde de Carnaval | Martes 10/2")</f>
        <v>Sondeo Hotelero por el finde de Carnaval | Martes 10/2</v>
      </c>
      <c r="C132" s="3">
        <f>IFERROR(__xludf.DUMMYFUNCTION("""COMPUTED_VALUE"""),46063.0)</f>
        <v>46063</v>
      </c>
      <c r="D132" s="3">
        <f>IFERROR(__xludf.DUMMYFUNCTION("""COMPUTED_VALUE"""),46063.0)</f>
        <v>46063</v>
      </c>
      <c r="E132" s="2" t="str">
        <f>IFERROR(__xludf.DUMMYFUNCTION("""COMPUTED_VALUE"""),"Otros")</f>
        <v>Otros</v>
      </c>
      <c r="F132" s="2" t="str">
        <f>IFERROR(__xludf.DUMMYFUNCTION("""COMPUTED_VALUE"""),"Turismo")</f>
        <v>Turismo</v>
      </c>
      <c r="G132" s="2" t="str">
        <f>IFERROR(__xludf.DUMMYFUNCTION("""COMPUTED_VALUE"""),"Finalizada")</f>
        <v>Finalizada</v>
      </c>
      <c r="H132" s="4">
        <v>0.0</v>
      </c>
      <c r="I132" s="4">
        <v>0.0</v>
      </c>
      <c r="J132" s="4">
        <v>0.0</v>
      </c>
      <c r="K132" s="4">
        <v>0.0</v>
      </c>
      <c r="L132" s="5">
        <v>0.0</v>
      </c>
      <c r="M132" s="5">
        <v>0.0</v>
      </c>
      <c r="N132" s="4">
        <v>348.0</v>
      </c>
      <c r="O132" s="4">
        <v>337.0</v>
      </c>
      <c r="P132" s="4">
        <v>163.0</v>
      </c>
      <c r="Q132" s="4">
        <v>66.0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 t="s">
        <v>8</v>
      </c>
      <c r="AE132" s="6" t="s">
        <v>9</v>
      </c>
    </row>
    <row r="133" ht="16.5" customHeight="1">
      <c r="A133" s="2" t="str">
        <f>IFERROR(__xludf.DUMMYFUNCTION("""COMPUTED_VALUE"""),"2551-FEBPCCVC")</f>
        <v>2551-FEBPCCVC</v>
      </c>
      <c r="B133" s="2" t="str">
        <f>IFERROR(__xludf.DUMMYFUNCTION("""COMPUTED_VALUE"""),"Verano 2026 - Feb - Deja tus rueditas")</f>
        <v>Verano 2026 - Feb - Deja tus rueditas</v>
      </c>
      <c r="C133" s="3">
        <f>IFERROR(__xludf.DUMMYFUNCTION("""COMPUTED_VALUE"""),46035.0)</f>
        <v>46035</v>
      </c>
      <c r="D133" s="3">
        <f>IFERROR(__xludf.DUMMYFUNCTION("""COMPUTED_VALUE"""),46064.0)</f>
        <v>46064</v>
      </c>
      <c r="E133" s="2" t="str">
        <f>IFERROR(__xludf.DUMMYFUNCTION("""COMPUTED_VALUE"""),"Cercanía")</f>
        <v>Cercanía</v>
      </c>
      <c r="F133" s="2" t="str">
        <f>IFERROR(__xludf.DUMMYFUNCTION("""COMPUTED_VALUE"""),"Cercanía y PC")</f>
        <v>Cercanía y PC</v>
      </c>
      <c r="G133" s="2" t="str">
        <f>IFERROR(__xludf.DUMMYFUNCTION("""COMPUTED_VALUE"""),"Finalizada")</f>
        <v>Finalizada</v>
      </c>
      <c r="H133" s="4">
        <v>0.0</v>
      </c>
      <c r="I133" s="4">
        <v>0.0</v>
      </c>
      <c r="J133" s="4">
        <v>0.0</v>
      </c>
      <c r="K133" s="4">
        <v>0.0</v>
      </c>
      <c r="L133" s="5">
        <v>0.0</v>
      </c>
      <c r="M133" s="5">
        <v>0.0</v>
      </c>
      <c r="N133" s="4">
        <v>41552.0</v>
      </c>
      <c r="O133" s="4">
        <v>38523.0</v>
      </c>
      <c r="P133" s="4">
        <v>10989.0</v>
      </c>
      <c r="Q133" s="4">
        <v>105.0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 t="s">
        <v>8</v>
      </c>
      <c r="AE133" s="6" t="s">
        <v>9</v>
      </c>
    </row>
    <row r="134" ht="16.5" customHeight="1">
      <c r="A134" s="2" t="str">
        <f>IFERROR(__xludf.DUMMYFUNCTION("""COMPUTED_VALUE"""),"2552-FEBPCCVC")</f>
        <v>2552-FEBPCCVC</v>
      </c>
      <c r="B134" s="2" t="str">
        <f>IFERROR(__xludf.DUMMYFUNCTION("""COMPUTED_VALUE"""),"Verano 2026 - Feb- Un día de verano en parque ciudad")</f>
        <v>Verano 2026 - Feb- Un día de verano en parque ciudad</v>
      </c>
      <c r="C134" s="3">
        <f>IFERROR(__xludf.DUMMYFUNCTION("""COMPUTED_VALUE"""),46062.0)</f>
        <v>46062</v>
      </c>
      <c r="D134" s="3">
        <f>IFERROR(__xludf.DUMMYFUNCTION("""COMPUTED_VALUE"""),46062.0)</f>
        <v>46062</v>
      </c>
      <c r="E134" s="2" t="str">
        <f>IFERROR(__xludf.DUMMYFUNCTION("""COMPUTED_VALUE"""),"Cercanía")</f>
        <v>Cercanía</v>
      </c>
      <c r="F134" s="2" t="str">
        <f>IFERROR(__xludf.DUMMYFUNCTION("""COMPUTED_VALUE"""),"Cercanía y PC")</f>
        <v>Cercanía y PC</v>
      </c>
      <c r="G134" s="2" t="str">
        <f>IFERROR(__xludf.DUMMYFUNCTION("""COMPUTED_VALUE"""),"Finalizada")</f>
        <v>Finalizada</v>
      </c>
      <c r="H134" s="4">
        <v>0.0</v>
      </c>
      <c r="I134" s="4">
        <v>0.0</v>
      </c>
      <c r="J134" s="4">
        <v>0.0</v>
      </c>
      <c r="K134" s="4">
        <v>0.0</v>
      </c>
      <c r="L134" s="5">
        <v>0.0</v>
      </c>
      <c r="M134" s="5">
        <v>0.0</v>
      </c>
      <c r="N134" s="4">
        <v>52237.0</v>
      </c>
      <c r="O134" s="4">
        <v>51225.0</v>
      </c>
      <c r="P134" s="4">
        <v>13345.0</v>
      </c>
      <c r="Q134" s="4">
        <v>309.0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 t="s">
        <v>8</v>
      </c>
      <c r="AE134" s="6" t="s">
        <v>9</v>
      </c>
    </row>
    <row r="135" ht="16.5" customHeight="1">
      <c r="A135" s="2" t="str">
        <f>IFERROR(__xludf.DUMMYFUNCTION("""COMPUTED_VALUE"""),"2553-FEBINFGC")</f>
        <v>2553-FEBINFGC</v>
      </c>
      <c r="B135" s="2" t="str">
        <f>IFERROR(__xludf.DUMMYFUNCTION("""COMPUTED_VALUE"""),"Infraestructura I Cortes por obras TramBus FEBRERO")</f>
        <v>Infraestructura I Cortes por obras TramBus FEBRERO</v>
      </c>
      <c r="C135" s="3">
        <f>IFERROR(__xludf.DUMMYFUNCTION("""COMPUTED_VALUE"""),46058.0)</f>
        <v>46058</v>
      </c>
      <c r="D135" s="3">
        <f>IFERROR(__xludf.DUMMYFUNCTION("""COMPUTED_VALUE"""),46061.0)</f>
        <v>46061</v>
      </c>
      <c r="E135" s="2" t="str">
        <f>IFERROR(__xludf.DUMMYFUNCTION("""COMPUTED_VALUE"""),"Movilidad")</f>
        <v>Movilidad</v>
      </c>
      <c r="F135" s="2" t="str">
        <f>IFERROR(__xludf.DUMMYFUNCTION("""COMPUTED_VALUE"""),"Infraestructura")</f>
        <v>Infraestructura</v>
      </c>
      <c r="G135" s="2" t="str">
        <f>IFERROR(__xludf.DUMMYFUNCTION("""COMPUTED_VALUE"""),"Finalizada")</f>
        <v>Finalizada</v>
      </c>
      <c r="H135" s="4">
        <v>284005.0</v>
      </c>
      <c r="I135" s="4">
        <v>0.0</v>
      </c>
      <c r="J135" s="4">
        <v>233.0</v>
      </c>
      <c r="K135" s="4">
        <v>205020.0</v>
      </c>
      <c r="L135" s="5">
        <v>1.3852550970637012</v>
      </c>
      <c r="M135" s="5">
        <v>1.3852550970637012</v>
      </c>
      <c r="N135" s="4">
        <v>90205.0</v>
      </c>
      <c r="O135" s="4">
        <v>88775.0</v>
      </c>
      <c r="P135" s="4">
        <v>31917.0</v>
      </c>
      <c r="Q135" s="4">
        <v>887.0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/>
      <c r="AE135" s="6" t="s">
        <v>9</v>
      </c>
    </row>
    <row r="136" ht="16.5" customHeight="1">
      <c r="A136" s="2" t="str">
        <f>IFERROR(__xludf.DUMMYFUNCTION("""COMPUTED_VALUE"""),"2554-FEBINFGC")</f>
        <v>2554-FEBINFGC</v>
      </c>
      <c r="B136" s="2" t="str">
        <f>IFERROR(__xludf.DUMMYFUNCTION("""COMPUTED_VALUE"""),"Infraestructura I Obras M2:  Campaña Trambus FEBRERO")</f>
        <v>Infraestructura I Obras M2:  Campaña Trambus FEBRERO</v>
      </c>
      <c r="C136" s="3">
        <f>IFERROR(__xludf.DUMMYFUNCTION("""COMPUTED_VALUE"""),46066.0)</f>
        <v>46066</v>
      </c>
      <c r="D136" s="3">
        <f>IFERROR(__xludf.DUMMYFUNCTION("""COMPUTED_VALUE"""),46066.0)</f>
        <v>46066</v>
      </c>
      <c r="E136" s="2" t="str">
        <f>IFERROR(__xludf.DUMMYFUNCTION("""COMPUTED_VALUE"""),"Movilidad")</f>
        <v>Movilidad</v>
      </c>
      <c r="F136" s="2" t="str">
        <f>IFERROR(__xludf.DUMMYFUNCTION("""COMPUTED_VALUE"""),"Infraestructura")</f>
        <v>Infraestructura</v>
      </c>
      <c r="G136" s="2" t="str">
        <f>IFERROR(__xludf.DUMMYFUNCTION("""COMPUTED_VALUE"""),"Finalizada")</f>
        <v>Finalizada</v>
      </c>
      <c r="H136" s="4">
        <v>0.0</v>
      </c>
      <c r="I136" s="4">
        <v>0.0</v>
      </c>
      <c r="J136" s="4">
        <v>0.0</v>
      </c>
      <c r="K136" s="4">
        <v>0.0</v>
      </c>
      <c r="L136" s="5">
        <v>0.0</v>
      </c>
      <c r="M136" s="5">
        <v>0.0</v>
      </c>
      <c r="N136" s="4">
        <v>35564.0</v>
      </c>
      <c r="O136" s="4">
        <v>23841.0</v>
      </c>
      <c r="P136" s="4">
        <v>9799.0</v>
      </c>
      <c r="Q136" s="4">
        <v>990.0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 t="s">
        <v>8</v>
      </c>
      <c r="AE136" s="6" t="s">
        <v>9</v>
      </c>
    </row>
    <row r="137" ht="16.5" customHeight="1">
      <c r="A137" s="2" t="str">
        <f>IFERROR(__xludf.DUMMYFUNCTION("""COMPUTED_VALUE"""),"2555-FEBSALGC")</f>
        <v>2555-FEBSALGC</v>
      </c>
      <c r="B137" s="2" t="str">
        <f>IFERROR(__xludf.DUMMYFUNCTION("""COMPUTED_VALUE"""),"Hospital Muñiz - Finalización de obra")</f>
        <v>Hospital Muñiz - Finalización de obra</v>
      </c>
      <c r="C137" s="3">
        <f>IFERROR(__xludf.DUMMYFUNCTION("""COMPUTED_VALUE"""),46059.0)</f>
        <v>46059</v>
      </c>
      <c r="D137" s="3">
        <f>IFERROR(__xludf.DUMMYFUNCTION("""COMPUTED_VALUE"""),46073.0)</f>
        <v>46073</v>
      </c>
      <c r="E137" s="2" t="str">
        <f>IFERROR(__xludf.DUMMYFUNCTION("""COMPUTED_VALUE"""),"Cuidado")</f>
        <v>Cuidado</v>
      </c>
      <c r="F137" s="2" t="str">
        <f>IFERROR(__xludf.DUMMYFUNCTION("""COMPUTED_VALUE"""),"Salud")</f>
        <v>Salud</v>
      </c>
      <c r="G137" s="2" t="str">
        <f>IFERROR(__xludf.DUMMYFUNCTION("""COMPUTED_VALUE"""),"Finalizada")</f>
        <v>Finalizada</v>
      </c>
      <c r="H137" s="4">
        <v>5472203.0</v>
      </c>
      <c r="I137" s="4">
        <v>313360.0</v>
      </c>
      <c r="J137" s="4">
        <v>6389.0</v>
      </c>
      <c r="K137" s="4">
        <v>557979.0</v>
      </c>
      <c r="L137" s="5">
        <v>2.7565894056944797</v>
      </c>
      <c r="M137" s="5">
        <v>9.807184499775081</v>
      </c>
      <c r="N137" s="4">
        <v>168287.0</v>
      </c>
      <c r="O137" s="4">
        <v>165112.0</v>
      </c>
      <c r="P137" s="4">
        <v>32866.0</v>
      </c>
      <c r="Q137" s="4">
        <v>518.0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/>
      <c r="AE137" s="6" t="s">
        <v>9</v>
      </c>
    </row>
    <row r="138" ht="16.5" customHeight="1">
      <c r="A138" s="2" t="str">
        <f>IFERROR(__xludf.DUMMYFUNCTION("""COMPUTED_VALUE"""),"2556-FEBINFGC")</f>
        <v>2556-FEBINFGC</v>
      </c>
      <c r="B138" s="2" t="str">
        <f>IFERROR(__xludf.DUMMYFUNCTION("""COMPUTED_VALUE"""),"Infraestructura | Apertura estación Agüero")</f>
        <v>Infraestructura | Apertura estación Agüero</v>
      </c>
      <c r="C138" s="3">
        <f>IFERROR(__xludf.DUMMYFUNCTION("""COMPUTED_VALUE"""),46059.0)</f>
        <v>46059</v>
      </c>
      <c r="D138" s="3">
        <f>IFERROR(__xludf.DUMMYFUNCTION("""COMPUTED_VALUE"""),46074.0)</f>
        <v>46074</v>
      </c>
      <c r="E138" s="2" t="str">
        <f>IFERROR(__xludf.DUMMYFUNCTION("""COMPUTED_VALUE"""),"Movilidad")</f>
        <v>Movilidad</v>
      </c>
      <c r="F138" s="2" t="str">
        <f>IFERROR(__xludf.DUMMYFUNCTION("""COMPUTED_VALUE"""),"Infraestructura")</f>
        <v>Infraestructura</v>
      </c>
      <c r="G138" s="2" t="str">
        <f>IFERROR(__xludf.DUMMYFUNCTION("""COMPUTED_VALUE"""),"Finalizada")</f>
        <v>Finalizada</v>
      </c>
      <c r="H138" s="4">
        <v>3149149.0</v>
      </c>
      <c r="I138" s="4">
        <v>0.0</v>
      </c>
      <c r="J138" s="4">
        <v>13882.0</v>
      </c>
      <c r="K138" s="4">
        <v>849495.0</v>
      </c>
      <c r="L138" s="5">
        <v>1.33726037233886</v>
      </c>
      <c r="M138" s="5">
        <v>3.7070836202685125</v>
      </c>
      <c r="N138" s="4">
        <v>146537.0</v>
      </c>
      <c r="O138" s="4">
        <v>144208.0</v>
      </c>
      <c r="P138" s="4">
        <v>58970.0</v>
      </c>
      <c r="Q138" s="4">
        <v>1222.0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34459.0</v>
      </c>
      <c r="AB138" s="4">
        <v>32718.0</v>
      </c>
      <c r="AC138" s="4">
        <v>132.0</v>
      </c>
      <c r="AD138" s="4"/>
      <c r="AE138" s="6" t="s">
        <v>9</v>
      </c>
    </row>
    <row r="139" ht="16.5" customHeight="1">
      <c r="A139" s="2" t="str">
        <f>IFERROR(__xludf.DUMMYFUNCTION("""COMPUTED_VALUE"""),"2557-FEBSALGC")</f>
        <v>2557-FEBSALGC</v>
      </c>
      <c r="B139" s="2" t="str">
        <f>IFERROR(__xludf.DUMMYFUNCTION("""COMPUTED_VALUE"""),"Inicio de Obra - CESAC 51")</f>
        <v>Inicio de Obra - CESAC 51</v>
      </c>
      <c r="C139" s="3">
        <f>IFERROR(__xludf.DUMMYFUNCTION("""COMPUTED_VALUE"""),46063.0)</f>
        <v>46063</v>
      </c>
      <c r="D139" s="3">
        <f>IFERROR(__xludf.DUMMYFUNCTION("""COMPUTED_VALUE"""),46077.0)</f>
        <v>46077</v>
      </c>
      <c r="E139" s="2" t="str">
        <f>IFERROR(__xludf.DUMMYFUNCTION("""COMPUTED_VALUE"""),"Cuidado")</f>
        <v>Cuidado</v>
      </c>
      <c r="F139" s="2" t="str">
        <f>IFERROR(__xludf.DUMMYFUNCTION("""COMPUTED_VALUE"""),"Salud")</f>
        <v>Salud</v>
      </c>
      <c r="G139" s="2" t="str">
        <f>IFERROR(__xludf.DUMMYFUNCTION("""COMPUTED_VALUE"""),"Finalizada")</f>
        <v>Finalizada</v>
      </c>
      <c r="H139" s="4">
        <v>3507352.0</v>
      </c>
      <c r="I139" s="4">
        <v>0.0</v>
      </c>
      <c r="J139" s="4">
        <v>10979.0</v>
      </c>
      <c r="K139" s="4">
        <v>42089.0</v>
      </c>
      <c r="L139" s="5">
        <v>24.26607902302264</v>
      </c>
      <c r="M139" s="5">
        <v>83.33179690655516</v>
      </c>
      <c r="N139" s="4">
        <v>84050.0</v>
      </c>
      <c r="O139" s="4">
        <v>82502.0</v>
      </c>
      <c r="P139" s="4">
        <v>32905.0</v>
      </c>
      <c r="Q139" s="4">
        <v>1404.0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/>
      <c r="AE139" s="6" t="s">
        <v>9</v>
      </c>
    </row>
    <row r="140" ht="16.5" customHeight="1">
      <c r="A140" s="2" t="str">
        <f>IFERROR(__xludf.DUMMYFUNCTION("""COMPUTED_VALUE"""),"2558-FEBFESGC")</f>
        <v>2558-FEBFESGC</v>
      </c>
      <c r="B140" s="2" t="str">
        <f>IFERROR(__xludf.DUMMYFUNCTION("""COMPUTED_VALUE"""),"Verano BA | Buenos Aires Extremo")</f>
        <v>Verano BA | Buenos Aires Extremo</v>
      </c>
      <c r="C140" s="3">
        <f>IFERROR(__xludf.DUMMYFUNCTION("""COMPUTED_VALUE"""),46063.0)</f>
        <v>46063</v>
      </c>
      <c r="D140" s="3">
        <f>IFERROR(__xludf.DUMMYFUNCTION("""COMPUTED_VALUE"""),46069.0)</f>
        <v>46069</v>
      </c>
      <c r="E140" s="2" t="str">
        <f>IFERROR(__xludf.DUMMYFUNCTION("""COMPUTED_VALUE"""),"Ciudad Atractiva")</f>
        <v>Ciudad Atractiva</v>
      </c>
      <c r="F140" s="2" t="str">
        <f>IFERROR(__xludf.DUMMYFUNCTION("""COMPUTED_VALUE"""),"Festivales y Eventos")</f>
        <v>Festivales y Eventos</v>
      </c>
      <c r="G140" s="2" t="str">
        <f>IFERROR(__xludf.DUMMYFUNCTION("""COMPUTED_VALUE"""),"Finalizada")</f>
        <v>Finalizada</v>
      </c>
      <c r="H140" s="4">
        <v>1.1436556E7</v>
      </c>
      <c r="I140" s="4">
        <v>2539828.0</v>
      </c>
      <c r="J140" s="4">
        <v>14323.0</v>
      </c>
      <c r="K140" s="4">
        <v>677074.0</v>
      </c>
      <c r="L140" s="5">
        <v>3.8506588644668085</v>
      </c>
      <c r="M140" s="5">
        <v>16.891146314878434</v>
      </c>
      <c r="N140" s="4">
        <v>147633.0</v>
      </c>
      <c r="O140" s="4">
        <v>125246.0</v>
      </c>
      <c r="P140" s="4">
        <v>54292.0</v>
      </c>
      <c r="Q140" s="4">
        <v>1241.0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/>
      <c r="AE140" s="6" t="s">
        <v>9</v>
      </c>
    </row>
    <row r="141" ht="16.5" customHeight="1">
      <c r="A141" s="2" t="str">
        <f>IFERROR(__xludf.DUMMYFUNCTION("""COMPUTED_VALUE"""),"2559-FEBSALGC")</f>
        <v>2559-FEBSALGC</v>
      </c>
      <c r="B141" s="2" t="str">
        <f>IFERROR(__xludf.DUMMYFUNCTION("""COMPUTED_VALUE"""),"Vacunación Calendario Escolar 2026")</f>
        <v>Vacunación Calendario Escolar 2026</v>
      </c>
      <c r="C141" s="3">
        <f>IFERROR(__xludf.DUMMYFUNCTION("""COMPUTED_VALUE"""),46071.0)</f>
        <v>46071</v>
      </c>
      <c r="D141" s="3">
        <f>IFERROR(__xludf.DUMMYFUNCTION("""COMPUTED_VALUE"""),46112.0)</f>
        <v>46112</v>
      </c>
      <c r="E141" s="2" t="str">
        <f>IFERROR(__xludf.DUMMYFUNCTION("""COMPUTED_VALUE"""),"Cuidado")</f>
        <v>Cuidado</v>
      </c>
      <c r="F141" s="2" t="str">
        <f>IFERROR(__xludf.DUMMYFUNCTION("""COMPUTED_VALUE"""),"Salud")</f>
        <v>Salud</v>
      </c>
      <c r="G141" s="2" t="str">
        <f>IFERROR(__xludf.DUMMYFUNCTION("""COMPUTED_VALUE"""),"Finalizada")</f>
        <v>Finalizada</v>
      </c>
      <c r="H141" s="4">
        <v>1.5567316E7</v>
      </c>
      <c r="I141" s="4">
        <v>0.0</v>
      </c>
      <c r="J141" s="4">
        <v>60689.0</v>
      </c>
      <c r="K141" s="4">
        <v>605267.0</v>
      </c>
      <c r="L141" s="5">
        <v>9.208993716822492</v>
      </c>
      <c r="M141" s="5">
        <v>25.719750126803543</v>
      </c>
      <c r="N141" s="4">
        <v>66779.0</v>
      </c>
      <c r="O141" s="4">
        <v>65841.0</v>
      </c>
      <c r="P141" s="4">
        <v>22134.0</v>
      </c>
      <c r="Q141" s="4">
        <v>981.0</v>
      </c>
      <c r="R141" s="4">
        <v>33627.0</v>
      </c>
      <c r="S141" s="4">
        <v>29173.0</v>
      </c>
      <c r="T141" s="4">
        <v>10753.0</v>
      </c>
      <c r="U141" s="4">
        <v>8191.0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/>
      <c r="AE141" s="6" t="s">
        <v>9</v>
      </c>
    </row>
    <row r="142" ht="16.5" customHeight="1">
      <c r="A142" s="2" t="str">
        <f>IFERROR(__xludf.DUMMYFUNCTION("""COMPUTED_VALUE"""),"2560-FEBINFGC")</f>
        <v>2560-FEBINFGC</v>
      </c>
      <c r="B142" s="2" t="str">
        <f>IFERROR(__xludf.DUMMYFUNCTION("""COMPUTED_VALUE"""),"Freeflow montaje de pórtico AU 25 de mayo - Peaje Varela")</f>
        <v>Freeflow montaje de pórtico AU 25 de mayo - Peaje Varela</v>
      </c>
      <c r="C142" s="3">
        <f>IFERROR(__xludf.DUMMYFUNCTION("""COMPUTED_VALUE"""),46059.0)</f>
        <v>46059</v>
      </c>
      <c r="D142" s="3">
        <f>IFERROR(__xludf.DUMMYFUNCTION("""COMPUTED_VALUE"""),46074.0)</f>
        <v>46074</v>
      </c>
      <c r="E142" s="2" t="str">
        <f>IFERROR(__xludf.DUMMYFUNCTION("""COMPUTED_VALUE"""),"Movilidad")</f>
        <v>Movilidad</v>
      </c>
      <c r="F142" s="2" t="str">
        <f>IFERROR(__xludf.DUMMYFUNCTION("""COMPUTED_VALUE"""),"Infraestructura")</f>
        <v>Infraestructura</v>
      </c>
      <c r="G142" s="2" t="str">
        <f>IFERROR(__xludf.DUMMYFUNCTION("""COMPUTED_VALUE"""),"Finalizada")</f>
        <v>Finalizada</v>
      </c>
      <c r="H142" s="4">
        <v>0.0</v>
      </c>
      <c r="I142" s="4">
        <v>0.0</v>
      </c>
      <c r="J142" s="4">
        <v>0.0</v>
      </c>
      <c r="K142" s="4">
        <v>0.0</v>
      </c>
      <c r="L142" s="5">
        <v>0.0</v>
      </c>
      <c r="M142" s="5">
        <v>0.0</v>
      </c>
      <c r="N142" s="4">
        <v>201663.0</v>
      </c>
      <c r="O142" s="4">
        <v>198068.0</v>
      </c>
      <c r="P142" s="4">
        <v>58342.0</v>
      </c>
      <c r="Q142" s="4">
        <v>472.0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0.0</v>
      </c>
      <c r="AD142" s="4" t="s">
        <v>8</v>
      </c>
      <c r="AE142" s="6" t="s">
        <v>9</v>
      </c>
    </row>
    <row r="143" ht="16.5" customHeight="1">
      <c r="A143" s="2" t="str">
        <f>IFERROR(__xludf.DUMMYFUNCTION("""COMPUTED_VALUE"""),"2561-FEBPCCVC")</f>
        <v>2561-FEBPCCVC</v>
      </c>
      <c r="B143" s="2" t="str">
        <f>IFERROR(__xludf.DUMMYFUNCTION("""COMPUTED_VALUE"""),"Café con vecinos | Lombardi | Piragine | Tapia 9/2")</f>
        <v>Café con vecinos | Lombardi | Piragine | Tapia 9/2</v>
      </c>
      <c r="C143" s="3">
        <f>IFERROR(__xludf.DUMMYFUNCTION("""COMPUTED_VALUE"""),46058.0)</f>
        <v>46058</v>
      </c>
      <c r="D143" s="3">
        <f>IFERROR(__xludf.DUMMYFUNCTION("""COMPUTED_VALUE"""),46062.0)</f>
        <v>46062</v>
      </c>
      <c r="E143" s="2" t="str">
        <f>IFERROR(__xludf.DUMMYFUNCTION("""COMPUTED_VALUE"""),"Cercanía")</f>
        <v>Cercanía</v>
      </c>
      <c r="F143" s="2" t="str">
        <f>IFERROR(__xludf.DUMMYFUNCTION("""COMPUTED_VALUE"""),"Cercanía y PC")</f>
        <v>Cercanía y PC</v>
      </c>
      <c r="G143" s="2" t="str">
        <f>IFERROR(__xludf.DUMMYFUNCTION("""COMPUTED_VALUE"""),"Finalizada")</f>
        <v>Finalizada</v>
      </c>
      <c r="H143" s="4">
        <v>271547.0</v>
      </c>
      <c r="I143" s="4">
        <v>0.0</v>
      </c>
      <c r="J143" s="4">
        <v>1035.0</v>
      </c>
      <c r="K143" s="4">
        <v>176920.0</v>
      </c>
      <c r="L143" s="5">
        <v>1.5348575627402217</v>
      </c>
      <c r="M143" s="5">
        <v>1.5348575627402217</v>
      </c>
      <c r="N143" s="4">
        <v>19424.0</v>
      </c>
      <c r="O143" s="4">
        <v>18983.0</v>
      </c>
      <c r="P143" s="4">
        <v>3496.0</v>
      </c>
      <c r="Q143" s="4">
        <v>48.0</v>
      </c>
      <c r="R143" s="4">
        <v>132.0</v>
      </c>
      <c r="S143" s="4">
        <v>132.0</v>
      </c>
      <c r="T143" s="4">
        <v>31.0</v>
      </c>
      <c r="U143" s="4">
        <v>23.0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  <c r="AD143" s="4"/>
      <c r="AE143" s="6" t="s">
        <v>9</v>
      </c>
    </row>
    <row r="144" ht="16.5" customHeight="1">
      <c r="A144" s="2" t="str">
        <f>IFERROR(__xludf.DUMMYFUNCTION("""COMPUTED_VALUE"""),"2562-FEBSEGVC")</f>
        <v>2562-FEBSEGVC</v>
      </c>
      <c r="B144" s="2" t="str">
        <f>IFERROR(__xludf.DUMMYFUNCTION("""COMPUTED_VALUE"""),"RDV MINISTROS |  MAXIMILIANO PIÑEIRO 12/2")</f>
        <v>RDV MINISTROS |  MAXIMILIANO PIÑEIRO 12/2</v>
      </c>
      <c r="C144" s="3">
        <f>IFERROR(__xludf.DUMMYFUNCTION("""COMPUTED_VALUE"""),46062.0)</f>
        <v>46062</v>
      </c>
      <c r="D144" s="3">
        <f>IFERROR(__xludf.DUMMYFUNCTION("""COMPUTED_VALUE"""),46072.0)</f>
        <v>46072</v>
      </c>
      <c r="E144" s="2" t="str">
        <f>IFERROR(__xludf.DUMMYFUNCTION("""COMPUTED_VALUE"""),"Cercanía")</f>
        <v>Cercanía</v>
      </c>
      <c r="F144" s="2" t="str">
        <f>IFERROR(__xludf.DUMMYFUNCTION("""COMPUTED_VALUE"""),"Seguridad")</f>
        <v>Seguridad</v>
      </c>
      <c r="G144" s="2" t="str">
        <f>IFERROR(__xludf.DUMMYFUNCTION("""COMPUTED_VALUE"""),"Finalizada")</f>
        <v>Finalizada</v>
      </c>
      <c r="H144" s="4">
        <v>153248.0</v>
      </c>
      <c r="I144" s="4">
        <v>0.0</v>
      </c>
      <c r="J144" s="4">
        <v>685.0</v>
      </c>
      <c r="K144" s="4">
        <v>99126.0</v>
      </c>
      <c r="L144" s="5">
        <v>1.5459919698161935</v>
      </c>
      <c r="M144" s="5">
        <v>1.5459919698161935</v>
      </c>
      <c r="N144" s="4">
        <v>70271.0</v>
      </c>
      <c r="O144" s="4">
        <v>69019.0</v>
      </c>
      <c r="P144" s="4">
        <v>14777.0</v>
      </c>
      <c r="Q144" s="4">
        <v>248.0</v>
      </c>
      <c r="R144" s="4">
        <v>111.0</v>
      </c>
      <c r="S144" s="4">
        <v>111.0</v>
      </c>
      <c r="T144" s="4">
        <v>27.0</v>
      </c>
      <c r="U144" s="4">
        <v>26.0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/>
      <c r="AE144" s="6" t="s">
        <v>9</v>
      </c>
    </row>
    <row r="145" ht="16.5" customHeight="1">
      <c r="A145" s="2" t="str">
        <f>IFERROR(__xludf.DUMMYFUNCTION("""COMPUTED_VALUE"""),"2563-FEBSEGVC")</f>
        <v>2563-FEBSEGVC</v>
      </c>
      <c r="B145" s="2" t="str">
        <f>IFERROR(__xludf.DUMMYFUNCTION("""COMPUTED_VALUE"""),"RDV MINISTROS |  HORACIO GIMENEZ 12/2")</f>
        <v>RDV MINISTROS |  HORACIO GIMENEZ 12/2</v>
      </c>
      <c r="C145" s="3">
        <f>IFERROR(__xludf.DUMMYFUNCTION("""COMPUTED_VALUE"""),46062.0)</f>
        <v>46062</v>
      </c>
      <c r="D145" s="3">
        <f>IFERROR(__xludf.DUMMYFUNCTION("""COMPUTED_VALUE"""),46072.0)</f>
        <v>46072</v>
      </c>
      <c r="E145" s="2" t="str">
        <f>IFERROR(__xludf.DUMMYFUNCTION("""COMPUTED_VALUE"""),"Cercanía")</f>
        <v>Cercanía</v>
      </c>
      <c r="F145" s="2" t="str">
        <f>IFERROR(__xludf.DUMMYFUNCTION("""COMPUTED_VALUE"""),"Seguridad")</f>
        <v>Seguridad</v>
      </c>
      <c r="G145" s="2" t="str">
        <f>IFERROR(__xludf.DUMMYFUNCTION("""COMPUTED_VALUE"""),"Finalizada")</f>
        <v>Finalizada</v>
      </c>
      <c r="H145" s="4">
        <v>333665.0</v>
      </c>
      <c r="I145" s="4">
        <v>0.0</v>
      </c>
      <c r="J145" s="4">
        <v>674.0</v>
      </c>
      <c r="K145" s="4">
        <v>230400.0</v>
      </c>
      <c r="L145" s="5">
        <v>1.4481987847222222</v>
      </c>
      <c r="M145" s="5">
        <v>1.4481987847222222</v>
      </c>
      <c r="N145" s="4">
        <v>65341.0</v>
      </c>
      <c r="O145" s="4">
        <v>64205.0</v>
      </c>
      <c r="P145" s="4">
        <v>11629.0</v>
      </c>
      <c r="Q145" s="4">
        <v>258.0</v>
      </c>
      <c r="R145" s="4">
        <v>98.0</v>
      </c>
      <c r="S145" s="4">
        <v>98.0</v>
      </c>
      <c r="T145" s="4">
        <v>29.0</v>
      </c>
      <c r="U145" s="4">
        <v>27.0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/>
      <c r="AE145" s="6" t="s">
        <v>9</v>
      </c>
    </row>
    <row r="146" ht="16.5" customHeight="1">
      <c r="A146" s="2" t="str">
        <f>IFERROR(__xludf.DUMMYFUNCTION("""COMPUTED_VALUE"""),"2564-FEBSEGVC")</f>
        <v>2564-FEBSEGVC</v>
      </c>
      <c r="B146" s="2" t="str">
        <f>IFERROR(__xludf.DUMMYFUNCTION("""COMPUTED_VALUE"""),"RDV MINISTROS |  RUTH LANDERRECHE 12/2")</f>
        <v>RDV MINISTROS |  RUTH LANDERRECHE 12/2</v>
      </c>
      <c r="C146" s="3">
        <f>IFERROR(__xludf.DUMMYFUNCTION("""COMPUTED_VALUE"""),46062.0)</f>
        <v>46062</v>
      </c>
      <c r="D146" s="3">
        <f>IFERROR(__xludf.DUMMYFUNCTION("""COMPUTED_VALUE"""),46072.0)</f>
        <v>46072</v>
      </c>
      <c r="E146" s="2" t="str">
        <f>IFERROR(__xludf.DUMMYFUNCTION("""COMPUTED_VALUE"""),"Cercanía")</f>
        <v>Cercanía</v>
      </c>
      <c r="F146" s="2" t="str">
        <f>IFERROR(__xludf.DUMMYFUNCTION("""COMPUTED_VALUE"""),"Seguridad")</f>
        <v>Seguridad</v>
      </c>
      <c r="G146" s="2" t="str">
        <f>IFERROR(__xludf.DUMMYFUNCTION("""COMPUTED_VALUE"""),"Finalizada")</f>
        <v>Finalizada</v>
      </c>
      <c r="H146" s="4">
        <v>168738.0</v>
      </c>
      <c r="I146" s="4">
        <v>0.0</v>
      </c>
      <c r="J146" s="4">
        <v>525.0</v>
      </c>
      <c r="K146" s="4">
        <v>69021.0</v>
      </c>
      <c r="L146" s="5">
        <v>2.4447342113269874</v>
      </c>
      <c r="M146" s="5">
        <v>2.4447342113269874</v>
      </c>
      <c r="N146" s="4">
        <v>77332.0</v>
      </c>
      <c r="O146" s="4">
        <v>75865.0</v>
      </c>
      <c r="P146" s="4">
        <v>14601.0</v>
      </c>
      <c r="Q146" s="4">
        <v>295.0</v>
      </c>
      <c r="R146" s="4">
        <v>163.0</v>
      </c>
      <c r="S146" s="4">
        <v>163.0</v>
      </c>
      <c r="T146" s="4">
        <v>52.0</v>
      </c>
      <c r="U146" s="4">
        <v>49.0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0.0</v>
      </c>
      <c r="AB146" s="4">
        <v>0.0</v>
      </c>
      <c r="AC146" s="4">
        <v>0.0</v>
      </c>
      <c r="AD146" s="4"/>
      <c r="AE146" s="6" t="s">
        <v>9</v>
      </c>
    </row>
    <row r="147" ht="16.5" customHeight="1">
      <c r="A147" s="2" t="str">
        <f>IFERROR(__xludf.DUMMYFUNCTION("""COMPUTED_VALUE"""),"2565-FEBSEGVC")</f>
        <v>2565-FEBSEGVC</v>
      </c>
      <c r="B147" s="2" t="str">
        <f>IFERROR(__xludf.DUMMYFUNCTION("""COMPUTED_VALUE"""),"RDV MINISTROS |  GABINO TAPIA 12/2")</f>
        <v>RDV MINISTROS |  GABINO TAPIA 12/2</v>
      </c>
      <c r="C147" s="3">
        <f>IFERROR(__xludf.DUMMYFUNCTION("""COMPUTED_VALUE"""),46062.0)</f>
        <v>46062</v>
      </c>
      <c r="D147" s="3">
        <f>IFERROR(__xludf.DUMMYFUNCTION("""COMPUTED_VALUE"""),46066.0)</f>
        <v>46066</v>
      </c>
      <c r="E147" s="2" t="str">
        <f>IFERROR(__xludf.DUMMYFUNCTION("""COMPUTED_VALUE"""),"Cercanía")</f>
        <v>Cercanía</v>
      </c>
      <c r="F147" s="2" t="str">
        <f>IFERROR(__xludf.DUMMYFUNCTION("""COMPUTED_VALUE"""),"Seguridad")</f>
        <v>Seguridad</v>
      </c>
      <c r="G147" s="2" t="str">
        <f>IFERROR(__xludf.DUMMYFUNCTION("""COMPUTED_VALUE"""),"Finalizada")</f>
        <v>Finalizada</v>
      </c>
      <c r="H147" s="4">
        <v>177652.0</v>
      </c>
      <c r="I147" s="4">
        <v>0.0</v>
      </c>
      <c r="J147" s="4">
        <v>842.0</v>
      </c>
      <c r="K147" s="4">
        <v>113695.0</v>
      </c>
      <c r="L147" s="5">
        <v>1.5625313338317428</v>
      </c>
      <c r="M147" s="5">
        <v>1.5625313338317428</v>
      </c>
      <c r="N147" s="4">
        <v>76761.0</v>
      </c>
      <c r="O147" s="4">
        <v>75050.0</v>
      </c>
      <c r="P147" s="4">
        <v>11951.0</v>
      </c>
      <c r="Q147" s="4">
        <v>254.0</v>
      </c>
      <c r="R147" s="4">
        <v>160.0</v>
      </c>
      <c r="S147" s="4">
        <v>160.0</v>
      </c>
      <c r="T147" s="4">
        <v>35.0</v>
      </c>
      <c r="U147" s="4">
        <v>33.0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0.0</v>
      </c>
      <c r="AB147" s="4">
        <v>0.0</v>
      </c>
      <c r="AC147" s="4">
        <v>0.0</v>
      </c>
      <c r="AD147" s="4"/>
      <c r="AE147" s="6" t="s">
        <v>9</v>
      </c>
    </row>
    <row r="148" ht="16.5" customHeight="1">
      <c r="A148" s="2" t="str">
        <f>IFERROR(__xludf.DUMMYFUNCTION("""COMPUTED_VALUE"""),"2566-FEBCULVC")</f>
        <v>2566-FEBCULVC</v>
      </c>
      <c r="B148" s="2" t="str">
        <f>IFERROR(__xludf.DUMMYFUNCTION("""COMPUTED_VALUE"""),"RDV MINISTROS |  GABRIELA RICARDES 11/2")</f>
        <v>RDV MINISTROS |  GABRIELA RICARDES 11/2</v>
      </c>
      <c r="C148" s="3">
        <f>IFERROR(__xludf.DUMMYFUNCTION("""COMPUTED_VALUE"""),46059.0)</f>
        <v>46059</v>
      </c>
      <c r="D148" s="3">
        <f>IFERROR(__xludf.DUMMYFUNCTION("""COMPUTED_VALUE"""),46065.0)</f>
        <v>46065</v>
      </c>
      <c r="E148" s="2" t="str">
        <f>IFERROR(__xludf.DUMMYFUNCTION("""COMPUTED_VALUE"""),"Cercanía")</f>
        <v>Cercanía</v>
      </c>
      <c r="F148" s="2" t="str">
        <f>IFERROR(__xludf.DUMMYFUNCTION("""COMPUTED_VALUE"""),"Cultura")</f>
        <v>Cultura</v>
      </c>
      <c r="G148" s="2" t="str">
        <f>IFERROR(__xludf.DUMMYFUNCTION("""COMPUTED_VALUE"""),"Finalizada")</f>
        <v>Finalizada</v>
      </c>
      <c r="H148" s="4">
        <v>123423.0</v>
      </c>
      <c r="I148" s="4">
        <v>0.0</v>
      </c>
      <c r="J148" s="4">
        <v>452.0</v>
      </c>
      <c r="K148" s="4">
        <v>80174.0</v>
      </c>
      <c r="L148" s="5">
        <v>1.5394392196971587</v>
      </c>
      <c r="M148" s="5">
        <v>1.5394392196971587</v>
      </c>
      <c r="N148" s="4">
        <v>37390.0</v>
      </c>
      <c r="O148" s="4">
        <v>36747.0</v>
      </c>
      <c r="P148" s="4">
        <v>10191.0</v>
      </c>
      <c r="Q148" s="4">
        <v>174.0</v>
      </c>
      <c r="R148" s="4">
        <v>100.0</v>
      </c>
      <c r="S148" s="4">
        <v>100.0</v>
      </c>
      <c r="T148" s="4">
        <v>19.0</v>
      </c>
      <c r="U148" s="4">
        <v>18.0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/>
      <c r="AE148" s="6" t="s">
        <v>9</v>
      </c>
    </row>
    <row r="149" ht="16.5" customHeight="1">
      <c r="A149" s="2" t="str">
        <f>IFERROR(__xludf.DUMMYFUNCTION("""COMPUTED_VALUE"""),"2567-FEBJDGAG")</f>
        <v>2567-FEBJDGAG</v>
      </c>
      <c r="B149" s="2" t="str">
        <f>IFERROR(__xludf.DUMMYFUNCTION("""COMPUTED_VALUE"""),"RDV JM 11/2 Villa del Parque")</f>
        <v>RDV JM 11/2 Villa del Parque</v>
      </c>
      <c r="C149" s="3">
        <f>IFERROR(__xludf.DUMMYFUNCTION("""COMPUTED_VALUE"""),46058.0)</f>
        <v>46058</v>
      </c>
      <c r="D149" s="3">
        <f>IFERROR(__xludf.DUMMYFUNCTION("""COMPUTED_VALUE"""),46081.0)</f>
        <v>46081</v>
      </c>
      <c r="E149" s="2" t="str">
        <f>IFERROR(__xludf.DUMMYFUNCTION("""COMPUTED_VALUE"""),"Cercanía")</f>
        <v>Cercanía</v>
      </c>
      <c r="F149" s="2" t="str">
        <f>IFERROR(__xludf.DUMMYFUNCTION("""COMPUTED_VALUE"""),"Jefatura de Gobierno")</f>
        <v>Jefatura de Gobierno</v>
      </c>
      <c r="G149" s="2" t="str">
        <f>IFERROR(__xludf.DUMMYFUNCTION("""COMPUTED_VALUE"""),"Finalizada")</f>
        <v>Finalizada</v>
      </c>
      <c r="H149" s="4">
        <v>513183.0</v>
      </c>
      <c r="I149" s="4">
        <v>220030.0</v>
      </c>
      <c r="J149" s="4">
        <v>4566.0</v>
      </c>
      <c r="K149" s="4">
        <v>25626.0</v>
      </c>
      <c r="L149" s="5">
        <v>4.684539139936002</v>
      </c>
      <c r="M149" s="5">
        <v>20.025872161086397</v>
      </c>
      <c r="N149" s="4">
        <v>28308.0</v>
      </c>
      <c r="O149" s="4">
        <v>27874.0</v>
      </c>
      <c r="P149" s="4">
        <v>7731.0</v>
      </c>
      <c r="Q149" s="4">
        <v>286.0</v>
      </c>
      <c r="R149" s="4">
        <v>7946.0</v>
      </c>
      <c r="S149" s="4">
        <v>7945.0</v>
      </c>
      <c r="T149" s="4">
        <v>1769.0</v>
      </c>
      <c r="U149" s="4">
        <v>1314.0</v>
      </c>
      <c r="V149" s="4">
        <v>16073.0</v>
      </c>
      <c r="W149" s="4">
        <v>16073.0</v>
      </c>
      <c r="X149" s="4">
        <v>14277.0</v>
      </c>
      <c r="Y149" s="4">
        <v>5609.0</v>
      </c>
      <c r="Z149" s="4">
        <v>81.0</v>
      </c>
      <c r="AA149" s="4">
        <v>0.0</v>
      </c>
      <c r="AB149" s="4">
        <v>0.0</v>
      </c>
      <c r="AC149" s="4">
        <v>0.0</v>
      </c>
      <c r="AD149" s="4"/>
      <c r="AE149" s="6" t="s">
        <v>9</v>
      </c>
    </row>
    <row r="150" ht="16.5" customHeight="1">
      <c r="A150" s="2" t="str">
        <f>IFERROR(__xludf.DUMMYFUNCTION("""COMPUTED_VALUE"""),"2568-FEBJDGAG")</f>
        <v>2568-FEBJDGAG</v>
      </c>
      <c r="B150" s="2" t="str">
        <f>IFERROR(__xludf.DUMMYFUNCTION("""COMPUTED_VALUE"""),"RDV JM 12/2 Villa Soldati")</f>
        <v>RDV JM 12/2 Villa Soldati</v>
      </c>
      <c r="C150" s="3">
        <f>IFERROR(__xludf.DUMMYFUNCTION("""COMPUTED_VALUE"""),46058.0)</f>
        <v>46058</v>
      </c>
      <c r="D150" s="3">
        <f>IFERROR(__xludf.DUMMYFUNCTION("""COMPUTED_VALUE"""),46085.0)</f>
        <v>46085</v>
      </c>
      <c r="E150" s="2" t="str">
        <f>IFERROR(__xludf.DUMMYFUNCTION("""COMPUTED_VALUE"""),"Cercanía")</f>
        <v>Cercanía</v>
      </c>
      <c r="F150" s="2" t="str">
        <f>IFERROR(__xludf.DUMMYFUNCTION("""COMPUTED_VALUE"""),"Jefatura de Gobierno")</f>
        <v>Jefatura de Gobierno</v>
      </c>
      <c r="G150" s="2" t="str">
        <f>IFERROR(__xludf.DUMMYFUNCTION("""COMPUTED_VALUE"""),"Finalizada")</f>
        <v>Finalizada</v>
      </c>
      <c r="H150" s="4">
        <v>1700270.0</v>
      </c>
      <c r="I150" s="4">
        <v>371228.0</v>
      </c>
      <c r="J150" s="4">
        <v>7822.0</v>
      </c>
      <c r="K150" s="4">
        <v>42089.0</v>
      </c>
      <c r="L150" s="5">
        <v>5.173893416332058</v>
      </c>
      <c r="M150" s="5">
        <v>40.397015847371044</v>
      </c>
      <c r="N150" s="4">
        <v>15279.0</v>
      </c>
      <c r="O150" s="4">
        <v>14878.0</v>
      </c>
      <c r="P150" s="4">
        <v>2447.0</v>
      </c>
      <c r="Q150" s="4">
        <v>147.0</v>
      </c>
      <c r="R150" s="4">
        <v>7779.0</v>
      </c>
      <c r="S150" s="4">
        <v>6871.0</v>
      </c>
      <c r="T150" s="4">
        <v>1089.0</v>
      </c>
      <c r="U150" s="4">
        <v>793.0</v>
      </c>
      <c r="V150" s="4">
        <v>6193.0</v>
      </c>
      <c r="W150" s="4">
        <v>6193.0</v>
      </c>
      <c r="X150" s="4">
        <v>5485.0</v>
      </c>
      <c r="Y150" s="4">
        <v>2438.0</v>
      </c>
      <c r="Z150" s="4">
        <v>35.0</v>
      </c>
      <c r="AA150" s="4">
        <v>0.0</v>
      </c>
      <c r="AB150" s="4">
        <v>0.0</v>
      </c>
      <c r="AC150" s="4">
        <v>0.0</v>
      </c>
      <c r="AD150" s="4"/>
      <c r="AE150" s="6" t="s">
        <v>9</v>
      </c>
    </row>
    <row r="151" ht="16.5" customHeight="1">
      <c r="A151" s="2" t="str">
        <f>IFERROR(__xludf.DUMMYFUNCTION("""COMPUTED_VALUE"""),"2569-FEBVINVC")</f>
        <v>2569-FEBVINVC</v>
      </c>
      <c r="B151" s="2" t="str">
        <f>IFERROR(__xludf.DUMMYFUNCTION("""COMPUTED_VALUE"""),"RDV MINISTROS |  Ezequiel Sabor 9/2")</f>
        <v>RDV MINISTROS |  Ezequiel Sabor 9/2</v>
      </c>
      <c r="C151" s="3">
        <f>IFERROR(__xludf.DUMMYFUNCTION("""COMPUTED_VALUE"""),46058.0)</f>
        <v>46058</v>
      </c>
      <c r="D151" s="3">
        <f>IFERROR(__xludf.DUMMYFUNCTION("""COMPUTED_VALUE"""),46062.0)</f>
        <v>46062</v>
      </c>
      <c r="E151" s="2" t="str">
        <f>IFERROR(__xludf.DUMMYFUNCTION("""COMPUTED_VALUE"""),"Cercanía")</f>
        <v>Cercanía</v>
      </c>
      <c r="F151" s="2" t="str">
        <f>IFERROR(__xludf.DUMMYFUNCTION("""COMPUTED_VALUE"""),"Vínculo Ciudadano")</f>
        <v>Vínculo Ciudadano</v>
      </c>
      <c r="G151" s="2" t="str">
        <f>IFERROR(__xludf.DUMMYFUNCTION("""COMPUTED_VALUE"""),"Finalizada")</f>
        <v>Finalizada</v>
      </c>
      <c r="H151" s="4">
        <v>427017.0</v>
      </c>
      <c r="I151" s="4">
        <v>0.0</v>
      </c>
      <c r="J151" s="4">
        <v>784.0</v>
      </c>
      <c r="K151" s="4">
        <v>274739.0</v>
      </c>
      <c r="L151" s="5">
        <v>1.5542642289591213</v>
      </c>
      <c r="M151" s="5">
        <v>1.5542642289591213</v>
      </c>
      <c r="N151" s="4">
        <v>65671.0</v>
      </c>
      <c r="O151" s="4">
        <v>64506.0</v>
      </c>
      <c r="P151" s="4">
        <v>12855.0</v>
      </c>
      <c r="Q151" s="4">
        <v>361.0</v>
      </c>
      <c r="R151" s="4">
        <v>193.0</v>
      </c>
      <c r="S151" s="4">
        <v>193.0</v>
      </c>
      <c r="T151" s="4">
        <v>52.0</v>
      </c>
      <c r="U151" s="4">
        <v>50.0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/>
      <c r="AE151" s="6" t="s">
        <v>9</v>
      </c>
    </row>
    <row r="152" ht="16.5" customHeight="1">
      <c r="A152" s="2" t="str">
        <f>IFERROR(__xludf.DUMMYFUNCTION("""COMPUTED_VALUE"""),"2570-FEBJDGVC")</f>
        <v>2570-FEBJDGVC</v>
      </c>
      <c r="B152" s="2" t="str">
        <f>IFERROR(__xludf.DUMMYFUNCTION("""COMPUTED_VALUE"""),"RDV MINISTROS | Gabriel Sanchez Zinny 10/2")</f>
        <v>RDV MINISTROS | Gabriel Sanchez Zinny 10/2</v>
      </c>
      <c r="C152" s="3">
        <f>IFERROR(__xludf.DUMMYFUNCTION("""COMPUTED_VALUE"""),46058.0)</f>
        <v>46058</v>
      </c>
      <c r="D152" s="3">
        <f>IFERROR(__xludf.DUMMYFUNCTION("""COMPUTED_VALUE"""),46064.0)</f>
        <v>46064</v>
      </c>
      <c r="E152" s="2" t="str">
        <f>IFERROR(__xludf.DUMMYFUNCTION("""COMPUTED_VALUE"""),"Cercanía")</f>
        <v>Cercanía</v>
      </c>
      <c r="F152" s="2" t="str">
        <f>IFERROR(__xludf.DUMMYFUNCTION("""COMPUTED_VALUE"""),"Jefatura de Gabinete")</f>
        <v>Jefatura de Gabinete</v>
      </c>
      <c r="G152" s="2" t="str">
        <f>IFERROR(__xludf.DUMMYFUNCTION("""COMPUTED_VALUE"""),"Finalizada")</f>
        <v>Finalizada</v>
      </c>
      <c r="H152" s="4">
        <v>40099.0</v>
      </c>
      <c r="I152" s="4">
        <v>0.0</v>
      </c>
      <c r="J152" s="4">
        <v>178.0</v>
      </c>
      <c r="K152" s="4">
        <v>24074.0</v>
      </c>
      <c r="L152" s="5">
        <v>1.6656558943258286</v>
      </c>
      <c r="M152" s="5">
        <v>1.6656558943258286</v>
      </c>
      <c r="N152" s="4">
        <v>19330.0</v>
      </c>
      <c r="O152" s="4">
        <v>18885.0</v>
      </c>
      <c r="P152" s="4">
        <v>2781.0</v>
      </c>
      <c r="Q152" s="4">
        <v>112.0</v>
      </c>
      <c r="R152" s="4">
        <v>48.0</v>
      </c>
      <c r="S152" s="4">
        <v>48.0</v>
      </c>
      <c r="T152" s="4">
        <v>18.0</v>
      </c>
      <c r="U152" s="4">
        <v>17.0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/>
      <c r="AE152" s="6" t="s">
        <v>9</v>
      </c>
    </row>
    <row r="153" ht="16.5" customHeight="1">
      <c r="A153" s="2" t="str">
        <f>IFERROR(__xludf.DUMMYFUNCTION("""COMPUTED_VALUE"""),"2571-FEBJDGVC")</f>
        <v>2571-FEBJDGVC</v>
      </c>
      <c r="B153" s="2" t="str">
        <f>IFERROR(__xludf.DUMMYFUNCTION("""COMPUTED_VALUE"""),"RDV MINISTROS | Gabriel Sanchez Zinny 11/2")</f>
        <v>RDV MINISTROS | Gabriel Sanchez Zinny 11/2</v>
      </c>
      <c r="C153" s="3">
        <f>IFERROR(__xludf.DUMMYFUNCTION("""COMPUTED_VALUE"""),46059.0)</f>
        <v>46059</v>
      </c>
      <c r="D153" s="3">
        <f>IFERROR(__xludf.DUMMYFUNCTION("""COMPUTED_VALUE"""),46065.0)</f>
        <v>46065</v>
      </c>
      <c r="E153" s="2" t="str">
        <f>IFERROR(__xludf.DUMMYFUNCTION("""COMPUTED_VALUE"""),"Cercanía")</f>
        <v>Cercanía</v>
      </c>
      <c r="F153" s="2" t="str">
        <f>IFERROR(__xludf.DUMMYFUNCTION("""COMPUTED_VALUE"""),"Jefatura de Gabinete")</f>
        <v>Jefatura de Gabinete</v>
      </c>
      <c r="G153" s="2" t="str">
        <f>IFERROR(__xludf.DUMMYFUNCTION("""COMPUTED_VALUE"""),"Finalizada")</f>
        <v>Finalizada</v>
      </c>
      <c r="H153" s="4">
        <v>58913.0</v>
      </c>
      <c r="I153" s="4">
        <v>0.0</v>
      </c>
      <c r="J153" s="4">
        <v>243.0</v>
      </c>
      <c r="K153" s="4">
        <v>37372.0</v>
      </c>
      <c r="L153" s="5">
        <v>1.5763940918334582</v>
      </c>
      <c r="M153" s="5">
        <v>1.5763940918334582</v>
      </c>
      <c r="N153" s="4">
        <v>16256.0</v>
      </c>
      <c r="O153" s="4">
        <v>15898.0</v>
      </c>
      <c r="P153" s="4">
        <v>2257.0</v>
      </c>
      <c r="Q153" s="4">
        <v>138.0</v>
      </c>
      <c r="R153" s="4">
        <v>79.0</v>
      </c>
      <c r="S153" s="4">
        <v>79.0</v>
      </c>
      <c r="T153" s="4">
        <v>18.0</v>
      </c>
      <c r="U153" s="4">
        <v>17.0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/>
      <c r="AE153" s="6" t="s">
        <v>9</v>
      </c>
    </row>
    <row r="154" ht="16.5" customHeight="1">
      <c r="A154" s="2" t="str">
        <f>IFERROR(__xludf.DUMMYFUNCTION("""COMPUTED_VALUE"""),"2572-FEBEDUVC")</f>
        <v>2572-FEBEDUVC</v>
      </c>
      <c r="B154" s="2" t="str">
        <f>IFERROR(__xludf.DUMMYFUNCTION("""COMPUTED_VALUE"""),"RDV MINISTROS | Mercedes Miguel  10/2 COMUNA 1")</f>
        <v>RDV MINISTROS | Mercedes Miguel  10/2 COMUNA 1</v>
      </c>
      <c r="C154" s="3">
        <f>IFERROR(__xludf.DUMMYFUNCTION("""COMPUTED_VALUE"""),46058.0)</f>
        <v>46058</v>
      </c>
      <c r="D154" s="3">
        <f>IFERROR(__xludf.DUMMYFUNCTION("""COMPUTED_VALUE"""),46064.0)</f>
        <v>46064</v>
      </c>
      <c r="E154" s="2" t="str">
        <f>IFERROR(__xludf.DUMMYFUNCTION("""COMPUTED_VALUE"""),"Cercanía")</f>
        <v>Cercanía</v>
      </c>
      <c r="F154" s="2" t="str">
        <f>IFERROR(__xludf.DUMMYFUNCTION("""COMPUTED_VALUE"""),"Educación")</f>
        <v>Educación</v>
      </c>
      <c r="G154" s="2" t="str">
        <f>IFERROR(__xludf.DUMMYFUNCTION("""COMPUTED_VALUE"""),"Finalizada")</f>
        <v>Finalizada</v>
      </c>
      <c r="H154" s="4">
        <v>223265.0</v>
      </c>
      <c r="I154" s="4">
        <v>0.0</v>
      </c>
      <c r="J154" s="4">
        <v>704.0</v>
      </c>
      <c r="K154" s="4">
        <v>143474.0</v>
      </c>
      <c r="L154" s="5">
        <v>1.5561356064513432</v>
      </c>
      <c r="M154" s="5">
        <v>1.5561356064513432</v>
      </c>
      <c r="N154" s="4">
        <v>12168.0</v>
      </c>
      <c r="O154" s="4">
        <v>11872.0</v>
      </c>
      <c r="P154" s="4">
        <v>1955.0</v>
      </c>
      <c r="Q154" s="4">
        <v>87.0</v>
      </c>
      <c r="R154" s="4">
        <v>63.0</v>
      </c>
      <c r="S154" s="4">
        <v>63.0</v>
      </c>
      <c r="T154" s="4">
        <v>19.0</v>
      </c>
      <c r="U154" s="4">
        <v>19.0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  <c r="AD154" s="4"/>
      <c r="AE154" s="6" t="s">
        <v>9</v>
      </c>
    </row>
    <row r="155" ht="16.5" customHeight="1">
      <c r="A155" s="2" t="str">
        <f>IFERROR(__xludf.DUMMYFUNCTION("""COMPUTED_VALUE"""),"2573-FEBSEGGC")</f>
        <v>2573-FEBSEGGC</v>
      </c>
      <c r="B155" s="2" t="str">
        <f>IFERROR(__xludf.DUMMYFUNCTION("""COMPUTED_VALUE"""),"CAMPAÑA GCBA | SEGURIDAD |  Desalojo en Balvanera")</f>
        <v>CAMPAÑA GCBA | SEGURIDAD |  Desalojo en Balvanera</v>
      </c>
      <c r="C155" s="3">
        <f>IFERROR(__xludf.DUMMYFUNCTION("""COMPUTED_VALUE"""),46062.0)</f>
        <v>46062</v>
      </c>
      <c r="D155" s="3">
        <f>IFERROR(__xludf.DUMMYFUNCTION("""COMPUTED_VALUE"""),46112.0)</f>
        <v>46112</v>
      </c>
      <c r="E155" s="2" t="str">
        <f>IFERROR(__xludf.DUMMYFUNCTION("""COMPUTED_VALUE"""),"M2")</f>
        <v>M2</v>
      </c>
      <c r="F155" s="2" t="str">
        <f>IFERROR(__xludf.DUMMYFUNCTION("""COMPUTED_VALUE"""),"Seguridad")</f>
        <v>Seguridad</v>
      </c>
      <c r="G155" s="2" t="str">
        <f>IFERROR(__xludf.DUMMYFUNCTION("""COMPUTED_VALUE"""),"Finalizada")</f>
        <v>Finalizada</v>
      </c>
      <c r="H155" s="4">
        <v>6242693.0</v>
      </c>
      <c r="I155" s="4">
        <v>3426502.0</v>
      </c>
      <c r="J155" s="4">
        <v>5362.0</v>
      </c>
      <c r="K155" s="4">
        <v>469329.0</v>
      </c>
      <c r="L155" s="5">
        <v>4.490297850761406</v>
      </c>
      <c r="M155" s="5">
        <v>13.301315282030302</v>
      </c>
      <c r="N155" s="4">
        <v>189744.0</v>
      </c>
      <c r="O155" s="4">
        <v>187584.0</v>
      </c>
      <c r="P155" s="4">
        <v>43935.0</v>
      </c>
      <c r="Q155" s="4">
        <v>745.0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/>
      <c r="AE155" s="6" t="s">
        <v>9</v>
      </c>
    </row>
    <row r="156" ht="16.5" customHeight="1">
      <c r="A156" s="2" t="str">
        <f>IFERROR(__xludf.DUMMYFUNCTION("""COMPUTED_VALUE"""),"2574-FEBTURGC")</f>
        <v>2574-FEBTURGC</v>
      </c>
      <c r="B156" s="2" t="str">
        <f>IFERROR(__xludf.DUMMYFUNCTION("""COMPUTED_VALUE"""),"Envío Relevamiento intereses | Capacitaciones 2026 | Jueves 12/02")</f>
        <v>Envío Relevamiento intereses | Capacitaciones 2026 | Jueves 12/02</v>
      </c>
      <c r="C156" s="3">
        <f>IFERROR(__xludf.DUMMYFUNCTION("""COMPUTED_VALUE"""),46065.0)</f>
        <v>46065</v>
      </c>
      <c r="D156" s="3">
        <f>IFERROR(__xludf.DUMMYFUNCTION("""COMPUTED_VALUE"""),46090.0)</f>
        <v>46090</v>
      </c>
      <c r="E156" s="2" t="str">
        <f>IFERROR(__xludf.DUMMYFUNCTION("""COMPUTED_VALUE"""),"Otros")</f>
        <v>Otros</v>
      </c>
      <c r="F156" s="2" t="str">
        <f>IFERROR(__xludf.DUMMYFUNCTION("""COMPUTED_VALUE"""),"Turismo")</f>
        <v>Turismo</v>
      </c>
      <c r="G156" s="2" t="str">
        <f>IFERROR(__xludf.DUMMYFUNCTION("""COMPUTED_VALUE"""),"Finalizada")</f>
        <v>Finalizada</v>
      </c>
      <c r="H156" s="4">
        <v>0.0</v>
      </c>
      <c r="I156" s="4">
        <v>0.0</v>
      </c>
      <c r="J156" s="4">
        <v>0.0</v>
      </c>
      <c r="K156" s="4">
        <v>0.0</v>
      </c>
      <c r="L156" s="5">
        <v>0.0</v>
      </c>
      <c r="M156" s="5">
        <v>0.0</v>
      </c>
      <c r="N156" s="4">
        <v>1857.0</v>
      </c>
      <c r="O156" s="4">
        <v>1829.0</v>
      </c>
      <c r="P156" s="4">
        <v>561.0</v>
      </c>
      <c r="Q156" s="4">
        <v>81.0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 t="s">
        <v>8</v>
      </c>
      <c r="AE156" s="6" t="s">
        <v>9</v>
      </c>
    </row>
    <row r="157" ht="16.5" customHeight="1">
      <c r="A157" s="2" t="str">
        <f>IFERROR(__xludf.DUMMYFUNCTION("""COMPUTED_VALUE"""),"2575-FEBINFGC")</f>
        <v>2575-FEBINFGC</v>
      </c>
      <c r="B157" s="2" t="str">
        <f>IFERROR(__xludf.DUMMYFUNCTION("""COMPUTED_VALUE"""),"Infraestructura | Placa historias: Cortes y desvíos por IEB + Argentinas Open 2026")</f>
        <v>Infraestructura | Placa historias: Cortes y desvíos por IEB + Argentinas Open 2026</v>
      </c>
      <c r="C157" s="3">
        <f>IFERROR(__xludf.DUMMYFUNCTION("""COMPUTED_VALUE"""),46058.0)</f>
        <v>46058</v>
      </c>
      <c r="D157" s="3">
        <f>IFERROR(__xludf.DUMMYFUNCTION("""COMPUTED_VALUE"""),46061.0)</f>
        <v>46061</v>
      </c>
      <c r="E157" s="2" t="str">
        <f>IFERROR(__xludf.DUMMYFUNCTION("""COMPUTED_VALUE"""),"Movilidad")</f>
        <v>Movilidad</v>
      </c>
      <c r="F157" s="2" t="str">
        <f>IFERROR(__xludf.DUMMYFUNCTION("""COMPUTED_VALUE"""),"Infraestructura")</f>
        <v>Infraestructura</v>
      </c>
      <c r="G157" s="2" t="str">
        <f>IFERROR(__xludf.DUMMYFUNCTION("""COMPUTED_VALUE"""),"Finalizada")</f>
        <v>Finalizada</v>
      </c>
      <c r="H157" s="4">
        <v>545284.0</v>
      </c>
      <c r="I157" s="4">
        <v>0.0</v>
      </c>
      <c r="J157" s="4">
        <v>563.0</v>
      </c>
      <c r="K157" s="4">
        <v>274514.0</v>
      </c>
      <c r="L157" s="5">
        <v>1.9863613513336296</v>
      </c>
      <c r="M157" s="5">
        <v>1.9863613513336296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/>
      <c r="AE157" s="4" t="s">
        <v>8</v>
      </c>
    </row>
    <row r="158" ht="16.5" customHeight="1">
      <c r="A158" s="2" t="str">
        <f>IFERROR(__xludf.DUMMYFUNCTION("""COMPUTED_VALUE"""),"2576-FEBDIGGC")</f>
        <v>2576-FEBDIGGC</v>
      </c>
      <c r="B158" s="2" t="str">
        <f>IFERROR(__xludf.DUMMYFUNCTION("""COMPUTED_VALUE"""),"Pauta Canal de YouTube | El Eternauta")</f>
        <v>Pauta Canal de YouTube | El Eternauta</v>
      </c>
      <c r="C158" s="3">
        <f>IFERROR(__xludf.DUMMYFUNCTION("""COMPUTED_VALUE"""),46071.0)</f>
        <v>46071</v>
      </c>
      <c r="D158" s="3">
        <f>IFERROR(__xludf.DUMMYFUNCTION("""COMPUTED_VALUE"""),46080.0)</f>
        <v>46080</v>
      </c>
      <c r="E158" s="2" t="str">
        <f>IFERROR(__xludf.DUMMYFUNCTION("""COMPUTED_VALUE"""),"Otros")</f>
        <v>Otros</v>
      </c>
      <c r="F158" s="2" t="str">
        <f>IFERROR(__xludf.DUMMYFUNCTION("""COMPUTED_VALUE"""),"Innovación Digital")</f>
        <v>Innovación Digital</v>
      </c>
      <c r="G158" s="2" t="str">
        <f>IFERROR(__xludf.DUMMYFUNCTION("""COMPUTED_VALUE"""),"Finalizada")</f>
        <v>Finalizada</v>
      </c>
      <c r="H158" s="4">
        <v>1006456.0</v>
      </c>
      <c r="I158" s="4">
        <v>230853.0</v>
      </c>
      <c r="J158" s="4">
        <v>1038.0</v>
      </c>
      <c r="K158" s="4">
        <v>194008.0</v>
      </c>
      <c r="L158" s="5">
        <v>1.4523524803100902</v>
      </c>
      <c r="M158" s="5">
        <v>5.187703599851552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0.0</v>
      </c>
      <c r="AD158" s="4"/>
      <c r="AE158" s="4" t="s">
        <v>8</v>
      </c>
    </row>
    <row r="159" ht="16.5" customHeight="1">
      <c r="A159" s="2" t="str">
        <f>IFERROR(__xludf.DUMMYFUNCTION("""COMPUTED_VALUE"""),"2577-FEBSALGC")</f>
        <v>2577-FEBSALGC</v>
      </c>
      <c r="B159" s="2" t="str">
        <f>IFERROR(__xludf.DUMMYFUNCTION("""COMPUTED_VALUE"""),"IREP - Inicio de obra")</f>
        <v>IREP - Inicio de obra</v>
      </c>
      <c r="C159" s="3">
        <f>IFERROR(__xludf.DUMMYFUNCTION("""COMPUTED_VALUE"""),46073.0)</f>
        <v>46073</v>
      </c>
      <c r="D159" s="3">
        <f>IFERROR(__xludf.DUMMYFUNCTION("""COMPUTED_VALUE"""),46112.0)</f>
        <v>46112</v>
      </c>
      <c r="E159" s="2" t="str">
        <f>IFERROR(__xludf.DUMMYFUNCTION("""COMPUTED_VALUE"""),"Cuidado")</f>
        <v>Cuidado</v>
      </c>
      <c r="F159" s="2" t="str">
        <f>IFERROR(__xludf.DUMMYFUNCTION("""COMPUTED_VALUE"""),"Salud")</f>
        <v>Salud</v>
      </c>
      <c r="G159" s="2" t="str">
        <f>IFERROR(__xludf.DUMMYFUNCTION("""COMPUTED_VALUE"""),"Finalizada")</f>
        <v>Finalizada</v>
      </c>
      <c r="H159" s="4">
        <v>1934074.0</v>
      </c>
      <c r="I159" s="4">
        <v>0.0</v>
      </c>
      <c r="J159" s="4">
        <v>16775.0</v>
      </c>
      <c r="K159" s="4">
        <v>299697.0</v>
      </c>
      <c r="L159" s="5">
        <v>4.819517712890019</v>
      </c>
      <c r="M159" s="5">
        <v>6.453431298945268</v>
      </c>
      <c r="N159" s="4">
        <v>105784.0</v>
      </c>
      <c r="O159" s="4">
        <v>104725.0</v>
      </c>
      <c r="P159" s="4">
        <v>40872.0</v>
      </c>
      <c r="Q159" s="4">
        <v>900.0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/>
      <c r="AE159" s="6" t="s">
        <v>9</v>
      </c>
    </row>
    <row r="160" ht="16.5" customHeight="1">
      <c r="A160" s="2" t="str">
        <f>IFERROR(__xludf.DUMMYFUNCTION("""COMPUTED_VALUE"""),"2578-FEBSALVC")</f>
        <v>2578-FEBSALVC</v>
      </c>
      <c r="B160" s="2" t="str">
        <f>IFERROR(__xludf.DUMMYFUNCTION("""COMPUTED_VALUE"""),"RDV Ministros | Fernán Quirós - 13/02")</f>
        <v>RDV Ministros | Fernán Quirós - 13/02</v>
      </c>
      <c r="C160" s="3">
        <f>IFERROR(__xludf.DUMMYFUNCTION("""COMPUTED_VALUE"""),46062.0)</f>
        <v>46062</v>
      </c>
      <c r="D160" s="3">
        <f>IFERROR(__xludf.DUMMYFUNCTION("""COMPUTED_VALUE"""),46072.0)</f>
        <v>46072</v>
      </c>
      <c r="E160" s="2" t="str">
        <f>IFERROR(__xludf.DUMMYFUNCTION("""COMPUTED_VALUE"""),"Cercanía")</f>
        <v>Cercanía</v>
      </c>
      <c r="F160" s="2" t="str">
        <f>IFERROR(__xludf.DUMMYFUNCTION("""COMPUTED_VALUE"""),"Salud")</f>
        <v>Salud</v>
      </c>
      <c r="G160" s="2" t="str">
        <f>IFERROR(__xludf.DUMMYFUNCTION("""COMPUTED_VALUE"""),"Finalizada")</f>
        <v>Finalizada</v>
      </c>
      <c r="H160" s="4">
        <v>290769.0</v>
      </c>
      <c r="I160" s="4">
        <v>0.0</v>
      </c>
      <c r="J160" s="4">
        <v>252.0</v>
      </c>
      <c r="K160" s="4">
        <v>212778.0</v>
      </c>
      <c r="L160" s="5">
        <v>1.3665369540084031</v>
      </c>
      <c r="M160" s="5">
        <v>1.3665369540084031</v>
      </c>
      <c r="N160" s="4">
        <v>52245.0</v>
      </c>
      <c r="O160" s="4">
        <v>51256.0</v>
      </c>
      <c r="P160" s="4">
        <v>13315.0</v>
      </c>
      <c r="Q160" s="4">
        <v>278.0</v>
      </c>
      <c r="R160" s="4">
        <v>149.0</v>
      </c>
      <c r="S160" s="4">
        <v>149.0</v>
      </c>
      <c r="T160" s="4">
        <v>37.0</v>
      </c>
      <c r="U160" s="4">
        <v>36.0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/>
      <c r="AE160" s="6" t="s">
        <v>9</v>
      </c>
    </row>
    <row r="161" ht="16.5" customHeight="1">
      <c r="A161" s="2" t="str">
        <f>IFERROR(__xludf.DUMMYFUNCTION("""COMPUTED_VALUE"""),"2579-FEBINFGC")</f>
        <v>2579-FEBINFGC</v>
      </c>
      <c r="B161" s="2" t="str">
        <f>IFERROR(__xludf.DUMMYFUNCTION("""COMPUTED_VALUE"""),"Infraestructura - Carnaval: placa RRSS por cortes y desvíos")</f>
        <v>Infraestructura - Carnaval: placa RRSS por cortes y desvíos</v>
      </c>
      <c r="C161" s="3">
        <f>IFERROR(__xludf.DUMMYFUNCTION("""COMPUTED_VALUE"""),46064.0)</f>
        <v>46064</v>
      </c>
      <c r="D161" s="3">
        <f>IFERROR(__xludf.DUMMYFUNCTION("""COMPUTED_VALUE"""),46081.0)</f>
        <v>46081</v>
      </c>
      <c r="E161" s="2" t="str">
        <f>IFERROR(__xludf.DUMMYFUNCTION("""COMPUTED_VALUE"""),"M2")</f>
        <v>M2</v>
      </c>
      <c r="F161" s="2" t="str">
        <f>IFERROR(__xludf.DUMMYFUNCTION("""COMPUTED_VALUE"""),"Infraestructura")</f>
        <v>Infraestructura</v>
      </c>
      <c r="G161" s="2" t="str">
        <f>IFERROR(__xludf.DUMMYFUNCTION("""COMPUTED_VALUE"""),"Finalizada")</f>
        <v>Finalizada</v>
      </c>
      <c r="H161" s="4">
        <v>496654.0</v>
      </c>
      <c r="I161" s="4">
        <v>0.0</v>
      </c>
      <c r="J161" s="4">
        <v>1862.0</v>
      </c>
      <c r="K161" s="4">
        <v>247881.0</v>
      </c>
      <c r="L161" s="5">
        <v>2.003598500893574</v>
      </c>
      <c r="M161" s="5">
        <v>2.003598500893574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/>
      <c r="AE161" s="4" t="s">
        <v>8</v>
      </c>
    </row>
    <row r="162" ht="16.5" customHeight="1">
      <c r="A162" s="2" t="str">
        <f>IFERROR(__xludf.DUMMYFUNCTION("""COMPUTED_VALUE"""),"2580-FEBSEGGC")</f>
        <v>2580-FEBSEGGC</v>
      </c>
      <c r="B162" s="2" t="str">
        <f>IFERROR(__xludf.DUMMYFUNCTION("""COMPUTED_VALUE"""),"CAMPAÑA GCBA | SEGURIDAD | Desalojo en Palermo")</f>
        <v>CAMPAÑA GCBA | SEGURIDAD | Desalojo en Palermo</v>
      </c>
      <c r="C162" s="3">
        <f>IFERROR(__xludf.DUMMYFUNCTION("""COMPUTED_VALUE"""),46033.0)</f>
        <v>46033</v>
      </c>
      <c r="D162" s="3">
        <f>IFERROR(__xludf.DUMMYFUNCTION("""COMPUTED_VALUE"""),46078.0)</f>
        <v>46078</v>
      </c>
      <c r="E162" s="2" t="str">
        <f>IFERROR(__xludf.DUMMYFUNCTION("""COMPUTED_VALUE"""),"M2")</f>
        <v>M2</v>
      </c>
      <c r="F162" s="2" t="str">
        <f>IFERROR(__xludf.DUMMYFUNCTION("""COMPUTED_VALUE"""),"Seguridad")</f>
        <v>Seguridad</v>
      </c>
      <c r="G162" s="2" t="str">
        <f>IFERROR(__xludf.DUMMYFUNCTION("""COMPUTED_VALUE"""),"Finalizada")</f>
        <v>Finalizada</v>
      </c>
      <c r="H162" s="4">
        <v>3821571.0</v>
      </c>
      <c r="I162" s="4">
        <v>2375325.0</v>
      </c>
      <c r="J162" s="4">
        <v>3085.0</v>
      </c>
      <c r="K162" s="4"/>
      <c r="L162" s="5">
        <v>0.0</v>
      </c>
      <c r="M162" s="5">
        <v>0.0</v>
      </c>
      <c r="N162" s="4">
        <v>192611.0</v>
      </c>
      <c r="O162" s="4">
        <v>190508.0</v>
      </c>
      <c r="P162" s="4">
        <v>63723.0</v>
      </c>
      <c r="Q162" s="4">
        <v>1394.0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/>
      <c r="AE162" s="6" t="s">
        <v>9</v>
      </c>
    </row>
    <row r="163" ht="16.5" customHeight="1">
      <c r="A163" s="2" t="str">
        <f>IFERROR(__xludf.DUMMYFUNCTION("""COMPUTED_VALUE"""),"2581-FEBFESGC")</f>
        <v>2581-FEBFESGC</v>
      </c>
      <c r="B163" s="2" t="str">
        <f>IFERROR(__xludf.DUMMYFUNCTION("""COMPUTED_VALUE"""),"Verano BA | Día de los Enamorados")</f>
        <v>Verano BA | Día de los Enamorados</v>
      </c>
      <c r="C163" s="3">
        <f>IFERROR(__xludf.DUMMYFUNCTION("""COMPUTED_VALUE"""),46065.0)</f>
        <v>46065</v>
      </c>
      <c r="D163" s="3">
        <f>IFERROR(__xludf.DUMMYFUNCTION("""COMPUTED_VALUE"""),46079.0)</f>
        <v>46079</v>
      </c>
      <c r="E163" s="2" t="str">
        <f>IFERROR(__xludf.DUMMYFUNCTION("""COMPUTED_VALUE"""),"Ciudad Atractiva")</f>
        <v>Ciudad Atractiva</v>
      </c>
      <c r="F163" s="2" t="str">
        <f>IFERROR(__xludf.DUMMYFUNCTION("""COMPUTED_VALUE"""),"Festivales y Eventos")</f>
        <v>Festivales y Eventos</v>
      </c>
      <c r="G163" s="2" t="str">
        <f>IFERROR(__xludf.DUMMYFUNCTION("""COMPUTED_VALUE"""),"Finalizada")</f>
        <v>Finalizada</v>
      </c>
      <c r="H163" s="4">
        <v>2785130.0</v>
      </c>
      <c r="I163" s="4">
        <v>10708.0</v>
      </c>
      <c r="J163" s="4">
        <v>4338.0</v>
      </c>
      <c r="K163" s="4">
        <v>318767.0</v>
      </c>
      <c r="L163" s="5">
        <v>3.883322301241973</v>
      </c>
      <c r="M163" s="5">
        <v>8.737196761270772</v>
      </c>
      <c r="N163" s="4">
        <v>186518.0</v>
      </c>
      <c r="O163" s="4">
        <v>173572.0</v>
      </c>
      <c r="P163" s="4">
        <v>72559.0</v>
      </c>
      <c r="Q163" s="4">
        <v>1344.0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/>
      <c r="AE163" s="6" t="s">
        <v>9</v>
      </c>
    </row>
    <row r="164" ht="16.5" customHeight="1">
      <c r="A164" s="2" t="str">
        <f>IFERROR(__xludf.DUMMYFUNCTION("""COMPUTED_VALUE"""),"2582-FEBSALGC")</f>
        <v>2582-FEBSALGC</v>
      </c>
      <c r="B164" s="2" t="str">
        <f>IFERROR(__xludf.DUMMYFUNCTION("""COMPUTED_VALUE"""),"Htal. Tornu - Remodelación Sala Tomografía")</f>
        <v>Htal. Tornu - Remodelación Sala Tomografía</v>
      </c>
      <c r="C164" s="3">
        <f>IFERROR(__xludf.DUMMYFUNCTION("""COMPUTED_VALUE"""),46080.0)</f>
        <v>46080</v>
      </c>
      <c r="D164" s="3">
        <f>IFERROR(__xludf.DUMMYFUNCTION("""COMPUTED_VALUE"""),46112.0)</f>
        <v>46112</v>
      </c>
      <c r="E164" s="2" t="str">
        <f>IFERROR(__xludf.DUMMYFUNCTION("""COMPUTED_VALUE"""),"Cuidado")</f>
        <v>Cuidado</v>
      </c>
      <c r="F164" s="2" t="str">
        <f>IFERROR(__xludf.DUMMYFUNCTION("""COMPUTED_VALUE"""),"Salud")</f>
        <v>Salud</v>
      </c>
      <c r="G164" s="2" t="str">
        <f>IFERROR(__xludf.DUMMYFUNCTION("""COMPUTED_VALUE"""),"Finalizada")</f>
        <v>Finalizada</v>
      </c>
      <c r="H164" s="4">
        <v>958322.0</v>
      </c>
      <c r="I164" s="4">
        <v>0.0</v>
      </c>
      <c r="J164" s="4">
        <v>3586.0</v>
      </c>
      <c r="K164" s="4">
        <v>594706.0</v>
      </c>
      <c r="L164" s="5">
        <v>1.2957360443647785</v>
      </c>
      <c r="M164" s="5">
        <v>1.6114214418553032</v>
      </c>
      <c r="N164" s="4">
        <v>51337.0</v>
      </c>
      <c r="O164" s="4">
        <v>50761.0</v>
      </c>
      <c r="P164" s="4">
        <v>17323.0</v>
      </c>
      <c r="Q164" s="4">
        <v>357.0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/>
      <c r="AE164" s="6" t="s">
        <v>9</v>
      </c>
    </row>
    <row r="165" ht="16.5" customHeight="1">
      <c r="A165" s="2" t="str">
        <f>IFERROR(__xludf.DUMMYFUNCTION("""COMPUTED_VALUE"""),"2583-FEBSALGC")</f>
        <v>2583-FEBSALGC</v>
      </c>
      <c r="B165" s="2" t="str">
        <f>IFERROR(__xludf.DUMMYFUNCTION("""COMPUTED_VALUE"""),"Durante de obra - Htal. Rocca")</f>
        <v>Durante de obra - Htal. Rocca</v>
      </c>
      <c r="C165" s="3">
        <f>IFERROR(__xludf.DUMMYFUNCTION("""COMPUTED_VALUE"""),46076.0)</f>
        <v>46076</v>
      </c>
      <c r="D165" s="3">
        <f>IFERROR(__xludf.DUMMYFUNCTION("""COMPUTED_VALUE"""),46090.0)</f>
        <v>46090</v>
      </c>
      <c r="E165" s="2" t="str">
        <f>IFERROR(__xludf.DUMMYFUNCTION("""COMPUTED_VALUE"""),"Cuidado")</f>
        <v>Cuidado</v>
      </c>
      <c r="F165" s="2" t="str">
        <f>IFERROR(__xludf.DUMMYFUNCTION("""COMPUTED_VALUE"""),"Salud")</f>
        <v>Salud</v>
      </c>
      <c r="G165" s="2" t="str">
        <f>IFERROR(__xludf.DUMMYFUNCTION("""COMPUTED_VALUE"""),"Finalizada")</f>
        <v>Finalizada</v>
      </c>
      <c r="H165" s="4">
        <v>1507386.0</v>
      </c>
      <c r="I165" s="4">
        <v>786271.0</v>
      </c>
      <c r="J165" s="4">
        <v>2087.0</v>
      </c>
      <c r="K165" s="4">
        <v>149810.0</v>
      </c>
      <c r="L165" s="5">
        <v>2.021246912756158</v>
      </c>
      <c r="M165" s="5">
        <v>10.061985181229558</v>
      </c>
      <c r="N165" s="4">
        <v>55919.0</v>
      </c>
      <c r="O165" s="4">
        <v>55365.0</v>
      </c>
      <c r="P165" s="4">
        <v>16389.0</v>
      </c>
      <c r="Q165" s="4">
        <v>432.0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/>
      <c r="AE165" s="6" t="s">
        <v>9</v>
      </c>
    </row>
    <row r="166" ht="16.5" customHeight="1">
      <c r="A166" s="2" t="str">
        <f>IFERROR(__xludf.DUMMYFUNCTION("""COMPUTED_VALUE"""),"2584-FEBPCCVC")</f>
        <v>2584-FEBPCCVC</v>
      </c>
      <c r="B166" s="2" t="str">
        <f>IFERROR(__xludf.DUMMYFUNCTION("""COMPUTED_VALUE"""),"Votación - Priorización de nombre PBN Fomentista")</f>
        <v>Votación - Priorización de nombre PBN Fomentista</v>
      </c>
      <c r="C166" s="3">
        <f>IFERROR(__xludf.DUMMYFUNCTION("""COMPUTED_VALUE"""),46079.0)</f>
        <v>46079</v>
      </c>
      <c r="D166" s="3">
        <f>IFERROR(__xludf.DUMMYFUNCTION("""COMPUTED_VALUE"""),46079.0)</f>
        <v>46079</v>
      </c>
      <c r="E166" s="2" t="str">
        <f>IFERROR(__xludf.DUMMYFUNCTION("""COMPUTED_VALUE"""),"Cercanía")</f>
        <v>Cercanía</v>
      </c>
      <c r="F166" s="2" t="str">
        <f>IFERROR(__xludf.DUMMYFUNCTION("""COMPUTED_VALUE"""),"Cercanía y PC")</f>
        <v>Cercanía y PC</v>
      </c>
      <c r="G166" s="2" t="str">
        <f>IFERROR(__xludf.DUMMYFUNCTION("""COMPUTED_VALUE"""),"Finalizada")</f>
        <v>Finalizada</v>
      </c>
      <c r="H166" s="4">
        <v>0.0</v>
      </c>
      <c r="I166" s="4">
        <v>0.0</v>
      </c>
      <c r="J166" s="4">
        <v>0.0</v>
      </c>
      <c r="K166" s="4">
        <v>0.0</v>
      </c>
      <c r="L166" s="5">
        <v>0.0</v>
      </c>
      <c r="M166" s="5">
        <v>0.0</v>
      </c>
      <c r="N166" s="4">
        <v>87731.0</v>
      </c>
      <c r="O166" s="4">
        <v>86854.0</v>
      </c>
      <c r="P166" s="4">
        <v>26924.0</v>
      </c>
      <c r="Q166" s="4">
        <v>2103.0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0.0</v>
      </c>
      <c r="AD166" s="4" t="s">
        <v>8</v>
      </c>
      <c r="AE166" s="6" t="s">
        <v>9</v>
      </c>
    </row>
    <row r="167" ht="16.5" customHeight="1">
      <c r="A167" s="2" t="str">
        <f>IFERROR(__xludf.DUMMYFUNCTION("""COMPUTED_VALUE"""),"2585-FEBEPHGC")</f>
        <v>2585-FEBEPHGC</v>
      </c>
      <c r="B167" s="2" t="str">
        <f>IFERROR(__xludf.DUMMYFUNCTION("""COMPUTED_VALUE"""),"CAMPAÑA GCBA | MEPHU | FIN DE OBRA CALLE TUCUMÁN")</f>
        <v>CAMPAÑA GCBA | MEPHU | FIN DE OBRA CALLE TUCUMÁN</v>
      </c>
      <c r="C167" s="3">
        <f>IFERROR(__xludf.DUMMYFUNCTION("""COMPUTED_VALUE"""),46072.0)</f>
        <v>46072</v>
      </c>
      <c r="D167" s="3">
        <f>IFERROR(__xludf.DUMMYFUNCTION("""COMPUTED_VALUE"""),46087.0)</f>
        <v>46087</v>
      </c>
      <c r="E167" s="2" t="str">
        <f>IFERROR(__xludf.DUMMYFUNCTION("""COMPUTED_VALUE"""),"M2")</f>
        <v>M2</v>
      </c>
      <c r="F167" s="2" t="str">
        <f>IFERROR(__xludf.DUMMYFUNCTION("""COMPUTED_VALUE"""),"Espacio Público e Higiene Urbana")</f>
        <v>Espacio Público e Higiene Urbana</v>
      </c>
      <c r="G167" s="2" t="str">
        <f>IFERROR(__xludf.DUMMYFUNCTION("""COMPUTED_VALUE"""),"Finalizada")</f>
        <v>Finalizada</v>
      </c>
      <c r="H167" s="4">
        <v>123597.0</v>
      </c>
      <c r="I167" s="4">
        <v>0.0</v>
      </c>
      <c r="J167" s="4">
        <v>1.0</v>
      </c>
      <c r="K167" s="4">
        <v>83599.0</v>
      </c>
      <c r="L167" s="5">
        <v>1.4784506991710427</v>
      </c>
      <c r="M167" s="5">
        <v>1.4784506991710427</v>
      </c>
      <c r="N167" s="4">
        <v>70551.0</v>
      </c>
      <c r="O167" s="4">
        <v>69711.0</v>
      </c>
      <c r="P167" s="4">
        <v>23779.0</v>
      </c>
      <c r="Q167" s="4">
        <v>46.0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0.0</v>
      </c>
      <c r="AD167" s="4"/>
      <c r="AE167" s="6" t="s">
        <v>9</v>
      </c>
    </row>
    <row r="168" ht="16.5" customHeight="1">
      <c r="A168" s="2" t="str">
        <f>IFERROR(__xludf.DUMMYFUNCTION("""COMPUTED_VALUE"""),"2586-FEBFESGC")</f>
        <v>2586-FEBFESGC</v>
      </c>
      <c r="B168" s="2" t="str">
        <f>IFERROR(__xludf.DUMMYFUNCTION("""COMPUTED_VALUE"""),"Verano BA | Ciudad Joven BA Verano edición febrero")</f>
        <v>Verano BA | Ciudad Joven BA Verano edición febrero</v>
      </c>
      <c r="C168" s="3">
        <f>IFERROR(__xludf.DUMMYFUNCTION("""COMPUTED_VALUE"""),46072.0)</f>
        <v>46072</v>
      </c>
      <c r="D168" s="3">
        <f>IFERROR(__xludf.DUMMYFUNCTION("""COMPUTED_VALUE"""),46072.0)</f>
        <v>46072</v>
      </c>
      <c r="E168" s="2" t="str">
        <f>IFERROR(__xludf.DUMMYFUNCTION("""COMPUTED_VALUE"""),"Ciudad Atractiva")</f>
        <v>Ciudad Atractiva</v>
      </c>
      <c r="F168" s="2" t="str">
        <f>IFERROR(__xludf.DUMMYFUNCTION("""COMPUTED_VALUE"""),"Festivales y Eventos")</f>
        <v>Festivales y Eventos</v>
      </c>
      <c r="G168" s="2" t="str">
        <f>IFERROR(__xludf.DUMMYFUNCTION("""COMPUTED_VALUE"""),"Finalizada")</f>
        <v>Finalizada</v>
      </c>
      <c r="H168" s="4">
        <v>0.0</v>
      </c>
      <c r="I168" s="4">
        <v>0.0</v>
      </c>
      <c r="J168" s="4">
        <v>0.0</v>
      </c>
      <c r="K168" s="4">
        <v>0.0</v>
      </c>
      <c r="L168" s="5">
        <v>0.0</v>
      </c>
      <c r="M168" s="5">
        <v>0.0</v>
      </c>
      <c r="N168" s="4">
        <v>185244.0</v>
      </c>
      <c r="O168" s="4">
        <v>183070.0</v>
      </c>
      <c r="P168" s="4">
        <v>76523.0</v>
      </c>
      <c r="Q168" s="4">
        <v>756.0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  <c r="AD168" s="4" t="s">
        <v>8</v>
      </c>
      <c r="AE168" s="6" t="s">
        <v>9</v>
      </c>
    </row>
    <row r="169" ht="16.5" customHeight="1">
      <c r="A169" s="2" t="str">
        <f>IFERROR(__xludf.DUMMYFUNCTION("""COMPUTED_VALUE"""),"2587-FEBCULGC")</f>
        <v>2587-FEBCULGC</v>
      </c>
      <c r="B169" s="2" t="str">
        <f>IFERROR(__xludf.DUMMYFUNCTION("""COMPUTED_VALUE"""),"Campaña Suscripciones 2026")</f>
        <v>Campaña Suscripciones 2026</v>
      </c>
      <c r="C169" s="3">
        <f>IFERROR(__xludf.DUMMYFUNCTION("""COMPUTED_VALUE"""),46083.0)</f>
        <v>46083</v>
      </c>
      <c r="D169" s="3">
        <f>IFERROR(__xludf.DUMMYFUNCTION("""COMPUTED_VALUE"""),46265.0)</f>
        <v>46265</v>
      </c>
      <c r="E169" s="2" t="str">
        <f>IFERROR(__xludf.DUMMYFUNCTION("""COMPUTED_VALUE"""),"Ciudad Atractiva")</f>
        <v>Ciudad Atractiva</v>
      </c>
      <c r="F169" s="2" t="str">
        <f>IFERROR(__xludf.DUMMYFUNCTION("""COMPUTED_VALUE"""),"Cultura")</f>
        <v>Cultura</v>
      </c>
      <c r="G169" s="2" t="str">
        <f>IFERROR(__xludf.DUMMYFUNCTION("""COMPUTED_VALUE"""),"Activa")</f>
        <v>Activa</v>
      </c>
      <c r="H169" s="4">
        <v>9126132.0</v>
      </c>
      <c r="I169" s="4">
        <v>743013.0</v>
      </c>
      <c r="J169" s="4">
        <v>220043.0</v>
      </c>
      <c r="K169" s="4">
        <v>402275.0</v>
      </c>
      <c r="L169" s="5">
        <v>3.576396743521223</v>
      </c>
      <c r="M169" s="5">
        <v>22.686301659312658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0.0</v>
      </c>
      <c r="AD169" s="4"/>
      <c r="AE169" s="4" t="s">
        <v>8</v>
      </c>
    </row>
    <row r="170" ht="16.5" customHeight="1">
      <c r="A170" s="2" t="str">
        <f>IFERROR(__xludf.DUMMYFUNCTION("""COMPUTED_VALUE"""),"2588-FEBINFGC")</f>
        <v>2588-FEBINFGC</v>
      </c>
      <c r="B170" s="2" t="str">
        <f>IFERROR(__xludf.DUMMYFUNCTION("""COMPUTED_VALUE""")," Infraestructura | Fin de obra Av Independencia")</f>
        <v> Infraestructura | Fin de obra Av Independencia</v>
      </c>
      <c r="C170" s="3">
        <f>IFERROR(__xludf.DUMMYFUNCTION("""COMPUTED_VALUE"""),46071.0)</f>
        <v>46071</v>
      </c>
      <c r="D170" s="3">
        <f>IFERROR(__xludf.DUMMYFUNCTION("""COMPUTED_VALUE"""),46071.0)</f>
        <v>46071</v>
      </c>
      <c r="E170" s="2" t="str">
        <f>IFERROR(__xludf.DUMMYFUNCTION("""COMPUTED_VALUE"""),"M2")</f>
        <v>M2</v>
      </c>
      <c r="F170" s="2" t="str">
        <f>IFERROR(__xludf.DUMMYFUNCTION("""COMPUTED_VALUE"""),"Infraestructura")</f>
        <v>Infraestructura</v>
      </c>
      <c r="G170" s="2" t="str">
        <f>IFERROR(__xludf.DUMMYFUNCTION("""COMPUTED_VALUE"""),"Finalizada")</f>
        <v>Finalizada</v>
      </c>
      <c r="H170" s="4">
        <v>0.0</v>
      </c>
      <c r="I170" s="4">
        <v>0.0</v>
      </c>
      <c r="J170" s="4">
        <v>0.0</v>
      </c>
      <c r="K170" s="4">
        <v>0.0</v>
      </c>
      <c r="L170" s="5">
        <v>0.0</v>
      </c>
      <c r="M170" s="5">
        <v>0.0</v>
      </c>
      <c r="N170" s="4">
        <v>12011.0</v>
      </c>
      <c r="O170" s="4">
        <v>11876.0</v>
      </c>
      <c r="P170" s="4">
        <v>3808.0</v>
      </c>
      <c r="Q170" s="4">
        <v>165.0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 t="s">
        <v>8</v>
      </c>
      <c r="AE170" s="6" t="s">
        <v>9</v>
      </c>
    </row>
    <row r="171" ht="16.5" customHeight="1">
      <c r="A171" s="2" t="str">
        <f>IFERROR(__xludf.DUMMYFUNCTION("""COMPUTED_VALUE"""),"2589-FEBSALGJ")</f>
        <v>2589-FEBSALGJ</v>
      </c>
      <c r="B171" s="2" t="str">
        <f>IFERROR(__xludf.DUMMYFUNCTION("""COMPUTED_VALUE"""),"Nuevo CEMAR 3")</f>
        <v>Nuevo CEMAR 3</v>
      </c>
      <c r="C171" s="3">
        <f>IFERROR(__xludf.DUMMYFUNCTION("""COMPUTED_VALUE"""),46079.0)</f>
        <v>46079</v>
      </c>
      <c r="D171" s="3">
        <f>IFERROR(__xludf.DUMMYFUNCTION("""COMPUTED_VALUE"""),46115.0)</f>
        <v>46115</v>
      </c>
      <c r="E171" s="2" t="str">
        <f>IFERROR(__xludf.DUMMYFUNCTION("""COMPUTED_VALUE"""),"Cuidado")</f>
        <v>Cuidado</v>
      </c>
      <c r="F171" s="2" t="str">
        <f>IFERROR(__xludf.DUMMYFUNCTION("""COMPUTED_VALUE"""),"Salud")</f>
        <v>Salud</v>
      </c>
      <c r="G171" s="2" t="str">
        <f>IFERROR(__xludf.DUMMYFUNCTION("""COMPUTED_VALUE"""),"Finalizada")</f>
        <v>Finalizada</v>
      </c>
      <c r="H171" s="4">
        <v>1.3140755E7</v>
      </c>
      <c r="I171" s="4">
        <v>3915748.0</v>
      </c>
      <c r="J171" s="4">
        <v>27867.0</v>
      </c>
      <c r="K171" s="4">
        <v>508095.0</v>
      </c>
      <c r="L171" s="5">
        <v>3.51186490715319</v>
      </c>
      <c r="M171" s="5">
        <v>25.86279140711875</v>
      </c>
      <c r="N171" s="4">
        <v>441013.0</v>
      </c>
      <c r="O171" s="4">
        <v>434912.0</v>
      </c>
      <c r="P171" s="4">
        <v>71299.0</v>
      </c>
      <c r="Q171" s="4">
        <v>1719.0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0.0</v>
      </c>
      <c r="AD171" s="4"/>
      <c r="AE171" s="6" t="s">
        <v>9</v>
      </c>
    </row>
    <row r="172" ht="16.5" customHeight="1">
      <c r="A172" s="2" t="str">
        <f>IFERROR(__xludf.DUMMYFUNCTION("""COMPUTED_VALUE"""),"2590-FEBINFGC")</f>
        <v>2590-FEBINFGC</v>
      </c>
      <c r="B172" s="2" t="str">
        <f>IFERROR(__xludf.DUMMYFUNCTION("""COMPUTED_VALUE"""),"Cortes y desvíos en MTB por obras")</f>
        <v>Cortes y desvíos en MTB por obras</v>
      </c>
      <c r="C172" s="3">
        <f>IFERROR(__xludf.DUMMYFUNCTION("""COMPUTED_VALUE"""),46063.0)</f>
        <v>46063</v>
      </c>
      <c r="D172" s="3">
        <f>IFERROR(__xludf.DUMMYFUNCTION("""COMPUTED_VALUE"""),46073.0)</f>
        <v>46073</v>
      </c>
      <c r="E172" s="2" t="str">
        <f>IFERROR(__xludf.DUMMYFUNCTION("""COMPUTED_VALUE"""),"Movilidad")</f>
        <v>Movilidad</v>
      </c>
      <c r="F172" s="2" t="str">
        <f>IFERROR(__xludf.DUMMYFUNCTION("""COMPUTED_VALUE"""),"Infraestructura")</f>
        <v>Infraestructura</v>
      </c>
      <c r="G172" s="2" t="str">
        <f>IFERROR(__xludf.DUMMYFUNCTION("""COMPUTED_VALUE"""),"Finalizada")</f>
        <v>Finalizada</v>
      </c>
      <c r="H172" s="4">
        <v>257758.0</v>
      </c>
      <c r="I172" s="4">
        <v>0.0</v>
      </c>
      <c r="J172" s="4">
        <v>16.0</v>
      </c>
      <c r="K172" s="4">
        <v>1907063.0</v>
      </c>
      <c r="L172" s="5">
        <v>0.13515966698530674</v>
      </c>
      <c r="M172" s="5">
        <v>0.13515966698530674</v>
      </c>
      <c r="N172" s="4">
        <v>67744.0</v>
      </c>
      <c r="O172" s="4">
        <v>66507.0</v>
      </c>
      <c r="P172" s="4">
        <v>20295.0</v>
      </c>
      <c r="Q172" s="4">
        <v>65.0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0.0</v>
      </c>
      <c r="AD172" s="4"/>
      <c r="AE172" s="6" t="s">
        <v>9</v>
      </c>
    </row>
    <row r="173" ht="16.5" customHeight="1">
      <c r="A173" s="2" t="str">
        <f>IFERROR(__xludf.DUMMYFUNCTION("""COMPUTED_VALUE"""),"2591-FEBINFGC")</f>
        <v>2591-FEBINFGC</v>
      </c>
      <c r="B173" s="2" t="str">
        <f>IFERROR(__xludf.DUMMYFUNCTION("""COMPUTED_VALUE"""),"Cortes y desvíos en River por evento Bad Bunny")</f>
        <v>Cortes y desvíos en River por evento Bad Bunny</v>
      </c>
      <c r="C173" s="3">
        <f>IFERROR(__xludf.DUMMYFUNCTION("""COMPUTED_VALUE"""),46064.0)</f>
        <v>46064</v>
      </c>
      <c r="D173" s="3">
        <f>IFERROR(__xludf.DUMMYFUNCTION("""COMPUTED_VALUE"""),46068.0)</f>
        <v>46068</v>
      </c>
      <c r="E173" s="2" t="str">
        <f>IFERROR(__xludf.DUMMYFUNCTION("""COMPUTED_VALUE"""),"Movilidad")</f>
        <v>Movilidad</v>
      </c>
      <c r="F173" s="2" t="str">
        <f>IFERROR(__xludf.DUMMYFUNCTION("""COMPUTED_VALUE"""),"Infraestructura")</f>
        <v>Infraestructura</v>
      </c>
      <c r="G173" s="2" t="str">
        <f>IFERROR(__xludf.DUMMYFUNCTION("""COMPUTED_VALUE"""),"Finalizada")</f>
        <v>Finalizada</v>
      </c>
      <c r="H173" s="4">
        <v>55964.0</v>
      </c>
      <c r="I173" s="4">
        <v>0.0</v>
      </c>
      <c r="J173" s="4">
        <v>1209.0</v>
      </c>
      <c r="K173" s="4">
        <v>40497.0</v>
      </c>
      <c r="L173" s="5">
        <v>1.3819295256438748</v>
      </c>
      <c r="M173" s="5">
        <v>1.3819295256438748</v>
      </c>
      <c r="N173" s="4">
        <v>76187.0</v>
      </c>
      <c r="O173" s="4">
        <v>74855.0</v>
      </c>
      <c r="P173" s="4">
        <v>30536.0</v>
      </c>
      <c r="Q173" s="4">
        <v>661.0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45689.0</v>
      </c>
      <c r="AB173" s="4">
        <v>43898.0</v>
      </c>
      <c r="AC173" s="4">
        <v>1288.0</v>
      </c>
      <c r="AD173" s="4"/>
      <c r="AE173" s="6" t="s">
        <v>9</v>
      </c>
    </row>
    <row r="174" ht="16.5" customHeight="1">
      <c r="A174" s="2" t="str">
        <f>IFERROR(__xludf.DUMMYFUNCTION("""COMPUTED_VALUE"""),"2592-FEBSEGGC")</f>
        <v>2592-FEBSEGGC</v>
      </c>
      <c r="B174" s="2" t="str">
        <f>IFERROR(__xludf.DUMMYFUNCTION("""COMPUTED_VALUE"""),"CAMPAÑA GCBA | SEGURIDAD | Megaoperativo motochorros PDLC")</f>
        <v>CAMPAÑA GCBA | SEGURIDAD | Megaoperativo motochorros PDLC</v>
      </c>
      <c r="C174" s="3">
        <f>IFERROR(__xludf.DUMMYFUNCTION("""COMPUTED_VALUE"""),46066.0)</f>
        <v>46066</v>
      </c>
      <c r="D174" s="3">
        <f>IFERROR(__xludf.DUMMYFUNCTION("""COMPUTED_VALUE"""),46112.0)</f>
        <v>46112</v>
      </c>
      <c r="E174" s="2" t="str">
        <f>IFERROR(__xludf.DUMMYFUNCTION("""COMPUTED_VALUE"""),"M2")</f>
        <v>M2</v>
      </c>
      <c r="F174" s="2" t="str">
        <f>IFERROR(__xludf.DUMMYFUNCTION("""COMPUTED_VALUE"""),"Seguridad")</f>
        <v>Seguridad</v>
      </c>
      <c r="G174" s="2" t="str">
        <f>IFERROR(__xludf.DUMMYFUNCTION("""COMPUTED_VALUE"""),"Finalizada")</f>
        <v>Finalizada</v>
      </c>
      <c r="H174" s="4">
        <v>2.2257189E7</v>
      </c>
      <c r="I174" s="4">
        <v>1.0622542E7</v>
      </c>
      <c r="J174" s="4">
        <v>20137.0</v>
      </c>
      <c r="K174" s="4">
        <v>31632.0</v>
      </c>
      <c r="L174" s="5">
        <v>58.04685128983308</v>
      </c>
      <c r="M174" s="5">
        <v>703.6288884673748</v>
      </c>
      <c r="N174" s="4">
        <v>389752.0</v>
      </c>
      <c r="O174" s="4">
        <v>387937.0</v>
      </c>
      <c r="P174" s="4">
        <v>206767.0</v>
      </c>
      <c r="Q174" s="4">
        <v>3394.0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  <c r="AD174" s="4"/>
      <c r="AE174" s="6" t="s">
        <v>9</v>
      </c>
    </row>
    <row r="175" ht="16.5" customHeight="1">
      <c r="A175" s="2" t="str">
        <f>IFERROR(__xludf.DUMMYFUNCTION("""COMPUTED_VALUE"""),"2593-FEBSEGGC")</f>
        <v>2593-FEBSEGGC</v>
      </c>
      <c r="B175" s="2" t="str">
        <f>IFERROR(__xludf.DUMMYFUNCTION("""COMPUTED_VALUE"""),"CAMPAÑA GCBA | SEGURIDAD | Un año sin manteros en Flores")</f>
        <v>CAMPAÑA GCBA | SEGURIDAD | Un año sin manteros en Flores</v>
      </c>
      <c r="C175" s="3">
        <f>IFERROR(__xludf.DUMMYFUNCTION("""COMPUTED_VALUE"""),46066.0)</f>
        <v>46066</v>
      </c>
      <c r="D175" s="3">
        <f>IFERROR(__xludf.DUMMYFUNCTION("""COMPUTED_VALUE"""),46112.0)</f>
        <v>46112</v>
      </c>
      <c r="E175" s="2" t="str">
        <f>IFERROR(__xludf.DUMMYFUNCTION("""COMPUTED_VALUE"""),"M2")</f>
        <v>M2</v>
      </c>
      <c r="F175" s="2" t="str">
        <f>IFERROR(__xludf.DUMMYFUNCTION("""COMPUTED_VALUE"""),"Seguridad")</f>
        <v>Seguridad</v>
      </c>
      <c r="G175" s="2" t="str">
        <f>IFERROR(__xludf.DUMMYFUNCTION("""COMPUTED_VALUE"""),"Finalizada")</f>
        <v>Finalizada</v>
      </c>
      <c r="H175" s="4">
        <v>7415748.0</v>
      </c>
      <c r="I175" s="4">
        <v>474904.0</v>
      </c>
      <c r="J175" s="4">
        <v>19061.0</v>
      </c>
      <c r="K175" s="4">
        <v>156446.0</v>
      </c>
      <c r="L175" s="5">
        <v>13.380322922925481</v>
      </c>
      <c r="M175" s="5">
        <v>47.401326975442004</v>
      </c>
      <c r="N175" s="4">
        <v>287357.0</v>
      </c>
      <c r="O175" s="4">
        <v>285644.0</v>
      </c>
      <c r="P175" s="4">
        <v>130651.0</v>
      </c>
      <c r="Q175" s="4">
        <v>502.0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  <c r="AD175" s="4"/>
      <c r="AE175" s="6" t="s">
        <v>9</v>
      </c>
    </row>
    <row r="176" ht="16.5" customHeight="1">
      <c r="A176" s="2" t="str">
        <f>IFERROR(__xludf.DUMMYFUNCTION("""COMPUTED_VALUE"""),"2594-FEBAMBVC")</f>
        <v>2594-FEBAMBVC</v>
      </c>
      <c r="B176" s="2" t="str">
        <f>IFERROR(__xludf.DUMMYFUNCTION("""COMPUTED_VALUE"""),"RDV Ministros | Clara Muzzio - 4/3 - San Telmo")</f>
        <v>RDV Ministros | Clara Muzzio - 4/3 - San Telmo</v>
      </c>
      <c r="C176" s="3">
        <f>IFERROR(__xludf.DUMMYFUNCTION("""COMPUTED_VALUE"""),46079.0)</f>
        <v>46079</v>
      </c>
      <c r="D176" s="3">
        <f>IFERROR(__xludf.DUMMYFUNCTION("""COMPUTED_VALUE"""),46086.0)</f>
        <v>46086</v>
      </c>
      <c r="E176" s="2" t="str">
        <f>IFERROR(__xludf.DUMMYFUNCTION("""COMPUTED_VALUE"""),"Cercanía")</f>
        <v>Cercanía</v>
      </c>
      <c r="F176" s="2" t="str">
        <f>IFERROR(__xludf.DUMMYFUNCTION("""COMPUTED_VALUE"""),"Vicejefatura (Ambiente)")</f>
        <v>Vicejefatura (Ambiente)</v>
      </c>
      <c r="G176" s="2" t="str">
        <f>IFERROR(__xludf.DUMMYFUNCTION("""COMPUTED_VALUE"""),"Finalizada")</f>
        <v>Finalizada</v>
      </c>
      <c r="H176" s="4">
        <v>31281.0</v>
      </c>
      <c r="I176" s="4">
        <v>0.0</v>
      </c>
      <c r="J176" s="4">
        <v>159.0</v>
      </c>
      <c r="K176" s="4">
        <v>339823.0</v>
      </c>
      <c r="L176" s="5">
        <v>0.09205086177215786</v>
      </c>
      <c r="M176" s="5">
        <v>0.09205086177215786</v>
      </c>
      <c r="N176" s="4">
        <v>28955.0</v>
      </c>
      <c r="O176" s="4">
        <v>28564.0</v>
      </c>
      <c r="P176" s="4">
        <v>5707.0</v>
      </c>
      <c r="Q176" s="4">
        <v>222.0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/>
      <c r="AE176" s="6" t="s">
        <v>9</v>
      </c>
    </row>
    <row r="177" ht="16.5" customHeight="1">
      <c r="A177" s="2" t="str">
        <f>IFERROR(__xludf.DUMMYFUNCTION("""COMPUTED_VALUE"""),"2595-FEBJDGAG")</f>
        <v>2595-FEBJDGAG</v>
      </c>
      <c r="B177" s="2" t="str">
        <f>IFERROR(__xludf.DUMMYFUNCTION("""COMPUTED_VALUE"""),"RDV JM | 19/02 Villa Lugano")</f>
        <v>RDV JM | 19/02 Villa Lugano</v>
      </c>
      <c r="C177" s="3">
        <f>IFERROR(__xludf.DUMMYFUNCTION("""COMPUTED_VALUE"""),46065.0)</f>
        <v>46065</v>
      </c>
      <c r="D177" s="3">
        <f>IFERROR(__xludf.DUMMYFUNCTION("""COMPUTED_VALUE"""),46086.0)</f>
        <v>46086</v>
      </c>
      <c r="E177" s="2" t="str">
        <f>IFERROR(__xludf.DUMMYFUNCTION("""COMPUTED_VALUE"""),"Cercanía")</f>
        <v>Cercanía</v>
      </c>
      <c r="F177" s="2" t="str">
        <f>IFERROR(__xludf.DUMMYFUNCTION("""COMPUTED_VALUE"""),"Jefatura de Gobierno")</f>
        <v>Jefatura de Gobierno</v>
      </c>
      <c r="G177" s="2" t="str">
        <f>IFERROR(__xludf.DUMMYFUNCTION("""COMPUTED_VALUE"""),"Finalizada")</f>
        <v>Finalizada</v>
      </c>
      <c r="H177" s="4">
        <v>4006854.0</v>
      </c>
      <c r="I177" s="4">
        <v>1195571.0</v>
      </c>
      <c r="J177" s="4">
        <v>12053.0</v>
      </c>
      <c r="K177" s="4">
        <v>84069.0</v>
      </c>
      <c r="L177" s="5">
        <v>4.132652939847031</v>
      </c>
      <c r="M177" s="5">
        <v>47.66149234557328</v>
      </c>
      <c r="N177" s="4">
        <v>43748.0</v>
      </c>
      <c r="O177" s="4">
        <v>42803.0</v>
      </c>
      <c r="P177" s="4">
        <v>6332.0</v>
      </c>
      <c r="Q177" s="4">
        <v>327.0</v>
      </c>
      <c r="R177" s="4">
        <v>6385.0</v>
      </c>
      <c r="S177" s="4">
        <v>2780.0</v>
      </c>
      <c r="T177" s="4">
        <v>610.0</v>
      </c>
      <c r="U177" s="4">
        <v>480.0</v>
      </c>
      <c r="V177" s="4">
        <v>21453.0</v>
      </c>
      <c r="W177" s="4">
        <v>21453.0</v>
      </c>
      <c r="X177" s="4">
        <v>19026.0</v>
      </c>
      <c r="Y177" s="4">
        <v>8302.0</v>
      </c>
      <c r="Z177" s="4">
        <v>114.0</v>
      </c>
      <c r="AA177" s="4">
        <v>0.0</v>
      </c>
      <c r="AB177" s="4">
        <v>0.0</v>
      </c>
      <c r="AC177" s="4">
        <v>0.0</v>
      </c>
      <c r="AD177" s="4"/>
      <c r="AE177" s="6" t="s">
        <v>9</v>
      </c>
    </row>
    <row r="178" ht="16.5" customHeight="1">
      <c r="A178" s="2" t="str">
        <f>IFERROR(__xludf.DUMMYFUNCTION("""COMPUTED_VALUE"""),"2596-FEBJDGAG")</f>
        <v>2596-FEBJDGAG</v>
      </c>
      <c r="B178" s="2" t="str">
        <f>IFERROR(__xludf.DUMMYFUNCTION("""COMPUTED_VALUE"""),"RDV JM | 20/02 Villa Luro")</f>
        <v>RDV JM | 20/02 Villa Luro</v>
      </c>
      <c r="C178" s="3">
        <f>IFERROR(__xludf.DUMMYFUNCTION("""COMPUTED_VALUE"""),46065.0)</f>
        <v>46065</v>
      </c>
      <c r="D178" s="3">
        <f>IFERROR(__xludf.DUMMYFUNCTION("""COMPUTED_VALUE"""),46089.0)</f>
        <v>46089</v>
      </c>
      <c r="E178" s="2" t="str">
        <f>IFERROR(__xludf.DUMMYFUNCTION("""COMPUTED_VALUE"""),"Cercanía")</f>
        <v>Cercanía</v>
      </c>
      <c r="F178" s="2" t="str">
        <f>IFERROR(__xludf.DUMMYFUNCTION("""COMPUTED_VALUE"""),"Jefatura de Gobierno")</f>
        <v>Jefatura de Gobierno</v>
      </c>
      <c r="G178" s="2" t="str">
        <f>IFERROR(__xludf.DUMMYFUNCTION("""COMPUTED_VALUE"""),"Finalizada")</f>
        <v>Finalizada</v>
      </c>
      <c r="H178" s="4">
        <v>2239498.0</v>
      </c>
      <c r="I178" s="4">
        <v>269571.0</v>
      </c>
      <c r="J178" s="4">
        <v>8936.0</v>
      </c>
      <c r="K178" s="4">
        <v>30128.0</v>
      </c>
      <c r="L178" s="5">
        <v>2.5816848114710567</v>
      </c>
      <c r="M178" s="5">
        <v>74.33278013807754</v>
      </c>
      <c r="N178" s="4">
        <v>17439.0</v>
      </c>
      <c r="O178" s="4">
        <v>14942.0</v>
      </c>
      <c r="P178" s="4">
        <v>3865.0</v>
      </c>
      <c r="Q178" s="4">
        <v>192.0</v>
      </c>
      <c r="R178" s="4">
        <v>6286.0</v>
      </c>
      <c r="S178" s="4">
        <v>4681.0</v>
      </c>
      <c r="T178" s="4">
        <v>1086.0</v>
      </c>
      <c r="U178" s="4">
        <v>842.0</v>
      </c>
      <c r="V178" s="4">
        <v>9265.0</v>
      </c>
      <c r="W178" s="4">
        <v>9265.0</v>
      </c>
      <c r="X178" s="4">
        <v>8211.0</v>
      </c>
      <c r="Y178" s="4">
        <v>3582.0</v>
      </c>
      <c r="Z178" s="4">
        <v>52.0</v>
      </c>
      <c r="AA178" s="4">
        <v>0.0</v>
      </c>
      <c r="AB178" s="4">
        <v>0.0</v>
      </c>
      <c r="AC178" s="4">
        <v>0.0</v>
      </c>
      <c r="AD178" s="4"/>
      <c r="AE178" s="6" t="s">
        <v>9</v>
      </c>
    </row>
    <row r="179" ht="16.5" customHeight="1">
      <c r="A179" s="2" t="str">
        <f>IFERROR(__xludf.DUMMYFUNCTION("""COMPUTED_VALUE"""),"2597-FEBJDGAG")</f>
        <v>2597-FEBJDGAG</v>
      </c>
      <c r="B179" s="2" t="str">
        <f>IFERROR(__xludf.DUMMYFUNCTION("""COMPUTED_VALUE"""),"RDV JM | 21/02 Floresta")</f>
        <v>RDV JM | 21/02 Floresta</v>
      </c>
      <c r="C179" s="3">
        <f>IFERROR(__xludf.DUMMYFUNCTION("""COMPUTED_VALUE"""),46065.0)</f>
        <v>46065</v>
      </c>
      <c r="D179" s="3">
        <f>IFERROR(__xludf.DUMMYFUNCTION("""COMPUTED_VALUE"""),46089.0)</f>
        <v>46089</v>
      </c>
      <c r="E179" s="2" t="str">
        <f>IFERROR(__xludf.DUMMYFUNCTION("""COMPUTED_VALUE"""),"Cercanía")</f>
        <v>Cercanía</v>
      </c>
      <c r="F179" s="2" t="str">
        <f>IFERROR(__xludf.DUMMYFUNCTION("""COMPUTED_VALUE"""),"Jefatura de Gobierno")</f>
        <v>Jefatura de Gobierno</v>
      </c>
      <c r="G179" s="2" t="str">
        <f>IFERROR(__xludf.DUMMYFUNCTION("""COMPUTED_VALUE"""),"Finalizada")</f>
        <v>Finalizada</v>
      </c>
      <c r="H179" s="4">
        <v>2235806.0</v>
      </c>
      <c r="I179" s="4">
        <v>456252.0</v>
      </c>
      <c r="J179" s="4">
        <v>10051.0</v>
      </c>
      <c r="K179" s="4">
        <v>30612.0</v>
      </c>
      <c r="L179" s="5">
        <v>5.037632301058409</v>
      </c>
      <c r="M179" s="5">
        <v>73.03691362864237</v>
      </c>
      <c r="N179" s="4">
        <v>15835.0</v>
      </c>
      <c r="O179" s="4">
        <v>15682.0</v>
      </c>
      <c r="P179" s="4">
        <v>3413.0</v>
      </c>
      <c r="Q179" s="4">
        <v>147.0</v>
      </c>
      <c r="R179" s="4">
        <v>4719.0</v>
      </c>
      <c r="S179" s="4">
        <v>1982.0</v>
      </c>
      <c r="T179" s="4">
        <v>432.0</v>
      </c>
      <c r="U179" s="4">
        <v>336.0</v>
      </c>
      <c r="V179" s="4">
        <v>8251.0</v>
      </c>
      <c r="W179" s="4">
        <v>8251.0</v>
      </c>
      <c r="X179" s="4">
        <v>7502.0</v>
      </c>
      <c r="Y179" s="4">
        <v>3225.0</v>
      </c>
      <c r="Z179" s="4">
        <v>68.0</v>
      </c>
      <c r="AA179" s="4">
        <v>0.0</v>
      </c>
      <c r="AB179" s="4">
        <v>0.0</v>
      </c>
      <c r="AC179" s="4">
        <v>0.0</v>
      </c>
      <c r="AD179" s="4"/>
      <c r="AE179" s="6" t="s">
        <v>9</v>
      </c>
    </row>
    <row r="180" ht="16.5" customHeight="1">
      <c r="A180" s="2" t="str">
        <f>IFERROR(__xludf.DUMMYFUNCTION("""COMPUTED_VALUE"""),"2598-FEBEPHVC")</f>
        <v>2598-FEBEPHVC</v>
      </c>
      <c r="B180" s="2" t="str">
        <f>IFERROR(__xludf.DUMMYFUNCTION("""COMPUTED_VALUE"""),"RDV MINISTROS | IGNACIO BAISTROCCHI 18/2 COMUNA 12")</f>
        <v>RDV MINISTROS | IGNACIO BAISTROCCHI 18/2 COMUNA 12</v>
      </c>
      <c r="C180" s="3">
        <f>IFERROR(__xludf.DUMMYFUNCTION("""COMPUTED_VALUE"""),46065.0)</f>
        <v>46065</v>
      </c>
      <c r="D180" s="3">
        <f>IFERROR(__xludf.DUMMYFUNCTION("""COMPUTED_VALUE"""),46072.0)</f>
        <v>46072</v>
      </c>
      <c r="E180" s="2" t="str">
        <f>IFERROR(__xludf.DUMMYFUNCTION("""COMPUTED_VALUE"""),"Cercanía")</f>
        <v>Cercanía</v>
      </c>
      <c r="F180" s="2" t="str">
        <f>IFERROR(__xludf.DUMMYFUNCTION("""COMPUTED_VALUE"""),"Espacio Público e Higiene Urbana")</f>
        <v>Espacio Público e Higiene Urbana</v>
      </c>
      <c r="G180" s="2" t="str">
        <f>IFERROR(__xludf.DUMMYFUNCTION("""COMPUTED_VALUE"""),"Finalizada")</f>
        <v>Finalizada</v>
      </c>
      <c r="H180" s="4">
        <v>222469.0</v>
      </c>
      <c r="I180" s="4">
        <v>0.0</v>
      </c>
      <c r="J180" s="4">
        <v>792.0</v>
      </c>
      <c r="K180" s="4">
        <v>135581.0</v>
      </c>
      <c r="L180" s="5">
        <v>1.640856757215244</v>
      </c>
      <c r="M180" s="5">
        <v>1.640856757215244</v>
      </c>
      <c r="N180" s="4">
        <v>88472.0</v>
      </c>
      <c r="O180" s="4">
        <v>75851.0</v>
      </c>
      <c r="P180" s="4">
        <v>16259.0</v>
      </c>
      <c r="Q180" s="4">
        <v>320.0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/>
      <c r="AE180" s="6" t="s">
        <v>9</v>
      </c>
    </row>
    <row r="181" ht="16.5" customHeight="1">
      <c r="A181" s="2" t="str">
        <f>IFERROR(__xludf.DUMMYFUNCTION("""COMPUTED_VALUE"""),"2599-FEBDHHVC")</f>
        <v>2599-FEBDHHVC</v>
      </c>
      <c r="B181" s="2" t="str">
        <f>IFERROR(__xludf.DUMMYFUNCTION("""COMPUTED_VALUE"""),"RDV Ministros | Gabriel Mraida - 20/02")</f>
        <v>RDV Ministros | Gabriel Mraida - 20/02</v>
      </c>
      <c r="C181" s="3">
        <f>IFERROR(__xludf.DUMMYFUNCTION("""COMPUTED_VALUE"""),46066.0)</f>
        <v>46066</v>
      </c>
      <c r="D181" s="3">
        <f>IFERROR(__xludf.DUMMYFUNCTION("""COMPUTED_VALUE"""),46074.0)</f>
        <v>46074</v>
      </c>
      <c r="E181" s="2" t="str">
        <f>IFERROR(__xludf.DUMMYFUNCTION("""COMPUTED_VALUE"""),"Cercanía")</f>
        <v>Cercanía</v>
      </c>
      <c r="F181" s="2" t="str">
        <f>IFERROR(__xludf.DUMMYFUNCTION("""COMPUTED_VALUE"""),"Desarrollo Humano y Hábitat")</f>
        <v>Desarrollo Humano y Hábitat</v>
      </c>
      <c r="G181" s="2" t="str">
        <f>IFERROR(__xludf.DUMMYFUNCTION("""COMPUTED_VALUE"""),"Finalizada")</f>
        <v>Finalizada</v>
      </c>
      <c r="H181" s="4">
        <v>400915.0</v>
      </c>
      <c r="I181" s="4">
        <v>0.0</v>
      </c>
      <c r="J181" s="4">
        <v>427.0</v>
      </c>
      <c r="K181" s="4">
        <v>287774.0</v>
      </c>
      <c r="L181" s="5">
        <v>1.393159215217497</v>
      </c>
      <c r="M181" s="5">
        <v>1.393159215217497</v>
      </c>
      <c r="N181" s="4">
        <v>52399.0</v>
      </c>
      <c r="O181" s="4">
        <v>48908.0</v>
      </c>
      <c r="P181" s="4">
        <v>13507.0</v>
      </c>
      <c r="Q181" s="4">
        <v>136.0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/>
      <c r="AE181" s="6" t="s">
        <v>9</v>
      </c>
    </row>
    <row r="182" ht="16.5" customHeight="1">
      <c r="A182" s="2" t="str">
        <f>IFERROR(__xludf.DUMMYFUNCTION("""COMPUTED_VALUE"""),"2600-FEBSEGVC")</f>
        <v>2600-FEBSEGVC</v>
      </c>
      <c r="B182" s="2" t="str">
        <f>IFERROR(__xludf.DUMMYFUNCTION("""COMPUTED_VALUE"""),"RDV Ministros | Horacio Giménez 19/2 Comuna 11")</f>
        <v>RDV Ministros | Horacio Giménez 19/2 Comuna 11</v>
      </c>
      <c r="C182" s="3">
        <f>IFERROR(__xludf.DUMMYFUNCTION("""COMPUTED_VALUE"""),46066.0)</f>
        <v>46066</v>
      </c>
      <c r="D182" s="3">
        <f>IFERROR(__xludf.DUMMYFUNCTION("""COMPUTED_VALUE"""),46073.0)</f>
        <v>46073</v>
      </c>
      <c r="E182" s="2" t="str">
        <f>IFERROR(__xludf.DUMMYFUNCTION("""COMPUTED_VALUE"""),"Cercanía")</f>
        <v>Cercanía</v>
      </c>
      <c r="F182" s="2" t="str">
        <f>IFERROR(__xludf.DUMMYFUNCTION("""COMPUTED_VALUE"""),"Seguridad")</f>
        <v>Seguridad</v>
      </c>
      <c r="G182" s="2" t="str">
        <f>IFERROR(__xludf.DUMMYFUNCTION("""COMPUTED_VALUE"""),"Finalizada")</f>
        <v>Finalizada</v>
      </c>
      <c r="H182" s="4">
        <v>162917.0</v>
      </c>
      <c r="I182" s="4">
        <v>0.0</v>
      </c>
      <c r="J182" s="4">
        <v>422.0</v>
      </c>
      <c r="K182" s="4">
        <v>103246.0</v>
      </c>
      <c r="L182" s="5">
        <v>1.577949751079945</v>
      </c>
      <c r="M182" s="5">
        <v>1.577949751079945</v>
      </c>
      <c r="N182" s="4">
        <v>80045.0</v>
      </c>
      <c r="O182" s="4">
        <v>78205.0</v>
      </c>
      <c r="P182" s="4">
        <v>16573.0</v>
      </c>
      <c r="Q182" s="4">
        <v>456.0</v>
      </c>
      <c r="R182" s="4">
        <v>178.0</v>
      </c>
      <c r="S182" s="4">
        <v>178.0</v>
      </c>
      <c r="T182" s="4">
        <v>59.0</v>
      </c>
      <c r="U182" s="4">
        <v>57.0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/>
      <c r="AE182" s="6" t="s">
        <v>9</v>
      </c>
    </row>
    <row r="183" ht="16.5" customHeight="1">
      <c r="A183" s="2" t="str">
        <f>IFERROR(__xludf.DUMMYFUNCTION("""COMPUTED_VALUE"""),"2601-FEBSEGVC")</f>
        <v>2601-FEBSEGVC</v>
      </c>
      <c r="B183" s="2" t="str">
        <f>IFERROR(__xludf.DUMMYFUNCTION("""COMPUTED_VALUE"""),"RDV Ministros | Maximiliano Piñeiro 19/2 Comuna 9")</f>
        <v>RDV Ministros | Maximiliano Piñeiro 19/2 Comuna 9</v>
      </c>
      <c r="C183" s="3">
        <f>IFERROR(__xludf.DUMMYFUNCTION("""COMPUTED_VALUE"""),46066.0)</f>
        <v>46066</v>
      </c>
      <c r="D183" s="3">
        <f>IFERROR(__xludf.DUMMYFUNCTION("""COMPUTED_VALUE"""),46073.0)</f>
        <v>46073</v>
      </c>
      <c r="E183" s="2" t="str">
        <f>IFERROR(__xludf.DUMMYFUNCTION("""COMPUTED_VALUE"""),"Cercanía")</f>
        <v>Cercanía</v>
      </c>
      <c r="F183" s="2" t="str">
        <f>IFERROR(__xludf.DUMMYFUNCTION("""COMPUTED_VALUE"""),"Seguridad")</f>
        <v>Seguridad</v>
      </c>
      <c r="G183" s="2" t="str">
        <f>IFERROR(__xludf.DUMMYFUNCTION("""COMPUTED_VALUE"""),"Finalizada")</f>
        <v>Finalizada</v>
      </c>
      <c r="H183" s="4">
        <v>167734.0</v>
      </c>
      <c r="I183" s="4">
        <v>0.0</v>
      </c>
      <c r="J183" s="4">
        <v>526.0</v>
      </c>
      <c r="K183" s="4">
        <v>107726.0</v>
      </c>
      <c r="L183" s="5">
        <v>1.557042868017006</v>
      </c>
      <c r="M183" s="5">
        <v>1.557042868017006</v>
      </c>
      <c r="N183" s="4">
        <v>71542.0</v>
      </c>
      <c r="O183" s="4">
        <v>68575.0</v>
      </c>
      <c r="P183" s="4">
        <v>10099.0</v>
      </c>
      <c r="Q183" s="4">
        <v>246.0</v>
      </c>
      <c r="R183" s="4">
        <v>134.0</v>
      </c>
      <c r="S183" s="4">
        <v>134.0</v>
      </c>
      <c r="T183" s="4">
        <v>51.0</v>
      </c>
      <c r="U183" s="4">
        <v>50.0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/>
      <c r="AE183" s="6" t="s">
        <v>9</v>
      </c>
    </row>
    <row r="184" ht="16.5" customHeight="1">
      <c r="A184" s="2" t="str">
        <f>IFERROR(__xludf.DUMMYFUNCTION("""COMPUTED_VALUE"""),"2602-FEBSEGVC")</f>
        <v>2602-FEBSEGVC</v>
      </c>
      <c r="B184" s="2" t="str">
        <f>IFERROR(__xludf.DUMMYFUNCTION("""COMPUTED_VALUE"""),"RDV Ministros | Gabino Tapia 19/2 Comuna 8")</f>
        <v>RDV Ministros | Gabino Tapia 19/2 Comuna 8</v>
      </c>
      <c r="C184" s="3">
        <f>IFERROR(__xludf.DUMMYFUNCTION("""COMPUTED_VALUE"""),46066.0)</f>
        <v>46066</v>
      </c>
      <c r="D184" s="3">
        <f>IFERROR(__xludf.DUMMYFUNCTION("""COMPUTED_VALUE"""),46073.0)</f>
        <v>46073</v>
      </c>
      <c r="E184" s="2" t="str">
        <f>IFERROR(__xludf.DUMMYFUNCTION("""COMPUTED_VALUE"""),"Cercanía")</f>
        <v>Cercanía</v>
      </c>
      <c r="F184" s="2" t="str">
        <f>IFERROR(__xludf.DUMMYFUNCTION("""COMPUTED_VALUE"""),"Seguridad")</f>
        <v>Seguridad</v>
      </c>
      <c r="G184" s="2" t="str">
        <f>IFERROR(__xludf.DUMMYFUNCTION("""COMPUTED_VALUE"""),"Finalizada")</f>
        <v>Finalizada</v>
      </c>
      <c r="H184" s="4">
        <v>214672.0</v>
      </c>
      <c r="I184" s="4">
        <v>0.0</v>
      </c>
      <c r="J184" s="4">
        <v>639.0</v>
      </c>
      <c r="K184" s="4">
        <v>140853.0</v>
      </c>
      <c r="L184" s="5">
        <v>1.5240853939923182</v>
      </c>
      <c r="M184" s="5">
        <v>1.5240853939923182</v>
      </c>
      <c r="N184" s="4">
        <v>60117.0</v>
      </c>
      <c r="O184" s="4">
        <v>49122.0</v>
      </c>
      <c r="P184" s="4">
        <v>6522.0</v>
      </c>
      <c r="Q184" s="4">
        <v>133.0</v>
      </c>
      <c r="R184" s="4">
        <v>100.0</v>
      </c>
      <c r="S184" s="4">
        <v>100.0</v>
      </c>
      <c r="T184" s="4">
        <v>32.0</v>
      </c>
      <c r="U184" s="4">
        <v>30.0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/>
      <c r="AE184" s="6" t="s">
        <v>9</v>
      </c>
    </row>
    <row r="185" ht="16.5" customHeight="1">
      <c r="A185" s="2" t="str">
        <f>IFERROR(__xludf.DUMMYFUNCTION("""COMPUTED_VALUE"""),"2603-FEBSEGVC")</f>
        <v>2603-FEBSEGVC</v>
      </c>
      <c r="B185" s="2" t="str">
        <f>IFERROR(__xludf.DUMMYFUNCTION("""COMPUTED_VALUE"""),"RDV Ministros | Ruth Landerreche 19/2 Comuna 10")</f>
        <v>RDV Ministros | Ruth Landerreche 19/2 Comuna 10</v>
      </c>
      <c r="C185" s="3">
        <f>IFERROR(__xludf.DUMMYFUNCTION("""COMPUTED_VALUE"""),46066.0)</f>
        <v>46066</v>
      </c>
      <c r="D185" s="3">
        <f>IFERROR(__xludf.DUMMYFUNCTION("""COMPUTED_VALUE"""),46083.0)</f>
        <v>46083</v>
      </c>
      <c r="E185" s="2" t="str">
        <f>IFERROR(__xludf.DUMMYFUNCTION("""COMPUTED_VALUE"""),"Cercanía")</f>
        <v>Cercanía</v>
      </c>
      <c r="F185" s="2" t="str">
        <f>IFERROR(__xludf.DUMMYFUNCTION("""COMPUTED_VALUE"""),"Seguridad")</f>
        <v>Seguridad</v>
      </c>
      <c r="G185" s="2" t="str">
        <f>IFERROR(__xludf.DUMMYFUNCTION("""COMPUTED_VALUE"""),"Finalizada")</f>
        <v>Finalizada</v>
      </c>
      <c r="H185" s="4">
        <v>158374.0</v>
      </c>
      <c r="I185" s="4">
        <v>0.0</v>
      </c>
      <c r="J185" s="4">
        <v>493.0</v>
      </c>
      <c r="K185" s="4">
        <v>100677.0</v>
      </c>
      <c r="L185" s="5">
        <v>1.5730901794848873</v>
      </c>
      <c r="M185" s="5">
        <v>1.5730901794848873</v>
      </c>
      <c r="N185" s="4">
        <v>70331.0</v>
      </c>
      <c r="O185" s="4">
        <v>64731.0</v>
      </c>
      <c r="P185" s="4">
        <v>13518.0</v>
      </c>
      <c r="Q185" s="4">
        <v>253.0</v>
      </c>
      <c r="R185" s="4">
        <v>149.0</v>
      </c>
      <c r="S185" s="4">
        <v>149.0</v>
      </c>
      <c r="T185" s="4">
        <v>44.0</v>
      </c>
      <c r="U185" s="4">
        <v>42.0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/>
      <c r="AE185" s="6" t="s">
        <v>9</v>
      </c>
    </row>
    <row r="186" ht="16.5" customHeight="1">
      <c r="A186" s="2" t="str">
        <f>IFERROR(__xludf.DUMMYFUNCTION("""COMPUTED_VALUE"""),"2604-FEBINFVC")</f>
        <v>2604-FEBINFVC</v>
      </c>
      <c r="B186" s="2" t="str">
        <f>IFERROR(__xludf.DUMMYFUNCTION("""COMPUTED_VALUE"""),"RDV MINISTROS | Pablo Bereciartua 18/2 COMUNA 14")</f>
        <v>RDV MINISTROS | Pablo Bereciartua 18/2 COMUNA 14</v>
      </c>
      <c r="C186" s="3">
        <f>IFERROR(__xludf.DUMMYFUNCTION("""COMPUTED_VALUE"""),46065.0)</f>
        <v>46065</v>
      </c>
      <c r="D186" s="3">
        <f>IFERROR(__xludf.DUMMYFUNCTION("""COMPUTED_VALUE"""),46072.0)</f>
        <v>46072</v>
      </c>
      <c r="E186" s="2" t="str">
        <f>IFERROR(__xludf.DUMMYFUNCTION("""COMPUTED_VALUE"""),"Cercanía")</f>
        <v>Cercanía</v>
      </c>
      <c r="F186" s="2" t="str">
        <f>IFERROR(__xludf.DUMMYFUNCTION("""COMPUTED_VALUE"""),"Infraestructura")</f>
        <v>Infraestructura</v>
      </c>
      <c r="G186" s="2" t="str">
        <f>IFERROR(__xludf.DUMMYFUNCTION("""COMPUTED_VALUE"""),"Finalizada")</f>
        <v>Finalizada</v>
      </c>
      <c r="H186" s="4">
        <v>372064.0</v>
      </c>
      <c r="I186" s="4">
        <v>0.0</v>
      </c>
      <c r="J186" s="4">
        <v>308.0</v>
      </c>
      <c r="K186" s="4">
        <v>233746.0</v>
      </c>
      <c r="L186" s="5">
        <v>1.591744885473976</v>
      </c>
      <c r="M186" s="5">
        <v>1.591744885473976</v>
      </c>
      <c r="N186" s="4">
        <v>94668.0</v>
      </c>
      <c r="O186" s="4">
        <v>92876.0</v>
      </c>
      <c r="P186" s="4">
        <v>26910.0</v>
      </c>
      <c r="Q186" s="4">
        <v>485.0</v>
      </c>
      <c r="R186" s="4">
        <v>271.0</v>
      </c>
      <c r="S186" s="4">
        <v>270.0</v>
      </c>
      <c r="T186" s="4">
        <v>87.0</v>
      </c>
      <c r="U186" s="4">
        <v>84.0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/>
      <c r="AE186" s="6" t="s">
        <v>9</v>
      </c>
    </row>
    <row r="187" ht="16.5" customHeight="1">
      <c r="A187" s="2" t="str">
        <f>IFERROR(__xludf.DUMMYFUNCTION("""COMPUTED_VALUE"""),"2605-FEBJDGVC")</f>
        <v>2605-FEBJDGVC</v>
      </c>
      <c r="B187" s="2" t="str">
        <f>IFERROR(__xludf.DUMMYFUNCTION("""COMPUTED_VALUE"""),"RDV MINISTROS | Gabriel Sanchez Zinny 20/2")</f>
        <v>RDV MINISTROS | Gabriel Sanchez Zinny 20/2</v>
      </c>
      <c r="C187" s="3">
        <f>IFERROR(__xludf.DUMMYFUNCTION("""COMPUTED_VALUE"""),46067.0)</f>
        <v>46067</v>
      </c>
      <c r="D187" s="3">
        <f>IFERROR(__xludf.DUMMYFUNCTION("""COMPUTED_VALUE"""),46076.0)</f>
        <v>46076</v>
      </c>
      <c r="E187" s="2" t="str">
        <f>IFERROR(__xludf.DUMMYFUNCTION("""COMPUTED_VALUE"""),"Cercanía")</f>
        <v>Cercanía</v>
      </c>
      <c r="F187" s="2" t="str">
        <f>IFERROR(__xludf.DUMMYFUNCTION("""COMPUTED_VALUE"""),"Jefatura de Gobierno")</f>
        <v>Jefatura de Gobierno</v>
      </c>
      <c r="G187" s="2" t="str">
        <f>IFERROR(__xludf.DUMMYFUNCTION("""COMPUTED_VALUE"""),"Finalizada")</f>
        <v>Finalizada</v>
      </c>
      <c r="H187" s="4">
        <v>36968.0</v>
      </c>
      <c r="I187" s="4">
        <v>0.0</v>
      </c>
      <c r="J187" s="4">
        <v>156.0</v>
      </c>
      <c r="K187" s="4">
        <v>33864.0</v>
      </c>
      <c r="L187" s="5">
        <v>1.091660760689818</v>
      </c>
      <c r="M187" s="5">
        <v>1.091660760689818</v>
      </c>
      <c r="N187" s="4">
        <v>6328.0</v>
      </c>
      <c r="O187" s="4">
        <v>5658.0</v>
      </c>
      <c r="P187" s="4">
        <v>1324.0</v>
      </c>
      <c r="Q187" s="4">
        <v>81.0</v>
      </c>
      <c r="R187" s="4">
        <v>50.0</v>
      </c>
      <c r="S187" s="4">
        <v>50.0</v>
      </c>
      <c r="T187" s="4">
        <v>21.0</v>
      </c>
      <c r="U187" s="4">
        <v>19.0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/>
      <c r="AE187" s="6" t="s">
        <v>9</v>
      </c>
    </row>
    <row r="188" ht="16.5" customHeight="1">
      <c r="A188" s="2" t="str">
        <f>IFERROR(__xludf.DUMMYFUNCTION("""COMPUTED_VALUE"""),"2608-FEBAMBVC")</f>
        <v>2608-FEBAMBVC</v>
      </c>
      <c r="B188" s="2" t="str">
        <f>IFERROR(__xludf.DUMMYFUNCTION("""COMPUTED_VALUE"""),"RDV Ministros | Clara Muzzio - 18/02")</f>
        <v>RDV Ministros | Clara Muzzio - 18/02</v>
      </c>
      <c r="C188" s="3">
        <f>IFERROR(__xludf.DUMMYFUNCTION("""COMPUTED_VALUE"""),46066.0)</f>
        <v>46066</v>
      </c>
      <c r="D188" s="3">
        <f>IFERROR(__xludf.DUMMYFUNCTION("""COMPUTED_VALUE"""),46072.0)</f>
        <v>46072</v>
      </c>
      <c r="E188" s="2" t="str">
        <f>IFERROR(__xludf.DUMMYFUNCTION("""COMPUTED_VALUE"""),"Cercanía")</f>
        <v>Cercanía</v>
      </c>
      <c r="F188" s="2" t="str">
        <f>IFERROR(__xludf.DUMMYFUNCTION("""COMPUTED_VALUE"""),"Vicejefatura (Ambiente)")</f>
        <v>Vicejefatura (Ambiente)</v>
      </c>
      <c r="G188" s="2" t="str">
        <f>IFERROR(__xludf.DUMMYFUNCTION("""COMPUTED_VALUE"""),"Finalizada")</f>
        <v>Finalizada</v>
      </c>
      <c r="H188" s="4">
        <v>472474.0</v>
      </c>
      <c r="I188" s="4">
        <v>0.0</v>
      </c>
      <c r="J188" s="4">
        <v>733.0</v>
      </c>
      <c r="K188" s="4">
        <v>343375.0</v>
      </c>
      <c r="L188" s="5">
        <v>1.3759708773207135</v>
      </c>
      <c r="M188" s="5">
        <v>1.3759708773207135</v>
      </c>
      <c r="N188" s="4">
        <v>41575.0</v>
      </c>
      <c r="O188" s="4">
        <v>37758.0</v>
      </c>
      <c r="P188" s="4">
        <v>6029.0</v>
      </c>
      <c r="Q188" s="4">
        <v>228.0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/>
      <c r="AE188" s="6" t="s">
        <v>9</v>
      </c>
    </row>
    <row r="189" ht="16.5" customHeight="1">
      <c r="A189" s="2" t="str">
        <f>IFERROR(__xludf.DUMMYFUNCTION("""COMPUTED_VALUE"""),"2609-FEBTURGC")</f>
        <v>2609-FEBTURGC</v>
      </c>
      <c r="B189" s="2" t="str">
        <f>IFERROR(__xludf.DUMMYFUNCTION("""COMPUTED_VALUE"""),"Informe mensual Observatorio | Enero 2026 | Miércoles 18/02")</f>
        <v>Informe mensual Observatorio | Enero 2026 | Miércoles 18/02</v>
      </c>
      <c r="C189" s="3">
        <f>IFERROR(__xludf.DUMMYFUNCTION("""COMPUTED_VALUE"""),46071.0)</f>
        <v>46071</v>
      </c>
      <c r="D189" s="3">
        <f>IFERROR(__xludf.DUMMYFUNCTION("""COMPUTED_VALUE"""),46071.0)</f>
        <v>46071</v>
      </c>
      <c r="E189" s="2" t="str">
        <f>IFERROR(__xludf.DUMMYFUNCTION("""COMPUTED_VALUE"""),"Otros")</f>
        <v>Otros</v>
      </c>
      <c r="F189" s="2" t="str">
        <f>IFERROR(__xludf.DUMMYFUNCTION("""COMPUTED_VALUE"""),"Turismo")</f>
        <v>Turismo</v>
      </c>
      <c r="G189" s="2" t="str">
        <f>IFERROR(__xludf.DUMMYFUNCTION("""COMPUTED_VALUE"""),"Finalizada")</f>
        <v>Finalizada</v>
      </c>
      <c r="H189" s="4">
        <v>0.0</v>
      </c>
      <c r="I189" s="4">
        <v>0.0</v>
      </c>
      <c r="J189" s="4">
        <v>0.0</v>
      </c>
      <c r="K189" s="4">
        <v>0.0</v>
      </c>
      <c r="L189" s="5">
        <v>0.0</v>
      </c>
      <c r="M189" s="5">
        <v>0.0</v>
      </c>
      <c r="N189" s="4">
        <v>287.0</v>
      </c>
      <c r="O189" s="4">
        <v>283.0</v>
      </c>
      <c r="P189" s="4">
        <v>135.0</v>
      </c>
      <c r="Q189" s="4">
        <v>14.0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 t="s">
        <v>8</v>
      </c>
      <c r="AE189" s="6" t="s">
        <v>9</v>
      </c>
    </row>
    <row r="190" ht="16.5" customHeight="1">
      <c r="A190" s="2" t="str">
        <f>IFERROR(__xludf.DUMMYFUNCTION("""COMPUTED_VALUE"""),"2610-FEBSALGC")</f>
        <v>2610-FEBSALGC</v>
      </c>
      <c r="B190" s="2" t="str">
        <f>IFERROR(__xludf.DUMMYFUNCTION("""COMPUTED_VALUE"""),"SIGEHOS - Novedades en el Gestor de Encuentros")</f>
        <v>SIGEHOS - Novedades en el Gestor de Encuentros</v>
      </c>
      <c r="C190" s="3">
        <f>IFERROR(__xludf.DUMMYFUNCTION("""COMPUTED_VALUE"""),46071.0)</f>
        <v>46071</v>
      </c>
      <c r="D190" s="3">
        <f>IFERROR(__xludf.DUMMYFUNCTION("""COMPUTED_VALUE"""),46071.0)</f>
        <v>46071</v>
      </c>
      <c r="E190" s="2" t="str">
        <f>IFERROR(__xludf.DUMMYFUNCTION("""COMPUTED_VALUE"""),"Cuidado")</f>
        <v>Cuidado</v>
      </c>
      <c r="F190" s="2" t="str">
        <f>IFERROR(__xludf.DUMMYFUNCTION("""COMPUTED_VALUE"""),"Salud")</f>
        <v>Salud</v>
      </c>
      <c r="G190" s="2" t="str">
        <f>IFERROR(__xludf.DUMMYFUNCTION("""COMPUTED_VALUE"""),"Finalizada")</f>
        <v>Finalizada</v>
      </c>
      <c r="H190" s="4">
        <v>0.0</v>
      </c>
      <c r="I190" s="4">
        <v>0.0</v>
      </c>
      <c r="J190" s="4">
        <v>0.0</v>
      </c>
      <c r="K190" s="4">
        <v>0.0</v>
      </c>
      <c r="L190" s="5">
        <v>0.0</v>
      </c>
      <c r="M190" s="5">
        <v>0.0</v>
      </c>
      <c r="N190" s="4">
        <v>7006.0</v>
      </c>
      <c r="O190" s="4">
        <v>6982.0</v>
      </c>
      <c r="P190" s="4">
        <v>3055.0</v>
      </c>
      <c r="Q190" s="4">
        <v>1.0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 t="s">
        <v>8</v>
      </c>
      <c r="AE190" s="6" t="s">
        <v>9</v>
      </c>
    </row>
    <row r="191" ht="16.5" customHeight="1">
      <c r="A191" s="2" t="str">
        <f>IFERROR(__xludf.DUMMYFUNCTION("""COMPUTED_VALUE"""),"2611-FEBSALGC")</f>
        <v>2611-FEBSALGC</v>
      </c>
      <c r="B191" s="2" t="str">
        <f>IFERROR(__xludf.DUMMYFUNCTION("""COMPUTED_VALUE"""),"Innovación y tecnología en Salud")</f>
        <v>Innovación y tecnología en Salud</v>
      </c>
      <c r="C191" s="3">
        <f>IFERROR(__xludf.DUMMYFUNCTION("""COMPUTED_VALUE"""),46090.0)</f>
        <v>46090</v>
      </c>
      <c r="D191" s="3">
        <f>IFERROR(__xludf.DUMMYFUNCTION("""COMPUTED_VALUE"""),46112.0)</f>
        <v>46112</v>
      </c>
      <c r="E191" s="2" t="str">
        <f>IFERROR(__xludf.DUMMYFUNCTION("""COMPUTED_VALUE"""),"Cuidado")</f>
        <v>Cuidado</v>
      </c>
      <c r="F191" s="2" t="str">
        <f>IFERROR(__xludf.DUMMYFUNCTION("""COMPUTED_VALUE"""),"Salud")</f>
        <v>Salud</v>
      </c>
      <c r="G191" s="2" t="str">
        <f>IFERROR(__xludf.DUMMYFUNCTION("""COMPUTED_VALUE"""),"Finalizada")</f>
        <v>Finalizada</v>
      </c>
      <c r="H191" s="4">
        <v>1.2201888E7</v>
      </c>
      <c r="I191" s="4">
        <v>2407580.0</v>
      </c>
      <c r="J191" s="4">
        <v>43205.0</v>
      </c>
      <c r="K191" s="4">
        <v>436900.0</v>
      </c>
      <c r="L191" s="5">
        <v>1.8063813229571986</v>
      </c>
      <c r="M191" s="5">
        <v>27.928331425955598</v>
      </c>
      <c r="N191" s="4">
        <v>189329.0</v>
      </c>
      <c r="O191" s="4">
        <v>186575.0</v>
      </c>
      <c r="P191" s="4">
        <v>50991.0</v>
      </c>
      <c r="Q191" s="4">
        <v>1234.0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/>
      <c r="AE191" s="6" t="s">
        <v>9</v>
      </c>
    </row>
    <row r="192" ht="16.5" customHeight="1">
      <c r="A192" s="2" t="str">
        <f>IFERROR(__xludf.DUMMYFUNCTION("""COMPUTED_VALUE"""),"2612-FEBINFGC")</f>
        <v>2612-FEBINFGC</v>
      </c>
      <c r="B192" s="2" t="str">
        <f>IFERROR(__xludf.DUMMYFUNCTION("""COMPUTED_VALUE""")," INFRAESTRUCTURA | Cortes y desvíos por año nuevo chino - Belgrano")</f>
        <v> INFRAESTRUCTURA | Cortes y desvíos por año nuevo chino - Belgrano</v>
      </c>
      <c r="C192" s="3">
        <f>IFERROR(__xludf.DUMMYFUNCTION("""COMPUTED_VALUE"""),46066.0)</f>
        <v>46066</v>
      </c>
      <c r="D192" s="3">
        <f>IFERROR(__xludf.DUMMYFUNCTION("""COMPUTED_VALUE"""),46070.0)</f>
        <v>46070</v>
      </c>
      <c r="E192" s="2" t="str">
        <f>IFERROR(__xludf.DUMMYFUNCTION("""COMPUTED_VALUE"""),"Movilidad")</f>
        <v>Movilidad</v>
      </c>
      <c r="F192" s="2" t="str">
        <f>IFERROR(__xludf.DUMMYFUNCTION("""COMPUTED_VALUE"""),"Infraestructura")</f>
        <v>Infraestructura</v>
      </c>
      <c r="G192" s="2" t="str">
        <f>IFERROR(__xludf.DUMMYFUNCTION("""COMPUTED_VALUE"""),"Finalizada")</f>
        <v>Finalizada</v>
      </c>
      <c r="H192" s="4">
        <v>61511.0</v>
      </c>
      <c r="I192" s="4">
        <v>0.0</v>
      </c>
      <c r="J192" s="4">
        <v>1385.0</v>
      </c>
      <c r="K192" s="4">
        <v>41428.0</v>
      </c>
      <c r="L192" s="5">
        <v>1.4847687554311093</v>
      </c>
      <c r="M192" s="5">
        <v>1.4847687554311093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/>
      <c r="AE192" s="4" t="s">
        <v>8</v>
      </c>
    </row>
    <row r="193" ht="16.5" customHeight="1">
      <c r="A193" s="2" t="str">
        <f>IFERROR(__xludf.DUMMYFUNCTION("""COMPUTED_VALUE"""),"2613-FEBDUDGC")</f>
        <v>2613-FEBDUDGC</v>
      </c>
      <c r="B193" s="2" t="str">
        <f>IFERROR(__xludf.DUMMYFUNCTION("""COMPUTED_VALUE"""),"DEPORTES Carrera 5K en Puerto Madero")</f>
        <v>DEPORTES Carrera 5K en Puerto Madero</v>
      </c>
      <c r="C193" s="3">
        <f>IFERROR(__xludf.DUMMYFUNCTION("""COMPUTED_VALUE"""),46072.0)</f>
        <v>46072</v>
      </c>
      <c r="D193" s="3">
        <f>IFERROR(__xludf.DUMMYFUNCTION("""COMPUTED_VALUE"""),46095.0)</f>
        <v>46095</v>
      </c>
      <c r="E193" s="2" t="str">
        <f>IFERROR(__xludf.DUMMYFUNCTION("""COMPUTED_VALUE"""),"Ciudad Atractiva")</f>
        <v>Ciudad Atractiva</v>
      </c>
      <c r="F193" s="2" t="str">
        <f>IFERROR(__xludf.DUMMYFUNCTION("""COMPUTED_VALUE"""),"Desarrollo Urbano + Deportes")</f>
        <v>Desarrollo Urbano + Deportes</v>
      </c>
      <c r="G193" s="2" t="str">
        <f>IFERROR(__xludf.DUMMYFUNCTION("""COMPUTED_VALUE"""),"Finalizada")</f>
        <v>Finalizada</v>
      </c>
      <c r="H193" s="4">
        <v>1591461.0</v>
      </c>
      <c r="I193" s="4">
        <v>259354.0</v>
      </c>
      <c r="J193" s="4">
        <v>1835.0</v>
      </c>
      <c r="K193" s="4">
        <v>380647.0</v>
      </c>
      <c r="L193" s="5">
        <v>1.9026368262458393</v>
      </c>
      <c r="M193" s="5">
        <v>4.180936668356772</v>
      </c>
      <c r="N193" s="4">
        <v>74361.0</v>
      </c>
      <c r="O193" s="4">
        <v>73242.0</v>
      </c>
      <c r="P193" s="4">
        <v>21848.0</v>
      </c>
      <c r="Q193" s="4">
        <v>487.0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0.0</v>
      </c>
      <c r="AD193" s="4"/>
      <c r="AE193" s="6" t="s">
        <v>9</v>
      </c>
    </row>
    <row r="194" ht="16.5" customHeight="1">
      <c r="A194" s="2" t="str">
        <f>IFERROR(__xludf.DUMMYFUNCTION("""COMPUTED_VALUE"""),"2614-FEBDUDGC")</f>
        <v>2614-FEBDUDGC</v>
      </c>
      <c r="B194" s="2" t="str">
        <f>IFERROR(__xludf.DUMMYFUNCTION("""COMPUTED_VALUE"""),"DEPORTES CALLEJERO DE BUENOS AIRES de TC2000")</f>
        <v>DEPORTES CALLEJERO DE BUENOS AIRES de TC2000</v>
      </c>
      <c r="C194" s="3">
        <f>IFERROR(__xludf.DUMMYFUNCTION("""COMPUTED_VALUE"""),46083.0)</f>
        <v>46083</v>
      </c>
      <c r="D194" s="3">
        <f>IFERROR(__xludf.DUMMYFUNCTION("""COMPUTED_VALUE"""),46112.0)</f>
        <v>46112</v>
      </c>
      <c r="E194" s="2" t="str">
        <f>IFERROR(__xludf.DUMMYFUNCTION("""COMPUTED_VALUE"""),"Ciudad Atractiva")</f>
        <v>Ciudad Atractiva</v>
      </c>
      <c r="F194" s="2" t="str">
        <f>IFERROR(__xludf.DUMMYFUNCTION("""COMPUTED_VALUE"""),"Desarrollo Urbano + Deportes")</f>
        <v>Desarrollo Urbano + Deportes</v>
      </c>
      <c r="G194" s="2" t="str">
        <f>IFERROR(__xludf.DUMMYFUNCTION("""COMPUTED_VALUE"""),"Finalizada")</f>
        <v>Finalizada</v>
      </c>
      <c r="H194" s="4">
        <v>5026386.0</v>
      </c>
      <c r="I194" s="4">
        <v>1735875.0</v>
      </c>
      <c r="J194" s="4">
        <v>16407.0</v>
      </c>
      <c r="K194" s="4">
        <v>269942.0</v>
      </c>
      <c r="L194" s="5">
        <v>11.019578279778619</v>
      </c>
      <c r="M194" s="5">
        <v>18.620244348786034</v>
      </c>
      <c r="N194" s="4">
        <v>453776.0</v>
      </c>
      <c r="O194" s="4">
        <v>447501.0</v>
      </c>
      <c r="P194" s="4">
        <v>142238.0</v>
      </c>
      <c r="Q194" s="4">
        <v>8386.0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/>
      <c r="AE194" s="6" t="s">
        <v>9</v>
      </c>
    </row>
    <row r="195" ht="16.5" customHeight="1">
      <c r="A195" s="2" t="str">
        <f>IFERROR(__xludf.DUMMYFUNCTION("""COMPUTED_VALUE"""),"2615-FEBINFCG")</f>
        <v>2615-FEBINFCG</v>
      </c>
      <c r="B195" s="2" t="str">
        <f>IFERROR(__xludf.DUMMYFUNCTION("""COMPUTED_VALUE"""),"CONTENIDO ADICIONAL GCBA |  Infraestructura | Extensión horaria Línea D - Bad Bunny")</f>
        <v>CONTENIDO ADICIONAL GCBA |  Infraestructura | Extensión horaria Línea D - Bad Bunny</v>
      </c>
      <c r="C195" s="3">
        <f>IFERROR(__xludf.DUMMYFUNCTION("""COMPUTED_VALUE"""),46066.0)</f>
        <v>46066</v>
      </c>
      <c r="D195" s="3">
        <f>IFERROR(__xludf.DUMMYFUNCTION("""COMPUTED_VALUE"""),46069.0)</f>
        <v>46069</v>
      </c>
      <c r="E195" s="2" t="str">
        <f>IFERROR(__xludf.DUMMYFUNCTION("""COMPUTED_VALUE"""),"Movilidad")</f>
        <v>Movilidad</v>
      </c>
      <c r="F195" s="2" t="str">
        <f>IFERROR(__xludf.DUMMYFUNCTION("""COMPUTED_VALUE"""),"Infraestructura")</f>
        <v>Infraestructura</v>
      </c>
      <c r="G195" s="2" t="str">
        <f>IFERROR(__xludf.DUMMYFUNCTION("""COMPUTED_VALUE"""),"Finalizada")</f>
        <v>Finalizada</v>
      </c>
      <c r="H195" s="4">
        <v>1066647.0</v>
      </c>
      <c r="I195" s="4">
        <v>25477.0</v>
      </c>
      <c r="J195" s="4">
        <v>1435.0</v>
      </c>
      <c r="K195" s="4">
        <v>71769.0</v>
      </c>
      <c r="L195" s="5">
        <v>1.3987236829271692</v>
      </c>
      <c r="M195" s="5">
        <v>14.862224637378254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  <c r="AD195" s="4"/>
      <c r="AE195" s="4" t="s">
        <v>8</v>
      </c>
    </row>
    <row r="196" ht="16.5" customHeight="1">
      <c r="A196" s="2" t="str">
        <f>IFERROR(__xludf.DUMMYFUNCTION("""COMPUTED_VALUE"""),"2616-FEBINFCG")</f>
        <v>2616-FEBINFCG</v>
      </c>
      <c r="B196" s="2" t="str">
        <f>IFERROR(__xludf.DUMMYFUNCTION("""COMPUTED_VALUE"""),"Infraestructura | Cortes y desvios Av Cantilo por obras en Labruna")</f>
        <v>Infraestructura | Cortes y desvios Av Cantilo por obras en Labruna</v>
      </c>
      <c r="C196" s="3">
        <f>IFERROR(__xludf.DUMMYFUNCTION("""COMPUTED_VALUE"""),46067.0)</f>
        <v>46067</v>
      </c>
      <c r="D196" s="3">
        <f>IFERROR(__xludf.DUMMYFUNCTION("""COMPUTED_VALUE"""),46067.0)</f>
        <v>46067</v>
      </c>
      <c r="E196" s="2" t="str">
        <f>IFERROR(__xludf.DUMMYFUNCTION("""COMPUTED_VALUE"""),"Movilidad")</f>
        <v>Movilidad</v>
      </c>
      <c r="F196" s="2" t="str">
        <f>IFERROR(__xludf.DUMMYFUNCTION("""COMPUTED_VALUE"""),"Infraestructura")</f>
        <v>Infraestructura</v>
      </c>
      <c r="G196" s="2" t="str">
        <f>IFERROR(__xludf.DUMMYFUNCTION("""COMPUTED_VALUE"""),"Finalizada")</f>
        <v>Finalizada</v>
      </c>
      <c r="H196" s="4">
        <v>0.0</v>
      </c>
      <c r="I196" s="4">
        <v>0.0</v>
      </c>
      <c r="J196" s="4">
        <v>0.0</v>
      </c>
      <c r="K196" s="4">
        <v>0.0</v>
      </c>
      <c r="L196" s="5">
        <v>0.0</v>
      </c>
      <c r="M196" s="5">
        <v>0.0</v>
      </c>
      <c r="N196" s="4">
        <v>124236.0</v>
      </c>
      <c r="O196" s="4">
        <v>121869.0</v>
      </c>
      <c r="P196" s="4">
        <v>49175.0</v>
      </c>
      <c r="Q196" s="4">
        <v>69.0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>
        <v>0.0</v>
      </c>
      <c r="AD196" s="4" t="s">
        <v>8</v>
      </c>
      <c r="AE196" s="6" t="s">
        <v>9</v>
      </c>
    </row>
    <row r="197" ht="16.5" customHeight="1">
      <c r="A197" s="2" t="str">
        <f>IFERROR(__xludf.DUMMYFUNCTION("""COMPUTED_VALUE"""),"2617-FEBSEGGC")</f>
        <v>2617-FEBSEGGC</v>
      </c>
      <c r="B197" s="2" t="str">
        <f>IFERROR(__xludf.DUMMYFUNCTION("""COMPUTED_VALUE"""),"CAMPAÑA GCBA | Seguridad | Desalojo en PH Palermo - Ravignani 1779")</f>
        <v>CAMPAÑA GCBA | Seguridad | Desalojo en PH Palermo - Ravignani 1779</v>
      </c>
      <c r="C197" s="3">
        <f>IFERROR(__xludf.DUMMYFUNCTION("""COMPUTED_VALUE"""),46071.0)</f>
        <v>46071</v>
      </c>
      <c r="D197" s="3">
        <f>IFERROR(__xludf.DUMMYFUNCTION("""COMPUTED_VALUE"""),46112.0)</f>
        <v>46112</v>
      </c>
      <c r="E197" s="2" t="str">
        <f>IFERROR(__xludf.DUMMYFUNCTION("""COMPUTED_VALUE"""),"M2")</f>
        <v>M2</v>
      </c>
      <c r="F197" s="2" t="str">
        <f>IFERROR(__xludf.DUMMYFUNCTION("""COMPUTED_VALUE"""),"Seguridad")</f>
        <v>Seguridad</v>
      </c>
      <c r="G197" s="2" t="str">
        <f>IFERROR(__xludf.DUMMYFUNCTION("""COMPUTED_VALUE"""),"Finalizada")</f>
        <v>Finalizada</v>
      </c>
      <c r="H197" s="4">
        <v>1790948.0</v>
      </c>
      <c r="I197" s="4">
        <v>1037092.0</v>
      </c>
      <c r="J197" s="4">
        <v>1920.0</v>
      </c>
      <c r="K197" s="4">
        <v>391761.0</v>
      </c>
      <c r="L197" s="5">
        <v>0.9022516279057895</v>
      </c>
      <c r="M197" s="5">
        <v>4.57153213311177</v>
      </c>
      <c r="N197" s="4">
        <v>94397.0</v>
      </c>
      <c r="O197" s="4">
        <v>94031.0</v>
      </c>
      <c r="P197" s="4">
        <v>44138.0</v>
      </c>
      <c r="Q197" s="4">
        <v>246.0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  <c r="AD197" s="4"/>
      <c r="AE197" s="6" t="s">
        <v>9</v>
      </c>
    </row>
    <row r="198" ht="16.5" customHeight="1">
      <c r="A198" s="2" t="str">
        <f>IFERROR(__xludf.DUMMYFUNCTION("""COMPUTED_VALUE"""),"2618-FEBFESGC")</f>
        <v>2618-FEBFESGC</v>
      </c>
      <c r="B198" s="2" t="str">
        <f>IFERROR(__xludf.DUMMYFUNCTION("""COMPUTED_VALUE"""),"Verano BA | Festival Nación Urbana")</f>
        <v>Verano BA | Festival Nación Urbana</v>
      </c>
      <c r="C198" s="3">
        <f>IFERROR(__xludf.DUMMYFUNCTION("""COMPUTED_VALUE"""),46076.0)</f>
        <v>46076</v>
      </c>
      <c r="D198" s="3">
        <f>IFERROR(__xludf.DUMMYFUNCTION("""COMPUTED_VALUE"""),46093.0)</f>
        <v>46093</v>
      </c>
      <c r="E198" s="2" t="str">
        <f>IFERROR(__xludf.DUMMYFUNCTION("""COMPUTED_VALUE"""),"Ciudad Atractiva")</f>
        <v>Ciudad Atractiva</v>
      </c>
      <c r="F198" s="2" t="str">
        <f>IFERROR(__xludf.DUMMYFUNCTION("""COMPUTED_VALUE"""),"Festivales y Eventos")</f>
        <v>Festivales y Eventos</v>
      </c>
      <c r="G198" s="2" t="str">
        <f>IFERROR(__xludf.DUMMYFUNCTION("""COMPUTED_VALUE"""),"Finalizada")</f>
        <v>Finalizada</v>
      </c>
      <c r="H198" s="4">
        <v>4558351.0</v>
      </c>
      <c r="I198" s="4">
        <v>1123353.0</v>
      </c>
      <c r="J198" s="4">
        <v>8324.0</v>
      </c>
      <c r="K198" s="4">
        <v>148104.0</v>
      </c>
      <c r="L198" s="5">
        <v>4.349511154323989</v>
      </c>
      <c r="M198" s="5">
        <v>30.778041106249663</v>
      </c>
      <c r="N198" s="4">
        <v>196563.0</v>
      </c>
      <c r="O198" s="4">
        <v>193295.0</v>
      </c>
      <c r="P198" s="4">
        <v>65089.0</v>
      </c>
      <c r="Q198" s="4">
        <v>1007.0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>
        <v>0.0</v>
      </c>
      <c r="AD198" s="4"/>
      <c r="AE198" s="6" t="s">
        <v>9</v>
      </c>
    </row>
    <row r="199" ht="16.5" customHeight="1">
      <c r="A199" s="2" t="str">
        <f>IFERROR(__xludf.DUMMYFUNCTION("""COMPUTED_VALUE"""),"2619-FEBPCCVC")</f>
        <v>2619-FEBPCCVC</v>
      </c>
      <c r="B199" s="2" t="str">
        <f>IFERROR(__xludf.DUMMYFUNCTION("""COMPUTED_VALUE"""),"Voluntarios | Donación de Sangre")</f>
        <v>Voluntarios | Donación de Sangre</v>
      </c>
      <c r="C199" s="3">
        <f>IFERROR(__xludf.DUMMYFUNCTION("""COMPUTED_VALUE"""),46077.0)</f>
        <v>46077</v>
      </c>
      <c r="D199" s="3">
        <f>IFERROR(__xludf.DUMMYFUNCTION("""COMPUTED_VALUE"""),46077.0)</f>
        <v>46077</v>
      </c>
      <c r="E199" s="2" t="str">
        <f>IFERROR(__xludf.DUMMYFUNCTION("""COMPUTED_VALUE"""),"Cercanía")</f>
        <v>Cercanía</v>
      </c>
      <c r="F199" s="2" t="str">
        <f>IFERROR(__xludf.DUMMYFUNCTION("""COMPUTED_VALUE"""),"Cercanía y PC")</f>
        <v>Cercanía y PC</v>
      </c>
      <c r="G199" s="2" t="str">
        <f>IFERROR(__xludf.DUMMYFUNCTION("""COMPUTED_VALUE"""),"Finalizada")</f>
        <v>Finalizada</v>
      </c>
      <c r="H199" s="4">
        <v>0.0</v>
      </c>
      <c r="I199" s="4">
        <v>0.0</v>
      </c>
      <c r="J199" s="4">
        <v>0.0</v>
      </c>
      <c r="K199" s="4">
        <v>0.0</v>
      </c>
      <c r="L199" s="5">
        <v>0.0</v>
      </c>
      <c r="M199" s="5">
        <v>0.0</v>
      </c>
      <c r="N199" s="4">
        <v>79646.0</v>
      </c>
      <c r="O199" s="4">
        <v>78754.0</v>
      </c>
      <c r="P199" s="4">
        <v>27862.0</v>
      </c>
      <c r="Q199" s="4">
        <v>229.0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  <c r="AD199" s="4" t="s">
        <v>8</v>
      </c>
      <c r="AE199" s="6" t="s">
        <v>9</v>
      </c>
    </row>
    <row r="200" ht="16.5" customHeight="1">
      <c r="A200" s="2" t="str">
        <f>IFERROR(__xludf.DUMMYFUNCTION("""COMPUTED_VALUE"""),"2620-FEBFESGC")</f>
        <v>2620-FEBFESGC</v>
      </c>
      <c r="B200" s="2" t="str">
        <f>IFERROR(__xludf.DUMMYFUNCTION("""COMPUTED_VALUE"""),"Materiales POST Verano en BA GENERICOS")</f>
        <v>Materiales POST Verano en BA GENERICOS</v>
      </c>
      <c r="C200" s="3">
        <f>IFERROR(__xludf.DUMMYFUNCTION("""COMPUTED_VALUE"""),46085.0)</f>
        <v>46085</v>
      </c>
      <c r="D200" s="3">
        <f>IFERROR(__xludf.DUMMYFUNCTION("""COMPUTED_VALUE"""),46112.0)</f>
        <v>46112</v>
      </c>
      <c r="E200" s="2" t="str">
        <f>IFERROR(__xludf.DUMMYFUNCTION("""COMPUTED_VALUE"""),"Ciudad Atractiva")</f>
        <v>Ciudad Atractiva</v>
      </c>
      <c r="F200" s="2" t="str">
        <f>IFERROR(__xludf.DUMMYFUNCTION("""COMPUTED_VALUE"""),"Festivales y Eventos")</f>
        <v>Festivales y Eventos</v>
      </c>
      <c r="G200" s="2" t="str">
        <f>IFERROR(__xludf.DUMMYFUNCTION("""COMPUTED_VALUE"""),"Finalizada")</f>
        <v>Finalizada</v>
      </c>
      <c r="H200" s="4">
        <v>6729301.0</v>
      </c>
      <c r="I200" s="4">
        <v>1826613.0</v>
      </c>
      <c r="J200" s="4">
        <v>6937.0</v>
      </c>
      <c r="K200" s="4">
        <v>478817.0</v>
      </c>
      <c r="L200" s="5">
        <v>9.390806926236955</v>
      </c>
      <c r="M200" s="5">
        <v>14.054014372923268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>
        <v>0.0</v>
      </c>
      <c r="AD200" s="4"/>
      <c r="AE200" s="4" t="s">
        <v>8</v>
      </c>
    </row>
    <row r="201" ht="16.5" customHeight="1">
      <c r="A201" s="2" t="str">
        <f>IFERROR(__xludf.DUMMYFUNCTION("""COMPUTED_VALUE"""),"2622-FEBEPHCG")</f>
        <v>2622-FEBEPHCG</v>
      </c>
      <c r="B201" s="2" t="str">
        <f>IFERROR(__xludf.DUMMYFUNCTION("""COMPUTED_VALUE"""),"CONTENIDO ADICIONAL GCBA | MEPHU | NO RECOLECCIÓN POR PARO NACIONAL")</f>
        <v>CONTENIDO ADICIONAL GCBA | MEPHU | NO RECOLECCIÓN POR PARO NACIONAL</v>
      </c>
      <c r="C201" s="3">
        <f>IFERROR(__xludf.DUMMYFUNCTION("""COMPUTED_VALUE"""),46071.0)</f>
        <v>46071</v>
      </c>
      <c r="D201" s="3">
        <f>IFERROR(__xludf.DUMMYFUNCTION("""COMPUTED_VALUE"""),46072.0)</f>
        <v>46072</v>
      </c>
      <c r="E201" s="2" t="str">
        <f>IFERROR(__xludf.DUMMYFUNCTION("""COMPUTED_VALUE"""),"M2")</f>
        <v>M2</v>
      </c>
      <c r="F201" s="2" t="str">
        <f>IFERROR(__xludf.DUMMYFUNCTION("""COMPUTED_VALUE"""),"Espacio Público e Higiene Urbana")</f>
        <v>Espacio Público e Higiene Urbana</v>
      </c>
      <c r="G201" s="2" t="str">
        <f>IFERROR(__xludf.DUMMYFUNCTION("""COMPUTED_VALUE"""),"Finalizada")</f>
        <v>Finalizada</v>
      </c>
      <c r="H201" s="4">
        <v>526607.0</v>
      </c>
      <c r="I201" s="4">
        <v>0.0</v>
      </c>
      <c r="J201" s="4">
        <v>10.0</v>
      </c>
      <c r="K201" s="4">
        <v>499106.0</v>
      </c>
      <c r="L201" s="5">
        <v>1.055100519729276</v>
      </c>
      <c r="M201" s="5">
        <v>1.055100519729276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0.0</v>
      </c>
      <c r="AD201" s="4"/>
      <c r="AE201" s="4" t="s">
        <v>8</v>
      </c>
    </row>
    <row r="202" ht="16.5" customHeight="1">
      <c r="A202" s="2" t="str">
        <f>IFERROR(__xludf.DUMMYFUNCTION("""COMPUTED_VALUE"""),"2623-FEBAMBGC")</f>
        <v>2623-FEBAMBGC</v>
      </c>
      <c r="B202" s="2" t="str">
        <f>IFERROR(__xludf.DUMMYFUNCTION("""COMPUTED_VALUE"""),"Puntos Verdes Fijos y Móviles")</f>
        <v>Puntos Verdes Fijos y Móviles</v>
      </c>
      <c r="C202" s="3">
        <f>IFERROR(__xludf.DUMMYFUNCTION("""COMPUTED_VALUE"""),46078.0)</f>
        <v>46078</v>
      </c>
      <c r="D202" s="3">
        <f>IFERROR(__xludf.DUMMYFUNCTION("""COMPUTED_VALUE"""),46112.0)</f>
        <v>46112</v>
      </c>
      <c r="E202" s="2" t="str">
        <f>IFERROR(__xludf.DUMMYFUNCTION("""COMPUTED_VALUE"""),"Cuidado")</f>
        <v>Cuidado</v>
      </c>
      <c r="F202" s="2" t="str">
        <f>IFERROR(__xludf.DUMMYFUNCTION("""COMPUTED_VALUE"""),"Vicejefatura (Ambiente)")</f>
        <v>Vicejefatura (Ambiente)</v>
      </c>
      <c r="G202" s="2" t="str">
        <f>IFERROR(__xludf.DUMMYFUNCTION("""COMPUTED_VALUE"""),"Finalizada")</f>
        <v>Finalizada</v>
      </c>
      <c r="H202" s="4">
        <v>3764754.0</v>
      </c>
      <c r="I202" s="4">
        <v>0.0</v>
      </c>
      <c r="J202" s="4">
        <v>26443.0</v>
      </c>
      <c r="K202" s="4">
        <v>157499.0</v>
      </c>
      <c r="L202" s="5">
        <v>15.7773890627877</v>
      </c>
      <c r="M202" s="5">
        <v>23.90335176731281</v>
      </c>
      <c r="N202" s="4">
        <v>108914.0</v>
      </c>
      <c r="O202" s="4">
        <v>107550.0</v>
      </c>
      <c r="P202" s="4">
        <v>35198.0</v>
      </c>
      <c r="Q202" s="4">
        <v>2534.0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>
        <v>0.0</v>
      </c>
      <c r="AD202" s="4"/>
      <c r="AE202" s="6" t="s">
        <v>9</v>
      </c>
    </row>
    <row r="203" ht="16.5" customHeight="1">
      <c r="A203" s="2" t="str">
        <f>IFERROR(__xludf.DUMMYFUNCTION("""COMPUTED_VALUE"""),"2624-FEBEDUVC")</f>
        <v>2624-FEBEDUVC</v>
      </c>
      <c r="B203" s="2" t="str">
        <f>IFERROR(__xludf.DUMMYFUNCTION("""COMPUTED_VALUE"""),"RDV MINISTROS | Mercedes Miguel, Comuna 12 23/2")</f>
        <v>RDV MINISTROS | Mercedes Miguel, Comuna 12 23/2</v>
      </c>
      <c r="C203" s="3">
        <f>IFERROR(__xludf.DUMMYFUNCTION("""COMPUTED_VALUE"""),46071.0)</f>
        <v>46071</v>
      </c>
      <c r="D203" s="3">
        <f>IFERROR(__xludf.DUMMYFUNCTION("""COMPUTED_VALUE"""),46090.0)</f>
        <v>46090</v>
      </c>
      <c r="E203" s="2" t="str">
        <f>IFERROR(__xludf.DUMMYFUNCTION("""COMPUTED_VALUE"""),"Cercanía")</f>
        <v>Cercanía</v>
      </c>
      <c r="F203" s="2" t="str">
        <f>IFERROR(__xludf.DUMMYFUNCTION("""COMPUTED_VALUE"""),"Educación")</f>
        <v>Educación</v>
      </c>
      <c r="G203" s="2" t="str">
        <f>IFERROR(__xludf.DUMMYFUNCTION("""COMPUTED_VALUE"""),"Finalizada")</f>
        <v>Finalizada</v>
      </c>
      <c r="H203" s="4">
        <v>215805.0</v>
      </c>
      <c r="I203" s="4">
        <v>0.0</v>
      </c>
      <c r="J203" s="4">
        <v>914.0</v>
      </c>
      <c r="K203" s="4">
        <v>136515.0</v>
      </c>
      <c r="L203" s="5">
        <v>1.580815295022525</v>
      </c>
      <c r="M203" s="5">
        <v>1.580815295022525</v>
      </c>
      <c r="N203" s="4">
        <v>26083.0</v>
      </c>
      <c r="O203" s="4">
        <v>25790.0</v>
      </c>
      <c r="P203" s="4">
        <v>5289.0</v>
      </c>
      <c r="Q203" s="4">
        <v>96.0</v>
      </c>
      <c r="R203" s="4">
        <v>5500.0</v>
      </c>
      <c r="S203" s="4">
        <v>2625.0</v>
      </c>
      <c r="T203" s="4">
        <v>705.0</v>
      </c>
      <c r="U203" s="4">
        <v>529.0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/>
      <c r="AE203" s="6" t="s">
        <v>9</v>
      </c>
    </row>
    <row r="204" ht="16.5" customHeight="1">
      <c r="A204" s="2" t="str">
        <f>IFERROR(__xludf.DUMMYFUNCTION("""COMPUTED_VALUE"""),"2625-FEBDECVC")</f>
        <v>2625-FEBDECVC</v>
      </c>
      <c r="B204" s="2" t="str">
        <f>IFERROR(__xludf.DUMMYFUNCTION("""COMPUTED_VALUE"""),"RDV MINISTROS | Lombardi, Piragine, Tapia Comuna 23/2 EJE CENTRO")</f>
        <v>RDV MINISTROS | Lombardi, Piragine, Tapia Comuna 23/2 EJE CENTRO</v>
      </c>
      <c r="C204" s="3">
        <f>IFERROR(__xludf.DUMMYFUNCTION("""COMPUTED_VALUE"""),46073.0)</f>
        <v>46073</v>
      </c>
      <c r="D204" s="3">
        <f>IFERROR(__xludf.DUMMYFUNCTION("""COMPUTED_VALUE"""),46076.0)</f>
        <v>46076</v>
      </c>
      <c r="E204" s="2" t="str">
        <f>IFERROR(__xludf.DUMMYFUNCTION("""COMPUTED_VALUE"""),"Cercanía")</f>
        <v>Cercanía</v>
      </c>
      <c r="F204" s="2" t="str">
        <f>IFERROR(__xludf.DUMMYFUNCTION("""COMPUTED_VALUE"""),"Desarrollo Económico")</f>
        <v>Desarrollo Económico</v>
      </c>
      <c r="G204" s="2" t="str">
        <f>IFERROR(__xludf.DUMMYFUNCTION("""COMPUTED_VALUE"""),"Finalizada")</f>
        <v>Finalizada</v>
      </c>
      <c r="H204" s="4">
        <v>622389.0</v>
      </c>
      <c r="I204" s="4">
        <v>0.0</v>
      </c>
      <c r="J204" s="4">
        <v>1013.0</v>
      </c>
      <c r="K204" s="4">
        <v>456612.0</v>
      </c>
      <c r="L204" s="5">
        <v>1.3630587895193294</v>
      </c>
      <c r="M204" s="5">
        <v>1.3630587895193294</v>
      </c>
      <c r="N204" s="4">
        <v>16335.0</v>
      </c>
      <c r="O204" s="4">
        <v>16016.0</v>
      </c>
      <c r="P204" s="4">
        <v>2375.0</v>
      </c>
      <c r="Q204" s="4">
        <v>24.0</v>
      </c>
      <c r="R204" s="4">
        <v>44.0</v>
      </c>
      <c r="S204" s="4">
        <v>44.0</v>
      </c>
      <c r="T204" s="4">
        <v>13.0</v>
      </c>
      <c r="U204" s="4">
        <v>13.0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/>
      <c r="AE204" s="6" t="s">
        <v>9</v>
      </c>
    </row>
    <row r="205" ht="16.5" customHeight="1">
      <c r="A205" s="2" t="str">
        <f>IFERROR(__xludf.DUMMYFUNCTION("""COMPUTED_VALUE"""),"2627-FEBSALVC")</f>
        <v>2627-FEBSALVC</v>
      </c>
      <c r="B205" s="2" t="str">
        <f>IFERROR(__xludf.DUMMYFUNCTION("""COMPUTED_VALUE"""),"RDV Ministros | Fernán Quirós - 27/02")</f>
        <v>RDV Ministros | Fernán Quirós - 27/02</v>
      </c>
      <c r="C205" s="3">
        <f>IFERROR(__xludf.DUMMYFUNCTION("""COMPUTED_VALUE"""),46076.0)</f>
        <v>46076</v>
      </c>
      <c r="D205" s="3">
        <f>IFERROR(__xludf.DUMMYFUNCTION("""COMPUTED_VALUE"""),46080.0)</f>
        <v>46080</v>
      </c>
      <c r="E205" s="2" t="str">
        <f>IFERROR(__xludf.DUMMYFUNCTION("""COMPUTED_VALUE"""),"Cercanía")</f>
        <v>Cercanía</v>
      </c>
      <c r="F205" s="2" t="str">
        <f>IFERROR(__xludf.DUMMYFUNCTION("""COMPUTED_VALUE"""),"Salud")</f>
        <v>Salud</v>
      </c>
      <c r="G205" s="2" t="str">
        <f>IFERROR(__xludf.DUMMYFUNCTION("""COMPUTED_VALUE"""),"Finalizada")</f>
        <v>Finalizada</v>
      </c>
      <c r="H205" s="4">
        <v>63050.0</v>
      </c>
      <c r="I205" s="4">
        <v>0.0</v>
      </c>
      <c r="J205" s="4">
        <v>194.0</v>
      </c>
      <c r="K205" s="4">
        <v>41738.0</v>
      </c>
      <c r="L205" s="5">
        <v>1.5106138291245388</v>
      </c>
      <c r="M205" s="5">
        <v>1.5106138291245388</v>
      </c>
      <c r="N205" s="4">
        <v>76880.0</v>
      </c>
      <c r="O205" s="4">
        <v>75959.0</v>
      </c>
      <c r="P205" s="4">
        <v>11084.0</v>
      </c>
      <c r="Q205" s="4">
        <v>272.0</v>
      </c>
      <c r="R205" s="4">
        <v>161.0</v>
      </c>
      <c r="S205" s="4">
        <v>161.0</v>
      </c>
      <c r="T205" s="4">
        <v>37.0</v>
      </c>
      <c r="U205" s="4">
        <v>35.0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/>
      <c r="AE205" s="6" t="s">
        <v>9</v>
      </c>
    </row>
    <row r="206" ht="16.5" customHeight="1">
      <c r="A206" s="2" t="str">
        <f>IFERROR(__xludf.DUMMYFUNCTION("""COMPUTED_VALUE"""),"2628-FEBCULVC")</f>
        <v>2628-FEBCULVC</v>
      </c>
      <c r="B206" s="2" t="str">
        <f>IFERROR(__xludf.DUMMYFUNCTION("""COMPUTED_VALUE"""),"RDV Ministros | Gabriela Ricardes 23/2 Comuna 3")</f>
        <v>RDV Ministros | Gabriela Ricardes 23/2 Comuna 3</v>
      </c>
      <c r="C206" s="3">
        <f>IFERROR(__xludf.DUMMYFUNCTION("""COMPUTED_VALUE"""),46072.0)</f>
        <v>46072</v>
      </c>
      <c r="D206" s="3">
        <f>IFERROR(__xludf.DUMMYFUNCTION("""COMPUTED_VALUE"""),46078.0)</f>
        <v>46078</v>
      </c>
      <c r="E206" s="2" t="str">
        <f>IFERROR(__xludf.DUMMYFUNCTION("""COMPUTED_VALUE"""),"Cercanía")</f>
        <v>Cercanía</v>
      </c>
      <c r="F206" s="2" t="str">
        <f>IFERROR(__xludf.DUMMYFUNCTION("""COMPUTED_VALUE"""),"Cultura")</f>
        <v>Cultura</v>
      </c>
      <c r="G206" s="2" t="str">
        <f>IFERROR(__xludf.DUMMYFUNCTION("""COMPUTED_VALUE"""),"Finalizada")</f>
        <v>Finalizada</v>
      </c>
      <c r="H206" s="4">
        <v>157566.0</v>
      </c>
      <c r="I206" s="4">
        <v>0.0</v>
      </c>
      <c r="J206" s="4">
        <v>163.0</v>
      </c>
      <c r="K206" s="4">
        <v>123461.0</v>
      </c>
      <c r="L206" s="5">
        <v>1.276241080179166</v>
      </c>
      <c r="M206" s="5">
        <v>1.276241080179166</v>
      </c>
      <c r="N206" s="4">
        <v>24851.0</v>
      </c>
      <c r="O206" s="4">
        <v>24489.0</v>
      </c>
      <c r="P206" s="4">
        <v>4612.0</v>
      </c>
      <c r="Q206" s="4">
        <v>140.0</v>
      </c>
      <c r="R206" s="4">
        <v>89.0</v>
      </c>
      <c r="S206" s="4">
        <v>89.0</v>
      </c>
      <c r="T206" s="4">
        <v>26.0</v>
      </c>
      <c r="U206" s="4">
        <v>25.0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/>
      <c r="AE206" s="6" t="s">
        <v>9</v>
      </c>
    </row>
    <row r="207" ht="16.5" customHeight="1">
      <c r="A207" s="2" t="str">
        <f>IFERROR(__xludf.DUMMYFUNCTION("""COMPUTED_VALUE"""),"2629-FEBJDGVC")</f>
        <v>2629-FEBJDGVC</v>
      </c>
      <c r="B207" s="2" t="str">
        <f>IFERROR(__xludf.DUMMYFUNCTION("""COMPUTED_VALUE"""),"RDV MINISTROS | GABRIEL SÁNCHEZ ZINNY 25/2 BARRACAS")</f>
        <v>RDV MINISTROS | GABRIEL SÁNCHEZ ZINNY 25/2 BARRACAS</v>
      </c>
      <c r="C207" s="3">
        <f>IFERROR(__xludf.DUMMYFUNCTION("""COMPUTED_VALUE"""),46073.0)</f>
        <v>46073</v>
      </c>
      <c r="D207" s="3">
        <f>IFERROR(__xludf.DUMMYFUNCTION("""COMPUTED_VALUE"""),46079.0)</f>
        <v>46079</v>
      </c>
      <c r="E207" s="2" t="str">
        <f>IFERROR(__xludf.DUMMYFUNCTION("""COMPUTED_VALUE"""),"Cercanía")</f>
        <v>Cercanía</v>
      </c>
      <c r="F207" s="2" t="str">
        <f>IFERROR(__xludf.DUMMYFUNCTION("""COMPUTED_VALUE"""),"Jefatura de Gabinete")</f>
        <v>Jefatura de Gabinete</v>
      </c>
      <c r="G207" s="2" t="str">
        <f>IFERROR(__xludf.DUMMYFUNCTION("""COMPUTED_VALUE"""),"Finalizada")</f>
        <v>Finalizada</v>
      </c>
      <c r="H207" s="4">
        <v>105799.0</v>
      </c>
      <c r="I207" s="4">
        <v>0.0</v>
      </c>
      <c r="J207" s="4">
        <v>399.0</v>
      </c>
      <c r="K207" s="4">
        <v>60563.0</v>
      </c>
      <c r="L207" s="5">
        <v>1.7469246899922395</v>
      </c>
      <c r="M207" s="5">
        <v>1.7469246899922395</v>
      </c>
      <c r="N207" s="4">
        <v>27164.0</v>
      </c>
      <c r="O207" s="4">
        <v>26763.0</v>
      </c>
      <c r="P207" s="4">
        <v>4776.0</v>
      </c>
      <c r="Q207" s="4">
        <v>178.0</v>
      </c>
      <c r="R207" s="4">
        <v>7707.0</v>
      </c>
      <c r="S207" s="4">
        <v>5381.0</v>
      </c>
      <c r="T207" s="4">
        <v>1106.0</v>
      </c>
      <c r="U207" s="4">
        <v>783.0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/>
      <c r="AE207" s="6" t="s">
        <v>9</v>
      </c>
    </row>
    <row r="208" ht="16.5" customHeight="1">
      <c r="A208" s="2" t="str">
        <f>IFERROR(__xludf.DUMMYFUNCTION("""COMPUTED_VALUE"""),"2630-FEBFESGC")</f>
        <v>2630-FEBFESGC</v>
      </c>
      <c r="B208" s="2" t="str">
        <f>IFERROR(__xludf.DUMMYFUNCTION("""COMPUTED_VALUE"""),"Verano BA | Material post año nuevo chino")</f>
        <v>Verano BA | Material post año nuevo chino</v>
      </c>
      <c r="C208" s="3">
        <f>IFERROR(__xludf.DUMMYFUNCTION("""COMPUTED_VALUE"""),46072.0)</f>
        <v>46072</v>
      </c>
      <c r="D208" s="3">
        <f>IFERROR(__xludf.DUMMYFUNCTION("""COMPUTED_VALUE"""),46079.0)</f>
        <v>46079</v>
      </c>
      <c r="E208" s="2" t="str">
        <f>IFERROR(__xludf.DUMMYFUNCTION("""COMPUTED_VALUE"""),"Ciudad Atractiva")</f>
        <v>Ciudad Atractiva</v>
      </c>
      <c r="F208" s="2" t="str">
        <f>IFERROR(__xludf.DUMMYFUNCTION("""COMPUTED_VALUE"""),"Festivales y Eventos")</f>
        <v>Festivales y Eventos</v>
      </c>
      <c r="G208" s="2" t="str">
        <f>IFERROR(__xludf.DUMMYFUNCTION("""COMPUTED_VALUE"""),"Finalizada")</f>
        <v>Finalizada</v>
      </c>
      <c r="H208" s="4">
        <v>207878.0</v>
      </c>
      <c r="I208" s="4">
        <v>15843.0</v>
      </c>
      <c r="J208" s="4">
        <v>6.0</v>
      </c>
      <c r="K208" s="4">
        <v>28267.0</v>
      </c>
      <c r="L208" s="5">
        <v>7.354087805568331</v>
      </c>
      <c r="M208" s="5">
        <v>7.354087805568331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>
        <v>0.0</v>
      </c>
      <c r="AD208" s="4"/>
      <c r="AE208" s="4" t="s">
        <v>8</v>
      </c>
    </row>
    <row r="209" ht="16.5" customHeight="1">
      <c r="A209" s="2" t="str">
        <f>IFERROR(__xludf.DUMMYFUNCTION("""COMPUTED_VALUE"""),"2631-FEBINFGC")</f>
        <v>2631-FEBINFGC</v>
      </c>
      <c r="B209" s="2" t="str">
        <f>IFERROR(__xludf.DUMMYFUNCTION("""COMPUTED_VALUE"""),"CAMPAÑA GCBA | Infraestructura | Reapertura estación Plaza Italia")</f>
        <v>CAMPAÑA GCBA | Infraestructura | Reapertura estación Plaza Italia</v>
      </c>
      <c r="C209" s="3">
        <f>IFERROR(__xludf.DUMMYFUNCTION("""COMPUTED_VALUE"""),46076.0)</f>
        <v>46076</v>
      </c>
      <c r="D209" s="3">
        <f>IFERROR(__xludf.DUMMYFUNCTION("""COMPUTED_VALUE"""),46090.0)</f>
        <v>46090</v>
      </c>
      <c r="E209" s="2" t="str">
        <f>IFERROR(__xludf.DUMMYFUNCTION("""COMPUTED_VALUE"""),"Movilidad")</f>
        <v>Movilidad</v>
      </c>
      <c r="F209" s="2" t="str">
        <f>IFERROR(__xludf.DUMMYFUNCTION("""COMPUTED_VALUE"""),"Infraestructura")</f>
        <v>Infraestructura</v>
      </c>
      <c r="G209" s="2" t="str">
        <f>IFERROR(__xludf.DUMMYFUNCTION("""COMPUTED_VALUE"""),"Finalizada")</f>
        <v>Finalizada</v>
      </c>
      <c r="H209" s="4">
        <v>2000003.0</v>
      </c>
      <c r="I209" s="4">
        <v>0.0</v>
      </c>
      <c r="J209" s="4">
        <v>5913.0</v>
      </c>
      <c r="K209" s="4">
        <v>1404372.0</v>
      </c>
      <c r="L209" s="5">
        <v>0.7088449499135556</v>
      </c>
      <c r="M209" s="5">
        <v>1.4241262286630607</v>
      </c>
      <c r="N209" s="4">
        <v>171348.0</v>
      </c>
      <c r="O209" s="4">
        <v>169781.0</v>
      </c>
      <c r="P209" s="4">
        <v>65780.0</v>
      </c>
      <c r="Q209" s="4">
        <v>1513.0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26982.0</v>
      </c>
      <c r="AB209" s="4">
        <v>25408.0</v>
      </c>
      <c r="AC209" s="4">
        <v>177.0</v>
      </c>
      <c r="AD209" s="4"/>
      <c r="AE209" s="6" t="s">
        <v>9</v>
      </c>
    </row>
    <row r="210" ht="16.5" customHeight="1">
      <c r="A210" s="2" t="str">
        <f>IFERROR(__xludf.DUMMYFUNCTION("""COMPUTED_VALUE"""),"2632-FEBSEGVC")</f>
        <v>2632-FEBSEGVC</v>
      </c>
      <c r="B210" s="2" t="str">
        <f>IFERROR(__xludf.DUMMYFUNCTION("""COMPUTED_VALUE"""),"RDV Ministros | Maximiliano Piñeiro 26/2 Comuna 12")</f>
        <v>RDV Ministros | Maximiliano Piñeiro 26/2 Comuna 12</v>
      </c>
      <c r="C210" s="3">
        <f>IFERROR(__xludf.DUMMYFUNCTION("""COMPUTED_VALUE"""),46076.0)</f>
        <v>46076</v>
      </c>
      <c r="D210" s="3">
        <f>IFERROR(__xludf.DUMMYFUNCTION("""COMPUTED_VALUE"""),46080.0)</f>
        <v>46080</v>
      </c>
      <c r="E210" s="2" t="str">
        <f>IFERROR(__xludf.DUMMYFUNCTION("""COMPUTED_VALUE"""),"Cercanía")</f>
        <v>Cercanía</v>
      </c>
      <c r="F210" s="2" t="str">
        <f>IFERROR(__xludf.DUMMYFUNCTION("""COMPUTED_VALUE"""),"Seguridad")</f>
        <v>Seguridad</v>
      </c>
      <c r="G210" s="2" t="str">
        <f>IFERROR(__xludf.DUMMYFUNCTION("""COMPUTED_VALUE"""),"Finalizada")</f>
        <v>Finalizada</v>
      </c>
      <c r="H210" s="4">
        <v>70826.0</v>
      </c>
      <c r="I210" s="4">
        <v>0.0</v>
      </c>
      <c r="J210" s="4">
        <v>149.0</v>
      </c>
      <c r="K210" s="4">
        <v>48683.0</v>
      </c>
      <c r="L210" s="5">
        <v>1.4548404987367254</v>
      </c>
      <c r="M210" s="5">
        <v>1.4548404987367254</v>
      </c>
      <c r="N210" s="4">
        <v>91430.0</v>
      </c>
      <c r="O210" s="4">
        <v>90507.0</v>
      </c>
      <c r="P210" s="4">
        <v>25445.0</v>
      </c>
      <c r="Q210" s="4">
        <v>356.0</v>
      </c>
      <c r="R210" s="4">
        <v>167.0</v>
      </c>
      <c r="S210" s="4">
        <v>167.0</v>
      </c>
      <c r="T210" s="4">
        <v>44.0</v>
      </c>
      <c r="U210" s="4">
        <v>44.0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/>
      <c r="AE210" s="6" t="s">
        <v>9</v>
      </c>
    </row>
    <row r="211" ht="16.5" customHeight="1">
      <c r="A211" s="2" t="str">
        <f>IFERROR(__xludf.DUMMYFUNCTION("""COMPUTED_VALUE"""),"2633-FEBSEGVC")</f>
        <v>2633-FEBSEGVC</v>
      </c>
      <c r="B211" s="2" t="str">
        <f>IFERROR(__xludf.DUMMYFUNCTION("""COMPUTED_VALUE"""),"RDV Ministros | Horacio Gimenez 26/2 Comuna 13")</f>
        <v>RDV Ministros | Horacio Gimenez 26/2 Comuna 13</v>
      </c>
      <c r="C211" s="3">
        <f>IFERROR(__xludf.DUMMYFUNCTION("""COMPUTED_VALUE"""),46076.0)</f>
        <v>46076</v>
      </c>
      <c r="D211" s="3">
        <f>IFERROR(__xludf.DUMMYFUNCTION("""COMPUTED_VALUE"""),46080.0)</f>
        <v>46080</v>
      </c>
      <c r="E211" s="2" t="str">
        <f>IFERROR(__xludf.DUMMYFUNCTION("""COMPUTED_VALUE"""),"Cercanía")</f>
        <v>Cercanía</v>
      </c>
      <c r="F211" s="2" t="str">
        <f>IFERROR(__xludf.DUMMYFUNCTION("""COMPUTED_VALUE"""),"Seguridad")</f>
        <v>Seguridad</v>
      </c>
      <c r="G211" s="2" t="str">
        <f>IFERROR(__xludf.DUMMYFUNCTION("""COMPUTED_VALUE"""),"Finalizada")</f>
        <v>Finalizada</v>
      </c>
      <c r="H211" s="4">
        <v>75286.0</v>
      </c>
      <c r="I211" s="4">
        <v>0.0</v>
      </c>
      <c r="J211" s="4">
        <v>262.0</v>
      </c>
      <c r="K211" s="4">
        <v>52233.0</v>
      </c>
      <c r="L211" s="5">
        <v>1.4413493385407692</v>
      </c>
      <c r="M211" s="5">
        <v>1.4413493385407692</v>
      </c>
      <c r="N211" s="4">
        <v>106233.0</v>
      </c>
      <c r="O211" s="4">
        <v>105224.0</v>
      </c>
      <c r="P211" s="4">
        <v>38226.0</v>
      </c>
      <c r="Q211" s="4">
        <v>546.0</v>
      </c>
      <c r="R211" s="4">
        <v>251.0</v>
      </c>
      <c r="S211" s="4">
        <v>251.0</v>
      </c>
      <c r="T211" s="4">
        <v>76.0</v>
      </c>
      <c r="U211" s="4">
        <v>75.0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/>
      <c r="AE211" s="6" t="s">
        <v>9</v>
      </c>
    </row>
    <row r="212" ht="16.5" customHeight="1">
      <c r="A212" s="2" t="str">
        <f>IFERROR(__xludf.DUMMYFUNCTION("""COMPUTED_VALUE"""),"2634-FEBSEGVC")</f>
        <v>2634-FEBSEGVC</v>
      </c>
      <c r="B212" s="2" t="str">
        <f>IFERROR(__xludf.DUMMYFUNCTION("""COMPUTED_VALUE"""),"RDV Ministros | Gabino Tapia 26/2 Comuna 14")</f>
        <v>RDV Ministros | Gabino Tapia 26/2 Comuna 14</v>
      </c>
      <c r="C212" s="3">
        <f>IFERROR(__xludf.DUMMYFUNCTION("""COMPUTED_VALUE"""),46076.0)</f>
        <v>46076</v>
      </c>
      <c r="D212" s="3">
        <f>IFERROR(__xludf.DUMMYFUNCTION("""COMPUTED_VALUE"""),46080.0)</f>
        <v>46080</v>
      </c>
      <c r="E212" s="2" t="str">
        <f>IFERROR(__xludf.DUMMYFUNCTION("""COMPUTED_VALUE"""),"Cercanía")</f>
        <v>Cercanía</v>
      </c>
      <c r="F212" s="2" t="str">
        <f>IFERROR(__xludf.DUMMYFUNCTION("""COMPUTED_VALUE"""),"Seguridad")</f>
        <v>Seguridad</v>
      </c>
      <c r="G212" s="2" t="str">
        <f>IFERROR(__xludf.DUMMYFUNCTION("""COMPUTED_VALUE"""),"Finalizada")</f>
        <v>Finalizada</v>
      </c>
      <c r="H212" s="4">
        <v>111946.0</v>
      </c>
      <c r="I212" s="4">
        <v>0.0</v>
      </c>
      <c r="J212" s="4">
        <v>120.0</v>
      </c>
      <c r="K212" s="4">
        <v>82800.0</v>
      </c>
      <c r="L212" s="5">
        <v>1.3520048309178745</v>
      </c>
      <c r="M212" s="5">
        <v>1.3520048309178745</v>
      </c>
      <c r="N212" s="4">
        <v>93913.0</v>
      </c>
      <c r="O212" s="4">
        <v>92855.0</v>
      </c>
      <c r="P212" s="4">
        <v>26273.0</v>
      </c>
      <c r="Q212" s="4">
        <v>301.0</v>
      </c>
      <c r="R212" s="4">
        <v>119.0</v>
      </c>
      <c r="S212" s="4">
        <v>119.0</v>
      </c>
      <c r="T212" s="4">
        <v>28.0</v>
      </c>
      <c r="U212" s="4">
        <v>28.0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/>
      <c r="AE212" s="6" t="s">
        <v>9</v>
      </c>
    </row>
    <row r="213" ht="16.5" customHeight="1">
      <c r="A213" s="2" t="str">
        <f>IFERROR(__xludf.DUMMYFUNCTION("""COMPUTED_VALUE"""),"2635-FEBSEGVC")</f>
        <v>2635-FEBSEGVC</v>
      </c>
      <c r="B213" s="2" t="str">
        <f>IFERROR(__xludf.DUMMYFUNCTION("""COMPUTED_VALUE"""),"RDV Ministros | Ruth Landerreche 26/2 Comuna 15")</f>
        <v>RDV Ministros | Ruth Landerreche 26/2 Comuna 15</v>
      </c>
      <c r="C213" s="3">
        <f>IFERROR(__xludf.DUMMYFUNCTION("""COMPUTED_VALUE"""),46076.0)</f>
        <v>46076</v>
      </c>
      <c r="D213" s="3">
        <f>IFERROR(__xludf.DUMMYFUNCTION("""COMPUTED_VALUE"""),46080.0)</f>
        <v>46080</v>
      </c>
      <c r="E213" s="2" t="str">
        <f>IFERROR(__xludf.DUMMYFUNCTION("""COMPUTED_VALUE"""),"Cercanía")</f>
        <v>Cercanía</v>
      </c>
      <c r="F213" s="2" t="str">
        <f>IFERROR(__xludf.DUMMYFUNCTION("""COMPUTED_VALUE"""),"Seguridad")</f>
        <v>Seguridad</v>
      </c>
      <c r="G213" s="2" t="str">
        <f>IFERROR(__xludf.DUMMYFUNCTION("""COMPUTED_VALUE"""),"Finalizada")</f>
        <v>Finalizada</v>
      </c>
      <c r="H213" s="4">
        <v>78994.0</v>
      </c>
      <c r="I213" s="4">
        <v>0.0</v>
      </c>
      <c r="J213" s="4">
        <v>212.0</v>
      </c>
      <c r="K213" s="4">
        <v>54685.0</v>
      </c>
      <c r="L213" s="5">
        <v>1.4445277498399927</v>
      </c>
      <c r="M213" s="5">
        <v>1.4445277498399927</v>
      </c>
      <c r="N213" s="4">
        <v>392.0</v>
      </c>
      <c r="O213" s="4">
        <v>389.0</v>
      </c>
      <c r="P213" s="4">
        <v>227.0</v>
      </c>
      <c r="Q213" s="4">
        <v>2.0</v>
      </c>
      <c r="R213" s="4">
        <v>189.0</v>
      </c>
      <c r="S213" s="4">
        <v>189.0</v>
      </c>
      <c r="T213" s="4">
        <v>59.0</v>
      </c>
      <c r="U213" s="4">
        <v>57.0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/>
      <c r="AE213" s="6" t="s">
        <v>9</v>
      </c>
    </row>
    <row r="214" ht="16.5" customHeight="1">
      <c r="A214" s="2" t="str">
        <f>IFERROR(__xludf.DUMMYFUNCTION("""COMPUTED_VALUE"""),"2636-FEBJDGAG")</f>
        <v>2636-FEBJDGAG</v>
      </c>
      <c r="B214" s="2" t="str">
        <f>IFERROR(__xludf.DUMMYFUNCTION("""COMPUTED_VALUE"""),"RDV JM | Parque Chas 27/2")</f>
        <v>RDV JM | Parque Chas 27/2</v>
      </c>
      <c r="C214" s="3">
        <f>IFERROR(__xludf.DUMMYFUNCTION("""COMPUTED_VALUE"""),46073.0)</f>
        <v>46073</v>
      </c>
      <c r="D214" s="3">
        <f>IFERROR(__xludf.DUMMYFUNCTION("""COMPUTED_VALUE"""),46097.0)</f>
        <v>46097</v>
      </c>
      <c r="E214" s="2" t="str">
        <f>IFERROR(__xludf.DUMMYFUNCTION("""COMPUTED_VALUE"""),"Cercanía")</f>
        <v>Cercanía</v>
      </c>
      <c r="F214" s="2" t="str">
        <f>IFERROR(__xludf.DUMMYFUNCTION("""COMPUTED_VALUE"""),"Jefatura de Gobierno")</f>
        <v>Jefatura de Gobierno</v>
      </c>
      <c r="G214" s="2" t="str">
        <f>IFERROR(__xludf.DUMMYFUNCTION("""COMPUTED_VALUE"""),"Finalizada")</f>
        <v>Finalizada</v>
      </c>
      <c r="H214" s="4">
        <v>1145787.0</v>
      </c>
      <c r="I214" s="4">
        <v>158561.0</v>
      </c>
      <c r="J214" s="4">
        <v>12884.0</v>
      </c>
      <c r="K214" s="4">
        <v>12394.0</v>
      </c>
      <c r="L214" s="5">
        <v>4.493706632241407</v>
      </c>
      <c r="M214" s="5">
        <v>92.44690979506213</v>
      </c>
      <c r="N214" s="4">
        <v>9261.0</v>
      </c>
      <c r="O214" s="4">
        <v>9169.0</v>
      </c>
      <c r="P214" s="4">
        <v>2420.0</v>
      </c>
      <c r="Q214" s="4">
        <v>132.0</v>
      </c>
      <c r="R214" s="4">
        <v>20.0</v>
      </c>
      <c r="S214" s="4">
        <v>20.0</v>
      </c>
      <c r="T214" s="4">
        <v>10.0</v>
      </c>
      <c r="U214" s="4">
        <v>8.0</v>
      </c>
      <c r="V214" s="4">
        <v>4696.0</v>
      </c>
      <c r="W214" s="4">
        <v>4696.0</v>
      </c>
      <c r="X214" s="4">
        <v>4204.0</v>
      </c>
      <c r="Y214" s="4">
        <v>1780.0</v>
      </c>
      <c r="Z214" s="4">
        <v>20.0</v>
      </c>
      <c r="AA214" s="4">
        <v>0.0</v>
      </c>
      <c r="AB214" s="4">
        <v>0.0</v>
      </c>
      <c r="AC214" s="4">
        <v>0.0</v>
      </c>
      <c r="AD214" s="4"/>
      <c r="AE214" s="6" t="s">
        <v>9</v>
      </c>
    </row>
    <row r="215" ht="16.5" customHeight="1">
      <c r="A215" s="2" t="str">
        <f>IFERROR(__xludf.DUMMYFUNCTION("""COMPUTED_VALUE"""),"2637-FEBJDGVC")</f>
        <v>2637-FEBJDGVC</v>
      </c>
      <c r="B215" s="2" t="str">
        <f>IFERROR(__xludf.DUMMYFUNCTION("""COMPUTED_VALUE"""),"RDV MINISTROS | GABRIEL SÁNCHEZ ZINNY 28/2 NÚÑEZ")</f>
        <v>RDV MINISTROS | GABRIEL SÁNCHEZ ZINNY 28/2 NÚÑEZ</v>
      </c>
      <c r="C215" s="3">
        <f>IFERROR(__xludf.DUMMYFUNCTION("""COMPUTED_VALUE"""),46078.0)</f>
        <v>46078</v>
      </c>
      <c r="D215" s="3">
        <f>IFERROR(__xludf.DUMMYFUNCTION("""COMPUTED_VALUE"""),46083.0)</f>
        <v>46083</v>
      </c>
      <c r="E215" s="2" t="str">
        <f>IFERROR(__xludf.DUMMYFUNCTION("""COMPUTED_VALUE"""),"Cercanía")</f>
        <v>Cercanía</v>
      </c>
      <c r="F215" s="2" t="str">
        <f>IFERROR(__xludf.DUMMYFUNCTION("""COMPUTED_VALUE"""),"Jefatura de Gabinete")</f>
        <v>Jefatura de Gabinete</v>
      </c>
      <c r="G215" s="2" t="str">
        <f>IFERROR(__xludf.DUMMYFUNCTION("""COMPUTED_VALUE"""),"Finalizada")</f>
        <v>Finalizada</v>
      </c>
      <c r="H215" s="4">
        <v>32785.0</v>
      </c>
      <c r="I215" s="4">
        <v>0.0</v>
      </c>
      <c r="J215" s="4">
        <v>162.0</v>
      </c>
      <c r="K215" s="4">
        <v>0.0</v>
      </c>
      <c r="L215" s="5">
        <v>0.0</v>
      </c>
      <c r="M215" s="5">
        <v>0.0</v>
      </c>
      <c r="N215" s="4">
        <v>21608.0</v>
      </c>
      <c r="O215" s="4">
        <v>21386.0</v>
      </c>
      <c r="P215" s="4">
        <v>5805.0</v>
      </c>
      <c r="Q215" s="4">
        <v>110.0</v>
      </c>
      <c r="R215" s="4">
        <v>53.0</v>
      </c>
      <c r="S215" s="4">
        <v>53.0</v>
      </c>
      <c r="T215" s="4">
        <v>21.0</v>
      </c>
      <c r="U215" s="4">
        <v>20.0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0.0</v>
      </c>
      <c r="AB215" s="4">
        <v>0.0</v>
      </c>
      <c r="AC215" s="4">
        <v>0.0</v>
      </c>
      <c r="AD215" s="4"/>
      <c r="AE215" s="6" t="s">
        <v>9</v>
      </c>
    </row>
    <row r="216" ht="16.5" customHeight="1">
      <c r="A216" s="2" t="str">
        <f>IFERROR(__xludf.DUMMYFUNCTION("""COMPUTED_VALUE"""),"2638-FEBEMEGC")</f>
        <v>2638-FEBEMEGC</v>
      </c>
      <c r="B216" s="2" t="str">
        <f>IFERROR(__xludf.DUMMYFUNCTION("""COMPUTED_VALUE"""),"Alerta Amarilla | 23/02")</f>
        <v>Alerta Amarilla | 23/02</v>
      </c>
      <c r="C216" s="3">
        <f>IFERROR(__xludf.DUMMYFUNCTION("""COMPUTED_VALUE"""),46076.0)</f>
        <v>46076</v>
      </c>
      <c r="D216" s="3">
        <f>IFERROR(__xludf.DUMMYFUNCTION("""COMPUTED_VALUE"""),46076.0)</f>
        <v>46076</v>
      </c>
      <c r="E216" s="2" t="str">
        <f>IFERROR(__xludf.DUMMYFUNCTION("""COMPUTED_VALUE"""),"M2")</f>
        <v>M2</v>
      </c>
      <c r="F216" s="2" t="str">
        <f>IFERROR(__xludf.DUMMYFUNCTION("""COMPUTED_VALUE"""),"Emergencias")</f>
        <v>Emergencias</v>
      </c>
      <c r="G216" s="2" t="str">
        <f>IFERROR(__xludf.DUMMYFUNCTION("""COMPUTED_VALUE"""),"Finalizada")</f>
        <v>Finalizada</v>
      </c>
      <c r="H216" s="4">
        <v>437354.0</v>
      </c>
      <c r="I216" s="4">
        <v>17466.0</v>
      </c>
      <c r="J216" s="4">
        <v>7.0</v>
      </c>
      <c r="K216" s="4">
        <v>373732.0</v>
      </c>
      <c r="L216" s="5">
        <v>1.170234285530808</v>
      </c>
      <c r="M216" s="5">
        <v>1.170234285530808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/>
      <c r="AE216" s="4" t="s">
        <v>8</v>
      </c>
    </row>
    <row r="217" ht="16.5" customHeight="1">
      <c r="A217" s="2" t="str">
        <f>IFERROR(__xludf.DUMMYFUNCTION("""COMPUTED_VALUE"""),"2640-FEBVINGC")</f>
        <v>2640-FEBVINGC</v>
      </c>
      <c r="B217" s="2" t="str">
        <f>IFERROR(__xludf.DUMMYFUNCTION("""COMPUTED_VALUE"""),"CAMPAÑA GCBA | VINCULO CIUDADANO | Mas servicios en tu barrio 2026: Retiro 03/03 y 04/03")</f>
        <v>CAMPAÑA GCBA | VINCULO CIUDADANO | Mas servicios en tu barrio 2026: Retiro 03/03 y 04/03</v>
      </c>
      <c r="C217" s="3">
        <f>IFERROR(__xludf.DUMMYFUNCTION("""COMPUTED_VALUE"""),46079.0)</f>
        <v>46079</v>
      </c>
      <c r="D217" s="3">
        <f>IFERROR(__xludf.DUMMYFUNCTION("""COMPUTED_VALUE"""),46079.0)</f>
        <v>46079</v>
      </c>
      <c r="E217" s="2" t="str">
        <f>IFERROR(__xludf.DUMMYFUNCTION("""COMPUTED_VALUE"""),"M2")</f>
        <v>M2</v>
      </c>
      <c r="F217" s="2" t="str">
        <f>IFERROR(__xludf.DUMMYFUNCTION("""COMPUTED_VALUE"""),"Vínculo Ciudadano")</f>
        <v>Vínculo Ciudadano</v>
      </c>
      <c r="G217" s="2" t="str">
        <f>IFERROR(__xludf.DUMMYFUNCTION("""COMPUTED_VALUE"""),"Finalizada")</f>
        <v>Finalizada</v>
      </c>
      <c r="H217" s="4">
        <v>0.0</v>
      </c>
      <c r="I217" s="4">
        <v>0.0</v>
      </c>
      <c r="J217" s="4">
        <v>0.0</v>
      </c>
      <c r="K217" s="4">
        <v>0.0</v>
      </c>
      <c r="L217" s="5">
        <v>0.0</v>
      </c>
      <c r="M217" s="5">
        <v>0.0</v>
      </c>
      <c r="N217" s="4">
        <v>14880.0</v>
      </c>
      <c r="O217" s="4">
        <v>14695.0</v>
      </c>
      <c r="P217" s="4">
        <v>5441.0</v>
      </c>
      <c r="Q217" s="4">
        <v>319.0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4110.0</v>
      </c>
      <c r="AB217" s="4">
        <v>3558.0</v>
      </c>
      <c r="AC217" s="4">
        <v>70.0</v>
      </c>
      <c r="AD217" s="4" t="s">
        <v>8</v>
      </c>
      <c r="AE217" s="6" t="s">
        <v>9</v>
      </c>
    </row>
    <row r="218" ht="16.5" customHeight="1">
      <c r="A218" s="2" t="str">
        <f>IFERROR(__xludf.DUMMYFUNCTION("""COMPUTED_VALUE"""),"2641-FEBVINGC")</f>
        <v>2641-FEBVINGC</v>
      </c>
      <c r="B218" s="2" t="str">
        <f>IFERROR(__xludf.DUMMYFUNCTION("""COMPUTED_VALUE"""),"CAMPAÑA GCBA | VINCULO CIUDADANO | Mas servicios en tu barrio 2026: Balvanera 05/03 y 06/03")</f>
        <v>CAMPAÑA GCBA | VINCULO CIUDADANO | Mas servicios en tu barrio 2026: Balvanera 05/03 y 06/03</v>
      </c>
      <c r="C218" s="3">
        <f>IFERROR(__xludf.DUMMYFUNCTION("""COMPUTED_VALUE"""),46083.0)</f>
        <v>46083</v>
      </c>
      <c r="D218" s="3">
        <f>IFERROR(__xludf.DUMMYFUNCTION("""COMPUTED_VALUE"""),46083.0)</f>
        <v>46083</v>
      </c>
      <c r="E218" s="2" t="str">
        <f>IFERROR(__xludf.DUMMYFUNCTION("""COMPUTED_VALUE"""),"M2")</f>
        <v>M2</v>
      </c>
      <c r="F218" s="2" t="str">
        <f>IFERROR(__xludf.DUMMYFUNCTION("""COMPUTED_VALUE"""),"Vínculo Ciudadano")</f>
        <v>Vínculo Ciudadano</v>
      </c>
      <c r="G218" s="2" t="str">
        <f>IFERROR(__xludf.DUMMYFUNCTION("""COMPUTED_VALUE"""),"Finalizada")</f>
        <v>Finalizada</v>
      </c>
      <c r="H218" s="4">
        <v>0.0</v>
      </c>
      <c r="I218" s="4">
        <v>0.0</v>
      </c>
      <c r="J218" s="4">
        <v>0.0</v>
      </c>
      <c r="K218" s="4">
        <v>0.0</v>
      </c>
      <c r="L218" s="5">
        <v>0.0</v>
      </c>
      <c r="M218" s="5">
        <v>0.0</v>
      </c>
      <c r="N218" s="4">
        <v>20913.0</v>
      </c>
      <c r="O218" s="4">
        <v>20637.0</v>
      </c>
      <c r="P218" s="4">
        <v>5984.0</v>
      </c>
      <c r="Q218" s="4">
        <v>272.0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 t="s">
        <v>8</v>
      </c>
      <c r="AE218" s="6" t="s">
        <v>9</v>
      </c>
    </row>
    <row r="219" ht="16.5" customHeight="1">
      <c r="A219" s="2" t="str">
        <f>IFERROR(__xludf.DUMMYFUNCTION("""COMPUTED_VALUE"""),"2642-FEBVINGC")</f>
        <v>2642-FEBVINGC</v>
      </c>
      <c r="B219" s="2" t="str">
        <f>IFERROR(__xludf.DUMMYFUNCTION("""COMPUTED_VALUE"""),"CAMPAÑA GCBA | VINCULO CIUDADANO | Mas servicios en tu barrio 2026: Versalles 07/03")</f>
        <v>CAMPAÑA GCBA | VINCULO CIUDADANO | Mas servicios en tu barrio 2026: Versalles 07/03</v>
      </c>
      <c r="C219" s="3">
        <f>IFERROR(__xludf.DUMMYFUNCTION("""COMPUTED_VALUE"""),46084.0)</f>
        <v>46084</v>
      </c>
      <c r="D219" s="3">
        <f>IFERROR(__xludf.DUMMYFUNCTION("""COMPUTED_VALUE"""),46084.0)</f>
        <v>46084</v>
      </c>
      <c r="E219" s="2" t="str">
        <f>IFERROR(__xludf.DUMMYFUNCTION("""COMPUTED_VALUE"""),"M2")</f>
        <v>M2</v>
      </c>
      <c r="F219" s="2" t="str">
        <f>IFERROR(__xludf.DUMMYFUNCTION("""COMPUTED_VALUE"""),"Vínculo Ciudadano")</f>
        <v>Vínculo Ciudadano</v>
      </c>
      <c r="G219" s="2" t="str">
        <f>IFERROR(__xludf.DUMMYFUNCTION("""COMPUTED_VALUE"""),"Finalizada")</f>
        <v>Finalizada</v>
      </c>
      <c r="H219" s="4">
        <v>0.0</v>
      </c>
      <c r="I219" s="4">
        <v>0.0</v>
      </c>
      <c r="J219" s="4">
        <v>0.0</v>
      </c>
      <c r="K219" s="4">
        <v>0.0</v>
      </c>
      <c r="L219" s="5">
        <v>0.0</v>
      </c>
      <c r="M219" s="5">
        <v>0.0</v>
      </c>
      <c r="N219" s="4">
        <v>11310.0</v>
      </c>
      <c r="O219" s="4">
        <v>11182.0</v>
      </c>
      <c r="P219" s="4">
        <v>4356.0</v>
      </c>
      <c r="Q219" s="4">
        <v>311.0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 t="s">
        <v>8</v>
      </c>
      <c r="AE219" s="6" t="s">
        <v>9</v>
      </c>
    </row>
    <row r="220" ht="16.5" customHeight="1">
      <c r="A220" s="2" t="str">
        <f>IFERROR(__xludf.DUMMYFUNCTION("""COMPUTED_VALUE"""),"2643-FEBDECGC")</f>
        <v>2643-FEBDECGC</v>
      </c>
      <c r="B220" s="2" t="str">
        <f>IFERROR(__xludf.DUMMYFUNCTION("""COMPUTED_VALUE"""),"Noche de las Hamburgeserias")</f>
        <v>Noche de las Hamburgeserias</v>
      </c>
      <c r="C220" s="3">
        <f>IFERROR(__xludf.DUMMYFUNCTION("""COMPUTED_VALUE"""),46080.0)</f>
        <v>46080</v>
      </c>
      <c r="D220" s="3">
        <f>IFERROR(__xludf.DUMMYFUNCTION("""COMPUTED_VALUE"""),46087.0)</f>
        <v>46087</v>
      </c>
      <c r="E220" s="2" t="str">
        <f>IFERROR(__xludf.DUMMYFUNCTION("""COMPUTED_VALUE"""),"Ciudad Atractiva")</f>
        <v>Ciudad Atractiva</v>
      </c>
      <c r="F220" s="2" t="str">
        <f>IFERROR(__xludf.DUMMYFUNCTION("""COMPUTED_VALUE"""),"Desarrollo Económico")</f>
        <v>Desarrollo Económico</v>
      </c>
      <c r="G220" s="2" t="str">
        <f>IFERROR(__xludf.DUMMYFUNCTION("""COMPUTED_VALUE"""),"Finalizada")</f>
        <v>Finalizada</v>
      </c>
      <c r="H220" s="4">
        <v>1370201.0</v>
      </c>
      <c r="I220" s="4">
        <v>190010.0</v>
      </c>
      <c r="J220" s="4">
        <v>6235.0</v>
      </c>
      <c r="K220" s="4">
        <v>715086.0</v>
      </c>
      <c r="L220" s="5">
        <v>1.3153662636382197</v>
      </c>
      <c r="M220" s="5">
        <v>1.9161345628357989</v>
      </c>
      <c r="N220" s="4">
        <v>131620.0</v>
      </c>
      <c r="O220" s="4">
        <v>129983.0</v>
      </c>
      <c r="P220" s="4">
        <v>42837.0</v>
      </c>
      <c r="Q220" s="4">
        <v>4670.0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/>
      <c r="AE220" s="6" t="s">
        <v>9</v>
      </c>
    </row>
    <row r="221" ht="16.5" customHeight="1">
      <c r="A221" s="2" t="str">
        <f>IFERROR(__xludf.DUMMYFUNCTION("""COMPUTED_VALUE"""),"2644-FEBINFGC")</f>
        <v>2644-FEBINFGC</v>
      </c>
      <c r="B221" s="2" t="str">
        <f>IFERROR(__xludf.DUMMYFUNCTION("""COMPUTED_VALUE"""),"CAMPAÑA GCBA | Infraestructura | Reapertura estación Uruguay")</f>
        <v>CAMPAÑA GCBA | Infraestructura | Reapertura estación Uruguay</v>
      </c>
      <c r="C221" s="3">
        <f>IFERROR(__xludf.DUMMYFUNCTION("""COMPUTED_VALUE"""),46077.0)</f>
        <v>46077</v>
      </c>
      <c r="D221" s="3">
        <f>IFERROR(__xludf.DUMMYFUNCTION("""COMPUTED_VALUE"""),46112.0)</f>
        <v>46112</v>
      </c>
      <c r="E221" s="2" t="str">
        <f>IFERROR(__xludf.DUMMYFUNCTION("""COMPUTED_VALUE"""),"Movilidad")</f>
        <v>Movilidad</v>
      </c>
      <c r="F221" s="2" t="str">
        <f>IFERROR(__xludf.DUMMYFUNCTION("""COMPUTED_VALUE"""),"Infraestructura")</f>
        <v>Infraestructura</v>
      </c>
      <c r="G221" s="2" t="str">
        <f>IFERROR(__xludf.DUMMYFUNCTION("""COMPUTED_VALUE"""),"Finalizada")</f>
        <v>Finalizada</v>
      </c>
      <c r="H221" s="4">
        <v>1327764.0</v>
      </c>
      <c r="I221" s="4">
        <v>0.0</v>
      </c>
      <c r="J221" s="4">
        <v>6977.0</v>
      </c>
      <c r="K221" s="4">
        <v>1202451.0</v>
      </c>
      <c r="L221" s="5">
        <v>0.7993282054736534</v>
      </c>
      <c r="M221" s="5">
        <v>1.104214641594543</v>
      </c>
      <c r="N221" s="4">
        <v>186511.0</v>
      </c>
      <c r="O221" s="4">
        <v>185053.0</v>
      </c>
      <c r="P221" s="4">
        <v>73839.0</v>
      </c>
      <c r="Q221" s="4">
        <v>1472.0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37725.0</v>
      </c>
      <c r="AB221" s="4">
        <v>35618.0</v>
      </c>
      <c r="AC221" s="4">
        <v>115.0</v>
      </c>
      <c r="AD221" s="4"/>
      <c r="AE221" s="6" t="s">
        <v>9</v>
      </c>
    </row>
    <row r="222" ht="16.5" customHeight="1">
      <c r="A222" s="2" t="str">
        <f>IFERROR(__xludf.DUMMYFUNCTION("""COMPUTED_VALUE"""),"2645-FEBINFGC")</f>
        <v>2645-FEBINFGC</v>
      </c>
      <c r="B222" s="2" t="str">
        <f>IFERROR(__xludf.DUMMYFUNCTION("""COMPUTED_VALUE"""),"CAMPAÑA GCBA | INFRAESTRUCTURA | Cambio de sentido calle Culpina")</f>
        <v>CAMPAÑA GCBA | INFRAESTRUCTURA | Cambio de sentido calle Culpina</v>
      </c>
      <c r="C222" s="3">
        <f>IFERROR(__xludf.DUMMYFUNCTION("""COMPUTED_VALUE"""),46080.0)</f>
        <v>46080</v>
      </c>
      <c r="D222" s="3">
        <f>IFERROR(__xludf.DUMMYFUNCTION("""COMPUTED_VALUE"""),46094.0)</f>
        <v>46094</v>
      </c>
      <c r="E222" s="2" t="str">
        <f>IFERROR(__xludf.DUMMYFUNCTION("""COMPUTED_VALUE"""),"Movilidad")</f>
        <v>Movilidad</v>
      </c>
      <c r="F222" s="2" t="str">
        <f>IFERROR(__xludf.DUMMYFUNCTION("""COMPUTED_VALUE"""),"Infraestructura")</f>
        <v>Infraestructura</v>
      </c>
      <c r="G222" s="2" t="str">
        <f>IFERROR(__xludf.DUMMYFUNCTION("""COMPUTED_VALUE"""),"Finalizada")</f>
        <v>Finalizada</v>
      </c>
      <c r="H222" s="4">
        <v>197466.0</v>
      </c>
      <c r="I222" s="4">
        <v>0.0</v>
      </c>
      <c r="J222" s="4">
        <v>1461.0</v>
      </c>
      <c r="K222" s="4">
        <v>121849.0</v>
      </c>
      <c r="L222" s="5">
        <v>1.6205795697954024</v>
      </c>
      <c r="M222" s="5">
        <v>1.6205795697954024</v>
      </c>
      <c r="N222" s="4">
        <v>53695.0</v>
      </c>
      <c r="O222" s="4">
        <v>53077.0</v>
      </c>
      <c r="P222" s="4">
        <v>18225.0</v>
      </c>
      <c r="Q222" s="4">
        <v>288.0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/>
      <c r="AE222" s="6" t="s">
        <v>9</v>
      </c>
    </row>
    <row r="223" ht="16.5" customHeight="1">
      <c r="A223" s="2" t="str">
        <f>IFERROR(__xludf.DUMMYFUNCTION("""COMPUTED_VALUE"""),"2646-FEBAMBVC")</f>
        <v>2646-FEBAMBVC</v>
      </c>
      <c r="B223" s="2" t="str">
        <f>IFERROR(__xludf.DUMMYFUNCTION("""COMPUTED_VALUE"""),"RDV Ministros | Clara Muzzio - 27/2")</f>
        <v>RDV Ministros | Clara Muzzio - 27/2</v>
      </c>
      <c r="C223" s="3">
        <f>IFERROR(__xludf.DUMMYFUNCTION("""COMPUTED_VALUE"""),46077.0)</f>
        <v>46077</v>
      </c>
      <c r="D223" s="3">
        <f>IFERROR(__xludf.DUMMYFUNCTION("""COMPUTED_VALUE"""),46081.0)</f>
        <v>46081</v>
      </c>
      <c r="E223" s="2" t="str">
        <f>IFERROR(__xludf.DUMMYFUNCTION("""COMPUTED_VALUE"""),"Cercanía")</f>
        <v>Cercanía</v>
      </c>
      <c r="F223" s="2" t="str">
        <f>IFERROR(__xludf.DUMMYFUNCTION("""COMPUTED_VALUE"""),"Vicejefatura (Ambiente)")</f>
        <v>Vicejefatura (Ambiente)</v>
      </c>
      <c r="G223" s="2" t="str">
        <f>IFERROR(__xludf.DUMMYFUNCTION("""COMPUTED_VALUE"""),"Finalizada")</f>
        <v>Finalizada</v>
      </c>
      <c r="H223" s="4">
        <v>160102.0</v>
      </c>
      <c r="I223" s="4">
        <v>0.0</v>
      </c>
      <c r="J223" s="4">
        <v>330.0</v>
      </c>
      <c r="K223" s="4">
        <v>153794.0</v>
      </c>
      <c r="L223" s="5">
        <v>1.0410159043915888</v>
      </c>
      <c r="M223" s="5">
        <v>1.0410159043915888</v>
      </c>
      <c r="N223" s="4">
        <v>26580.0</v>
      </c>
      <c r="O223" s="4">
        <v>26328.0</v>
      </c>
      <c r="P223" s="4">
        <v>7027.0</v>
      </c>
      <c r="Q223" s="4">
        <v>110.0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/>
      <c r="AE223" s="6" t="s">
        <v>9</v>
      </c>
    </row>
    <row r="224" ht="16.5" customHeight="1">
      <c r="A224" s="2" t="str">
        <f>IFERROR(__xludf.DUMMYFUNCTION("""COMPUTED_VALUE"""),"2647-FEBPCCVC")</f>
        <v>2647-FEBPCCVC</v>
      </c>
      <c r="B224" s="2" t="str">
        <f>IFERROR(__xludf.DUMMYFUNCTION("""COMPUTED_VALUE"""),"Experiencia BA: Capacitación de RCP")</f>
        <v>Experiencia BA: Capacitación de RCP</v>
      </c>
      <c r="C224" s="3">
        <f>IFERROR(__xludf.DUMMYFUNCTION("""COMPUTED_VALUE"""),46080.0)</f>
        <v>46080</v>
      </c>
      <c r="D224" s="3">
        <f>IFERROR(__xludf.DUMMYFUNCTION("""COMPUTED_VALUE"""),46080.0)</f>
        <v>46080</v>
      </c>
      <c r="E224" s="2" t="str">
        <f>IFERROR(__xludf.DUMMYFUNCTION("""COMPUTED_VALUE"""),"Cercanía")</f>
        <v>Cercanía</v>
      </c>
      <c r="F224" s="2" t="str">
        <f>IFERROR(__xludf.DUMMYFUNCTION("""COMPUTED_VALUE"""),"Cercanía y PC")</f>
        <v>Cercanía y PC</v>
      </c>
      <c r="G224" s="2" t="str">
        <f>IFERROR(__xludf.DUMMYFUNCTION("""COMPUTED_VALUE"""),"Finalizada")</f>
        <v>Finalizada</v>
      </c>
      <c r="H224" s="4">
        <v>0.0</v>
      </c>
      <c r="I224" s="4">
        <v>0.0</v>
      </c>
      <c r="J224" s="4">
        <v>0.0</v>
      </c>
      <c r="K224" s="4">
        <v>0.0</v>
      </c>
      <c r="L224" s="5">
        <v>0.0</v>
      </c>
      <c r="M224" s="5">
        <v>0.0</v>
      </c>
      <c r="N224" s="4">
        <v>63777.0</v>
      </c>
      <c r="O224" s="4">
        <v>63003.0</v>
      </c>
      <c r="P224" s="4">
        <v>12745.0</v>
      </c>
      <c r="Q224" s="4">
        <v>1386.0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 t="s">
        <v>8</v>
      </c>
      <c r="AE224" s="6" t="s">
        <v>9</v>
      </c>
    </row>
    <row r="225" ht="16.5" customHeight="1">
      <c r="A225" s="2" t="str">
        <f>IFERROR(__xludf.DUMMYFUNCTION("""COMPUTED_VALUE"""),"2648-FEBPCCVC")</f>
        <v>2648-FEBPCCVC</v>
      </c>
      <c r="B225" s="2" t="str">
        <f>IFERROR(__xludf.DUMMYFUNCTION("""COMPUTED_VALUE"""),"Experiencia BA: Brigada canina K")</f>
        <v>Experiencia BA: Brigada canina K</v>
      </c>
      <c r="C225" s="3">
        <f>IFERROR(__xludf.DUMMYFUNCTION("""COMPUTED_VALUE"""),46084.0)</f>
        <v>46084</v>
      </c>
      <c r="D225" s="3">
        <f>IFERROR(__xludf.DUMMYFUNCTION("""COMPUTED_VALUE"""),46084.0)</f>
        <v>46084</v>
      </c>
      <c r="E225" s="2" t="str">
        <f>IFERROR(__xludf.DUMMYFUNCTION("""COMPUTED_VALUE"""),"Cercanía")</f>
        <v>Cercanía</v>
      </c>
      <c r="F225" s="2" t="str">
        <f>IFERROR(__xludf.DUMMYFUNCTION("""COMPUTED_VALUE"""),"Cercanía y PC")</f>
        <v>Cercanía y PC</v>
      </c>
      <c r="G225" s="2" t="str">
        <f>IFERROR(__xludf.DUMMYFUNCTION("""COMPUTED_VALUE"""),"Finalizada")</f>
        <v>Finalizada</v>
      </c>
      <c r="H225" s="4">
        <v>0.0</v>
      </c>
      <c r="I225" s="4">
        <v>0.0</v>
      </c>
      <c r="J225" s="4">
        <v>0.0</v>
      </c>
      <c r="K225" s="4">
        <v>0.0</v>
      </c>
      <c r="L225" s="5">
        <v>0.0</v>
      </c>
      <c r="M225" s="5">
        <v>0.0</v>
      </c>
      <c r="N225" s="4">
        <v>55946.0</v>
      </c>
      <c r="O225" s="4">
        <v>55315.0</v>
      </c>
      <c r="P225" s="4">
        <v>15609.0</v>
      </c>
      <c r="Q225" s="4">
        <v>272.0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 t="s">
        <v>8</v>
      </c>
      <c r="AE225" s="6" t="s">
        <v>9</v>
      </c>
    </row>
    <row r="226" ht="16.5" customHeight="1">
      <c r="A226" s="2" t="str">
        <f>IFERROR(__xludf.DUMMYFUNCTION("""COMPUTED_VALUE"""),"2650-FEBVINGC")</f>
        <v>2650-FEBVINGC</v>
      </c>
      <c r="B226" s="2" t="str">
        <f>IFERROR(__xludf.DUMMYFUNCTION("""COMPUTED_VALUE"""),"CAMPAÑA GCBA | VINCULO CIUDADANO | Mas servicios en tu barrio 2026: Flores 02/03")</f>
        <v>CAMPAÑA GCBA | VINCULO CIUDADANO | Mas servicios en tu barrio 2026: Flores 02/03</v>
      </c>
      <c r="C226" s="3">
        <f>IFERROR(__xludf.DUMMYFUNCTION("""COMPUTED_VALUE"""),46080.0)</f>
        <v>46080</v>
      </c>
      <c r="D226" s="3">
        <f>IFERROR(__xludf.DUMMYFUNCTION("""COMPUTED_VALUE"""),46080.0)</f>
        <v>46080</v>
      </c>
      <c r="E226" s="2" t="str">
        <f>IFERROR(__xludf.DUMMYFUNCTION("""COMPUTED_VALUE"""),"M2")</f>
        <v>M2</v>
      </c>
      <c r="F226" s="2" t="str">
        <f>IFERROR(__xludf.DUMMYFUNCTION("""COMPUTED_VALUE"""),"Vínculo Ciudadano")</f>
        <v>Vínculo Ciudadano</v>
      </c>
      <c r="G226" s="2" t="str">
        <f>IFERROR(__xludf.DUMMYFUNCTION("""COMPUTED_VALUE"""),"Finalizada")</f>
        <v>Finalizada</v>
      </c>
      <c r="H226" s="4">
        <v>0.0</v>
      </c>
      <c r="I226" s="4">
        <v>0.0</v>
      </c>
      <c r="J226" s="4">
        <v>0.0</v>
      </c>
      <c r="K226" s="4">
        <v>0.0</v>
      </c>
      <c r="L226" s="5">
        <v>0.0</v>
      </c>
      <c r="M226" s="5">
        <v>0.0</v>
      </c>
      <c r="N226" s="4">
        <v>18446.0</v>
      </c>
      <c r="O226" s="4">
        <v>18314.0</v>
      </c>
      <c r="P226" s="4">
        <v>7885.0</v>
      </c>
      <c r="Q226" s="4">
        <v>385.0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  <c r="AD226" s="4" t="s">
        <v>8</v>
      </c>
      <c r="AE226" s="6" t="s">
        <v>9</v>
      </c>
    </row>
    <row r="227" ht="16.5" customHeight="1">
      <c r="A227" s="2" t="str">
        <f>IFERROR(__xludf.DUMMYFUNCTION("""COMPUTED_VALUE"""),"2651-FEBINFGC")</f>
        <v>2651-FEBINFGC</v>
      </c>
      <c r="B227" s="2" t="str">
        <f>IFERROR(__xludf.DUMMYFUNCTION("""COMPUTED_VALUE"""),"CAMPAÑA GCBA | Infraestructura | Cierre estación Tribunales")</f>
        <v>CAMPAÑA GCBA | Infraestructura | Cierre estación Tribunales</v>
      </c>
      <c r="C227" s="3">
        <f>IFERROR(__xludf.DUMMYFUNCTION("""COMPUTED_VALUE"""),46080.0)</f>
        <v>46080</v>
      </c>
      <c r="D227" s="3">
        <f>IFERROR(__xludf.DUMMYFUNCTION("""COMPUTED_VALUE"""),46112.0)</f>
        <v>46112</v>
      </c>
      <c r="E227" s="2" t="str">
        <f>IFERROR(__xludf.DUMMYFUNCTION("""COMPUTED_VALUE"""),"Movilidad")</f>
        <v>Movilidad</v>
      </c>
      <c r="F227" s="2" t="str">
        <f>IFERROR(__xludf.DUMMYFUNCTION("""COMPUTED_VALUE"""),"Infraestructura")</f>
        <v>Infraestructura</v>
      </c>
      <c r="G227" s="2" t="str">
        <f>IFERROR(__xludf.DUMMYFUNCTION("""COMPUTED_VALUE"""),"Finalizada")</f>
        <v>Finalizada</v>
      </c>
      <c r="H227" s="4">
        <v>2071578.0</v>
      </c>
      <c r="I227" s="4">
        <v>0.0</v>
      </c>
      <c r="J227" s="4">
        <v>17948.0</v>
      </c>
      <c r="K227" s="4">
        <v>97932.0</v>
      </c>
      <c r="L227" s="5">
        <v>16.915778295143568</v>
      </c>
      <c r="M227" s="5">
        <v>21.153228770983947</v>
      </c>
      <c r="N227" s="4">
        <v>167233.0</v>
      </c>
      <c r="O227" s="4">
        <v>166235.0</v>
      </c>
      <c r="P227" s="4">
        <v>71318.0</v>
      </c>
      <c r="Q227" s="4">
        <v>327.0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25423.0</v>
      </c>
      <c r="AB227" s="4">
        <v>24061.0</v>
      </c>
      <c r="AC227" s="4">
        <v>2.0</v>
      </c>
      <c r="AD227" s="4"/>
      <c r="AE227" s="6" t="s">
        <v>9</v>
      </c>
    </row>
    <row r="228" ht="16.5" customHeight="1">
      <c r="A228" s="2" t="str">
        <f>IFERROR(__xludf.DUMMYFUNCTION("""COMPUTED_VALUE"""),"2652-FEBCDNNAGC")</f>
        <v>2652-FEBCDNNAGC</v>
      </c>
      <c r="B228" s="2" t="str">
        <f>IFERROR(__xludf.DUMMYFUNCTION("""COMPUTED_VALUE"""),"Programa ABRAZAR")</f>
        <v>Programa ABRAZAR</v>
      </c>
      <c r="C228" s="3">
        <f>IFERROR(__xludf.DUMMYFUNCTION("""COMPUTED_VALUE"""),46126.0)</f>
        <v>46126</v>
      </c>
      <c r="D228" s="3">
        <f>IFERROR(__xludf.DUMMYFUNCTION("""COMPUTED_VALUE"""),46142.0)</f>
        <v>46142</v>
      </c>
      <c r="E228" s="2" t="str">
        <f>IFERROR(__xludf.DUMMYFUNCTION("""COMPUTED_VALUE"""),"Cuidado")</f>
        <v>Cuidado</v>
      </c>
      <c r="F228" s="2" t="str">
        <f>IFERROR(__xludf.DUMMYFUNCTION("""COMPUTED_VALUE"""),"Consejo de Derechos de Niños, Niñas y Adolescentes")</f>
        <v>Consejo de Derechos de Niños, Niñas y Adolescentes</v>
      </c>
      <c r="G228" s="2" t="str">
        <f>IFERROR(__xludf.DUMMYFUNCTION("""COMPUTED_VALUE"""),"Finalizada")</f>
        <v>Finalizada</v>
      </c>
      <c r="H228" s="4">
        <v>2253388.0</v>
      </c>
      <c r="I228" s="4">
        <v>0.0</v>
      </c>
      <c r="J228" s="4">
        <v>14167.0</v>
      </c>
      <c r="K228" s="4">
        <v>420563.0</v>
      </c>
      <c r="L228" s="5">
        <v>1.6520759077712495</v>
      </c>
      <c r="M228" s="5">
        <v>5.358027215898688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6" t="s">
        <v>50</v>
      </c>
      <c r="AE228" s="4" t="s">
        <v>8</v>
      </c>
    </row>
    <row r="229" ht="16.5" customHeight="1">
      <c r="A229" s="2" t="str">
        <f>IFERROR(__xludf.DUMMYFUNCTION("""COMPUTED_VALUE"""),"2653-FEBFESGC")</f>
        <v>2653-FEBFESGC</v>
      </c>
      <c r="B229" s="2" t="str">
        <f>IFERROR(__xludf.DUMMYFUNCTION("""COMPUTED_VALUE"""),"Pascuas en Buenos Aires")</f>
        <v>Pascuas en Buenos Aires</v>
      </c>
      <c r="C229" s="3">
        <f>IFERROR(__xludf.DUMMYFUNCTION("""COMPUTED_VALUE"""),46098.0)</f>
        <v>46098</v>
      </c>
      <c r="D229" s="3">
        <f>IFERROR(__xludf.DUMMYFUNCTION("""COMPUTED_VALUE"""),46117.0)</f>
        <v>46117</v>
      </c>
      <c r="E229" s="2" t="str">
        <f>IFERROR(__xludf.DUMMYFUNCTION("""COMPUTED_VALUE"""),"Ciudad Atractiva")</f>
        <v>Ciudad Atractiva</v>
      </c>
      <c r="F229" s="2" t="str">
        <f>IFERROR(__xludf.DUMMYFUNCTION("""COMPUTED_VALUE"""),"Festivales y Eventos")</f>
        <v>Festivales y Eventos</v>
      </c>
      <c r="G229" s="2" t="str">
        <f>IFERROR(__xludf.DUMMYFUNCTION("""COMPUTED_VALUE"""),"Finalizada")</f>
        <v>Finalizada</v>
      </c>
      <c r="H229" s="4">
        <v>1.6823745E7</v>
      </c>
      <c r="I229" s="4">
        <v>2400933.0</v>
      </c>
      <c r="J229" s="4">
        <v>32003.0</v>
      </c>
      <c r="K229" s="4">
        <v>247941.0</v>
      </c>
      <c r="L229" s="5">
        <v>30.804526076768262</v>
      </c>
      <c r="M229" s="5">
        <v>67.85382409524847</v>
      </c>
      <c r="N229" s="4">
        <v>212479.0</v>
      </c>
      <c r="O229" s="4">
        <v>209349.0</v>
      </c>
      <c r="P229" s="4">
        <v>64997.0</v>
      </c>
      <c r="Q229" s="4">
        <v>5277.0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/>
      <c r="AE229" s="6" t="s">
        <v>9</v>
      </c>
    </row>
    <row r="230" ht="16.5" customHeight="1">
      <c r="A230" s="2" t="str">
        <f>IFERROR(__xludf.DUMMYFUNCTION("""COMPUTED_VALUE"""),"2654-FEBJDGAG")</f>
        <v>2654-FEBJDGAG</v>
      </c>
      <c r="B230" s="2" t="str">
        <f>IFERROR(__xludf.DUMMYFUNCTION("""COMPUTED_VALUE"""),"RDV JM | 4/3 VILLA GENERAL MITRE")</f>
        <v>RDV JM | 4/3 VILLA GENERAL MITRE</v>
      </c>
      <c r="C230" s="3">
        <f>IFERROR(__xludf.DUMMYFUNCTION("""COMPUTED_VALUE"""),46080.0)</f>
        <v>46080</v>
      </c>
      <c r="D230" s="3">
        <f>IFERROR(__xludf.DUMMYFUNCTION("""COMPUTED_VALUE"""),46097.0)</f>
        <v>46097</v>
      </c>
      <c r="E230" s="2" t="str">
        <f>IFERROR(__xludf.DUMMYFUNCTION("""COMPUTED_VALUE"""),"Cercanía")</f>
        <v>Cercanía</v>
      </c>
      <c r="F230" s="2" t="str">
        <f>IFERROR(__xludf.DUMMYFUNCTION("""COMPUTED_VALUE"""),"Jefatura de Gobierno")</f>
        <v>Jefatura de Gobierno</v>
      </c>
      <c r="G230" s="2" t="str">
        <f>IFERROR(__xludf.DUMMYFUNCTION("""COMPUTED_VALUE"""),"Finalizada")</f>
        <v>Finalizada</v>
      </c>
      <c r="H230" s="4">
        <v>1897592.0</v>
      </c>
      <c r="I230" s="4">
        <v>17733.0</v>
      </c>
      <c r="J230" s="4">
        <v>4521.0</v>
      </c>
      <c r="K230" s="4">
        <v>32724.0</v>
      </c>
      <c r="L230" s="5">
        <v>2.5839445055616674</v>
      </c>
      <c r="M230" s="5">
        <v>57.98777655543332</v>
      </c>
      <c r="N230" s="4">
        <v>15582.0</v>
      </c>
      <c r="O230" s="4">
        <v>15411.0</v>
      </c>
      <c r="P230" s="4">
        <v>3187.0</v>
      </c>
      <c r="Q230" s="4">
        <v>144.0</v>
      </c>
      <c r="R230" s="4">
        <v>54.0</v>
      </c>
      <c r="S230" s="4">
        <v>54.0</v>
      </c>
      <c r="T230" s="4">
        <v>31.0</v>
      </c>
      <c r="U230" s="4">
        <v>28.0</v>
      </c>
      <c r="V230" s="4">
        <v>8688.0</v>
      </c>
      <c r="W230" s="4">
        <v>8688.0</v>
      </c>
      <c r="X230" s="4">
        <v>7849.0</v>
      </c>
      <c r="Y230" s="4">
        <v>3283.0</v>
      </c>
      <c r="Z230" s="4">
        <v>54.0</v>
      </c>
      <c r="AA230" s="4">
        <v>0.0</v>
      </c>
      <c r="AB230" s="4">
        <v>0.0</v>
      </c>
      <c r="AC230" s="4">
        <v>0.0</v>
      </c>
      <c r="AD230" s="4"/>
      <c r="AE230" s="6" t="s">
        <v>9</v>
      </c>
    </row>
    <row r="231" ht="16.5" customHeight="1">
      <c r="A231" s="2" t="str">
        <f>IFERROR(__xludf.DUMMYFUNCTION("""COMPUTED_VALUE"""),"2656-FEBINFVC")</f>
        <v>2656-FEBINFVC</v>
      </c>
      <c r="B231" s="2" t="str">
        <f>IFERROR(__xludf.DUMMYFUNCTION("""COMPUTED_VALUE"""),"RDV MINISTROS | PABLO BERECIARTUA 2/3 COMUNA 5")</f>
        <v>RDV MINISTROS | PABLO BERECIARTUA 2/3 COMUNA 5</v>
      </c>
      <c r="C231" s="3">
        <f>IFERROR(__xludf.DUMMYFUNCTION("""COMPUTED_VALUE"""),46080.0)</f>
        <v>46080</v>
      </c>
      <c r="D231" s="3">
        <f>IFERROR(__xludf.DUMMYFUNCTION("""COMPUTED_VALUE"""),46084.0)</f>
        <v>46084</v>
      </c>
      <c r="E231" s="2" t="str">
        <f>IFERROR(__xludf.DUMMYFUNCTION("""COMPUTED_VALUE"""),"Cercanía")</f>
        <v>Cercanía</v>
      </c>
      <c r="F231" s="2" t="str">
        <f>IFERROR(__xludf.DUMMYFUNCTION("""COMPUTED_VALUE"""),"Infraestructura")</f>
        <v>Infraestructura</v>
      </c>
      <c r="G231" s="2" t="str">
        <f>IFERROR(__xludf.DUMMYFUNCTION("""COMPUTED_VALUE"""),"Finalizada")</f>
        <v>Finalizada</v>
      </c>
      <c r="H231" s="4">
        <v>159731.0</v>
      </c>
      <c r="I231" s="4">
        <v>0.0</v>
      </c>
      <c r="J231" s="4">
        <v>194.0</v>
      </c>
      <c r="K231" s="4">
        <v>134518.0</v>
      </c>
      <c r="L231" s="5">
        <v>1.1874321652120905</v>
      </c>
      <c r="M231" s="5">
        <v>1.1874321652120905</v>
      </c>
      <c r="N231" s="4">
        <v>348981.0</v>
      </c>
      <c r="O231" s="4">
        <v>348095.0</v>
      </c>
      <c r="P231" s="4">
        <v>14802.0</v>
      </c>
      <c r="Q231" s="4">
        <v>285.0</v>
      </c>
      <c r="R231" s="4">
        <v>133.0</v>
      </c>
      <c r="S231" s="4">
        <v>133.0</v>
      </c>
      <c r="T231" s="4">
        <v>40.0</v>
      </c>
      <c r="U231" s="4">
        <v>37.0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>
        <v>0.0</v>
      </c>
      <c r="AD231" s="4"/>
      <c r="AE231" s="6" t="s">
        <v>9</v>
      </c>
    </row>
    <row r="232" ht="16.5" customHeight="1">
      <c r="A232" s="2" t="str">
        <f>IFERROR(__xludf.DUMMYFUNCTION("""COMPUTED_VALUE"""),"2657-FEBVINVC")</f>
        <v>2657-FEBVINVC</v>
      </c>
      <c r="B232" s="2" t="str">
        <f>IFERROR(__xludf.DUMMYFUNCTION("""COMPUTED_VALUE"""),"RDV MINISTROS | EZEQUIEL SABOR 2/3 COMUNA 6")</f>
        <v>RDV MINISTROS | EZEQUIEL SABOR 2/3 COMUNA 6</v>
      </c>
      <c r="C232" s="3">
        <f>IFERROR(__xludf.DUMMYFUNCTION("""COMPUTED_VALUE"""),46080.0)</f>
        <v>46080</v>
      </c>
      <c r="D232" s="3">
        <f>IFERROR(__xludf.DUMMYFUNCTION("""COMPUTED_VALUE"""),46083.0)</f>
        <v>46083</v>
      </c>
      <c r="E232" s="2" t="str">
        <f>IFERROR(__xludf.DUMMYFUNCTION("""COMPUTED_VALUE"""),"Cercanía")</f>
        <v>Cercanía</v>
      </c>
      <c r="F232" s="2" t="str">
        <f>IFERROR(__xludf.DUMMYFUNCTION("""COMPUTED_VALUE"""),"Vínculo Ciudadano")</f>
        <v>Vínculo Ciudadano</v>
      </c>
      <c r="G232" s="2" t="str">
        <f>IFERROR(__xludf.DUMMYFUNCTION("""COMPUTED_VALUE"""),"Finalizada")</f>
        <v>Finalizada</v>
      </c>
      <c r="H232" s="4">
        <v>53906.0</v>
      </c>
      <c r="I232" s="4">
        <v>0.0</v>
      </c>
      <c r="J232" s="4">
        <v>245.0</v>
      </c>
      <c r="K232" s="4">
        <v>48035.0</v>
      </c>
      <c r="L232" s="5">
        <v>1.1222233787863016</v>
      </c>
      <c r="M232" s="5">
        <v>1.1222233787863016</v>
      </c>
      <c r="N232" s="4">
        <v>72941.0</v>
      </c>
      <c r="O232" s="4">
        <v>72237.0</v>
      </c>
      <c r="P232" s="4">
        <v>16391.0</v>
      </c>
      <c r="Q232" s="4">
        <v>332.0</v>
      </c>
      <c r="R232" s="4">
        <v>145.0</v>
      </c>
      <c r="S232" s="4">
        <v>145.0</v>
      </c>
      <c r="T232" s="4">
        <v>42.0</v>
      </c>
      <c r="U232" s="4">
        <v>41.0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/>
      <c r="AE232" s="6" t="s">
        <v>9</v>
      </c>
    </row>
    <row r="233" ht="16.5" customHeight="1">
      <c r="A233" s="2" t="str">
        <f>IFERROR(__xludf.DUMMYFUNCTION("""COMPUTED_VALUE"""),"2658-FEBJDGVC")</f>
        <v>2658-FEBJDGVC</v>
      </c>
      <c r="B233" s="2" t="str">
        <f>IFERROR(__xludf.DUMMYFUNCTION("""COMPUTED_VALUE"""),"RDV MINISTROS | GABRIEL SÁNCHEZ ZINNY 2/3 RECOLETA")</f>
        <v>RDV MINISTROS | GABRIEL SÁNCHEZ ZINNY 2/3 RECOLETA</v>
      </c>
      <c r="C233" s="3">
        <f>IFERROR(__xludf.DUMMYFUNCTION("""COMPUTED_VALUE"""),46079.0)</f>
        <v>46079</v>
      </c>
      <c r="D233" s="3">
        <f>IFERROR(__xludf.DUMMYFUNCTION("""COMPUTED_VALUE"""),46085.0)</f>
        <v>46085</v>
      </c>
      <c r="E233" s="2" t="str">
        <f>IFERROR(__xludf.DUMMYFUNCTION("""COMPUTED_VALUE"""),"Cercanía")</f>
        <v>Cercanía</v>
      </c>
      <c r="F233" s="2" t="str">
        <f>IFERROR(__xludf.DUMMYFUNCTION("""COMPUTED_VALUE"""),"Jefatura de Gabinete")</f>
        <v>Jefatura de Gabinete</v>
      </c>
      <c r="G233" s="2" t="str">
        <f>IFERROR(__xludf.DUMMYFUNCTION("""COMPUTED_VALUE"""),"Finalizada")</f>
        <v>Finalizada</v>
      </c>
      <c r="H233" s="4">
        <v>121544.0</v>
      </c>
      <c r="I233" s="4">
        <v>0.0</v>
      </c>
      <c r="J233" s="4">
        <v>139.0</v>
      </c>
      <c r="K233" s="4">
        <v>110066.0</v>
      </c>
      <c r="L233" s="5">
        <v>1.1042828848145658</v>
      </c>
      <c r="M233" s="5">
        <v>1.1042828848145658</v>
      </c>
      <c r="N233" s="4">
        <v>52292.0</v>
      </c>
      <c r="O233" s="4">
        <v>51742.0</v>
      </c>
      <c r="P233" s="4">
        <v>14519.0</v>
      </c>
      <c r="Q233" s="4">
        <v>305.0</v>
      </c>
      <c r="R233" s="4">
        <v>149.0</v>
      </c>
      <c r="S233" s="4">
        <v>149.0</v>
      </c>
      <c r="T233" s="4">
        <v>52.0</v>
      </c>
      <c r="U233" s="4">
        <v>51.0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/>
      <c r="AE233" s="6" t="s">
        <v>9</v>
      </c>
    </row>
    <row r="234" ht="16.5" customHeight="1">
      <c r="A234" s="2" t="str">
        <f>IFERROR(__xludf.DUMMYFUNCTION("""COMPUTED_VALUE"""),"2660-FEBEPHGC")</f>
        <v>2660-FEBEPHGC</v>
      </c>
      <c r="B234" s="2" t="str">
        <f>IFERROR(__xludf.DUMMYFUNCTION("""COMPUTED_VALUE"""),"RDV MINISTROS | IGNACIO BAISTROCCHI 3/3 COMUNA 15")</f>
        <v>RDV MINISTROS | IGNACIO BAISTROCCHI 3/3 COMUNA 15</v>
      </c>
      <c r="C234" s="3">
        <f>IFERROR(__xludf.DUMMYFUNCTION("""COMPUTED_VALUE"""),46079.0)</f>
        <v>46079</v>
      </c>
      <c r="D234" s="3">
        <f>IFERROR(__xludf.DUMMYFUNCTION("""COMPUTED_VALUE"""),46086.0)</f>
        <v>46086</v>
      </c>
      <c r="E234" s="2" t="str">
        <f>IFERROR(__xludf.DUMMYFUNCTION("""COMPUTED_VALUE"""),"Cercanía")</f>
        <v>Cercanía</v>
      </c>
      <c r="F234" s="2" t="str">
        <f>IFERROR(__xludf.DUMMYFUNCTION("""COMPUTED_VALUE"""),"Espacio Público e Higiene Urbana")</f>
        <v>Espacio Público e Higiene Urbana</v>
      </c>
      <c r="G234" s="2" t="str">
        <f>IFERROR(__xludf.DUMMYFUNCTION("""COMPUTED_VALUE"""),"Finalizada")</f>
        <v>Finalizada</v>
      </c>
      <c r="H234" s="4">
        <v>68014.0</v>
      </c>
      <c r="I234" s="4">
        <v>0.0</v>
      </c>
      <c r="J234" s="4">
        <v>249.0</v>
      </c>
      <c r="K234" s="4">
        <v>53768.0</v>
      </c>
      <c r="L234" s="5">
        <v>1.2649531319744085</v>
      </c>
      <c r="M234" s="5">
        <v>1.2649531319744085</v>
      </c>
      <c r="N234" s="4">
        <v>72160.0</v>
      </c>
      <c r="O234" s="4">
        <v>71316.0</v>
      </c>
      <c r="P234" s="4">
        <v>12819.0</v>
      </c>
      <c r="Q234" s="4">
        <v>303.0</v>
      </c>
      <c r="R234" s="4">
        <v>148.0</v>
      </c>
      <c r="S234" s="4">
        <v>148.0</v>
      </c>
      <c r="T234" s="4">
        <v>46.0</v>
      </c>
      <c r="U234" s="4">
        <v>44.0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/>
      <c r="AE234" s="6" t="s">
        <v>9</v>
      </c>
    </row>
    <row r="235" ht="16.5" customHeight="1">
      <c r="A235" s="2" t="str">
        <f>IFERROR(__xludf.DUMMYFUNCTION("""COMPUTED_VALUE"""),"2661-FEBFESGC")</f>
        <v>2661-FEBFESGC</v>
      </c>
      <c r="B235" s="2" t="str">
        <f>IFERROR(__xludf.DUMMYFUNCTION("""COMPUTED_VALUE"""),"Verano BA | Verano en las Plazas | Parque Lezama")</f>
        <v>Verano BA | Verano en las Plazas | Parque Lezama</v>
      </c>
      <c r="C235" s="3">
        <f>IFERROR(__xludf.DUMMYFUNCTION("""COMPUTED_VALUE"""),46080.0)</f>
        <v>46080</v>
      </c>
      <c r="D235" s="3">
        <f>IFERROR(__xludf.DUMMYFUNCTION("""COMPUTED_VALUE"""),46080.0)</f>
        <v>46080</v>
      </c>
      <c r="E235" s="2" t="str">
        <f>IFERROR(__xludf.DUMMYFUNCTION("""COMPUTED_VALUE"""),"Ciudad Atractiva")</f>
        <v>Ciudad Atractiva</v>
      </c>
      <c r="F235" s="2" t="str">
        <f>IFERROR(__xludf.DUMMYFUNCTION("""COMPUTED_VALUE"""),"Festivales y Eventos")</f>
        <v>Festivales y Eventos</v>
      </c>
      <c r="G235" s="2" t="str">
        <f>IFERROR(__xludf.DUMMYFUNCTION("""COMPUTED_VALUE"""),"Finalizada")</f>
        <v>Finalizada</v>
      </c>
      <c r="H235" s="4">
        <v>0.0</v>
      </c>
      <c r="I235" s="4">
        <v>0.0</v>
      </c>
      <c r="J235" s="4">
        <v>0.0</v>
      </c>
      <c r="K235" s="4">
        <v>0.0</v>
      </c>
      <c r="L235" s="5">
        <v>0.0</v>
      </c>
      <c r="M235" s="5">
        <v>0.0</v>
      </c>
      <c r="N235" s="4">
        <v>70761.0</v>
      </c>
      <c r="O235" s="4">
        <v>69527.0</v>
      </c>
      <c r="P235" s="4">
        <v>17258.0</v>
      </c>
      <c r="Q235" s="4">
        <v>478.0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 t="s">
        <v>8</v>
      </c>
      <c r="AE235" s="6" t="s">
        <v>9</v>
      </c>
    </row>
    <row r="236" ht="16.5" customHeight="1">
      <c r="A236" s="2" t="str">
        <f>IFERROR(__xludf.DUMMYFUNCTION("""COMPUTED_VALUE"""),"2662-FEBSEGVC")</f>
        <v>2662-FEBSEGVC</v>
      </c>
      <c r="B236" s="2" t="str">
        <f>IFERROR(__xludf.DUMMYFUNCTION("""COMPUTED_VALUE"""),"RDV Ministros | Ruth Landerreche 5/3 Comuna 1 Sur")</f>
        <v>RDV Ministros | Ruth Landerreche 5/3 Comuna 1 Sur</v>
      </c>
      <c r="C236" s="3">
        <f>IFERROR(__xludf.DUMMYFUNCTION("""COMPUTED_VALUE"""),46083.0)</f>
        <v>46083</v>
      </c>
      <c r="D236" s="3">
        <f>IFERROR(__xludf.DUMMYFUNCTION("""COMPUTED_VALUE"""),46092.0)</f>
        <v>46092</v>
      </c>
      <c r="E236" s="2" t="str">
        <f>IFERROR(__xludf.DUMMYFUNCTION("""COMPUTED_VALUE"""),"Cercanía")</f>
        <v>Cercanía</v>
      </c>
      <c r="F236" s="2" t="str">
        <f>IFERROR(__xludf.DUMMYFUNCTION("""COMPUTED_VALUE"""),"Seguridad")</f>
        <v>Seguridad</v>
      </c>
      <c r="G236" s="2" t="str">
        <f>IFERROR(__xludf.DUMMYFUNCTION("""COMPUTED_VALUE"""),"Finalizada")</f>
        <v>Finalizada</v>
      </c>
      <c r="H236" s="4">
        <v>97996.0</v>
      </c>
      <c r="I236" s="4">
        <v>0.0</v>
      </c>
      <c r="J236" s="4">
        <v>273.0</v>
      </c>
      <c r="K236" s="4">
        <v>75606.0</v>
      </c>
      <c r="L236" s="5">
        <v>1.296140517948311</v>
      </c>
      <c r="M236" s="5">
        <v>1.296140517948311</v>
      </c>
      <c r="N236" s="4">
        <v>37528.0</v>
      </c>
      <c r="O236" s="4">
        <v>36976.0</v>
      </c>
      <c r="P236" s="4">
        <v>6596.0</v>
      </c>
      <c r="Q236" s="4">
        <v>203.0</v>
      </c>
      <c r="R236" s="4">
        <v>153.0</v>
      </c>
      <c r="S236" s="4">
        <v>153.0</v>
      </c>
      <c r="T236" s="4">
        <v>56.0</v>
      </c>
      <c r="U236" s="4">
        <v>54.0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/>
      <c r="AE236" s="6" t="s">
        <v>9</v>
      </c>
    </row>
    <row r="237" ht="16.5" customHeight="1">
      <c r="A237" s="2" t="str">
        <f>IFERROR(__xludf.DUMMYFUNCTION("""COMPUTED_VALUE"""),"2663-FEBSEGVC")</f>
        <v>2663-FEBSEGVC</v>
      </c>
      <c r="B237" s="2" t="str">
        <f>IFERROR(__xludf.DUMMYFUNCTION("""COMPUTED_VALUE"""),"RDV Ministros | Maximiliano Piñeiro 5/3 Comuna 1 Norte")</f>
        <v>RDV Ministros | Maximiliano Piñeiro 5/3 Comuna 1 Norte</v>
      </c>
      <c r="C237" s="3">
        <f>IFERROR(__xludf.DUMMYFUNCTION("""COMPUTED_VALUE"""),46083.0)</f>
        <v>46083</v>
      </c>
      <c r="D237" s="3">
        <f>IFERROR(__xludf.DUMMYFUNCTION("""COMPUTED_VALUE"""),46087.0)</f>
        <v>46087</v>
      </c>
      <c r="E237" s="2" t="str">
        <f>IFERROR(__xludf.DUMMYFUNCTION("""COMPUTED_VALUE"""),"Cercanía")</f>
        <v>Cercanía</v>
      </c>
      <c r="F237" s="2" t="str">
        <f>IFERROR(__xludf.DUMMYFUNCTION("""COMPUTED_VALUE"""),"Seguridad")</f>
        <v>Seguridad</v>
      </c>
      <c r="G237" s="2" t="str">
        <f>IFERROR(__xludf.DUMMYFUNCTION("""COMPUTED_VALUE"""),"Finalizada")</f>
        <v>Finalizada</v>
      </c>
      <c r="H237" s="4">
        <v>135156.0</v>
      </c>
      <c r="I237" s="4">
        <v>0.0</v>
      </c>
      <c r="J237" s="4">
        <v>335.0</v>
      </c>
      <c r="K237" s="4">
        <v>105044.0</v>
      </c>
      <c r="L237" s="5">
        <v>1.2866608278435703</v>
      </c>
      <c r="M237" s="5">
        <v>1.2866608278435703</v>
      </c>
      <c r="N237" s="4">
        <v>593.0</v>
      </c>
      <c r="O237" s="4">
        <v>591.0</v>
      </c>
      <c r="P237" s="4">
        <v>143.0</v>
      </c>
      <c r="Q237" s="4">
        <v>5.0</v>
      </c>
      <c r="R237" s="4">
        <v>110.0</v>
      </c>
      <c r="S237" s="4">
        <v>110.0</v>
      </c>
      <c r="T237" s="4">
        <v>39.0</v>
      </c>
      <c r="U237" s="4">
        <v>35.0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/>
      <c r="AE237" s="6" t="s">
        <v>9</v>
      </c>
    </row>
    <row r="238" ht="16.5" customHeight="1">
      <c r="A238" s="2" t="str">
        <f>IFERROR(__xludf.DUMMYFUNCTION("""COMPUTED_VALUE"""),"2664-FEBSEGVC")</f>
        <v>2664-FEBSEGVC</v>
      </c>
      <c r="B238" s="2" t="str">
        <f>IFERROR(__xludf.DUMMYFUNCTION("""COMPUTED_VALUE"""),"RDV Ministros | Horacio Giménez 5/3 Comuna 2")</f>
        <v>RDV Ministros | Horacio Giménez 5/3 Comuna 2</v>
      </c>
      <c r="C238" s="3">
        <f>IFERROR(__xludf.DUMMYFUNCTION("""COMPUTED_VALUE"""),46083.0)</f>
        <v>46083</v>
      </c>
      <c r="D238" s="3">
        <f>IFERROR(__xludf.DUMMYFUNCTION("""COMPUTED_VALUE"""),46090.0)</f>
        <v>46090</v>
      </c>
      <c r="E238" s="2" t="str">
        <f>IFERROR(__xludf.DUMMYFUNCTION("""COMPUTED_VALUE"""),"Cercanía")</f>
        <v>Cercanía</v>
      </c>
      <c r="F238" s="2" t="str">
        <f>IFERROR(__xludf.DUMMYFUNCTION("""COMPUTED_VALUE"""),"Seguridad")</f>
        <v>Seguridad</v>
      </c>
      <c r="G238" s="2" t="str">
        <f>IFERROR(__xludf.DUMMYFUNCTION("""COMPUTED_VALUE"""),"Finalizada")</f>
        <v>Finalizada</v>
      </c>
      <c r="H238" s="4">
        <v>398512.0</v>
      </c>
      <c r="I238" s="4">
        <v>0.0</v>
      </c>
      <c r="J238" s="4">
        <v>594.0</v>
      </c>
      <c r="K238" s="4">
        <v>334058.0</v>
      </c>
      <c r="L238" s="5">
        <v>1.19294254291171</v>
      </c>
      <c r="M238" s="5">
        <v>1.19294254291171</v>
      </c>
      <c r="N238" s="4">
        <v>62004.0</v>
      </c>
      <c r="O238" s="4">
        <v>61326.0</v>
      </c>
      <c r="P238" s="4">
        <v>16598.0</v>
      </c>
      <c r="Q238" s="4">
        <v>194.0</v>
      </c>
      <c r="R238" s="4">
        <v>86.0</v>
      </c>
      <c r="S238" s="4">
        <v>86.0</v>
      </c>
      <c r="T238" s="4">
        <v>17.0</v>
      </c>
      <c r="U238" s="4">
        <v>17.0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0.0</v>
      </c>
      <c r="AD238" s="4"/>
      <c r="AE238" s="6" t="s">
        <v>51</v>
      </c>
    </row>
    <row r="239" ht="16.5" customHeight="1">
      <c r="A239" s="2" t="str">
        <f>IFERROR(__xludf.DUMMYFUNCTION("""COMPUTED_VALUE"""),"2665-FEBSEGVC")</f>
        <v>2665-FEBSEGVC</v>
      </c>
      <c r="B239" s="2" t="str">
        <f>IFERROR(__xludf.DUMMYFUNCTION("""COMPUTED_VALUE"""),"RDV Ministros | Gabino Tapia 5/3 Comuna 3")</f>
        <v>RDV Ministros | Gabino Tapia 5/3 Comuna 3</v>
      </c>
      <c r="C239" s="3">
        <f>IFERROR(__xludf.DUMMYFUNCTION("""COMPUTED_VALUE"""),46083.0)</f>
        <v>46083</v>
      </c>
      <c r="D239" s="3">
        <f>IFERROR(__xludf.DUMMYFUNCTION("""COMPUTED_VALUE"""),46087.0)</f>
        <v>46087</v>
      </c>
      <c r="E239" s="2" t="str">
        <f>IFERROR(__xludf.DUMMYFUNCTION("""COMPUTED_VALUE"""),"Cercanía")</f>
        <v>Cercanía</v>
      </c>
      <c r="F239" s="2" t="str">
        <f>IFERROR(__xludf.DUMMYFUNCTION("""COMPUTED_VALUE"""),"Seguridad")</f>
        <v>Seguridad</v>
      </c>
      <c r="G239" s="2" t="str">
        <f>IFERROR(__xludf.DUMMYFUNCTION("""COMPUTED_VALUE"""),"Finalizada")</f>
        <v>Finalizada</v>
      </c>
      <c r="H239" s="4">
        <v>492445.0</v>
      </c>
      <c r="I239" s="4">
        <v>0.0</v>
      </c>
      <c r="J239" s="4">
        <v>601.0</v>
      </c>
      <c r="K239" s="4">
        <v>379797.0</v>
      </c>
      <c r="L239" s="5">
        <v>1.2966005524003612</v>
      </c>
      <c r="M239" s="5">
        <v>1.2966005524003612</v>
      </c>
      <c r="N239" s="4">
        <v>67205.0</v>
      </c>
      <c r="O239" s="4">
        <v>66279.0</v>
      </c>
      <c r="P239" s="4">
        <v>11375.0</v>
      </c>
      <c r="Q239" s="4">
        <v>251.0</v>
      </c>
      <c r="R239" s="4">
        <v>173.0</v>
      </c>
      <c r="S239" s="4">
        <v>173.0</v>
      </c>
      <c r="T239" s="4">
        <v>51.0</v>
      </c>
      <c r="U239" s="4">
        <v>49.0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/>
      <c r="AE239" s="6" t="s">
        <v>9</v>
      </c>
    </row>
    <row r="240" ht="16.5" customHeight="1">
      <c r="A240" s="2" t="str">
        <f>IFERROR(__xludf.DUMMYFUNCTION("""COMPUTED_VALUE"""),"2666-FEBINFGC")</f>
        <v>2666-FEBINFGC</v>
      </c>
      <c r="B240" s="2" t="str">
        <f>IFERROR(__xludf.DUMMYFUNCTION("""COMPUTED_VALUE"""),"Infraestructura I PBN Álvarez Thomas: inicio de obra")</f>
        <v>Infraestructura I PBN Álvarez Thomas: inicio de obra</v>
      </c>
      <c r="C240" s="3">
        <f>IFERROR(__xludf.DUMMYFUNCTION("""COMPUTED_VALUE"""),46092.0)</f>
        <v>46092</v>
      </c>
      <c r="D240" s="3">
        <f>IFERROR(__xludf.DUMMYFUNCTION("""COMPUTED_VALUE"""),46204.0)</f>
        <v>46204</v>
      </c>
      <c r="E240" s="2" t="str">
        <f>IFERROR(__xludf.DUMMYFUNCTION("""COMPUTED_VALUE"""),"Movilidad")</f>
        <v>Movilidad</v>
      </c>
      <c r="F240" s="2" t="str">
        <f>IFERROR(__xludf.DUMMYFUNCTION("""COMPUTED_VALUE"""),"Infraestructura")</f>
        <v>Infraestructura</v>
      </c>
      <c r="G240" s="2" t="str">
        <f>IFERROR(__xludf.DUMMYFUNCTION("""COMPUTED_VALUE"""),"Finalizada")</f>
        <v>Finalizada</v>
      </c>
      <c r="H240" s="4">
        <v>3984356.0</v>
      </c>
      <c r="I240" s="4">
        <v>1148319.0</v>
      </c>
      <c r="J240" s="4">
        <v>11016.0</v>
      </c>
      <c r="K240" s="4">
        <v>312654.0</v>
      </c>
      <c r="L240" s="5">
        <v>1.5757770570662777</v>
      </c>
      <c r="M240" s="5">
        <v>12.743659124783306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/>
      <c r="AE240" s="4" t="s">
        <v>8</v>
      </c>
    </row>
    <row r="241" ht="16.5" customHeight="1">
      <c r="A241" s="2" t="str">
        <f>IFERROR(__xludf.DUMMYFUNCTION("""COMPUTED_VALUE"""),"2667-FEBAMBVC")</f>
        <v>2667-FEBAMBVC</v>
      </c>
      <c r="B241" s="2" t="str">
        <f>IFERROR(__xludf.DUMMYFUNCTION("""COMPUTED_VALUE"""),"RDV Ministros | Gabriel Mraida - 6/03")</f>
        <v>RDV Ministros | Gabriel Mraida - 6/03</v>
      </c>
      <c r="C241" s="3">
        <f>IFERROR(__xludf.DUMMYFUNCTION("""COMPUTED_VALUE"""),46083.0)</f>
        <v>46083</v>
      </c>
      <c r="D241" s="3">
        <f>IFERROR(__xludf.DUMMYFUNCTION("""COMPUTED_VALUE"""),46090.0)</f>
        <v>46090</v>
      </c>
      <c r="E241" s="2" t="str">
        <f>IFERROR(__xludf.DUMMYFUNCTION("""COMPUTED_VALUE"""),"Cercanía")</f>
        <v>Cercanía</v>
      </c>
      <c r="F241" s="2" t="str">
        <f>IFERROR(__xludf.DUMMYFUNCTION("""COMPUTED_VALUE"""),"Vicejefatura (Ambiente)")</f>
        <v>Vicejefatura (Ambiente)</v>
      </c>
      <c r="G241" s="2" t="str">
        <f>IFERROR(__xludf.DUMMYFUNCTION("""COMPUTED_VALUE"""),"Finalizada")</f>
        <v>Finalizada</v>
      </c>
      <c r="H241" s="4">
        <v>201113.0</v>
      </c>
      <c r="I241" s="4">
        <v>0.0</v>
      </c>
      <c r="J241" s="4">
        <v>549.0</v>
      </c>
      <c r="K241" s="4">
        <v>152380.0</v>
      </c>
      <c r="L241" s="5">
        <v>1.3198123113269458</v>
      </c>
      <c r="M241" s="5">
        <v>1.3198123113269458</v>
      </c>
      <c r="N241" s="4">
        <v>19765.0</v>
      </c>
      <c r="O241" s="4">
        <v>19539.0</v>
      </c>
      <c r="P241" s="4">
        <v>3831.0</v>
      </c>
      <c r="Q241" s="4">
        <v>72.0</v>
      </c>
      <c r="R241" s="4">
        <v>44.0</v>
      </c>
      <c r="S241" s="4">
        <v>44.0</v>
      </c>
      <c r="T241" s="4">
        <v>16.0</v>
      </c>
      <c r="U241" s="4">
        <v>15.0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/>
      <c r="AE241" s="6" t="s">
        <v>9</v>
      </c>
    </row>
    <row r="242" ht="16.5" customHeight="1">
      <c r="A242" s="2" t="str">
        <f>IFERROR(__xludf.DUMMYFUNCTION("""COMPUTED_VALUE"""),"2668-FEBPCCVC")</f>
        <v>2668-FEBPCCVC</v>
      </c>
      <c r="B242" s="2" t="str">
        <f>IFERROR(__xludf.DUMMYFUNCTION("""COMPUTED_VALUE"""),"Visita de obra Ramal Castañon")</f>
        <v>Visita de obra Ramal Castañon</v>
      </c>
      <c r="C242" s="3">
        <f>IFERROR(__xludf.DUMMYFUNCTION("""COMPUTED_VALUE"""),46087.0)</f>
        <v>46087</v>
      </c>
      <c r="D242" s="3">
        <f>IFERROR(__xludf.DUMMYFUNCTION("""COMPUTED_VALUE"""),46093.0)</f>
        <v>46093</v>
      </c>
      <c r="E242" s="2" t="str">
        <f>IFERROR(__xludf.DUMMYFUNCTION("""COMPUTED_VALUE"""),"Cercanía")</f>
        <v>Cercanía</v>
      </c>
      <c r="F242" s="2" t="str">
        <f>IFERROR(__xludf.DUMMYFUNCTION("""COMPUTED_VALUE"""),"Cercanía y PC")</f>
        <v>Cercanía y PC</v>
      </c>
      <c r="G242" s="2" t="str">
        <f>IFERROR(__xludf.DUMMYFUNCTION("""COMPUTED_VALUE"""),"Finalizada")</f>
        <v>Finalizada</v>
      </c>
      <c r="H242" s="4">
        <v>0.0</v>
      </c>
      <c r="I242" s="4">
        <v>0.0</v>
      </c>
      <c r="J242" s="4">
        <v>0.0</v>
      </c>
      <c r="K242" s="4">
        <v>0.0</v>
      </c>
      <c r="L242" s="5">
        <v>0.0</v>
      </c>
      <c r="M242" s="5">
        <v>0.0</v>
      </c>
      <c r="N242" s="4">
        <v>31906.0</v>
      </c>
      <c r="O242" s="4">
        <v>31115.0</v>
      </c>
      <c r="P242" s="4">
        <v>5211.0</v>
      </c>
      <c r="Q242" s="4">
        <v>78.0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  <c r="AD242" s="4" t="s">
        <v>8</v>
      </c>
      <c r="AE242" s="6" t="s">
        <v>9</v>
      </c>
    </row>
    <row r="243" ht="16.5" customHeight="1">
      <c r="A243" s="2" t="str">
        <f>IFERROR(__xludf.DUMMYFUNCTION("""COMPUTED_VALUE"""),"2669-FEBPCCVC")</f>
        <v>2669-FEBPCCVC</v>
      </c>
      <c r="B243" s="2" t="str">
        <f>IFERROR(__xludf.DUMMYFUNCTION("""COMPUTED_VALUE"""),"Eventos Masivos Velez")</f>
        <v>Eventos Masivos Velez</v>
      </c>
      <c r="C243" s="3">
        <f>IFERROR(__xludf.DUMMYFUNCTION("""COMPUTED_VALUE"""),46087.0)</f>
        <v>46087</v>
      </c>
      <c r="D243" s="3">
        <f>IFERROR(__xludf.DUMMYFUNCTION("""COMPUTED_VALUE"""),46087.0)</f>
        <v>46087</v>
      </c>
      <c r="E243" s="2" t="str">
        <f>IFERROR(__xludf.DUMMYFUNCTION("""COMPUTED_VALUE"""),"Cercanía")</f>
        <v>Cercanía</v>
      </c>
      <c r="F243" s="2" t="str">
        <f>IFERROR(__xludf.DUMMYFUNCTION("""COMPUTED_VALUE"""),"Cercanía y PC")</f>
        <v>Cercanía y PC</v>
      </c>
      <c r="G243" s="2" t="str">
        <f>IFERROR(__xludf.DUMMYFUNCTION("""COMPUTED_VALUE"""),"Finalizada")</f>
        <v>Finalizada</v>
      </c>
      <c r="H243" s="4">
        <v>0.0</v>
      </c>
      <c r="I243" s="4">
        <v>0.0</v>
      </c>
      <c r="J243" s="4">
        <v>0.0</v>
      </c>
      <c r="K243" s="4">
        <v>0.0</v>
      </c>
      <c r="L243" s="5">
        <v>0.0</v>
      </c>
      <c r="M243" s="5">
        <v>0.0</v>
      </c>
      <c r="N243" s="4">
        <v>50411.0</v>
      </c>
      <c r="O243" s="4">
        <v>49856.0</v>
      </c>
      <c r="P243" s="4">
        <v>11020.0</v>
      </c>
      <c r="Q243" s="4">
        <v>275.0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 t="s">
        <v>8</v>
      </c>
      <c r="AE243" s="6" t="s">
        <v>9</v>
      </c>
    </row>
    <row r="244" ht="16.5" customHeight="1">
      <c r="A244" s="2" t="str">
        <f>IFERROR(__xludf.DUMMYFUNCTION("""COMPUTED_VALUE"""),"2670-FEBINFGC")</f>
        <v>2670-FEBINFGC</v>
      </c>
      <c r="B244" s="2" t="str">
        <f>IFERROR(__xludf.DUMMYFUNCTION("""COMPUTED_VALUE""")," Infraestructura| Extensión línea 102: revisión de flyer + mail")</f>
        <v> Infraestructura| Extensión línea 102: revisión de flyer + mail</v>
      </c>
      <c r="C244" s="3">
        <f>IFERROR(__xludf.DUMMYFUNCTION("""COMPUTED_VALUE"""),46086.0)</f>
        <v>46086</v>
      </c>
      <c r="D244" s="3">
        <f>IFERROR(__xludf.DUMMYFUNCTION("""COMPUTED_VALUE"""),46086.0)</f>
        <v>46086</v>
      </c>
      <c r="E244" s="2" t="str">
        <f>IFERROR(__xludf.DUMMYFUNCTION("""COMPUTED_VALUE"""),"Movilidad")</f>
        <v>Movilidad</v>
      </c>
      <c r="F244" s="2" t="str">
        <f>IFERROR(__xludf.DUMMYFUNCTION("""COMPUTED_VALUE"""),"Infraestructura")</f>
        <v>Infraestructura</v>
      </c>
      <c r="G244" s="2" t="str">
        <f>IFERROR(__xludf.DUMMYFUNCTION("""COMPUTED_VALUE"""),"Finalizada")</f>
        <v>Finalizada</v>
      </c>
      <c r="H244" s="4">
        <v>0.0</v>
      </c>
      <c r="I244" s="4">
        <v>0.0</v>
      </c>
      <c r="J244" s="4">
        <v>0.0</v>
      </c>
      <c r="K244" s="4">
        <v>0.0</v>
      </c>
      <c r="L244" s="5">
        <v>0.0</v>
      </c>
      <c r="M244" s="5">
        <v>0.0</v>
      </c>
      <c r="N244" s="4">
        <v>102349.0</v>
      </c>
      <c r="O244" s="4">
        <v>101176.0</v>
      </c>
      <c r="P244" s="4">
        <v>39235.0</v>
      </c>
      <c r="Q244" s="4">
        <v>2249.0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 t="s">
        <v>8</v>
      </c>
      <c r="AE244" s="6" t="s">
        <v>9</v>
      </c>
    </row>
    <row r="245" ht="16.5" customHeight="1">
      <c r="A245" s="2" t="str">
        <f>IFERROR(__xludf.DUMMYFUNCTION("""COMPUTED_VALUE"""),"2671-MARJDGVC")</f>
        <v>2671-MARJDGVC</v>
      </c>
      <c r="B245" s="2" t="str">
        <f>IFERROR(__xludf.DUMMYFUNCTION("""COMPUTED_VALUE"""),"RDV MINISTROS | GABRIEL SÁNCHEZ ZINNY 6/3 VILLA SANTA")</f>
        <v>RDV MINISTROS | GABRIEL SÁNCHEZ ZINNY 6/3 VILLA SANTA</v>
      </c>
      <c r="C245" s="3">
        <f>IFERROR(__xludf.DUMMYFUNCTION("""COMPUTED_VALUE"""),46084.0)</f>
        <v>46084</v>
      </c>
      <c r="D245" s="3">
        <f>IFERROR(__xludf.DUMMYFUNCTION("""COMPUTED_VALUE"""),46090.0)</f>
        <v>46090</v>
      </c>
      <c r="E245" s="2" t="str">
        <f>IFERROR(__xludf.DUMMYFUNCTION("""COMPUTED_VALUE"""),"Cercanía")</f>
        <v>Cercanía</v>
      </c>
      <c r="F245" s="2" t="str">
        <f>IFERROR(__xludf.DUMMYFUNCTION("""COMPUTED_VALUE"""),"Jefatura de Gabinete")</f>
        <v>Jefatura de Gabinete</v>
      </c>
      <c r="G245" s="2" t="str">
        <f>IFERROR(__xludf.DUMMYFUNCTION("""COMPUTED_VALUE"""),"Finalizada")</f>
        <v>Finalizada</v>
      </c>
      <c r="H245" s="4">
        <v>0.0</v>
      </c>
      <c r="I245" s="4">
        <v>0.0</v>
      </c>
      <c r="J245" s="4">
        <v>0.0</v>
      </c>
      <c r="K245" s="4">
        <v>0.0</v>
      </c>
      <c r="L245" s="5">
        <v>0.0</v>
      </c>
      <c r="M245" s="5">
        <v>0.0</v>
      </c>
      <c r="N245" s="4">
        <v>14050.0</v>
      </c>
      <c r="O245" s="4">
        <v>13876.0</v>
      </c>
      <c r="P245" s="4">
        <v>2801.0</v>
      </c>
      <c r="Q245" s="4">
        <v>107.0</v>
      </c>
      <c r="R245" s="4">
        <v>57.0</v>
      </c>
      <c r="S245" s="4">
        <v>57.0</v>
      </c>
      <c r="T245" s="4">
        <v>12.0</v>
      </c>
      <c r="U245" s="4">
        <v>12.0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 t="s">
        <v>8</v>
      </c>
      <c r="AE245" s="6" t="s">
        <v>9</v>
      </c>
    </row>
    <row r="246" ht="16.5" customHeight="1">
      <c r="A246" s="2" t="str">
        <f>IFERROR(__xludf.DUMMYFUNCTION("""COMPUTED_VALUE"""),"2672-MARPCCVC")</f>
        <v>2672-MARPCCVC</v>
      </c>
      <c r="B246" s="2" t="str">
        <f>IFERROR(__xludf.DUMMYFUNCTION("""COMPUTED_VALUE"""),"Parque Ferroviario Palermo")</f>
        <v>Parque Ferroviario Palermo</v>
      </c>
      <c r="C246" s="3">
        <f>IFERROR(__xludf.DUMMYFUNCTION("""COMPUTED_VALUE"""),46087.0)</f>
        <v>46087</v>
      </c>
      <c r="D246" s="3">
        <f>IFERROR(__xludf.DUMMYFUNCTION("""COMPUTED_VALUE"""),46087.0)</f>
        <v>46087</v>
      </c>
      <c r="E246" s="2" t="str">
        <f>IFERROR(__xludf.DUMMYFUNCTION("""COMPUTED_VALUE"""),"Cercanía")</f>
        <v>Cercanía</v>
      </c>
      <c r="F246" s="2" t="str">
        <f>IFERROR(__xludf.DUMMYFUNCTION("""COMPUTED_VALUE"""),"Cercanía y PC")</f>
        <v>Cercanía y PC</v>
      </c>
      <c r="G246" s="2" t="str">
        <f>IFERROR(__xludf.DUMMYFUNCTION("""COMPUTED_VALUE"""),"Finalizada")</f>
        <v>Finalizada</v>
      </c>
      <c r="H246" s="4">
        <v>0.0</v>
      </c>
      <c r="I246" s="4">
        <v>0.0</v>
      </c>
      <c r="J246" s="4">
        <v>0.0</v>
      </c>
      <c r="K246" s="4">
        <v>0.0</v>
      </c>
      <c r="L246" s="5">
        <v>0.0</v>
      </c>
      <c r="M246" s="5">
        <v>0.0</v>
      </c>
      <c r="N246" s="4">
        <v>52304.0</v>
      </c>
      <c r="O246" s="4">
        <v>52059.0</v>
      </c>
      <c r="P246" s="4">
        <v>31070.0</v>
      </c>
      <c r="Q246" s="4">
        <v>287.0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 t="s">
        <v>8</v>
      </c>
      <c r="AE246" s="6" t="s">
        <v>9</v>
      </c>
    </row>
    <row r="247" ht="16.5" customHeight="1">
      <c r="A247" s="2" t="str">
        <f>IFERROR(__xludf.DUMMYFUNCTION("""COMPUTED_VALUE"""),"2673-MARSALGC")</f>
        <v>2673-MARSALGC</v>
      </c>
      <c r="B247" s="2" t="str">
        <f>IFERROR(__xludf.DUMMYFUNCTION("""COMPUTED_VALUE"""),"Mejoras en Centros de Salud")</f>
        <v>Mejoras en Centros de Salud</v>
      </c>
      <c r="C247" s="3">
        <f>IFERROR(__xludf.DUMMYFUNCTION("""COMPUTED_VALUE"""),46099.0)</f>
        <v>46099</v>
      </c>
      <c r="D247" s="3">
        <f>IFERROR(__xludf.DUMMYFUNCTION("""COMPUTED_VALUE"""),46188.0)</f>
        <v>46188</v>
      </c>
      <c r="E247" s="2" t="str">
        <f>IFERROR(__xludf.DUMMYFUNCTION("""COMPUTED_VALUE"""),"Cuidado")</f>
        <v>Cuidado</v>
      </c>
      <c r="F247" s="2" t="str">
        <f>IFERROR(__xludf.DUMMYFUNCTION("""COMPUTED_VALUE"""),"Salud")</f>
        <v>Salud</v>
      </c>
      <c r="G247" s="2" t="str">
        <f>IFERROR(__xludf.DUMMYFUNCTION("""COMPUTED_VALUE"""),"Finalizada")</f>
        <v>Finalizada</v>
      </c>
      <c r="H247" s="4">
        <v>2.7877973E7</v>
      </c>
      <c r="I247" s="4">
        <v>2185407.0</v>
      </c>
      <c r="J247" s="4">
        <v>39514.0</v>
      </c>
      <c r="K247" s="4">
        <v>2720154.0</v>
      </c>
      <c r="L247" s="5">
        <v>2.6008534810896737</v>
      </c>
      <c r="M247" s="5">
        <v>10.248674523574769</v>
      </c>
      <c r="N247" s="4">
        <v>147075.0</v>
      </c>
      <c r="O247" s="4">
        <v>145212.0</v>
      </c>
      <c r="P247" s="4">
        <v>47849.0</v>
      </c>
      <c r="Q247" s="4">
        <v>4444.0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/>
      <c r="AE247" s="6" t="s">
        <v>9</v>
      </c>
    </row>
    <row r="248" ht="16.5" customHeight="1">
      <c r="A248" s="2" t="str">
        <f>IFERROR(__xludf.DUMMYFUNCTION("""COMPUTED_VALUE"""),"2674-MARSALGC")</f>
        <v>2674-MARSALGC</v>
      </c>
      <c r="B248" s="2" t="str">
        <f>IFERROR(__xludf.DUMMYFUNCTION("""COMPUTED_VALUE"""),"Fin de obra - Ampliación CESAC 46")</f>
        <v>Fin de obra - Ampliación CESAC 46</v>
      </c>
      <c r="C248" s="3">
        <f>IFERROR(__xludf.DUMMYFUNCTION("""COMPUTED_VALUE"""),46097.0)</f>
        <v>46097</v>
      </c>
      <c r="D248" s="3">
        <f>IFERROR(__xludf.DUMMYFUNCTION("""COMPUTED_VALUE"""),46112.0)</f>
        <v>46112</v>
      </c>
      <c r="E248" s="2" t="str">
        <f>IFERROR(__xludf.DUMMYFUNCTION("""COMPUTED_VALUE"""),"Cuidado")</f>
        <v>Cuidado</v>
      </c>
      <c r="F248" s="2" t="str">
        <f>IFERROR(__xludf.DUMMYFUNCTION("""COMPUTED_VALUE"""),"Salud")</f>
        <v>Salud</v>
      </c>
      <c r="G248" s="2" t="str">
        <f>IFERROR(__xludf.DUMMYFUNCTION("""COMPUTED_VALUE"""),"Finalizada")</f>
        <v>Finalizada</v>
      </c>
      <c r="H248" s="4">
        <v>4339477.0</v>
      </c>
      <c r="I248" s="4">
        <v>38330.0</v>
      </c>
      <c r="J248" s="4">
        <v>10901.0</v>
      </c>
      <c r="K248" s="4">
        <v>98892.0</v>
      </c>
      <c r="L248" s="5">
        <v>1.9366986207175505</v>
      </c>
      <c r="M248" s="5">
        <v>43.880971160457875</v>
      </c>
      <c r="N248" s="4">
        <v>56998.0</v>
      </c>
      <c r="O248" s="4">
        <v>56066.0</v>
      </c>
      <c r="P248" s="4">
        <v>16825.0</v>
      </c>
      <c r="Q248" s="4">
        <v>730.0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/>
      <c r="AE248" s="6" t="s">
        <v>9</v>
      </c>
    </row>
    <row r="249" ht="16.5" customHeight="1">
      <c r="A249" s="2" t="str">
        <f>IFERROR(__xludf.DUMMYFUNCTION("""COMPUTED_VALUE"""),"2675-MARINFGC")</f>
        <v>2675-MARINFGC</v>
      </c>
      <c r="B249" s="2" t="str">
        <f>IFERROR(__xludf.DUMMYFUNCTION("""COMPUTED_VALUE""")," Infraestructura | Anillo Pampa: cortes y desvíos")</f>
        <v> Infraestructura | Anillo Pampa: cortes y desvíos</v>
      </c>
      <c r="C249" s="3">
        <f>IFERROR(__xludf.DUMMYFUNCTION("""COMPUTED_VALUE"""),46091.0)</f>
        <v>46091</v>
      </c>
      <c r="D249" s="3">
        <f>IFERROR(__xludf.DUMMYFUNCTION("""COMPUTED_VALUE"""),46105.0)</f>
        <v>46105</v>
      </c>
      <c r="E249" s="2" t="str">
        <f>IFERROR(__xludf.DUMMYFUNCTION("""COMPUTED_VALUE"""),"Movilidad")</f>
        <v>Movilidad</v>
      </c>
      <c r="F249" s="2" t="str">
        <f>IFERROR(__xludf.DUMMYFUNCTION("""COMPUTED_VALUE"""),"Infraestructura")</f>
        <v>Infraestructura</v>
      </c>
      <c r="G249" s="2" t="str">
        <f>IFERROR(__xludf.DUMMYFUNCTION("""COMPUTED_VALUE"""),"Finalizada")</f>
        <v>Finalizada</v>
      </c>
      <c r="H249" s="4">
        <v>271808.0</v>
      </c>
      <c r="I249" s="4">
        <v>0.0</v>
      </c>
      <c r="J249" s="4">
        <v>1707.0</v>
      </c>
      <c r="K249" s="4">
        <v>133034.0</v>
      </c>
      <c r="L249" s="5">
        <v>2.043146864711277</v>
      </c>
      <c r="M249" s="5">
        <v>2.043146864711277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/>
      <c r="AE249" s="4" t="s">
        <v>8</v>
      </c>
    </row>
    <row r="250" ht="16.5" customHeight="1">
      <c r="A250" s="2" t="str">
        <f>IFERROR(__xludf.DUMMYFUNCTION("""COMPUTED_VALUE"""),"2676-MARAMBGC")</f>
        <v>2676-MARAMBGC</v>
      </c>
      <c r="B250" s="2" t="str">
        <f>IFERROR(__xludf.DUMMYFUNCTION("""COMPUTED_VALUE"""),"RDV Ministros | Clara Muzzio - 6/03")</f>
        <v>RDV Ministros | Clara Muzzio - 6/03</v>
      </c>
      <c r="C250" s="3">
        <f>IFERROR(__xludf.DUMMYFUNCTION("""COMPUTED_VALUE"""),46083.0)</f>
        <v>46083</v>
      </c>
      <c r="D250" s="3">
        <f>IFERROR(__xludf.DUMMYFUNCTION("""COMPUTED_VALUE"""),46090.0)</f>
        <v>46090</v>
      </c>
      <c r="E250" s="2" t="str">
        <f>IFERROR(__xludf.DUMMYFUNCTION("""COMPUTED_VALUE"""),"Cercanía")</f>
        <v>Cercanía</v>
      </c>
      <c r="F250" s="2" t="str">
        <f>IFERROR(__xludf.DUMMYFUNCTION("""COMPUTED_VALUE"""),"Vicejefatura (Ambiente)")</f>
        <v>Vicejefatura (Ambiente)</v>
      </c>
      <c r="G250" s="2" t="str">
        <f>IFERROR(__xludf.DUMMYFUNCTION("""COMPUTED_VALUE"""),"Finalizada")</f>
        <v>Finalizada</v>
      </c>
      <c r="H250" s="4">
        <v>225544.0</v>
      </c>
      <c r="I250" s="4">
        <v>0.0</v>
      </c>
      <c r="J250" s="4">
        <v>367.0</v>
      </c>
      <c r="K250" s="4">
        <v>201228.0</v>
      </c>
      <c r="L250" s="5">
        <v>1.1208380543463137</v>
      </c>
      <c r="M250" s="5">
        <v>1.1208380543463137</v>
      </c>
      <c r="N250" s="4">
        <v>13772.0</v>
      </c>
      <c r="O250" s="4">
        <v>13643.0</v>
      </c>
      <c r="P250" s="4">
        <v>3149.0</v>
      </c>
      <c r="Q250" s="4">
        <v>44.0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0.0</v>
      </c>
      <c r="AB250" s="4">
        <v>0.0</v>
      </c>
      <c r="AC250" s="4">
        <v>0.0</v>
      </c>
      <c r="AD250" s="4"/>
      <c r="AE250" s="6" t="s">
        <v>9</v>
      </c>
    </row>
    <row r="251" ht="16.5" customHeight="1">
      <c r="A251" s="2" t="str">
        <f>IFERROR(__xludf.DUMMYFUNCTION("""COMPUTED_VALUE"""),"2677-MAREDUCG")</f>
        <v>2677-MAREDUCG</v>
      </c>
      <c r="B251" s="2" t="str">
        <f>IFERROR(__xludf.DUMMYFUNCTION("""COMPUTED_VALUE"""),"Comienzo Ciclo Lectivo en la Ciudad")</f>
        <v>Comienzo Ciclo Lectivo en la Ciudad</v>
      </c>
      <c r="C251" s="3">
        <f>IFERROR(__xludf.DUMMYFUNCTION("""COMPUTED_VALUE"""),46084.0)</f>
        <v>46084</v>
      </c>
      <c r="D251" s="3">
        <f>IFERROR(__xludf.DUMMYFUNCTION("""COMPUTED_VALUE"""),46091.0)</f>
        <v>46091</v>
      </c>
      <c r="E251" s="2" t="str">
        <f>IFERROR(__xludf.DUMMYFUNCTION("""COMPUTED_VALUE"""),"Cuidado")</f>
        <v>Cuidado</v>
      </c>
      <c r="F251" s="2" t="str">
        <f>IFERROR(__xludf.DUMMYFUNCTION("""COMPUTED_VALUE"""),"Educación")</f>
        <v>Educación</v>
      </c>
      <c r="G251" s="2" t="str">
        <f>IFERROR(__xludf.DUMMYFUNCTION("""COMPUTED_VALUE"""),"Finalizada")</f>
        <v>Finalizada</v>
      </c>
      <c r="H251" s="4">
        <v>204241.0</v>
      </c>
      <c r="I251" s="4">
        <v>40520.0</v>
      </c>
      <c r="J251" s="4">
        <v>226.0</v>
      </c>
      <c r="K251" s="4">
        <v>128190.0</v>
      </c>
      <c r="L251" s="5">
        <v>1.593267805601061</v>
      </c>
      <c r="M251" s="5">
        <v>1.593267805601061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0.0</v>
      </c>
      <c r="AB251" s="4">
        <v>0.0</v>
      </c>
      <c r="AC251" s="4">
        <v>0.0</v>
      </c>
      <c r="AD251" s="4"/>
      <c r="AE251" s="4" t="s">
        <v>8</v>
      </c>
    </row>
    <row r="252" ht="16.5" customHeight="1">
      <c r="A252" s="2" t="str">
        <f>IFERROR(__xludf.DUMMYFUNCTION("""COMPUTED_VALUE"""),"2678-MARTURGC")</f>
        <v>2678-MARTURGC</v>
      </c>
      <c r="B252" s="2" t="str">
        <f>IFERROR(__xludf.DUMMYFUNCTION("""COMPUTED_VALUE"""),"Turismo con mascotas")</f>
        <v>Turismo con mascotas</v>
      </c>
      <c r="C252" s="3">
        <f>IFERROR(__xludf.DUMMYFUNCTION("""COMPUTED_VALUE"""),46086.0)</f>
        <v>46086</v>
      </c>
      <c r="D252" s="3">
        <f>IFERROR(__xludf.DUMMYFUNCTION("""COMPUTED_VALUE"""),46086.0)</f>
        <v>46086</v>
      </c>
      <c r="E252" s="2" t="str">
        <f>IFERROR(__xludf.DUMMYFUNCTION("""COMPUTED_VALUE"""),"Ciudad Atractiva")</f>
        <v>Ciudad Atractiva</v>
      </c>
      <c r="F252" s="2" t="str">
        <f>IFERROR(__xludf.DUMMYFUNCTION("""COMPUTED_VALUE"""),"Turismo")</f>
        <v>Turismo</v>
      </c>
      <c r="G252" s="2" t="str">
        <f>IFERROR(__xludf.DUMMYFUNCTION("""COMPUTED_VALUE"""),"Finalizada")</f>
        <v>Finalizada</v>
      </c>
      <c r="H252" s="4">
        <v>0.0</v>
      </c>
      <c r="I252" s="4">
        <v>0.0</v>
      </c>
      <c r="J252" s="4">
        <v>0.0</v>
      </c>
      <c r="K252" s="4">
        <v>0.0</v>
      </c>
      <c r="L252" s="5">
        <v>0.0</v>
      </c>
      <c r="M252" s="5">
        <v>0.0</v>
      </c>
      <c r="N252" s="4">
        <v>848.0</v>
      </c>
      <c r="O252" s="4">
        <v>823.0</v>
      </c>
      <c r="P252" s="4">
        <v>311.0</v>
      </c>
      <c r="Q252" s="4">
        <v>29.0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0.0</v>
      </c>
      <c r="AD252" s="4" t="s">
        <v>8</v>
      </c>
      <c r="AE252" s="6" t="s">
        <v>9</v>
      </c>
    </row>
    <row r="253" ht="16.5" customHeight="1">
      <c r="A253" s="2" t="str">
        <f>IFERROR(__xludf.DUMMYFUNCTION("""COMPUTED_VALUE"""),"2679-MARINFGC")</f>
        <v>2679-MARINFGC</v>
      </c>
      <c r="B253" s="2" t="str">
        <f>IFERROR(__xludf.DUMMYFUNCTION("""COMPUTED_VALUE"""),"Infraestructura I Fin de obra Av. Pérez Galdós")</f>
        <v>Infraestructura I Fin de obra Av. Pérez Galdós</v>
      </c>
      <c r="C253" s="3">
        <f>IFERROR(__xludf.DUMMYFUNCTION("""COMPUTED_VALUE"""),46128.0)</f>
        <v>46128</v>
      </c>
      <c r="D253" s="3">
        <f>IFERROR(__xludf.DUMMYFUNCTION("""COMPUTED_VALUE"""),46142.0)</f>
        <v>46142</v>
      </c>
      <c r="E253" s="2" t="str">
        <f>IFERROR(__xludf.DUMMYFUNCTION("""COMPUTED_VALUE"""),"Movilidad")</f>
        <v>Movilidad</v>
      </c>
      <c r="F253" s="2" t="str">
        <f>IFERROR(__xludf.DUMMYFUNCTION("""COMPUTED_VALUE"""),"Infraestructura")</f>
        <v>Infraestructura</v>
      </c>
      <c r="G253" s="2" t="str">
        <f>IFERROR(__xludf.DUMMYFUNCTION("""COMPUTED_VALUE"""),"Finalizada")</f>
        <v>Finalizada</v>
      </c>
      <c r="H253" s="4">
        <v>233888.0</v>
      </c>
      <c r="I253" s="4">
        <v>0.0</v>
      </c>
      <c r="J253" s="4">
        <v>1838.0</v>
      </c>
      <c r="K253" s="4">
        <v>55082.0</v>
      </c>
      <c r="L253" s="5">
        <v>2.1782251915326243</v>
      </c>
      <c r="M253" s="5">
        <v>4.246178424893794</v>
      </c>
      <c r="N253" s="4">
        <v>6692.0</v>
      </c>
      <c r="O253" s="4">
        <v>6584.0</v>
      </c>
      <c r="P253" s="4">
        <v>1635.0</v>
      </c>
      <c r="Q253" s="4">
        <v>90.0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  <c r="AB253" s="4">
        <v>0.0</v>
      </c>
      <c r="AC253" s="4">
        <v>0.0</v>
      </c>
      <c r="AD253" s="6" t="s">
        <v>52</v>
      </c>
      <c r="AE253" s="6" t="s">
        <v>9</v>
      </c>
    </row>
    <row r="254" ht="16.5" customHeight="1">
      <c r="A254" s="2" t="str">
        <f>IFERROR(__xludf.DUMMYFUNCTION("""COMPUTED_VALUE"""),"2680-MARINFGC")</f>
        <v>2680-MARINFGC</v>
      </c>
      <c r="B254" s="2" t="str">
        <f>IFERROR(__xludf.DUMMYFUNCTION("""COMPUTED_VALUE"""),"Apertura Estación Congreso Línea A")</f>
        <v>Apertura Estación Congreso Línea A</v>
      </c>
      <c r="C254" s="3">
        <f>IFERROR(__xludf.DUMMYFUNCTION("""COMPUTED_VALUE"""),46087.0)</f>
        <v>46087</v>
      </c>
      <c r="D254" s="3">
        <f>IFERROR(__xludf.DUMMYFUNCTION("""COMPUTED_VALUE"""),46108.0)</f>
        <v>46108</v>
      </c>
      <c r="E254" s="2" t="str">
        <f>IFERROR(__xludf.DUMMYFUNCTION("""COMPUTED_VALUE"""),"Movilidad")</f>
        <v>Movilidad</v>
      </c>
      <c r="F254" s="2" t="str">
        <f>IFERROR(__xludf.DUMMYFUNCTION("""COMPUTED_VALUE"""),"Infraestructura")</f>
        <v>Infraestructura</v>
      </c>
      <c r="G254" s="2" t="str">
        <f>IFERROR(__xludf.DUMMYFUNCTION("""COMPUTED_VALUE"""),"Finalizada")</f>
        <v>Finalizada</v>
      </c>
      <c r="H254" s="4">
        <v>5873379.0</v>
      </c>
      <c r="I254" s="4">
        <v>0.0</v>
      </c>
      <c r="J254" s="4">
        <v>23869.0</v>
      </c>
      <c r="K254" s="4">
        <v>244583.0</v>
      </c>
      <c r="L254" s="5">
        <v>3.942686122911241</v>
      </c>
      <c r="M254" s="5">
        <v>24.013848059758853</v>
      </c>
      <c r="N254" s="4">
        <v>169496.0</v>
      </c>
      <c r="O254" s="4">
        <v>167792.0</v>
      </c>
      <c r="P254" s="4">
        <v>48793.0</v>
      </c>
      <c r="Q254" s="4">
        <v>769.0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64995.0</v>
      </c>
      <c r="AB254" s="4">
        <v>61276.0</v>
      </c>
      <c r="AC254" s="4">
        <v>197.0</v>
      </c>
      <c r="AD254" s="4"/>
      <c r="AE254" s="6" t="s">
        <v>9</v>
      </c>
    </row>
    <row r="255" ht="16.5" customHeight="1">
      <c r="A255" s="2" t="str">
        <f>IFERROR(__xludf.DUMMYFUNCTION("""COMPUTED_VALUE"""),"2682-MARSEGGJ")</f>
        <v>2682-MARSEGGJ</v>
      </c>
      <c r="B255" s="2" t="str">
        <f>IFERROR(__xludf.DUMMYFUNCTION("""COMPUTED_VALUE"""),"18 meses sin manteros en Once")</f>
        <v>18 meses sin manteros en Once</v>
      </c>
      <c r="C255" s="3">
        <f>IFERROR(__xludf.DUMMYFUNCTION("""COMPUTED_VALUE"""),46092.0)</f>
        <v>46092</v>
      </c>
      <c r="D255" s="3">
        <f>IFERROR(__xludf.DUMMYFUNCTION("""COMPUTED_VALUE"""),46112.0)</f>
        <v>46112</v>
      </c>
      <c r="E255" s="2" t="str">
        <f>IFERROR(__xludf.DUMMYFUNCTION("""COMPUTED_VALUE"""),"M2")</f>
        <v>M2</v>
      </c>
      <c r="F255" s="2" t="str">
        <f>IFERROR(__xludf.DUMMYFUNCTION("""COMPUTED_VALUE"""),"Seguridad")</f>
        <v>Seguridad</v>
      </c>
      <c r="G255" s="2" t="str">
        <f>IFERROR(__xludf.DUMMYFUNCTION("""COMPUTED_VALUE"""),"Finalizada")</f>
        <v>Finalizada</v>
      </c>
      <c r="H255" s="4">
        <v>1.18254E7</v>
      </c>
      <c r="I255" s="4">
        <v>5893750.0</v>
      </c>
      <c r="J255" s="4">
        <v>12689.0</v>
      </c>
      <c r="K255" s="4">
        <v>12344.0</v>
      </c>
      <c r="L255" s="5">
        <v>334.9544718081659</v>
      </c>
      <c r="M255" s="5">
        <v>957.9876863253403</v>
      </c>
      <c r="N255" s="4">
        <v>321481.0</v>
      </c>
      <c r="O255" s="4">
        <v>319014.0</v>
      </c>
      <c r="P255" s="4">
        <v>102919.0</v>
      </c>
      <c r="Q255" s="4">
        <v>159.0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0.0</v>
      </c>
      <c r="AB255" s="4">
        <v>0.0</v>
      </c>
      <c r="AC255" s="4">
        <v>0.0</v>
      </c>
      <c r="AD255" s="4"/>
      <c r="AE255" s="6" t="s">
        <v>9</v>
      </c>
    </row>
    <row r="256" ht="16.5" customHeight="1">
      <c r="A256" s="2" t="str">
        <f>IFERROR(__xludf.DUMMYFUNCTION("""COMPUTED_VALUE"""),"2683-MARDECVC")</f>
        <v>2683-MARDECVC</v>
      </c>
      <c r="B256" s="2" t="str">
        <f>IFERROR(__xludf.DUMMYFUNCTION("""COMPUTED_VALUE"""),"RDV MINISTROS| TAPIA-PIRAGINE-LOMBARDI 9/3 EJE SUR")</f>
        <v>RDV MINISTROS| TAPIA-PIRAGINE-LOMBARDI 9/3 EJE SUR</v>
      </c>
      <c r="C256" s="3">
        <f>IFERROR(__xludf.DUMMYFUNCTION("""COMPUTED_VALUE"""),46086.0)</f>
        <v>46086</v>
      </c>
      <c r="D256" s="3">
        <f>IFERROR(__xludf.DUMMYFUNCTION("""COMPUTED_VALUE"""),46093.0)</f>
        <v>46093</v>
      </c>
      <c r="E256" s="2" t="str">
        <f>IFERROR(__xludf.DUMMYFUNCTION("""COMPUTED_VALUE"""),"Cercanía")</f>
        <v>Cercanía</v>
      </c>
      <c r="F256" s="2" t="str">
        <f>IFERROR(__xludf.DUMMYFUNCTION("""COMPUTED_VALUE"""),"Desarrollo Económico")</f>
        <v>Desarrollo Económico</v>
      </c>
      <c r="G256" s="2" t="str">
        <f>IFERROR(__xludf.DUMMYFUNCTION("""COMPUTED_VALUE"""),"Finalizada")</f>
        <v>Finalizada</v>
      </c>
      <c r="H256" s="4">
        <v>127335.0</v>
      </c>
      <c r="I256" s="4">
        <v>0.0</v>
      </c>
      <c r="J256" s="4">
        <v>505.0</v>
      </c>
      <c r="K256" s="4">
        <v>77842.0</v>
      </c>
      <c r="L256" s="5">
        <v>1.6358135710798798</v>
      </c>
      <c r="M256" s="5">
        <v>1.6358135710798798</v>
      </c>
      <c r="N256" s="4">
        <v>14442.0</v>
      </c>
      <c r="O256" s="4">
        <v>14118.0</v>
      </c>
      <c r="P256" s="4">
        <v>1951.0</v>
      </c>
      <c r="Q256" s="4">
        <v>29.0</v>
      </c>
      <c r="R256" s="4">
        <v>11.0</v>
      </c>
      <c r="S256" s="4">
        <v>11.0</v>
      </c>
      <c r="T256" s="4">
        <v>6.0</v>
      </c>
      <c r="U256" s="4">
        <v>6.0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4">
        <v>0.0</v>
      </c>
      <c r="AD256" s="4"/>
      <c r="AE256" s="6" t="s">
        <v>9</v>
      </c>
    </row>
    <row r="257" ht="16.5" customHeight="1">
      <c r="A257" s="2" t="str">
        <f>IFERROR(__xludf.DUMMYFUNCTION("""COMPUTED_VALUE"""),"2685-MARSEGVC")</f>
        <v>2685-MARSEGVC</v>
      </c>
      <c r="B257" s="2" t="str">
        <f>IFERROR(__xludf.DUMMYFUNCTION("""COMPUTED_VALUE"""),"RDV MINISTROS |  Horacio Gimenez 12/3 Comuna 4")</f>
        <v>RDV MINISTROS |  Horacio Gimenez 12/3 Comuna 4</v>
      </c>
      <c r="C257" s="3">
        <f>IFERROR(__xludf.DUMMYFUNCTION("""COMPUTED_VALUE"""),46086.0)</f>
        <v>46086</v>
      </c>
      <c r="D257" s="3">
        <f>IFERROR(__xludf.DUMMYFUNCTION("""COMPUTED_VALUE"""),46098.0)</f>
        <v>46098</v>
      </c>
      <c r="E257" s="2" t="str">
        <f>IFERROR(__xludf.DUMMYFUNCTION("""COMPUTED_VALUE"""),"Cercanía")</f>
        <v>Cercanía</v>
      </c>
      <c r="F257" s="2" t="str">
        <f>IFERROR(__xludf.DUMMYFUNCTION("""COMPUTED_VALUE"""),"Seguridad")</f>
        <v>Seguridad</v>
      </c>
      <c r="G257" s="2" t="str">
        <f>IFERROR(__xludf.DUMMYFUNCTION("""COMPUTED_VALUE"""),"Finalizada")</f>
        <v>Finalizada</v>
      </c>
      <c r="H257" s="4">
        <v>21659.0</v>
      </c>
      <c r="I257" s="4">
        <v>0.0</v>
      </c>
      <c r="J257" s="4">
        <v>165.0</v>
      </c>
      <c r="K257" s="4">
        <v>19341.0</v>
      </c>
      <c r="L257" s="5">
        <v>1.1198490253864846</v>
      </c>
      <c r="M257" s="5">
        <v>1.1198490253864846</v>
      </c>
      <c r="N257" s="4">
        <v>75381.0</v>
      </c>
      <c r="O257" s="4">
        <v>74171.0</v>
      </c>
      <c r="P257" s="4">
        <v>11750.0</v>
      </c>
      <c r="Q257" s="4">
        <v>252.0</v>
      </c>
      <c r="R257" s="4">
        <v>140.0</v>
      </c>
      <c r="S257" s="4">
        <v>140.0</v>
      </c>
      <c r="T257" s="4">
        <v>42.0</v>
      </c>
      <c r="U257" s="4">
        <v>42.0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4">
        <v>0.0</v>
      </c>
      <c r="AD257" s="4"/>
      <c r="AE257" s="6" t="s">
        <v>9</v>
      </c>
    </row>
    <row r="258" ht="16.5" customHeight="1">
      <c r="A258" s="2" t="str">
        <f>IFERROR(__xludf.DUMMYFUNCTION("""COMPUTED_VALUE"""),"2686-MARSEGVC")</f>
        <v>2686-MARSEGVC</v>
      </c>
      <c r="B258" s="2" t="str">
        <f>IFERROR(__xludf.DUMMYFUNCTION("""COMPUTED_VALUE"""),"RDV MINISTROS |  Francisco Quintana 12/3 Comuna 5")</f>
        <v>RDV MINISTROS |  Francisco Quintana 12/3 Comuna 5</v>
      </c>
      <c r="C258" s="3">
        <f>IFERROR(__xludf.DUMMYFUNCTION("""COMPUTED_VALUE"""),46086.0)</f>
        <v>46086</v>
      </c>
      <c r="D258" s="3">
        <f>IFERROR(__xludf.DUMMYFUNCTION("""COMPUTED_VALUE"""),46094.0)</f>
        <v>46094</v>
      </c>
      <c r="E258" s="2" t="str">
        <f>IFERROR(__xludf.DUMMYFUNCTION("""COMPUTED_VALUE"""),"Cercanía")</f>
        <v>Cercanía</v>
      </c>
      <c r="F258" s="2" t="str">
        <f>IFERROR(__xludf.DUMMYFUNCTION("""COMPUTED_VALUE"""),"Seguridad")</f>
        <v>Seguridad</v>
      </c>
      <c r="G258" s="2" t="str">
        <f>IFERROR(__xludf.DUMMYFUNCTION("""COMPUTED_VALUE"""),"Finalizada")</f>
        <v>Finalizada</v>
      </c>
      <c r="H258" s="4">
        <v>277040.0</v>
      </c>
      <c r="I258" s="4">
        <v>0.0</v>
      </c>
      <c r="J258" s="4">
        <v>373.0</v>
      </c>
      <c r="K258" s="4">
        <v>204168.0</v>
      </c>
      <c r="L258" s="5">
        <v>1.3569217507150975</v>
      </c>
      <c r="M258" s="5">
        <v>1.3569217507150975</v>
      </c>
      <c r="N258" s="4">
        <v>81702.0</v>
      </c>
      <c r="O258" s="4">
        <v>80926.0</v>
      </c>
      <c r="P258" s="4">
        <v>12378.0</v>
      </c>
      <c r="Q258" s="4">
        <v>202.0</v>
      </c>
      <c r="R258" s="4">
        <v>93.0</v>
      </c>
      <c r="S258" s="4">
        <v>93.0</v>
      </c>
      <c r="T258" s="4">
        <v>24.0</v>
      </c>
      <c r="U258" s="4">
        <v>22.0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0.0</v>
      </c>
      <c r="AC258" s="4">
        <v>0.0</v>
      </c>
      <c r="AD258" s="4"/>
      <c r="AE258" s="6" t="s">
        <v>9</v>
      </c>
    </row>
    <row r="259" ht="16.5" customHeight="1">
      <c r="A259" s="2" t="str">
        <f>IFERROR(__xludf.DUMMYFUNCTION("""COMPUTED_VALUE"""),"2687-MARSEGVC")</f>
        <v>2687-MARSEGVC</v>
      </c>
      <c r="B259" s="2" t="str">
        <f>IFERROR(__xludf.DUMMYFUNCTION("""COMPUTED_VALUE"""),"RDV MINISTROS |  Ruth Landerrche 12/3 Comuna 6")</f>
        <v>RDV MINISTROS |  Ruth Landerrche 12/3 Comuna 6</v>
      </c>
      <c r="C259" s="3">
        <f>IFERROR(__xludf.DUMMYFUNCTION("""COMPUTED_VALUE"""),46086.0)</f>
        <v>46086</v>
      </c>
      <c r="D259" s="3">
        <f>IFERROR(__xludf.DUMMYFUNCTION("""COMPUTED_VALUE"""),46098.0)</f>
        <v>46098</v>
      </c>
      <c r="E259" s="2" t="str">
        <f>IFERROR(__xludf.DUMMYFUNCTION("""COMPUTED_VALUE"""),"Cercanía")</f>
        <v>Cercanía</v>
      </c>
      <c r="F259" s="2" t="str">
        <f>IFERROR(__xludf.DUMMYFUNCTION("""COMPUTED_VALUE"""),"Seguridad")</f>
        <v>Seguridad</v>
      </c>
      <c r="G259" s="2" t="str">
        <f>IFERROR(__xludf.DUMMYFUNCTION("""COMPUTED_VALUE"""),"Finalizada")</f>
        <v>Finalizada</v>
      </c>
      <c r="H259" s="4">
        <v>121640.0</v>
      </c>
      <c r="I259" s="4">
        <v>0.0</v>
      </c>
      <c r="J259" s="4">
        <v>403.0</v>
      </c>
      <c r="K259" s="4">
        <v>81434.0</v>
      </c>
      <c r="L259" s="5">
        <v>1.4937249797381928</v>
      </c>
      <c r="M259" s="5">
        <v>1.4937249797381928</v>
      </c>
      <c r="N259" s="4">
        <v>69894.0</v>
      </c>
      <c r="O259" s="4">
        <v>69199.0</v>
      </c>
      <c r="P259" s="4">
        <v>21868.0</v>
      </c>
      <c r="Q259" s="4">
        <v>259.0</v>
      </c>
      <c r="R259" s="4">
        <v>128.0</v>
      </c>
      <c r="S259" s="4">
        <v>128.0</v>
      </c>
      <c r="T259" s="4">
        <v>34.0</v>
      </c>
      <c r="U259" s="4">
        <v>32.0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  <c r="AD259" s="4"/>
      <c r="AE259" s="6" t="s">
        <v>9</v>
      </c>
    </row>
    <row r="260" ht="16.5" customHeight="1">
      <c r="A260" s="2" t="str">
        <f>IFERROR(__xludf.DUMMYFUNCTION("""COMPUTED_VALUE"""),"2688-MARSEGVC")</f>
        <v>2688-MARSEGVC</v>
      </c>
      <c r="B260" s="2" t="str">
        <f>IFERROR(__xludf.DUMMYFUNCTION("""COMPUTED_VALUE"""),"RDV MINISTROS |  Maximiliano Piñeiro 12/3 Comuna 7")</f>
        <v>RDV MINISTROS |  Maximiliano Piñeiro 12/3 Comuna 7</v>
      </c>
      <c r="C260" s="3">
        <f>IFERROR(__xludf.DUMMYFUNCTION("""COMPUTED_VALUE"""),46086.0)</f>
        <v>46086</v>
      </c>
      <c r="D260" s="3">
        <f>IFERROR(__xludf.DUMMYFUNCTION("""COMPUTED_VALUE"""),46098.0)</f>
        <v>46098</v>
      </c>
      <c r="E260" s="2" t="str">
        <f>IFERROR(__xludf.DUMMYFUNCTION("""COMPUTED_VALUE"""),"Cercanía")</f>
        <v>Cercanía</v>
      </c>
      <c r="F260" s="2" t="str">
        <f>IFERROR(__xludf.DUMMYFUNCTION("""COMPUTED_VALUE"""),"Seguridad")</f>
        <v>Seguridad</v>
      </c>
      <c r="G260" s="2" t="str">
        <f>IFERROR(__xludf.DUMMYFUNCTION("""COMPUTED_VALUE"""),"Finalizada")</f>
        <v>Finalizada</v>
      </c>
      <c r="H260" s="4">
        <v>106819.0</v>
      </c>
      <c r="I260" s="4">
        <v>0.0</v>
      </c>
      <c r="J260" s="4">
        <v>390.0</v>
      </c>
      <c r="K260" s="4">
        <v>69821.0</v>
      </c>
      <c r="L260" s="5">
        <v>1.5298978817261282</v>
      </c>
      <c r="M260" s="5">
        <v>1.5298978817261282</v>
      </c>
      <c r="N260" s="4">
        <v>378.0</v>
      </c>
      <c r="O260" s="4">
        <v>376.0</v>
      </c>
      <c r="P260" s="4">
        <v>182.0</v>
      </c>
      <c r="Q260" s="4">
        <v>3.0</v>
      </c>
      <c r="R260" s="4">
        <v>146.0</v>
      </c>
      <c r="S260" s="4">
        <v>146.0</v>
      </c>
      <c r="T260" s="4">
        <v>49.0</v>
      </c>
      <c r="U260" s="4">
        <v>46.0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/>
      <c r="AE260" s="6" t="s">
        <v>9</v>
      </c>
    </row>
    <row r="261" ht="16.5" customHeight="1">
      <c r="A261" s="2" t="str">
        <f>IFERROR(__xludf.DUMMYFUNCTION("""COMPUTED_VALUE"""),"2689-MARSALVC")</f>
        <v>2689-MARSALVC</v>
      </c>
      <c r="B261" s="2" t="str">
        <f>IFERROR(__xludf.DUMMYFUNCTION("""COMPUTED_VALUE"""),"RDV Ministros | Fernán Quirós - 13/03")</f>
        <v>RDV Ministros | Fernán Quirós - 13/03</v>
      </c>
      <c r="C261" s="3">
        <f>IFERROR(__xludf.DUMMYFUNCTION("""COMPUTED_VALUE"""),46087.0)</f>
        <v>46087</v>
      </c>
      <c r="D261" s="3">
        <f>IFERROR(__xludf.DUMMYFUNCTION("""COMPUTED_VALUE"""),46097.0)</f>
        <v>46097</v>
      </c>
      <c r="E261" s="2" t="str">
        <f>IFERROR(__xludf.DUMMYFUNCTION("""COMPUTED_VALUE"""),"Cercanía")</f>
        <v>Cercanía</v>
      </c>
      <c r="F261" s="2" t="str">
        <f>IFERROR(__xludf.DUMMYFUNCTION("""COMPUTED_VALUE"""),"Salud")</f>
        <v>Salud</v>
      </c>
      <c r="G261" s="2" t="str">
        <f>IFERROR(__xludf.DUMMYFUNCTION("""COMPUTED_VALUE"""),"Finalizada")</f>
        <v>Finalizada</v>
      </c>
      <c r="H261" s="4">
        <v>168389.0</v>
      </c>
      <c r="I261" s="4">
        <v>0.0</v>
      </c>
      <c r="J261" s="4">
        <v>575.0</v>
      </c>
      <c r="K261" s="4">
        <v>111857.0</v>
      </c>
      <c r="L261" s="5">
        <v>1.5053952814754552</v>
      </c>
      <c r="M261" s="5">
        <v>1.5053952814754552</v>
      </c>
      <c r="N261" s="4">
        <v>74803.0</v>
      </c>
      <c r="O261" s="4">
        <v>74021.0</v>
      </c>
      <c r="P261" s="4">
        <v>12210.0</v>
      </c>
      <c r="Q261" s="4">
        <v>313.0</v>
      </c>
      <c r="R261" s="4">
        <v>176.0</v>
      </c>
      <c r="S261" s="4">
        <v>176.0</v>
      </c>
      <c r="T261" s="4">
        <v>44.0</v>
      </c>
      <c r="U261" s="4">
        <v>43.0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/>
      <c r="AE261" s="6" t="s">
        <v>9</v>
      </c>
    </row>
    <row r="262" ht="16.5" customHeight="1">
      <c r="A262" s="2" t="str">
        <f>IFERROR(__xludf.DUMMYFUNCTION("""COMPUTED_VALUE"""),"2690-MARINFGC")</f>
        <v>2690-MARINFGC</v>
      </c>
      <c r="B262" s="2" t="str">
        <f>IFERROR(__xludf.DUMMYFUNCTION("""COMPUTED_VALUE"""),"Infraestructura I Obras M2: Trambus Marzo | conexión Nueva Pompeya con Aeroparque")</f>
        <v>Infraestructura I Obras M2: Trambus Marzo | conexión Nueva Pompeya con Aeroparque</v>
      </c>
      <c r="C262" s="3">
        <f>IFERROR(__xludf.DUMMYFUNCTION("""COMPUTED_VALUE"""),46086.0)</f>
        <v>46086</v>
      </c>
      <c r="D262" s="3">
        <f>IFERROR(__xludf.DUMMYFUNCTION("""COMPUTED_VALUE"""),46086.0)</f>
        <v>46086</v>
      </c>
      <c r="E262" s="2" t="str">
        <f>IFERROR(__xludf.DUMMYFUNCTION("""COMPUTED_VALUE"""),"Movilidad")</f>
        <v>Movilidad</v>
      </c>
      <c r="F262" s="2" t="str">
        <f>IFERROR(__xludf.DUMMYFUNCTION("""COMPUTED_VALUE"""),"Infraestructura")</f>
        <v>Infraestructura</v>
      </c>
      <c r="G262" s="2" t="str">
        <f>IFERROR(__xludf.DUMMYFUNCTION("""COMPUTED_VALUE"""),"Finalizada")</f>
        <v>Finalizada</v>
      </c>
      <c r="H262" s="4">
        <v>0.0</v>
      </c>
      <c r="I262" s="4">
        <v>0.0</v>
      </c>
      <c r="J262" s="4">
        <v>0.0</v>
      </c>
      <c r="K262" s="4">
        <v>0.0</v>
      </c>
      <c r="L262" s="5">
        <v>0.0</v>
      </c>
      <c r="M262" s="5">
        <v>0.0</v>
      </c>
      <c r="N262" s="4">
        <v>16722.0</v>
      </c>
      <c r="O262" s="4">
        <v>16512.0</v>
      </c>
      <c r="P262" s="4">
        <v>5901.0</v>
      </c>
      <c r="Q262" s="4">
        <v>739.0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 t="s">
        <v>8</v>
      </c>
      <c r="AE262" s="6" t="s">
        <v>9</v>
      </c>
    </row>
    <row r="263" ht="16.5" customHeight="1">
      <c r="A263" s="2" t="str">
        <f>IFERROR(__xludf.DUMMYFUNCTION("""COMPUTED_VALUE"""),"2692-MARJDGAG")</f>
        <v>2692-MARJDGAG</v>
      </c>
      <c r="B263" s="2" t="str">
        <f>IFERROR(__xludf.DUMMYFUNCTION("""COMPUTED_VALUE"""),"RDV JM 11/03 PARQUE AVELLANEDA")</f>
        <v>RDV JM 11/03 PARQUE AVELLANEDA</v>
      </c>
      <c r="C263" s="3">
        <f>IFERROR(__xludf.DUMMYFUNCTION("""COMPUTED_VALUE"""),46087.0)</f>
        <v>46087</v>
      </c>
      <c r="D263" s="3">
        <f>IFERROR(__xludf.DUMMYFUNCTION("""COMPUTED_VALUE"""),46093.0)</f>
        <v>46093</v>
      </c>
      <c r="E263" s="2" t="str">
        <f>IFERROR(__xludf.DUMMYFUNCTION("""COMPUTED_VALUE"""),"Cercanía")</f>
        <v>Cercanía</v>
      </c>
      <c r="F263" s="2" t="str">
        <f>IFERROR(__xludf.DUMMYFUNCTION("""COMPUTED_VALUE"""),"Jefatura de Gobierno")</f>
        <v>Jefatura de Gobierno</v>
      </c>
      <c r="G263" s="2" t="str">
        <f>IFERROR(__xludf.DUMMYFUNCTION("""COMPUTED_VALUE"""),"Finalizada")</f>
        <v>Finalizada</v>
      </c>
      <c r="H263" s="4">
        <v>530146.0</v>
      </c>
      <c r="I263" s="4">
        <v>159994.0</v>
      </c>
      <c r="J263" s="4">
        <v>5342.0</v>
      </c>
      <c r="K263" s="4">
        <v>12344.0</v>
      </c>
      <c r="L263" s="5">
        <v>14.369572261827608</v>
      </c>
      <c r="M263" s="5">
        <v>42.94766688269605</v>
      </c>
      <c r="N263" s="4">
        <v>20539.0</v>
      </c>
      <c r="O263" s="4">
        <v>20212.0</v>
      </c>
      <c r="P263" s="4">
        <v>3686.0</v>
      </c>
      <c r="Q263" s="4">
        <v>152.0</v>
      </c>
      <c r="R263" s="4">
        <v>56.0</v>
      </c>
      <c r="S263" s="4">
        <v>56.0</v>
      </c>
      <c r="T263" s="4">
        <v>26.0</v>
      </c>
      <c r="U263" s="4">
        <v>23.0</v>
      </c>
      <c r="V263" s="4">
        <v>19604.0</v>
      </c>
      <c r="W263" s="4">
        <v>16525.0</v>
      </c>
      <c r="X263" s="4">
        <v>14357.0</v>
      </c>
      <c r="Y263" s="4">
        <v>6963.0</v>
      </c>
      <c r="Z263" s="4">
        <v>56.0</v>
      </c>
      <c r="AA263" s="4">
        <v>0.0</v>
      </c>
      <c r="AB263" s="4">
        <v>0.0</v>
      </c>
      <c r="AC263" s="4">
        <v>0.0</v>
      </c>
      <c r="AD263" s="4"/>
      <c r="AE263" s="6" t="s">
        <v>9</v>
      </c>
    </row>
    <row r="264" ht="16.5" customHeight="1">
      <c r="A264" s="2" t="str">
        <f>IFERROR(__xludf.DUMMYFUNCTION("""COMPUTED_VALUE"""),"2693-MARSALGC")</f>
        <v>2693-MARSALGC</v>
      </c>
      <c r="B264" s="2" t="str">
        <f>IFERROR(__xludf.DUMMYFUNCTION("""COMPUTED_VALUE""")," SIGEHOS - Envío Medicación e Insumos (MEI)")</f>
        <v> SIGEHOS - Envío Medicación e Insumos (MEI)</v>
      </c>
      <c r="C264" s="3">
        <f>IFERROR(__xludf.DUMMYFUNCTION("""COMPUTED_VALUE"""),46093.0)</f>
        <v>46093</v>
      </c>
      <c r="D264" s="3">
        <f>IFERROR(__xludf.DUMMYFUNCTION("""COMPUTED_VALUE"""),46093.0)</f>
        <v>46093</v>
      </c>
      <c r="E264" s="2" t="str">
        <f>IFERROR(__xludf.DUMMYFUNCTION("""COMPUTED_VALUE"""),"Cuidado")</f>
        <v>Cuidado</v>
      </c>
      <c r="F264" s="2" t="str">
        <f>IFERROR(__xludf.DUMMYFUNCTION("""COMPUTED_VALUE"""),"Salud")</f>
        <v>Salud</v>
      </c>
      <c r="G264" s="2" t="str">
        <f>IFERROR(__xludf.DUMMYFUNCTION("""COMPUTED_VALUE"""),"Finalizada")</f>
        <v>Finalizada</v>
      </c>
      <c r="H264" s="4">
        <v>0.0</v>
      </c>
      <c r="I264" s="4">
        <v>0.0</v>
      </c>
      <c r="J264" s="4">
        <v>0.0</v>
      </c>
      <c r="K264" s="4">
        <v>0.0</v>
      </c>
      <c r="L264" s="5">
        <v>0.0</v>
      </c>
      <c r="M264" s="5">
        <v>0.0</v>
      </c>
      <c r="N264" s="4">
        <v>224.0</v>
      </c>
      <c r="O264" s="4">
        <v>223.0</v>
      </c>
      <c r="P264" s="4">
        <v>105.0</v>
      </c>
      <c r="Q264" s="4">
        <v>38.0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 t="s">
        <v>8</v>
      </c>
      <c r="AE264" s="6" t="s">
        <v>9</v>
      </c>
    </row>
    <row r="265" ht="16.5" customHeight="1">
      <c r="A265" s="2" t="str">
        <f>IFERROR(__xludf.DUMMYFUNCTION("""COMPUTED_VALUE"""),"2695-MARPCCVC")</f>
        <v>2695-MARPCCVC</v>
      </c>
      <c r="B265" s="2" t="str">
        <f>IFERROR(__xludf.DUMMYFUNCTION("""COMPUTED_VALUE"""),"PC Marzo | Verano en la Ciudad Pauta")</f>
        <v>PC Marzo | Verano en la Ciudad Pauta</v>
      </c>
      <c r="C265" s="3">
        <f>IFERROR(__xludf.DUMMYFUNCTION("""COMPUTED_VALUE"""),46090.0)</f>
        <v>46090</v>
      </c>
      <c r="D265" s="3">
        <f>IFERROR(__xludf.DUMMYFUNCTION("""COMPUTED_VALUE"""),46096.0)</f>
        <v>46096</v>
      </c>
      <c r="E265" s="2" t="str">
        <f>IFERROR(__xludf.DUMMYFUNCTION("""COMPUTED_VALUE"""),"Cercanía")</f>
        <v>Cercanía</v>
      </c>
      <c r="F265" s="2" t="str">
        <f>IFERROR(__xludf.DUMMYFUNCTION("""COMPUTED_VALUE"""),"Cercanía y PC")</f>
        <v>Cercanía y PC</v>
      </c>
      <c r="G265" s="2" t="str">
        <f>IFERROR(__xludf.DUMMYFUNCTION("""COMPUTED_VALUE"""),"Finalizada")</f>
        <v>Finalizada</v>
      </c>
      <c r="H265" s="4">
        <v>693112.0</v>
      </c>
      <c r="I265" s="4">
        <v>25124.0</v>
      </c>
      <c r="J265" s="4">
        <v>212.0</v>
      </c>
      <c r="K265" s="4">
        <v>228104.0</v>
      </c>
      <c r="L265" s="5">
        <v>3.0385788938378986</v>
      </c>
      <c r="M265" s="5">
        <v>3.0385788938378986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/>
      <c r="AE265" s="4" t="s">
        <v>8</v>
      </c>
    </row>
    <row r="266" ht="16.5" customHeight="1">
      <c r="A266" s="2" t="str">
        <f>IFERROR(__xludf.DUMMYFUNCTION("""COMPUTED_VALUE"""),"2696-MARINFGC")</f>
        <v>2696-MARINFGC</v>
      </c>
      <c r="B266" s="2" t="str">
        <f>IFERROR(__xludf.DUMMYFUNCTION("""COMPUTED_VALUE"""),"INFRAESTRUCTURA I Cortes por Circuito Callejero TC2000")</f>
        <v>INFRAESTRUCTURA I Cortes por Circuito Callejero TC2000</v>
      </c>
      <c r="C266" s="3">
        <f>IFERROR(__xludf.DUMMYFUNCTION("""COMPUTED_VALUE"""),46087.0)</f>
        <v>46087</v>
      </c>
      <c r="D266" s="3">
        <f>IFERROR(__xludf.DUMMYFUNCTION("""COMPUTED_VALUE"""),46097.0)</f>
        <v>46097</v>
      </c>
      <c r="E266" s="2" t="str">
        <f>IFERROR(__xludf.DUMMYFUNCTION("""COMPUTED_VALUE"""),"Movilidad")</f>
        <v>Movilidad</v>
      </c>
      <c r="F266" s="2" t="str">
        <f>IFERROR(__xludf.DUMMYFUNCTION("""COMPUTED_VALUE"""),"Infraestructura")</f>
        <v>Infraestructura</v>
      </c>
      <c r="G266" s="2" t="str">
        <f>IFERROR(__xludf.DUMMYFUNCTION("""COMPUTED_VALUE"""),"Finalizada")</f>
        <v>Finalizada</v>
      </c>
      <c r="H266" s="4">
        <v>77829.0</v>
      </c>
      <c r="I266" s="4">
        <v>0.0</v>
      </c>
      <c r="J266" s="4">
        <v>654.0</v>
      </c>
      <c r="K266" s="4">
        <v>48020.0</v>
      </c>
      <c r="L266" s="5">
        <v>1.62076218242399</v>
      </c>
      <c r="M266" s="5">
        <v>1.62076218242399</v>
      </c>
      <c r="N266" s="4">
        <v>58816.0</v>
      </c>
      <c r="O266" s="4">
        <v>57879.0</v>
      </c>
      <c r="P266" s="4">
        <v>14357.0</v>
      </c>
      <c r="Q266" s="4">
        <v>465.0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/>
      <c r="AE266" s="6" t="s">
        <v>9</v>
      </c>
    </row>
    <row r="267" ht="16.5" customHeight="1">
      <c r="A267" s="2" t="str">
        <f>IFERROR(__xludf.DUMMYFUNCTION("""COMPUTED_VALUE"""),"2697-MARJDGAG")</f>
        <v>2697-MARJDGAG</v>
      </c>
      <c r="B267" s="2" t="str">
        <f>IFERROR(__xludf.DUMMYFUNCTION("""COMPUTED_VALUE"""),"RDV JM TEMÁTICA | TE CUENTO BS AS  14/03 SEGURIDAD EJE OESTE")</f>
        <v>RDV JM TEMÁTICA | TE CUENTO BS AS  14/03 SEGURIDAD EJE OESTE</v>
      </c>
      <c r="C267" s="3">
        <f>IFERROR(__xludf.DUMMYFUNCTION("""COMPUTED_VALUE"""),46090.0)</f>
        <v>46090</v>
      </c>
      <c r="D267" s="3">
        <f>IFERROR(__xludf.DUMMYFUNCTION("""COMPUTED_VALUE"""),46122.0)</f>
        <v>46122</v>
      </c>
      <c r="E267" s="2" t="str">
        <f>IFERROR(__xludf.DUMMYFUNCTION("""COMPUTED_VALUE"""),"Cercanía")</f>
        <v>Cercanía</v>
      </c>
      <c r="F267" s="2" t="str">
        <f>IFERROR(__xludf.DUMMYFUNCTION("""COMPUTED_VALUE"""),"Jefatura de Gobierno")</f>
        <v>Jefatura de Gobierno</v>
      </c>
      <c r="G267" s="2" t="str">
        <f>IFERROR(__xludf.DUMMYFUNCTION("""COMPUTED_VALUE"""),"Finalizada")</f>
        <v>Finalizada</v>
      </c>
      <c r="H267" s="4">
        <v>1684620.0</v>
      </c>
      <c r="I267" s="4">
        <v>242148.0</v>
      </c>
      <c r="J267" s="4">
        <v>13172.0</v>
      </c>
      <c r="K267" s="4">
        <v>261584.0</v>
      </c>
      <c r="L267" s="5">
        <v>1.435332436234632</v>
      </c>
      <c r="M267" s="5">
        <v>6.440072787326442</v>
      </c>
      <c r="N267" s="4">
        <v>95567.0</v>
      </c>
      <c r="O267" s="4">
        <v>94454.0</v>
      </c>
      <c r="P267" s="4">
        <v>19610.0</v>
      </c>
      <c r="Q267" s="4">
        <v>478.0</v>
      </c>
      <c r="R267" s="4">
        <v>12882.0</v>
      </c>
      <c r="S267" s="4">
        <v>11165.0</v>
      </c>
      <c r="T267" s="4">
        <v>2541.0</v>
      </c>
      <c r="U267" s="4">
        <v>1974.0</v>
      </c>
      <c r="V267" s="4">
        <v>57984.0</v>
      </c>
      <c r="W267" s="4">
        <v>57984.0</v>
      </c>
      <c r="X267" s="4">
        <v>52424.0</v>
      </c>
      <c r="Y267" s="4">
        <v>17770.0</v>
      </c>
      <c r="Z267" s="4">
        <v>59.0</v>
      </c>
      <c r="AA267" s="4">
        <v>0.0</v>
      </c>
      <c r="AB267" s="4">
        <v>0.0</v>
      </c>
      <c r="AC267" s="4">
        <v>0.0</v>
      </c>
      <c r="AD267" s="4"/>
      <c r="AE267" s="6" t="s">
        <v>9</v>
      </c>
    </row>
    <row r="268" ht="16.5" customHeight="1">
      <c r="A268" s="2" t="str">
        <f>IFERROR(__xludf.DUMMYFUNCTION("""COMPUTED_VALUE"""),"2698-MARSEGGJ")</f>
        <v>2698-MARSEGGJ</v>
      </c>
      <c r="B268" s="2" t="str">
        <f>IFERROR(__xludf.DUMMYFUNCTION("""COMPUTED_VALUE"""),"Desalojo en San Cristóbal")</f>
        <v>Desalojo en San Cristóbal</v>
      </c>
      <c r="C268" s="3">
        <f>IFERROR(__xludf.DUMMYFUNCTION("""COMPUTED_VALUE"""),46097.0)</f>
        <v>46097</v>
      </c>
      <c r="D268" s="3">
        <f>IFERROR(__xludf.DUMMYFUNCTION("""COMPUTED_VALUE"""),46122.0)</f>
        <v>46122</v>
      </c>
      <c r="E268" s="2" t="str">
        <f>IFERROR(__xludf.DUMMYFUNCTION("""COMPUTED_VALUE"""),"M2")</f>
        <v>M2</v>
      </c>
      <c r="F268" s="2" t="str">
        <f>IFERROR(__xludf.DUMMYFUNCTION("""COMPUTED_VALUE"""),"Seguridad")</f>
        <v>Seguridad</v>
      </c>
      <c r="G268" s="2" t="str">
        <f>IFERROR(__xludf.DUMMYFUNCTION("""COMPUTED_VALUE"""),"Finalizada")</f>
        <v>Finalizada</v>
      </c>
      <c r="H268" s="4">
        <v>3452044.0</v>
      </c>
      <c r="I268" s="4">
        <v>2138455.0</v>
      </c>
      <c r="J268" s="4">
        <v>2815.0</v>
      </c>
      <c r="K268" s="4">
        <v>179661.0</v>
      </c>
      <c r="L268" s="5">
        <v>4.216112567557789</v>
      </c>
      <c r="M268" s="5">
        <v>19.214208982472545</v>
      </c>
      <c r="N268" s="4">
        <v>178831.0</v>
      </c>
      <c r="O268" s="4">
        <v>176853.0</v>
      </c>
      <c r="P268" s="4">
        <v>39348.0</v>
      </c>
      <c r="Q268" s="4">
        <v>545.0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/>
      <c r="AE268" s="6" t="s">
        <v>9</v>
      </c>
    </row>
    <row r="269" ht="16.5" customHeight="1">
      <c r="A269" s="2" t="str">
        <f>IFERROR(__xludf.DUMMYFUNCTION("""COMPUTED_VALUE"""),"2699-MARTURGC")</f>
        <v>2699-MARTURGC</v>
      </c>
      <c r="B269" s="2" t="str">
        <f>IFERROR(__xludf.DUMMYFUNCTION("""COMPUTED_VALUE"""),"Sondeo Hotelero por fin de semana largo 16/3")</f>
        <v>Sondeo Hotelero por fin de semana largo 16/3</v>
      </c>
      <c r="C269" s="3">
        <f>IFERROR(__xludf.DUMMYFUNCTION("""COMPUTED_VALUE"""),46097.0)</f>
        <v>46097</v>
      </c>
      <c r="D269" s="3">
        <f>IFERROR(__xludf.DUMMYFUNCTION("""COMPUTED_VALUE"""),46097.0)</f>
        <v>46097</v>
      </c>
      <c r="E269" s="2" t="str">
        <f>IFERROR(__xludf.DUMMYFUNCTION("""COMPUTED_VALUE"""),"Ciudad Atractiva")</f>
        <v>Ciudad Atractiva</v>
      </c>
      <c r="F269" s="2" t="str">
        <f>IFERROR(__xludf.DUMMYFUNCTION("""COMPUTED_VALUE"""),"Turismo")</f>
        <v>Turismo</v>
      </c>
      <c r="G269" s="2" t="str">
        <f>IFERROR(__xludf.DUMMYFUNCTION("""COMPUTED_VALUE"""),"Finalizada")</f>
        <v>Finalizada</v>
      </c>
      <c r="H269" s="4">
        <v>0.0</v>
      </c>
      <c r="I269" s="4">
        <v>0.0</v>
      </c>
      <c r="J269" s="4">
        <v>0.0</v>
      </c>
      <c r="K269" s="4">
        <v>0.0</v>
      </c>
      <c r="L269" s="5">
        <v>0.0</v>
      </c>
      <c r="M269" s="5">
        <v>0.0</v>
      </c>
      <c r="N269" s="4">
        <v>372.0</v>
      </c>
      <c r="O269" s="4">
        <v>362.0</v>
      </c>
      <c r="P269" s="4">
        <v>175.0</v>
      </c>
      <c r="Q269" s="4">
        <v>61.0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 t="s">
        <v>8</v>
      </c>
      <c r="AE269" s="6" t="s">
        <v>9</v>
      </c>
    </row>
    <row r="270" ht="16.5" customHeight="1">
      <c r="A270" s="2" t="str">
        <f>IFERROR(__xludf.DUMMYFUNCTION("""COMPUTED_VALUE"""),"2700-MARINFGC")</f>
        <v>2700-MARINFGC</v>
      </c>
      <c r="B270" s="2" t="str">
        <f>IFERROR(__xludf.DUMMYFUNCTION("""COMPUTED_VALUE"""),"Infraestructura | Cortes y desvíos en el Campo Argentino de Polo por evento masivo")</f>
        <v>Infraestructura | Cortes y desvíos en el Campo Argentino de Polo por evento masivo</v>
      </c>
      <c r="C270" s="3">
        <f>IFERROR(__xludf.DUMMYFUNCTION("""COMPUTED_VALUE"""),46087.0)</f>
        <v>46087</v>
      </c>
      <c r="D270" s="3">
        <f>IFERROR(__xludf.DUMMYFUNCTION("""COMPUTED_VALUE"""),46089.0)</f>
        <v>46089</v>
      </c>
      <c r="E270" s="2" t="str">
        <f>IFERROR(__xludf.DUMMYFUNCTION("""COMPUTED_VALUE"""),"Movilidad")</f>
        <v>Movilidad</v>
      </c>
      <c r="F270" s="2" t="str">
        <f>IFERROR(__xludf.DUMMYFUNCTION("""COMPUTED_VALUE"""),"Infraestructura")</f>
        <v>Infraestructura</v>
      </c>
      <c r="G270" s="2" t="str">
        <f>IFERROR(__xludf.DUMMYFUNCTION("""COMPUTED_VALUE"""),"Finalizada")</f>
        <v>Finalizada</v>
      </c>
      <c r="H270" s="4">
        <v>288883.0</v>
      </c>
      <c r="I270" s="4">
        <v>0.0</v>
      </c>
      <c r="J270" s="4">
        <v>17.0</v>
      </c>
      <c r="K270" s="4">
        <v>251438.0</v>
      </c>
      <c r="L270" s="5">
        <v>1.1489233926455031</v>
      </c>
      <c r="M270" s="5">
        <v>1.1489233926455031</v>
      </c>
      <c r="N270" s="4">
        <v>120953.0</v>
      </c>
      <c r="O270" s="4">
        <v>119704.0</v>
      </c>
      <c r="P270" s="4">
        <v>48551.0</v>
      </c>
      <c r="Q270" s="4">
        <v>57.0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/>
      <c r="AE270" s="6" t="s">
        <v>9</v>
      </c>
    </row>
    <row r="271" ht="16.5" customHeight="1">
      <c r="A271" s="2" t="str">
        <f>IFERROR(__xludf.DUMMYFUNCTION("""COMPUTED_VALUE"""),"2701-MARJDGVC")</f>
        <v>2701-MARJDGVC</v>
      </c>
      <c r="B271" s="2" t="str">
        <f>IFERROR(__xludf.DUMMYFUNCTION("""COMPUTED_VALUE"""),"RDV MINISTROS | GABRIEL SÁNCHEZ ZINNY 10/3 VILLA RIACHUELO")</f>
        <v>RDV MINISTROS | GABRIEL SÁNCHEZ ZINNY 10/3 VILLA RIACHUELO</v>
      </c>
      <c r="C271" s="3">
        <f>IFERROR(__xludf.DUMMYFUNCTION("""COMPUTED_VALUE"""),46087.0)</f>
        <v>46087</v>
      </c>
      <c r="D271" s="3">
        <f>IFERROR(__xludf.DUMMYFUNCTION("""COMPUTED_VALUE"""),46092.0)</f>
        <v>46092</v>
      </c>
      <c r="E271" s="2" t="str">
        <f>IFERROR(__xludf.DUMMYFUNCTION("""COMPUTED_VALUE"""),"Cercanía")</f>
        <v>Cercanía</v>
      </c>
      <c r="F271" s="2" t="str">
        <f>IFERROR(__xludf.DUMMYFUNCTION("""COMPUTED_VALUE"""),"Jefatura de Gabinete")</f>
        <v>Jefatura de Gabinete</v>
      </c>
      <c r="G271" s="2" t="str">
        <f>IFERROR(__xludf.DUMMYFUNCTION("""COMPUTED_VALUE"""),"Finalizada")</f>
        <v>Finalizada</v>
      </c>
      <c r="H271" s="4">
        <v>30418.0</v>
      </c>
      <c r="I271" s="4">
        <v>0.0</v>
      </c>
      <c r="J271" s="4">
        <v>85.0</v>
      </c>
      <c r="K271" s="4">
        <v>23241.0</v>
      </c>
      <c r="L271" s="5">
        <v>1.3088077105115958</v>
      </c>
      <c r="M271" s="5">
        <v>1.3088077105115958</v>
      </c>
      <c r="N271" s="4">
        <v>6417.0</v>
      </c>
      <c r="O271" s="4">
        <v>6331.0</v>
      </c>
      <c r="P271" s="4">
        <v>949.0</v>
      </c>
      <c r="Q271" s="4">
        <v>44.0</v>
      </c>
      <c r="R271" s="4">
        <v>28.0</v>
      </c>
      <c r="S271" s="4">
        <v>28.0</v>
      </c>
      <c r="T271" s="4">
        <v>5.0</v>
      </c>
      <c r="U271" s="4">
        <v>5.0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/>
      <c r="AE271" s="6" t="s">
        <v>9</v>
      </c>
    </row>
    <row r="272" ht="16.5" customHeight="1">
      <c r="A272" s="2" t="str">
        <f>IFERROR(__xludf.DUMMYFUNCTION("""COMPUTED_VALUE"""),"2702-MARJDGVC")</f>
        <v>2702-MARJDGVC</v>
      </c>
      <c r="B272" s="2" t="str">
        <f>IFERROR(__xludf.DUMMYFUNCTION("""COMPUTED_VALUE"""),"RDV MINISTROS | GABRIEL SÁNCHEZ ZINNY 14/3 SAAVEDRA")</f>
        <v>RDV MINISTROS | GABRIEL SÁNCHEZ ZINNY 14/3 SAAVEDRA</v>
      </c>
      <c r="C272" s="3">
        <f>IFERROR(__xludf.DUMMYFUNCTION("""COMPUTED_VALUE"""),46087.0)</f>
        <v>46087</v>
      </c>
      <c r="D272" s="3">
        <f>IFERROR(__xludf.DUMMYFUNCTION("""COMPUTED_VALUE"""),46097.0)</f>
        <v>46097</v>
      </c>
      <c r="E272" s="2" t="str">
        <f>IFERROR(__xludf.DUMMYFUNCTION("""COMPUTED_VALUE"""),"Cercanía")</f>
        <v>Cercanía</v>
      </c>
      <c r="F272" s="2" t="str">
        <f>IFERROR(__xludf.DUMMYFUNCTION("""COMPUTED_VALUE"""),"Jefatura de Gabinete")</f>
        <v>Jefatura de Gabinete</v>
      </c>
      <c r="G272" s="2" t="str">
        <f>IFERROR(__xludf.DUMMYFUNCTION("""COMPUTED_VALUE"""),"Finalizada")</f>
        <v>Finalizada</v>
      </c>
      <c r="H272" s="4">
        <v>33873.0</v>
      </c>
      <c r="I272" s="4">
        <v>0.0</v>
      </c>
      <c r="J272" s="4">
        <v>166.0</v>
      </c>
      <c r="K272" s="4">
        <v>0.0</v>
      </c>
      <c r="L272" s="5">
        <v>0.0</v>
      </c>
      <c r="M272" s="5">
        <v>0.0</v>
      </c>
      <c r="N272" s="4">
        <v>20871.0</v>
      </c>
      <c r="O272" s="4">
        <v>20656.0</v>
      </c>
      <c r="P272" s="4">
        <v>4352.0</v>
      </c>
      <c r="Q272" s="4">
        <v>114.0</v>
      </c>
      <c r="R272" s="4">
        <v>51.0</v>
      </c>
      <c r="S272" s="4">
        <v>51.0</v>
      </c>
      <c r="T272" s="4">
        <v>21.0</v>
      </c>
      <c r="U272" s="4">
        <v>20.0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/>
      <c r="AE272" s="6" t="s">
        <v>9</v>
      </c>
    </row>
    <row r="273" ht="16.5" customHeight="1">
      <c r="A273" s="2" t="str">
        <f>IFERROR(__xludf.DUMMYFUNCTION("""COMPUTED_VALUE"""),"2703-MARJDGVC")</f>
        <v>2703-MARJDGVC</v>
      </c>
      <c r="B273" s="2" t="str">
        <f>IFERROR(__xludf.DUMMYFUNCTION("""COMPUTED_VALUE"""),"RDV MINISTROS | GABRIEL SÁNCHEZ ZINNY 13/3 SAN TELMO")</f>
        <v>RDV MINISTROS | GABRIEL SÁNCHEZ ZINNY 13/3 SAN TELMO</v>
      </c>
      <c r="C273" s="3">
        <f>IFERROR(__xludf.DUMMYFUNCTION("""COMPUTED_VALUE"""),46087.0)</f>
        <v>46087</v>
      </c>
      <c r="D273" s="3">
        <f>IFERROR(__xludf.DUMMYFUNCTION("""COMPUTED_VALUE"""),46098.0)</f>
        <v>46098</v>
      </c>
      <c r="E273" s="2" t="str">
        <f>IFERROR(__xludf.DUMMYFUNCTION("""COMPUTED_VALUE"""),"Cercanía")</f>
        <v>Cercanía</v>
      </c>
      <c r="F273" s="2" t="str">
        <f>IFERROR(__xludf.DUMMYFUNCTION("""COMPUTED_VALUE"""),"Jefatura de Gabinete")</f>
        <v>Jefatura de Gabinete</v>
      </c>
      <c r="G273" s="2" t="str">
        <f>IFERROR(__xludf.DUMMYFUNCTION("""COMPUTED_VALUE"""),"Finalizada")</f>
        <v>Finalizada</v>
      </c>
      <c r="H273" s="4">
        <v>16315.0</v>
      </c>
      <c r="I273" s="4">
        <v>0.0</v>
      </c>
      <c r="J273" s="4">
        <v>117.0</v>
      </c>
      <c r="K273" s="4">
        <v>0.0</v>
      </c>
      <c r="L273" s="5">
        <v>0.0</v>
      </c>
      <c r="M273" s="5">
        <v>0.0</v>
      </c>
      <c r="N273" s="4">
        <v>10380.0</v>
      </c>
      <c r="O273" s="4">
        <v>10237.0</v>
      </c>
      <c r="P273" s="4">
        <v>1981.0</v>
      </c>
      <c r="Q273" s="4">
        <v>98.0</v>
      </c>
      <c r="R273" s="4">
        <v>77.0</v>
      </c>
      <c r="S273" s="4">
        <v>77.0</v>
      </c>
      <c r="T273" s="4">
        <v>26.0</v>
      </c>
      <c r="U273" s="4">
        <v>25.0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/>
      <c r="AE273" s="6" t="s">
        <v>9</v>
      </c>
    </row>
    <row r="274" ht="16.5" customHeight="1">
      <c r="A274" s="2" t="str">
        <f>IFERROR(__xludf.DUMMYFUNCTION("""COMPUTED_VALUE"""),"2704-MAREPHGC")</f>
        <v>2704-MAREPHGC</v>
      </c>
      <c r="B274" s="2" t="str">
        <f>IFERROR(__xludf.DUMMYFUNCTION("""COMPUTED_VALUE"""),"CAMPAÑA GCBA | MEPHU | CD inicio de obras del Botánico")</f>
        <v>CAMPAÑA GCBA | MEPHU | CD inicio de obras del Botánico</v>
      </c>
      <c r="C274" s="3">
        <f>IFERROR(__xludf.DUMMYFUNCTION("""COMPUTED_VALUE"""),46092.0)</f>
        <v>46092</v>
      </c>
      <c r="D274" s="3">
        <f>IFERROR(__xludf.DUMMYFUNCTION("""COMPUTED_VALUE"""),46092.0)</f>
        <v>46092</v>
      </c>
      <c r="E274" s="2" t="str">
        <f>IFERROR(__xludf.DUMMYFUNCTION("""COMPUTED_VALUE"""),"M2")</f>
        <v>M2</v>
      </c>
      <c r="F274" s="2" t="str">
        <f>IFERROR(__xludf.DUMMYFUNCTION("""COMPUTED_VALUE"""),"Espacio Público e Higiene Urbana")</f>
        <v>Espacio Público e Higiene Urbana</v>
      </c>
      <c r="G274" s="2" t="str">
        <f>IFERROR(__xludf.DUMMYFUNCTION("""COMPUTED_VALUE"""),"Finalizada")</f>
        <v>Finalizada</v>
      </c>
      <c r="H274" s="4">
        <v>0.0</v>
      </c>
      <c r="I274" s="4">
        <v>0.0</v>
      </c>
      <c r="J274" s="4">
        <v>0.0</v>
      </c>
      <c r="K274" s="4">
        <v>0.0</v>
      </c>
      <c r="L274" s="5">
        <v>0.0</v>
      </c>
      <c r="M274" s="5">
        <v>0.0</v>
      </c>
      <c r="N274" s="4">
        <v>69274.0</v>
      </c>
      <c r="O274" s="4">
        <v>68729.0</v>
      </c>
      <c r="P274" s="4">
        <v>33551.0</v>
      </c>
      <c r="Q274" s="4">
        <v>634.0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 t="s">
        <v>8</v>
      </c>
      <c r="AE274" s="6" t="s">
        <v>9</v>
      </c>
    </row>
    <row r="275" ht="16.5" customHeight="1">
      <c r="A275" s="2" t="str">
        <f>IFERROR(__xludf.DUMMYFUNCTION("""COMPUTED_VALUE"""),"2705-MARHYFGC")</f>
        <v>2705-MARHYFGC</v>
      </c>
      <c r="B275" s="2" t="str">
        <f>IFERROR(__xludf.DUMMYFUNCTION("""COMPUTED_VALUE"""),"Agip - ABL")</f>
        <v>Agip - ABL</v>
      </c>
      <c r="C275" s="3">
        <f>IFERROR(__xludf.DUMMYFUNCTION("""COMPUTED_VALUE"""),46112.0)</f>
        <v>46112</v>
      </c>
      <c r="D275" s="3">
        <f>IFERROR(__xludf.DUMMYFUNCTION("""COMPUTED_VALUE"""),46173.0)</f>
        <v>46173</v>
      </c>
      <c r="E275" s="2" t="str">
        <f>IFERROR(__xludf.DUMMYFUNCTION("""COMPUTED_VALUE"""),"Reforma del Estado")</f>
        <v>Reforma del Estado</v>
      </c>
      <c r="F275" s="2" t="str">
        <f>IFERROR(__xludf.DUMMYFUNCTION("""COMPUTED_VALUE"""),"Hacienda y Finanzas")</f>
        <v>Hacienda y Finanzas</v>
      </c>
      <c r="G275" s="2" t="str">
        <f>IFERROR(__xludf.DUMMYFUNCTION("""COMPUTED_VALUE"""),"Finalizada")</f>
        <v>Finalizada</v>
      </c>
      <c r="H275" s="4">
        <v>2.8364238E7</v>
      </c>
      <c r="I275" s="4">
        <v>2429245.0</v>
      </c>
      <c r="J275" s="4">
        <v>415901.0</v>
      </c>
      <c r="K275" s="4">
        <v>2797543.0</v>
      </c>
      <c r="L275" s="5">
        <v>2.058953874882352</v>
      </c>
      <c r="M275" s="5">
        <v>10.138981956666976</v>
      </c>
      <c r="N275" s="4">
        <v>820663.0</v>
      </c>
      <c r="O275" s="4">
        <v>812768.0</v>
      </c>
      <c r="P275" s="4">
        <v>314666.0</v>
      </c>
      <c r="Q275" s="4">
        <v>13094.0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114104.0</v>
      </c>
      <c r="AB275" s="4">
        <v>106582.0</v>
      </c>
      <c r="AC275" s="4">
        <v>2976.0</v>
      </c>
      <c r="AD275" s="6" t="s">
        <v>53</v>
      </c>
      <c r="AE275" s="6" t="s">
        <v>9</v>
      </c>
    </row>
    <row r="276" ht="16.5" customHeight="1">
      <c r="A276" s="2" t="str">
        <f>IFERROR(__xludf.DUMMYFUNCTION("""COMPUTED_VALUE"""),"2706-MARINFGC")</f>
        <v>2706-MARINFGC</v>
      </c>
      <c r="B276" s="2" t="str">
        <f>IFERROR(__xludf.DUMMYFUNCTION("""COMPUTED_VALUE""")," Infraestructura I Cambio de sentido Caranday")</f>
        <v> Infraestructura I Cambio de sentido Caranday</v>
      </c>
      <c r="C276" s="3">
        <f>IFERROR(__xludf.DUMMYFUNCTION("""COMPUTED_VALUE"""),46098.0)</f>
        <v>46098</v>
      </c>
      <c r="D276" s="3">
        <f>IFERROR(__xludf.DUMMYFUNCTION("""COMPUTED_VALUE"""),46112.0)</f>
        <v>46112</v>
      </c>
      <c r="E276" s="2" t="str">
        <f>IFERROR(__xludf.DUMMYFUNCTION("""COMPUTED_VALUE"""),"Movilidad")</f>
        <v>Movilidad</v>
      </c>
      <c r="F276" s="2" t="str">
        <f>IFERROR(__xludf.DUMMYFUNCTION("""COMPUTED_VALUE"""),"Infraestructura")</f>
        <v>Infraestructura</v>
      </c>
      <c r="G276" s="2" t="str">
        <f>IFERROR(__xludf.DUMMYFUNCTION("""COMPUTED_VALUE"""),"Finalizada")</f>
        <v>Finalizada</v>
      </c>
      <c r="H276" s="4">
        <v>104689.0</v>
      </c>
      <c r="I276" s="4">
        <v>0.0</v>
      </c>
      <c r="J276" s="4">
        <v>123.0</v>
      </c>
      <c r="K276" s="4">
        <v>49852.0</v>
      </c>
      <c r="L276" s="5">
        <v>2.0999959881248493</v>
      </c>
      <c r="M276" s="5">
        <v>2.0999959881248493</v>
      </c>
      <c r="N276" s="4">
        <v>31197.0</v>
      </c>
      <c r="O276" s="4">
        <v>30916.0</v>
      </c>
      <c r="P276" s="4">
        <v>10327.0</v>
      </c>
      <c r="Q276" s="4">
        <v>159.0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/>
      <c r="AE276" s="6" t="s">
        <v>9</v>
      </c>
    </row>
    <row r="277" ht="16.5" customHeight="1">
      <c r="A277" s="2" t="str">
        <f>IFERROR(__xludf.DUMMYFUNCTION("""COMPUTED_VALUE"""),"2707-MARPCCVC")</f>
        <v>2707-MARPCCVC</v>
      </c>
      <c r="B277" s="2" t="str">
        <f>IFERROR(__xludf.DUMMYFUNCTION("""COMPUTED_VALUE"""),"Visita al taller Subte  H - Parque Patricios")</f>
        <v>Visita al taller Subte  H - Parque Patricios</v>
      </c>
      <c r="C277" s="3">
        <f>IFERROR(__xludf.DUMMYFUNCTION("""COMPUTED_VALUE"""),46094.0)</f>
        <v>46094</v>
      </c>
      <c r="D277" s="3">
        <f>IFERROR(__xludf.DUMMYFUNCTION("""COMPUTED_VALUE"""),46094.0)</f>
        <v>46094</v>
      </c>
      <c r="E277" s="2" t="str">
        <f>IFERROR(__xludf.DUMMYFUNCTION("""COMPUTED_VALUE"""),"Cercanía")</f>
        <v>Cercanía</v>
      </c>
      <c r="F277" s="2" t="str">
        <f>IFERROR(__xludf.DUMMYFUNCTION("""COMPUTED_VALUE"""),"Cercanía y PC")</f>
        <v>Cercanía y PC</v>
      </c>
      <c r="G277" s="2" t="str">
        <f>IFERROR(__xludf.DUMMYFUNCTION("""COMPUTED_VALUE"""),"Finalizada")</f>
        <v>Finalizada</v>
      </c>
      <c r="H277" s="4">
        <v>0.0</v>
      </c>
      <c r="I277" s="4">
        <v>0.0</v>
      </c>
      <c r="J277" s="4">
        <v>0.0</v>
      </c>
      <c r="K277" s="4">
        <v>0.0</v>
      </c>
      <c r="L277" s="5">
        <v>0.0</v>
      </c>
      <c r="M277" s="5">
        <v>0.0</v>
      </c>
      <c r="N277" s="4">
        <v>35111.0</v>
      </c>
      <c r="O277" s="4">
        <v>34667.0</v>
      </c>
      <c r="P277" s="4">
        <v>7451.0</v>
      </c>
      <c r="Q277" s="4">
        <v>256.0</v>
      </c>
      <c r="R277" s="4">
        <v>0.0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0.0</v>
      </c>
      <c r="AB277" s="4">
        <v>0.0</v>
      </c>
      <c r="AC277" s="4">
        <v>0.0</v>
      </c>
      <c r="AD277" s="4" t="s">
        <v>8</v>
      </c>
      <c r="AE277" s="6" t="s">
        <v>9</v>
      </c>
    </row>
    <row r="278" ht="16.5" customHeight="1">
      <c r="A278" s="2" t="str">
        <f>IFERROR(__xludf.DUMMYFUNCTION("""COMPUTED_VALUE"""),"2708-MARSALGC")</f>
        <v>2708-MARSALGC</v>
      </c>
      <c r="B278" s="2" t="str">
        <f>IFERROR(__xludf.DUMMYFUNCTION("""COMPUTED_VALUE"""),"Deploy GDE semana del 9/3")</f>
        <v>Deploy GDE semana del 9/3</v>
      </c>
      <c r="C278" s="3">
        <f>IFERROR(__xludf.DUMMYFUNCTION("""COMPUTED_VALUE"""),46094.0)</f>
        <v>46094</v>
      </c>
      <c r="D278" s="3">
        <f>IFERROR(__xludf.DUMMYFUNCTION("""COMPUTED_VALUE"""),46094.0)</f>
        <v>46094</v>
      </c>
      <c r="E278" s="2" t="str">
        <f>IFERROR(__xludf.DUMMYFUNCTION("""COMPUTED_VALUE"""),"Cuidado")</f>
        <v>Cuidado</v>
      </c>
      <c r="F278" s="2" t="str">
        <f>IFERROR(__xludf.DUMMYFUNCTION("""COMPUTED_VALUE"""),"Salud")</f>
        <v>Salud</v>
      </c>
      <c r="G278" s="2" t="str">
        <f>IFERROR(__xludf.DUMMYFUNCTION("""COMPUTED_VALUE"""),"Finalizada")</f>
        <v>Finalizada</v>
      </c>
      <c r="H278" s="4">
        <v>0.0</v>
      </c>
      <c r="I278" s="4">
        <v>0.0</v>
      </c>
      <c r="J278" s="4">
        <v>0.0</v>
      </c>
      <c r="K278" s="4">
        <v>0.0</v>
      </c>
      <c r="L278" s="5">
        <v>0.0</v>
      </c>
      <c r="M278" s="5">
        <v>0.0</v>
      </c>
      <c r="N278" s="4">
        <v>7007.0</v>
      </c>
      <c r="O278" s="4">
        <v>6985.0</v>
      </c>
      <c r="P278" s="4">
        <v>2556.0</v>
      </c>
      <c r="Q278" s="4">
        <v>176.0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 t="s">
        <v>8</v>
      </c>
      <c r="AE278" s="6" t="s">
        <v>9</v>
      </c>
    </row>
    <row r="279" ht="16.5" customHeight="1">
      <c r="A279" s="2" t="str">
        <f>IFERROR(__xludf.DUMMYFUNCTION("""COMPUTED_VALUE"""),"2709-MARPCCVC")</f>
        <v>2709-MARPCCVC</v>
      </c>
      <c r="B279" s="2" t="str">
        <f>IFERROR(__xludf.DUMMYFUNCTION("""COMPUTED_VALUE"""),"ExBA Taller de educación financiera  18/3")</f>
        <v>ExBA Taller de educación financiera  18/3</v>
      </c>
      <c r="C279" s="3">
        <f>IFERROR(__xludf.DUMMYFUNCTION("""COMPUTED_VALUE"""),46094.0)</f>
        <v>46094</v>
      </c>
      <c r="D279" s="3">
        <f>IFERROR(__xludf.DUMMYFUNCTION("""COMPUTED_VALUE"""),46094.0)</f>
        <v>46094</v>
      </c>
      <c r="E279" s="2" t="str">
        <f>IFERROR(__xludf.DUMMYFUNCTION("""COMPUTED_VALUE"""),"Cercanía")</f>
        <v>Cercanía</v>
      </c>
      <c r="F279" s="2" t="str">
        <f>IFERROR(__xludf.DUMMYFUNCTION("""COMPUTED_VALUE"""),"Cercanía y PC")</f>
        <v>Cercanía y PC</v>
      </c>
      <c r="G279" s="2" t="str">
        <f>IFERROR(__xludf.DUMMYFUNCTION("""COMPUTED_VALUE"""),"Finalizada")</f>
        <v>Finalizada</v>
      </c>
      <c r="H279" s="4">
        <v>0.0</v>
      </c>
      <c r="I279" s="4">
        <v>0.0</v>
      </c>
      <c r="J279" s="4">
        <v>0.0</v>
      </c>
      <c r="K279" s="4">
        <v>0.0</v>
      </c>
      <c r="L279" s="5">
        <v>0.0</v>
      </c>
      <c r="M279" s="5">
        <v>0.0</v>
      </c>
      <c r="N279" s="4">
        <v>31555.0</v>
      </c>
      <c r="O279" s="4">
        <v>30828.0</v>
      </c>
      <c r="P279" s="4">
        <v>5403.0</v>
      </c>
      <c r="Q279" s="4">
        <v>172.0</v>
      </c>
      <c r="R279" s="4">
        <v>0.0</v>
      </c>
      <c r="S279" s="4">
        <v>0.0</v>
      </c>
      <c r="T279" s="4">
        <v>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0.0</v>
      </c>
      <c r="AB279" s="4">
        <v>0.0</v>
      </c>
      <c r="AC279" s="4">
        <v>0.0</v>
      </c>
      <c r="AD279" s="4" t="s">
        <v>8</v>
      </c>
      <c r="AE279" s="6" t="s">
        <v>9</v>
      </c>
    </row>
    <row r="280" ht="16.5" customHeight="1">
      <c r="A280" s="2" t="str">
        <f>IFERROR(__xludf.DUMMYFUNCTION("""COMPUTED_VALUE"""),"2710-MARPCCVC")</f>
        <v>2710-MARPCCVC</v>
      </c>
      <c r="B280" s="2" t="str">
        <f>IFERROR(__xludf.DUMMYFUNCTION("""COMPUTED_VALUE"""),"ExBA Circuito Riachulo 26/3 y 9/4")</f>
        <v>ExBA Circuito Riachulo 26/3 y 9/4</v>
      </c>
      <c r="C280" s="3">
        <f>IFERROR(__xludf.DUMMYFUNCTION("""COMPUTED_VALUE"""),46094.0)</f>
        <v>46094</v>
      </c>
      <c r="D280" s="3">
        <f>IFERROR(__xludf.DUMMYFUNCTION("""COMPUTED_VALUE"""),46094.0)</f>
        <v>46094</v>
      </c>
      <c r="E280" s="2" t="str">
        <f>IFERROR(__xludf.DUMMYFUNCTION("""COMPUTED_VALUE"""),"Cercanía")</f>
        <v>Cercanía</v>
      </c>
      <c r="F280" s="2" t="str">
        <f>IFERROR(__xludf.DUMMYFUNCTION("""COMPUTED_VALUE"""),"Cercanía y PC")</f>
        <v>Cercanía y PC</v>
      </c>
      <c r="G280" s="2" t="str">
        <f>IFERROR(__xludf.DUMMYFUNCTION("""COMPUTED_VALUE"""),"Finalizada")</f>
        <v>Finalizada</v>
      </c>
      <c r="H280" s="4">
        <v>0.0</v>
      </c>
      <c r="I280" s="4">
        <v>0.0</v>
      </c>
      <c r="J280" s="4">
        <v>0.0</v>
      </c>
      <c r="K280" s="4">
        <v>0.0</v>
      </c>
      <c r="L280" s="5">
        <v>0.0</v>
      </c>
      <c r="M280" s="5">
        <v>0.0</v>
      </c>
      <c r="N280" s="4">
        <v>40265.0</v>
      </c>
      <c r="O280" s="4">
        <v>39991.0</v>
      </c>
      <c r="P280" s="4">
        <v>18566.0</v>
      </c>
      <c r="Q280" s="4">
        <v>641.0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0.0</v>
      </c>
      <c r="AB280" s="4">
        <v>0.0</v>
      </c>
      <c r="AC280" s="4">
        <v>0.0</v>
      </c>
      <c r="AD280" s="4" t="s">
        <v>8</v>
      </c>
      <c r="AE280" s="6" t="s">
        <v>9</v>
      </c>
    </row>
    <row r="281" ht="16.5" customHeight="1">
      <c r="A281" s="2" t="str">
        <f>IFERROR(__xludf.DUMMYFUNCTION("""COMPUTED_VALUE"""),"2711-MARFESGC")</f>
        <v>2711-MARFESGC</v>
      </c>
      <c r="B281" s="2" t="str">
        <f>IFERROR(__xludf.DUMMYFUNCTION("""COMPUTED_VALUE"""),"Pascuas en plazas y anfiteatros")</f>
        <v>Pascuas en plazas y anfiteatros</v>
      </c>
      <c r="C281" s="3">
        <f>IFERROR(__xludf.DUMMYFUNCTION("""COMPUTED_VALUE"""),46107.0)</f>
        <v>46107</v>
      </c>
      <c r="D281" s="3">
        <f>IFERROR(__xludf.DUMMYFUNCTION("""COMPUTED_VALUE"""),46117.0)</f>
        <v>46117</v>
      </c>
      <c r="E281" s="2" t="str">
        <f>IFERROR(__xludf.DUMMYFUNCTION("""COMPUTED_VALUE"""),"Ciudad Atractiva")</f>
        <v>Ciudad Atractiva</v>
      </c>
      <c r="F281" s="2" t="str">
        <f>IFERROR(__xludf.DUMMYFUNCTION("""COMPUTED_VALUE"""),"Festivales y Eventos")</f>
        <v>Festivales y Eventos</v>
      </c>
      <c r="G281" s="2" t="str">
        <f>IFERROR(__xludf.DUMMYFUNCTION("""COMPUTED_VALUE"""),"Finalizada")</f>
        <v>Finalizada</v>
      </c>
      <c r="H281" s="4">
        <v>1.1742285E7</v>
      </c>
      <c r="I281" s="4">
        <v>1679159.0</v>
      </c>
      <c r="J281" s="4">
        <v>11395.0</v>
      </c>
      <c r="K281" s="4">
        <v>2898666.0</v>
      </c>
      <c r="L281" s="5">
        <v>1.7754156567193322</v>
      </c>
      <c r="M281" s="5">
        <v>4.050927219624476</v>
      </c>
      <c r="N281" s="4">
        <v>357162.0</v>
      </c>
      <c r="O281" s="4">
        <v>353270.0</v>
      </c>
      <c r="P281" s="4">
        <v>104096.0</v>
      </c>
      <c r="Q281" s="4">
        <v>5083.0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0.0</v>
      </c>
      <c r="AD281" s="4"/>
      <c r="AE281" s="6" t="s">
        <v>9</v>
      </c>
    </row>
    <row r="282" ht="16.5" customHeight="1">
      <c r="A282" s="2" t="str">
        <f>IFERROR(__xludf.DUMMYFUNCTION("""COMPUTED_VALUE"""),"2712-MARFESGC")</f>
        <v>2712-MARFESGC</v>
      </c>
      <c r="B282" s="2" t="str">
        <f>IFERROR(__xludf.DUMMYFUNCTION("""COMPUTED_VALUE"""),"Paseo de Pascuas")</f>
        <v>Paseo de Pascuas</v>
      </c>
      <c r="C282" s="3">
        <f>IFERROR(__xludf.DUMMYFUNCTION("""COMPUTED_VALUE"""),46107.0)</f>
        <v>46107</v>
      </c>
      <c r="D282" s="3">
        <f>IFERROR(__xludf.DUMMYFUNCTION("""COMPUTED_VALUE"""),46117.0)</f>
        <v>46117</v>
      </c>
      <c r="E282" s="2" t="str">
        <f>IFERROR(__xludf.DUMMYFUNCTION("""COMPUTED_VALUE"""),"Ciudad Atractiva")</f>
        <v>Ciudad Atractiva</v>
      </c>
      <c r="F282" s="2" t="str">
        <f>IFERROR(__xludf.DUMMYFUNCTION("""COMPUTED_VALUE"""),"Festivales y Eventos")</f>
        <v>Festivales y Eventos</v>
      </c>
      <c r="G282" s="2" t="str">
        <f>IFERROR(__xludf.DUMMYFUNCTION("""COMPUTED_VALUE"""),"Finalizada")</f>
        <v>Finalizada</v>
      </c>
      <c r="H282" s="4">
        <v>9851321.0</v>
      </c>
      <c r="I282" s="4">
        <v>1319054.0</v>
      </c>
      <c r="J282" s="4">
        <v>12457.0</v>
      </c>
      <c r="K282" s="4">
        <v>2573121.0</v>
      </c>
      <c r="L282" s="5">
        <v>1.3241479899312936</v>
      </c>
      <c r="M282" s="5">
        <v>3.8285494541453744</v>
      </c>
      <c r="N282" s="4">
        <v>177189.0</v>
      </c>
      <c r="O282" s="4">
        <v>175088.0</v>
      </c>
      <c r="P282" s="4">
        <v>62153.0</v>
      </c>
      <c r="Q282" s="4">
        <v>2650.0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  <c r="AD282" s="4"/>
      <c r="AE282" s="6" t="s">
        <v>9</v>
      </c>
    </row>
    <row r="283" ht="16.5" customHeight="1">
      <c r="A283" s="2" t="str">
        <f>IFERROR(__xludf.DUMMYFUNCTION("""COMPUTED_VALUE"""),"2713-MARSALGC")</f>
        <v>2713-MARSALGC</v>
      </c>
      <c r="B283" s="2" t="str">
        <f>IFERROR(__xludf.DUMMYFUNCTION("""COMPUTED_VALUE"""),"Hospital Álvarez - Recorrida de obras")</f>
        <v>Hospital Álvarez - Recorrida de obras</v>
      </c>
      <c r="C283" s="3">
        <f>IFERROR(__xludf.DUMMYFUNCTION("""COMPUTED_VALUE"""),46122.0)</f>
        <v>46122</v>
      </c>
      <c r="D283" s="3">
        <f>IFERROR(__xludf.DUMMYFUNCTION("""COMPUTED_VALUE"""),46154.0)</f>
        <v>46154</v>
      </c>
      <c r="E283" s="2" t="str">
        <f>IFERROR(__xludf.DUMMYFUNCTION("""COMPUTED_VALUE"""),"Cuidado")</f>
        <v>Cuidado</v>
      </c>
      <c r="F283" s="2" t="str">
        <f>IFERROR(__xludf.DUMMYFUNCTION("""COMPUTED_VALUE"""),"Salud")</f>
        <v>Salud</v>
      </c>
      <c r="G283" s="2" t="str">
        <f>IFERROR(__xludf.DUMMYFUNCTION("""COMPUTED_VALUE"""),"Finalizada")</f>
        <v>Finalizada</v>
      </c>
      <c r="H283" s="4">
        <v>1.3902658E7</v>
      </c>
      <c r="I283" s="4">
        <v>3946097.0</v>
      </c>
      <c r="J283" s="4">
        <v>20122.0</v>
      </c>
      <c r="K283" s="4">
        <v>662754.0</v>
      </c>
      <c r="L283" s="5">
        <v>1.7701967849307587</v>
      </c>
      <c r="M283" s="5">
        <v>20.977101609345247</v>
      </c>
      <c r="N283" s="4">
        <v>267890.0</v>
      </c>
      <c r="O283" s="4">
        <v>264778.0</v>
      </c>
      <c r="P283" s="4">
        <v>51865.0</v>
      </c>
      <c r="Q283" s="4">
        <v>952.0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0.0</v>
      </c>
      <c r="AB283" s="4">
        <v>0.0</v>
      </c>
      <c r="AC283" s="4">
        <v>0.0</v>
      </c>
      <c r="AD283" s="6" t="s">
        <v>54</v>
      </c>
      <c r="AE283" s="6" t="s">
        <v>9</v>
      </c>
    </row>
    <row r="284" ht="16.5" customHeight="1">
      <c r="A284" s="2" t="str">
        <f>IFERROR(__xludf.DUMMYFUNCTION("""COMPUTED_VALUE"""),"2714-MAREPHGC")</f>
        <v>2714-MAREPHGC</v>
      </c>
      <c r="B284" s="2" t="str">
        <f>IFERROR(__xludf.DUMMYFUNCTION("""COMPUTED_VALUE"""),"RDV MINISTROS | IGNACIO BAISTROCCHI 16/3 COMUNA 1")</f>
        <v>RDV MINISTROS | IGNACIO BAISTROCCHI 16/3 COMUNA 1</v>
      </c>
      <c r="C284" s="3">
        <f>IFERROR(__xludf.DUMMYFUNCTION("""COMPUTED_VALUE"""),46093.0)</f>
        <v>46093</v>
      </c>
      <c r="D284" s="3">
        <f>IFERROR(__xludf.DUMMYFUNCTION("""COMPUTED_VALUE"""),46098.0)</f>
        <v>46098</v>
      </c>
      <c r="E284" s="2" t="str">
        <f>IFERROR(__xludf.DUMMYFUNCTION("""COMPUTED_VALUE"""),"Cercanía")</f>
        <v>Cercanía</v>
      </c>
      <c r="F284" s="2" t="str">
        <f>IFERROR(__xludf.DUMMYFUNCTION("""COMPUTED_VALUE"""),"Espacio Público e Higiene Urbana")</f>
        <v>Espacio Público e Higiene Urbana</v>
      </c>
      <c r="G284" s="2" t="str">
        <f>IFERROR(__xludf.DUMMYFUNCTION("""COMPUTED_VALUE"""),"Finalizada")</f>
        <v>Finalizada</v>
      </c>
      <c r="H284" s="4">
        <v>159253.0</v>
      </c>
      <c r="I284" s="4">
        <v>0.0</v>
      </c>
      <c r="J284" s="4">
        <v>455.0</v>
      </c>
      <c r="K284" s="4">
        <v>110227.0</v>
      </c>
      <c r="L284" s="5">
        <v>1.4447730592323116</v>
      </c>
      <c r="M284" s="5">
        <v>1.4447730592323116</v>
      </c>
      <c r="N284" s="4">
        <v>74447.0</v>
      </c>
      <c r="O284" s="4">
        <v>73689.0</v>
      </c>
      <c r="P284" s="4">
        <v>12014.0</v>
      </c>
      <c r="Q284" s="4">
        <v>134.0</v>
      </c>
      <c r="R284" s="4">
        <v>44.0</v>
      </c>
      <c r="S284" s="4">
        <v>44.0</v>
      </c>
      <c r="T284" s="4">
        <v>14.0</v>
      </c>
      <c r="U284" s="4">
        <v>14.0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0.0</v>
      </c>
      <c r="AB284" s="4">
        <v>0.0</v>
      </c>
      <c r="AC284" s="4">
        <v>0.0</v>
      </c>
      <c r="AD284" s="4"/>
      <c r="AE284" s="6" t="s">
        <v>9</v>
      </c>
    </row>
    <row r="285" ht="16.5" customHeight="1">
      <c r="A285" s="2" t="str">
        <f>IFERROR(__xludf.DUMMYFUNCTION("""COMPUTED_VALUE"""),"2715-MARINFVC")</f>
        <v>2715-MARINFVC</v>
      </c>
      <c r="B285" s="2" t="str">
        <f>IFERROR(__xludf.DUMMYFUNCTION("""COMPUTED_VALUE"""),"RDV MINISTROS | PABLO BERECIARTUA 18/3 COMUNA 3")</f>
        <v>RDV MINISTROS | PABLO BERECIARTUA 18/3 COMUNA 3</v>
      </c>
      <c r="C285" s="3">
        <f>IFERROR(__xludf.DUMMYFUNCTION("""COMPUTED_VALUE"""),46094.0)</f>
        <v>46094</v>
      </c>
      <c r="D285" s="3">
        <f>IFERROR(__xludf.DUMMYFUNCTION("""COMPUTED_VALUE"""),46100.0)</f>
        <v>46100</v>
      </c>
      <c r="E285" s="2" t="str">
        <f>IFERROR(__xludf.DUMMYFUNCTION("""COMPUTED_VALUE"""),"Cercanía")</f>
        <v>Cercanía</v>
      </c>
      <c r="F285" s="2" t="str">
        <f>IFERROR(__xludf.DUMMYFUNCTION("""COMPUTED_VALUE"""),"Infraestructura")</f>
        <v>Infraestructura</v>
      </c>
      <c r="G285" s="2" t="str">
        <f>IFERROR(__xludf.DUMMYFUNCTION("""COMPUTED_VALUE"""),"Finalizada")</f>
        <v>Finalizada</v>
      </c>
      <c r="H285" s="4">
        <v>355425.0</v>
      </c>
      <c r="I285" s="4">
        <v>0.0</v>
      </c>
      <c r="J285" s="4">
        <v>324.0</v>
      </c>
      <c r="K285" s="4">
        <v>256376.0</v>
      </c>
      <c r="L285" s="5">
        <v>1.3863427153867758</v>
      </c>
      <c r="M285" s="5">
        <v>1.3863427153867758</v>
      </c>
      <c r="N285" s="4">
        <v>59775.0</v>
      </c>
      <c r="O285" s="4">
        <v>58987.0</v>
      </c>
      <c r="P285" s="4">
        <v>9357.0</v>
      </c>
      <c r="Q285" s="4">
        <v>231.0</v>
      </c>
      <c r="R285" s="4">
        <v>149.0</v>
      </c>
      <c r="S285" s="4">
        <v>149.0</v>
      </c>
      <c r="T285" s="4">
        <v>34.0</v>
      </c>
      <c r="U285" s="4">
        <v>31.0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0.0</v>
      </c>
      <c r="AB285" s="4">
        <v>0.0</v>
      </c>
      <c r="AC285" s="4">
        <v>0.0</v>
      </c>
      <c r="AD285" s="4"/>
      <c r="AE285" s="6" t="s">
        <v>9</v>
      </c>
    </row>
    <row r="286" ht="16.5" customHeight="1">
      <c r="A286" s="2" t="str">
        <f>IFERROR(__xludf.DUMMYFUNCTION("""COMPUTED_VALUE"""),"2716-MARINFGC")</f>
        <v>2716-MARINFGC</v>
      </c>
      <c r="B286" s="2" t="str">
        <f>IFERROR(__xludf.DUMMYFUNCTION("""COMPUTED_VALUE"""),"CORTES y desvios  PBN Álvarez Thomas")</f>
        <v>CORTES y desvios  PBN Álvarez Thomas</v>
      </c>
      <c r="C286" s="3">
        <f>IFERROR(__xludf.DUMMYFUNCTION("""COMPUTED_VALUE"""),46092.0)</f>
        <v>46092</v>
      </c>
      <c r="D286" s="3">
        <f>IFERROR(__xludf.DUMMYFUNCTION("""COMPUTED_VALUE"""),46100.0)</f>
        <v>46100</v>
      </c>
      <c r="E286" s="2" t="str">
        <f>IFERROR(__xludf.DUMMYFUNCTION("""COMPUTED_VALUE"""),"Movilidad")</f>
        <v>Movilidad</v>
      </c>
      <c r="F286" s="2" t="str">
        <f>IFERROR(__xludf.DUMMYFUNCTION("""COMPUTED_VALUE"""),"Infraestructura")</f>
        <v>Infraestructura</v>
      </c>
      <c r="G286" s="2" t="str">
        <f>IFERROR(__xludf.DUMMYFUNCTION("""COMPUTED_VALUE"""),"Finalizada")</f>
        <v>Finalizada</v>
      </c>
      <c r="H286" s="4">
        <v>120296.0</v>
      </c>
      <c r="I286" s="4">
        <v>0.0</v>
      </c>
      <c r="J286" s="4">
        <v>837.0</v>
      </c>
      <c r="K286" s="4">
        <v>72010.0</v>
      </c>
      <c r="L286" s="5">
        <v>1.670545757533676</v>
      </c>
      <c r="M286" s="5">
        <v>1.670545757533676</v>
      </c>
      <c r="N286" s="4">
        <v>82535.0</v>
      </c>
      <c r="O286" s="4">
        <v>81698.0</v>
      </c>
      <c r="P286" s="4">
        <v>29536.0</v>
      </c>
      <c r="Q286" s="4">
        <v>525.0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  <c r="AD286" s="4"/>
      <c r="AE286" s="6" t="s">
        <v>9</v>
      </c>
    </row>
    <row r="287" ht="16.5" customHeight="1">
      <c r="A287" s="2" t="str">
        <f>IFERROR(__xludf.DUMMYFUNCTION("""COMPUTED_VALUE"""),"2717-MARDHHVC")</f>
        <v>2717-MARDHHVC</v>
      </c>
      <c r="B287" s="2" t="str">
        <f>IFERROR(__xludf.DUMMYFUNCTION("""COMPUTED_VALUE"""),"RDV Ministros | Gabriel Mraida - 20/03")</f>
        <v>RDV Ministros | Gabriel Mraida - 20/03</v>
      </c>
      <c r="C287" s="3">
        <f>IFERROR(__xludf.DUMMYFUNCTION("""COMPUTED_VALUE"""),46097.0)</f>
        <v>46097</v>
      </c>
      <c r="D287" s="3">
        <f>IFERROR(__xludf.DUMMYFUNCTION("""COMPUTED_VALUE"""),46102.0)</f>
        <v>46102</v>
      </c>
      <c r="E287" s="2" t="str">
        <f>IFERROR(__xludf.DUMMYFUNCTION("""COMPUTED_VALUE"""),"Cercanía")</f>
        <v>Cercanía</v>
      </c>
      <c r="F287" s="2" t="str">
        <f>IFERROR(__xludf.DUMMYFUNCTION("""COMPUTED_VALUE"""),"Desarrollo Humano y Hábitat")</f>
        <v>Desarrollo Humano y Hábitat</v>
      </c>
      <c r="G287" s="2" t="str">
        <f>IFERROR(__xludf.DUMMYFUNCTION("""COMPUTED_VALUE"""),"Finalizada")</f>
        <v>Finalizada</v>
      </c>
      <c r="H287" s="4">
        <v>193745.0</v>
      </c>
      <c r="I287" s="4">
        <v>0.0</v>
      </c>
      <c r="J287" s="4">
        <v>648.0</v>
      </c>
      <c r="K287" s="4">
        <v>126117.0</v>
      </c>
      <c r="L287" s="5">
        <v>1.5362322288034127</v>
      </c>
      <c r="M287" s="5">
        <v>1.5362322288034127</v>
      </c>
      <c r="N287" s="4">
        <v>86293.0</v>
      </c>
      <c r="O287" s="4">
        <v>85391.0</v>
      </c>
      <c r="P287" s="4">
        <v>18504.0</v>
      </c>
      <c r="Q287" s="4">
        <v>239.0</v>
      </c>
      <c r="R287" s="4">
        <v>7163.0</v>
      </c>
      <c r="S287" s="4">
        <v>6961.0</v>
      </c>
      <c r="T287" s="4">
        <v>1750.0</v>
      </c>
      <c r="U287" s="4">
        <v>1327.0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/>
      <c r="AE287" s="6" t="s">
        <v>9</v>
      </c>
    </row>
    <row r="288" ht="16.5" customHeight="1">
      <c r="A288" s="2" t="str">
        <f>IFERROR(__xludf.DUMMYFUNCTION("""COMPUTED_VALUE"""),"2718-MARINFGC")</f>
        <v>2718-MARINFGC</v>
      </c>
      <c r="B288" s="2" t="str">
        <f>IFERROR(__xludf.DUMMYFUNCTION("""COMPUTED_VALUE"""),"Infraestructura | Cortes y desvíos por evento masivo en Vélez CHAYANNE")</f>
        <v>Infraestructura | Cortes y desvíos por evento masivo en Vélez CHAYANNE</v>
      </c>
      <c r="C288" s="3">
        <f>IFERROR(__xludf.DUMMYFUNCTION("""COMPUTED_VALUE"""),46093.0)</f>
        <v>46093</v>
      </c>
      <c r="D288" s="3">
        <f>IFERROR(__xludf.DUMMYFUNCTION("""COMPUTED_VALUE"""),46095.0)</f>
        <v>46095</v>
      </c>
      <c r="E288" s="2" t="str">
        <f>IFERROR(__xludf.DUMMYFUNCTION("""COMPUTED_VALUE"""),"Movilidad")</f>
        <v>Movilidad</v>
      </c>
      <c r="F288" s="2" t="str">
        <f>IFERROR(__xludf.DUMMYFUNCTION("""COMPUTED_VALUE"""),"Infraestructura")</f>
        <v>Infraestructura</v>
      </c>
      <c r="G288" s="2" t="str">
        <f>IFERROR(__xludf.DUMMYFUNCTION("""COMPUTED_VALUE"""),"Finalizada")</f>
        <v>Finalizada</v>
      </c>
      <c r="H288" s="4">
        <v>1325.0</v>
      </c>
      <c r="I288" s="4">
        <v>0.0</v>
      </c>
      <c r="J288" s="4">
        <v>47.0</v>
      </c>
      <c r="K288" s="4">
        <v>1175.0</v>
      </c>
      <c r="L288" s="5">
        <v>1.127659574468085</v>
      </c>
      <c r="M288" s="5">
        <v>1.127659574468085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/>
      <c r="AE288" s="4" t="s">
        <v>8</v>
      </c>
    </row>
    <row r="289" ht="16.5" customHeight="1">
      <c r="A289" s="2" t="str">
        <f>IFERROR(__xludf.DUMMYFUNCTION("""COMPUTED_VALUE"""),"2719-MARJDGVC")</f>
        <v>2719-MARJDGVC</v>
      </c>
      <c r="B289" s="2" t="str">
        <f>IFERROR(__xludf.DUMMYFUNCTION("""COMPUTED_VALUE"""),"RDV MINISTROS | GABRIEL SÁNCHEZ ZINNY 19/3 PARQUE CHAS")</f>
        <v>RDV MINISTROS | GABRIEL SÁNCHEZ ZINNY 19/3 PARQUE CHAS</v>
      </c>
      <c r="C289" s="3">
        <f>IFERROR(__xludf.DUMMYFUNCTION("""COMPUTED_VALUE"""),46097.0)</f>
        <v>46097</v>
      </c>
      <c r="D289" s="3">
        <f>IFERROR(__xludf.DUMMYFUNCTION("""COMPUTED_VALUE"""),46101.0)</f>
        <v>46101</v>
      </c>
      <c r="E289" s="2" t="str">
        <f>IFERROR(__xludf.DUMMYFUNCTION("""COMPUTED_VALUE"""),"Cercanía")</f>
        <v>Cercanía</v>
      </c>
      <c r="F289" s="2" t="str">
        <f>IFERROR(__xludf.DUMMYFUNCTION("""COMPUTED_VALUE"""),"Jefatura de Gabinete")</f>
        <v>Jefatura de Gabinete</v>
      </c>
      <c r="G289" s="2" t="str">
        <f>IFERROR(__xludf.DUMMYFUNCTION("""COMPUTED_VALUE"""),"Finalizada")</f>
        <v>Finalizada</v>
      </c>
      <c r="H289" s="4">
        <v>17874.0</v>
      </c>
      <c r="I289" s="4">
        <v>0.0</v>
      </c>
      <c r="J289" s="4">
        <v>54.0</v>
      </c>
      <c r="K289" s="4">
        <v>12987.0</v>
      </c>
      <c r="L289" s="5">
        <v>1.3762993762993763</v>
      </c>
      <c r="M289" s="5">
        <v>1.3762993762993763</v>
      </c>
      <c r="N289" s="4">
        <v>6930.0</v>
      </c>
      <c r="O289" s="4">
        <v>6864.0</v>
      </c>
      <c r="P289" s="4">
        <v>1515.0</v>
      </c>
      <c r="Q289" s="4">
        <v>65.0</v>
      </c>
      <c r="R289" s="4">
        <v>7105.0</v>
      </c>
      <c r="S289" s="4">
        <v>7105.0</v>
      </c>
      <c r="T289" s="4">
        <v>1785.0</v>
      </c>
      <c r="U289" s="4">
        <v>1361.0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/>
      <c r="AE289" s="6" t="s">
        <v>9</v>
      </c>
    </row>
    <row r="290" ht="16.5" customHeight="1">
      <c r="A290" s="2" t="str">
        <f>IFERROR(__xludf.DUMMYFUNCTION("""COMPUTED_VALUE"""),"2720-MARINFGC")</f>
        <v>2720-MARINFGC</v>
      </c>
      <c r="B290" s="2" t="str">
        <f>IFERROR(__xludf.DUMMYFUNCTION("""COMPUTED_VALUE"""),"INFRAESTRUCTURA | Cortes y desvíos: derrumbe en PP")</f>
        <v>INFRAESTRUCTURA | Cortes y desvíos: derrumbe en PP</v>
      </c>
      <c r="C290" s="3">
        <f>IFERROR(__xludf.DUMMYFUNCTION("""COMPUTED_VALUE"""),46094.0)</f>
        <v>46094</v>
      </c>
      <c r="D290" s="3">
        <f>IFERROR(__xludf.DUMMYFUNCTION("""COMPUTED_VALUE"""),46239.0)</f>
        <v>46239</v>
      </c>
      <c r="E290" s="2" t="str">
        <f>IFERROR(__xludf.DUMMYFUNCTION("""COMPUTED_VALUE"""),"Movilidad")</f>
        <v>Movilidad</v>
      </c>
      <c r="F290" s="2" t="str">
        <f>IFERROR(__xludf.DUMMYFUNCTION("""COMPUTED_VALUE"""),"Infraestructura")</f>
        <v>Infraestructura</v>
      </c>
      <c r="G290" s="2" t="str">
        <f>IFERROR(__xludf.DUMMYFUNCTION("""COMPUTED_VALUE"""),"Activa")</f>
        <v>Activa</v>
      </c>
      <c r="H290" s="4">
        <v>845740.0</v>
      </c>
      <c r="I290" s="4">
        <v>0.0</v>
      </c>
      <c r="J290" s="4">
        <v>7759.0</v>
      </c>
      <c r="K290" s="4">
        <v>221701.0</v>
      </c>
      <c r="L290" s="5">
        <v>3.8147775607687833</v>
      </c>
      <c r="M290" s="5">
        <v>3.8147775607687833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/>
      <c r="AE290" s="4" t="s">
        <v>8</v>
      </c>
    </row>
    <row r="291" ht="16.5" customHeight="1">
      <c r="A291" s="2" t="str">
        <f>IFERROR(__xludf.DUMMYFUNCTION("""COMPUTED_VALUE"""),"2721-MARINFGC")</f>
        <v>2721-MARINFGC</v>
      </c>
      <c r="B291" s="2" t="str">
        <f>IFERROR(__xludf.DUMMYFUNCTION("""COMPUTED_VALUE"""),"Infraestructura | Cambio de recorrido del Bus eléctrico: Usina del Árte")</f>
        <v>Infraestructura | Cambio de recorrido del Bus eléctrico: Usina del Árte</v>
      </c>
      <c r="C291" s="3">
        <f>IFERROR(__xludf.DUMMYFUNCTION("""COMPUTED_VALUE"""),46093.0)</f>
        <v>46093</v>
      </c>
      <c r="D291" s="3">
        <f>IFERROR(__xludf.DUMMYFUNCTION("""COMPUTED_VALUE"""),46112.0)</f>
        <v>46112</v>
      </c>
      <c r="E291" s="2" t="str">
        <f>IFERROR(__xludf.DUMMYFUNCTION("""COMPUTED_VALUE"""),"Movilidad")</f>
        <v>Movilidad</v>
      </c>
      <c r="F291" s="2" t="str">
        <f>IFERROR(__xludf.DUMMYFUNCTION("""COMPUTED_VALUE"""),"Infraestructura")</f>
        <v>Infraestructura</v>
      </c>
      <c r="G291" s="2" t="str">
        <f>IFERROR(__xludf.DUMMYFUNCTION("""COMPUTED_VALUE"""),"Finalizada")</f>
        <v>Finalizada</v>
      </c>
      <c r="H291" s="4">
        <v>1696252.0</v>
      </c>
      <c r="I291" s="4">
        <v>0.0</v>
      </c>
      <c r="J291" s="4">
        <v>10825.0</v>
      </c>
      <c r="K291" s="4">
        <v>1636822.0</v>
      </c>
      <c r="L291" s="5">
        <v>1.0363081630134492</v>
      </c>
      <c r="M291" s="5">
        <v>1.0363081630134492</v>
      </c>
      <c r="N291" s="4">
        <v>87418.0</v>
      </c>
      <c r="O291" s="4">
        <v>86588.0</v>
      </c>
      <c r="P291" s="4">
        <v>34574.0</v>
      </c>
      <c r="Q291" s="4">
        <v>1674.0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/>
      <c r="AE291" s="6" t="s">
        <v>9</v>
      </c>
    </row>
    <row r="292" ht="16.5" customHeight="1">
      <c r="A292" s="2" t="str">
        <f>IFERROR(__xludf.DUMMYFUNCTION("""COMPUTED_VALUE"""),"2722-MARJDGAG")</f>
        <v>2722-MARJDGAG</v>
      </c>
      <c r="B292" s="2" t="str">
        <f>IFERROR(__xludf.DUMMYFUNCTION("""COMPUTED_VALUE"""),"RDV JM 16/3 VILLA ORTUZAR")</f>
        <v>RDV JM 16/3 VILLA ORTUZAR</v>
      </c>
      <c r="C292" s="3">
        <f>IFERROR(__xludf.DUMMYFUNCTION("""COMPUTED_VALUE"""),46094.0)</f>
        <v>46094</v>
      </c>
      <c r="D292" s="3">
        <f>IFERROR(__xludf.DUMMYFUNCTION("""COMPUTED_VALUE"""),46110.0)</f>
        <v>46110</v>
      </c>
      <c r="E292" s="2" t="str">
        <f>IFERROR(__xludf.DUMMYFUNCTION("""COMPUTED_VALUE"""),"Cercanía")</f>
        <v>Cercanía</v>
      </c>
      <c r="F292" s="2" t="str">
        <f>IFERROR(__xludf.DUMMYFUNCTION("""COMPUTED_VALUE"""),"Jefatura de Gobierno")</f>
        <v>Jefatura de Gobierno</v>
      </c>
      <c r="G292" s="2" t="str">
        <f>IFERROR(__xludf.DUMMYFUNCTION("""COMPUTED_VALUE"""),"Finalizada")</f>
        <v>Finalizada</v>
      </c>
      <c r="H292" s="4">
        <v>479224.0</v>
      </c>
      <c r="I292" s="4">
        <v>270976.0</v>
      </c>
      <c r="J292" s="4">
        <v>3739.0</v>
      </c>
      <c r="K292" s="4">
        <v>6467.0</v>
      </c>
      <c r="L292" s="5">
        <v>9.897324880160816</v>
      </c>
      <c r="M292" s="5">
        <v>74.10298438224834</v>
      </c>
      <c r="N292" s="4">
        <v>9754.0</v>
      </c>
      <c r="O292" s="4">
        <v>9659.0</v>
      </c>
      <c r="P292" s="4">
        <v>2319.0</v>
      </c>
      <c r="Q292" s="4">
        <v>98.0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  <c r="AD292" s="4"/>
      <c r="AE292" s="6" t="s">
        <v>9</v>
      </c>
    </row>
    <row r="293" ht="16.5" customHeight="1">
      <c r="A293" s="2" t="str">
        <f>IFERROR(__xludf.DUMMYFUNCTION("""COMPUTED_VALUE"""),"2723-MARJDGAG")</f>
        <v>2723-MARJDGAG</v>
      </c>
      <c r="B293" s="2" t="str">
        <f>IFERROR(__xludf.DUMMYFUNCTION("""COMPUTED_VALUE"""),"RDV JM 18/3 LA BOCA")</f>
        <v>RDV JM 18/3 LA BOCA</v>
      </c>
      <c r="C293" s="3">
        <f>IFERROR(__xludf.DUMMYFUNCTION("""COMPUTED_VALUE"""),46094.0)</f>
        <v>46094</v>
      </c>
      <c r="D293" s="3">
        <f>IFERROR(__xludf.DUMMYFUNCTION("""COMPUTED_VALUE"""),46131.0)</f>
        <v>46131</v>
      </c>
      <c r="E293" s="2" t="str">
        <f>IFERROR(__xludf.DUMMYFUNCTION("""COMPUTED_VALUE"""),"Cercanía")</f>
        <v>Cercanía</v>
      </c>
      <c r="F293" s="2" t="str">
        <f>IFERROR(__xludf.DUMMYFUNCTION("""COMPUTED_VALUE"""),"Jefatura de Gobierno")</f>
        <v>Jefatura de Gobierno</v>
      </c>
      <c r="G293" s="2" t="str">
        <f>IFERROR(__xludf.DUMMYFUNCTION("""COMPUTED_VALUE"""),"Finalizada")</f>
        <v>Finalizada</v>
      </c>
      <c r="H293" s="4">
        <v>309988.0</v>
      </c>
      <c r="I293" s="4">
        <v>69069.0</v>
      </c>
      <c r="J293" s="4">
        <v>5514.0</v>
      </c>
      <c r="K293" s="4">
        <v>12472.0</v>
      </c>
      <c r="L293" s="5">
        <v>13.243665811417575</v>
      </c>
      <c r="M293" s="5">
        <v>24.85471456061578</v>
      </c>
      <c r="N293" s="4">
        <v>32584.0</v>
      </c>
      <c r="O293" s="4">
        <v>31948.0</v>
      </c>
      <c r="P293" s="4">
        <v>3625.0</v>
      </c>
      <c r="Q293" s="4">
        <v>140.0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/>
      <c r="AE293" s="6" t="s">
        <v>9</v>
      </c>
    </row>
    <row r="294" ht="16.5" customHeight="1">
      <c r="A294" s="2" t="str">
        <f>IFERROR(__xludf.DUMMYFUNCTION("""COMPUTED_VALUE"""),"2725-MARPCCVC")</f>
        <v>2725-MARPCCVC</v>
      </c>
      <c r="B294" s="2" t="str">
        <f>IFERROR(__xludf.DUMMYFUNCTION("""COMPUTED_VALUE"""),"Encuentro Informativo y de co creación: Área de Desarrollo Prioritario Avellaneda y Entorno")</f>
        <v>Encuentro Informativo y de co creación: Área de Desarrollo Prioritario Avellaneda y Entorno</v>
      </c>
      <c r="C294" s="3">
        <f>IFERROR(__xludf.DUMMYFUNCTION("""COMPUTED_VALUE"""),46099.0)</f>
        <v>46099</v>
      </c>
      <c r="D294" s="3">
        <f>IFERROR(__xludf.DUMMYFUNCTION("""COMPUTED_VALUE"""),46099.0)</f>
        <v>46099</v>
      </c>
      <c r="E294" s="2" t="str">
        <f>IFERROR(__xludf.DUMMYFUNCTION("""COMPUTED_VALUE"""),"Cercanía")</f>
        <v>Cercanía</v>
      </c>
      <c r="F294" s="2" t="str">
        <f>IFERROR(__xludf.DUMMYFUNCTION("""COMPUTED_VALUE"""),"Cercanía y PC")</f>
        <v>Cercanía y PC</v>
      </c>
      <c r="G294" s="2" t="str">
        <f>IFERROR(__xludf.DUMMYFUNCTION("""COMPUTED_VALUE"""),"Finalizada")</f>
        <v>Finalizada</v>
      </c>
      <c r="H294" s="4">
        <v>0.0</v>
      </c>
      <c r="I294" s="4">
        <v>0.0</v>
      </c>
      <c r="J294" s="4">
        <v>0.0</v>
      </c>
      <c r="K294" s="4">
        <v>0.0</v>
      </c>
      <c r="L294" s="5">
        <v>0.0</v>
      </c>
      <c r="M294" s="5">
        <v>0.0</v>
      </c>
      <c r="N294" s="4">
        <v>32653.0</v>
      </c>
      <c r="O294" s="4">
        <v>32300.0</v>
      </c>
      <c r="P294" s="4">
        <v>6248.0</v>
      </c>
      <c r="Q294" s="4">
        <v>130.0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 t="s">
        <v>8</v>
      </c>
      <c r="AE294" s="6" t="s">
        <v>9</v>
      </c>
    </row>
    <row r="295" ht="16.5" customHeight="1">
      <c r="A295" s="2" t="str">
        <f>IFERROR(__xludf.DUMMYFUNCTION("""COMPUTED_VALUE"""),"2726-MARSEGVC")</f>
        <v>2726-MARSEGVC</v>
      </c>
      <c r="B295" s="2" t="str">
        <f>IFERROR(__xludf.DUMMYFUNCTION("""COMPUTED_VALUE"""),"RDV Ministros | Maximiliano Piñeiro 19/3 Comuna 8")</f>
        <v>RDV Ministros | Maximiliano Piñeiro 19/3 Comuna 8</v>
      </c>
      <c r="C295" s="3">
        <f>IFERROR(__xludf.DUMMYFUNCTION("""COMPUTED_VALUE"""),46069.0)</f>
        <v>46069</v>
      </c>
      <c r="D295" s="3">
        <f>IFERROR(__xludf.DUMMYFUNCTION("""COMPUTED_VALUE"""),46102.0)</f>
        <v>46102</v>
      </c>
      <c r="E295" s="2" t="str">
        <f>IFERROR(__xludf.DUMMYFUNCTION("""COMPUTED_VALUE"""),"Cercanía")</f>
        <v>Cercanía</v>
      </c>
      <c r="F295" s="2" t="str">
        <f>IFERROR(__xludf.DUMMYFUNCTION("""COMPUTED_VALUE"""),"Seguridad")</f>
        <v>Seguridad</v>
      </c>
      <c r="G295" s="2" t="str">
        <f>IFERROR(__xludf.DUMMYFUNCTION("""COMPUTED_VALUE"""),"Finalizada")</f>
        <v>Finalizada</v>
      </c>
      <c r="H295" s="4">
        <v>199229.0</v>
      </c>
      <c r="I295" s="4">
        <v>0.0</v>
      </c>
      <c r="J295" s="4">
        <v>566.0</v>
      </c>
      <c r="K295" s="4">
        <v>0.0</v>
      </c>
      <c r="L295" s="5">
        <v>0.0</v>
      </c>
      <c r="M295" s="5">
        <v>0.0</v>
      </c>
      <c r="N295" s="4">
        <v>58914.0</v>
      </c>
      <c r="O295" s="4">
        <v>57777.0</v>
      </c>
      <c r="P295" s="4">
        <v>7885.0</v>
      </c>
      <c r="Q295" s="4">
        <v>151.0</v>
      </c>
      <c r="R295" s="4">
        <v>79.0</v>
      </c>
      <c r="S295" s="4">
        <v>79.0</v>
      </c>
      <c r="T295" s="4">
        <v>29.0</v>
      </c>
      <c r="U295" s="4">
        <v>29.0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/>
      <c r="AE295" s="6" t="s">
        <v>9</v>
      </c>
    </row>
    <row r="296" ht="16.5" customHeight="1">
      <c r="A296" s="2" t="str">
        <f>IFERROR(__xludf.DUMMYFUNCTION("""COMPUTED_VALUE"""),"2727-MARSEGVC")</f>
        <v>2727-MARSEGVC</v>
      </c>
      <c r="B296" s="2" t="str">
        <f>IFERROR(__xludf.DUMMYFUNCTION("""COMPUTED_VALUE"""),"RDV Ministros | Horacio Giménez 19/3 Comuna 9")</f>
        <v>RDV Ministros | Horacio Giménez 19/3 Comuna 9</v>
      </c>
      <c r="C296" s="3">
        <f>IFERROR(__xludf.DUMMYFUNCTION("""COMPUTED_VALUE"""),46097.0)</f>
        <v>46097</v>
      </c>
      <c r="D296" s="3">
        <f>IFERROR(__xludf.DUMMYFUNCTION("""COMPUTED_VALUE"""),46101.0)</f>
        <v>46101</v>
      </c>
      <c r="E296" s="2" t="str">
        <f>IFERROR(__xludf.DUMMYFUNCTION("""COMPUTED_VALUE"""),"Cercanía")</f>
        <v>Cercanía</v>
      </c>
      <c r="F296" s="2" t="str">
        <f>IFERROR(__xludf.DUMMYFUNCTION("""COMPUTED_VALUE"""),"Seguridad")</f>
        <v>Seguridad</v>
      </c>
      <c r="G296" s="2" t="str">
        <f>IFERROR(__xludf.DUMMYFUNCTION("""COMPUTED_VALUE"""),"Finalizada")</f>
        <v>Finalizada</v>
      </c>
      <c r="H296" s="4">
        <v>145699.0</v>
      </c>
      <c r="I296" s="4">
        <v>0.0</v>
      </c>
      <c r="J296" s="4">
        <v>479.0</v>
      </c>
      <c r="K296" s="4">
        <v>0.0</v>
      </c>
      <c r="L296" s="5">
        <v>0.0</v>
      </c>
      <c r="M296" s="5">
        <v>0.0</v>
      </c>
      <c r="N296" s="4">
        <v>65732.0</v>
      </c>
      <c r="O296" s="4">
        <v>64826.0</v>
      </c>
      <c r="P296" s="4">
        <v>10841.0</v>
      </c>
      <c r="Q296" s="4">
        <v>176.0</v>
      </c>
      <c r="R296" s="4">
        <v>105.0</v>
      </c>
      <c r="S296" s="4">
        <v>105.0</v>
      </c>
      <c r="T296" s="4">
        <v>36.0</v>
      </c>
      <c r="U296" s="4">
        <v>36.0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/>
      <c r="AE296" s="6" t="s">
        <v>9</v>
      </c>
    </row>
    <row r="297" ht="16.5" customHeight="1">
      <c r="A297" s="2" t="str">
        <f>IFERROR(__xludf.DUMMYFUNCTION("""COMPUTED_VALUE"""),"2728-MARSEGVC")</f>
        <v>2728-MARSEGVC</v>
      </c>
      <c r="B297" s="2" t="str">
        <f>IFERROR(__xludf.DUMMYFUNCTION("""COMPUTED_VALUE"""),"RDV Ministros | Gabino Tapia 19/3 Comuna 10")</f>
        <v>RDV Ministros | Gabino Tapia 19/3 Comuna 10</v>
      </c>
      <c r="C297" s="3">
        <f>IFERROR(__xludf.DUMMYFUNCTION("""COMPUTED_VALUE"""),46097.0)</f>
        <v>46097</v>
      </c>
      <c r="D297" s="3">
        <f>IFERROR(__xludf.DUMMYFUNCTION("""COMPUTED_VALUE"""),46101.0)</f>
        <v>46101</v>
      </c>
      <c r="E297" s="2" t="str">
        <f>IFERROR(__xludf.DUMMYFUNCTION("""COMPUTED_VALUE"""),"Cercanía")</f>
        <v>Cercanía</v>
      </c>
      <c r="F297" s="2" t="str">
        <f>IFERROR(__xludf.DUMMYFUNCTION("""COMPUTED_VALUE"""),"Seguridad")</f>
        <v>Seguridad</v>
      </c>
      <c r="G297" s="2" t="str">
        <f>IFERROR(__xludf.DUMMYFUNCTION("""COMPUTED_VALUE"""),"Finalizada")</f>
        <v>Finalizada</v>
      </c>
      <c r="H297" s="4">
        <v>139118.0</v>
      </c>
      <c r="I297" s="4">
        <v>0.0</v>
      </c>
      <c r="J297" s="4">
        <v>403.0</v>
      </c>
      <c r="K297" s="4">
        <v>0.0</v>
      </c>
      <c r="L297" s="5">
        <v>0.0</v>
      </c>
      <c r="M297" s="5">
        <v>0.0</v>
      </c>
      <c r="N297" s="4">
        <v>65275.0</v>
      </c>
      <c r="O297" s="4">
        <v>64587.0</v>
      </c>
      <c r="P297" s="4">
        <v>12108.0</v>
      </c>
      <c r="Q297" s="4">
        <v>212.0</v>
      </c>
      <c r="R297" s="4">
        <v>108.0</v>
      </c>
      <c r="S297" s="4">
        <v>108.0</v>
      </c>
      <c r="T297" s="4">
        <v>34.0</v>
      </c>
      <c r="U297" s="4">
        <v>34.0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/>
      <c r="AE297" s="6" t="s">
        <v>9</v>
      </c>
    </row>
    <row r="298" ht="16.5" customHeight="1">
      <c r="A298" s="2" t="str">
        <f>IFERROR(__xludf.DUMMYFUNCTION("""COMPUTED_VALUE"""),"2729-MARSEGVC")</f>
        <v>2729-MARSEGVC</v>
      </c>
      <c r="B298" s="2" t="str">
        <f>IFERROR(__xludf.DUMMYFUNCTION("""COMPUTED_VALUE"""),"RDV Ministros | Ruth Landerreche 19/3 Comuna 11")</f>
        <v>RDV Ministros | Ruth Landerreche 19/3 Comuna 11</v>
      </c>
      <c r="C298" s="3">
        <f>IFERROR(__xludf.DUMMYFUNCTION("""COMPUTED_VALUE"""),46097.0)</f>
        <v>46097</v>
      </c>
      <c r="D298" s="3">
        <f>IFERROR(__xludf.DUMMYFUNCTION("""COMPUTED_VALUE"""),46107.0)</f>
        <v>46107</v>
      </c>
      <c r="E298" s="2" t="str">
        <f>IFERROR(__xludf.DUMMYFUNCTION("""COMPUTED_VALUE"""),"Cercanía")</f>
        <v>Cercanía</v>
      </c>
      <c r="F298" s="2" t="str">
        <f>IFERROR(__xludf.DUMMYFUNCTION("""COMPUTED_VALUE"""),"Seguridad")</f>
        <v>Seguridad</v>
      </c>
      <c r="G298" s="2" t="str">
        <f>IFERROR(__xludf.DUMMYFUNCTION("""COMPUTED_VALUE"""),"Finalizada")</f>
        <v>Finalizada</v>
      </c>
      <c r="H298" s="4">
        <v>186580.0</v>
      </c>
      <c r="I298" s="4">
        <v>0.0</v>
      </c>
      <c r="J298" s="4">
        <v>540.0</v>
      </c>
      <c r="K298" s="4"/>
      <c r="L298" s="5">
        <v>0.0</v>
      </c>
      <c r="M298" s="5">
        <v>0.0</v>
      </c>
      <c r="N298" s="4">
        <v>79560.0</v>
      </c>
      <c r="O298" s="4">
        <v>78715.0</v>
      </c>
      <c r="P298" s="4">
        <v>24047.0</v>
      </c>
      <c r="Q298" s="4">
        <v>334.0</v>
      </c>
      <c r="R298" s="4">
        <v>171.0</v>
      </c>
      <c r="S298" s="4">
        <v>171.0</v>
      </c>
      <c r="T298" s="4">
        <v>49.0</v>
      </c>
      <c r="U298" s="4">
        <v>47.0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0.0</v>
      </c>
      <c r="AB298" s="4">
        <v>0.0</v>
      </c>
      <c r="AC298" s="4">
        <v>0.0</v>
      </c>
      <c r="AD298" s="4"/>
      <c r="AE298" s="6" t="s">
        <v>9</v>
      </c>
    </row>
    <row r="299" ht="16.5" customHeight="1">
      <c r="A299" s="2" t="str">
        <f>IFERROR(__xludf.DUMMYFUNCTION("""COMPUTED_VALUE"""),"2730-MARPCCVC")</f>
        <v>2730-MARPCCVC</v>
      </c>
      <c r="B299" s="2" t="str">
        <f>IFERROR(__xludf.DUMMYFUNCTION("""COMPUTED_VALUE"""),"PC Marzo | Experiencia Subte H")</f>
        <v>PC Marzo | Experiencia Subte H</v>
      </c>
      <c r="C299" s="3">
        <f>IFERROR(__xludf.DUMMYFUNCTION("""COMPUTED_VALUE"""),46093.0)</f>
        <v>46093</v>
      </c>
      <c r="D299" s="3">
        <f>IFERROR(__xludf.DUMMYFUNCTION("""COMPUTED_VALUE"""),46100.0)</f>
        <v>46100</v>
      </c>
      <c r="E299" s="2" t="str">
        <f>IFERROR(__xludf.DUMMYFUNCTION("""COMPUTED_VALUE"""),"Cercanía")</f>
        <v>Cercanía</v>
      </c>
      <c r="F299" s="2" t="str">
        <f>IFERROR(__xludf.DUMMYFUNCTION("""COMPUTED_VALUE"""),"Cercanía y PC")</f>
        <v>Cercanía y PC</v>
      </c>
      <c r="G299" s="2" t="str">
        <f>IFERROR(__xludf.DUMMYFUNCTION("""COMPUTED_VALUE"""),"Finalizada")</f>
        <v>Finalizada</v>
      </c>
      <c r="H299" s="4">
        <v>303354.0</v>
      </c>
      <c r="I299" s="4">
        <v>0.0</v>
      </c>
      <c r="J299" s="4">
        <v>454.0</v>
      </c>
      <c r="K299" s="4">
        <v>241219.0</v>
      </c>
      <c r="L299" s="5">
        <v>1.2575875034719488</v>
      </c>
      <c r="M299" s="5">
        <v>1.2575875034719488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  <c r="AD299" s="4"/>
      <c r="AE299" s="4" t="s">
        <v>8</v>
      </c>
    </row>
    <row r="300" ht="16.5" customHeight="1">
      <c r="A300" s="2" t="str">
        <f>IFERROR(__xludf.DUMMYFUNCTION("""COMPUTED_VALUE"""),"2731-MARINFGC")</f>
        <v>2731-MARINFGC</v>
      </c>
      <c r="B300" s="2" t="str">
        <f>IFERROR(__xludf.DUMMYFUNCTION("""COMPUTED_VALUE"""),"Infraestructura I Corte por evento deportivo")</f>
        <v>Infraestructura I Corte por evento deportivo</v>
      </c>
      <c r="C300" s="3">
        <f>IFERROR(__xludf.DUMMYFUNCTION("""COMPUTED_VALUE"""),46094.0)</f>
        <v>46094</v>
      </c>
      <c r="D300" s="3">
        <f>IFERROR(__xludf.DUMMYFUNCTION("""COMPUTED_VALUE"""),46096.0)</f>
        <v>46096</v>
      </c>
      <c r="E300" s="2" t="str">
        <f>IFERROR(__xludf.DUMMYFUNCTION("""COMPUTED_VALUE"""),"Movilidad")</f>
        <v>Movilidad</v>
      </c>
      <c r="F300" s="2" t="str">
        <f>IFERROR(__xludf.DUMMYFUNCTION("""COMPUTED_VALUE"""),"Infraestructura")</f>
        <v>Infraestructura</v>
      </c>
      <c r="G300" s="2" t="str">
        <f>IFERROR(__xludf.DUMMYFUNCTION("""COMPUTED_VALUE"""),"Finalizada")</f>
        <v>Finalizada</v>
      </c>
      <c r="H300" s="4">
        <v>441702.0</v>
      </c>
      <c r="I300" s="4">
        <v>0.0</v>
      </c>
      <c r="J300" s="4">
        <v>827.0</v>
      </c>
      <c r="K300" s="4">
        <v>373071.0</v>
      </c>
      <c r="L300" s="5">
        <v>1.1839623020819094</v>
      </c>
      <c r="M300" s="5">
        <v>1.1839623020819094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/>
      <c r="AE300" s="4" t="s">
        <v>8</v>
      </c>
    </row>
    <row r="301" ht="16.5" customHeight="1">
      <c r="A301" s="2" t="str">
        <f>IFERROR(__xludf.DUMMYFUNCTION("""COMPUTED_VALUE"""),"2732-MARINFGC")</f>
        <v>2732-MARINFGC</v>
      </c>
      <c r="B301" s="2" t="str">
        <f>IFERROR(__xludf.DUMMYFUNCTION("""COMPUTED_VALUE"""),"Infraestructura I Cortes en Dellepiane por obras (fin de semana largo marzo)")</f>
        <v>Infraestructura I Cortes en Dellepiane por obras (fin de semana largo marzo)</v>
      </c>
      <c r="C301" s="3">
        <f>IFERROR(__xludf.DUMMYFUNCTION("""COMPUTED_VALUE"""),46099.0)</f>
        <v>46099</v>
      </c>
      <c r="D301" s="3">
        <f>IFERROR(__xludf.DUMMYFUNCTION("""COMPUTED_VALUE"""),46106.0)</f>
        <v>46106</v>
      </c>
      <c r="E301" s="2" t="str">
        <f>IFERROR(__xludf.DUMMYFUNCTION("""COMPUTED_VALUE"""),"Movilidad")</f>
        <v>Movilidad</v>
      </c>
      <c r="F301" s="2" t="str">
        <f>IFERROR(__xludf.DUMMYFUNCTION("""COMPUTED_VALUE"""),"Infraestructura")</f>
        <v>Infraestructura</v>
      </c>
      <c r="G301" s="2" t="str">
        <f>IFERROR(__xludf.DUMMYFUNCTION("""COMPUTED_VALUE"""),"Finalizada")</f>
        <v>Finalizada</v>
      </c>
      <c r="H301" s="4">
        <v>161805.0</v>
      </c>
      <c r="I301" s="4">
        <v>0.0</v>
      </c>
      <c r="J301" s="4">
        <v>981.0</v>
      </c>
      <c r="K301" s="4">
        <v>105483.0</v>
      </c>
      <c r="L301" s="5">
        <v>1.5339438582520406</v>
      </c>
      <c r="M301" s="5">
        <v>1.5339438582520406</v>
      </c>
      <c r="N301" s="4">
        <v>192906.0</v>
      </c>
      <c r="O301" s="4">
        <v>190348.0</v>
      </c>
      <c r="P301" s="4">
        <v>57816.0</v>
      </c>
      <c r="Q301" s="4">
        <v>719.0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/>
      <c r="AE301" s="6" t="s">
        <v>9</v>
      </c>
    </row>
    <row r="302" ht="16.5" customHeight="1">
      <c r="A302" s="2" t="str">
        <f>IFERROR(__xludf.DUMMYFUNCTION("""COMPUTED_VALUE"""),"2733-MARSALGC")</f>
        <v>2733-MARSALGC</v>
      </c>
      <c r="B302" s="2" t="str">
        <f>IFERROR(__xludf.DUMMYFUNCTION("""COMPUTED_VALUE"""),"SIGEHOS - Envío Pieza RIS - Semana del 16/03")</f>
        <v>SIGEHOS - Envío Pieza RIS - Semana del 16/03</v>
      </c>
      <c r="C302" s="3">
        <f>IFERROR(__xludf.DUMMYFUNCTION("""COMPUTED_VALUE"""),46098.0)</f>
        <v>46098</v>
      </c>
      <c r="D302" s="3">
        <f>IFERROR(__xludf.DUMMYFUNCTION("""COMPUTED_VALUE"""),46098.0)</f>
        <v>46098</v>
      </c>
      <c r="E302" s="2" t="str">
        <f>IFERROR(__xludf.DUMMYFUNCTION("""COMPUTED_VALUE"""),"Cuidado")</f>
        <v>Cuidado</v>
      </c>
      <c r="F302" s="2" t="str">
        <f>IFERROR(__xludf.DUMMYFUNCTION("""COMPUTED_VALUE"""),"Salud")</f>
        <v>Salud</v>
      </c>
      <c r="G302" s="2" t="str">
        <f>IFERROR(__xludf.DUMMYFUNCTION("""COMPUTED_VALUE"""),"Finalizada")</f>
        <v>Finalizada</v>
      </c>
      <c r="H302" s="4">
        <v>0.0</v>
      </c>
      <c r="I302" s="4">
        <v>0.0</v>
      </c>
      <c r="J302" s="4">
        <v>0.0</v>
      </c>
      <c r="K302" s="4">
        <v>0.0</v>
      </c>
      <c r="L302" s="5">
        <v>0.0</v>
      </c>
      <c r="M302" s="5">
        <v>0.0</v>
      </c>
      <c r="N302" s="4">
        <v>469.0</v>
      </c>
      <c r="O302" s="4">
        <v>466.0</v>
      </c>
      <c r="P302" s="4">
        <v>191.0</v>
      </c>
      <c r="Q302" s="4">
        <v>28.0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  <c r="AD302" s="4" t="s">
        <v>8</v>
      </c>
      <c r="AE302" s="6" t="s">
        <v>9</v>
      </c>
    </row>
    <row r="303" ht="16.5" customHeight="1">
      <c r="A303" s="2" t="str">
        <f>IFERROR(__xludf.DUMMYFUNCTION("""COMPUTED_VALUE"""),"2734-MARSALGC")</f>
        <v>2734-MARSALGC</v>
      </c>
      <c r="B303" s="2" t="str">
        <f>IFERROR(__xludf.DUMMYFUNCTION("""COMPUTED_VALUE"""),"Encuesta de Clima Laboral ""Nuestro Latido""")</f>
        <v>Encuesta de Clima Laboral "Nuestro Latido"</v>
      </c>
      <c r="C303" s="3">
        <f>IFERROR(__xludf.DUMMYFUNCTION("""COMPUTED_VALUE"""),46111.0)</f>
        <v>46111</v>
      </c>
      <c r="D303" s="3">
        <f>IFERROR(__xludf.DUMMYFUNCTION("""COMPUTED_VALUE"""),46111.0)</f>
        <v>46111</v>
      </c>
      <c r="E303" s="2" t="str">
        <f>IFERROR(__xludf.DUMMYFUNCTION("""COMPUTED_VALUE"""),"Cuidado")</f>
        <v>Cuidado</v>
      </c>
      <c r="F303" s="2" t="str">
        <f>IFERROR(__xludf.DUMMYFUNCTION("""COMPUTED_VALUE"""),"Salud")</f>
        <v>Salud</v>
      </c>
      <c r="G303" s="2" t="str">
        <f>IFERROR(__xludf.DUMMYFUNCTION("""COMPUTED_VALUE"""),"Finalizada")</f>
        <v>Finalizada</v>
      </c>
      <c r="H303" s="4">
        <v>0.0</v>
      </c>
      <c r="I303" s="4">
        <v>0.0</v>
      </c>
      <c r="J303" s="4">
        <v>0.0</v>
      </c>
      <c r="K303" s="4">
        <v>0.0</v>
      </c>
      <c r="L303" s="5">
        <v>0.0</v>
      </c>
      <c r="M303" s="5">
        <v>0.0</v>
      </c>
      <c r="N303" s="4">
        <v>6215.0</v>
      </c>
      <c r="O303" s="4">
        <v>6198.0</v>
      </c>
      <c r="P303" s="4">
        <v>1177.0</v>
      </c>
      <c r="Q303" s="4">
        <v>143.0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 t="s">
        <v>8</v>
      </c>
      <c r="AE303" s="6" t="s">
        <v>9</v>
      </c>
    </row>
    <row r="304" ht="16.5" customHeight="1">
      <c r="A304" s="2" t="str">
        <f>IFERROR(__xludf.DUMMYFUNCTION("""COMPUTED_VALUE"""),"2735-MARSEGGJ")</f>
        <v>2735-MARSEGGJ</v>
      </c>
      <c r="B304" s="2" t="str">
        <f>IFERROR(__xludf.DUMMYFUNCTION("""COMPUTED_VALUE"""),"CAMPAÑA JM + GCBA | SEGURIDAD | 600 desalojos en la Ciudad")</f>
        <v>CAMPAÑA JM + GCBA | SEGURIDAD | 600 desalojos en la Ciudad</v>
      </c>
      <c r="C304" s="3">
        <f>IFERROR(__xludf.DUMMYFUNCTION("""COMPUTED_VALUE"""),46094.0)</f>
        <v>46094</v>
      </c>
      <c r="D304" s="3">
        <f>IFERROR(__xludf.DUMMYFUNCTION("""COMPUTED_VALUE"""),46112.0)</f>
        <v>46112</v>
      </c>
      <c r="E304" s="2" t="str">
        <f>IFERROR(__xludf.DUMMYFUNCTION("""COMPUTED_VALUE"""),"M2")</f>
        <v>M2</v>
      </c>
      <c r="F304" s="2" t="str">
        <f>IFERROR(__xludf.DUMMYFUNCTION("""COMPUTED_VALUE"""),"Seguridad")</f>
        <v>Seguridad</v>
      </c>
      <c r="G304" s="2" t="str">
        <f>IFERROR(__xludf.DUMMYFUNCTION("""COMPUTED_VALUE"""),"Finalizada")</f>
        <v>Finalizada</v>
      </c>
      <c r="H304" s="4">
        <v>1.2263676E7</v>
      </c>
      <c r="I304" s="4">
        <v>4627102.0</v>
      </c>
      <c r="J304" s="4">
        <v>10298.0</v>
      </c>
      <c r="K304" s="4">
        <v>99201.0</v>
      </c>
      <c r="L304" s="5">
        <v>64.14874850051915</v>
      </c>
      <c r="M304" s="5">
        <v>123.62451991411378</v>
      </c>
      <c r="N304" s="4">
        <v>342291.0</v>
      </c>
      <c r="O304" s="4">
        <v>339079.0</v>
      </c>
      <c r="P304" s="4">
        <v>82411.0</v>
      </c>
      <c r="Q304" s="4">
        <v>809.0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/>
      <c r="AE304" s="6" t="s">
        <v>9</v>
      </c>
    </row>
    <row r="305" ht="16.5" customHeight="1">
      <c r="A305" s="2" t="str">
        <f>IFERROR(__xludf.DUMMYFUNCTION("""COMPUTED_VALUE"""),"2736-MARJDGVC")</f>
        <v>2736-MARJDGVC</v>
      </c>
      <c r="B305" s="2" t="str">
        <f>IFERROR(__xludf.DUMMYFUNCTION("""COMPUTED_VALUE"""),"RDV MINISTROS | GABRIEL SÁNCHEZ ZINNY 20/3 PUERTO MADERO")</f>
        <v>RDV MINISTROS | GABRIEL SÁNCHEZ ZINNY 20/3 PUERTO MADERO</v>
      </c>
      <c r="C305" s="3">
        <f>IFERROR(__xludf.DUMMYFUNCTION("""COMPUTED_VALUE"""),46098.0)</f>
        <v>46098</v>
      </c>
      <c r="D305" s="3">
        <f>IFERROR(__xludf.DUMMYFUNCTION("""COMPUTED_VALUE"""),46102.0)</f>
        <v>46102</v>
      </c>
      <c r="E305" s="2" t="str">
        <f>IFERROR(__xludf.DUMMYFUNCTION("""COMPUTED_VALUE"""),"Cercanía")</f>
        <v>Cercanía</v>
      </c>
      <c r="F305" s="2" t="str">
        <f>IFERROR(__xludf.DUMMYFUNCTION("""COMPUTED_VALUE"""),"Jefatura de Gabinete")</f>
        <v>Jefatura de Gabinete</v>
      </c>
      <c r="G305" s="2" t="str">
        <f>IFERROR(__xludf.DUMMYFUNCTION("""COMPUTED_VALUE"""),"Finalizada")</f>
        <v>Finalizada</v>
      </c>
      <c r="H305" s="4">
        <v>28410.0</v>
      </c>
      <c r="I305" s="4">
        <v>0.0</v>
      </c>
      <c r="J305" s="4">
        <v>51.0</v>
      </c>
      <c r="K305" s="4">
        <v>21218.0</v>
      </c>
      <c r="L305" s="5">
        <v>1.3389574889244982</v>
      </c>
      <c r="M305" s="5">
        <v>1.3389574889244982</v>
      </c>
      <c r="N305" s="4">
        <v>2583.0</v>
      </c>
      <c r="O305" s="4">
        <v>2556.0</v>
      </c>
      <c r="P305" s="4">
        <v>961.0</v>
      </c>
      <c r="Q305" s="4">
        <v>28.0</v>
      </c>
      <c r="R305" s="4">
        <v>23.0</v>
      </c>
      <c r="S305" s="4">
        <v>23.0</v>
      </c>
      <c r="T305" s="4">
        <v>10.0</v>
      </c>
      <c r="U305" s="4">
        <v>10.0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/>
      <c r="AE305" s="6" t="s">
        <v>9</v>
      </c>
    </row>
    <row r="306" ht="16.5" customHeight="1">
      <c r="A306" s="2" t="str">
        <f>IFERROR(__xludf.DUMMYFUNCTION("""COMPUTED_VALUE"""),"2737-MARSALGJ")</f>
        <v>2737-MARSALGJ</v>
      </c>
      <c r="B306" s="2" t="str">
        <f>IFERROR(__xludf.DUMMYFUNCTION("""COMPUTED_VALUE"""),"CAMPAÑA GCBA/AGENDA JM | SALUD | HTAL. ZUBIZARRETA: RECORRIDA OBRAS")</f>
        <v>CAMPAÑA GCBA/AGENDA JM | SALUD | HTAL. ZUBIZARRETA: RECORRIDA OBRAS</v>
      </c>
      <c r="C306" s="3">
        <f>IFERROR(__xludf.DUMMYFUNCTION("""COMPUTED_VALUE"""),46108.0)</f>
        <v>46108</v>
      </c>
      <c r="D306" s="3">
        <f>IFERROR(__xludf.DUMMYFUNCTION("""COMPUTED_VALUE"""),46126.0)</f>
        <v>46126</v>
      </c>
      <c r="E306" s="2" t="str">
        <f>IFERROR(__xludf.DUMMYFUNCTION("""COMPUTED_VALUE"""),"Cuidado")</f>
        <v>Cuidado</v>
      </c>
      <c r="F306" s="2" t="str">
        <f>IFERROR(__xludf.DUMMYFUNCTION("""COMPUTED_VALUE"""),"Salud")</f>
        <v>Salud</v>
      </c>
      <c r="G306" s="2" t="str">
        <f>IFERROR(__xludf.DUMMYFUNCTION("""COMPUTED_VALUE"""),"Finalizada")</f>
        <v>Finalizada</v>
      </c>
      <c r="H306" s="4">
        <v>5272689.0</v>
      </c>
      <c r="I306" s="4">
        <v>2611963.0</v>
      </c>
      <c r="J306" s="4">
        <v>5775.0</v>
      </c>
      <c r="K306" s="4">
        <v>147053.0</v>
      </c>
      <c r="L306" s="5">
        <v>12.937634730335322</v>
      </c>
      <c r="M306" s="5">
        <v>35.8557050859214</v>
      </c>
      <c r="N306" s="4">
        <v>272606.0</v>
      </c>
      <c r="O306" s="4">
        <v>269530.0</v>
      </c>
      <c r="P306" s="4">
        <v>63488.0</v>
      </c>
      <c r="Q306" s="4">
        <v>1372.0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  <c r="AD306" s="4"/>
      <c r="AE306" s="6" t="s">
        <v>9</v>
      </c>
    </row>
    <row r="307" ht="16.5" customHeight="1">
      <c r="A307" s="2" t="str">
        <f>IFERROR(__xludf.DUMMYFUNCTION("""COMPUTED_VALUE"""),"2738-MARCULGC")</f>
        <v>2738-MARCULGC</v>
      </c>
      <c r="B307" s="2" t="str">
        <f>IFERROR(__xludf.DUMMYFUNCTION("""COMPUTED_VALUE"""),"Bafici 2026")</f>
        <v>Bafici 2026</v>
      </c>
      <c r="C307" s="3">
        <f>IFERROR(__xludf.DUMMYFUNCTION("""COMPUTED_VALUE"""),46113.0)</f>
        <v>46113</v>
      </c>
      <c r="D307" s="3">
        <f>IFERROR(__xludf.DUMMYFUNCTION("""COMPUTED_VALUE"""),46150.0)</f>
        <v>46150</v>
      </c>
      <c r="E307" s="2" t="str">
        <f>IFERROR(__xludf.DUMMYFUNCTION("""COMPUTED_VALUE"""),"Ciudad Atractiva")</f>
        <v>Ciudad Atractiva</v>
      </c>
      <c r="F307" s="2" t="str">
        <f>IFERROR(__xludf.DUMMYFUNCTION("""COMPUTED_VALUE"""),"Cultura")</f>
        <v>Cultura</v>
      </c>
      <c r="G307" s="2" t="str">
        <f>IFERROR(__xludf.DUMMYFUNCTION("""COMPUTED_VALUE"""),"Finalizada")</f>
        <v>Finalizada</v>
      </c>
      <c r="H307" s="4">
        <v>2.0502401E7</v>
      </c>
      <c r="I307" s="4">
        <v>7695153.0</v>
      </c>
      <c r="J307" s="4">
        <v>79958.0</v>
      </c>
      <c r="K307" s="4">
        <v>1495402.0</v>
      </c>
      <c r="L307" s="5">
        <v>3.287041210323378</v>
      </c>
      <c r="M307" s="5">
        <v>13.710293954401559</v>
      </c>
      <c r="N307" s="4">
        <v>430779.0</v>
      </c>
      <c r="O307" s="4">
        <v>426951.0</v>
      </c>
      <c r="P307" s="4">
        <v>147571.0</v>
      </c>
      <c r="Q307" s="4">
        <v>6323.0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6" t="s">
        <v>55</v>
      </c>
      <c r="AE307" s="6" t="s">
        <v>9</v>
      </c>
    </row>
    <row r="308" ht="16.5" customHeight="1">
      <c r="A308" s="2" t="str">
        <f>IFERROR(__xludf.DUMMYFUNCTION("""COMPUTED_VALUE"""),"2739-MARSEGGJ")</f>
        <v>2739-MARSEGGJ</v>
      </c>
      <c r="B308" s="2" t="str">
        <f>IFERROR(__xludf.DUMMYFUNCTION("""COMPUTED_VALUE"""),"CAMPAÑA JM + GCBA | SEGURIDAD | Operativo de Seguridad en Subte")</f>
        <v>CAMPAÑA JM + GCBA | SEGURIDAD | Operativo de Seguridad en Subte</v>
      </c>
      <c r="C308" s="3">
        <f>IFERROR(__xludf.DUMMYFUNCTION("""COMPUTED_VALUE"""),46099.0)</f>
        <v>46099</v>
      </c>
      <c r="D308" s="3">
        <f>IFERROR(__xludf.DUMMYFUNCTION("""COMPUTED_VALUE"""),46119.0)</f>
        <v>46119</v>
      </c>
      <c r="E308" s="2" t="str">
        <f>IFERROR(__xludf.DUMMYFUNCTION("""COMPUTED_VALUE"""),"M2")</f>
        <v>M2</v>
      </c>
      <c r="F308" s="2" t="str">
        <f>IFERROR(__xludf.DUMMYFUNCTION("""COMPUTED_VALUE"""),"Seguridad")</f>
        <v>Seguridad</v>
      </c>
      <c r="G308" s="2" t="str">
        <f>IFERROR(__xludf.DUMMYFUNCTION("""COMPUTED_VALUE"""),"Finalizada")</f>
        <v>Finalizada</v>
      </c>
      <c r="H308" s="4">
        <v>9045006.0</v>
      </c>
      <c r="I308" s="4">
        <v>4543445.0</v>
      </c>
      <c r="J308" s="4">
        <v>10173.0</v>
      </c>
      <c r="K308" s="4">
        <v>1943674.0</v>
      </c>
      <c r="L308" s="5">
        <v>1.5130371656975399</v>
      </c>
      <c r="M308" s="5">
        <v>4.653561245352873</v>
      </c>
      <c r="N308" s="4">
        <v>588689.0</v>
      </c>
      <c r="O308" s="4">
        <v>583369.0</v>
      </c>
      <c r="P308" s="4">
        <v>179546.0</v>
      </c>
      <c r="Q308" s="4">
        <v>1188.0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/>
      <c r="AE308" s="6" t="s">
        <v>9</v>
      </c>
    </row>
    <row r="309" ht="16.5" customHeight="1">
      <c r="A309" s="2" t="str">
        <f>IFERROR(__xludf.DUMMYFUNCTION("""COMPUTED_VALUE"""),"2740-MARAMBVC")</f>
        <v>2740-MARAMBVC</v>
      </c>
      <c r="B309" s="2" t="str">
        <f>IFERROR(__xludf.DUMMYFUNCTION("""COMPUTED_VALUE"""),"RDV Ministros | Clara Muzzio - 20/03")</f>
        <v>RDV Ministros | Clara Muzzio - 20/03</v>
      </c>
      <c r="C309" s="3">
        <f>IFERROR(__xludf.DUMMYFUNCTION("""COMPUTED_VALUE"""),46098.0)</f>
        <v>46098</v>
      </c>
      <c r="D309" s="3">
        <f>IFERROR(__xludf.DUMMYFUNCTION("""COMPUTED_VALUE"""),46101.0)</f>
        <v>46101</v>
      </c>
      <c r="E309" s="2" t="str">
        <f>IFERROR(__xludf.DUMMYFUNCTION("""COMPUTED_VALUE"""),"Cercanía")</f>
        <v>Cercanía</v>
      </c>
      <c r="F309" s="2" t="str">
        <f>IFERROR(__xludf.DUMMYFUNCTION("""COMPUTED_VALUE"""),"Vicejefatura (Ambiente)")</f>
        <v>Vicejefatura (Ambiente)</v>
      </c>
      <c r="G309" s="2" t="str">
        <f>IFERROR(__xludf.DUMMYFUNCTION("""COMPUTED_VALUE"""),"Finalizada")</f>
        <v>Finalizada</v>
      </c>
      <c r="H309" s="4">
        <v>540772.0</v>
      </c>
      <c r="I309" s="4">
        <v>0.0</v>
      </c>
      <c r="J309" s="4">
        <v>818.0</v>
      </c>
      <c r="K309" s="4">
        <v>442206.0</v>
      </c>
      <c r="L309" s="5">
        <v>1.222896116289693</v>
      </c>
      <c r="M309" s="5">
        <v>1.222896116289693</v>
      </c>
      <c r="N309" s="4">
        <v>21007.0</v>
      </c>
      <c r="O309" s="4">
        <v>20803.0</v>
      </c>
      <c r="P309" s="4">
        <v>5332.0</v>
      </c>
      <c r="Q309" s="4">
        <v>73.0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/>
      <c r="AE309" s="6" t="s">
        <v>9</v>
      </c>
    </row>
    <row r="310" ht="16.5" customHeight="1">
      <c r="A310" s="2" t="str">
        <f>IFERROR(__xludf.DUMMYFUNCTION("""COMPUTED_VALUE"""),"2741-MAREMECG")</f>
        <v>2741-MAREMECG</v>
      </c>
      <c r="B310" s="2" t="str">
        <f>IFERROR(__xludf.DUMMYFUNCTION("""COMPUTED_VALUE"""),"Alerta Amarilla 17/03")</f>
        <v>Alerta Amarilla 17/03</v>
      </c>
      <c r="C310" s="3">
        <f>IFERROR(__xludf.DUMMYFUNCTION("""COMPUTED_VALUE"""),46098.0)</f>
        <v>46098</v>
      </c>
      <c r="D310" s="3">
        <f>IFERROR(__xludf.DUMMYFUNCTION("""COMPUTED_VALUE"""),46098.0)</f>
        <v>46098</v>
      </c>
      <c r="E310" s="2" t="str">
        <f>IFERROR(__xludf.DUMMYFUNCTION("""COMPUTED_VALUE"""),"Cuidado")</f>
        <v>Cuidado</v>
      </c>
      <c r="F310" s="2" t="str">
        <f>IFERROR(__xludf.DUMMYFUNCTION("""COMPUTED_VALUE"""),"Emergencias")</f>
        <v>Emergencias</v>
      </c>
      <c r="G310" s="2" t="str">
        <f>IFERROR(__xludf.DUMMYFUNCTION("""COMPUTED_VALUE"""),"Finalizada")</f>
        <v>Finalizada</v>
      </c>
      <c r="H310" s="4">
        <v>142123.0</v>
      </c>
      <c r="I310" s="4">
        <v>12518.0</v>
      </c>
      <c r="J310" s="4">
        <v>2.0</v>
      </c>
      <c r="K310" s="4">
        <v>142123.0</v>
      </c>
      <c r="L310" s="5">
        <v>1.0</v>
      </c>
      <c r="M310" s="5">
        <v>1.0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  <c r="AD310" s="4"/>
      <c r="AE310" s="4" t="s">
        <v>8</v>
      </c>
    </row>
    <row r="311" ht="16.5" customHeight="1">
      <c r="A311" s="2" t="str">
        <f>IFERROR(__xludf.DUMMYFUNCTION("""COMPUTED_VALUE"""),"2743-MARPCCVC")</f>
        <v>2743-MARPCCVC</v>
      </c>
      <c r="B311" s="2" t="str">
        <f>IFERROR(__xludf.DUMMYFUNCTION("""COMPUTED_VALUE"""),"Visitas al monumento Las Nereidas")</f>
        <v>Visitas al monumento Las Nereidas</v>
      </c>
      <c r="C311" s="3">
        <f>IFERROR(__xludf.DUMMYFUNCTION("""COMPUTED_VALUE"""),46102.0)</f>
        <v>46102</v>
      </c>
      <c r="D311" s="3">
        <f>IFERROR(__xludf.DUMMYFUNCTION("""COMPUTED_VALUE"""),46102.0)</f>
        <v>46102</v>
      </c>
      <c r="E311" s="2" t="str">
        <f>IFERROR(__xludf.DUMMYFUNCTION("""COMPUTED_VALUE"""),"Cercanía")</f>
        <v>Cercanía</v>
      </c>
      <c r="F311" s="2" t="str">
        <f>IFERROR(__xludf.DUMMYFUNCTION("""COMPUTED_VALUE"""),"Cercanía y PC")</f>
        <v>Cercanía y PC</v>
      </c>
      <c r="G311" s="2" t="str">
        <f>IFERROR(__xludf.DUMMYFUNCTION("""COMPUTED_VALUE"""),"Finalizada")</f>
        <v>Finalizada</v>
      </c>
      <c r="H311" s="4">
        <v>0.0</v>
      </c>
      <c r="I311" s="4">
        <v>0.0</v>
      </c>
      <c r="J311" s="4">
        <v>0.0</v>
      </c>
      <c r="K311" s="4">
        <v>0.0</v>
      </c>
      <c r="L311" s="5">
        <v>0.0</v>
      </c>
      <c r="M311" s="5">
        <v>0.0</v>
      </c>
      <c r="N311" s="4">
        <v>50512.0</v>
      </c>
      <c r="O311" s="4">
        <v>49840.0</v>
      </c>
      <c r="P311" s="4">
        <v>11444.0</v>
      </c>
      <c r="Q311" s="4">
        <v>282.0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  <c r="AD311" s="4" t="s">
        <v>8</v>
      </c>
      <c r="AE311" s="6" t="s">
        <v>9</v>
      </c>
    </row>
    <row r="312" ht="16.5" customHeight="1">
      <c r="A312" s="2" t="str">
        <f>IFERROR(__xludf.DUMMYFUNCTION("""COMPUTED_VALUE"""),"2744-MARSALGC")</f>
        <v>2744-MARSALGC</v>
      </c>
      <c r="B312" s="2" t="str">
        <f>IFERROR(__xludf.DUMMYFUNCTION("""COMPUTED_VALUE"""),"Vacunación Antigripal 2026")</f>
        <v>Vacunación Antigripal 2026</v>
      </c>
      <c r="C312" s="3">
        <f>IFERROR(__xludf.DUMMYFUNCTION("""COMPUTED_VALUE"""),46126.0)</f>
        <v>46126</v>
      </c>
      <c r="D312" s="3">
        <f>IFERROR(__xludf.DUMMYFUNCTION("""COMPUTED_VALUE"""),46177.0)</f>
        <v>46177</v>
      </c>
      <c r="E312" s="2" t="str">
        <f>IFERROR(__xludf.DUMMYFUNCTION("""COMPUTED_VALUE"""),"Cuidado")</f>
        <v>Cuidado</v>
      </c>
      <c r="F312" s="2" t="str">
        <f>IFERROR(__xludf.DUMMYFUNCTION("""COMPUTED_VALUE"""),"Salud")</f>
        <v>Salud</v>
      </c>
      <c r="G312" s="2" t="str">
        <f>IFERROR(__xludf.DUMMYFUNCTION("""COMPUTED_VALUE"""),"Finalizada")</f>
        <v>Finalizada</v>
      </c>
      <c r="H312" s="4">
        <v>1.7722046E7</v>
      </c>
      <c r="I312" s="4">
        <v>5380941.0</v>
      </c>
      <c r="J312" s="4">
        <v>59950.0</v>
      </c>
      <c r="K312" s="4">
        <v>1384843.0</v>
      </c>
      <c r="L312" s="5">
        <v>1.8219567127826042</v>
      </c>
      <c r="M312" s="5">
        <v>12.797151734889804</v>
      </c>
      <c r="N312" s="4">
        <v>256321.0</v>
      </c>
      <c r="O312" s="4">
        <v>253938.0</v>
      </c>
      <c r="P312" s="4">
        <v>100361.0</v>
      </c>
      <c r="Q312" s="4">
        <v>16807.0</v>
      </c>
      <c r="R312" s="4">
        <v>48000.0</v>
      </c>
      <c r="S312" s="4">
        <v>43821.0</v>
      </c>
      <c r="T312" s="4">
        <v>7242.0</v>
      </c>
      <c r="U312" s="4">
        <v>5739.0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9553.0</v>
      </c>
      <c r="AB312" s="4">
        <v>9059.0</v>
      </c>
      <c r="AC312" s="4">
        <v>163.0</v>
      </c>
      <c r="AD312" s="6" t="s">
        <v>56</v>
      </c>
      <c r="AE312" s="6" t="s">
        <v>9</v>
      </c>
    </row>
    <row r="313" ht="16.5" customHeight="1">
      <c r="A313" s="2" t="str">
        <f>IFERROR(__xludf.DUMMYFUNCTION("""COMPUTED_VALUE"""),"2745-MARPCCVC")</f>
        <v>2745-MARPCCVC</v>
      </c>
      <c r="B313" s="2" t="str">
        <f>IFERROR(__xludf.DUMMYFUNCTION("""COMPUTED_VALUE"""),"Voluntarios | Jornada de adopción perros y gatos")</f>
        <v>Voluntarios | Jornada de adopción perros y gatos</v>
      </c>
      <c r="C313" s="3">
        <f>IFERROR(__xludf.DUMMYFUNCTION("""COMPUTED_VALUE"""),46102.0)</f>
        <v>46102</v>
      </c>
      <c r="D313" s="3">
        <f>IFERROR(__xludf.DUMMYFUNCTION("""COMPUTED_VALUE"""),46102.0)</f>
        <v>46102</v>
      </c>
      <c r="E313" s="2" t="str">
        <f>IFERROR(__xludf.DUMMYFUNCTION("""COMPUTED_VALUE"""),"Cercanía")</f>
        <v>Cercanía</v>
      </c>
      <c r="F313" s="2" t="str">
        <f>IFERROR(__xludf.DUMMYFUNCTION("""COMPUTED_VALUE"""),"Cercanía y PC")</f>
        <v>Cercanía y PC</v>
      </c>
      <c r="G313" s="2" t="str">
        <f>IFERROR(__xludf.DUMMYFUNCTION("""COMPUTED_VALUE"""),"Finalizada")</f>
        <v>Finalizada</v>
      </c>
      <c r="H313" s="4">
        <v>0.0</v>
      </c>
      <c r="I313" s="4">
        <v>0.0</v>
      </c>
      <c r="J313" s="4">
        <v>0.0</v>
      </c>
      <c r="K313" s="4">
        <v>0.0</v>
      </c>
      <c r="L313" s="5">
        <v>0.0</v>
      </c>
      <c r="M313" s="5">
        <v>0.0</v>
      </c>
      <c r="N313" s="4">
        <v>38772.0</v>
      </c>
      <c r="O313" s="4">
        <v>38537.0</v>
      </c>
      <c r="P313" s="4">
        <v>20861.0</v>
      </c>
      <c r="Q313" s="4">
        <v>332.0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 t="s">
        <v>8</v>
      </c>
      <c r="AE313" s="6" t="s">
        <v>9</v>
      </c>
    </row>
    <row r="314" ht="16.5" customHeight="1">
      <c r="A314" s="2" t="str">
        <f>IFERROR(__xludf.DUMMYFUNCTION("""COMPUTED_VALUE"""),"2746-MARDECGC")</f>
        <v>2746-MARDECGC</v>
      </c>
      <c r="B314" s="2" t="str">
        <f>IFERROR(__xludf.DUMMYFUNCTION("""COMPUTED_VALUE"""),"Anuncio Créditos Hipotecarios")</f>
        <v>Anuncio Créditos Hipotecarios</v>
      </c>
      <c r="C314" s="3">
        <f>IFERROR(__xludf.DUMMYFUNCTION("""COMPUTED_VALUE"""),46100.0)</f>
        <v>46100</v>
      </c>
      <c r="D314" s="3">
        <f>IFERROR(__xludf.DUMMYFUNCTION("""COMPUTED_VALUE"""),46112.0)</f>
        <v>46112</v>
      </c>
      <c r="E314" s="2" t="str">
        <f>IFERROR(__xludf.DUMMYFUNCTION("""COMPUTED_VALUE"""),"Reforma del Estado")</f>
        <v>Reforma del Estado</v>
      </c>
      <c r="F314" s="2" t="str">
        <f>IFERROR(__xludf.DUMMYFUNCTION("""COMPUTED_VALUE"""),"Desarrollo Económico")</f>
        <v>Desarrollo Económico</v>
      </c>
      <c r="G314" s="2" t="str">
        <f>IFERROR(__xludf.DUMMYFUNCTION("""COMPUTED_VALUE"""),"Finalizada")</f>
        <v>Finalizada</v>
      </c>
      <c r="H314" s="4">
        <v>65415.0</v>
      </c>
      <c r="I314" s="4">
        <v>38560.0</v>
      </c>
      <c r="J314" s="4">
        <v>24.0</v>
      </c>
      <c r="K314" s="4">
        <v>99477.0</v>
      </c>
      <c r="L314" s="5">
        <v>0.012646139308583893</v>
      </c>
      <c r="M314" s="5">
        <v>0.6575891914713954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0.0</v>
      </c>
      <c r="AB314" s="4">
        <v>0.0</v>
      </c>
      <c r="AC314" s="4">
        <v>0.0</v>
      </c>
      <c r="AD314" s="4"/>
      <c r="AE314" s="6" t="s">
        <v>9</v>
      </c>
    </row>
    <row r="315" ht="16.5" customHeight="1">
      <c r="A315" s="2" t="str">
        <f>IFERROR(__xludf.DUMMYFUNCTION("""COMPUTED_VALUE"""),"2747-MAREPHGC")</f>
        <v>2747-MAREPHGC</v>
      </c>
      <c r="B315" s="2" t="str">
        <f>IFERROR(__xludf.DUMMYFUNCTION("""COMPUTED_VALUE"""),"CAMPAÑA GCBA | MEPHU | CD durante de las obras en Mataderos")</f>
        <v>CAMPAÑA GCBA | MEPHU | CD durante de las obras en Mataderos</v>
      </c>
      <c r="C315" s="3">
        <f>IFERROR(__xludf.DUMMYFUNCTION("""COMPUTED_VALUE"""),46115.0)</f>
        <v>46115</v>
      </c>
      <c r="D315" s="3">
        <f>IFERROR(__xludf.DUMMYFUNCTION("""COMPUTED_VALUE"""),46115.0)</f>
        <v>46115</v>
      </c>
      <c r="E315" s="2" t="str">
        <f>IFERROR(__xludf.DUMMYFUNCTION("""COMPUTED_VALUE"""),"M2")</f>
        <v>M2</v>
      </c>
      <c r="F315" s="2" t="str">
        <f>IFERROR(__xludf.DUMMYFUNCTION("""COMPUTED_VALUE"""),"Espacio Público e Higiene Urbana")</f>
        <v>Espacio Público e Higiene Urbana</v>
      </c>
      <c r="G315" s="2" t="str">
        <f>IFERROR(__xludf.DUMMYFUNCTION("""COMPUTED_VALUE"""),"Finalizada")</f>
        <v>Finalizada</v>
      </c>
      <c r="H315" s="4">
        <v>0.0</v>
      </c>
      <c r="I315" s="4">
        <v>0.0</v>
      </c>
      <c r="J315" s="4">
        <v>0.0</v>
      </c>
      <c r="K315" s="4">
        <v>0.0</v>
      </c>
      <c r="L315" s="5">
        <v>0.0</v>
      </c>
      <c r="M315" s="5">
        <v>0.0</v>
      </c>
      <c r="N315" s="4">
        <v>28012.0</v>
      </c>
      <c r="O315" s="4">
        <v>27672.0</v>
      </c>
      <c r="P315" s="4">
        <v>6722.0</v>
      </c>
      <c r="Q315" s="4">
        <v>249.0</v>
      </c>
      <c r="R315" s="4">
        <v>0.0</v>
      </c>
      <c r="S315" s="4">
        <v>0.0</v>
      </c>
      <c r="T315" s="4">
        <v>0.0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0.0</v>
      </c>
      <c r="AD315" s="4" t="s">
        <v>8</v>
      </c>
      <c r="AE315" s="6" t="s">
        <v>9</v>
      </c>
    </row>
    <row r="316" ht="16.5" customHeight="1">
      <c r="A316" s="2" t="str">
        <f>IFERROR(__xludf.DUMMYFUNCTION("""COMPUTED_VALUE"""),"2749-MARTURGC")</f>
        <v>2749-MARTURGC</v>
      </c>
      <c r="B316" s="2" t="str">
        <f>IFERROR(__xludf.DUMMYFUNCTION("""COMPUTED_VALUE"""),"Informe mensual Observatorio Turismo 20/3")</f>
        <v>Informe mensual Observatorio Turismo 20/3</v>
      </c>
      <c r="C316" s="3">
        <f>IFERROR(__xludf.DUMMYFUNCTION("""COMPUTED_VALUE"""),46101.0)</f>
        <v>46101</v>
      </c>
      <c r="D316" s="3">
        <f>IFERROR(__xludf.DUMMYFUNCTION("""COMPUTED_VALUE"""),46101.0)</f>
        <v>46101</v>
      </c>
      <c r="E316" s="2" t="str">
        <f>IFERROR(__xludf.DUMMYFUNCTION("""COMPUTED_VALUE"""),"Ciudad Atractiva")</f>
        <v>Ciudad Atractiva</v>
      </c>
      <c r="F316" s="2" t="str">
        <f>IFERROR(__xludf.DUMMYFUNCTION("""COMPUTED_VALUE"""),"Turismo")</f>
        <v>Turismo</v>
      </c>
      <c r="G316" s="2" t="str">
        <f>IFERROR(__xludf.DUMMYFUNCTION("""COMPUTED_VALUE"""),"Finalizada")</f>
        <v>Finalizada</v>
      </c>
      <c r="H316" s="4">
        <v>0.0</v>
      </c>
      <c r="I316" s="4">
        <v>0.0</v>
      </c>
      <c r="J316" s="4">
        <v>0.0</v>
      </c>
      <c r="K316" s="4">
        <v>0.0</v>
      </c>
      <c r="L316" s="5">
        <v>0.0</v>
      </c>
      <c r="M316" s="5">
        <v>0.0</v>
      </c>
      <c r="N316" s="4">
        <v>310.0</v>
      </c>
      <c r="O316" s="4">
        <v>303.0</v>
      </c>
      <c r="P316" s="4">
        <v>107.0</v>
      </c>
      <c r="Q316" s="4">
        <v>8.0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 t="s">
        <v>8</v>
      </c>
      <c r="AE316" s="6" t="s">
        <v>9</v>
      </c>
    </row>
    <row r="317" ht="16.5" customHeight="1">
      <c r="A317" s="2" t="str">
        <f>IFERROR(__xludf.DUMMYFUNCTION("""COMPUTED_VALUE"""),"2750-MARSALVC")</f>
        <v>2750-MARSALVC</v>
      </c>
      <c r="B317" s="2" t="str">
        <f>IFERROR(__xludf.DUMMYFUNCTION("""COMPUTED_VALUE"""),"RDV Ministros | Fernán Quirós - 25/03")</f>
        <v>RDV Ministros | Fernán Quirós - 25/03</v>
      </c>
      <c r="C317" s="3">
        <f>IFERROR(__xludf.DUMMYFUNCTION("""COMPUTED_VALUE"""),46099.0)</f>
        <v>46099</v>
      </c>
      <c r="D317" s="3">
        <f>IFERROR(__xludf.DUMMYFUNCTION("""COMPUTED_VALUE"""),46106.0)</f>
        <v>46106</v>
      </c>
      <c r="E317" s="2" t="str">
        <f>IFERROR(__xludf.DUMMYFUNCTION("""COMPUTED_VALUE"""),"Cercanía")</f>
        <v>Cercanía</v>
      </c>
      <c r="F317" s="2" t="str">
        <f>IFERROR(__xludf.DUMMYFUNCTION("""COMPUTED_VALUE"""),"Salud")</f>
        <v>Salud</v>
      </c>
      <c r="G317" s="2" t="str">
        <f>IFERROR(__xludf.DUMMYFUNCTION("""COMPUTED_VALUE"""),"Finalizada")</f>
        <v>Finalizada</v>
      </c>
      <c r="H317" s="4">
        <v>445858.0</v>
      </c>
      <c r="I317" s="4">
        <v>0.0</v>
      </c>
      <c r="J317" s="4">
        <v>511.0</v>
      </c>
      <c r="K317" s="4">
        <v>310356.0</v>
      </c>
      <c r="L317" s="5">
        <v>1.4366018378893914</v>
      </c>
      <c r="M317" s="5">
        <v>1.4366018378893914</v>
      </c>
      <c r="N317" s="4">
        <v>67519.0</v>
      </c>
      <c r="O317" s="4">
        <v>66741.0</v>
      </c>
      <c r="P317" s="4">
        <v>9913.0</v>
      </c>
      <c r="Q317" s="4">
        <v>253.0</v>
      </c>
      <c r="R317" s="4">
        <v>113.0</v>
      </c>
      <c r="S317" s="4">
        <v>112.0</v>
      </c>
      <c r="T317" s="4">
        <v>32.0</v>
      </c>
      <c r="U317" s="4">
        <v>29.0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/>
      <c r="AE317" s="6" t="s">
        <v>9</v>
      </c>
    </row>
    <row r="318" ht="16.5" customHeight="1">
      <c r="A318" s="2" t="str">
        <f>IFERROR(__xludf.DUMMYFUNCTION("""COMPUTED_VALUE"""),"2751-MARAMBVC")</f>
        <v>2751-MARAMBVC</v>
      </c>
      <c r="B318" s="2" t="str">
        <f>IFERROR(__xludf.DUMMYFUNCTION("""COMPUTED_VALUE"""),"RDV Ministros | Clara Muzzio - 25/03")</f>
        <v>RDV Ministros | Clara Muzzio - 25/03</v>
      </c>
      <c r="C318" s="3">
        <f>IFERROR(__xludf.DUMMYFUNCTION("""COMPUTED_VALUE"""),46100.0)</f>
        <v>46100</v>
      </c>
      <c r="D318" s="3">
        <f>IFERROR(__xludf.DUMMYFUNCTION("""COMPUTED_VALUE"""),46107.0)</f>
        <v>46107</v>
      </c>
      <c r="E318" s="2" t="str">
        <f>IFERROR(__xludf.DUMMYFUNCTION("""COMPUTED_VALUE"""),"Cercanía")</f>
        <v>Cercanía</v>
      </c>
      <c r="F318" s="2" t="str">
        <f>IFERROR(__xludf.DUMMYFUNCTION("""COMPUTED_VALUE"""),"Vicejefatura (Ambiente)")</f>
        <v>Vicejefatura (Ambiente)</v>
      </c>
      <c r="G318" s="2" t="str">
        <f>IFERROR(__xludf.DUMMYFUNCTION("""COMPUTED_VALUE"""),"Finalizada")</f>
        <v>Finalizada</v>
      </c>
      <c r="H318" s="4">
        <v>81650.0</v>
      </c>
      <c r="I318" s="4">
        <v>0.0</v>
      </c>
      <c r="J318" s="4">
        <v>256.0</v>
      </c>
      <c r="K318" s="4">
        <v>55107.0</v>
      </c>
      <c r="L318" s="5">
        <v>1.4816629466310995</v>
      </c>
      <c r="M318" s="5">
        <v>1.4816629466310995</v>
      </c>
      <c r="N318" s="4">
        <v>31599.0</v>
      </c>
      <c r="O318" s="4">
        <v>31386.0</v>
      </c>
      <c r="P318" s="4">
        <v>9857.0</v>
      </c>
      <c r="Q318" s="4">
        <v>194.0</v>
      </c>
      <c r="R318" s="4">
        <v>0.0</v>
      </c>
      <c r="S318" s="4">
        <v>0.0</v>
      </c>
      <c r="T318" s="4">
        <v>0.0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/>
      <c r="AE318" s="6" t="s">
        <v>9</v>
      </c>
    </row>
    <row r="319" ht="16.5" customHeight="1">
      <c r="A319" s="2" t="str">
        <f>IFERROR(__xludf.DUMMYFUNCTION("""COMPUTED_VALUE"""),"2752-MARCULVC")</f>
        <v>2752-MARCULVC</v>
      </c>
      <c r="B319" s="2" t="str">
        <f>IFERROR(__xludf.DUMMYFUNCTION("""COMPUTED_VALUE"""),"RDV Ministros| Gabriela Ricardes 25/3 Comuna 1")</f>
        <v>RDV Ministros| Gabriela Ricardes 25/3 Comuna 1</v>
      </c>
      <c r="C319" s="3">
        <f>IFERROR(__xludf.DUMMYFUNCTION("""COMPUTED_VALUE"""),46099.0)</f>
        <v>46099</v>
      </c>
      <c r="D319" s="3">
        <f>IFERROR(__xludf.DUMMYFUNCTION("""COMPUTED_VALUE"""),46108.0)</f>
        <v>46108</v>
      </c>
      <c r="E319" s="2" t="str">
        <f>IFERROR(__xludf.DUMMYFUNCTION("""COMPUTED_VALUE"""),"Cercanía")</f>
        <v>Cercanía</v>
      </c>
      <c r="F319" s="2" t="str">
        <f>IFERROR(__xludf.DUMMYFUNCTION("""COMPUTED_VALUE"""),"Cultura")</f>
        <v>Cultura</v>
      </c>
      <c r="G319" s="2" t="str">
        <f>IFERROR(__xludf.DUMMYFUNCTION("""COMPUTED_VALUE"""),"Finalizada")</f>
        <v>Finalizada</v>
      </c>
      <c r="H319" s="4">
        <v>245241.0</v>
      </c>
      <c r="I319" s="4">
        <v>0.0</v>
      </c>
      <c r="J319" s="4">
        <v>630.0</v>
      </c>
      <c r="K319" s="4">
        <v>159974.0</v>
      </c>
      <c r="L319" s="5">
        <v>1.533005363371548</v>
      </c>
      <c r="M319" s="5">
        <v>1.533005363371548</v>
      </c>
      <c r="N319" s="4">
        <v>25219.0</v>
      </c>
      <c r="O319" s="4">
        <v>24855.0</v>
      </c>
      <c r="P319" s="4">
        <v>5338.0</v>
      </c>
      <c r="Q319" s="4">
        <v>160.0</v>
      </c>
      <c r="R319" s="4">
        <v>102.0</v>
      </c>
      <c r="S319" s="4">
        <v>102.0</v>
      </c>
      <c r="T319" s="4">
        <v>24.0</v>
      </c>
      <c r="U319" s="4">
        <v>23.0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/>
      <c r="AE319" s="6" t="s">
        <v>9</v>
      </c>
    </row>
    <row r="320" ht="16.5" customHeight="1">
      <c r="A320" s="2" t="str">
        <f>IFERROR(__xludf.DUMMYFUNCTION("""COMPUTED_VALUE"""),"2753-MARSEGVC")</f>
        <v>2753-MARSEGVC</v>
      </c>
      <c r="B320" s="2" t="str">
        <f>IFERROR(__xludf.DUMMYFUNCTION("""COMPUTED_VALUE"""),"RDV Ministros| Horacio Gimenez 26/3 Comuna 12")</f>
        <v>RDV Ministros| Horacio Gimenez 26/3 Comuna 12</v>
      </c>
      <c r="C320" s="3">
        <f>IFERROR(__xludf.DUMMYFUNCTION("""COMPUTED_VALUE"""),46100.0)</f>
        <v>46100</v>
      </c>
      <c r="D320" s="3">
        <f>IFERROR(__xludf.DUMMYFUNCTION("""COMPUTED_VALUE"""),46108.0)</f>
        <v>46108</v>
      </c>
      <c r="E320" s="2" t="str">
        <f>IFERROR(__xludf.DUMMYFUNCTION("""COMPUTED_VALUE"""),"Cercanía")</f>
        <v>Cercanía</v>
      </c>
      <c r="F320" s="2" t="str">
        <f>IFERROR(__xludf.DUMMYFUNCTION("""COMPUTED_VALUE"""),"Seguridad")</f>
        <v>Seguridad</v>
      </c>
      <c r="G320" s="2" t="str">
        <f>IFERROR(__xludf.DUMMYFUNCTION("""COMPUTED_VALUE"""),"Finalizada")</f>
        <v>Finalizada</v>
      </c>
      <c r="H320" s="4">
        <v>270970.0</v>
      </c>
      <c r="I320" s="4">
        <v>0.0</v>
      </c>
      <c r="J320" s="4">
        <v>807.0</v>
      </c>
      <c r="K320" s="4">
        <v>170178.0</v>
      </c>
      <c r="L320" s="5">
        <v>1.5922739719587726</v>
      </c>
      <c r="M320" s="5">
        <v>1.5922739719587726</v>
      </c>
      <c r="N320" s="4">
        <v>86287.0</v>
      </c>
      <c r="O320" s="4">
        <v>85406.0</v>
      </c>
      <c r="P320" s="4">
        <v>21519.0</v>
      </c>
      <c r="Q320" s="4">
        <v>255.0</v>
      </c>
      <c r="R320" s="4">
        <v>142.0</v>
      </c>
      <c r="S320" s="4">
        <v>142.0</v>
      </c>
      <c r="T320" s="4">
        <v>43.0</v>
      </c>
      <c r="U320" s="4">
        <v>41.0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/>
      <c r="AE320" s="6" t="s">
        <v>9</v>
      </c>
    </row>
    <row r="321" ht="16.5" customHeight="1">
      <c r="A321" s="2" t="str">
        <f>IFERROR(__xludf.DUMMYFUNCTION("""COMPUTED_VALUE"""),"2754-MARSEGVC")</f>
        <v>2754-MARSEGVC</v>
      </c>
      <c r="B321" s="2" t="str">
        <f>IFERROR(__xludf.DUMMYFUNCTION("""COMPUTED_VALUE"""),"RDV Ministros| Ruth Landerreche 26/3 Comuna 13")</f>
        <v>RDV Ministros| Ruth Landerreche 26/3 Comuna 13</v>
      </c>
      <c r="C321" s="3">
        <f>IFERROR(__xludf.DUMMYFUNCTION("""COMPUTED_VALUE"""),46052.0)</f>
        <v>46052</v>
      </c>
      <c r="D321" s="3">
        <f>IFERROR(__xludf.DUMMYFUNCTION("""COMPUTED_VALUE"""),46107.0)</f>
        <v>46107</v>
      </c>
      <c r="E321" s="2" t="str">
        <f>IFERROR(__xludf.DUMMYFUNCTION("""COMPUTED_VALUE"""),"Cercanía")</f>
        <v>Cercanía</v>
      </c>
      <c r="F321" s="2" t="str">
        <f>IFERROR(__xludf.DUMMYFUNCTION("""COMPUTED_VALUE"""),"Seguridad")</f>
        <v>Seguridad</v>
      </c>
      <c r="G321" s="2" t="str">
        <f>IFERROR(__xludf.DUMMYFUNCTION("""COMPUTED_VALUE"""),"Finalizada")</f>
        <v>Finalizada</v>
      </c>
      <c r="H321" s="4">
        <v>214312.0</v>
      </c>
      <c r="I321" s="4">
        <v>0.0</v>
      </c>
      <c r="J321" s="4">
        <v>650.0</v>
      </c>
      <c r="K321" s="4">
        <v>136691.0</v>
      </c>
      <c r="L321" s="5">
        <v>1.5678574302624166</v>
      </c>
      <c r="M321" s="5">
        <v>1.5678574302624166</v>
      </c>
      <c r="N321" s="4">
        <v>90147.0</v>
      </c>
      <c r="O321" s="4">
        <v>89283.0</v>
      </c>
      <c r="P321" s="4">
        <v>31785.0</v>
      </c>
      <c r="Q321" s="4">
        <v>364.0</v>
      </c>
      <c r="R321" s="4">
        <v>207.0</v>
      </c>
      <c r="S321" s="4">
        <v>207.0</v>
      </c>
      <c r="T321" s="4">
        <v>55.0</v>
      </c>
      <c r="U321" s="4">
        <v>53.0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/>
      <c r="AE321" s="6" t="s">
        <v>9</v>
      </c>
    </row>
    <row r="322" ht="16.5" customHeight="1">
      <c r="A322" s="2" t="str">
        <f>IFERROR(__xludf.DUMMYFUNCTION("""COMPUTED_VALUE"""),"2755-MARSEGVC")</f>
        <v>2755-MARSEGVC</v>
      </c>
      <c r="B322" s="2" t="str">
        <f>IFERROR(__xludf.DUMMYFUNCTION("""COMPUTED_VALUE"""),"RDV Ministros| Maximiliano Piñeiro 26/3 Comuna 14")</f>
        <v>RDV Ministros| Maximiliano Piñeiro 26/3 Comuna 14</v>
      </c>
      <c r="C322" s="3">
        <f>IFERROR(__xludf.DUMMYFUNCTION("""COMPUTED_VALUE"""),46100.0)</f>
        <v>46100</v>
      </c>
      <c r="D322" s="3">
        <f>IFERROR(__xludf.DUMMYFUNCTION("""COMPUTED_VALUE"""),46108.0)</f>
        <v>46108</v>
      </c>
      <c r="E322" s="2" t="str">
        <f>IFERROR(__xludf.DUMMYFUNCTION("""COMPUTED_VALUE"""),"Cercanía")</f>
        <v>Cercanía</v>
      </c>
      <c r="F322" s="2" t="str">
        <f>IFERROR(__xludf.DUMMYFUNCTION("""COMPUTED_VALUE"""),"Seguridad")</f>
        <v>Seguridad</v>
      </c>
      <c r="G322" s="2" t="str">
        <f>IFERROR(__xludf.DUMMYFUNCTION("""COMPUTED_VALUE"""),"Finalizada")</f>
        <v>Finalizada</v>
      </c>
      <c r="H322" s="4">
        <v>553580.0</v>
      </c>
      <c r="I322" s="4">
        <v>0.0</v>
      </c>
      <c r="J322" s="4">
        <v>628.0</v>
      </c>
      <c r="K322" s="4">
        <v>346643.0</v>
      </c>
      <c r="L322" s="5">
        <v>1.5969744088298337</v>
      </c>
      <c r="M322" s="5">
        <v>1.5969744088298337</v>
      </c>
      <c r="N322" s="4">
        <v>78352.0</v>
      </c>
      <c r="O322" s="4">
        <v>77452.0</v>
      </c>
      <c r="P322" s="4">
        <v>21712.0</v>
      </c>
      <c r="Q322" s="4">
        <v>257.0</v>
      </c>
      <c r="R322" s="4">
        <v>129.0</v>
      </c>
      <c r="S322" s="4">
        <v>129.0</v>
      </c>
      <c r="T322" s="4">
        <v>32.0</v>
      </c>
      <c r="U322" s="4">
        <v>32.0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0.0</v>
      </c>
      <c r="AB322" s="4">
        <v>0.0</v>
      </c>
      <c r="AC322" s="4">
        <v>0.0</v>
      </c>
      <c r="AD322" s="4"/>
      <c r="AE322" s="6" t="s">
        <v>9</v>
      </c>
    </row>
    <row r="323" ht="16.5" customHeight="1">
      <c r="A323" s="2" t="str">
        <f>IFERROR(__xludf.DUMMYFUNCTION("""COMPUTED_VALUE"""),"2756-MARSEGVC")</f>
        <v>2756-MARSEGVC</v>
      </c>
      <c r="B323" s="2" t="str">
        <f>IFERROR(__xludf.DUMMYFUNCTION("""COMPUTED_VALUE"""),"RDV Ministros| Gabino Tapia 26/3 Comuna 15")</f>
        <v>RDV Ministros| Gabino Tapia 26/3 Comuna 15</v>
      </c>
      <c r="C323" s="3">
        <f>IFERROR(__xludf.DUMMYFUNCTION("""COMPUTED_VALUE"""),46100.0)</f>
        <v>46100</v>
      </c>
      <c r="D323" s="3">
        <f>IFERROR(__xludf.DUMMYFUNCTION("""COMPUTED_VALUE"""),46108.0)</f>
        <v>46108</v>
      </c>
      <c r="E323" s="2" t="str">
        <f>IFERROR(__xludf.DUMMYFUNCTION("""COMPUTED_VALUE"""),"Cercanía")</f>
        <v>Cercanía</v>
      </c>
      <c r="F323" s="2" t="str">
        <f>IFERROR(__xludf.DUMMYFUNCTION("""COMPUTED_VALUE"""),"Seguridad")</f>
        <v>Seguridad</v>
      </c>
      <c r="G323" s="2" t="str">
        <f>IFERROR(__xludf.DUMMYFUNCTION("""COMPUTED_VALUE"""),"Finalizada")</f>
        <v>Finalizada</v>
      </c>
      <c r="H323" s="4">
        <v>209521.0</v>
      </c>
      <c r="I323" s="4">
        <v>0.0</v>
      </c>
      <c r="J323" s="4">
        <v>630.0</v>
      </c>
      <c r="K323" s="4">
        <v>135143.0</v>
      </c>
      <c r="L323" s="5">
        <v>1.550365168747179</v>
      </c>
      <c r="M323" s="5">
        <v>1.550365168747179</v>
      </c>
      <c r="N323" s="4">
        <v>75542.0</v>
      </c>
      <c r="O323" s="4">
        <v>74658.0</v>
      </c>
      <c r="P323" s="4">
        <v>14162.0</v>
      </c>
      <c r="Q323" s="4">
        <v>218.0</v>
      </c>
      <c r="R323" s="4">
        <v>122.0</v>
      </c>
      <c r="S323" s="4">
        <v>122.0</v>
      </c>
      <c r="T323" s="4">
        <v>34.0</v>
      </c>
      <c r="U323" s="4">
        <v>33.0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/>
      <c r="AE323" s="6" t="s">
        <v>9</v>
      </c>
    </row>
    <row r="324" ht="16.5" customHeight="1">
      <c r="A324" s="2" t="str">
        <f>IFERROR(__xludf.DUMMYFUNCTION("""COMPUTED_VALUE"""),"2757-MARJDGVC")</f>
        <v>2757-MARJDGVC</v>
      </c>
      <c r="B324" s="2" t="str">
        <f>IFERROR(__xludf.DUMMYFUNCTION("""COMPUTED_VALUE"""),"RDV MINISTROS | GABRIEL SÁNCHEZ ZINNY 25/3 CABALLITO")</f>
        <v>RDV MINISTROS | GABRIEL SÁNCHEZ ZINNY 25/3 CABALLITO</v>
      </c>
      <c r="C324" s="3">
        <f>IFERROR(__xludf.DUMMYFUNCTION("""COMPUTED_VALUE"""),46099.0)</f>
        <v>46099</v>
      </c>
      <c r="D324" s="3">
        <f>IFERROR(__xludf.DUMMYFUNCTION("""COMPUTED_VALUE"""),46107.0)</f>
        <v>46107</v>
      </c>
      <c r="E324" s="2" t="str">
        <f>IFERROR(__xludf.DUMMYFUNCTION("""COMPUTED_VALUE"""),"Cercanía")</f>
        <v>Cercanía</v>
      </c>
      <c r="F324" s="2" t="str">
        <f>IFERROR(__xludf.DUMMYFUNCTION("""COMPUTED_VALUE"""),"Jefatura de Gabinete")</f>
        <v>Jefatura de Gabinete</v>
      </c>
      <c r="G324" s="2" t="str">
        <f>IFERROR(__xludf.DUMMYFUNCTION("""COMPUTED_VALUE"""),"Finalizada")</f>
        <v>Finalizada</v>
      </c>
      <c r="H324" s="4">
        <v>185971.0</v>
      </c>
      <c r="I324" s="4">
        <v>0.0</v>
      </c>
      <c r="J324" s="4">
        <v>712.0</v>
      </c>
      <c r="K324" s="4">
        <v>120072.0</v>
      </c>
      <c r="L324" s="5">
        <v>1.5488290359117862</v>
      </c>
      <c r="M324" s="5">
        <v>1.5488290359117862</v>
      </c>
      <c r="N324" s="4">
        <v>73097.0</v>
      </c>
      <c r="O324" s="4">
        <v>72364.0</v>
      </c>
      <c r="P324" s="4">
        <v>14612.0</v>
      </c>
      <c r="Q324" s="4">
        <v>374.0</v>
      </c>
      <c r="R324" s="4">
        <v>237.0</v>
      </c>
      <c r="S324" s="4">
        <v>236.0</v>
      </c>
      <c r="T324" s="4">
        <v>64.0</v>
      </c>
      <c r="U324" s="4">
        <v>59.0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/>
      <c r="AE324" s="6" t="s">
        <v>9</v>
      </c>
    </row>
    <row r="325" ht="16.5" customHeight="1">
      <c r="A325" s="2" t="str">
        <f>IFERROR(__xludf.DUMMYFUNCTION("""COMPUTED_VALUE"""),"2758-MARINFGC")</f>
        <v>2758-MARINFGC</v>
      </c>
      <c r="B325" s="2" t="str">
        <f>IFERROR(__xludf.DUMMYFUNCTION("""COMPUTED_VALUE""")," INFRAESTRUCTURA  | Cortes y desvíos por evento en River: AC/DC")</f>
        <v> INFRAESTRUCTURA  | Cortes y desvíos por evento en River: AC/DC</v>
      </c>
      <c r="C325" s="3">
        <f>IFERROR(__xludf.DUMMYFUNCTION("""COMPUTED_VALUE"""),46100.0)</f>
        <v>46100</v>
      </c>
      <c r="D325" s="3">
        <f>IFERROR(__xludf.DUMMYFUNCTION("""COMPUTED_VALUE"""),46112.0)</f>
        <v>46112</v>
      </c>
      <c r="E325" s="2" t="str">
        <f>IFERROR(__xludf.DUMMYFUNCTION("""COMPUTED_VALUE"""),"Movilidad")</f>
        <v>Movilidad</v>
      </c>
      <c r="F325" s="2" t="str">
        <f>IFERROR(__xludf.DUMMYFUNCTION("""COMPUTED_VALUE"""),"Infraestructura")</f>
        <v>Infraestructura</v>
      </c>
      <c r="G325" s="2" t="str">
        <f>IFERROR(__xludf.DUMMYFUNCTION("""COMPUTED_VALUE"""),"Finalizada")</f>
        <v>Finalizada</v>
      </c>
      <c r="H325" s="4">
        <v>423901.0</v>
      </c>
      <c r="I325" s="4">
        <v>0.0</v>
      </c>
      <c r="J325" s="4">
        <v>1651.0</v>
      </c>
      <c r="K325" s="4">
        <v>280844.0</v>
      </c>
      <c r="L325" s="5">
        <v>1.5093824329521015</v>
      </c>
      <c r="M325" s="5">
        <v>1.5093824329521015</v>
      </c>
      <c r="N325" s="4">
        <v>153770.0</v>
      </c>
      <c r="O325" s="4">
        <v>152337.0</v>
      </c>
      <c r="P325" s="4">
        <v>57563.0</v>
      </c>
      <c r="Q325" s="4">
        <v>422.0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/>
      <c r="AE325" s="6" t="s">
        <v>9</v>
      </c>
    </row>
    <row r="326" ht="16.5" customHeight="1">
      <c r="A326" s="2" t="str">
        <f>IFERROR(__xludf.DUMMYFUNCTION("""COMPUTED_VALUE"""),"2759-MARCULGC")</f>
        <v>2759-MARCULGC</v>
      </c>
      <c r="B326" s="2" t="str">
        <f>IFERROR(__xludf.DUMMYFUNCTION("""COMPUTED_VALUE"""),"Entradas a charla de John Malkovich")</f>
        <v>Entradas a charla de John Malkovich</v>
      </c>
      <c r="C326" s="3">
        <f>IFERROR(__xludf.DUMMYFUNCTION("""COMPUTED_VALUE"""),46101.0)</f>
        <v>46101</v>
      </c>
      <c r="D326" s="3">
        <f>IFERROR(__xludf.DUMMYFUNCTION("""COMPUTED_VALUE"""),46119.0)</f>
        <v>46119</v>
      </c>
      <c r="E326" s="2" t="str">
        <f>IFERROR(__xludf.DUMMYFUNCTION("""COMPUTED_VALUE"""),"Ciudad Atractiva")</f>
        <v>Ciudad Atractiva</v>
      </c>
      <c r="F326" s="2" t="str">
        <f>IFERROR(__xludf.DUMMYFUNCTION("""COMPUTED_VALUE"""),"Cultura")</f>
        <v>Cultura</v>
      </c>
      <c r="G326" s="2" t="str">
        <f>IFERROR(__xludf.DUMMYFUNCTION("""COMPUTED_VALUE"""),"Finalizada")</f>
        <v>Finalizada</v>
      </c>
      <c r="H326" s="4">
        <v>1323182.0</v>
      </c>
      <c r="I326" s="4">
        <v>287671.0</v>
      </c>
      <c r="J326" s="4">
        <v>19645.0</v>
      </c>
      <c r="K326" s="4">
        <v>1088848.0</v>
      </c>
      <c r="L326" s="5">
        <v>0.5707408196552687</v>
      </c>
      <c r="M326" s="5">
        <v>1.2152127753368698</v>
      </c>
      <c r="N326" s="4">
        <v>106526.0</v>
      </c>
      <c r="O326" s="4">
        <v>105561.0</v>
      </c>
      <c r="P326" s="4">
        <v>33820.0</v>
      </c>
      <c r="Q326" s="4">
        <v>1020.0</v>
      </c>
      <c r="R326" s="4">
        <v>666.0</v>
      </c>
      <c r="S326" s="4">
        <v>666.0</v>
      </c>
      <c r="T326" s="4">
        <v>247.0</v>
      </c>
      <c r="U326" s="4">
        <v>137.0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432.0</v>
      </c>
      <c r="AB326" s="4">
        <v>390.0</v>
      </c>
      <c r="AC326" s="4">
        <v>0.0</v>
      </c>
      <c r="AD326" s="4"/>
      <c r="AE326" s="6" t="s">
        <v>9</v>
      </c>
    </row>
    <row r="327" ht="16.5" customHeight="1">
      <c r="A327" s="2" t="str">
        <f>IFERROR(__xludf.DUMMYFUNCTION("""COMPUTED_VALUE"""),"2760-MARTURGC")</f>
        <v>2760-MARTURGC</v>
      </c>
      <c r="B327" s="2" t="str">
        <f>IFERROR(__xludf.DUMMYFUNCTION("""COMPUTED_VALUE"""),"Sondeo por Semana Santa")</f>
        <v>Sondeo por Semana Santa</v>
      </c>
      <c r="C327" s="3">
        <f>IFERROR(__xludf.DUMMYFUNCTION("""COMPUTED_VALUE"""),46111.0)</f>
        <v>46111</v>
      </c>
      <c r="D327" s="3">
        <f>IFERROR(__xludf.DUMMYFUNCTION("""COMPUTED_VALUE"""),46111.0)</f>
        <v>46111</v>
      </c>
      <c r="E327" s="2" t="str">
        <f>IFERROR(__xludf.DUMMYFUNCTION("""COMPUTED_VALUE"""),"Ciudad Atractiva")</f>
        <v>Ciudad Atractiva</v>
      </c>
      <c r="F327" s="2" t="str">
        <f>IFERROR(__xludf.DUMMYFUNCTION("""COMPUTED_VALUE"""),"Turismo")</f>
        <v>Turismo</v>
      </c>
      <c r="G327" s="2" t="str">
        <f>IFERROR(__xludf.DUMMYFUNCTION("""COMPUTED_VALUE"""),"Finalizada")</f>
        <v>Finalizada</v>
      </c>
      <c r="H327" s="4">
        <v>0.0</v>
      </c>
      <c r="I327" s="4">
        <v>0.0</v>
      </c>
      <c r="J327" s="4">
        <v>0.0</v>
      </c>
      <c r="K327" s="4">
        <v>0.0</v>
      </c>
      <c r="L327" s="5">
        <v>0.0</v>
      </c>
      <c r="M327" s="5">
        <v>0.0</v>
      </c>
      <c r="N327" s="4">
        <v>369.0</v>
      </c>
      <c r="O327" s="4">
        <v>359.0</v>
      </c>
      <c r="P327" s="4">
        <v>165.0</v>
      </c>
      <c r="Q327" s="4">
        <v>59.0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 t="s">
        <v>8</v>
      </c>
      <c r="AE327" s="6" t="s">
        <v>9</v>
      </c>
    </row>
    <row r="328" ht="16.5" customHeight="1">
      <c r="A328" s="2" t="str">
        <f>IFERROR(__xludf.DUMMYFUNCTION("""COMPUTED_VALUE"""),"2761-MARJDGAG")</f>
        <v>2761-MARJDGAG</v>
      </c>
      <c r="B328" s="2" t="str">
        <f>IFERROR(__xludf.DUMMYFUNCTION("""COMPUTED_VALUE"""),"RDV JM | 23/3 VILLA PUEYRREDÓN")</f>
        <v>RDV JM | 23/3 VILLA PUEYRREDÓN</v>
      </c>
      <c r="C328" s="3">
        <f>IFERROR(__xludf.DUMMYFUNCTION("""COMPUTED_VALUE"""),46100.0)</f>
        <v>46100</v>
      </c>
      <c r="D328" s="3">
        <f>IFERROR(__xludf.DUMMYFUNCTION("""COMPUTED_VALUE"""),46117.0)</f>
        <v>46117</v>
      </c>
      <c r="E328" s="2" t="str">
        <f>IFERROR(__xludf.DUMMYFUNCTION("""COMPUTED_VALUE"""),"Cercanía")</f>
        <v>Cercanía</v>
      </c>
      <c r="F328" s="2" t="str">
        <f>IFERROR(__xludf.DUMMYFUNCTION("""COMPUTED_VALUE"""),"Jefatura de Gobierno")</f>
        <v>Jefatura de Gobierno</v>
      </c>
      <c r="G328" s="2" t="str">
        <f>IFERROR(__xludf.DUMMYFUNCTION("""COMPUTED_VALUE"""),"Finalizada")</f>
        <v>Finalizada</v>
      </c>
      <c r="H328" s="4">
        <v>440546.0</v>
      </c>
      <c r="I328" s="4">
        <v>148511.0</v>
      </c>
      <c r="J328" s="4">
        <v>4208.0</v>
      </c>
      <c r="K328" s="4">
        <v>16753.0</v>
      </c>
      <c r="L328" s="5">
        <v>14.991941741777593</v>
      </c>
      <c r="M328" s="5">
        <v>26.296543902584613</v>
      </c>
      <c r="N328" s="4">
        <v>20492.0</v>
      </c>
      <c r="O328" s="4">
        <v>20316.0</v>
      </c>
      <c r="P328" s="4">
        <v>4578.0</v>
      </c>
      <c r="Q328" s="4">
        <v>124.0</v>
      </c>
      <c r="R328" s="4">
        <v>49.0</v>
      </c>
      <c r="S328" s="4">
        <v>49.0</v>
      </c>
      <c r="T328" s="4">
        <v>28.0</v>
      </c>
      <c r="U328" s="4">
        <v>28.0</v>
      </c>
      <c r="V328" s="4">
        <v>11439.0</v>
      </c>
      <c r="W328" s="4">
        <v>11438.0</v>
      </c>
      <c r="X328" s="4">
        <v>10379.0</v>
      </c>
      <c r="Y328" s="4">
        <v>4601.0</v>
      </c>
      <c r="Z328" s="4">
        <v>49.0</v>
      </c>
      <c r="AA328" s="4">
        <v>0.0</v>
      </c>
      <c r="AB328" s="4">
        <v>0.0</v>
      </c>
      <c r="AC328" s="4">
        <v>0.0</v>
      </c>
      <c r="AD328" s="4"/>
      <c r="AE328" s="6" t="s">
        <v>9</v>
      </c>
    </row>
    <row r="329" ht="16.5" customHeight="1">
      <c r="A329" s="2" t="str">
        <f>IFERROR(__xludf.DUMMYFUNCTION("""COMPUTED_VALUE"""),"2762-MARJDGAG")</f>
        <v>2762-MARJDGAG</v>
      </c>
      <c r="B329" s="2" t="str">
        <f>IFERROR(__xludf.DUMMYFUNCTION("""COMPUTED_VALUE"""),"RDV JM | 25/3 CHACARITA")</f>
        <v>RDV JM | 25/3 CHACARITA</v>
      </c>
      <c r="C329" s="3">
        <f>IFERROR(__xludf.DUMMYFUNCTION("""COMPUTED_VALUE"""),46101.0)</f>
        <v>46101</v>
      </c>
      <c r="D329" s="3">
        <f>IFERROR(__xludf.DUMMYFUNCTION("""COMPUTED_VALUE"""),46128.0)</f>
        <v>46128</v>
      </c>
      <c r="E329" s="2" t="str">
        <f>IFERROR(__xludf.DUMMYFUNCTION("""COMPUTED_VALUE"""),"Cercanía")</f>
        <v>Cercanía</v>
      </c>
      <c r="F329" s="2" t="str">
        <f>IFERROR(__xludf.DUMMYFUNCTION("""COMPUTED_VALUE"""),"Jefatura de Gobierno")</f>
        <v>Jefatura de Gobierno</v>
      </c>
      <c r="G329" s="2" t="str">
        <f>IFERROR(__xludf.DUMMYFUNCTION("""COMPUTED_VALUE"""),"Finalizada")</f>
        <v>Finalizada</v>
      </c>
      <c r="H329" s="4">
        <v>516284.0</v>
      </c>
      <c r="I329" s="4">
        <v>263419.0</v>
      </c>
      <c r="J329" s="4">
        <v>3796.0</v>
      </c>
      <c r="K329" s="4">
        <v>18251.0</v>
      </c>
      <c r="L329" s="5">
        <v>7.240918305846255</v>
      </c>
      <c r="M329" s="5">
        <v>28.287984220042738</v>
      </c>
      <c r="N329" s="4">
        <v>12413.0</v>
      </c>
      <c r="O329" s="4">
        <v>12280.0</v>
      </c>
      <c r="P329" s="4">
        <v>2939.0</v>
      </c>
      <c r="Q329" s="4">
        <v>99.0</v>
      </c>
      <c r="R329" s="4">
        <v>25.0</v>
      </c>
      <c r="S329" s="4">
        <v>25.0</v>
      </c>
      <c r="T329" s="4">
        <v>16.0</v>
      </c>
      <c r="U329" s="4">
        <v>14.0</v>
      </c>
      <c r="V329" s="4">
        <v>13644.0</v>
      </c>
      <c r="W329" s="4">
        <v>13644.0</v>
      </c>
      <c r="X329" s="4">
        <v>12015.0</v>
      </c>
      <c r="Y329" s="4">
        <v>5442.0</v>
      </c>
      <c r="Z329" s="4">
        <v>25.0</v>
      </c>
      <c r="AA329" s="4">
        <v>0.0</v>
      </c>
      <c r="AB329" s="4">
        <v>0.0</v>
      </c>
      <c r="AC329" s="4">
        <v>0.0</v>
      </c>
      <c r="AD329" s="4"/>
      <c r="AE329" s="6" t="s">
        <v>9</v>
      </c>
    </row>
    <row r="330" ht="16.5" customHeight="1">
      <c r="A330" s="2" t="str">
        <f>IFERROR(__xludf.DUMMYFUNCTION("""COMPUTED_VALUE"""),"2763-MARJDGAG")</f>
        <v>2763-MARJDGAG</v>
      </c>
      <c r="B330" s="2" t="str">
        <f>IFERROR(__xludf.DUMMYFUNCTION("""COMPUTED_VALUE"""),"RDV JM TEMÁTICA | TE CUENTO BS AS 26/03 MOVILIDAD EJE SUR")</f>
        <v>RDV JM TEMÁTICA | TE CUENTO BS AS 26/03 MOVILIDAD EJE SUR</v>
      </c>
      <c r="C330" s="3">
        <f>IFERROR(__xludf.DUMMYFUNCTION("""COMPUTED_VALUE"""),46097.0)</f>
        <v>46097</v>
      </c>
      <c r="D330" s="3">
        <f>IFERROR(__xludf.DUMMYFUNCTION("""COMPUTED_VALUE"""),46129.0)</f>
        <v>46129</v>
      </c>
      <c r="E330" s="2" t="str">
        <f>IFERROR(__xludf.DUMMYFUNCTION("""COMPUTED_VALUE"""),"Cercanía")</f>
        <v>Cercanía</v>
      </c>
      <c r="F330" s="2" t="str">
        <f>IFERROR(__xludf.DUMMYFUNCTION("""COMPUTED_VALUE"""),"Jefatura de Gobierno")</f>
        <v>Jefatura de Gobierno</v>
      </c>
      <c r="G330" s="2" t="str">
        <f>IFERROR(__xludf.DUMMYFUNCTION("""COMPUTED_VALUE"""),"Finalizada")</f>
        <v>Finalizada</v>
      </c>
      <c r="H330" s="4">
        <v>4255161.0</v>
      </c>
      <c r="I330" s="4">
        <v>762713.0</v>
      </c>
      <c r="J330" s="4">
        <v>25763.0</v>
      </c>
      <c r="K330" s="4">
        <v>267596.0</v>
      </c>
      <c r="L330" s="5">
        <v>3.816465866455403</v>
      </c>
      <c r="M330" s="5">
        <v>15.901437241214367</v>
      </c>
      <c r="N330" s="4">
        <v>122501.0</v>
      </c>
      <c r="O330" s="4">
        <v>120838.0</v>
      </c>
      <c r="P330" s="4">
        <v>11162.0</v>
      </c>
      <c r="Q330" s="4">
        <v>360.0</v>
      </c>
      <c r="R330" s="4">
        <v>18059.0</v>
      </c>
      <c r="S330" s="4">
        <v>15872.0</v>
      </c>
      <c r="T330" s="4">
        <v>2804.0</v>
      </c>
      <c r="U330" s="4">
        <v>2199.0</v>
      </c>
      <c r="V330" s="4">
        <v>55346.0</v>
      </c>
      <c r="W330" s="4">
        <v>55346.0</v>
      </c>
      <c r="X330" s="4">
        <v>49466.0</v>
      </c>
      <c r="Y330" s="4">
        <v>15920.0</v>
      </c>
      <c r="Z330" s="4">
        <v>188.0</v>
      </c>
      <c r="AA330" s="4">
        <v>0.0</v>
      </c>
      <c r="AB330" s="4">
        <v>0.0</v>
      </c>
      <c r="AC330" s="4">
        <v>0.0</v>
      </c>
      <c r="AD330" s="4"/>
      <c r="AE330" s="6" t="s">
        <v>9</v>
      </c>
    </row>
    <row r="331" ht="16.5" customHeight="1">
      <c r="A331" s="2" t="str">
        <f>IFERROR(__xludf.DUMMYFUNCTION("""COMPUTED_VALUE"""),"2765-MAREDUGC")</f>
        <v>2765-MAREDUGC</v>
      </c>
      <c r="B331" s="2" t="str">
        <f>IFERROR(__xludf.DUMMYFUNCTION("""COMPUTED_VALUE"""),"Campaña Compromiso familiar: sin celulares")</f>
        <v>Campaña Compromiso familiar: sin celulares</v>
      </c>
      <c r="C331" s="3">
        <f>IFERROR(__xludf.DUMMYFUNCTION("""COMPUTED_VALUE"""),46111.0)</f>
        <v>46111</v>
      </c>
      <c r="D331" s="3">
        <f>IFERROR(__xludf.DUMMYFUNCTION("""COMPUTED_VALUE"""),46142.0)</f>
        <v>46142</v>
      </c>
      <c r="E331" s="2" t="str">
        <f>IFERROR(__xludf.DUMMYFUNCTION("""COMPUTED_VALUE"""),"Cuidado")</f>
        <v>Cuidado</v>
      </c>
      <c r="F331" s="2" t="str">
        <f>IFERROR(__xludf.DUMMYFUNCTION("""COMPUTED_VALUE"""),"Educación")</f>
        <v>Educación</v>
      </c>
      <c r="G331" s="2" t="str">
        <f>IFERROR(__xludf.DUMMYFUNCTION("""COMPUTED_VALUE"""),"Finalizada")</f>
        <v>Finalizada</v>
      </c>
      <c r="H331" s="4">
        <v>1.087914E7</v>
      </c>
      <c r="I331" s="4">
        <v>555431.0</v>
      </c>
      <c r="J331" s="4">
        <v>13614.0</v>
      </c>
      <c r="K331" s="4">
        <v>2209627.0</v>
      </c>
      <c r="L331" s="5">
        <v>2.008076476255947</v>
      </c>
      <c r="M331" s="5">
        <v>4.923518765836949</v>
      </c>
      <c r="N331" s="4">
        <v>369873.0</v>
      </c>
      <c r="O331" s="4">
        <v>365393.0</v>
      </c>
      <c r="P331" s="4">
        <v>121168.0</v>
      </c>
      <c r="Q331" s="4">
        <v>3026.0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/>
      <c r="AE331" s="6" t="s">
        <v>9</v>
      </c>
    </row>
    <row r="332" ht="16.5" customHeight="1">
      <c r="A332" s="2" t="str">
        <f>IFERROR(__xludf.DUMMYFUNCTION("""COMPUTED_VALUE"""),"2766-MARPCCVC")</f>
        <v>2766-MARPCCVC</v>
      </c>
      <c r="B332" s="2" t="str">
        <f>IFERROR(__xludf.DUMMYFUNCTION("""COMPUTED_VALUE"""),"Jornada de adopción de mascotas")</f>
        <v>Jornada de adopción de mascotas</v>
      </c>
      <c r="C332" s="3">
        <f>IFERROR(__xludf.DUMMYFUNCTION("""COMPUTED_VALUE"""),46101.0)</f>
        <v>46101</v>
      </c>
      <c r="D332" s="3">
        <f>IFERROR(__xludf.DUMMYFUNCTION("""COMPUTED_VALUE"""),46109.0)</f>
        <v>46109</v>
      </c>
      <c r="E332" s="2" t="str">
        <f>IFERROR(__xludf.DUMMYFUNCTION("""COMPUTED_VALUE"""),"Cercanía")</f>
        <v>Cercanía</v>
      </c>
      <c r="F332" s="2" t="str">
        <f>IFERROR(__xludf.DUMMYFUNCTION("""COMPUTED_VALUE"""),"Cercanía y PC")</f>
        <v>Cercanía y PC</v>
      </c>
      <c r="G332" s="2" t="str">
        <f>IFERROR(__xludf.DUMMYFUNCTION("""COMPUTED_VALUE"""),"Finalizada")</f>
        <v>Finalizada</v>
      </c>
      <c r="H332" s="4">
        <v>737893.0</v>
      </c>
      <c r="I332" s="4">
        <v>0.0</v>
      </c>
      <c r="J332" s="4">
        <v>3990.0</v>
      </c>
      <c r="K332" s="4">
        <v>472552.0</v>
      </c>
      <c r="L332" s="5">
        <v>0.7497926154158696</v>
      </c>
      <c r="M332" s="5">
        <v>1.5615064585484772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/>
      <c r="AE332" s="4" t="s">
        <v>8</v>
      </c>
    </row>
    <row r="333" ht="16.5" customHeight="1">
      <c r="A333" s="2" t="str">
        <f>IFERROR(__xludf.DUMMYFUNCTION("""COMPUTED_VALUE"""),"2767-MARSALGC")</f>
        <v>2767-MARSALGC</v>
      </c>
      <c r="B333" s="2" t="str">
        <f>IFERROR(__xludf.DUMMYFUNCTION("""COMPUTED_VALUE"""),"Primer envío Medicación e Insumos (MEI)")</f>
        <v>Primer envío Medicación e Insumos (MEI)</v>
      </c>
      <c r="C333" s="3">
        <f>IFERROR(__xludf.DUMMYFUNCTION("""COMPUTED_VALUE"""),46101.0)</f>
        <v>46101</v>
      </c>
      <c r="D333" s="3">
        <f>IFERROR(__xludf.DUMMYFUNCTION("""COMPUTED_VALUE"""),46101.0)</f>
        <v>46101</v>
      </c>
      <c r="E333" s="2" t="str">
        <f>IFERROR(__xludf.DUMMYFUNCTION("""COMPUTED_VALUE"""),"Cuidado")</f>
        <v>Cuidado</v>
      </c>
      <c r="F333" s="2" t="str">
        <f>IFERROR(__xludf.DUMMYFUNCTION("""COMPUTED_VALUE"""),"Salud")</f>
        <v>Salud</v>
      </c>
      <c r="G333" s="2" t="str">
        <f>IFERROR(__xludf.DUMMYFUNCTION("""COMPUTED_VALUE"""),"Finalizada")</f>
        <v>Finalizada</v>
      </c>
      <c r="H333" s="4">
        <v>0.0</v>
      </c>
      <c r="I333" s="4">
        <v>0.0</v>
      </c>
      <c r="J333" s="4">
        <v>0.0</v>
      </c>
      <c r="K333" s="4">
        <v>0.0</v>
      </c>
      <c r="L333" s="5">
        <v>0.0</v>
      </c>
      <c r="M333" s="5">
        <v>0.0</v>
      </c>
      <c r="N333" s="4">
        <v>742.0</v>
      </c>
      <c r="O333" s="4">
        <v>740.0</v>
      </c>
      <c r="P333" s="4">
        <v>256.0</v>
      </c>
      <c r="Q333" s="4">
        <v>8.0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 t="s">
        <v>8</v>
      </c>
      <c r="AE333" s="6" t="s">
        <v>9</v>
      </c>
    </row>
    <row r="334" ht="16.5" customHeight="1">
      <c r="A334" s="2" t="str">
        <f>IFERROR(__xludf.DUMMYFUNCTION("""COMPUTED_VALUE"""),"2768-MARINNCG")</f>
        <v>2768-MARINNCG</v>
      </c>
      <c r="B334" s="2" t="str">
        <f>IFERROR(__xludf.DUMMYFUNCTION("""COMPUTED_VALUE"""),"Pauta canal de YT | Peajes Inteligentes")</f>
        <v>Pauta canal de YT | Peajes Inteligentes</v>
      </c>
      <c r="C334" s="3">
        <f>IFERROR(__xludf.DUMMYFUNCTION("""COMPUTED_VALUE"""),46101.0)</f>
        <v>46101</v>
      </c>
      <c r="D334" s="3">
        <f>IFERROR(__xludf.DUMMYFUNCTION("""COMPUTED_VALUE"""),46142.0)</f>
        <v>46142</v>
      </c>
      <c r="E334" s="2" t="str">
        <f>IFERROR(__xludf.DUMMYFUNCTION("""COMPUTED_VALUE"""),"Movilidad")</f>
        <v>Movilidad</v>
      </c>
      <c r="F334" s="2" t="str">
        <f>IFERROR(__xludf.DUMMYFUNCTION("""COMPUTED_VALUE"""),"Innovación")</f>
        <v>Innovación</v>
      </c>
      <c r="G334" s="2" t="str">
        <f>IFERROR(__xludf.DUMMYFUNCTION("""COMPUTED_VALUE"""),"Finalizada")</f>
        <v>Finalizada</v>
      </c>
      <c r="H334" s="4">
        <v>3390642.0</v>
      </c>
      <c r="I334" s="4">
        <v>270705.0</v>
      </c>
      <c r="J334" s="4">
        <v>2893.0</v>
      </c>
      <c r="K334" s="4">
        <v>976921.0</v>
      </c>
      <c r="L334" s="5">
        <v>2.0800586741404885</v>
      </c>
      <c r="M334" s="5">
        <v>3.470743284257376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0.0</v>
      </c>
      <c r="AB334" s="4">
        <v>0.0</v>
      </c>
      <c r="AC334" s="4">
        <v>0.0</v>
      </c>
      <c r="AD334" s="4"/>
      <c r="AE334" s="4" t="s">
        <v>8</v>
      </c>
    </row>
    <row r="335" ht="16.5" customHeight="1">
      <c r="A335" s="2" t="str">
        <f>IFERROR(__xludf.DUMMYFUNCTION("""COMPUTED_VALUE"""),"2769-MARINFGC")</f>
        <v>2769-MARINFGC</v>
      </c>
      <c r="B335" s="2" t="str">
        <f>IFERROR(__xludf.DUMMYFUNCTION("""COMPUTED_VALUE""")," Infraestructura I Activación banners Extensión horaria de Subte ")</f>
        <v> Infraestructura I Activación banners Extensión horaria de Subte </v>
      </c>
      <c r="C335" s="3">
        <f>IFERROR(__xludf.DUMMYFUNCTION("""COMPUTED_VALUE"""),46003.0)</f>
        <v>46003</v>
      </c>
      <c r="D335" s="3">
        <f>IFERROR(__xludf.DUMMYFUNCTION("""COMPUTED_VALUE"""),46134.0)</f>
        <v>46134</v>
      </c>
      <c r="E335" s="2" t="str">
        <f>IFERROR(__xludf.DUMMYFUNCTION("""COMPUTED_VALUE"""),"Movilidad")</f>
        <v>Movilidad</v>
      </c>
      <c r="F335" s="2" t="str">
        <f>IFERROR(__xludf.DUMMYFUNCTION("""COMPUTED_VALUE"""),"Infraestructura")</f>
        <v>Infraestructura</v>
      </c>
      <c r="G335" s="2" t="str">
        <f>IFERROR(__xludf.DUMMYFUNCTION("""COMPUTED_VALUE"""),"Finalizada")</f>
        <v>Finalizada</v>
      </c>
      <c r="H335" s="4">
        <v>2377206.0</v>
      </c>
      <c r="I335" s="4">
        <v>0.0</v>
      </c>
      <c r="J335" s="4">
        <v>2853.0</v>
      </c>
      <c r="K335" s="4">
        <v>0.0</v>
      </c>
      <c r="L335" s="5">
        <v>0.0</v>
      </c>
      <c r="M335" s="5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0.0</v>
      </c>
      <c r="AB335" s="4">
        <v>0.0</v>
      </c>
      <c r="AC335" s="4">
        <v>0.0</v>
      </c>
      <c r="AD335" s="4" t="s">
        <v>8</v>
      </c>
      <c r="AE335" s="4" t="s">
        <v>8</v>
      </c>
    </row>
    <row r="336" ht="16.5" customHeight="1">
      <c r="A336" s="2" t="str">
        <f>IFERROR(__xludf.DUMMYFUNCTION("""COMPUTED_VALUE"""),"2770-MARSALGC")</f>
        <v>2770-MARSALGC</v>
      </c>
      <c r="B336" s="2" t="str">
        <f>IFERROR(__xludf.DUMMYFUNCTION("""COMPUTED_VALUE"""),"Segundo envío Medicación e Insumos (MEI)")</f>
        <v>Segundo envío Medicación e Insumos (MEI)</v>
      </c>
      <c r="C336" s="3">
        <f>IFERROR(__xludf.DUMMYFUNCTION("""COMPUTED_VALUE"""),46106.0)</f>
        <v>46106</v>
      </c>
      <c r="D336" s="3">
        <f>IFERROR(__xludf.DUMMYFUNCTION("""COMPUTED_VALUE"""),46106.0)</f>
        <v>46106</v>
      </c>
      <c r="E336" s="2" t="str">
        <f>IFERROR(__xludf.DUMMYFUNCTION("""COMPUTED_VALUE"""),"Cuidado")</f>
        <v>Cuidado</v>
      </c>
      <c r="F336" s="2" t="str">
        <f>IFERROR(__xludf.DUMMYFUNCTION("""COMPUTED_VALUE"""),"Salud")</f>
        <v>Salud</v>
      </c>
      <c r="G336" s="2" t="str">
        <f>IFERROR(__xludf.DUMMYFUNCTION("""COMPUTED_VALUE"""),"Finalizada")</f>
        <v>Finalizada</v>
      </c>
      <c r="H336" s="4">
        <v>0.0</v>
      </c>
      <c r="I336" s="4">
        <v>0.0</v>
      </c>
      <c r="J336" s="4">
        <v>0.0</v>
      </c>
      <c r="K336" s="4">
        <v>0.0</v>
      </c>
      <c r="L336" s="5">
        <v>0.0</v>
      </c>
      <c r="M336" s="5">
        <v>0.0</v>
      </c>
      <c r="N336" s="4">
        <v>733.0</v>
      </c>
      <c r="O336" s="4">
        <v>731.0</v>
      </c>
      <c r="P336" s="4">
        <v>310.0</v>
      </c>
      <c r="Q336" s="4">
        <v>9.0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0.0</v>
      </c>
      <c r="AB336" s="4">
        <v>0.0</v>
      </c>
      <c r="AC336" s="4">
        <v>0.0</v>
      </c>
      <c r="AD336" s="4" t="s">
        <v>8</v>
      </c>
      <c r="AE336" s="6" t="s">
        <v>9</v>
      </c>
    </row>
    <row r="337" ht="16.5" customHeight="1">
      <c r="A337" s="2" t="str">
        <f>IFERROR(__xludf.DUMMYFUNCTION("""COMPUTED_VALUE"""),"2771-MARINFGC")</f>
        <v>2771-MARINFGC</v>
      </c>
      <c r="B337" s="2" t="str">
        <f>IFERROR(__xludf.DUMMYFUNCTION("""COMPUTED_VALUE""")," Infraestructura I Activación banners Extensión horaria de Subte D (AC/DC)")</f>
        <v> Infraestructura I Activación banners Extensión horaria de Subte D (AC/DC)</v>
      </c>
      <c r="C337" s="3">
        <f>IFERROR(__xludf.DUMMYFUNCTION("""COMPUTED_VALUE"""),46003.0)</f>
        <v>46003</v>
      </c>
      <c r="D337" s="3">
        <f>IFERROR(__xludf.DUMMYFUNCTION("""COMPUTED_VALUE"""),46134.0)</f>
        <v>46134</v>
      </c>
      <c r="E337" s="2" t="str">
        <f>IFERROR(__xludf.DUMMYFUNCTION("""COMPUTED_VALUE"""),"Movilidad")</f>
        <v>Movilidad</v>
      </c>
      <c r="F337" s="2" t="str">
        <f>IFERROR(__xludf.DUMMYFUNCTION("""COMPUTED_VALUE"""),"Infraestructura")</f>
        <v>Infraestructura</v>
      </c>
      <c r="G337" s="2" t="str">
        <f>IFERROR(__xludf.DUMMYFUNCTION("""COMPUTED_VALUE"""),"Finalizada")</f>
        <v>Finalizada</v>
      </c>
      <c r="H337" s="4">
        <v>8723006.0</v>
      </c>
      <c r="I337" s="4">
        <v>0.0</v>
      </c>
      <c r="J337" s="4">
        <v>8265.0</v>
      </c>
      <c r="K337" s="4">
        <v>0.0</v>
      </c>
      <c r="L337" s="5">
        <v>0.0</v>
      </c>
      <c r="M337" s="5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0.0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0.0</v>
      </c>
      <c r="AB337" s="4">
        <v>0.0</v>
      </c>
      <c r="AC337" s="4">
        <v>0.0</v>
      </c>
      <c r="AD337" s="4" t="s">
        <v>8</v>
      </c>
      <c r="AE337" s="4" t="s">
        <v>8</v>
      </c>
    </row>
    <row r="338" ht="16.5" customHeight="1">
      <c r="A338" s="2" t="str">
        <f>IFERROR(__xludf.DUMMYFUNCTION("""COMPUTED_VALUE"""),"2772-MARSALCG")</f>
        <v>2772-MARSALCG</v>
      </c>
      <c r="B338" s="2" t="str">
        <f>IFERROR(__xludf.DUMMYFUNCTION("""COMPUTED_VALUE"""),"Realidad Aumentada en Hospitales")</f>
        <v>Realidad Aumentada en Hospitales</v>
      </c>
      <c r="C338" s="3">
        <f>IFERROR(__xludf.DUMMYFUNCTION("""COMPUTED_VALUE"""),46106.0)</f>
        <v>46106</v>
      </c>
      <c r="D338" s="3">
        <f>IFERROR(__xludf.DUMMYFUNCTION("""COMPUTED_VALUE"""),46112.0)</f>
        <v>46112</v>
      </c>
      <c r="E338" s="2" t="str">
        <f>IFERROR(__xludf.DUMMYFUNCTION("""COMPUTED_VALUE"""),"Cuidado")</f>
        <v>Cuidado</v>
      </c>
      <c r="F338" s="2" t="str">
        <f>IFERROR(__xludf.DUMMYFUNCTION("""COMPUTED_VALUE"""),"Salud")</f>
        <v>Salud</v>
      </c>
      <c r="G338" s="2" t="str">
        <f>IFERROR(__xludf.DUMMYFUNCTION("""COMPUTED_VALUE"""),"Finalizada")</f>
        <v>Finalizada</v>
      </c>
      <c r="H338" s="4">
        <v>962940.0</v>
      </c>
      <c r="I338" s="4">
        <v>79479.0</v>
      </c>
      <c r="J338" s="4">
        <v>1655.0</v>
      </c>
      <c r="K338" s="4">
        <v>618126.0</v>
      </c>
      <c r="L338" s="5">
        <v>1.352177387781779</v>
      </c>
      <c r="M338" s="5">
        <v>1.5578377224061113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0.0</v>
      </c>
      <c r="AB338" s="4">
        <v>0.0</v>
      </c>
      <c r="AC338" s="4">
        <v>0.0</v>
      </c>
      <c r="AD338" s="4"/>
      <c r="AE338" s="4" t="s">
        <v>8</v>
      </c>
    </row>
    <row r="339" ht="16.5" customHeight="1">
      <c r="A339" s="2" t="str">
        <f>IFERROR(__xludf.DUMMYFUNCTION("""COMPUTED_VALUE"""),"2773-MARDECAN")</f>
        <v>2773-MARDECAN</v>
      </c>
      <c r="B339" s="2" t="str">
        <f>IFERROR(__xludf.DUMMYFUNCTION("""COMPUTED_VALUE"""),"Eliminación del Impuesto de Sellos")</f>
        <v>Eliminación del Impuesto de Sellos</v>
      </c>
      <c r="C339" s="3">
        <f>IFERROR(__xludf.DUMMYFUNCTION("""COMPUTED_VALUE"""),46102.0)</f>
        <v>46102</v>
      </c>
      <c r="D339" s="3">
        <f>IFERROR(__xludf.DUMMYFUNCTION("""COMPUTED_VALUE"""),46109.0)</f>
        <v>46109</v>
      </c>
      <c r="E339" s="2" t="str">
        <f>IFERROR(__xludf.DUMMYFUNCTION("""COMPUTED_VALUE"""),"Reforma del Estado")</f>
        <v>Reforma del Estado</v>
      </c>
      <c r="F339" s="2" t="str">
        <f>IFERROR(__xludf.DUMMYFUNCTION("""COMPUTED_VALUE"""),"Desarrollo Económico")</f>
        <v>Desarrollo Económico</v>
      </c>
      <c r="G339" s="2" t="str">
        <f>IFERROR(__xludf.DUMMYFUNCTION("""COMPUTED_VALUE"""),"Finalizada")</f>
        <v>Finalizada</v>
      </c>
      <c r="H339" s="4">
        <v>0.0</v>
      </c>
      <c r="I339" s="4">
        <v>0.0</v>
      </c>
      <c r="J339" s="4">
        <v>0.0</v>
      </c>
      <c r="K339" s="4">
        <v>0.0</v>
      </c>
      <c r="L339" s="5">
        <v>0.0</v>
      </c>
      <c r="M339" s="5">
        <v>0.0</v>
      </c>
      <c r="N339" s="4">
        <v>691536.0</v>
      </c>
      <c r="O339" s="4">
        <v>684730.0</v>
      </c>
      <c r="P339" s="4">
        <v>159617.0</v>
      </c>
      <c r="Q339" s="4">
        <v>735.0</v>
      </c>
      <c r="R339" s="4">
        <v>0.0</v>
      </c>
      <c r="S339" s="4">
        <v>0.0</v>
      </c>
      <c r="T339" s="4">
        <v>0.0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0.0</v>
      </c>
      <c r="AB339" s="4">
        <v>0.0</v>
      </c>
      <c r="AC339" s="4">
        <v>0.0</v>
      </c>
      <c r="AD339" s="4" t="s">
        <v>8</v>
      </c>
      <c r="AE339" s="6" t="s">
        <v>9</v>
      </c>
    </row>
    <row r="340" ht="16.5" customHeight="1">
      <c r="A340" s="2" t="str">
        <f>IFERROR(__xludf.DUMMYFUNCTION("""COMPUTED_VALUE"""),"2774-MARDECAN")</f>
        <v>2774-MARDECAN</v>
      </c>
      <c r="B340" s="2" t="str">
        <f>IFERROR(__xludf.DUMMYFUNCTION("""COMPUTED_VALUE"""),"Exención de impuestos al sector gastronómico y hotelero")</f>
        <v>Exención de impuestos al sector gastronómico y hotelero</v>
      </c>
      <c r="C340" s="3">
        <f>IFERROR(__xludf.DUMMYFUNCTION("""COMPUTED_VALUE"""),46107.0)</f>
        <v>46107</v>
      </c>
      <c r="D340" s="3">
        <f>IFERROR(__xludf.DUMMYFUNCTION("""COMPUTED_VALUE"""),46107.0)</f>
        <v>46107</v>
      </c>
      <c r="E340" s="2" t="str">
        <f>IFERROR(__xludf.DUMMYFUNCTION("""COMPUTED_VALUE"""),"Reforma del Estado")</f>
        <v>Reforma del Estado</v>
      </c>
      <c r="F340" s="2" t="str">
        <f>IFERROR(__xludf.DUMMYFUNCTION("""COMPUTED_VALUE"""),"Desarrollo Económico")</f>
        <v>Desarrollo Económico</v>
      </c>
      <c r="G340" s="2" t="str">
        <f>IFERROR(__xludf.DUMMYFUNCTION("""COMPUTED_VALUE"""),"Finalizada")</f>
        <v>Finalizada</v>
      </c>
      <c r="H340" s="4">
        <v>0.0</v>
      </c>
      <c r="I340" s="4">
        <v>0.0</v>
      </c>
      <c r="J340" s="4">
        <v>0.0</v>
      </c>
      <c r="K340" s="4">
        <v>0.0</v>
      </c>
      <c r="L340" s="5">
        <v>0.0</v>
      </c>
      <c r="M340" s="5">
        <v>0.0</v>
      </c>
      <c r="N340" s="4">
        <v>90719.0</v>
      </c>
      <c r="O340" s="4">
        <v>89347.0</v>
      </c>
      <c r="P340" s="4">
        <v>16202.0</v>
      </c>
      <c r="Q340" s="4">
        <v>156.0</v>
      </c>
      <c r="R340" s="4">
        <v>0.0</v>
      </c>
      <c r="S340" s="4">
        <v>0.0</v>
      </c>
      <c r="T340" s="4">
        <v>0.0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0.0</v>
      </c>
      <c r="AB340" s="4">
        <v>0.0</v>
      </c>
      <c r="AC340" s="4">
        <v>0.0</v>
      </c>
      <c r="AD340" s="4" t="s">
        <v>8</v>
      </c>
      <c r="AE340" s="6" t="s">
        <v>9</v>
      </c>
    </row>
    <row r="341" ht="16.5" customHeight="1">
      <c r="A341" s="2" t="str">
        <f>IFERROR(__xludf.DUMMYFUNCTION("""COMPUTED_VALUE"""),"2775-MARSEGGJ")</f>
        <v>2775-MARSEGGJ</v>
      </c>
      <c r="B341" s="2" t="str">
        <f>IFERROR(__xludf.DUMMYFUNCTION("""COMPUTED_VALUE"""),"ALTA INTERNA MATERIAL ADICIONAL | SEGURIDAD | Demolición Búnker Narco en B3")</f>
        <v>ALTA INTERNA MATERIAL ADICIONAL | SEGURIDAD | Demolición Búnker Narco en B3</v>
      </c>
      <c r="C341" s="3">
        <f>IFERROR(__xludf.DUMMYFUNCTION("""COMPUTED_VALUE"""),46087.0)</f>
        <v>46087</v>
      </c>
      <c r="D341" s="3">
        <f>IFERROR(__xludf.DUMMYFUNCTION("""COMPUTED_VALUE"""),46265.0)</f>
        <v>46265</v>
      </c>
      <c r="E341" s="2" t="str">
        <f>IFERROR(__xludf.DUMMYFUNCTION("""COMPUTED_VALUE"""),"M2")</f>
        <v>M2</v>
      </c>
      <c r="F341" s="2" t="str">
        <f>IFERROR(__xludf.DUMMYFUNCTION("""COMPUTED_VALUE"""),"Seguridad")</f>
        <v>Seguridad</v>
      </c>
      <c r="G341" s="2" t="str">
        <f>IFERROR(__xludf.DUMMYFUNCTION("""COMPUTED_VALUE"""),"Activa")</f>
        <v>Activa</v>
      </c>
      <c r="H341" s="4">
        <v>2063911.0</v>
      </c>
      <c r="I341" s="4">
        <v>648451.0</v>
      </c>
      <c r="J341" s="4">
        <v>115673.0</v>
      </c>
      <c r="K341" s="4">
        <v>434887.0</v>
      </c>
      <c r="L341" s="5">
        <v>4.7458558200176135</v>
      </c>
      <c r="M341" s="5">
        <v>4.7458558200176135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0.0</v>
      </c>
      <c r="AB341" s="4">
        <v>0.0</v>
      </c>
      <c r="AC341" s="4">
        <v>0.0</v>
      </c>
      <c r="AD341" s="4"/>
      <c r="AE341" s="4" t="s">
        <v>8</v>
      </c>
    </row>
    <row r="342" ht="16.5" customHeight="1">
      <c r="A342" s="2" t="str">
        <f>IFERROR(__xludf.DUMMYFUNCTION("""COMPUTED_VALUE"""),"2776-MARVINVC")</f>
        <v>2776-MARVINVC</v>
      </c>
      <c r="B342" s="2" t="str">
        <f>IFERROR(__xludf.DUMMYFUNCTION("""COMPUTED_VALUE"""),"RDV MINISTROS | EZEQUIEL SABOR 30/3 COMUNA 7")</f>
        <v>RDV MINISTROS | EZEQUIEL SABOR 30/3 COMUNA 7</v>
      </c>
      <c r="C342" s="3">
        <f>IFERROR(__xludf.DUMMYFUNCTION("""COMPUTED_VALUE"""),46108.0)</f>
        <v>46108</v>
      </c>
      <c r="D342" s="3">
        <f>IFERROR(__xludf.DUMMYFUNCTION("""COMPUTED_VALUE"""),46112.0)</f>
        <v>46112</v>
      </c>
      <c r="E342" s="2" t="str">
        <f>IFERROR(__xludf.DUMMYFUNCTION("""COMPUTED_VALUE"""),"Cercanía")</f>
        <v>Cercanía</v>
      </c>
      <c r="F342" s="2" t="str">
        <f>IFERROR(__xludf.DUMMYFUNCTION("""COMPUTED_VALUE"""),"Vínculo Ciudadano")</f>
        <v>Vínculo Ciudadano</v>
      </c>
      <c r="G342" s="2" t="str">
        <f>IFERROR(__xludf.DUMMYFUNCTION("""COMPUTED_VALUE"""),"Finalizada")</f>
        <v>Finalizada</v>
      </c>
      <c r="H342" s="4">
        <v>103367.0</v>
      </c>
      <c r="I342" s="4">
        <v>0.0</v>
      </c>
      <c r="J342" s="4">
        <v>531.0</v>
      </c>
      <c r="K342" s="4">
        <v>68050.0</v>
      </c>
      <c r="L342" s="5">
        <v>1.5189860396767083</v>
      </c>
      <c r="M342" s="5">
        <v>1.5189860396767083</v>
      </c>
      <c r="N342" s="4">
        <v>76883.0</v>
      </c>
      <c r="O342" s="4">
        <v>75897.0</v>
      </c>
      <c r="P342" s="4">
        <v>13508.0</v>
      </c>
      <c r="Q342" s="4">
        <v>324.0</v>
      </c>
      <c r="R342" s="4">
        <v>183.0</v>
      </c>
      <c r="S342" s="4">
        <v>183.0</v>
      </c>
      <c r="T342" s="4">
        <v>50.0</v>
      </c>
      <c r="U342" s="4">
        <v>47.0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0.0</v>
      </c>
      <c r="AD342" s="4"/>
      <c r="AE342" s="6" t="s">
        <v>9</v>
      </c>
    </row>
    <row r="343" ht="16.5" customHeight="1">
      <c r="A343" s="2" t="str">
        <f>IFERROR(__xludf.DUMMYFUNCTION("""COMPUTED_VALUE"""),"2777-MARJDGVC")</f>
        <v>2777-MARJDGVC</v>
      </c>
      <c r="B343" s="2" t="str">
        <f>IFERROR(__xludf.DUMMYFUNCTION("""COMPUTED_VALUE"""),"RDV MINISTROS | GABRIEL SÁNCHEZ ZINNY 30/3  MATADEROS")</f>
        <v>RDV MINISTROS | GABRIEL SÁNCHEZ ZINNY 30/3  MATADEROS</v>
      </c>
      <c r="C343" s="3">
        <f>IFERROR(__xludf.DUMMYFUNCTION("""COMPUTED_VALUE"""),46107.0)</f>
        <v>46107</v>
      </c>
      <c r="D343" s="3">
        <f>IFERROR(__xludf.DUMMYFUNCTION("""COMPUTED_VALUE"""),46112.0)</f>
        <v>46112</v>
      </c>
      <c r="E343" s="2" t="str">
        <f>IFERROR(__xludf.DUMMYFUNCTION("""COMPUTED_VALUE"""),"Cercanía")</f>
        <v>Cercanía</v>
      </c>
      <c r="F343" s="2" t="str">
        <f>IFERROR(__xludf.DUMMYFUNCTION("""COMPUTED_VALUE"""),"Jefatura de Gabinete")</f>
        <v>Jefatura de Gabinete</v>
      </c>
      <c r="G343" s="2" t="str">
        <f>IFERROR(__xludf.DUMMYFUNCTION("""COMPUTED_VALUE"""),"Finalizada")</f>
        <v>Finalizada</v>
      </c>
      <c r="H343" s="4">
        <v>72802.0</v>
      </c>
      <c r="I343" s="4">
        <v>0.0</v>
      </c>
      <c r="J343" s="4">
        <v>283.0</v>
      </c>
      <c r="K343" s="4">
        <v>46652.0</v>
      </c>
      <c r="L343" s="5">
        <v>1.5605333104690045</v>
      </c>
      <c r="M343" s="5">
        <v>1.5605333104690045</v>
      </c>
      <c r="N343" s="4">
        <v>28865.0</v>
      </c>
      <c r="O343" s="4">
        <v>28504.0</v>
      </c>
      <c r="P343" s="4">
        <v>4447.0</v>
      </c>
      <c r="Q343" s="4">
        <v>134.0</v>
      </c>
      <c r="R343" s="4">
        <v>12118.0</v>
      </c>
      <c r="S343" s="4">
        <v>7102.0</v>
      </c>
      <c r="T343" s="4">
        <v>1578.0</v>
      </c>
      <c r="U343" s="4">
        <v>1206.0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0.0</v>
      </c>
      <c r="AD343" s="4"/>
      <c r="AE343" s="6" t="s">
        <v>9</v>
      </c>
    </row>
    <row r="344" ht="16.5" customHeight="1">
      <c r="A344" s="2" t="str">
        <f>IFERROR(__xludf.DUMMYFUNCTION("""COMPUTED_VALUE"""),"2778-MARDHHVC")</f>
        <v>2778-MARDHHVC</v>
      </c>
      <c r="B344" s="2" t="str">
        <f>IFERROR(__xludf.DUMMYFUNCTION("""COMPUTED_VALUE"""),"RDV Ministros | Gabriel Mraida - Comuna 15")</f>
        <v>RDV Ministros | Gabriel Mraida - Comuna 15</v>
      </c>
      <c r="C344" s="3">
        <f>IFERROR(__xludf.DUMMYFUNCTION("""COMPUTED_VALUE"""),46108.0)</f>
        <v>46108</v>
      </c>
      <c r="D344" s="3">
        <f>IFERROR(__xludf.DUMMYFUNCTION("""COMPUTED_VALUE"""),46113.0)</f>
        <v>46113</v>
      </c>
      <c r="E344" s="2" t="str">
        <f>IFERROR(__xludf.DUMMYFUNCTION("""COMPUTED_VALUE"""),"Cercanía")</f>
        <v>Cercanía</v>
      </c>
      <c r="F344" s="2" t="str">
        <f>IFERROR(__xludf.DUMMYFUNCTION("""COMPUTED_VALUE"""),"Desarrollo Humano y Hábitat")</f>
        <v>Desarrollo Humano y Hábitat</v>
      </c>
      <c r="G344" s="2" t="str">
        <f>IFERROR(__xludf.DUMMYFUNCTION("""COMPUTED_VALUE"""),"Finalizada")</f>
        <v>Finalizada</v>
      </c>
      <c r="H344" s="4">
        <v>118886.0</v>
      </c>
      <c r="I344" s="4">
        <v>0.0</v>
      </c>
      <c r="J344" s="4">
        <v>326.0</v>
      </c>
      <c r="K344" s="4">
        <v>76959.0</v>
      </c>
      <c r="L344" s="5">
        <v>1.5447965799971413</v>
      </c>
      <c r="M344" s="5">
        <v>1.5447965799971413</v>
      </c>
      <c r="N344" s="4">
        <v>77983.0</v>
      </c>
      <c r="O344" s="4">
        <v>77085.0</v>
      </c>
      <c r="P344" s="4">
        <v>13603.0</v>
      </c>
      <c r="Q344" s="4">
        <v>197.0</v>
      </c>
      <c r="R344" s="4">
        <v>120.0</v>
      </c>
      <c r="S344" s="4">
        <v>120.0</v>
      </c>
      <c r="T344" s="4">
        <v>30.0</v>
      </c>
      <c r="U344" s="4">
        <v>27.0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/>
      <c r="AE344" s="6" t="s">
        <v>57</v>
      </c>
    </row>
    <row r="345" ht="16.5" customHeight="1">
      <c r="A345" s="2" t="str">
        <f>IFERROR(__xludf.DUMMYFUNCTION("""COMPUTED_VALUE"""),"2780-MARINFVC")</f>
        <v>2780-MARINFVC</v>
      </c>
      <c r="B345" s="2" t="str">
        <f>IFERROR(__xludf.DUMMYFUNCTION("""COMPUTED_VALUE"""),"RDV MINISTROS | PABLO BERECIARTUA 1/4 COMUNA 12")</f>
        <v>RDV MINISTROS | PABLO BERECIARTUA 1/4 COMUNA 12</v>
      </c>
      <c r="C345" s="3">
        <f>IFERROR(__xludf.DUMMYFUNCTION("""COMPUTED_VALUE"""),46108.0)</f>
        <v>46108</v>
      </c>
      <c r="D345" s="3">
        <f>IFERROR(__xludf.DUMMYFUNCTION("""COMPUTED_VALUE"""),46115.0)</f>
        <v>46115</v>
      </c>
      <c r="E345" s="2" t="str">
        <f>IFERROR(__xludf.DUMMYFUNCTION("""COMPUTED_VALUE"""),"Cercanía")</f>
        <v>Cercanía</v>
      </c>
      <c r="F345" s="2" t="str">
        <f>IFERROR(__xludf.DUMMYFUNCTION("""COMPUTED_VALUE"""),"Infraestructura")</f>
        <v>Infraestructura</v>
      </c>
      <c r="G345" s="2" t="str">
        <f>IFERROR(__xludf.DUMMYFUNCTION("""COMPUTED_VALUE"""),"Finalizada")</f>
        <v>Finalizada</v>
      </c>
      <c r="H345" s="4">
        <v>136397.0</v>
      </c>
      <c r="I345" s="4">
        <v>0.0</v>
      </c>
      <c r="J345" s="4">
        <v>452.0</v>
      </c>
      <c r="K345" s="4">
        <v>85978.0</v>
      </c>
      <c r="L345" s="5">
        <v>1.586417455628184</v>
      </c>
      <c r="M345" s="5">
        <v>1.586417455628184</v>
      </c>
      <c r="N345" s="4">
        <v>86101.0</v>
      </c>
      <c r="O345" s="4">
        <v>85186.0</v>
      </c>
      <c r="P345" s="4">
        <v>16937.0</v>
      </c>
      <c r="Q345" s="4">
        <v>262.0</v>
      </c>
      <c r="R345" s="4">
        <v>173.0</v>
      </c>
      <c r="S345" s="4">
        <v>173.0</v>
      </c>
      <c r="T345" s="4">
        <v>51.0</v>
      </c>
      <c r="U345" s="4">
        <v>49.0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/>
      <c r="AE345" s="6" t="s">
        <v>9</v>
      </c>
    </row>
    <row r="346" ht="16.5" customHeight="1">
      <c r="A346" s="2" t="str">
        <f>IFERROR(__xludf.DUMMYFUNCTION("""COMPUTED_VALUE"""),"2781-MARJDGVC")</f>
        <v>2781-MARJDGVC</v>
      </c>
      <c r="B346" s="2" t="str">
        <f>IFERROR(__xludf.DUMMYFUNCTION("""COMPUTED_VALUE"""),"RDV MINISTROS | GABRIEL SÁNCHEZ ZINNY 1/4  MONTSERRAT")</f>
        <v>RDV MINISTROS | GABRIEL SÁNCHEZ ZINNY 1/4  MONTSERRAT</v>
      </c>
      <c r="C346" s="3">
        <f>IFERROR(__xludf.DUMMYFUNCTION("""COMPUTED_VALUE"""),46108.0)</f>
        <v>46108</v>
      </c>
      <c r="D346" s="3">
        <f>IFERROR(__xludf.DUMMYFUNCTION("""COMPUTED_VALUE"""),46115.0)</f>
        <v>46115</v>
      </c>
      <c r="E346" s="2" t="str">
        <f>IFERROR(__xludf.DUMMYFUNCTION("""COMPUTED_VALUE"""),"Cercanía")</f>
        <v>Cercanía</v>
      </c>
      <c r="F346" s="2" t="str">
        <f>IFERROR(__xludf.DUMMYFUNCTION("""COMPUTED_VALUE"""),"Jefatura de Gabinete")</f>
        <v>Jefatura de Gabinete</v>
      </c>
      <c r="G346" s="2" t="str">
        <f>IFERROR(__xludf.DUMMYFUNCTION("""COMPUTED_VALUE"""),"Finalizada")</f>
        <v>Finalizada</v>
      </c>
      <c r="H346" s="4">
        <v>27190.0</v>
      </c>
      <c r="I346" s="4">
        <v>0.0</v>
      </c>
      <c r="J346" s="4">
        <v>120.0</v>
      </c>
      <c r="K346" s="4">
        <v>17667.0</v>
      </c>
      <c r="L346" s="5">
        <v>1.5390275655176318</v>
      </c>
      <c r="M346" s="5">
        <v>1.5390275655176318</v>
      </c>
      <c r="N346" s="4">
        <v>77902.0</v>
      </c>
      <c r="O346" s="4">
        <v>77005.0</v>
      </c>
      <c r="P346" s="4">
        <v>14042.0</v>
      </c>
      <c r="Q346" s="4">
        <v>91.0</v>
      </c>
      <c r="R346" s="4">
        <v>6065.0</v>
      </c>
      <c r="S346" s="4">
        <v>6065.0</v>
      </c>
      <c r="T346" s="4">
        <v>1439.0</v>
      </c>
      <c r="U346" s="4">
        <v>1095.0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/>
      <c r="AE346" s="6" t="s">
        <v>57</v>
      </c>
    </row>
    <row r="347" ht="16.5" customHeight="1">
      <c r="A347" s="2" t="str">
        <f>IFERROR(__xludf.DUMMYFUNCTION("""COMPUTED_VALUE"""),"2782-MARJDGAG")</f>
        <v>2782-MARJDGAG</v>
      </c>
      <c r="B347" s="2" t="str">
        <f>IFERROR(__xludf.DUMMYFUNCTION("""COMPUTED_VALUE"""),"RDV JM | 30/3 VILLA SANTA RITA")</f>
        <v>RDV JM | 30/3 VILLA SANTA RITA</v>
      </c>
      <c r="C347" s="3">
        <f>IFERROR(__xludf.DUMMYFUNCTION("""COMPUTED_VALUE"""),46107.0)</f>
        <v>46107</v>
      </c>
      <c r="D347" s="3">
        <f>IFERROR(__xludf.DUMMYFUNCTION("""COMPUTED_VALUE"""),46128.0)</f>
        <v>46128</v>
      </c>
      <c r="E347" s="2" t="str">
        <f>IFERROR(__xludf.DUMMYFUNCTION("""COMPUTED_VALUE"""),"Cercanía")</f>
        <v>Cercanía</v>
      </c>
      <c r="F347" s="2" t="str">
        <f>IFERROR(__xludf.DUMMYFUNCTION("""COMPUTED_VALUE"""),"Jefatura de Gobierno")</f>
        <v>Jefatura de Gobierno</v>
      </c>
      <c r="G347" s="2" t="str">
        <f>IFERROR(__xludf.DUMMYFUNCTION("""COMPUTED_VALUE"""),"Finalizada")</f>
        <v>Finalizada</v>
      </c>
      <c r="H347" s="4">
        <v>2496251.0</v>
      </c>
      <c r="I347" s="4">
        <v>1228899.0</v>
      </c>
      <c r="J347" s="4">
        <v>7078.0</v>
      </c>
      <c r="K347" s="4">
        <v>14434.0</v>
      </c>
      <c r="L347" s="5">
        <v>10.908618539559374</v>
      </c>
      <c r="M347" s="5">
        <v>172.94242760149646</v>
      </c>
      <c r="N347" s="4">
        <v>15380.0</v>
      </c>
      <c r="O347" s="4">
        <v>15217.0</v>
      </c>
      <c r="P347" s="4">
        <v>3035.0</v>
      </c>
      <c r="Q347" s="4">
        <v>127.0</v>
      </c>
      <c r="R347" s="4">
        <v>25.0</v>
      </c>
      <c r="S347" s="4">
        <v>25.0</v>
      </c>
      <c r="T347" s="4">
        <v>22.0</v>
      </c>
      <c r="U347" s="4">
        <v>20.0</v>
      </c>
      <c r="V347" s="4">
        <v>8886.0</v>
      </c>
      <c r="W347" s="4">
        <v>8886.0</v>
      </c>
      <c r="X347" s="4">
        <v>7917.0</v>
      </c>
      <c r="Y347" s="4">
        <v>3604.0</v>
      </c>
      <c r="Z347" s="4">
        <v>25.0</v>
      </c>
      <c r="AA347" s="4">
        <v>0.0</v>
      </c>
      <c r="AB347" s="4">
        <v>0.0</v>
      </c>
      <c r="AC347" s="4">
        <v>0.0</v>
      </c>
      <c r="AD347" s="4"/>
      <c r="AE347" s="6" t="s">
        <v>9</v>
      </c>
    </row>
    <row r="348" ht="16.5" customHeight="1">
      <c r="A348" s="2" t="str">
        <f>IFERROR(__xludf.DUMMYFUNCTION("""COMPUTED_VALUE"""),"2783-MAREDUVC")</f>
        <v>2783-MAREDUVC</v>
      </c>
      <c r="B348" s="2" t="str">
        <f>IFERROR(__xludf.DUMMYFUNCTION("""COMPUTED_VALUE"""),"RDV MINISTROS | MM |  COMUNA 2  || 30/3")</f>
        <v>RDV MINISTROS | MM |  COMUNA 2  || 30/3</v>
      </c>
      <c r="C348" s="3">
        <f>IFERROR(__xludf.DUMMYFUNCTION("""COMPUTED_VALUE"""),46107.0)</f>
        <v>46107</v>
      </c>
      <c r="D348" s="3">
        <f>IFERROR(__xludf.DUMMYFUNCTION("""COMPUTED_VALUE"""),46112.0)</f>
        <v>46112</v>
      </c>
      <c r="E348" s="2" t="str">
        <f>IFERROR(__xludf.DUMMYFUNCTION("""COMPUTED_VALUE"""),"Cercanía")</f>
        <v>Cercanía</v>
      </c>
      <c r="F348" s="2" t="str">
        <f>IFERROR(__xludf.DUMMYFUNCTION("""COMPUTED_VALUE"""),"Educación")</f>
        <v>Educación</v>
      </c>
      <c r="G348" s="2" t="str">
        <f>IFERROR(__xludf.DUMMYFUNCTION("""COMPUTED_VALUE"""),"Finalizada")</f>
        <v>Finalizada</v>
      </c>
      <c r="H348" s="4">
        <v>342476.0</v>
      </c>
      <c r="I348" s="4">
        <v>0.0</v>
      </c>
      <c r="J348" s="4">
        <v>323.0</v>
      </c>
      <c r="K348" s="4">
        <v>273914.0</v>
      </c>
      <c r="L348" s="5">
        <v>1.2503048402053198</v>
      </c>
      <c r="M348" s="5">
        <v>1.2503048402053198</v>
      </c>
      <c r="N348" s="4">
        <v>6076.0</v>
      </c>
      <c r="O348" s="4">
        <v>6005.0</v>
      </c>
      <c r="P348" s="4">
        <v>1428.0</v>
      </c>
      <c r="Q348" s="4">
        <v>28.0</v>
      </c>
      <c r="R348" s="4">
        <v>13.0</v>
      </c>
      <c r="S348" s="4">
        <v>13.0</v>
      </c>
      <c r="T348" s="4">
        <v>4.0</v>
      </c>
      <c r="U348" s="4">
        <v>4.0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/>
      <c r="AE348" s="6" t="s">
        <v>9</v>
      </c>
    </row>
    <row r="349" ht="16.5" customHeight="1">
      <c r="A349" s="2" t="str">
        <f>IFERROR(__xludf.DUMMYFUNCTION("""COMPUTED_VALUE"""),"2784-MARDECVC")</f>
        <v>2784-MARDECVC</v>
      </c>
      <c r="B349" s="2" t="str">
        <f>IFERROR(__xludf.DUMMYFUNCTION("""COMPUTED_VALUE"""),"RDV MINISTROS | ARENGO,PIRAGINE,LOMBARDI | EJE NORTE | 30/3")</f>
        <v>RDV MINISTROS | ARENGO,PIRAGINE,LOMBARDI | EJE NORTE | 30/3</v>
      </c>
      <c r="C349" s="3">
        <f>IFERROR(__xludf.DUMMYFUNCTION("""COMPUTED_VALUE"""),46108.0)</f>
        <v>46108</v>
      </c>
      <c r="D349" s="3">
        <f>IFERROR(__xludf.DUMMYFUNCTION("""COMPUTED_VALUE"""),46112.0)</f>
        <v>46112</v>
      </c>
      <c r="E349" s="2" t="str">
        <f>IFERROR(__xludf.DUMMYFUNCTION("""COMPUTED_VALUE"""),"Cercanía")</f>
        <v>Cercanía</v>
      </c>
      <c r="F349" s="2" t="str">
        <f>IFERROR(__xludf.DUMMYFUNCTION("""COMPUTED_VALUE"""),"Desarrollo Económico")</f>
        <v>Desarrollo Económico</v>
      </c>
      <c r="G349" s="2" t="str">
        <f>IFERROR(__xludf.DUMMYFUNCTION("""COMPUTED_VALUE"""),"Finalizada")</f>
        <v>Finalizada</v>
      </c>
      <c r="H349" s="4">
        <v>620593.0</v>
      </c>
      <c r="I349" s="4">
        <v>0.0</v>
      </c>
      <c r="J349" s="4">
        <v>749.0</v>
      </c>
      <c r="K349" s="4">
        <v>299904.0</v>
      </c>
      <c r="L349" s="5">
        <v>2.0693055110968843</v>
      </c>
      <c r="M349" s="5">
        <v>2.0693055110968843</v>
      </c>
      <c r="N349" s="4">
        <v>14026.0</v>
      </c>
      <c r="O349" s="4">
        <v>13776.0</v>
      </c>
      <c r="P349" s="4">
        <v>2629.0</v>
      </c>
      <c r="Q349" s="4">
        <v>37.0</v>
      </c>
      <c r="R349" s="4">
        <v>23.0</v>
      </c>
      <c r="S349" s="4">
        <v>23.0</v>
      </c>
      <c r="T349" s="4">
        <v>10.0</v>
      </c>
      <c r="U349" s="4">
        <v>9.0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/>
      <c r="AE349" s="6" t="s">
        <v>9</v>
      </c>
    </row>
    <row r="350" ht="16.5" customHeight="1">
      <c r="A350" s="2" t="str">
        <f>IFERROR(__xludf.DUMMYFUNCTION("""COMPUTED_VALUE"""),"2785-MARSALGC")</f>
        <v>2785-MARSALGC</v>
      </c>
      <c r="B350" s="2" t="str">
        <f>IFERROR(__xludf.DUMMYFUNCTION("""COMPUTED_VALUE"""),"Centro de Cuidados Integrales")</f>
        <v>Centro de Cuidados Integrales</v>
      </c>
      <c r="C350" s="3">
        <f>IFERROR(__xludf.DUMMYFUNCTION("""COMPUTED_VALUE"""),46134.0)</f>
        <v>46134</v>
      </c>
      <c r="D350" s="3">
        <f>IFERROR(__xludf.DUMMYFUNCTION("""COMPUTED_VALUE"""),46149.0)</f>
        <v>46149</v>
      </c>
      <c r="E350" s="2" t="str">
        <f>IFERROR(__xludf.DUMMYFUNCTION("""COMPUTED_VALUE"""),"Cuidado")</f>
        <v>Cuidado</v>
      </c>
      <c r="F350" s="2" t="str">
        <f>IFERROR(__xludf.DUMMYFUNCTION("""COMPUTED_VALUE"""),"Salud")</f>
        <v>Salud</v>
      </c>
      <c r="G350" s="2" t="str">
        <f>IFERROR(__xludf.DUMMYFUNCTION("""COMPUTED_VALUE"""),"Finalizada")</f>
        <v>Finalizada</v>
      </c>
      <c r="H350" s="4">
        <v>5900871.0</v>
      </c>
      <c r="I350" s="4">
        <v>1473069.0</v>
      </c>
      <c r="J350" s="4">
        <v>6066.0</v>
      </c>
      <c r="K350" s="4">
        <v>678481.0</v>
      </c>
      <c r="L350" s="5">
        <v>1.96719878670147</v>
      </c>
      <c r="M350" s="5">
        <v>8.69717943464887</v>
      </c>
      <c r="N350" s="4">
        <v>30001.0</v>
      </c>
      <c r="O350" s="4">
        <v>29261.0</v>
      </c>
      <c r="P350" s="4">
        <v>7713.0</v>
      </c>
      <c r="Q350" s="4">
        <v>539.0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82.0</v>
      </c>
      <c r="AB350" s="4">
        <v>72.0</v>
      </c>
      <c r="AC350" s="4">
        <v>10.0</v>
      </c>
      <c r="AD350" s="6" t="s">
        <v>58</v>
      </c>
      <c r="AE350" s="6" t="s">
        <v>9</v>
      </c>
    </row>
    <row r="351" ht="16.5" customHeight="1">
      <c r="A351" s="2" t="str">
        <f>IFERROR(__xludf.DUMMYFUNCTION("""COMPUTED_VALUE"""),"2786-MARDECAN")</f>
        <v>2786-MARDECAN</v>
      </c>
      <c r="B351" s="2" t="str">
        <f>IFERROR(__xludf.DUMMYFUNCTION("""COMPUTED_VALUE"""),"ANUNCIO JM | DISTRITO IA")</f>
        <v>ANUNCIO JM | DISTRITO IA</v>
      </c>
      <c r="C351" s="3">
        <f>IFERROR(__xludf.DUMMYFUNCTION("""COMPUTED_VALUE"""),46108.0)</f>
        <v>46108</v>
      </c>
      <c r="D351" s="3">
        <f>IFERROR(__xludf.DUMMYFUNCTION("""COMPUTED_VALUE"""),46115.0)</f>
        <v>46115</v>
      </c>
      <c r="E351" s="2" t="str">
        <f>IFERROR(__xludf.DUMMYFUNCTION("""COMPUTED_VALUE"""),"Reforma del Estado")</f>
        <v>Reforma del Estado</v>
      </c>
      <c r="F351" s="2" t="str">
        <f>IFERROR(__xludf.DUMMYFUNCTION("""COMPUTED_VALUE"""),"Desarrollo Económico")</f>
        <v>Desarrollo Económico</v>
      </c>
      <c r="G351" s="2" t="str">
        <f>IFERROR(__xludf.DUMMYFUNCTION("""COMPUTED_VALUE"""),"Finalizada")</f>
        <v>Finalizada</v>
      </c>
      <c r="H351" s="4">
        <v>1047964.0</v>
      </c>
      <c r="I351" s="4">
        <v>0.0</v>
      </c>
      <c r="J351" s="4">
        <v>1593.0</v>
      </c>
      <c r="K351" s="4">
        <v>1168828.0</v>
      </c>
      <c r="L351" s="5">
        <v>0.8965938529877792</v>
      </c>
      <c r="M351" s="5">
        <v>0.8965938529877792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/>
      <c r="AE351" s="4" t="s">
        <v>8</v>
      </c>
    </row>
    <row r="352" ht="16.5" customHeight="1">
      <c r="A352" s="2" t="str">
        <f>IFERROR(__xludf.DUMMYFUNCTION("""COMPUTED_VALUE"""),"2787-MARINFGC")</f>
        <v>2787-MARINFGC</v>
      </c>
      <c r="B352" s="2" t="str">
        <f>IFERROR(__xludf.DUMMYFUNCTION("""COMPUTED_VALUE"""),"INFRAESTRUCTURA  | Cortes y desvíos en Velez: Tan Bionica")</f>
        <v>INFRAESTRUCTURA  | Cortes y desvíos en Velez: Tan Bionica</v>
      </c>
      <c r="C352" s="3">
        <f>IFERROR(__xludf.DUMMYFUNCTION("""COMPUTED_VALUE"""),46108.0)</f>
        <v>46108</v>
      </c>
      <c r="D352" s="3">
        <f>IFERROR(__xludf.DUMMYFUNCTION("""COMPUTED_VALUE"""),46111.0)</f>
        <v>46111</v>
      </c>
      <c r="E352" s="2" t="str">
        <f>IFERROR(__xludf.DUMMYFUNCTION("""COMPUTED_VALUE"""),"Movilidad")</f>
        <v>Movilidad</v>
      </c>
      <c r="F352" s="2" t="str">
        <f>IFERROR(__xludf.DUMMYFUNCTION("""COMPUTED_VALUE"""),"Infraestructura")</f>
        <v>Infraestructura</v>
      </c>
      <c r="G352" s="2" t="str">
        <f>IFERROR(__xludf.DUMMYFUNCTION("""COMPUTED_VALUE"""),"Finalizada")</f>
        <v>Finalizada</v>
      </c>
      <c r="H352" s="4">
        <v>79983.0</v>
      </c>
      <c r="I352" s="4">
        <v>0.0</v>
      </c>
      <c r="J352" s="4">
        <v>691.0</v>
      </c>
      <c r="K352" s="4">
        <v>59029.0</v>
      </c>
      <c r="L352" s="5">
        <v>1.3549780616307239</v>
      </c>
      <c r="M352" s="5">
        <v>1.3549780616307239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/>
      <c r="AE352" s="4" t="s">
        <v>8</v>
      </c>
    </row>
    <row r="353" ht="16.5" customHeight="1">
      <c r="A353" s="2" t="str">
        <f>IFERROR(__xludf.DUMMYFUNCTION("""COMPUTED_VALUE"""),"2788-MARFESGC")</f>
        <v>2788-MARFESGC</v>
      </c>
      <c r="B353" s="2" t="str">
        <f>IFERROR(__xludf.DUMMYFUNCTION("""COMPUTED_VALUE"""),"Evento Experiencia BA")</f>
        <v>Evento Experiencia BA</v>
      </c>
      <c r="C353" s="3">
        <f>IFERROR(__xludf.DUMMYFUNCTION("""COMPUTED_VALUE"""),46108.0)</f>
        <v>46108</v>
      </c>
      <c r="D353" s="3">
        <f>IFERROR(__xludf.DUMMYFUNCTION("""COMPUTED_VALUE"""),46109.0)</f>
        <v>46109</v>
      </c>
      <c r="E353" s="2" t="str">
        <f>IFERROR(__xludf.DUMMYFUNCTION("""COMPUTED_VALUE"""),"Ciudad Atractiva")</f>
        <v>Ciudad Atractiva</v>
      </c>
      <c r="F353" s="2" t="str">
        <f>IFERROR(__xludf.DUMMYFUNCTION("""COMPUTED_VALUE"""),"Festivales y Eventos")</f>
        <v>Festivales y Eventos</v>
      </c>
      <c r="G353" s="2" t="str">
        <f>IFERROR(__xludf.DUMMYFUNCTION("""COMPUTED_VALUE"""),"Finalizada")</f>
        <v>Finalizada</v>
      </c>
      <c r="H353" s="4">
        <v>1352340.0</v>
      </c>
      <c r="I353" s="4">
        <v>24682.0</v>
      </c>
      <c r="J353" s="4">
        <v>2873.0</v>
      </c>
      <c r="K353" s="4">
        <v>646488.0</v>
      </c>
      <c r="L353" s="5">
        <v>2.0918253703084977</v>
      </c>
      <c r="M353" s="5">
        <v>2.0918253703084977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/>
      <c r="AE353" s="4" t="s">
        <v>8</v>
      </c>
    </row>
    <row r="354" ht="16.5" customHeight="1">
      <c r="A354" s="2" t="str">
        <f>IFERROR(__xludf.DUMMYFUNCTION("""COMPUTED_VALUE"""),"2789-MARINFGC")</f>
        <v>2789-MARINFGC</v>
      </c>
      <c r="B354" s="2" t="str">
        <f>IFERROR(__xludf.DUMMYFUNCTION("""COMPUTED_VALUE""")," Infraestructura I Cortes en Dellepiane por obras (30/3)")</f>
        <v> Infraestructura I Cortes en Dellepiane por obras (30/3)</v>
      </c>
      <c r="C354" s="3">
        <f>IFERROR(__xludf.DUMMYFUNCTION("""COMPUTED_VALUE"""),46108.0)</f>
        <v>46108</v>
      </c>
      <c r="D354" s="3">
        <f>IFERROR(__xludf.DUMMYFUNCTION("""COMPUTED_VALUE"""),46112.0)</f>
        <v>46112</v>
      </c>
      <c r="E354" s="2" t="str">
        <f>IFERROR(__xludf.DUMMYFUNCTION("""COMPUTED_VALUE"""),"Movilidad")</f>
        <v>Movilidad</v>
      </c>
      <c r="F354" s="2" t="str">
        <f>IFERROR(__xludf.DUMMYFUNCTION("""COMPUTED_VALUE"""),"Infraestructura")</f>
        <v>Infraestructura</v>
      </c>
      <c r="G354" s="2" t="str">
        <f>IFERROR(__xludf.DUMMYFUNCTION("""COMPUTED_VALUE"""),"Finalizada")</f>
        <v>Finalizada</v>
      </c>
      <c r="H354" s="4">
        <v>56294.0</v>
      </c>
      <c r="I354" s="4">
        <v>0.0</v>
      </c>
      <c r="J354" s="4">
        <v>4.0</v>
      </c>
      <c r="K354" s="4">
        <v>44806.0</v>
      </c>
      <c r="L354" s="5">
        <v>1.2563942329152347</v>
      </c>
      <c r="M354" s="5">
        <v>1.2563942329152347</v>
      </c>
      <c r="N354" s="4">
        <v>108304.0</v>
      </c>
      <c r="O354" s="4">
        <v>106905.0</v>
      </c>
      <c r="P354" s="4">
        <v>39728.0</v>
      </c>
      <c r="Q354" s="4">
        <v>428.0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/>
      <c r="AE354" s="6" t="s">
        <v>9</v>
      </c>
    </row>
    <row r="355" ht="16.5" customHeight="1">
      <c r="A355" s="2" t="str">
        <f>IFERROR(__xludf.DUMMYFUNCTION("""COMPUTED_VALUE"""),"2790-MARJDGAG")</f>
        <v>2790-MARJDGAG</v>
      </c>
      <c r="B355" s="2" t="str">
        <f>IFERROR(__xludf.DUMMYFUNCTION("""COMPUTED_VALUE"""),"1 A 1 JM | Comuna 2 31/03")</f>
        <v>1 A 1 JM | Comuna 2 31/03</v>
      </c>
      <c r="C355" s="3">
        <f>IFERROR(__xludf.DUMMYFUNCTION("""COMPUTED_VALUE"""),46108.0)</f>
        <v>46108</v>
      </c>
      <c r="D355" s="3">
        <f>IFERROR(__xludf.DUMMYFUNCTION("""COMPUTED_VALUE"""),46131.0)</f>
        <v>46131</v>
      </c>
      <c r="E355" s="2" t="str">
        <f>IFERROR(__xludf.DUMMYFUNCTION("""COMPUTED_VALUE"""),"Cercanía")</f>
        <v>Cercanía</v>
      </c>
      <c r="F355" s="2" t="str">
        <f>IFERROR(__xludf.DUMMYFUNCTION("""COMPUTED_VALUE"""),"Jefatura de Gobierno")</f>
        <v>Jefatura de Gobierno</v>
      </c>
      <c r="G355" s="2" t="str">
        <f>IFERROR(__xludf.DUMMYFUNCTION("""COMPUTED_VALUE"""),"Finalizada")</f>
        <v>Finalizada</v>
      </c>
      <c r="H355" s="4">
        <v>5946233.0</v>
      </c>
      <c r="I355" s="4">
        <v>2879887.0</v>
      </c>
      <c r="J355" s="4">
        <v>6897.0</v>
      </c>
      <c r="K355" s="4">
        <v>602363.0</v>
      </c>
      <c r="L355" s="5">
        <v>1.478671498747433</v>
      </c>
      <c r="M355" s="5">
        <v>9.871511032384127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/>
      <c r="AE355" s="4" t="s">
        <v>8</v>
      </c>
    </row>
    <row r="356" ht="16.5" customHeight="1">
      <c r="A356" s="2" t="str">
        <f>IFERROR(__xludf.DUMMYFUNCTION("""COMPUTED_VALUE"""),"2791-MARINFGC")</f>
        <v>2791-MARINFGC</v>
      </c>
      <c r="B356" s="2" t="str">
        <f>IFERROR(__xludf.DUMMYFUNCTION("""COMPUTED_VALUE"""),"Infraestructura I Cortes en AU Illia por obras")</f>
        <v>Infraestructura I Cortes en AU Illia por obras</v>
      </c>
      <c r="C356" s="3">
        <f>IFERROR(__xludf.DUMMYFUNCTION("""COMPUTED_VALUE"""),46108.0)</f>
        <v>46108</v>
      </c>
      <c r="D356" s="3">
        <f>IFERROR(__xludf.DUMMYFUNCTION("""COMPUTED_VALUE"""),46112.0)</f>
        <v>46112</v>
      </c>
      <c r="E356" s="2" t="str">
        <f>IFERROR(__xludf.DUMMYFUNCTION("""COMPUTED_VALUE"""),"Movilidad")</f>
        <v>Movilidad</v>
      </c>
      <c r="F356" s="2" t="str">
        <f>IFERROR(__xludf.DUMMYFUNCTION("""COMPUTED_VALUE"""),"Infraestructura")</f>
        <v>Infraestructura</v>
      </c>
      <c r="G356" s="2" t="str">
        <f>IFERROR(__xludf.DUMMYFUNCTION("""COMPUTED_VALUE"""),"Finalizada")</f>
        <v>Finalizada</v>
      </c>
      <c r="H356" s="4">
        <v>812015.0</v>
      </c>
      <c r="I356" s="4">
        <v>0.0</v>
      </c>
      <c r="J356" s="4">
        <v>1339.0</v>
      </c>
      <c r="K356" s="4">
        <v>531451.0</v>
      </c>
      <c r="L356" s="5">
        <v>1.5279207302272457</v>
      </c>
      <c r="M356" s="5">
        <v>1.5279207302272457</v>
      </c>
      <c r="N356" s="4">
        <v>146476.0</v>
      </c>
      <c r="O356" s="4">
        <v>145059.0</v>
      </c>
      <c r="P356" s="4">
        <v>57719.0</v>
      </c>
      <c r="Q356" s="4">
        <v>252.0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/>
      <c r="AE356" s="6" t="s">
        <v>9</v>
      </c>
    </row>
    <row r="357" ht="16.5" customHeight="1">
      <c r="A357" s="2" t="str">
        <f>IFERROR(__xludf.DUMMYFUNCTION("""COMPUTED_VALUE"""),"2792-MARSEGCG")</f>
        <v>2792-MARSEGCG</v>
      </c>
      <c r="B357" s="2" t="str">
        <f>IFERROR(__xludf.DUMMYFUNCTION("""COMPUTED_VALUE"""),"CONTENIDO ADICIONAL | Seguridad | Video para pauta: Orden en la Villa 31")</f>
        <v>CONTENIDO ADICIONAL | Seguridad | Video para pauta: Orden en la Villa 31</v>
      </c>
      <c r="C357" s="3">
        <f>IFERROR(__xludf.DUMMYFUNCTION("""COMPUTED_VALUE"""),46111.0)</f>
        <v>46111</v>
      </c>
      <c r="D357" s="3">
        <f>IFERROR(__xludf.DUMMYFUNCTION("""COMPUTED_VALUE"""),46142.0)</f>
        <v>46142</v>
      </c>
      <c r="E357" s="2" t="str">
        <f>IFERROR(__xludf.DUMMYFUNCTION("""COMPUTED_VALUE"""),"M2")</f>
        <v>M2</v>
      </c>
      <c r="F357" s="2" t="str">
        <f>IFERROR(__xludf.DUMMYFUNCTION("""COMPUTED_VALUE"""),"Seguridad")</f>
        <v>Seguridad</v>
      </c>
      <c r="G357" s="2" t="str">
        <f>IFERROR(__xludf.DUMMYFUNCTION("""COMPUTED_VALUE"""),"Finalizada")</f>
        <v>Finalizada</v>
      </c>
      <c r="H357" s="4">
        <v>3336722.0</v>
      </c>
      <c r="I357" s="4">
        <v>573781.0</v>
      </c>
      <c r="J357" s="4">
        <v>9304.0</v>
      </c>
      <c r="K357" s="4">
        <v>1424069.0</v>
      </c>
      <c r="L357" s="5">
        <v>2.343090117122134</v>
      </c>
      <c r="M357" s="5">
        <v>2.343090117122134</v>
      </c>
      <c r="N357" s="4">
        <v>605823.0</v>
      </c>
      <c r="O357" s="4">
        <v>599869.0</v>
      </c>
      <c r="P357" s="4">
        <v>125555.0</v>
      </c>
      <c r="Q357" s="4">
        <v>1283.0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/>
      <c r="AE357" s="6" t="s">
        <v>9</v>
      </c>
    </row>
    <row r="358" ht="16.5" customHeight="1">
      <c r="A358" s="2" t="str">
        <f>IFERROR(__xludf.DUMMYFUNCTION("""COMPUTED_VALUE"""),"2793-MARPCCVC")</f>
        <v>2793-MARPCCVC</v>
      </c>
      <c r="B358" s="2" t="str">
        <f>IFERROR(__xludf.DUMMYFUNCTION("""COMPUTED_VALUE"""),"Parque Lineal Almagro")</f>
        <v>Parque Lineal Almagro</v>
      </c>
      <c r="C358" s="3">
        <f>IFERROR(__xludf.DUMMYFUNCTION("""COMPUTED_VALUE"""),46134.0)</f>
        <v>46134</v>
      </c>
      <c r="D358" s="3">
        <f>IFERROR(__xludf.DUMMYFUNCTION("""COMPUTED_VALUE"""),46134.0)</f>
        <v>46134</v>
      </c>
      <c r="E358" s="2" t="str">
        <f>IFERROR(__xludf.DUMMYFUNCTION("""COMPUTED_VALUE"""),"Cercanía")</f>
        <v>Cercanía</v>
      </c>
      <c r="F358" s="2" t="str">
        <f>IFERROR(__xludf.DUMMYFUNCTION("""COMPUTED_VALUE"""),"Cercanía y PC")</f>
        <v>Cercanía y PC</v>
      </c>
      <c r="G358" s="2" t="str">
        <f>IFERROR(__xludf.DUMMYFUNCTION("""COMPUTED_VALUE"""),"Finalizada")</f>
        <v>Finalizada</v>
      </c>
      <c r="H358" s="4">
        <v>0.0</v>
      </c>
      <c r="I358" s="4">
        <v>0.0</v>
      </c>
      <c r="J358" s="4">
        <v>0.0</v>
      </c>
      <c r="K358" s="4">
        <v>0.0</v>
      </c>
      <c r="L358" s="5">
        <v>0.0</v>
      </c>
      <c r="M358" s="5">
        <v>0.0</v>
      </c>
      <c r="N358" s="4">
        <v>24640.0</v>
      </c>
      <c r="O358" s="4">
        <v>24403.0</v>
      </c>
      <c r="P358" s="4">
        <v>7338.0</v>
      </c>
      <c r="Q358" s="4">
        <v>153.0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 t="s">
        <v>8</v>
      </c>
      <c r="AE358" s="6" t="s">
        <v>9</v>
      </c>
    </row>
    <row r="359" ht="16.5" customHeight="1">
      <c r="A359" s="2" t="str">
        <f>IFERROR(__xludf.DUMMYFUNCTION("""COMPUTED_VALUE"""),"2794-MARPCCVC")</f>
        <v>2794-MARPCCVC</v>
      </c>
      <c r="B359" s="2" t="str">
        <f>IFERROR(__xludf.DUMMYFUNCTION("""COMPUTED_VALUE"""),"Día de la Salud")</f>
        <v>Día de la Salud</v>
      </c>
      <c r="C359" s="3">
        <f>IFERROR(__xludf.DUMMYFUNCTION("""COMPUTED_VALUE"""),46113.0)</f>
        <v>46113</v>
      </c>
      <c r="D359" s="3">
        <f>IFERROR(__xludf.DUMMYFUNCTION("""COMPUTED_VALUE"""),46113.0)</f>
        <v>46113</v>
      </c>
      <c r="E359" s="2" t="str">
        <f>IFERROR(__xludf.DUMMYFUNCTION("""COMPUTED_VALUE"""),"Cercanía")</f>
        <v>Cercanía</v>
      </c>
      <c r="F359" s="2" t="str">
        <f>IFERROR(__xludf.DUMMYFUNCTION("""COMPUTED_VALUE"""),"Cercanía y PC")</f>
        <v>Cercanía y PC</v>
      </c>
      <c r="G359" s="2" t="str">
        <f>IFERROR(__xludf.DUMMYFUNCTION("""COMPUTED_VALUE"""),"Finalizada")</f>
        <v>Finalizada</v>
      </c>
      <c r="H359" s="4">
        <v>0.0</v>
      </c>
      <c r="I359" s="4">
        <v>0.0</v>
      </c>
      <c r="J359" s="4">
        <v>0.0</v>
      </c>
      <c r="K359" s="4">
        <v>0.0</v>
      </c>
      <c r="L359" s="5">
        <v>0.0</v>
      </c>
      <c r="M359" s="5">
        <v>0.0</v>
      </c>
      <c r="N359" s="4">
        <v>124481.0</v>
      </c>
      <c r="O359" s="4">
        <v>123079.0</v>
      </c>
      <c r="P359" s="4">
        <v>23846.0</v>
      </c>
      <c r="Q359" s="4">
        <v>51.0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 t="s">
        <v>8</v>
      </c>
      <c r="AE359" s="6" t="s">
        <v>9</v>
      </c>
    </row>
    <row r="360" ht="16.5" customHeight="1">
      <c r="A360" s="2" t="str">
        <f>IFERROR(__xludf.DUMMYFUNCTION("""COMPUTED_VALUE"""),"2795-MARINFGC")</f>
        <v>2795-MARINFGC</v>
      </c>
      <c r="B360" s="2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360" s="3">
        <f>IFERROR(__xludf.DUMMYFUNCTION("""COMPUTED_VALUE"""),46122.0)</f>
        <v>46122</v>
      </c>
      <c r="D360" s="3">
        <f>IFERROR(__xludf.DUMMYFUNCTION("""COMPUTED_VALUE"""),46178.0)</f>
        <v>46178</v>
      </c>
      <c r="E360" s="2" t="str">
        <f>IFERROR(__xludf.DUMMYFUNCTION("""COMPUTED_VALUE"""),"Movilidad")</f>
        <v>Movilidad</v>
      </c>
      <c r="F360" s="2" t="str">
        <f>IFERROR(__xludf.DUMMYFUNCTION("""COMPUTED_VALUE"""),"Infraestructura")</f>
        <v>Infraestructura</v>
      </c>
      <c r="G360" s="2" t="str">
        <f>IFERROR(__xludf.DUMMYFUNCTION("""COMPUTED_VALUE"""),"Finalizada")</f>
        <v>Finalizada</v>
      </c>
      <c r="H360" s="4">
        <v>0.0</v>
      </c>
      <c r="I360" s="4">
        <v>0.0</v>
      </c>
      <c r="J360" s="4">
        <v>0.0</v>
      </c>
      <c r="K360" s="4">
        <v>0.0</v>
      </c>
      <c r="L360" s="5">
        <v>0.0</v>
      </c>
      <c r="M360" s="5">
        <v>0.0</v>
      </c>
      <c r="N360" s="4">
        <v>29655.0</v>
      </c>
      <c r="O360" s="4">
        <v>29504.0</v>
      </c>
      <c r="P360" s="4">
        <v>15027.0</v>
      </c>
      <c r="Q360" s="4">
        <v>7221.0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 t="s">
        <v>8</v>
      </c>
      <c r="AE360" s="6" t="s">
        <v>9</v>
      </c>
    </row>
    <row r="361" ht="16.5" customHeight="1">
      <c r="A361" s="2" t="str">
        <f>IFERROR(__xludf.DUMMYFUNCTION("""COMPUTED_VALUE"""),"2796-MARPCCVC")</f>
        <v>2796-MARPCCVC</v>
      </c>
      <c r="B361" s="2" t="str">
        <f>IFERROR(__xludf.DUMMYFUNCTION("""COMPUTED_VALUE"""),"Feria en Parque Chacabuco por Día de la Salud")</f>
        <v>Feria en Parque Chacabuco por Día de la Salud</v>
      </c>
      <c r="C361" s="3">
        <f>IFERROR(__xludf.DUMMYFUNCTION("""COMPUTED_VALUE"""),46112.0)</f>
        <v>46112</v>
      </c>
      <c r="D361" s="3">
        <f>IFERROR(__xludf.DUMMYFUNCTION("""COMPUTED_VALUE"""),46119.0)</f>
        <v>46119</v>
      </c>
      <c r="E361" s="2" t="str">
        <f>IFERROR(__xludf.DUMMYFUNCTION("""COMPUTED_VALUE"""),"Cercanía")</f>
        <v>Cercanía</v>
      </c>
      <c r="F361" s="2" t="str">
        <f>IFERROR(__xludf.DUMMYFUNCTION("""COMPUTED_VALUE"""),"Cercanía y PC")</f>
        <v>Cercanía y PC</v>
      </c>
      <c r="G361" s="2" t="str">
        <f>IFERROR(__xludf.DUMMYFUNCTION("""COMPUTED_VALUE"""),"Finalizada")</f>
        <v>Finalizada</v>
      </c>
      <c r="H361" s="4">
        <v>350616.0</v>
      </c>
      <c r="I361" s="4">
        <v>0.0</v>
      </c>
      <c r="J361" s="4">
        <v>157.0</v>
      </c>
      <c r="K361" s="4">
        <v>796610.0</v>
      </c>
      <c r="L361" s="5">
        <v>0.4401350723691643</v>
      </c>
      <c r="M361" s="5">
        <v>0.4401350723691643</v>
      </c>
      <c r="N361" s="4">
        <v>0.0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  <c r="T361" s="4">
        <v>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0.0</v>
      </c>
      <c r="AB361" s="4">
        <v>0.0</v>
      </c>
      <c r="AC361" s="4">
        <v>0.0</v>
      </c>
      <c r="AD361" s="4"/>
      <c r="AE361" s="4" t="s">
        <v>8</v>
      </c>
    </row>
    <row r="362" ht="16.5" customHeight="1">
      <c r="A362" s="2" t="str">
        <f>IFERROR(__xludf.DUMMYFUNCTION("""COMPUTED_VALUE"""),"2797-MARSALGJ")</f>
        <v>2797-MARSALGJ</v>
      </c>
      <c r="B362" s="2" t="str">
        <f>IFERROR(__xludf.DUMMYFUNCTION("""COMPUTED_VALUE"""),"Recorrida: Hospital Pirovano")</f>
        <v>Recorrida: Hospital Pirovano</v>
      </c>
      <c r="C362" s="3">
        <f>IFERROR(__xludf.DUMMYFUNCTION("""COMPUTED_VALUE"""),46120.0)</f>
        <v>46120</v>
      </c>
      <c r="D362" s="3">
        <f>IFERROR(__xludf.DUMMYFUNCTION("""COMPUTED_VALUE"""),46136.0)</f>
        <v>46136</v>
      </c>
      <c r="E362" s="2" t="str">
        <f>IFERROR(__xludf.DUMMYFUNCTION("""COMPUTED_VALUE"""),"Cuidado")</f>
        <v>Cuidado</v>
      </c>
      <c r="F362" s="2" t="str">
        <f>IFERROR(__xludf.DUMMYFUNCTION("""COMPUTED_VALUE"""),"Salud")</f>
        <v>Salud</v>
      </c>
      <c r="G362" s="2" t="str">
        <f>IFERROR(__xludf.DUMMYFUNCTION("""COMPUTED_VALUE"""),"Finalizada")</f>
        <v>Finalizada</v>
      </c>
      <c r="H362" s="4">
        <v>1.3340048E7</v>
      </c>
      <c r="I362" s="4">
        <v>1475583.0</v>
      </c>
      <c r="J362" s="4">
        <v>25989.0</v>
      </c>
      <c r="K362" s="4">
        <v>1558449.0</v>
      </c>
      <c r="L362" s="5">
        <v>2.237729306509228</v>
      </c>
      <c r="M362" s="5">
        <v>8.559823260177266</v>
      </c>
      <c r="N362" s="4">
        <v>213890.0</v>
      </c>
      <c r="O362" s="4">
        <v>211961.0</v>
      </c>
      <c r="P362" s="4">
        <v>62800.0</v>
      </c>
      <c r="Q362" s="4">
        <v>968.0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6" t="s">
        <v>59</v>
      </c>
      <c r="AE362" s="6" t="s">
        <v>9</v>
      </c>
    </row>
    <row r="363" ht="16.5" customHeight="1">
      <c r="A363" s="2" t="str">
        <f>IFERROR(__xludf.DUMMYFUNCTION("""COMPUTED_VALUE"""),"2798-MARJDGAG")</f>
        <v>2798-MARJDGAG</v>
      </c>
      <c r="B363" s="2" t="str">
        <f>IFERROR(__xludf.DUMMYFUNCTION("""COMPUTED_VALUE"""),"RDV JM TEMÁTICA | TE CUENTO BS AS 09/04 SALUD EJE OESTE")</f>
        <v>RDV JM TEMÁTICA | TE CUENTO BS AS 09/04 SALUD EJE OESTE</v>
      </c>
      <c r="C363" s="3">
        <f>IFERROR(__xludf.DUMMYFUNCTION("""COMPUTED_VALUE"""),46113.0)</f>
        <v>46113</v>
      </c>
      <c r="D363" s="3">
        <f>IFERROR(__xludf.DUMMYFUNCTION("""COMPUTED_VALUE"""),46134.0)</f>
        <v>46134</v>
      </c>
      <c r="E363" s="2" t="str">
        <f>IFERROR(__xludf.DUMMYFUNCTION("""COMPUTED_VALUE"""),"Cercanía")</f>
        <v>Cercanía</v>
      </c>
      <c r="F363" s="2" t="str">
        <f>IFERROR(__xludf.DUMMYFUNCTION("""COMPUTED_VALUE"""),"Jefatura de Gobierno")</f>
        <v>Jefatura de Gobierno</v>
      </c>
      <c r="G363" s="2" t="str">
        <f>IFERROR(__xludf.DUMMYFUNCTION("""COMPUTED_VALUE"""),"Finalizada")</f>
        <v>Finalizada</v>
      </c>
      <c r="H363" s="4">
        <v>3989841.0</v>
      </c>
      <c r="I363" s="4">
        <v>377550.0</v>
      </c>
      <c r="J363" s="4">
        <v>24623.0</v>
      </c>
      <c r="K363" s="4">
        <v>82597.0</v>
      </c>
      <c r="L363" s="5">
        <v>27.26338729009528</v>
      </c>
      <c r="M363" s="5">
        <v>48.304914222066174</v>
      </c>
      <c r="N363" s="4">
        <v>338257.0</v>
      </c>
      <c r="O363" s="4">
        <v>334620.0</v>
      </c>
      <c r="P363" s="4">
        <v>43211.0</v>
      </c>
      <c r="Q363" s="4">
        <v>1036.0</v>
      </c>
      <c r="R363" s="4">
        <v>19005.0</v>
      </c>
      <c r="S363" s="4">
        <v>17059.0</v>
      </c>
      <c r="T363" s="4">
        <v>3803.0</v>
      </c>
      <c r="U363" s="4">
        <v>2760.0</v>
      </c>
      <c r="V363" s="4">
        <v>92895.0</v>
      </c>
      <c r="W363" s="4">
        <v>92895.0</v>
      </c>
      <c r="X363" s="4">
        <v>83564.0</v>
      </c>
      <c r="Y363" s="4">
        <v>35517.0</v>
      </c>
      <c r="Z363" s="4">
        <v>192.0</v>
      </c>
      <c r="AA363" s="4">
        <v>0.0</v>
      </c>
      <c r="AB363" s="4">
        <v>0.0</v>
      </c>
      <c r="AC363" s="4">
        <v>0.0</v>
      </c>
      <c r="AD363" s="6" t="s">
        <v>60</v>
      </c>
      <c r="AE363" s="6" t="s">
        <v>9</v>
      </c>
    </row>
    <row r="364" ht="16.5" customHeight="1">
      <c r="A364" s="2" t="str">
        <f>IFERROR(__xludf.DUMMYFUNCTION("""COMPUTED_VALUE"""),"2799-MARPCCVC")</f>
        <v>2799-MARPCCVC</v>
      </c>
      <c r="B364" s="2" t="str">
        <f>IFERROR(__xludf.DUMMYFUNCTION("""COMPUTED_VALUE"""),"Puesta en valor Club Soldati")</f>
        <v>Puesta en valor Club Soldati</v>
      </c>
      <c r="C364" s="3">
        <f>IFERROR(__xludf.DUMMYFUNCTION("""COMPUTED_VALUE"""),46118.0)</f>
        <v>46118</v>
      </c>
      <c r="D364" s="3">
        <f>IFERROR(__xludf.DUMMYFUNCTION("""COMPUTED_VALUE"""),46118.0)</f>
        <v>46118</v>
      </c>
      <c r="E364" s="2" t="str">
        <f>IFERROR(__xludf.DUMMYFUNCTION("""COMPUTED_VALUE"""),"Cercanía")</f>
        <v>Cercanía</v>
      </c>
      <c r="F364" s="2" t="str">
        <f>IFERROR(__xludf.DUMMYFUNCTION("""COMPUTED_VALUE"""),"Cercanía y PC")</f>
        <v>Cercanía y PC</v>
      </c>
      <c r="G364" s="2" t="str">
        <f>IFERROR(__xludf.DUMMYFUNCTION("""COMPUTED_VALUE"""),"Finalizada")</f>
        <v>Finalizada</v>
      </c>
      <c r="H364" s="4">
        <v>0.0</v>
      </c>
      <c r="I364" s="4">
        <v>0.0</v>
      </c>
      <c r="J364" s="4">
        <v>0.0</v>
      </c>
      <c r="K364" s="4">
        <v>0.0</v>
      </c>
      <c r="L364" s="5">
        <v>0.0</v>
      </c>
      <c r="M364" s="5">
        <v>0.0</v>
      </c>
      <c r="N364" s="4">
        <v>53894.0</v>
      </c>
      <c r="O364" s="4">
        <v>52979.0</v>
      </c>
      <c r="P364" s="4">
        <v>12777.0</v>
      </c>
      <c r="Q364" s="4">
        <v>152.0</v>
      </c>
      <c r="R364" s="4">
        <v>0.0</v>
      </c>
      <c r="S364" s="4">
        <v>0.0</v>
      </c>
      <c r="T364" s="4">
        <v>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0.0</v>
      </c>
      <c r="AB364" s="4">
        <v>0.0</v>
      </c>
      <c r="AC364" s="4">
        <v>0.0</v>
      </c>
      <c r="AD364" s="4" t="s">
        <v>8</v>
      </c>
      <c r="AE364" s="6" t="s">
        <v>9</v>
      </c>
    </row>
    <row r="365" ht="16.5" customHeight="1">
      <c r="A365" s="2" t="str">
        <f>IFERROR(__xludf.DUMMYFUNCTION("""COMPUTED_VALUE"""),"2800-MARJDGVC")</f>
        <v>2800-MARJDGVC</v>
      </c>
      <c r="B365" s="2" t="str">
        <f>IFERROR(__xludf.DUMMYFUNCTION("""COMPUTED_VALUE"""),"RDV MINISTROS | GABRIEL SÁNCHEZ ZINNY 6/4  SAN CRISTOBAL")</f>
        <v>RDV MINISTROS | GABRIEL SÁNCHEZ ZINNY 6/4  SAN CRISTOBAL</v>
      </c>
      <c r="C365" s="3">
        <f>IFERROR(__xludf.DUMMYFUNCTION("""COMPUTED_VALUE"""),46113.0)</f>
        <v>46113</v>
      </c>
      <c r="D365" s="3">
        <f>IFERROR(__xludf.DUMMYFUNCTION("""COMPUTED_VALUE"""),46119.0)</f>
        <v>46119</v>
      </c>
      <c r="E365" s="2" t="str">
        <f>IFERROR(__xludf.DUMMYFUNCTION("""COMPUTED_VALUE"""),"Cercanía")</f>
        <v>Cercanía</v>
      </c>
      <c r="F365" s="2" t="str">
        <f>IFERROR(__xludf.DUMMYFUNCTION("""COMPUTED_VALUE"""),"Jefatura de Gabinete")</f>
        <v>Jefatura de Gabinete</v>
      </c>
      <c r="G365" s="2" t="str">
        <f>IFERROR(__xludf.DUMMYFUNCTION("""COMPUTED_VALUE"""),"Finalizada")</f>
        <v>Finalizada</v>
      </c>
      <c r="H365" s="4">
        <v>73258.0</v>
      </c>
      <c r="I365" s="4">
        <v>0.0</v>
      </c>
      <c r="J365" s="4">
        <v>457.0</v>
      </c>
      <c r="K365" s="4">
        <v>46177.0</v>
      </c>
      <c r="L365" s="5">
        <v>1.5864607921692617</v>
      </c>
      <c r="M365" s="5">
        <v>1.5864607921692617</v>
      </c>
      <c r="N365" s="4">
        <v>19582.0</v>
      </c>
      <c r="O365" s="4">
        <v>19316.0</v>
      </c>
      <c r="P365" s="4">
        <v>2923.0</v>
      </c>
      <c r="Q365" s="4">
        <v>108.0</v>
      </c>
      <c r="R365" s="4">
        <v>82.0</v>
      </c>
      <c r="S365" s="4">
        <v>82.0</v>
      </c>
      <c r="T365" s="4">
        <v>24.0</v>
      </c>
      <c r="U365" s="4">
        <v>22.0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0.0</v>
      </c>
      <c r="AB365" s="4">
        <v>0.0</v>
      </c>
      <c r="AC365" s="4">
        <v>0.0</v>
      </c>
      <c r="AD365" s="6" t="s">
        <v>61</v>
      </c>
      <c r="AE365" s="6" t="s">
        <v>9</v>
      </c>
    </row>
    <row r="366" ht="16.5" customHeight="1">
      <c r="A366" s="2" t="str">
        <f>IFERROR(__xludf.DUMMYFUNCTION("""COMPUTED_VALUE"""),"2801-MARSEGVC")</f>
        <v>2801-MARSEGVC</v>
      </c>
      <c r="B366" s="2" t="str">
        <f>IFERROR(__xludf.DUMMYFUNCTION("""COMPUTED_VALUE"""),"RDV MINISTROS | Gabriela Ricardes 7/4 Comuna 10")</f>
        <v>RDV MINISTROS | Gabriela Ricardes 7/4 Comuna 10</v>
      </c>
      <c r="C366" s="3">
        <f>IFERROR(__xludf.DUMMYFUNCTION("""COMPUTED_VALUE"""),46113.0)</f>
        <v>46113</v>
      </c>
      <c r="D366" s="3">
        <f>IFERROR(__xludf.DUMMYFUNCTION("""COMPUTED_VALUE"""),46120.0)</f>
        <v>46120</v>
      </c>
      <c r="E366" s="2" t="str">
        <f>IFERROR(__xludf.DUMMYFUNCTION("""COMPUTED_VALUE"""),"Cercanía")</f>
        <v>Cercanía</v>
      </c>
      <c r="F366" s="2" t="str">
        <f>IFERROR(__xludf.DUMMYFUNCTION("""COMPUTED_VALUE"""),"Seguridad")</f>
        <v>Seguridad</v>
      </c>
      <c r="G366" s="2" t="str">
        <f>IFERROR(__xludf.DUMMYFUNCTION("""COMPUTED_VALUE"""),"Finalizada")</f>
        <v>Finalizada</v>
      </c>
      <c r="H366" s="4">
        <v>209864.0</v>
      </c>
      <c r="I366" s="4">
        <v>0.0</v>
      </c>
      <c r="J366" s="4">
        <v>791.0</v>
      </c>
      <c r="K366" s="4">
        <v>131067.0</v>
      </c>
      <c r="L366" s="5">
        <v>1.601196334699047</v>
      </c>
      <c r="M366" s="5">
        <v>1.601196334699047</v>
      </c>
      <c r="N366" s="4">
        <v>18752.0</v>
      </c>
      <c r="O366" s="4">
        <v>18552.0</v>
      </c>
      <c r="P366" s="4">
        <v>3499.0</v>
      </c>
      <c r="Q366" s="4">
        <v>99.0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0.0</v>
      </c>
      <c r="AB366" s="4">
        <v>0.0</v>
      </c>
      <c r="AC366" s="4">
        <v>0.0</v>
      </c>
      <c r="AD366" s="6" t="s">
        <v>62</v>
      </c>
      <c r="AE366" s="6" t="s">
        <v>9</v>
      </c>
    </row>
    <row r="367" ht="16.5" customHeight="1">
      <c r="A367" s="2" t="str">
        <f>IFERROR(__xludf.DUMMYFUNCTION("""COMPUTED_VALUE"""),"2803-MARJDGAG")</f>
        <v>2803-MARJDGAG</v>
      </c>
      <c r="B367" s="2" t="str">
        <f>IFERROR(__xludf.DUMMYFUNCTION("""COMPUTED_VALUE"""),"RDV JM | 8/4 VILLA CRESPO")</f>
        <v>RDV JM | 8/4 VILLA CRESPO</v>
      </c>
      <c r="C367" s="3">
        <f>IFERROR(__xludf.DUMMYFUNCTION("""COMPUTED_VALUE"""),46113.0)</f>
        <v>46113</v>
      </c>
      <c r="D367" s="3">
        <f>IFERROR(__xludf.DUMMYFUNCTION("""COMPUTED_VALUE"""),46131.0)</f>
        <v>46131</v>
      </c>
      <c r="E367" s="2" t="str">
        <f>IFERROR(__xludf.DUMMYFUNCTION("""COMPUTED_VALUE"""),"Cercanía")</f>
        <v>Cercanía</v>
      </c>
      <c r="F367" s="2" t="str">
        <f>IFERROR(__xludf.DUMMYFUNCTION("""COMPUTED_VALUE"""),"Jefatura de Gobierno")</f>
        <v>Jefatura de Gobierno</v>
      </c>
      <c r="G367" s="2" t="str">
        <f>IFERROR(__xludf.DUMMYFUNCTION("""COMPUTED_VALUE"""),"Finalizada")</f>
        <v>Finalizada</v>
      </c>
      <c r="H367" s="4">
        <v>3492670.0</v>
      </c>
      <c r="I367" s="4">
        <v>2094489.0</v>
      </c>
      <c r="J367" s="4">
        <v>13569.0</v>
      </c>
      <c r="K367" s="4">
        <v>0.0</v>
      </c>
      <c r="L367" s="5">
        <v>0.0</v>
      </c>
      <c r="M367" s="5">
        <v>0.0</v>
      </c>
      <c r="N367" s="4">
        <v>41074.0</v>
      </c>
      <c r="O367" s="4">
        <v>40751.0</v>
      </c>
      <c r="P367" s="4">
        <v>9714.0</v>
      </c>
      <c r="Q367" s="4">
        <v>304.0</v>
      </c>
      <c r="R367" s="4">
        <v>46.0</v>
      </c>
      <c r="S367" s="4">
        <v>46.0</v>
      </c>
      <c r="T367" s="4">
        <v>28.0</v>
      </c>
      <c r="U367" s="4">
        <v>27.0</v>
      </c>
      <c r="V367" s="4">
        <v>20393.0</v>
      </c>
      <c r="W367" s="4">
        <v>20393.0</v>
      </c>
      <c r="X367" s="4">
        <v>18428.0</v>
      </c>
      <c r="Y367" s="4">
        <v>9088.0</v>
      </c>
      <c r="Z367" s="4">
        <v>46.0</v>
      </c>
      <c r="AA367" s="4">
        <v>0.0</v>
      </c>
      <c r="AB367" s="4">
        <v>0.0</v>
      </c>
      <c r="AC367" s="4">
        <v>0.0</v>
      </c>
      <c r="AD367" s="6" t="s">
        <v>63</v>
      </c>
      <c r="AE367" s="6" t="s">
        <v>64</v>
      </c>
    </row>
    <row r="368" ht="16.5" customHeight="1">
      <c r="A368" s="2" t="str">
        <f>IFERROR(__xludf.DUMMYFUNCTION("""COMPUTED_VALUE"""),"2804-ABRSALVC")</f>
        <v>2804-ABRSALVC</v>
      </c>
      <c r="B368" s="2" t="str">
        <f>IFERROR(__xludf.DUMMYFUNCTION("""COMPUTED_VALUE"""),"RDV Ministros | Fernán Quirós 7/4")</f>
        <v>RDV Ministros | Fernán Quirós 7/4</v>
      </c>
      <c r="C368" s="3">
        <f>IFERROR(__xludf.DUMMYFUNCTION("""COMPUTED_VALUE"""),46113.0)</f>
        <v>46113</v>
      </c>
      <c r="D368" s="3">
        <f>IFERROR(__xludf.DUMMYFUNCTION("""COMPUTED_VALUE"""),46120.0)</f>
        <v>46120</v>
      </c>
      <c r="E368" s="2" t="str">
        <f>IFERROR(__xludf.DUMMYFUNCTION("""COMPUTED_VALUE"""),"Cercanía")</f>
        <v>Cercanía</v>
      </c>
      <c r="F368" s="2" t="str">
        <f>IFERROR(__xludf.DUMMYFUNCTION("""COMPUTED_VALUE"""),"Salud")</f>
        <v>Salud</v>
      </c>
      <c r="G368" s="2" t="str">
        <f>IFERROR(__xludf.DUMMYFUNCTION("""COMPUTED_VALUE"""),"Finalizada")</f>
        <v>Finalizada</v>
      </c>
      <c r="H368" s="4">
        <v>282291.0</v>
      </c>
      <c r="I368" s="4">
        <v>0.0</v>
      </c>
      <c r="J368" s="4">
        <v>1071.0</v>
      </c>
      <c r="K368" s="4">
        <v>172169.0</v>
      </c>
      <c r="L368" s="5">
        <v>1.6396157264083546</v>
      </c>
      <c r="M368" s="5">
        <v>1.6396157264083546</v>
      </c>
      <c r="N368" s="4">
        <v>62115.0</v>
      </c>
      <c r="O368" s="4">
        <v>60808.0</v>
      </c>
      <c r="P368" s="4">
        <v>6774.0</v>
      </c>
      <c r="Q368" s="4">
        <v>180.0</v>
      </c>
      <c r="R368" s="4">
        <v>5739.0</v>
      </c>
      <c r="S368" s="4">
        <v>4997.0</v>
      </c>
      <c r="T368" s="4">
        <v>844.0</v>
      </c>
      <c r="U368" s="4">
        <v>628.0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0.0</v>
      </c>
      <c r="AB368" s="4">
        <v>0.0</v>
      </c>
      <c r="AC368" s="4">
        <v>0.0</v>
      </c>
      <c r="AD368" s="6" t="s">
        <v>65</v>
      </c>
      <c r="AE368" s="6" t="s">
        <v>9</v>
      </c>
    </row>
    <row r="369" ht="16.5" customHeight="1">
      <c r="A369" s="2" t="str">
        <f>IFERROR(__xludf.DUMMYFUNCTION("""COMPUTED_VALUE"""),"2805-ABRAMBVC")</f>
        <v>2805-ABRAMBVC</v>
      </c>
      <c r="B369" s="2" t="str">
        <f>IFERROR(__xludf.DUMMYFUNCTION("""COMPUTED_VALUE"""),"RDV Ministros | Clara Muzzio 8/4")</f>
        <v>RDV Ministros | Clara Muzzio 8/4</v>
      </c>
      <c r="C369" s="3">
        <f>IFERROR(__xludf.DUMMYFUNCTION("""COMPUTED_VALUE"""),46113.0)</f>
        <v>46113</v>
      </c>
      <c r="D369" s="3">
        <f>IFERROR(__xludf.DUMMYFUNCTION("""COMPUTED_VALUE"""),46121.0)</f>
        <v>46121</v>
      </c>
      <c r="E369" s="2" t="str">
        <f>IFERROR(__xludf.DUMMYFUNCTION("""COMPUTED_VALUE"""),"Cercanía")</f>
        <v>Cercanía</v>
      </c>
      <c r="F369" s="2" t="str">
        <f>IFERROR(__xludf.DUMMYFUNCTION("""COMPUTED_VALUE"""),"Vicejefatura (Ambiente)")</f>
        <v>Vicejefatura (Ambiente)</v>
      </c>
      <c r="G369" s="2" t="str">
        <f>IFERROR(__xludf.DUMMYFUNCTION("""COMPUTED_VALUE"""),"Finalizada")</f>
        <v>Finalizada</v>
      </c>
      <c r="H369" s="4">
        <v>592359.0</v>
      </c>
      <c r="I369" s="4">
        <v>0.0</v>
      </c>
      <c r="J369" s="4">
        <v>730.0</v>
      </c>
      <c r="K369" s="4">
        <v>426765.0</v>
      </c>
      <c r="L369" s="5">
        <v>1.3880215106674634</v>
      </c>
      <c r="M369" s="5">
        <v>1.3880215106674634</v>
      </c>
      <c r="N369" s="4">
        <v>60381.0</v>
      </c>
      <c r="O369" s="4">
        <v>59817.0</v>
      </c>
      <c r="P369" s="4">
        <v>14905.0</v>
      </c>
      <c r="Q369" s="4">
        <v>413.0</v>
      </c>
      <c r="R369" s="4">
        <v>0.0</v>
      </c>
      <c r="S369" s="4">
        <v>0.0</v>
      </c>
      <c r="T369" s="4">
        <v>0.0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0.0</v>
      </c>
      <c r="AB369" s="4">
        <v>0.0</v>
      </c>
      <c r="AC369" s="4">
        <v>0.0</v>
      </c>
      <c r="AD369" s="6" t="s">
        <v>66</v>
      </c>
      <c r="AE369" s="6" t="s">
        <v>9</v>
      </c>
    </row>
    <row r="370" ht="16.5" customHeight="1">
      <c r="A370" s="2" t="str">
        <f>IFERROR(__xludf.DUMMYFUNCTION("""COMPUTED_VALUE"""),"2806-ABRSEGVC")</f>
        <v>2806-ABRSEGVC</v>
      </c>
      <c r="B370" s="2" t="str">
        <f>IFERROR(__xludf.DUMMYFUNCTION("""COMPUTED_VALUE"""),"RDV Ministros | Ruth Landerreche 9/4 Comuna 1 Norte")</f>
        <v>RDV Ministros | Ruth Landerreche 9/4 Comuna 1 Norte</v>
      </c>
      <c r="C370" s="3">
        <f>IFERROR(__xludf.DUMMYFUNCTION("""COMPUTED_VALUE"""),46118.0)</f>
        <v>46118</v>
      </c>
      <c r="D370" s="3">
        <f>IFERROR(__xludf.DUMMYFUNCTION("""COMPUTED_VALUE"""),46125.0)</f>
        <v>46125</v>
      </c>
      <c r="E370" s="2" t="str">
        <f>IFERROR(__xludf.DUMMYFUNCTION("""COMPUTED_VALUE"""),"Cercanía")</f>
        <v>Cercanía</v>
      </c>
      <c r="F370" s="2" t="str">
        <f>IFERROR(__xludf.DUMMYFUNCTION("""COMPUTED_VALUE"""),"Seguridad")</f>
        <v>Seguridad</v>
      </c>
      <c r="G370" s="2" t="str">
        <f>IFERROR(__xludf.DUMMYFUNCTION("""COMPUTED_VALUE"""),"Finalizada")</f>
        <v>Finalizada</v>
      </c>
      <c r="H370" s="4">
        <v>163936.0</v>
      </c>
      <c r="I370" s="4">
        <v>0.0</v>
      </c>
      <c r="J370" s="4">
        <v>542.0</v>
      </c>
      <c r="K370" s="4">
        <v>107064.0</v>
      </c>
      <c r="L370" s="5">
        <v>1.5311962938055743</v>
      </c>
      <c r="M370" s="5">
        <v>1.5311962938055743</v>
      </c>
      <c r="N370" s="4">
        <v>33551.0</v>
      </c>
      <c r="O370" s="4">
        <v>33095.0</v>
      </c>
      <c r="P370" s="4">
        <v>11629.0</v>
      </c>
      <c r="Q370" s="4">
        <v>231.0</v>
      </c>
      <c r="R370" s="4">
        <v>127.0</v>
      </c>
      <c r="S370" s="4">
        <v>127.0</v>
      </c>
      <c r="T370" s="4">
        <v>39.0</v>
      </c>
      <c r="U370" s="4">
        <v>35.0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0.0</v>
      </c>
      <c r="AD370" s="6" t="s">
        <v>67</v>
      </c>
      <c r="AE370" s="6" t="s">
        <v>9</v>
      </c>
    </row>
    <row r="371" ht="16.5" customHeight="1">
      <c r="A371" s="2" t="str">
        <f>IFERROR(__xludf.DUMMYFUNCTION("""COMPUTED_VALUE"""),"2807-ABRSEGVC")</f>
        <v>2807-ABRSEGVC</v>
      </c>
      <c r="B371" s="2" t="str">
        <f>IFERROR(__xludf.DUMMYFUNCTION("""COMPUTED_VALUE"""),"RDV Ministros | Gabino Tapia  9/4 Comuna 1 Sur")</f>
        <v>RDV Ministros | Gabino Tapia  9/4 Comuna 1 Sur</v>
      </c>
      <c r="C371" s="3">
        <f>IFERROR(__xludf.DUMMYFUNCTION("""COMPUTED_VALUE"""),46118.0)</f>
        <v>46118</v>
      </c>
      <c r="D371" s="3">
        <f>IFERROR(__xludf.DUMMYFUNCTION("""COMPUTED_VALUE"""),46122.0)</f>
        <v>46122</v>
      </c>
      <c r="E371" s="2" t="str">
        <f>IFERROR(__xludf.DUMMYFUNCTION("""COMPUTED_VALUE"""),"Cercanía")</f>
        <v>Cercanía</v>
      </c>
      <c r="F371" s="2" t="str">
        <f>IFERROR(__xludf.DUMMYFUNCTION("""COMPUTED_VALUE"""),"Seguridad")</f>
        <v>Seguridad</v>
      </c>
      <c r="G371" s="2" t="str">
        <f>IFERROR(__xludf.DUMMYFUNCTION("""COMPUTED_VALUE"""),"Finalizada")</f>
        <v>Finalizada</v>
      </c>
      <c r="H371" s="4">
        <v>149887.0</v>
      </c>
      <c r="I371" s="4">
        <v>0.0</v>
      </c>
      <c r="J371" s="4">
        <v>706.0</v>
      </c>
      <c r="K371" s="4">
        <v>97185.0</v>
      </c>
      <c r="L371" s="5">
        <v>1.542285332098575</v>
      </c>
      <c r="M371" s="5">
        <v>1.542285332098575</v>
      </c>
      <c r="N371" s="4">
        <v>38045.0</v>
      </c>
      <c r="O371" s="4">
        <v>37540.0</v>
      </c>
      <c r="P371" s="4">
        <v>6383.0</v>
      </c>
      <c r="Q371" s="4">
        <v>177.0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6" t="s">
        <v>68</v>
      </c>
      <c r="AE371" s="6" t="s">
        <v>9</v>
      </c>
    </row>
    <row r="372" ht="16.5" customHeight="1">
      <c r="A372" s="2" t="str">
        <f>IFERROR(__xludf.DUMMYFUNCTION("""COMPUTED_VALUE"""),"2808-ABRSEGVC")</f>
        <v>2808-ABRSEGVC</v>
      </c>
      <c r="B372" s="2" t="str">
        <f>IFERROR(__xludf.DUMMYFUNCTION("""COMPUTED_VALUE"""),"RDV Ministros | Maximilia Piñeiro 9/4 Comuna 2")</f>
        <v>RDV Ministros | Maximilia Piñeiro 9/4 Comuna 2</v>
      </c>
      <c r="C372" s="3">
        <f>IFERROR(__xludf.DUMMYFUNCTION("""COMPUTED_VALUE"""),46118.0)</f>
        <v>46118</v>
      </c>
      <c r="D372" s="3">
        <f>IFERROR(__xludf.DUMMYFUNCTION("""COMPUTED_VALUE"""),46125.0)</f>
        <v>46125</v>
      </c>
      <c r="E372" s="2" t="str">
        <f>IFERROR(__xludf.DUMMYFUNCTION("""COMPUTED_VALUE"""),"Cercanía")</f>
        <v>Cercanía</v>
      </c>
      <c r="F372" s="2" t="str">
        <f>IFERROR(__xludf.DUMMYFUNCTION("""COMPUTED_VALUE"""),"Seguridad")</f>
        <v>Seguridad</v>
      </c>
      <c r="G372" s="2" t="str">
        <f>IFERROR(__xludf.DUMMYFUNCTION("""COMPUTED_VALUE"""),"Finalizada")</f>
        <v>Finalizada</v>
      </c>
      <c r="H372" s="4">
        <v>282773.0</v>
      </c>
      <c r="I372" s="4">
        <v>0.0</v>
      </c>
      <c r="J372" s="4">
        <v>476.0</v>
      </c>
      <c r="K372" s="4">
        <v>242437.0</v>
      </c>
      <c r="L372" s="5">
        <v>1.1663772443975136</v>
      </c>
      <c r="M372" s="5">
        <v>1.1663772443975136</v>
      </c>
      <c r="N372" s="4">
        <v>61845.0</v>
      </c>
      <c r="O372" s="4">
        <v>60604.0</v>
      </c>
      <c r="P372" s="4">
        <v>9820.0</v>
      </c>
      <c r="Q372" s="4">
        <v>130.0</v>
      </c>
      <c r="R372" s="4">
        <v>67.0</v>
      </c>
      <c r="S372" s="4">
        <v>67.0</v>
      </c>
      <c r="T372" s="4">
        <v>21.0</v>
      </c>
      <c r="U372" s="4">
        <v>19.0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6" t="s">
        <v>69</v>
      </c>
      <c r="AE372" s="6" t="s">
        <v>9</v>
      </c>
    </row>
    <row r="373" ht="16.5" customHeight="1">
      <c r="A373" s="2" t="str">
        <f>IFERROR(__xludf.DUMMYFUNCTION("""COMPUTED_VALUE"""),"2809-ABREMEGC")</f>
        <v>2809-ABREMEGC</v>
      </c>
      <c r="B373" s="2" t="str">
        <f>IFERROR(__xludf.DUMMYFUNCTION("""COMPUTED_VALUE"""),"Alerta Amarilla | 01/04")</f>
        <v>Alerta Amarilla | 01/04</v>
      </c>
      <c r="C373" s="3">
        <f>IFERROR(__xludf.DUMMYFUNCTION("""COMPUTED_VALUE"""),46113.0)</f>
        <v>46113</v>
      </c>
      <c r="D373" s="3">
        <f>IFERROR(__xludf.DUMMYFUNCTION("""COMPUTED_VALUE"""),46115.0)</f>
        <v>46115</v>
      </c>
      <c r="E373" s="2" t="str">
        <f>IFERROR(__xludf.DUMMYFUNCTION("""COMPUTED_VALUE"""),"Cuidado")</f>
        <v>Cuidado</v>
      </c>
      <c r="F373" s="2" t="str">
        <f>IFERROR(__xludf.DUMMYFUNCTION("""COMPUTED_VALUE"""),"Emergencias")</f>
        <v>Emergencias</v>
      </c>
      <c r="G373" s="2" t="str">
        <f>IFERROR(__xludf.DUMMYFUNCTION("""COMPUTED_VALUE"""),"Finalizada")</f>
        <v>Finalizada</v>
      </c>
      <c r="H373" s="4">
        <v>1672304.0</v>
      </c>
      <c r="I373" s="4">
        <v>53045.0</v>
      </c>
      <c r="J373" s="4">
        <v>4.0</v>
      </c>
      <c r="K373" s="4">
        <v>472893.0</v>
      </c>
      <c r="L373" s="5">
        <v>3.53632639941805</v>
      </c>
      <c r="M373" s="5">
        <v>3.53632639941805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6" t="s">
        <v>70</v>
      </c>
      <c r="AE373" s="4" t="s">
        <v>8</v>
      </c>
    </row>
    <row r="374" ht="16.5" customHeight="1">
      <c r="A374" s="2" t="str">
        <f>IFERROR(__xludf.DUMMYFUNCTION("""COMPUTED_VALUE"""),"2810-ABRSEGVC")</f>
        <v>2810-ABRSEGVC</v>
      </c>
      <c r="B374" s="2" t="str">
        <f>IFERROR(__xludf.DUMMYFUNCTION("""COMPUTED_VALUE"""),"RDV Ministros | Horacio Giménez 9/4 Comuna 3")</f>
        <v>RDV Ministros | Horacio Giménez 9/4 Comuna 3</v>
      </c>
      <c r="C374" s="3">
        <f>IFERROR(__xludf.DUMMYFUNCTION("""COMPUTED_VALUE"""),46118.0)</f>
        <v>46118</v>
      </c>
      <c r="D374" s="3">
        <f>IFERROR(__xludf.DUMMYFUNCTION("""COMPUTED_VALUE"""),46122.0)</f>
        <v>46122</v>
      </c>
      <c r="E374" s="2" t="str">
        <f>IFERROR(__xludf.DUMMYFUNCTION("""COMPUTED_VALUE"""),"Cercanía")</f>
        <v>Cercanía</v>
      </c>
      <c r="F374" s="2" t="str">
        <f>IFERROR(__xludf.DUMMYFUNCTION("""COMPUTED_VALUE"""),"Seguridad")</f>
        <v>Seguridad</v>
      </c>
      <c r="G374" s="2" t="str">
        <f>IFERROR(__xludf.DUMMYFUNCTION("""COMPUTED_VALUE"""),"Finalizada")</f>
        <v>Finalizada</v>
      </c>
      <c r="H374" s="4">
        <v>534771.0</v>
      </c>
      <c r="I374" s="4">
        <v>0.0</v>
      </c>
      <c r="J374" s="4">
        <v>808.0</v>
      </c>
      <c r="K374" s="4">
        <v>440768.0</v>
      </c>
      <c r="L374" s="5">
        <v>1.213270927109046</v>
      </c>
      <c r="M374" s="5">
        <v>1.213270927109046</v>
      </c>
      <c r="N374" s="4">
        <v>65846.0</v>
      </c>
      <c r="O374" s="4">
        <v>64978.0</v>
      </c>
      <c r="P374" s="4">
        <v>11165.0</v>
      </c>
      <c r="Q374" s="4">
        <v>245.0</v>
      </c>
      <c r="R374" s="4">
        <v>164.0</v>
      </c>
      <c r="S374" s="4">
        <v>164.0</v>
      </c>
      <c r="T374" s="4">
        <v>37.0</v>
      </c>
      <c r="U374" s="4">
        <v>35.0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6" t="s">
        <v>71</v>
      </c>
      <c r="AE374" s="6" t="s">
        <v>9</v>
      </c>
    </row>
    <row r="375" ht="16.5" customHeight="1">
      <c r="A375" s="2" t="str">
        <f>IFERROR(__xludf.DUMMYFUNCTION("""COMPUTED_VALUE"""),"2811-ABRINFGC")</f>
        <v>2811-ABRINFGC</v>
      </c>
      <c r="B375" s="2" t="str">
        <f>IFERROR(__xludf.DUMMYFUNCTION("""COMPUTED_VALUE""")," INFRAESTRUCTURA | AU Dellepiane: durante de obra | Abril 2026")</f>
        <v> INFRAESTRUCTURA | AU Dellepiane: durante de obra | Abril 2026</v>
      </c>
      <c r="C375" s="3">
        <f>IFERROR(__xludf.DUMMYFUNCTION("""COMPUTED_VALUE"""),46121.0)</f>
        <v>46121</v>
      </c>
      <c r="D375" s="3">
        <f>IFERROR(__xludf.DUMMYFUNCTION("""COMPUTED_VALUE"""),46134.0)</f>
        <v>46134</v>
      </c>
      <c r="E375" s="2" t="str">
        <f>IFERROR(__xludf.DUMMYFUNCTION("""COMPUTED_VALUE"""),"Movilidad")</f>
        <v>Movilidad</v>
      </c>
      <c r="F375" s="2" t="str">
        <f>IFERROR(__xludf.DUMMYFUNCTION("""COMPUTED_VALUE"""),"Infraestructura")</f>
        <v>Infraestructura</v>
      </c>
      <c r="G375" s="2" t="str">
        <f>IFERROR(__xludf.DUMMYFUNCTION("""COMPUTED_VALUE"""),"Finalizada")</f>
        <v>Finalizada</v>
      </c>
      <c r="H375" s="4">
        <v>1322982.0</v>
      </c>
      <c r="I375" s="4">
        <v>0.0</v>
      </c>
      <c r="J375" s="4">
        <v>3357.0</v>
      </c>
      <c r="K375" s="4">
        <v>771120.0</v>
      </c>
      <c r="L375" s="5">
        <v>1.7156629318394023</v>
      </c>
      <c r="M375" s="5">
        <v>1.7156629318394023</v>
      </c>
      <c r="N375" s="4">
        <v>197079.0</v>
      </c>
      <c r="O375" s="4">
        <v>195935.0</v>
      </c>
      <c r="P375" s="4">
        <v>124790.0</v>
      </c>
      <c r="Q375" s="4">
        <v>2949.0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6" t="s">
        <v>72</v>
      </c>
      <c r="AE375" s="6" t="s">
        <v>9</v>
      </c>
    </row>
    <row r="376" ht="16.5" customHeight="1">
      <c r="A376" s="2" t="str">
        <f>IFERROR(__xludf.DUMMYFUNCTION("""COMPUTED_VALUE"""),"2812-ABRINFGC")</f>
        <v>2812-ABRINFGC</v>
      </c>
      <c r="B376" s="2" t="str">
        <f>IFERROR(__xludf.DUMMYFUNCTION("""COMPUTED_VALUE""")," Infraestructura | Inicio de obra: calle Brigadier Quiroga")</f>
        <v> Infraestructura | Inicio de obra: calle Brigadier Quiroga</v>
      </c>
      <c r="C376" s="3">
        <f>IFERROR(__xludf.DUMMYFUNCTION("""COMPUTED_VALUE"""),46132.0)</f>
        <v>46132</v>
      </c>
      <c r="D376" s="3">
        <f>IFERROR(__xludf.DUMMYFUNCTION("""COMPUTED_VALUE"""),46146.0)</f>
        <v>46146</v>
      </c>
      <c r="E376" s="2" t="str">
        <f>IFERROR(__xludf.DUMMYFUNCTION("""COMPUTED_VALUE"""),"Movilidad")</f>
        <v>Movilidad</v>
      </c>
      <c r="F376" s="2" t="str">
        <f>IFERROR(__xludf.DUMMYFUNCTION("""COMPUTED_VALUE"""),"Infraestructura")</f>
        <v>Infraestructura</v>
      </c>
      <c r="G376" s="2" t="str">
        <f>IFERROR(__xludf.DUMMYFUNCTION("""COMPUTED_VALUE"""),"Finalizada")</f>
        <v>Finalizada</v>
      </c>
      <c r="H376" s="4">
        <v>1952573.0</v>
      </c>
      <c r="I376" s="4">
        <v>0.0</v>
      </c>
      <c r="J376" s="4">
        <v>3606.0</v>
      </c>
      <c r="K376" s="4">
        <v>668949.0</v>
      </c>
      <c r="L376" s="5">
        <v>2.9188667596483437</v>
      </c>
      <c r="M376" s="5">
        <v>2.9188667596483437</v>
      </c>
      <c r="N376" s="4">
        <v>106858.0</v>
      </c>
      <c r="O376" s="4">
        <v>105810.0</v>
      </c>
      <c r="P376" s="4">
        <v>43145.0</v>
      </c>
      <c r="Q376" s="4">
        <v>3348.0</v>
      </c>
      <c r="R376" s="4">
        <v>0.0</v>
      </c>
      <c r="S376" s="4">
        <v>0.0</v>
      </c>
      <c r="T376" s="4">
        <v>0.0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0.0</v>
      </c>
      <c r="AB376" s="4">
        <v>0.0</v>
      </c>
      <c r="AC376" s="4">
        <v>0.0</v>
      </c>
      <c r="AD376" s="6" t="s">
        <v>73</v>
      </c>
      <c r="AE376" s="6" t="s">
        <v>9</v>
      </c>
    </row>
    <row r="377" ht="16.5" customHeight="1">
      <c r="A377" s="2" t="str">
        <f>IFERROR(__xludf.DUMMYFUNCTION("""COMPUTED_VALUE"""),"2813-ABRDUDGC")</f>
        <v>2813-ABRDUDGC</v>
      </c>
      <c r="B377" s="2" t="str">
        <f>IFERROR(__xludf.DUMMYFUNCTION("""COMPUTED_VALUE"""),"Evento Colapinto")</f>
        <v>Evento Colapinto</v>
      </c>
      <c r="C377" s="3">
        <f>IFERROR(__xludf.DUMMYFUNCTION("""COMPUTED_VALUE"""),46133.0)</f>
        <v>46133</v>
      </c>
      <c r="D377" s="3">
        <f>IFERROR(__xludf.DUMMYFUNCTION("""COMPUTED_VALUE"""),46153.0)</f>
        <v>46153</v>
      </c>
      <c r="E377" s="2" t="str">
        <f>IFERROR(__xludf.DUMMYFUNCTION("""COMPUTED_VALUE"""),"Ciudad Atractiva")</f>
        <v>Ciudad Atractiva</v>
      </c>
      <c r="F377" s="2" t="str">
        <f>IFERROR(__xludf.DUMMYFUNCTION("""COMPUTED_VALUE"""),"Desarrollo Urbano + Deportes")</f>
        <v>Desarrollo Urbano + Deportes</v>
      </c>
      <c r="G377" s="2" t="str">
        <f>IFERROR(__xludf.DUMMYFUNCTION("""COMPUTED_VALUE"""),"Finalizada")</f>
        <v>Finalizada</v>
      </c>
      <c r="H377" s="4">
        <v>1.7288503E7</v>
      </c>
      <c r="I377" s="4">
        <v>4243555.0</v>
      </c>
      <c r="J377" s="4">
        <v>32670.0</v>
      </c>
      <c r="K377" s="4">
        <v>892184.0</v>
      </c>
      <c r="L377" s="5">
        <v>8.52846161778288</v>
      </c>
      <c r="M377" s="5">
        <v>19.377732620177003</v>
      </c>
      <c r="N377" s="4">
        <v>1318022.0</v>
      </c>
      <c r="O377" s="4">
        <v>1304422.0</v>
      </c>
      <c r="P377" s="4">
        <v>346558.0</v>
      </c>
      <c r="Q377" s="4">
        <v>15993.0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6" t="s">
        <v>74</v>
      </c>
      <c r="AE377" s="6" t="s">
        <v>9</v>
      </c>
    </row>
    <row r="378" ht="16.5" customHeight="1">
      <c r="A378" s="2" t="str">
        <f>IFERROR(__xludf.DUMMYFUNCTION("""COMPUTED_VALUE"""),"2814-ABRPCCVC")</f>
        <v>2814-ABRPCCVC</v>
      </c>
      <c r="B378" s="2" t="str">
        <f>IFERROR(__xludf.DUMMYFUNCTION("""COMPUTED_VALUE"""),"Visita a la estación de bomberos II")</f>
        <v>Visita a la estación de bomberos II</v>
      </c>
      <c r="C378" s="3">
        <f>IFERROR(__xludf.DUMMYFUNCTION("""COMPUTED_VALUE"""),46121.0)</f>
        <v>46121</v>
      </c>
      <c r="D378" s="3">
        <f>IFERROR(__xludf.DUMMYFUNCTION("""COMPUTED_VALUE"""),46121.0)</f>
        <v>46121</v>
      </c>
      <c r="E378" s="2" t="str">
        <f>IFERROR(__xludf.DUMMYFUNCTION("""COMPUTED_VALUE"""),"Cercanía")</f>
        <v>Cercanía</v>
      </c>
      <c r="F378" s="2" t="str">
        <f>IFERROR(__xludf.DUMMYFUNCTION("""COMPUTED_VALUE"""),"Cercanía y PC")</f>
        <v>Cercanía y PC</v>
      </c>
      <c r="G378" s="2" t="str">
        <f>IFERROR(__xludf.DUMMYFUNCTION("""COMPUTED_VALUE"""),"Finalizada")</f>
        <v>Finalizada</v>
      </c>
      <c r="H378" s="4">
        <v>0.0</v>
      </c>
      <c r="I378" s="4">
        <v>0.0</v>
      </c>
      <c r="J378" s="4">
        <v>0.0</v>
      </c>
      <c r="K378" s="4">
        <v>0.0</v>
      </c>
      <c r="L378" s="5">
        <v>0.0</v>
      </c>
      <c r="M378" s="5">
        <v>0.0</v>
      </c>
      <c r="N378" s="4">
        <v>18202.0</v>
      </c>
      <c r="O378" s="4">
        <v>17957.0</v>
      </c>
      <c r="P378" s="4">
        <v>3179.0</v>
      </c>
      <c r="Q378" s="4">
        <v>62.0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 t="s">
        <v>8</v>
      </c>
      <c r="AE378" s="6" t="s">
        <v>9</v>
      </c>
    </row>
    <row r="379" ht="16.5" customHeight="1">
      <c r="A379" s="2" t="str">
        <f>IFERROR(__xludf.DUMMYFUNCTION("""COMPUTED_VALUE"""),"2815-ABRCULGC")</f>
        <v>2815-ABRCULGC</v>
      </c>
      <c r="B379" s="2" t="str">
        <f>IFERROR(__xludf.DUMMYFUNCTION("""COMPUTED_VALUE"""),"Feria del Libro 2026")</f>
        <v>Feria del Libro 2026</v>
      </c>
      <c r="C379" s="3">
        <f>IFERROR(__xludf.DUMMYFUNCTION("""COMPUTED_VALUE"""),46132.0)</f>
        <v>46132</v>
      </c>
      <c r="D379" s="3">
        <f>IFERROR(__xludf.DUMMYFUNCTION("""COMPUTED_VALUE"""),46166.0)</f>
        <v>46166</v>
      </c>
      <c r="E379" s="2" t="str">
        <f>IFERROR(__xludf.DUMMYFUNCTION("""COMPUTED_VALUE"""),"Ciudad Atractiva")</f>
        <v>Ciudad Atractiva</v>
      </c>
      <c r="F379" s="2" t="str">
        <f>IFERROR(__xludf.DUMMYFUNCTION("""COMPUTED_VALUE"""),"Cultura")</f>
        <v>Cultura</v>
      </c>
      <c r="G379" s="2" t="str">
        <f>IFERROR(__xludf.DUMMYFUNCTION("""COMPUTED_VALUE"""),"Finalizada")</f>
        <v>Finalizada</v>
      </c>
      <c r="H379" s="4">
        <v>1.7711971E7</v>
      </c>
      <c r="I379" s="4">
        <v>5089940.0</v>
      </c>
      <c r="J379" s="4">
        <v>36175.0</v>
      </c>
      <c r="K379" s="4">
        <v>1302678.0</v>
      </c>
      <c r="L379" s="5">
        <v>3.423972002290666</v>
      </c>
      <c r="M379" s="5">
        <v>13.59658411364896</v>
      </c>
      <c r="N379" s="4">
        <v>313751.0</v>
      </c>
      <c r="O379" s="4">
        <v>311405.0</v>
      </c>
      <c r="P379" s="4">
        <v>137053.0</v>
      </c>
      <c r="Q379" s="4">
        <v>3083.0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6" t="s">
        <v>75</v>
      </c>
      <c r="AE379" s="6" t="s">
        <v>9</v>
      </c>
    </row>
    <row r="380" ht="16.5" customHeight="1">
      <c r="A380" s="2" t="str">
        <f>IFERROR(__xludf.DUMMYFUNCTION("""COMPUTED_VALUE"""),"2816-ABRJDGAG")</f>
        <v>2816-ABRJDGAG</v>
      </c>
      <c r="B380" s="2" t="str">
        <f>IFERROR(__xludf.DUMMYFUNCTION("""COMPUTED_VALUE"""),"1 A 1 JM | Comuna 6 10/04")</f>
        <v>1 A 1 JM | Comuna 6 10/04</v>
      </c>
      <c r="C380" s="3">
        <f>IFERROR(__xludf.DUMMYFUNCTION("""COMPUTED_VALUE"""),46119.0)</f>
        <v>46119</v>
      </c>
      <c r="D380" s="3">
        <f>IFERROR(__xludf.DUMMYFUNCTION("""COMPUTED_VALUE"""),46136.0)</f>
        <v>46136</v>
      </c>
      <c r="E380" s="2" t="str">
        <f>IFERROR(__xludf.DUMMYFUNCTION("""COMPUTED_VALUE"""),"Cercanía")</f>
        <v>Cercanía</v>
      </c>
      <c r="F380" s="2" t="str">
        <f>IFERROR(__xludf.DUMMYFUNCTION("""COMPUTED_VALUE"""),"Jefatura de Gobierno")</f>
        <v>Jefatura de Gobierno</v>
      </c>
      <c r="G380" s="2" t="str">
        <f>IFERROR(__xludf.DUMMYFUNCTION("""COMPUTED_VALUE"""),"Finalizada")</f>
        <v>Finalizada</v>
      </c>
      <c r="H380" s="4">
        <v>2928690.0</v>
      </c>
      <c r="I380" s="4">
        <v>1064923.0</v>
      </c>
      <c r="J380" s="4">
        <v>6238.0</v>
      </c>
      <c r="K380" s="4">
        <v>28402.0</v>
      </c>
      <c r="L380" s="5">
        <v>35.12562495598902</v>
      </c>
      <c r="M380" s="5">
        <v>103.11562566016478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6" t="s">
        <v>76</v>
      </c>
      <c r="AE380" s="4" t="s">
        <v>8</v>
      </c>
    </row>
    <row r="381" ht="16.5" customHeight="1">
      <c r="A381" s="2" t="str">
        <f>IFERROR(__xludf.DUMMYFUNCTION("""COMPUTED_VALUE"""),"2817-ABRAMBVC")</f>
        <v>2817-ABRAMBVC</v>
      </c>
      <c r="B381" s="2" t="str">
        <f>IFERROR(__xludf.DUMMYFUNCTION("""COMPUTED_VALUE"""),"Alta Interna | RDV Ministros | Clara Muzzio - Reunión Temática - 10/4")</f>
        <v>Alta Interna | RDV Ministros | Clara Muzzio - Reunión Temática - 10/4</v>
      </c>
      <c r="C381" s="3">
        <f>IFERROR(__xludf.DUMMYFUNCTION("""COMPUTED_VALUE"""),46119.0)</f>
        <v>46119</v>
      </c>
      <c r="D381" s="3">
        <f>IFERROR(__xludf.DUMMYFUNCTION("""COMPUTED_VALUE"""),46122.0)</f>
        <v>46122</v>
      </c>
      <c r="E381" s="2" t="str">
        <f>IFERROR(__xludf.DUMMYFUNCTION("""COMPUTED_VALUE"""),"Cercanía")</f>
        <v>Cercanía</v>
      </c>
      <c r="F381" s="2" t="str">
        <f>IFERROR(__xludf.DUMMYFUNCTION("""COMPUTED_VALUE"""),"Vicejefatura (Ambiente)")</f>
        <v>Vicejefatura (Ambiente)</v>
      </c>
      <c r="G381" s="2" t="str">
        <f>IFERROR(__xludf.DUMMYFUNCTION("""COMPUTED_VALUE"""),"Finalizada")</f>
        <v>Finalizada</v>
      </c>
      <c r="H381" s="4">
        <v>581938.0</v>
      </c>
      <c r="I381" s="4">
        <v>0.0</v>
      </c>
      <c r="J381" s="4">
        <v>915.0</v>
      </c>
      <c r="K381" s="4">
        <v>369694.0</v>
      </c>
      <c r="L381" s="5">
        <v>1.5741072346318847</v>
      </c>
      <c r="M381" s="5">
        <v>1.5741072346318847</v>
      </c>
      <c r="N381" s="4">
        <v>23737.0</v>
      </c>
      <c r="O381" s="4">
        <v>23525.0</v>
      </c>
      <c r="P381" s="4">
        <v>8692.0</v>
      </c>
      <c r="Q381" s="4">
        <v>155.0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6" t="s">
        <v>77</v>
      </c>
      <c r="AE381" s="6" t="s">
        <v>9</v>
      </c>
    </row>
    <row r="382" ht="16.5" customHeight="1">
      <c r="A382" s="2" t="str">
        <f>IFERROR(__xludf.DUMMYFUNCTION("""COMPUTED_VALUE"""),"2818-ABRPCCVC")</f>
        <v>2818-ABRPCCVC</v>
      </c>
      <c r="B382" s="2" t="str">
        <f>IFERROR(__xludf.DUMMYFUNCTION("""COMPUTED_VALUE"""),"Eventos Masivos Ferro")</f>
        <v>Eventos Masivos Ferro</v>
      </c>
      <c r="C382" s="3">
        <f>IFERROR(__xludf.DUMMYFUNCTION("""COMPUTED_VALUE"""),46120.0)</f>
        <v>46120</v>
      </c>
      <c r="D382" s="3">
        <f>IFERROR(__xludf.DUMMYFUNCTION("""COMPUTED_VALUE"""),46120.0)</f>
        <v>46120</v>
      </c>
      <c r="E382" s="2" t="str">
        <f>IFERROR(__xludf.DUMMYFUNCTION("""COMPUTED_VALUE"""),"Cercanía")</f>
        <v>Cercanía</v>
      </c>
      <c r="F382" s="2" t="str">
        <f>IFERROR(__xludf.DUMMYFUNCTION("""COMPUTED_VALUE"""),"Cercanía y PC")</f>
        <v>Cercanía y PC</v>
      </c>
      <c r="G382" s="2" t="str">
        <f>IFERROR(__xludf.DUMMYFUNCTION("""COMPUTED_VALUE"""),"Finalizada")</f>
        <v>Finalizada</v>
      </c>
      <c r="H382" s="4">
        <v>0.0</v>
      </c>
      <c r="I382" s="4">
        <v>0.0</v>
      </c>
      <c r="J382" s="4">
        <v>0.0</v>
      </c>
      <c r="K382" s="4">
        <v>0.0</v>
      </c>
      <c r="L382" s="5">
        <v>0.0</v>
      </c>
      <c r="M382" s="5">
        <v>0.0</v>
      </c>
      <c r="N382" s="4">
        <v>77728.0</v>
      </c>
      <c r="O382" s="4">
        <v>77015.0</v>
      </c>
      <c r="P382" s="4">
        <v>18982.0</v>
      </c>
      <c r="Q382" s="4">
        <v>279.0</v>
      </c>
      <c r="R382" s="4">
        <v>0.0</v>
      </c>
      <c r="S382" s="4">
        <v>0.0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0.0</v>
      </c>
      <c r="AD382" s="4" t="s">
        <v>8</v>
      </c>
      <c r="AE382" s="6" t="s">
        <v>9</v>
      </c>
    </row>
    <row r="383" ht="16.5" customHeight="1">
      <c r="A383" s="2" t="str">
        <f>IFERROR(__xludf.DUMMYFUNCTION("""COMPUTED_VALUE"""),"2819-ABRSEGGJ")</f>
        <v>2819-ABRSEGGJ</v>
      </c>
      <c r="B383" s="2" t="str">
        <f>IFERROR(__xludf.DUMMYFUNCTION("""COMPUTED_VALUE"""),"GCBA + JM | SEGURIDAD | Desalojo de propiedad Anchoris 183")</f>
        <v>GCBA + JM | SEGURIDAD | Desalojo de propiedad Anchoris 183</v>
      </c>
      <c r="C383" s="3">
        <f>IFERROR(__xludf.DUMMYFUNCTION("""COMPUTED_VALUE"""),46119.0)</f>
        <v>46119</v>
      </c>
      <c r="D383" s="3">
        <f>IFERROR(__xludf.DUMMYFUNCTION("""COMPUTED_VALUE"""),46132.0)</f>
        <v>46132</v>
      </c>
      <c r="E383" s="2" t="str">
        <f>IFERROR(__xludf.DUMMYFUNCTION("""COMPUTED_VALUE"""),"M2")</f>
        <v>M2</v>
      </c>
      <c r="F383" s="2" t="str">
        <f>IFERROR(__xludf.DUMMYFUNCTION("""COMPUTED_VALUE"""),"Seguridad")</f>
        <v>Seguridad</v>
      </c>
      <c r="G383" s="2" t="str">
        <f>IFERROR(__xludf.DUMMYFUNCTION("""COMPUTED_VALUE"""),"Finalizada")</f>
        <v>Finalizada</v>
      </c>
      <c r="H383" s="4">
        <v>5850055.0</v>
      </c>
      <c r="I383" s="4">
        <v>3103237.0</v>
      </c>
      <c r="J383" s="4">
        <v>9185.0</v>
      </c>
      <c r="K383" s="4">
        <v>698692.0</v>
      </c>
      <c r="L383" s="5">
        <v>1.9188755560389985</v>
      </c>
      <c r="M383" s="5">
        <v>8.37286672811482</v>
      </c>
      <c r="N383" s="4">
        <v>0.0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0.0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0.0</v>
      </c>
      <c r="AB383" s="4">
        <v>0.0</v>
      </c>
      <c r="AC383" s="4">
        <v>0.0</v>
      </c>
      <c r="AD383" s="6" t="s">
        <v>78</v>
      </c>
      <c r="AE383" s="4" t="s">
        <v>8</v>
      </c>
    </row>
    <row r="384" ht="16.5" customHeight="1">
      <c r="A384" s="2" t="str">
        <f>IFERROR(__xludf.DUMMYFUNCTION("""COMPUTED_VALUE"""),"2820-ABRSALGC")</f>
        <v>2820-ABRSALGC</v>
      </c>
      <c r="B384" s="2" t="str">
        <f>IFERROR(__xludf.DUMMYFUNCTION("""COMPUTED_VALUE"""),"CESAC 51 - Durante de Obra")</f>
        <v>CESAC 51 - Durante de Obra</v>
      </c>
      <c r="C384" s="3">
        <f>IFERROR(__xludf.DUMMYFUNCTION("""COMPUTED_VALUE"""),46128.0)</f>
        <v>46128</v>
      </c>
      <c r="D384" s="3">
        <f>IFERROR(__xludf.DUMMYFUNCTION("""COMPUTED_VALUE"""),46142.0)</f>
        <v>46142</v>
      </c>
      <c r="E384" s="2" t="str">
        <f>IFERROR(__xludf.DUMMYFUNCTION("""COMPUTED_VALUE"""),"Cuidado")</f>
        <v>Cuidado</v>
      </c>
      <c r="F384" s="2" t="str">
        <f>IFERROR(__xludf.DUMMYFUNCTION("""COMPUTED_VALUE"""),"Salud")</f>
        <v>Salud</v>
      </c>
      <c r="G384" s="2" t="str">
        <f>IFERROR(__xludf.DUMMYFUNCTION("""COMPUTED_VALUE"""),"Finalizada")</f>
        <v>Finalizada</v>
      </c>
      <c r="H384" s="4">
        <v>5823516.0</v>
      </c>
      <c r="I384" s="4">
        <v>1196306.0</v>
      </c>
      <c r="J384" s="4">
        <v>21629.0</v>
      </c>
      <c r="K384" s="4">
        <v>783344.0</v>
      </c>
      <c r="L384" s="5">
        <v>2.120254958230356</v>
      </c>
      <c r="M384" s="5">
        <v>7.434174513368329</v>
      </c>
      <c r="N384" s="4">
        <v>117287.0</v>
      </c>
      <c r="O384" s="4">
        <v>116148.0</v>
      </c>
      <c r="P384" s="4">
        <v>44184.0</v>
      </c>
      <c r="Q384" s="4">
        <v>1802.0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  <c r="AD384" s="6" t="s">
        <v>79</v>
      </c>
      <c r="AE384" s="6" t="s">
        <v>9</v>
      </c>
    </row>
    <row r="385" ht="16.5" customHeight="1">
      <c r="A385" s="2" t="str">
        <f>IFERROR(__xludf.DUMMYFUNCTION("""COMPUTED_VALUE"""),"2822-ABRFESGC")</f>
        <v>2822-ABRFESGC</v>
      </c>
      <c r="B385" s="2" t="str">
        <f>IFERROR(__xludf.DUMMYFUNCTION("""COMPUTED_VALUE"""),"Circuito Outlets | Ba 24hs")</f>
        <v>Circuito Outlets | Ba 24hs</v>
      </c>
      <c r="C385" s="3">
        <f>IFERROR(__xludf.DUMMYFUNCTION("""COMPUTED_VALUE"""),46122.0)</f>
        <v>46122</v>
      </c>
      <c r="D385" s="3">
        <f>IFERROR(__xludf.DUMMYFUNCTION("""COMPUTED_VALUE"""),46122.0)</f>
        <v>46122</v>
      </c>
      <c r="E385" s="2" t="str">
        <f>IFERROR(__xludf.DUMMYFUNCTION("""COMPUTED_VALUE"""),"Ciudad Atractiva")</f>
        <v>Ciudad Atractiva</v>
      </c>
      <c r="F385" s="2" t="str">
        <f>IFERROR(__xludf.DUMMYFUNCTION("""COMPUTED_VALUE"""),"Festivales y Eventos")</f>
        <v>Festivales y Eventos</v>
      </c>
      <c r="G385" s="2" t="str">
        <f>IFERROR(__xludf.DUMMYFUNCTION("""COMPUTED_VALUE"""),"Finalizada")</f>
        <v>Finalizada</v>
      </c>
      <c r="H385" s="4">
        <v>0.0</v>
      </c>
      <c r="I385" s="4">
        <v>0.0</v>
      </c>
      <c r="J385" s="4">
        <v>0.0</v>
      </c>
      <c r="K385" s="4">
        <v>0.0</v>
      </c>
      <c r="L385" s="5">
        <v>0.0</v>
      </c>
      <c r="M385" s="5">
        <v>0.0</v>
      </c>
      <c r="N385" s="4">
        <v>127033.0</v>
      </c>
      <c r="O385" s="4">
        <v>125617.0</v>
      </c>
      <c r="P385" s="4">
        <v>40055.0</v>
      </c>
      <c r="Q385" s="4">
        <v>5831.0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 t="s">
        <v>8</v>
      </c>
      <c r="AE385" s="6" t="s">
        <v>9</v>
      </c>
    </row>
    <row r="386" ht="16.5" customHeight="1">
      <c r="A386" s="2" t="str">
        <f>IFERROR(__xludf.DUMMYFUNCTION("""COMPUTED_VALUE"""),"2823-ABRCULGC")</f>
        <v>2823-ABRCULGC</v>
      </c>
      <c r="B386" s="2" t="str">
        <f>IFERROR(__xludf.DUMMYFUNCTION("""COMPUTED_VALUE"""),"Lanzamiento Linda. Ar")</f>
        <v>Lanzamiento Linda. Ar</v>
      </c>
      <c r="C386" s="3">
        <f>IFERROR(__xludf.DUMMYFUNCTION("""COMPUTED_VALUE"""),46137.0)</f>
        <v>46137</v>
      </c>
      <c r="D386" s="3">
        <f>IFERROR(__xludf.DUMMYFUNCTION("""COMPUTED_VALUE"""),46160.0)</f>
        <v>46160</v>
      </c>
      <c r="E386" s="2" t="str">
        <f>IFERROR(__xludf.DUMMYFUNCTION("""COMPUTED_VALUE"""),"Ciudad Atractiva")</f>
        <v>Ciudad Atractiva</v>
      </c>
      <c r="F386" s="2" t="str">
        <f>IFERROR(__xludf.DUMMYFUNCTION("""COMPUTED_VALUE"""),"Cultura")</f>
        <v>Cultura</v>
      </c>
      <c r="G386" s="2" t="str">
        <f>IFERROR(__xludf.DUMMYFUNCTION("""COMPUTED_VALUE"""),"Finalizada")</f>
        <v>Finalizada</v>
      </c>
      <c r="H386" s="4">
        <v>1.3375934E7</v>
      </c>
      <c r="I386" s="4">
        <v>1007534.0</v>
      </c>
      <c r="J386" s="4">
        <v>294439.0</v>
      </c>
      <c r="K386" s="4">
        <v>2674999.0</v>
      </c>
      <c r="L386" s="5">
        <v>2.86971733447377</v>
      </c>
      <c r="M386" s="5">
        <v>5.000351028168609</v>
      </c>
      <c r="N386" s="4">
        <v>753824.0</v>
      </c>
      <c r="O386" s="4">
        <v>745077.0</v>
      </c>
      <c r="P386" s="4">
        <v>267263.0</v>
      </c>
      <c r="Q386" s="4">
        <v>20560.0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>
        <v>0.0</v>
      </c>
      <c r="AD386" s="6" t="s">
        <v>80</v>
      </c>
      <c r="AE386" s="6" t="s">
        <v>9</v>
      </c>
    </row>
    <row r="387" ht="16.5" customHeight="1">
      <c r="A387" s="2" t="str">
        <f>IFERROR(__xludf.DUMMYFUNCTION("""COMPUTED_VALUE"""),"2825-ABRINFGC")</f>
        <v>2825-ABRINFGC</v>
      </c>
      <c r="B387" s="2" t="str">
        <f>IFERROR(__xludf.DUMMYFUNCTION("""COMPUTED_VALUE"""),"Obras M2: Trambus ABRIL")</f>
        <v>Obras M2: Trambus ABRIL</v>
      </c>
      <c r="C387" s="3">
        <f>IFERROR(__xludf.DUMMYFUNCTION("""COMPUTED_VALUE"""),46135.0)</f>
        <v>46135</v>
      </c>
      <c r="D387" s="3">
        <f>IFERROR(__xludf.DUMMYFUNCTION("""COMPUTED_VALUE"""),46135.0)</f>
        <v>46135</v>
      </c>
      <c r="E387" s="2" t="str">
        <f>IFERROR(__xludf.DUMMYFUNCTION("""COMPUTED_VALUE"""),"M2")</f>
        <v>M2</v>
      </c>
      <c r="F387" s="2" t="str">
        <f>IFERROR(__xludf.DUMMYFUNCTION("""COMPUTED_VALUE"""),"Infraestructura")</f>
        <v>Infraestructura</v>
      </c>
      <c r="G387" s="2" t="str">
        <f>IFERROR(__xludf.DUMMYFUNCTION("""COMPUTED_VALUE"""),"Finalizada")</f>
        <v>Finalizada</v>
      </c>
      <c r="H387" s="4">
        <v>0.0</v>
      </c>
      <c r="I387" s="4">
        <v>0.0</v>
      </c>
      <c r="J387" s="4">
        <v>0.0</v>
      </c>
      <c r="K387" s="4">
        <v>0.0</v>
      </c>
      <c r="L387" s="5">
        <v>0.0</v>
      </c>
      <c r="M387" s="5">
        <v>0.0</v>
      </c>
      <c r="N387" s="4">
        <v>75879.0</v>
      </c>
      <c r="O387" s="4">
        <v>75179.0</v>
      </c>
      <c r="P387" s="4">
        <v>27704.0</v>
      </c>
      <c r="Q387" s="4">
        <v>3790.0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 t="s">
        <v>8</v>
      </c>
      <c r="AE387" s="6" t="s">
        <v>9</v>
      </c>
    </row>
    <row r="388" ht="16.5" customHeight="1">
      <c r="A388" s="2" t="str">
        <f>IFERROR(__xludf.DUMMYFUNCTION("""COMPUTED_VALUE"""),"2826-ABRSALGC")</f>
        <v>2826-ABRSALGC</v>
      </c>
      <c r="B388" s="2" t="str">
        <f>IFERROR(__xludf.DUMMYFUNCTION("""COMPUTED_VALUE"""),"Comunicación SIGEHOS - PEL")</f>
        <v>Comunicación SIGEHOS - PEL</v>
      </c>
      <c r="C388" s="3">
        <f>IFERROR(__xludf.DUMMYFUNCTION("""COMPUTED_VALUE"""),46121.0)</f>
        <v>46121</v>
      </c>
      <c r="D388" s="3">
        <f>IFERROR(__xludf.DUMMYFUNCTION("""COMPUTED_VALUE"""),46121.0)</f>
        <v>46121</v>
      </c>
      <c r="E388" s="2" t="str">
        <f>IFERROR(__xludf.DUMMYFUNCTION("""COMPUTED_VALUE"""),"Cuidado")</f>
        <v>Cuidado</v>
      </c>
      <c r="F388" s="2" t="str">
        <f>IFERROR(__xludf.DUMMYFUNCTION("""COMPUTED_VALUE"""),"Salud")</f>
        <v>Salud</v>
      </c>
      <c r="G388" s="2" t="str">
        <f>IFERROR(__xludf.DUMMYFUNCTION("""COMPUTED_VALUE"""),"Finalizada")</f>
        <v>Finalizada</v>
      </c>
      <c r="H388" s="4">
        <v>0.0</v>
      </c>
      <c r="I388" s="4">
        <v>0.0</v>
      </c>
      <c r="J388" s="4">
        <v>0.0</v>
      </c>
      <c r="K388" s="4">
        <v>0.0</v>
      </c>
      <c r="L388" s="5">
        <v>0.0</v>
      </c>
      <c r="M388" s="5">
        <v>0.0</v>
      </c>
      <c r="N388" s="4">
        <v>1686.0</v>
      </c>
      <c r="O388" s="4">
        <v>1683.0</v>
      </c>
      <c r="P388" s="4">
        <v>753.0</v>
      </c>
      <c r="Q388" s="4">
        <v>122.0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 t="s">
        <v>8</v>
      </c>
      <c r="AE388" s="6" t="s">
        <v>9</v>
      </c>
    </row>
    <row r="389" ht="16.5" customHeight="1">
      <c r="A389" s="2" t="str">
        <f>IFERROR(__xludf.DUMMYFUNCTION("""COMPUTED_VALUE"""),"2827-ABREPHGC")</f>
        <v>2827-ABREPHGC</v>
      </c>
      <c r="B389" s="2" t="str">
        <f>IFERROR(__xludf.DUMMYFUNCTION("""COMPUTED_VALUE"""),"CAMPAÑA GCBA | MEPHU | CAMPAÑA GRANDES GENERADORES")</f>
        <v>CAMPAÑA GCBA | MEPHU | CAMPAÑA GRANDES GENERADORES</v>
      </c>
      <c r="C389" s="3">
        <f>IFERROR(__xludf.DUMMYFUNCTION("""COMPUTED_VALUE"""),46128.0)</f>
        <v>46128</v>
      </c>
      <c r="D389" s="3">
        <f>IFERROR(__xludf.DUMMYFUNCTION("""COMPUTED_VALUE"""),46203.0)</f>
        <v>46203</v>
      </c>
      <c r="E389" s="2" t="str">
        <f>IFERROR(__xludf.DUMMYFUNCTION("""COMPUTED_VALUE"""),"M2")</f>
        <v>M2</v>
      </c>
      <c r="F389" s="2" t="str">
        <f>IFERROR(__xludf.DUMMYFUNCTION("""COMPUTED_VALUE"""),"Espacio Público e Higiene Urbana")</f>
        <v>Espacio Público e Higiene Urbana</v>
      </c>
      <c r="G389" s="2" t="str">
        <f>IFERROR(__xludf.DUMMYFUNCTION("""COMPUTED_VALUE"""),"Finalizada")</f>
        <v>Finalizada</v>
      </c>
      <c r="H389" s="4">
        <v>8.2540107E7</v>
      </c>
      <c r="I389" s="4">
        <v>1.1203084E7</v>
      </c>
      <c r="J389" s="4">
        <v>155102.0</v>
      </c>
      <c r="K389" s="4">
        <v>4696959.0</v>
      </c>
      <c r="L389" s="5">
        <v>3.397810583400877</v>
      </c>
      <c r="M389" s="5">
        <v>17.57309506001649</v>
      </c>
      <c r="N389" s="4">
        <v>217325.0</v>
      </c>
      <c r="O389" s="4">
        <v>212997.0</v>
      </c>
      <c r="P389" s="4">
        <v>41329.0</v>
      </c>
      <c r="Q389" s="4">
        <v>532.0</v>
      </c>
      <c r="R389" s="4">
        <v>10894.0</v>
      </c>
      <c r="S389" s="4">
        <v>9240.0</v>
      </c>
      <c r="T389" s="4">
        <v>2758.0</v>
      </c>
      <c r="U389" s="4">
        <v>2247.0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6" t="s">
        <v>81</v>
      </c>
      <c r="AE389" s="6" t="s">
        <v>9</v>
      </c>
    </row>
    <row r="390" ht="16.5" customHeight="1">
      <c r="A390" s="2" t="str">
        <f>IFERROR(__xludf.DUMMYFUNCTION("""COMPUTED_VALUE"""),"2828-ABRDHHVC")</f>
        <v>2828-ABRDHHVC</v>
      </c>
      <c r="B390" s="2" t="str">
        <f>IFERROR(__xludf.DUMMYFUNCTION("""COMPUTED_VALUE"""),"RDV Ministros | Gabriel Mraida - 15/4")</f>
        <v>RDV Ministros | Gabriel Mraida - 15/4</v>
      </c>
      <c r="C390" s="3">
        <f>IFERROR(__xludf.DUMMYFUNCTION("""COMPUTED_VALUE"""),46122.0)</f>
        <v>46122</v>
      </c>
      <c r="D390" s="3">
        <f>IFERROR(__xludf.DUMMYFUNCTION("""COMPUTED_VALUE"""),46126.0)</f>
        <v>46126</v>
      </c>
      <c r="E390" s="2" t="str">
        <f>IFERROR(__xludf.DUMMYFUNCTION("""COMPUTED_VALUE"""),"Cercanía")</f>
        <v>Cercanía</v>
      </c>
      <c r="F390" s="2" t="str">
        <f>IFERROR(__xludf.DUMMYFUNCTION("""COMPUTED_VALUE"""),"Desarrollo Humano y Hábitat")</f>
        <v>Desarrollo Humano y Hábitat</v>
      </c>
      <c r="G390" s="2" t="str">
        <f>IFERROR(__xludf.DUMMYFUNCTION("""COMPUTED_VALUE"""),"Finalizada")</f>
        <v>Finalizada</v>
      </c>
      <c r="H390" s="4">
        <v>396656.0</v>
      </c>
      <c r="I390" s="4">
        <v>0.0</v>
      </c>
      <c r="J390" s="4">
        <v>492.0</v>
      </c>
      <c r="K390" s="4">
        <v>277953.0</v>
      </c>
      <c r="L390" s="5">
        <v>1.4270614096627847</v>
      </c>
      <c r="M390" s="5">
        <v>1.4270614096627847</v>
      </c>
      <c r="N390" s="4">
        <v>71353.0</v>
      </c>
      <c r="O390" s="4">
        <v>70574.0</v>
      </c>
      <c r="P390" s="4">
        <v>13401.0</v>
      </c>
      <c r="Q390" s="4">
        <v>230.0</v>
      </c>
      <c r="R390" s="4">
        <v>71.0</v>
      </c>
      <c r="S390" s="4">
        <v>71.0</v>
      </c>
      <c r="T390" s="4">
        <v>19.0</v>
      </c>
      <c r="U390" s="4">
        <v>18.0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6" t="s">
        <v>82</v>
      </c>
      <c r="AE390" s="6" t="s">
        <v>9</v>
      </c>
    </row>
    <row r="391" ht="16.5" customHeight="1">
      <c r="A391" s="2" t="str">
        <f>IFERROR(__xludf.DUMMYFUNCTION("""COMPUTED_VALUE"""),"2829-ABREPHVC")</f>
        <v>2829-ABREPHVC</v>
      </c>
      <c r="B391" s="2" t="str">
        <f>IFERROR(__xludf.DUMMYFUNCTION("""COMPUTED_VALUE"""),"RDV MINISTROS | IGNACIO BAISTROCCHI 13/4 COMUNA 3")</f>
        <v>RDV MINISTROS | IGNACIO BAISTROCCHI 13/4 COMUNA 3</v>
      </c>
      <c r="C391" s="3">
        <f>IFERROR(__xludf.DUMMYFUNCTION("""COMPUTED_VALUE"""),46122.0)</f>
        <v>46122</v>
      </c>
      <c r="D391" s="3">
        <f>IFERROR(__xludf.DUMMYFUNCTION("""COMPUTED_VALUE"""),46126.0)</f>
        <v>46126</v>
      </c>
      <c r="E391" s="2" t="str">
        <f>IFERROR(__xludf.DUMMYFUNCTION("""COMPUTED_VALUE"""),"Cercanía")</f>
        <v>Cercanía</v>
      </c>
      <c r="F391" s="2" t="str">
        <f>IFERROR(__xludf.DUMMYFUNCTION("""COMPUTED_VALUE"""),"Espacio Público e Higiene Urbana")</f>
        <v>Espacio Público e Higiene Urbana</v>
      </c>
      <c r="G391" s="2" t="str">
        <f>IFERROR(__xludf.DUMMYFUNCTION("""COMPUTED_VALUE"""),"Finalizada")</f>
        <v>Finalizada</v>
      </c>
      <c r="H391" s="4">
        <v>668238.0</v>
      </c>
      <c r="I391" s="4">
        <v>0.0</v>
      </c>
      <c r="J391" s="4">
        <v>759.0</v>
      </c>
      <c r="K391" s="4">
        <v>529081.0</v>
      </c>
      <c r="L391" s="5">
        <v>1.2630164379367241</v>
      </c>
      <c r="M391" s="5">
        <v>1.2630164379367241</v>
      </c>
      <c r="N391" s="4">
        <v>67242.0</v>
      </c>
      <c r="O391" s="4">
        <v>66341.0</v>
      </c>
      <c r="P391" s="4">
        <v>9647.0</v>
      </c>
      <c r="Q391" s="4">
        <v>260.0</v>
      </c>
      <c r="R391" s="4">
        <v>125.0</v>
      </c>
      <c r="S391" s="4">
        <v>125.0</v>
      </c>
      <c r="T391" s="4">
        <v>32.0</v>
      </c>
      <c r="U391" s="4">
        <v>30.0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6" t="s">
        <v>83</v>
      </c>
      <c r="AE391" s="6" t="s">
        <v>9</v>
      </c>
    </row>
    <row r="392" ht="16.5" customHeight="1">
      <c r="A392" s="2" t="str">
        <f>IFERROR(__xludf.DUMMYFUNCTION("""COMPUTED_VALUE"""),"2830-ABRJDGVC")</f>
        <v>2830-ABRJDGVC</v>
      </c>
      <c r="B392" s="2" t="str">
        <f>IFERROR(__xludf.DUMMYFUNCTION("""COMPUTED_VALUE"""),"RDV MINISTROS | GABRIEL SÁNCHEZ ZINNY 14/4  RETIRO")</f>
        <v>RDV MINISTROS | GABRIEL SÁNCHEZ ZINNY 14/4  RETIRO</v>
      </c>
      <c r="C392" s="3">
        <f>IFERROR(__xludf.DUMMYFUNCTION("""COMPUTED_VALUE"""),46122.0)</f>
        <v>46122</v>
      </c>
      <c r="D392" s="3">
        <f>IFERROR(__xludf.DUMMYFUNCTION("""COMPUTED_VALUE"""),46127.0)</f>
        <v>46127</v>
      </c>
      <c r="E392" s="2" t="str">
        <f>IFERROR(__xludf.DUMMYFUNCTION("""COMPUTED_VALUE"""),"Cercanía")</f>
        <v>Cercanía</v>
      </c>
      <c r="F392" s="2" t="str">
        <f>IFERROR(__xludf.DUMMYFUNCTION("""COMPUTED_VALUE"""),"Jefatura de Gabinete")</f>
        <v>Jefatura de Gabinete</v>
      </c>
      <c r="G392" s="2" t="str">
        <f>IFERROR(__xludf.DUMMYFUNCTION("""COMPUTED_VALUE"""),"Finalizada")</f>
        <v>Finalizada</v>
      </c>
      <c r="H392" s="4">
        <v>130389.0</v>
      </c>
      <c r="I392" s="4">
        <v>0.0</v>
      </c>
      <c r="J392" s="4">
        <v>489.0</v>
      </c>
      <c r="K392" s="4">
        <v>83943.0</v>
      </c>
      <c r="L392" s="5">
        <v>1.5533040277331045</v>
      </c>
      <c r="M392" s="5">
        <v>1.5533040277331045</v>
      </c>
      <c r="N392" s="4">
        <v>15690.0</v>
      </c>
      <c r="O392" s="4">
        <v>15474.0</v>
      </c>
      <c r="P392" s="4">
        <v>4022.0</v>
      </c>
      <c r="Q392" s="4">
        <v>101.0</v>
      </c>
      <c r="R392" s="4">
        <v>11641.0</v>
      </c>
      <c r="S392" s="4">
        <v>8585.0</v>
      </c>
      <c r="T392" s="4">
        <v>2219.0</v>
      </c>
      <c r="U392" s="4">
        <v>1653.0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6" t="s">
        <v>84</v>
      </c>
      <c r="AE392" s="6" t="s">
        <v>9</v>
      </c>
    </row>
    <row r="393" ht="16.5" customHeight="1">
      <c r="A393" s="2" t="str">
        <f>IFERROR(__xludf.DUMMYFUNCTION("""COMPUTED_VALUE"""),"2831-ABRSEGVC")</f>
        <v>2831-ABRSEGVC</v>
      </c>
      <c r="B393" s="2" t="str">
        <f>IFERROR(__xludf.DUMMYFUNCTION("""COMPUTED_VALUE"""),"RDV MINISTROS | Maximiliano Piñeiro 16/4 Comuna 4")</f>
        <v>RDV MINISTROS | Maximiliano Piñeiro 16/4 Comuna 4</v>
      </c>
      <c r="C393" s="3">
        <f>IFERROR(__xludf.DUMMYFUNCTION("""COMPUTED_VALUE"""),46125.0)</f>
        <v>46125</v>
      </c>
      <c r="D393" s="3">
        <f>IFERROR(__xludf.DUMMYFUNCTION("""COMPUTED_VALUE"""),46133.0)</f>
        <v>46133</v>
      </c>
      <c r="E393" s="2" t="str">
        <f>IFERROR(__xludf.DUMMYFUNCTION("""COMPUTED_VALUE"""),"Cercanía")</f>
        <v>Cercanía</v>
      </c>
      <c r="F393" s="2" t="str">
        <f>IFERROR(__xludf.DUMMYFUNCTION("""COMPUTED_VALUE"""),"Seguridad")</f>
        <v>Seguridad</v>
      </c>
      <c r="G393" s="2" t="str">
        <f>IFERROR(__xludf.DUMMYFUNCTION("""COMPUTED_VALUE"""),"Finalizada")</f>
        <v>Finalizada</v>
      </c>
      <c r="H393" s="4">
        <v>248529.0</v>
      </c>
      <c r="I393" s="4">
        <v>0.0</v>
      </c>
      <c r="J393" s="4">
        <v>1009.0</v>
      </c>
      <c r="K393" s="4">
        <v>159410.0</v>
      </c>
      <c r="L393" s="5">
        <v>1.5590552662944608</v>
      </c>
      <c r="M393" s="5">
        <v>1.5590552662944608</v>
      </c>
      <c r="N393" s="4">
        <v>82141.0</v>
      </c>
      <c r="O393" s="4">
        <v>80758.0</v>
      </c>
      <c r="P393" s="4">
        <v>13385.0</v>
      </c>
      <c r="Q393" s="4">
        <v>329.0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6" t="s">
        <v>85</v>
      </c>
      <c r="AE393" s="6" t="s">
        <v>9</v>
      </c>
    </row>
    <row r="394" ht="16.5" customHeight="1">
      <c r="A394" s="2" t="str">
        <f>IFERROR(__xludf.DUMMYFUNCTION("""COMPUTED_VALUE"""),"2832-ABRVINVC")</f>
        <v>2832-ABRVINVC</v>
      </c>
      <c r="B394" s="2" t="str">
        <f>IFERROR(__xludf.DUMMYFUNCTION("""COMPUTED_VALUE"""),"CAMPAÑA GCBA | VINCULO CIUDADANO | Mas servicios en tu barrio 2026: San Telmo 11/4")</f>
        <v>CAMPAÑA GCBA | VINCULO CIUDADANO | Mas servicios en tu barrio 2026: San Telmo 11/4</v>
      </c>
      <c r="C394" s="3">
        <f>IFERROR(__xludf.DUMMYFUNCTION("""COMPUTED_VALUE"""),46121.0)</f>
        <v>46121</v>
      </c>
      <c r="D394" s="3">
        <f>IFERROR(__xludf.DUMMYFUNCTION("""COMPUTED_VALUE"""),46121.0)</f>
        <v>46121</v>
      </c>
      <c r="E394" s="2" t="str">
        <f>IFERROR(__xludf.DUMMYFUNCTION("""COMPUTED_VALUE"""),"M2")</f>
        <v>M2</v>
      </c>
      <c r="F394" s="2" t="str">
        <f>IFERROR(__xludf.DUMMYFUNCTION("""COMPUTED_VALUE"""),"Vínculo Ciudadano")</f>
        <v>Vínculo Ciudadano</v>
      </c>
      <c r="G394" s="2" t="str">
        <f>IFERROR(__xludf.DUMMYFUNCTION("""COMPUTED_VALUE"""),"Finalizada")</f>
        <v>Finalizada</v>
      </c>
      <c r="H394" s="4">
        <v>0.0</v>
      </c>
      <c r="I394" s="4">
        <v>0.0</v>
      </c>
      <c r="J394" s="4">
        <v>0.0</v>
      </c>
      <c r="K394" s="4">
        <v>0.0</v>
      </c>
      <c r="L394" s="5">
        <v>0.0</v>
      </c>
      <c r="M394" s="5">
        <v>0.0</v>
      </c>
      <c r="N394" s="4">
        <v>17002.0</v>
      </c>
      <c r="O394" s="4">
        <v>16769.0</v>
      </c>
      <c r="P394" s="4">
        <v>5755.0</v>
      </c>
      <c r="Q394" s="4">
        <v>292.0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>
        <v>0.0</v>
      </c>
      <c r="AD394" s="4" t="s">
        <v>8</v>
      </c>
      <c r="AE394" s="6" t="s">
        <v>9</v>
      </c>
    </row>
    <row r="395" ht="16.5" customHeight="1">
      <c r="A395" s="2" t="str">
        <f>IFERROR(__xludf.DUMMYFUNCTION("""COMPUTED_VALUE"""),"2833-ABRSEGVC")</f>
        <v>2833-ABRSEGVC</v>
      </c>
      <c r="B395" s="2" t="str">
        <f>IFERROR(__xludf.DUMMYFUNCTION("""COMPUTED_VALUE"""),"RDV MINISTROS | Ruth Landerreche 16/4 Comuna 5")</f>
        <v>RDV MINISTROS | Ruth Landerreche 16/4 Comuna 5</v>
      </c>
      <c r="C395" s="3">
        <f>IFERROR(__xludf.DUMMYFUNCTION("""COMPUTED_VALUE"""),46125.0)</f>
        <v>46125</v>
      </c>
      <c r="D395" s="3">
        <f>IFERROR(__xludf.DUMMYFUNCTION("""COMPUTED_VALUE"""),46135.0)</f>
        <v>46135</v>
      </c>
      <c r="E395" s="2" t="str">
        <f>IFERROR(__xludf.DUMMYFUNCTION("""COMPUTED_VALUE"""),"Cercanía")</f>
        <v>Cercanía</v>
      </c>
      <c r="F395" s="2" t="str">
        <f>IFERROR(__xludf.DUMMYFUNCTION("""COMPUTED_VALUE"""),"Seguridad")</f>
        <v>Seguridad</v>
      </c>
      <c r="G395" s="2" t="str">
        <f>IFERROR(__xludf.DUMMYFUNCTION("""COMPUTED_VALUE"""),"Finalizada")</f>
        <v>Finalizada</v>
      </c>
      <c r="H395" s="4">
        <v>519734.0</v>
      </c>
      <c r="I395" s="4">
        <v>0.0</v>
      </c>
      <c r="J395" s="4">
        <v>874.0</v>
      </c>
      <c r="K395" s="4">
        <v>375349.0</v>
      </c>
      <c r="L395" s="5">
        <v>1.3846686683593137</v>
      </c>
      <c r="M395" s="5">
        <v>1.3846686683593137</v>
      </c>
      <c r="N395" s="4">
        <v>73926.0</v>
      </c>
      <c r="O395" s="4">
        <v>73100.0</v>
      </c>
      <c r="P395" s="4">
        <v>12851.0</v>
      </c>
      <c r="Q395" s="4">
        <v>205.0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>
        <v>0.0</v>
      </c>
      <c r="AD395" s="6" t="s">
        <v>86</v>
      </c>
      <c r="AE395" s="6" t="s">
        <v>9</v>
      </c>
    </row>
    <row r="396" ht="16.5" customHeight="1">
      <c r="A396" s="2" t="str">
        <f>IFERROR(__xludf.DUMMYFUNCTION("""COMPUTED_VALUE"""),"2834-ABRSEGVC")</f>
        <v>2834-ABRSEGVC</v>
      </c>
      <c r="B396" s="2" t="str">
        <f>IFERROR(__xludf.DUMMYFUNCTION("""COMPUTED_VALUE"""),"RDV MINISTROS | Gabino Tapia 16/4 Comuna 6")</f>
        <v>RDV MINISTROS | Gabino Tapia 16/4 Comuna 6</v>
      </c>
      <c r="C396" s="3">
        <f>IFERROR(__xludf.DUMMYFUNCTION("""COMPUTED_VALUE"""),46125.0)</f>
        <v>46125</v>
      </c>
      <c r="D396" s="3">
        <f>IFERROR(__xludf.DUMMYFUNCTION("""COMPUTED_VALUE"""),46129.0)</f>
        <v>46129</v>
      </c>
      <c r="E396" s="2" t="str">
        <f>IFERROR(__xludf.DUMMYFUNCTION("""COMPUTED_VALUE"""),"Cercanía")</f>
        <v>Cercanía</v>
      </c>
      <c r="F396" s="2" t="str">
        <f>IFERROR(__xludf.DUMMYFUNCTION("""COMPUTED_VALUE"""),"Seguridad")</f>
        <v>Seguridad</v>
      </c>
      <c r="G396" s="2" t="str">
        <f>IFERROR(__xludf.DUMMYFUNCTION("""COMPUTED_VALUE"""),"Finalizada")</f>
        <v>Finalizada</v>
      </c>
      <c r="H396" s="4">
        <v>172415.0</v>
      </c>
      <c r="I396" s="4">
        <v>0.0</v>
      </c>
      <c r="J396" s="4">
        <v>693.0</v>
      </c>
      <c r="K396" s="4">
        <v>108149.0</v>
      </c>
      <c r="L396" s="5">
        <v>1.5942357303350008</v>
      </c>
      <c r="M396" s="5">
        <v>1.5942357303350008</v>
      </c>
      <c r="N396" s="4">
        <v>81959.0</v>
      </c>
      <c r="O396" s="4">
        <v>81177.0</v>
      </c>
      <c r="P396" s="4">
        <v>20934.0</v>
      </c>
      <c r="Q396" s="4">
        <v>380.0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6" t="s">
        <v>87</v>
      </c>
      <c r="AE396" s="6" t="s">
        <v>9</v>
      </c>
    </row>
    <row r="397" ht="16.5" customHeight="1">
      <c r="A397" s="2" t="str">
        <f>IFERROR(__xludf.DUMMYFUNCTION("""COMPUTED_VALUE"""),"2835-ABRSEGVC")</f>
        <v>2835-ABRSEGVC</v>
      </c>
      <c r="B397" s="2" t="str">
        <f>IFERROR(__xludf.DUMMYFUNCTION("""COMPUTED_VALUE"""),"RDV MINISTROS | Horacio Giménez 16/4 Comuna 7")</f>
        <v>RDV MINISTROS | Horacio Giménez 16/4 Comuna 7</v>
      </c>
      <c r="C397" s="3">
        <f>IFERROR(__xludf.DUMMYFUNCTION("""COMPUTED_VALUE"""),46125.0)</f>
        <v>46125</v>
      </c>
      <c r="D397" s="3">
        <f>IFERROR(__xludf.DUMMYFUNCTION("""COMPUTED_VALUE"""),46129.0)</f>
        <v>46129</v>
      </c>
      <c r="E397" s="2" t="str">
        <f>IFERROR(__xludf.DUMMYFUNCTION("""COMPUTED_VALUE"""),"Cercanía")</f>
        <v>Cercanía</v>
      </c>
      <c r="F397" s="2" t="str">
        <f>IFERROR(__xludf.DUMMYFUNCTION("""COMPUTED_VALUE"""),"Seguridad")</f>
        <v>Seguridad</v>
      </c>
      <c r="G397" s="2" t="str">
        <f>IFERROR(__xludf.DUMMYFUNCTION("""COMPUTED_VALUE"""),"Finalizada")</f>
        <v>Finalizada</v>
      </c>
      <c r="H397" s="4">
        <v>149503.0</v>
      </c>
      <c r="I397" s="4">
        <v>0.0</v>
      </c>
      <c r="J397" s="4">
        <v>690.0</v>
      </c>
      <c r="K397" s="4">
        <v>94044.0</v>
      </c>
      <c r="L397" s="5">
        <v>1.5897133256773426</v>
      </c>
      <c r="M397" s="5">
        <v>1.5897133256773426</v>
      </c>
      <c r="N397" s="4">
        <v>85786.0</v>
      </c>
      <c r="O397" s="4">
        <v>84686.0</v>
      </c>
      <c r="P397" s="4">
        <v>15608.0</v>
      </c>
      <c r="Q397" s="4">
        <v>306.0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6" t="s">
        <v>88</v>
      </c>
      <c r="AE397" s="6" t="s">
        <v>9</v>
      </c>
    </row>
    <row r="398" ht="16.5" customHeight="1">
      <c r="A398" s="2" t="str">
        <f>IFERROR(__xludf.DUMMYFUNCTION("""COMPUTED_VALUE"""),"2836-ABRVINVC")</f>
        <v>2836-ABRVINVC</v>
      </c>
      <c r="B398" s="2" t="str">
        <f>IFERROR(__xludf.DUMMYFUNCTION("""COMPUTED_VALUE"""),"CAMPAÑA GCBA | VINCULO CIUDADANO | Mas servicios en tu barrio 2026:  Villa Crespo 13/4")</f>
        <v>CAMPAÑA GCBA | VINCULO CIUDADANO | Mas servicios en tu barrio 2026:  Villa Crespo 13/4</v>
      </c>
      <c r="C398" s="3">
        <f>IFERROR(__xludf.DUMMYFUNCTION("""COMPUTED_VALUE"""),46121.0)</f>
        <v>46121</v>
      </c>
      <c r="D398" s="3">
        <f>IFERROR(__xludf.DUMMYFUNCTION("""COMPUTED_VALUE"""),46121.0)</f>
        <v>46121</v>
      </c>
      <c r="E398" s="2" t="str">
        <f>IFERROR(__xludf.DUMMYFUNCTION("""COMPUTED_VALUE"""),"M2")</f>
        <v>M2</v>
      </c>
      <c r="F398" s="2" t="str">
        <f>IFERROR(__xludf.DUMMYFUNCTION("""COMPUTED_VALUE"""),"Vínculo Ciudadano")</f>
        <v>Vínculo Ciudadano</v>
      </c>
      <c r="G398" s="2" t="str">
        <f>IFERROR(__xludf.DUMMYFUNCTION("""COMPUTED_VALUE"""),"Finalizada")</f>
        <v>Finalizada</v>
      </c>
      <c r="H398" s="4">
        <v>0.0</v>
      </c>
      <c r="I398" s="4">
        <v>0.0</v>
      </c>
      <c r="J398" s="4">
        <v>0.0</v>
      </c>
      <c r="K398" s="4">
        <v>0.0</v>
      </c>
      <c r="L398" s="5">
        <v>0.0</v>
      </c>
      <c r="M398" s="5">
        <v>0.0</v>
      </c>
      <c r="N398" s="4">
        <v>28041.0</v>
      </c>
      <c r="O398" s="4">
        <v>27773.0</v>
      </c>
      <c r="P398" s="4">
        <v>9931.0</v>
      </c>
      <c r="Q398" s="4">
        <v>418.0</v>
      </c>
      <c r="R398" s="4">
        <v>0.0</v>
      </c>
      <c r="S398" s="4">
        <v>0.0</v>
      </c>
      <c r="T398" s="4">
        <v>0.0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0.0</v>
      </c>
      <c r="AB398" s="4">
        <v>0.0</v>
      </c>
      <c r="AC398" s="4">
        <v>0.0</v>
      </c>
      <c r="AD398" s="4" t="s">
        <v>8</v>
      </c>
      <c r="AE398" s="6" t="s">
        <v>9</v>
      </c>
    </row>
    <row r="399" ht="16.5" customHeight="1">
      <c r="A399" s="2" t="str">
        <f>IFERROR(__xludf.DUMMYFUNCTION("""COMPUTED_VALUE"""),"2837-ABRVINVC")</f>
        <v>2837-ABRVINVC</v>
      </c>
      <c r="B399" s="2" t="str">
        <f>IFERROR(__xludf.DUMMYFUNCTION("""COMPUTED_VALUE"""),"CAMPAÑA GCBA | VINCULO CIUDADANO | Mas servicios en tu barrio 2026: La Boca 14/4 y 15/4")</f>
        <v>CAMPAÑA GCBA | VINCULO CIUDADANO | Mas servicios en tu barrio 2026: La Boca 14/4 y 15/4</v>
      </c>
      <c r="C399" s="3">
        <f>IFERROR(__xludf.DUMMYFUNCTION("""COMPUTED_VALUE"""),46121.0)</f>
        <v>46121</v>
      </c>
      <c r="D399" s="3">
        <f>IFERROR(__xludf.DUMMYFUNCTION("""COMPUTED_VALUE"""),46121.0)</f>
        <v>46121</v>
      </c>
      <c r="E399" s="2" t="str">
        <f>IFERROR(__xludf.DUMMYFUNCTION("""COMPUTED_VALUE"""),"M2")</f>
        <v>M2</v>
      </c>
      <c r="F399" s="2" t="str">
        <f>IFERROR(__xludf.DUMMYFUNCTION("""COMPUTED_VALUE"""),"Vínculo Ciudadano")</f>
        <v>Vínculo Ciudadano</v>
      </c>
      <c r="G399" s="2" t="str">
        <f>IFERROR(__xludf.DUMMYFUNCTION("""COMPUTED_VALUE"""),"Finalizada")</f>
        <v>Finalizada</v>
      </c>
      <c r="H399" s="4">
        <v>0.0</v>
      </c>
      <c r="I399" s="4">
        <v>0.0</v>
      </c>
      <c r="J399" s="4">
        <v>0.0</v>
      </c>
      <c r="K399" s="4">
        <v>0.0</v>
      </c>
      <c r="L399" s="5">
        <v>0.0</v>
      </c>
      <c r="M399" s="5">
        <v>0.0</v>
      </c>
      <c r="N399" s="4">
        <v>7283.0</v>
      </c>
      <c r="O399" s="4">
        <v>7145.0</v>
      </c>
      <c r="P399" s="4">
        <v>2006.0</v>
      </c>
      <c r="Q399" s="4">
        <v>98.0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>
        <v>0.0</v>
      </c>
      <c r="AD399" s="4" t="s">
        <v>8</v>
      </c>
      <c r="AE399" s="6" t="s">
        <v>9</v>
      </c>
    </row>
    <row r="400" ht="16.5" customHeight="1">
      <c r="A400" s="2" t="str">
        <f>IFERROR(__xludf.DUMMYFUNCTION("""COMPUTED_VALUE"""),"2838-ABRVINVC")</f>
        <v>2838-ABRVINVC</v>
      </c>
      <c r="B400" s="2" t="str">
        <f>IFERROR(__xludf.DUMMYFUNCTION("""COMPUTED_VALUE"""),"CAMPAÑA GCBA | VINCULO CIUDADANO | Mas servicios en tu barrio 2026: Agronomía 16/4")</f>
        <v>CAMPAÑA GCBA | VINCULO CIUDADANO | Mas servicios en tu barrio 2026: Agronomía 16/4</v>
      </c>
      <c r="C400" s="3">
        <f>IFERROR(__xludf.DUMMYFUNCTION("""COMPUTED_VALUE"""),46125.0)</f>
        <v>46125</v>
      </c>
      <c r="D400" s="3">
        <f>IFERROR(__xludf.DUMMYFUNCTION("""COMPUTED_VALUE"""),46125.0)</f>
        <v>46125</v>
      </c>
      <c r="E400" s="2" t="str">
        <f>IFERROR(__xludf.DUMMYFUNCTION("""COMPUTED_VALUE"""),"M2")</f>
        <v>M2</v>
      </c>
      <c r="F400" s="2" t="str">
        <f>IFERROR(__xludf.DUMMYFUNCTION("""COMPUTED_VALUE"""),"Vínculo Ciudadano")</f>
        <v>Vínculo Ciudadano</v>
      </c>
      <c r="G400" s="2" t="str">
        <f>IFERROR(__xludf.DUMMYFUNCTION("""COMPUTED_VALUE"""),"Finalizada")</f>
        <v>Finalizada</v>
      </c>
      <c r="H400" s="4">
        <v>0.0</v>
      </c>
      <c r="I400" s="4">
        <v>0.0</v>
      </c>
      <c r="J400" s="4">
        <v>0.0</v>
      </c>
      <c r="K400" s="4">
        <v>0.0</v>
      </c>
      <c r="L400" s="5">
        <v>0.0</v>
      </c>
      <c r="M400" s="5">
        <v>0.0</v>
      </c>
      <c r="N400" s="4">
        <v>9882.0</v>
      </c>
      <c r="O400" s="4">
        <v>9778.0</v>
      </c>
      <c r="P400" s="4">
        <v>4012.0</v>
      </c>
      <c r="Q400" s="4">
        <v>256.0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 t="s">
        <v>8</v>
      </c>
      <c r="AE400" s="6" t="s">
        <v>9</v>
      </c>
    </row>
    <row r="401" ht="16.5" customHeight="1">
      <c r="A401" s="2" t="str">
        <f>IFERROR(__xludf.DUMMYFUNCTION("""COMPUTED_VALUE"""),"2839-ABRVINVC")</f>
        <v>2839-ABRVINVC</v>
      </c>
      <c r="B401" s="2" t="str">
        <f>IFERROR(__xludf.DUMMYFUNCTION("""COMPUTED_VALUE"""),"CAMPAÑA GCBA | VINCULO CIUDADANO | Mas servicios en tu barrio 2026:  Caballito 17/4")</f>
        <v>CAMPAÑA GCBA | VINCULO CIUDADANO | Mas servicios en tu barrio 2026:  Caballito 17/4</v>
      </c>
      <c r="C401" s="3">
        <f>IFERROR(__xludf.DUMMYFUNCTION("""COMPUTED_VALUE"""),46125.0)</f>
        <v>46125</v>
      </c>
      <c r="D401" s="3">
        <f>IFERROR(__xludf.DUMMYFUNCTION("""COMPUTED_VALUE"""),46125.0)</f>
        <v>46125</v>
      </c>
      <c r="E401" s="2" t="str">
        <f>IFERROR(__xludf.DUMMYFUNCTION("""COMPUTED_VALUE"""),"M2")</f>
        <v>M2</v>
      </c>
      <c r="F401" s="2" t="str">
        <f>IFERROR(__xludf.DUMMYFUNCTION("""COMPUTED_VALUE"""),"Vínculo Ciudadano")</f>
        <v>Vínculo Ciudadano</v>
      </c>
      <c r="G401" s="2" t="str">
        <f>IFERROR(__xludf.DUMMYFUNCTION("""COMPUTED_VALUE"""),"Finalizada")</f>
        <v>Finalizada</v>
      </c>
      <c r="H401" s="4">
        <v>0.0</v>
      </c>
      <c r="I401" s="4">
        <v>0.0</v>
      </c>
      <c r="J401" s="4">
        <v>0.0</v>
      </c>
      <c r="K401" s="4">
        <v>0.0</v>
      </c>
      <c r="L401" s="5">
        <v>0.0</v>
      </c>
      <c r="M401" s="5">
        <v>0.0</v>
      </c>
      <c r="N401" s="4">
        <v>16967.0</v>
      </c>
      <c r="O401" s="4">
        <v>16777.0</v>
      </c>
      <c r="P401" s="4">
        <v>6262.0</v>
      </c>
      <c r="Q401" s="4">
        <v>347.0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 t="s">
        <v>8</v>
      </c>
      <c r="AE401" s="6" t="s">
        <v>9</v>
      </c>
    </row>
    <row r="402" ht="16.5" customHeight="1">
      <c r="A402" s="2" t="str">
        <f>IFERROR(__xludf.DUMMYFUNCTION("""COMPUTED_VALUE"""),"2840-ABRVINVC")</f>
        <v>2840-ABRVINVC</v>
      </c>
      <c r="B402" s="2" t="str">
        <f>IFERROR(__xludf.DUMMYFUNCTION("""COMPUTED_VALUE"""),"CAMPAÑA GCBA | VINCULO CIUDADANO | Mas servicios en tu barrio 2026:  Parque Chas 17/4")</f>
        <v>CAMPAÑA GCBA | VINCULO CIUDADANO | Mas servicios en tu barrio 2026:  Parque Chas 17/4</v>
      </c>
      <c r="C402" s="3">
        <f>IFERROR(__xludf.DUMMYFUNCTION("""COMPUTED_VALUE"""),46125.0)</f>
        <v>46125</v>
      </c>
      <c r="D402" s="3">
        <f>IFERROR(__xludf.DUMMYFUNCTION("""COMPUTED_VALUE"""),46125.0)</f>
        <v>46125</v>
      </c>
      <c r="E402" s="2" t="str">
        <f>IFERROR(__xludf.DUMMYFUNCTION("""COMPUTED_VALUE"""),"M2")</f>
        <v>M2</v>
      </c>
      <c r="F402" s="2" t="str">
        <f>IFERROR(__xludf.DUMMYFUNCTION("""COMPUTED_VALUE"""),"Vínculo Ciudadano")</f>
        <v>Vínculo Ciudadano</v>
      </c>
      <c r="G402" s="2" t="str">
        <f>IFERROR(__xludf.DUMMYFUNCTION("""COMPUTED_VALUE"""),"Finalizada")</f>
        <v>Finalizada</v>
      </c>
      <c r="H402" s="4">
        <v>0.0</v>
      </c>
      <c r="I402" s="4">
        <v>0.0</v>
      </c>
      <c r="J402" s="4">
        <v>0.0</v>
      </c>
      <c r="K402" s="4">
        <v>0.0</v>
      </c>
      <c r="L402" s="5">
        <v>0.0</v>
      </c>
      <c r="M402" s="5">
        <v>0.0</v>
      </c>
      <c r="N402" s="4">
        <v>15329.0</v>
      </c>
      <c r="O402" s="4">
        <v>15173.0</v>
      </c>
      <c r="P402" s="4">
        <v>6234.0</v>
      </c>
      <c r="Q402" s="4">
        <v>238.0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 t="s">
        <v>8</v>
      </c>
      <c r="AE402" s="6" t="s">
        <v>9</v>
      </c>
    </row>
    <row r="403" ht="16.5" customHeight="1">
      <c r="A403" s="2" t="str">
        <f>IFERROR(__xludf.DUMMYFUNCTION("""COMPUTED_VALUE"""),"2841-ABRJDGAG")</f>
        <v>2841-ABRJDGAG</v>
      </c>
      <c r="B403" s="2" t="str">
        <f>IFERROR(__xludf.DUMMYFUNCTION("""COMPUTED_VALUE"""),"RDV JM | 15/4 PARQUE CHACABUCO")</f>
        <v>RDV JM | 15/4 PARQUE CHACABUCO</v>
      </c>
      <c r="C403" s="3">
        <f>IFERROR(__xludf.DUMMYFUNCTION("""COMPUTED_VALUE"""),46122.0)</f>
        <v>46122</v>
      </c>
      <c r="D403" s="3">
        <f>IFERROR(__xludf.DUMMYFUNCTION("""COMPUTED_VALUE"""),46139.0)</f>
        <v>46139</v>
      </c>
      <c r="E403" s="2" t="str">
        <f>IFERROR(__xludf.DUMMYFUNCTION("""COMPUTED_VALUE"""),"Cercanía")</f>
        <v>Cercanía</v>
      </c>
      <c r="F403" s="2" t="str">
        <f>IFERROR(__xludf.DUMMYFUNCTION("""COMPUTED_VALUE"""),"Jefatura de Gobierno")</f>
        <v>Jefatura de Gobierno</v>
      </c>
      <c r="G403" s="2" t="str">
        <f>IFERROR(__xludf.DUMMYFUNCTION("""COMPUTED_VALUE"""),"Finalizada")</f>
        <v>Finalizada</v>
      </c>
      <c r="H403" s="4">
        <v>1438627.0</v>
      </c>
      <c r="I403" s="4">
        <v>570647.0</v>
      </c>
      <c r="J403" s="4">
        <v>6162.0</v>
      </c>
      <c r="K403" s="4">
        <v>26598.0</v>
      </c>
      <c r="L403" s="5">
        <v>13.955710955710956</v>
      </c>
      <c r="M403" s="5">
        <v>54.087788555530494</v>
      </c>
      <c r="N403" s="4">
        <v>24839.0</v>
      </c>
      <c r="O403" s="4">
        <v>24545.0</v>
      </c>
      <c r="P403" s="4">
        <v>3818.0</v>
      </c>
      <c r="Q403" s="4">
        <v>220.0</v>
      </c>
      <c r="R403" s="4">
        <v>0.0</v>
      </c>
      <c r="S403" s="4">
        <v>0.0</v>
      </c>
      <c r="T403" s="4">
        <v>0.0</v>
      </c>
      <c r="U403" s="4">
        <v>0.0</v>
      </c>
      <c r="V403" s="4">
        <v>14387.0</v>
      </c>
      <c r="W403" s="4">
        <v>14387.0</v>
      </c>
      <c r="X403" s="4">
        <v>12817.0</v>
      </c>
      <c r="Y403" s="4">
        <v>6411.0</v>
      </c>
      <c r="Z403" s="4">
        <v>49.0</v>
      </c>
      <c r="AA403" s="4">
        <v>0.0</v>
      </c>
      <c r="AB403" s="4">
        <v>0.0</v>
      </c>
      <c r="AC403" s="4">
        <v>0.0</v>
      </c>
      <c r="AD403" s="6" t="s">
        <v>89</v>
      </c>
      <c r="AE403" s="6" t="s">
        <v>9</v>
      </c>
    </row>
    <row r="404" ht="16.5" customHeight="1">
      <c r="A404" s="2" t="str">
        <f>IFERROR(__xludf.DUMMYFUNCTION("""COMPUTED_VALUE"""),"2842-ABRJDGAG")</f>
        <v>2842-ABRJDGAG</v>
      </c>
      <c r="B404" s="2" t="str">
        <f>IFERROR(__xludf.DUMMYFUNCTION("""COMPUTED_VALUE"""),"RDV JM TEMÁTICA | TE CUENTO BS AS 16/04 EDUCACIÓN EJE NORTE")</f>
        <v>RDV JM TEMÁTICA | TE CUENTO BS AS 16/04 EDUCACIÓN EJE NORTE</v>
      </c>
      <c r="C404" s="3">
        <f>IFERROR(__xludf.DUMMYFUNCTION("""COMPUTED_VALUE"""),46125.0)</f>
        <v>46125</v>
      </c>
      <c r="D404" s="3">
        <f>IFERROR(__xludf.DUMMYFUNCTION("""COMPUTED_VALUE"""),46142.0)</f>
        <v>46142</v>
      </c>
      <c r="E404" s="2" t="str">
        <f>IFERROR(__xludf.DUMMYFUNCTION("""COMPUTED_VALUE"""),"Cercanía")</f>
        <v>Cercanía</v>
      </c>
      <c r="F404" s="2" t="str">
        <f>IFERROR(__xludf.DUMMYFUNCTION("""COMPUTED_VALUE"""),"Jefatura de Gobierno")</f>
        <v>Jefatura de Gobierno</v>
      </c>
      <c r="G404" s="2" t="str">
        <f>IFERROR(__xludf.DUMMYFUNCTION("""COMPUTED_VALUE"""),"Finalizada")</f>
        <v>Finalizada</v>
      </c>
      <c r="H404" s="4">
        <v>5545826.0</v>
      </c>
      <c r="I404" s="4">
        <v>1350233.0</v>
      </c>
      <c r="J404" s="4">
        <v>58071.0</v>
      </c>
      <c r="K404" s="4">
        <v>424051.0</v>
      </c>
      <c r="L404" s="5">
        <v>1.5211991010515244</v>
      </c>
      <c r="M404" s="5">
        <v>13.078205215882052</v>
      </c>
      <c r="N404" s="4">
        <v>272975.0</v>
      </c>
      <c r="O404" s="4">
        <v>270190.0</v>
      </c>
      <c r="P404" s="4">
        <v>66357.0</v>
      </c>
      <c r="Q404" s="4">
        <v>1238.0</v>
      </c>
      <c r="R404" s="4">
        <v>13596.0</v>
      </c>
      <c r="S404" s="4">
        <v>6513.0</v>
      </c>
      <c r="T404" s="4">
        <v>1783.0</v>
      </c>
      <c r="U404" s="4">
        <v>1381.0</v>
      </c>
      <c r="V404" s="4">
        <v>59440.0</v>
      </c>
      <c r="W404" s="4">
        <v>59440.0</v>
      </c>
      <c r="X404" s="4">
        <v>56238.0</v>
      </c>
      <c r="Y404" s="4">
        <v>21500.0</v>
      </c>
      <c r="Z404" s="4">
        <v>176.0</v>
      </c>
      <c r="AA404" s="4">
        <v>0.0</v>
      </c>
      <c r="AB404" s="4">
        <v>0.0</v>
      </c>
      <c r="AC404" s="4">
        <v>0.0</v>
      </c>
      <c r="AD404" s="6" t="s">
        <v>90</v>
      </c>
      <c r="AE404" s="6" t="s">
        <v>9</v>
      </c>
    </row>
    <row r="405" ht="16.5" customHeight="1">
      <c r="A405" s="2" t="str">
        <f>IFERROR(__xludf.DUMMYFUNCTION("""COMPUTED_VALUE"""),"2843-ABRJDGAG")</f>
        <v>2843-ABRJDGAG</v>
      </c>
      <c r="B405" s="2" t="str">
        <f>IFERROR(__xludf.DUMMYFUNCTION("""COMPUTED_VALUE"""),"1 A 1 JM | Comuna 1 17/04")</f>
        <v>1 A 1 JM | Comuna 1 17/04</v>
      </c>
      <c r="C405" s="3">
        <f>IFERROR(__xludf.DUMMYFUNCTION("""COMPUTED_VALUE"""),46125.0)</f>
        <v>46125</v>
      </c>
      <c r="D405" s="3">
        <f>IFERROR(__xludf.DUMMYFUNCTION("""COMPUTED_VALUE"""),46145.0)</f>
        <v>46145</v>
      </c>
      <c r="E405" s="2" t="str">
        <f>IFERROR(__xludf.DUMMYFUNCTION("""COMPUTED_VALUE"""),"Cercanía")</f>
        <v>Cercanía</v>
      </c>
      <c r="F405" s="2" t="str">
        <f>IFERROR(__xludf.DUMMYFUNCTION("""COMPUTED_VALUE"""),"Jefatura de Gobierno")</f>
        <v>Jefatura de Gobierno</v>
      </c>
      <c r="G405" s="2" t="str">
        <f>IFERROR(__xludf.DUMMYFUNCTION("""COMPUTED_VALUE"""),"Finalizada")</f>
        <v>Finalizada</v>
      </c>
      <c r="H405" s="4">
        <v>834461.0</v>
      </c>
      <c r="I405" s="4">
        <v>39299.0</v>
      </c>
      <c r="J405" s="4">
        <v>5097.0</v>
      </c>
      <c r="K405" s="4">
        <v>36543.0</v>
      </c>
      <c r="L405" s="5">
        <v>13.720575760063486</v>
      </c>
      <c r="M405" s="5">
        <v>22.835043647210135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6" t="s">
        <v>91</v>
      </c>
      <c r="AE405" s="4" t="s">
        <v>8</v>
      </c>
    </row>
    <row r="406" ht="16.5" customHeight="1">
      <c r="A406" s="2" t="str">
        <f>IFERROR(__xludf.DUMMYFUNCTION("""COMPUTED_VALUE"""),"2844-ABRVINVC")</f>
        <v>2844-ABRVINVC</v>
      </c>
      <c r="B406" s="2" t="str">
        <f>IFERROR(__xludf.DUMMYFUNCTION("""COMPUTED_VALUE"""),"CAMPAÑA GCBA | VINCULO CIUDADANO | Mas servicios en tu barrio 2026:  Villa Soldati 18/4")</f>
        <v>CAMPAÑA GCBA | VINCULO CIUDADANO | Mas servicios en tu barrio 2026:  Villa Soldati 18/4</v>
      </c>
      <c r="C406" s="3">
        <f>IFERROR(__xludf.DUMMYFUNCTION("""COMPUTED_VALUE"""),46125.0)</f>
        <v>46125</v>
      </c>
      <c r="D406" s="3">
        <f>IFERROR(__xludf.DUMMYFUNCTION("""COMPUTED_VALUE"""),46125.0)</f>
        <v>46125</v>
      </c>
      <c r="E406" s="2" t="str">
        <f>IFERROR(__xludf.DUMMYFUNCTION("""COMPUTED_VALUE"""),"M2")</f>
        <v>M2</v>
      </c>
      <c r="F406" s="2" t="str">
        <f>IFERROR(__xludf.DUMMYFUNCTION("""COMPUTED_VALUE"""),"Vínculo Ciudadano")</f>
        <v>Vínculo Ciudadano</v>
      </c>
      <c r="G406" s="2" t="str">
        <f>IFERROR(__xludf.DUMMYFUNCTION("""COMPUTED_VALUE"""),"Finalizada")</f>
        <v>Finalizada</v>
      </c>
      <c r="H406" s="4">
        <v>0.0</v>
      </c>
      <c r="I406" s="4">
        <v>0.0</v>
      </c>
      <c r="J406" s="4">
        <v>0.0</v>
      </c>
      <c r="K406" s="4">
        <v>0.0</v>
      </c>
      <c r="L406" s="5">
        <v>0.0</v>
      </c>
      <c r="M406" s="5">
        <v>0.0</v>
      </c>
      <c r="N406" s="4">
        <v>5974.0</v>
      </c>
      <c r="O406" s="4">
        <v>5825.0</v>
      </c>
      <c r="P406" s="4">
        <v>1751.0</v>
      </c>
      <c r="Q406" s="4">
        <v>166.0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0.0</v>
      </c>
      <c r="AD406" s="4" t="s">
        <v>8</v>
      </c>
      <c r="AE406" s="6" t="s">
        <v>9</v>
      </c>
    </row>
    <row r="407" ht="16.5" customHeight="1">
      <c r="A407" s="2" t="str">
        <f>IFERROR(__xludf.DUMMYFUNCTION("""COMPUTED_VALUE"""),"2845-ABRINFGC")</f>
        <v>2845-ABRINFGC</v>
      </c>
      <c r="B407" s="2" t="str">
        <f>IFERROR(__xludf.DUMMYFUNCTION("""COMPUTED_VALUE"""),"Infraestructura I Cortes de tránsito por evento deportivo LAS TEMPORADAS")</f>
        <v>Infraestructura I Cortes de tránsito por evento deportivo LAS TEMPORADAS</v>
      </c>
      <c r="C407" s="3">
        <f>IFERROR(__xludf.DUMMYFUNCTION("""COMPUTED_VALUE"""),46122.0)</f>
        <v>46122</v>
      </c>
      <c r="D407" s="3">
        <f>IFERROR(__xludf.DUMMYFUNCTION("""COMPUTED_VALUE"""),46124.0)</f>
        <v>46124</v>
      </c>
      <c r="E407" s="2" t="str">
        <f>IFERROR(__xludf.DUMMYFUNCTION("""COMPUTED_VALUE"""),"Movilidad")</f>
        <v>Movilidad</v>
      </c>
      <c r="F407" s="2" t="str">
        <f>IFERROR(__xludf.DUMMYFUNCTION("""COMPUTED_VALUE"""),"Infraestructura")</f>
        <v>Infraestructura</v>
      </c>
      <c r="G407" s="2" t="str">
        <f>IFERROR(__xludf.DUMMYFUNCTION("""COMPUTED_VALUE"""),"Finalizada")</f>
        <v>Finalizada</v>
      </c>
      <c r="H407" s="4">
        <v>705729.0</v>
      </c>
      <c r="I407" s="4">
        <v>0.0</v>
      </c>
      <c r="J407" s="4">
        <v>1905.0</v>
      </c>
      <c r="K407" s="4">
        <v>496748.0</v>
      </c>
      <c r="L407" s="5">
        <v>1.4206982212308856</v>
      </c>
      <c r="M407" s="5">
        <v>1.4206982212308856</v>
      </c>
      <c r="N407" s="4">
        <v>226292.0</v>
      </c>
      <c r="O407" s="4">
        <v>223872.0</v>
      </c>
      <c r="P407" s="4">
        <v>84657.0</v>
      </c>
      <c r="Q407" s="4">
        <v>2588.0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  <c r="AD407" s="6" t="s">
        <v>92</v>
      </c>
      <c r="AE407" s="6" t="s">
        <v>9</v>
      </c>
    </row>
    <row r="408" ht="16.5" customHeight="1">
      <c r="A408" s="2" t="str">
        <f>IFERROR(__xludf.DUMMYFUNCTION("""COMPUTED_VALUE"""),"2846-ABRSALGC")</f>
        <v>2846-ABRSALGC</v>
      </c>
      <c r="B408" s="2" t="str">
        <f>IFERROR(__xludf.DUMMYFUNCTION("""COMPUTED_VALUE"""),"CeSAC 1 - Fin de obra")</f>
        <v>CeSAC 1 - Fin de obra</v>
      </c>
      <c r="C408" s="3">
        <f>IFERROR(__xludf.DUMMYFUNCTION("""COMPUTED_VALUE"""),46132.0)</f>
        <v>46132</v>
      </c>
      <c r="D408" s="3">
        <f>IFERROR(__xludf.DUMMYFUNCTION("""COMPUTED_VALUE"""),46150.0)</f>
        <v>46150</v>
      </c>
      <c r="E408" s="2" t="str">
        <f>IFERROR(__xludf.DUMMYFUNCTION("""COMPUTED_VALUE"""),"Cuidado")</f>
        <v>Cuidado</v>
      </c>
      <c r="F408" s="2" t="str">
        <f>IFERROR(__xludf.DUMMYFUNCTION("""COMPUTED_VALUE"""),"Salud")</f>
        <v>Salud</v>
      </c>
      <c r="G408" s="2" t="str">
        <f>IFERROR(__xludf.DUMMYFUNCTION("""COMPUTED_VALUE"""),"Finalizada")</f>
        <v>Finalizada</v>
      </c>
      <c r="H408" s="4">
        <v>8604007.0</v>
      </c>
      <c r="I408" s="4">
        <v>0.0</v>
      </c>
      <c r="J408" s="4">
        <v>22139.0</v>
      </c>
      <c r="K408" s="4">
        <v>415608.0</v>
      </c>
      <c r="L408" s="5">
        <v>3.3299768050663126</v>
      </c>
      <c r="M408" s="5">
        <v>20.70221699293565</v>
      </c>
      <c r="N408" s="4">
        <v>5687.0</v>
      </c>
      <c r="O408" s="4">
        <v>5605.0</v>
      </c>
      <c r="P408" s="4">
        <v>1833.0</v>
      </c>
      <c r="Q408" s="4">
        <v>87.0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6" t="s">
        <v>93</v>
      </c>
      <c r="AE408" s="6" t="s">
        <v>9</v>
      </c>
    </row>
    <row r="409" ht="16.5" customHeight="1">
      <c r="A409" s="2" t="str">
        <f>IFERROR(__xludf.DUMMYFUNCTION("""COMPUTED_VALUE"""),"2847-ABRINFGC")</f>
        <v>2847-ABRINFGC</v>
      </c>
      <c r="B409" s="2" t="str">
        <f>IFERROR(__xludf.DUMMYFUNCTION("""COMPUTED_VALUE"""),"Infraestructura I Cambio de sentido Manuel Porcel de Peralta")</f>
        <v>Infraestructura I Cambio de sentido Manuel Porcel de Peralta</v>
      </c>
      <c r="C409" s="3">
        <f>IFERROR(__xludf.DUMMYFUNCTION("""COMPUTED_VALUE"""),46133.0)</f>
        <v>46133</v>
      </c>
      <c r="D409" s="3">
        <f>IFERROR(__xludf.DUMMYFUNCTION("""COMPUTED_VALUE"""),46146.0)</f>
        <v>46146</v>
      </c>
      <c r="E409" s="2" t="str">
        <f>IFERROR(__xludf.DUMMYFUNCTION("""COMPUTED_VALUE"""),"Movilidad")</f>
        <v>Movilidad</v>
      </c>
      <c r="F409" s="2" t="str">
        <f>IFERROR(__xludf.DUMMYFUNCTION("""COMPUTED_VALUE"""),"Infraestructura")</f>
        <v>Infraestructura</v>
      </c>
      <c r="G409" s="2" t="str">
        <f>IFERROR(__xludf.DUMMYFUNCTION("""COMPUTED_VALUE"""),"Finalizada")</f>
        <v>Finalizada</v>
      </c>
      <c r="H409" s="4">
        <v>143090.0</v>
      </c>
      <c r="I409" s="4">
        <v>0.0</v>
      </c>
      <c r="J409" s="4">
        <v>1179.0</v>
      </c>
      <c r="K409" s="4">
        <v>55991.0</v>
      </c>
      <c r="L409" s="5">
        <v>2.5555892911360756</v>
      </c>
      <c r="M409" s="5">
        <v>2.5555892911360756</v>
      </c>
      <c r="N409" s="4">
        <v>35636.0</v>
      </c>
      <c r="O409" s="4">
        <v>35267.0</v>
      </c>
      <c r="P409" s="4">
        <v>11355.0</v>
      </c>
      <c r="Q409" s="4">
        <v>234.0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6" t="s">
        <v>94</v>
      </c>
      <c r="AE409" s="6" t="s">
        <v>9</v>
      </c>
    </row>
    <row r="410" ht="16.5" customHeight="1">
      <c r="A410" s="2" t="str">
        <f>IFERROR(__xludf.DUMMYFUNCTION("""COMPUTED_VALUE"""),"2849-ABRPCCVC")</f>
        <v>2849-ABRPCCVC</v>
      </c>
      <c r="B410" s="2" t="str">
        <f>IFERROR(__xludf.DUMMYFUNCTION("""COMPUTED_VALUE"""),"Centro Integral de Discapacidad CID")</f>
        <v>Centro Integral de Discapacidad CID</v>
      </c>
      <c r="C410" s="3">
        <f>IFERROR(__xludf.DUMMYFUNCTION("""COMPUTED_VALUE"""),46128.0)</f>
        <v>46128</v>
      </c>
      <c r="D410" s="3">
        <f>IFERROR(__xludf.DUMMYFUNCTION("""COMPUTED_VALUE"""),46128.0)</f>
        <v>46128</v>
      </c>
      <c r="E410" s="2" t="str">
        <f>IFERROR(__xludf.DUMMYFUNCTION("""COMPUTED_VALUE"""),"Cercanía")</f>
        <v>Cercanía</v>
      </c>
      <c r="F410" s="2" t="str">
        <f>IFERROR(__xludf.DUMMYFUNCTION("""COMPUTED_VALUE"""),"Cercanía y PC")</f>
        <v>Cercanía y PC</v>
      </c>
      <c r="G410" s="2" t="str">
        <f>IFERROR(__xludf.DUMMYFUNCTION("""COMPUTED_VALUE"""),"Finalizada")</f>
        <v>Finalizada</v>
      </c>
      <c r="H410" s="4">
        <v>0.0</v>
      </c>
      <c r="I410" s="4">
        <v>0.0</v>
      </c>
      <c r="J410" s="4">
        <v>0.0</v>
      </c>
      <c r="K410" s="4">
        <v>0.0</v>
      </c>
      <c r="L410" s="5">
        <v>0.0</v>
      </c>
      <c r="M410" s="5">
        <v>0.0</v>
      </c>
      <c r="N410" s="4">
        <v>20288.0</v>
      </c>
      <c r="O410" s="4">
        <v>19950.0</v>
      </c>
      <c r="P410" s="4">
        <v>3177.0</v>
      </c>
      <c r="Q410" s="4">
        <v>128.0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>
        <v>0.0</v>
      </c>
      <c r="AD410" s="4" t="s">
        <v>8</v>
      </c>
      <c r="AE410" s="6" t="s">
        <v>9</v>
      </c>
    </row>
    <row r="411" ht="16.5" customHeight="1">
      <c r="A411" s="2" t="str">
        <f>IFERROR(__xludf.DUMMYFUNCTION("""COMPUTED_VALUE"""),"2851-ABRJDGVC")</f>
        <v>2851-ABRJDGVC</v>
      </c>
      <c r="B411" s="2" t="str">
        <f>IFERROR(__xludf.DUMMYFUNCTION("""COMPUTED_VALUE"""),"RDV MINISTROS | GABRIEL SÁNCHEZ ZINNY 17/4 PALERMO")</f>
        <v>RDV MINISTROS | GABRIEL SÁNCHEZ ZINNY 17/4 PALERMO</v>
      </c>
      <c r="C411" s="3">
        <f>IFERROR(__xludf.DUMMYFUNCTION("""COMPUTED_VALUE"""),46125.0)</f>
        <v>46125</v>
      </c>
      <c r="D411" s="3">
        <f>IFERROR(__xludf.DUMMYFUNCTION("""COMPUTED_VALUE"""),46132.0)</f>
        <v>46132</v>
      </c>
      <c r="E411" s="2" t="str">
        <f>IFERROR(__xludf.DUMMYFUNCTION("""COMPUTED_VALUE"""),"Cercanía")</f>
        <v>Cercanía</v>
      </c>
      <c r="F411" s="2" t="str">
        <f>IFERROR(__xludf.DUMMYFUNCTION("""COMPUTED_VALUE"""),"Jefatura de Gabinete")</f>
        <v>Jefatura de Gabinete</v>
      </c>
      <c r="G411" s="2" t="str">
        <f>IFERROR(__xludf.DUMMYFUNCTION("""COMPUTED_VALUE"""),"Finalizada")</f>
        <v>Finalizada</v>
      </c>
      <c r="H411" s="4">
        <v>606452.0</v>
      </c>
      <c r="I411" s="4">
        <v>0.0</v>
      </c>
      <c r="J411" s="4">
        <v>814.0</v>
      </c>
      <c r="K411" s="4">
        <v>415956.0</v>
      </c>
      <c r="L411" s="5">
        <v>1.4579715162180615</v>
      </c>
      <c r="M411" s="5">
        <v>1.4579715162180615</v>
      </c>
      <c r="N411" s="4">
        <v>91166.0</v>
      </c>
      <c r="O411" s="4">
        <v>90163.0</v>
      </c>
      <c r="P411" s="4">
        <v>26462.0</v>
      </c>
      <c r="Q411" s="4">
        <v>666.0</v>
      </c>
      <c r="R411" s="4">
        <v>271.0</v>
      </c>
      <c r="S411" s="4">
        <v>270.0</v>
      </c>
      <c r="T411" s="4">
        <v>74.0</v>
      </c>
      <c r="U411" s="4">
        <v>70.0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6" t="s">
        <v>95</v>
      </c>
      <c r="AE411" s="6" t="s">
        <v>9</v>
      </c>
    </row>
    <row r="412" ht="16.5" customHeight="1">
      <c r="A412" s="2" t="str">
        <f>IFERROR(__xludf.DUMMYFUNCTION("""COMPUTED_VALUE"""),"2852-ABRINFGC")</f>
        <v>2852-ABRINFGC</v>
      </c>
      <c r="B412" s="2" t="str">
        <f>IFERROR(__xludf.DUMMYFUNCTION("""COMPUTED_VALUE"""),"INFRAESTRUCTURA | Cortes y desvíos por Evento Colapinto")</f>
        <v>INFRAESTRUCTURA | Cortes y desvíos por Evento Colapinto</v>
      </c>
      <c r="C412" s="3">
        <f>IFERROR(__xludf.DUMMYFUNCTION("""COMPUTED_VALUE"""),46132.0)</f>
        <v>46132</v>
      </c>
      <c r="D412" s="3">
        <f>IFERROR(__xludf.DUMMYFUNCTION("""COMPUTED_VALUE"""),46139.0)</f>
        <v>46139</v>
      </c>
      <c r="E412" s="2" t="str">
        <f>IFERROR(__xludf.DUMMYFUNCTION("""COMPUTED_VALUE"""),"Movilidad")</f>
        <v>Movilidad</v>
      </c>
      <c r="F412" s="2" t="str">
        <f>IFERROR(__xludf.DUMMYFUNCTION("""COMPUTED_VALUE"""),"Infraestructura")</f>
        <v>Infraestructura</v>
      </c>
      <c r="G412" s="2" t="str">
        <f>IFERROR(__xludf.DUMMYFUNCTION("""COMPUTED_VALUE"""),"Finalizada")</f>
        <v>Finalizada</v>
      </c>
      <c r="H412" s="4">
        <v>8213237.0</v>
      </c>
      <c r="I412" s="4">
        <v>0.0</v>
      </c>
      <c r="J412" s="4">
        <v>50470.0</v>
      </c>
      <c r="K412" s="4">
        <v>605662.0</v>
      </c>
      <c r="L412" s="5">
        <v>4.08729951689226</v>
      </c>
      <c r="M412" s="5">
        <v>13.560759961826893</v>
      </c>
      <c r="N412" s="4">
        <v>376677.0</v>
      </c>
      <c r="O412" s="4">
        <v>372667.0</v>
      </c>
      <c r="P412" s="4">
        <v>133937.0</v>
      </c>
      <c r="Q412" s="4">
        <v>5297.0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6" t="s">
        <v>96</v>
      </c>
      <c r="AE412" s="6" t="s">
        <v>9</v>
      </c>
    </row>
    <row r="413" ht="16.5" customHeight="1">
      <c r="A413" s="2" t="str">
        <f>IFERROR(__xludf.DUMMYFUNCTION("""COMPUTED_VALUE"""),"2853-ABRINFGC")</f>
        <v>2853-ABRINFGC</v>
      </c>
      <c r="B413" s="2" t="str">
        <f>IFERROR(__xludf.DUMMYFUNCTION("""COMPUTED_VALUE"""),"Infraestructura I Corte AU Illia por obras")</f>
        <v>Infraestructura I Corte AU Illia por obras</v>
      </c>
      <c r="C413" s="3">
        <f>IFERROR(__xludf.DUMMYFUNCTION("""COMPUTED_VALUE"""),46125.0)</f>
        <v>46125</v>
      </c>
      <c r="D413" s="3">
        <f>IFERROR(__xludf.DUMMYFUNCTION("""COMPUTED_VALUE"""),46126.0)</f>
        <v>46126</v>
      </c>
      <c r="E413" s="2" t="str">
        <f>IFERROR(__xludf.DUMMYFUNCTION("""COMPUTED_VALUE"""),"Movilidad")</f>
        <v>Movilidad</v>
      </c>
      <c r="F413" s="2" t="str">
        <f>IFERROR(__xludf.DUMMYFUNCTION("""COMPUTED_VALUE"""),"Infraestructura")</f>
        <v>Infraestructura</v>
      </c>
      <c r="G413" s="2" t="str">
        <f>IFERROR(__xludf.DUMMYFUNCTION("""COMPUTED_VALUE"""),"Finalizada")</f>
        <v>Finalizada</v>
      </c>
      <c r="H413" s="4">
        <v>442197.0</v>
      </c>
      <c r="I413" s="4">
        <v>0.0</v>
      </c>
      <c r="J413" s="4">
        <v>693.0</v>
      </c>
      <c r="K413" s="4">
        <v>358995.0</v>
      </c>
      <c r="L413" s="5">
        <v>1.2317636735887687</v>
      </c>
      <c r="M413" s="5">
        <v>1.2317636735887687</v>
      </c>
      <c r="N413" s="4">
        <v>174291.0</v>
      </c>
      <c r="O413" s="4">
        <v>172584.0</v>
      </c>
      <c r="P413" s="4">
        <v>68787.0</v>
      </c>
      <c r="Q413" s="4">
        <v>609.0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6" t="s">
        <v>97</v>
      </c>
      <c r="AE413" s="6" t="s">
        <v>9</v>
      </c>
    </row>
    <row r="414" ht="16.5" customHeight="1">
      <c r="A414" s="2" t="str">
        <f>IFERROR(__xludf.DUMMYFUNCTION("""COMPUTED_VALUE"""),"2854-ABRINFGC")</f>
        <v>2854-ABRINFGC</v>
      </c>
      <c r="B414" s="2" t="str">
        <f>IFERROR(__xludf.DUMMYFUNCTION("""COMPUTED_VALUE"""),"Infraestructura I Cortes AU La Plata - Buenos Aires")</f>
        <v>Infraestructura I Cortes AU La Plata - Buenos Aires</v>
      </c>
      <c r="C414" s="3">
        <f>IFERROR(__xludf.DUMMYFUNCTION("""COMPUTED_VALUE"""),46126.0)</f>
        <v>46126</v>
      </c>
      <c r="D414" s="3">
        <f>IFERROR(__xludf.DUMMYFUNCTION("""COMPUTED_VALUE"""),46129.0)</f>
        <v>46129</v>
      </c>
      <c r="E414" s="2" t="str">
        <f>IFERROR(__xludf.DUMMYFUNCTION("""COMPUTED_VALUE"""),"Movilidad")</f>
        <v>Movilidad</v>
      </c>
      <c r="F414" s="2" t="str">
        <f>IFERROR(__xludf.DUMMYFUNCTION("""COMPUTED_VALUE"""),"Infraestructura")</f>
        <v>Infraestructura</v>
      </c>
      <c r="G414" s="2" t="str">
        <f>IFERROR(__xludf.DUMMYFUNCTION("""COMPUTED_VALUE"""),"Finalizada")</f>
        <v>Finalizada</v>
      </c>
      <c r="H414" s="4">
        <v>36818.0</v>
      </c>
      <c r="I414" s="4">
        <v>0.0</v>
      </c>
      <c r="J414" s="4">
        <v>280.0</v>
      </c>
      <c r="K414" s="4">
        <v>33010.0</v>
      </c>
      <c r="L414" s="5">
        <v>1.1153589821266283</v>
      </c>
      <c r="M414" s="5">
        <v>1.1153589821266283</v>
      </c>
      <c r="N414" s="4">
        <v>66292.0</v>
      </c>
      <c r="O414" s="4">
        <v>65412.0</v>
      </c>
      <c r="P414" s="4">
        <v>19048.0</v>
      </c>
      <c r="Q414" s="4">
        <v>80.0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6" t="s">
        <v>98</v>
      </c>
      <c r="AE414" s="6" t="s">
        <v>9</v>
      </c>
    </row>
    <row r="415" ht="16.5" customHeight="1">
      <c r="A415" s="2" t="str">
        <f>IFERROR(__xludf.DUMMYFUNCTION("""COMPUTED_VALUE"""),"2855-ABRJDGAG")</f>
        <v>2855-ABRJDGAG</v>
      </c>
      <c r="B415" s="2" t="str">
        <f>IFERROR(__xludf.DUMMYFUNCTION("""COMPUTED_VALUE"""),"Campaña JM | Prioridad porteña: mail")</f>
        <v>Campaña JM | Prioridad porteña: mail</v>
      </c>
      <c r="C415" s="3">
        <f>IFERROR(__xludf.DUMMYFUNCTION("""COMPUTED_VALUE"""),46127.0)</f>
        <v>46127</v>
      </c>
      <c r="D415" s="3">
        <f>IFERROR(__xludf.DUMMYFUNCTION("""COMPUTED_VALUE"""),46136.0)</f>
        <v>46136</v>
      </c>
      <c r="E415" s="2" t="str">
        <f>IFERROR(__xludf.DUMMYFUNCTION("""COMPUTED_VALUE"""),"Cercanía")</f>
        <v>Cercanía</v>
      </c>
      <c r="F415" s="2" t="str">
        <f>IFERROR(__xludf.DUMMYFUNCTION("""COMPUTED_VALUE"""),"Jefatura de Gobierno")</f>
        <v>Jefatura de Gobierno</v>
      </c>
      <c r="G415" s="2" t="str">
        <f>IFERROR(__xludf.DUMMYFUNCTION("""COMPUTED_VALUE"""),"Finalizada")</f>
        <v>Finalizada</v>
      </c>
      <c r="H415" s="4">
        <v>0.0</v>
      </c>
      <c r="I415" s="4">
        <v>0.0</v>
      </c>
      <c r="J415" s="4">
        <v>0.0</v>
      </c>
      <c r="K415" s="4">
        <v>0.0</v>
      </c>
      <c r="L415" s="5">
        <v>0.0</v>
      </c>
      <c r="M415" s="5">
        <v>0.0</v>
      </c>
      <c r="N415" s="4">
        <v>555135.0</v>
      </c>
      <c r="O415" s="4">
        <v>549568.0</v>
      </c>
      <c r="P415" s="4">
        <v>116240.0</v>
      </c>
      <c r="Q415" s="4">
        <v>951.0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 t="s">
        <v>8</v>
      </c>
      <c r="AE415" s="6" t="s">
        <v>9</v>
      </c>
    </row>
    <row r="416" ht="16.5" customHeight="1">
      <c r="A416" s="2" t="str">
        <f>IFERROR(__xludf.DUMMYFUNCTION("""COMPUTED_VALUE"""),"2856-ABRPCCVC")</f>
        <v>2856-ABRPCCVC</v>
      </c>
      <c r="B416" s="2" t="str">
        <f>IFERROR(__xludf.DUMMYFUNCTION("""COMPUTED_VALUE"""),"Día Mundia del la Salud Post")</f>
        <v>Día Mundia del la Salud Post</v>
      </c>
      <c r="C416" s="3">
        <f>IFERROR(__xludf.DUMMYFUNCTION("""COMPUTED_VALUE"""),46126.0)</f>
        <v>46126</v>
      </c>
      <c r="D416" s="3">
        <f>IFERROR(__xludf.DUMMYFUNCTION("""COMPUTED_VALUE"""),46136.0)</f>
        <v>46136</v>
      </c>
      <c r="E416" s="2" t="str">
        <f>IFERROR(__xludf.DUMMYFUNCTION("""COMPUTED_VALUE"""),"Cercanía")</f>
        <v>Cercanía</v>
      </c>
      <c r="F416" s="2" t="str">
        <f>IFERROR(__xludf.DUMMYFUNCTION("""COMPUTED_VALUE"""),"Cercanía y PC")</f>
        <v>Cercanía y PC</v>
      </c>
      <c r="G416" s="2" t="str">
        <f>IFERROR(__xludf.DUMMYFUNCTION("""COMPUTED_VALUE"""),"Finalizada")</f>
        <v>Finalizada</v>
      </c>
      <c r="H416" s="4">
        <v>530211.0</v>
      </c>
      <c r="I416" s="4">
        <v>0.0</v>
      </c>
      <c r="J416" s="4">
        <v>7.0</v>
      </c>
      <c r="K416" s="4">
        <v>348156.0</v>
      </c>
      <c r="L416" s="5">
        <v>1.5229121428325234</v>
      </c>
      <c r="M416" s="5">
        <v>1.5229121428325234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6" t="s">
        <v>99</v>
      </c>
      <c r="AE416" s="4" t="s">
        <v>8</v>
      </c>
    </row>
    <row r="417" ht="16.5" customHeight="1">
      <c r="A417" s="2" t="str">
        <f>IFERROR(__xludf.DUMMYFUNCTION("""COMPUTED_VALUE"""),"2857-ABRVINVC")</f>
        <v>2857-ABRVINVC</v>
      </c>
      <c r="B417" s="2" t="str">
        <f>IFERROR(__xludf.DUMMYFUNCTION("""COMPUTED_VALUE"""),"CAMPAÑA GCBA | VINCULO CIUDADANO | Mas servicios en tu barrio 2026: Almagro 20/4")</f>
        <v>CAMPAÑA GCBA | VINCULO CIUDADANO | Mas servicios en tu barrio 2026: Almagro 20/4</v>
      </c>
      <c r="C417" s="3">
        <f>IFERROR(__xludf.DUMMYFUNCTION("""COMPUTED_VALUE"""),46140.0)</f>
        <v>46140</v>
      </c>
      <c r="D417" s="3">
        <f>IFERROR(__xludf.DUMMYFUNCTION("""COMPUTED_VALUE"""),46140.0)</f>
        <v>46140</v>
      </c>
      <c r="E417" s="2" t="str">
        <f>IFERROR(__xludf.DUMMYFUNCTION("""COMPUTED_VALUE"""),"M2")</f>
        <v>M2</v>
      </c>
      <c r="F417" s="2" t="str">
        <f>IFERROR(__xludf.DUMMYFUNCTION("""COMPUTED_VALUE"""),"Vínculo Ciudadano")</f>
        <v>Vínculo Ciudadano</v>
      </c>
      <c r="G417" s="2" t="str">
        <f>IFERROR(__xludf.DUMMYFUNCTION("""COMPUTED_VALUE"""),"Finalizada")</f>
        <v>Finalizada</v>
      </c>
      <c r="H417" s="4">
        <v>0.0</v>
      </c>
      <c r="I417" s="4">
        <v>0.0</v>
      </c>
      <c r="J417" s="4">
        <v>0.0</v>
      </c>
      <c r="K417" s="4">
        <v>0.0</v>
      </c>
      <c r="L417" s="5">
        <v>0.0</v>
      </c>
      <c r="M417" s="5">
        <v>0.0</v>
      </c>
      <c r="N417" s="4">
        <v>27998.0</v>
      </c>
      <c r="O417" s="4">
        <v>27691.0</v>
      </c>
      <c r="P417" s="4">
        <v>10566.0</v>
      </c>
      <c r="Q417" s="4">
        <v>600.0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 t="s">
        <v>8</v>
      </c>
      <c r="AE417" s="6" t="s">
        <v>9</v>
      </c>
    </row>
    <row r="418" ht="16.5" customHeight="1">
      <c r="A418" s="2" t="str">
        <f>IFERROR(__xludf.DUMMYFUNCTION("""COMPUTED_VALUE"""),"2858-ABRVINVC")</f>
        <v>2858-ABRVINVC</v>
      </c>
      <c r="B418" s="2" t="str">
        <f>IFERROR(__xludf.DUMMYFUNCTION("""COMPUTED_VALUE"""),"CAMPAÑA GCBA | VINCULO CIUDADANO | Mas servicios en tu barrio 2026: Villa del Parque 21/4 y 22/4")</f>
        <v>CAMPAÑA GCBA | VINCULO CIUDADANO | Mas servicios en tu barrio 2026: Villa del Parque 21/4 y 22/4</v>
      </c>
      <c r="C418" s="3">
        <f>IFERROR(__xludf.DUMMYFUNCTION("""COMPUTED_VALUE"""),46127.0)</f>
        <v>46127</v>
      </c>
      <c r="D418" s="3">
        <f>IFERROR(__xludf.DUMMYFUNCTION("""COMPUTED_VALUE"""),46127.0)</f>
        <v>46127</v>
      </c>
      <c r="E418" s="2" t="str">
        <f>IFERROR(__xludf.DUMMYFUNCTION("""COMPUTED_VALUE"""),"M2")</f>
        <v>M2</v>
      </c>
      <c r="F418" s="2" t="str">
        <f>IFERROR(__xludf.DUMMYFUNCTION("""COMPUTED_VALUE"""),"Vínculo Ciudadano")</f>
        <v>Vínculo Ciudadano</v>
      </c>
      <c r="G418" s="2" t="str">
        <f>IFERROR(__xludf.DUMMYFUNCTION("""COMPUTED_VALUE"""),"Finalizada")</f>
        <v>Finalizada</v>
      </c>
      <c r="H418" s="4">
        <v>0.0</v>
      </c>
      <c r="I418" s="4">
        <v>0.0</v>
      </c>
      <c r="J418" s="4">
        <v>0.0</v>
      </c>
      <c r="K418" s="4">
        <v>0.0</v>
      </c>
      <c r="L418" s="5">
        <v>0.0</v>
      </c>
      <c r="M418" s="5">
        <v>0.0</v>
      </c>
      <c r="N418" s="4">
        <v>18712.0</v>
      </c>
      <c r="O418" s="4">
        <v>18529.0</v>
      </c>
      <c r="P418" s="4">
        <v>7301.0</v>
      </c>
      <c r="Q418" s="4">
        <v>320.0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0.0</v>
      </c>
      <c r="AB418" s="4">
        <v>0.0</v>
      </c>
      <c r="AC418" s="4">
        <v>0.0</v>
      </c>
      <c r="AD418" s="4" t="s">
        <v>8</v>
      </c>
      <c r="AE418" s="6" t="s">
        <v>9</v>
      </c>
    </row>
    <row r="419" ht="16.5" customHeight="1">
      <c r="A419" s="2" t="str">
        <f>IFERROR(__xludf.DUMMYFUNCTION("""COMPUTED_VALUE"""),"2859-ABRVINVC")</f>
        <v>2859-ABRVINVC</v>
      </c>
      <c r="B419" s="2" t="str">
        <f>IFERROR(__xludf.DUMMYFUNCTION("""COMPUTED_VALUE"""),"CAMPAÑA GCBA | VINCULO CIUDADANO | Mas servicios en tu barrio 2026: Colegiales 23/4")</f>
        <v>CAMPAÑA GCBA | VINCULO CIUDADANO | Mas servicios en tu barrio 2026: Colegiales 23/4</v>
      </c>
      <c r="C419" s="3">
        <f>IFERROR(__xludf.DUMMYFUNCTION("""COMPUTED_VALUE"""),46133.0)</f>
        <v>46133</v>
      </c>
      <c r="D419" s="3">
        <f>IFERROR(__xludf.DUMMYFUNCTION("""COMPUTED_VALUE"""),46133.0)</f>
        <v>46133</v>
      </c>
      <c r="E419" s="2" t="str">
        <f>IFERROR(__xludf.DUMMYFUNCTION("""COMPUTED_VALUE"""),"M2")</f>
        <v>M2</v>
      </c>
      <c r="F419" s="2" t="str">
        <f>IFERROR(__xludf.DUMMYFUNCTION("""COMPUTED_VALUE"""),"Vínculo Ciudadano")</f>
        <v>Vínculo Ciudadano</v>
      </c>
      <c r="G419" s="2" t="str">
        <f>IFERROR(__xludf.DUMMYFUNCTION("""COMPUTED_VALUE"""),"Finalizada")</f>
        <v>Finalizada</v>
      </c>
      <c r="H419" s="4">
        <v>0.0</v>
      </c>
      <c r="I419" s="4">
        <v>0.0</v>
      </c>
      <c r="J419" s="4">
        <v>0.0</v>
      </c>
      <c r="K419" s="4">
        <v>0.0</v>
      </c>
      <c r="L419" s="5">
        <v>0.0</v>
      </c>
      <c r="M419" s="5">
        <v>0.0</v>
      </c>
      <c r="N419" s="4">
        <v>15439.0</v>
      </c>
      <c r="O419" s="4">
        <v>15246.0</v>
      </c>
      <c r="P419" s="4">
        <v>6124.0</v>
      </c>
      <c r="Q419" s="4">
        <v>312.0</v>
      </c>
      <c r="R419" s="4">
        <v>0.0</v>
      </c>
      <c r="S419" s="4">
        <v>0.0</v>
      </c>
      <c r="T419" s="4">
        <v>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0.0</v>
      </c>
      <c r="AB419" s="4">
        <v>0.0</v>
      </c>
      <c r="AC419" s="4">
        <v>0.0</v>
      </c>
      <c r="AD419" s="4" t="s">
        <v>8</v>
      </c>
      <c r="AE419" s="6" t="s">
        <v>9</v>
      </c>
    </row>
    <row r="420" ht="16.5" customHeight="1">
      <c r="A420" s="2" t="str">
        <f>IFERROR(__xludf.DUMMYFUNCTION("""COMPUTED_VALUE"""),"2860-ABRVINVC")</f>
        <v>2860-ABRVINVC</v>
      </c>
      <c r="B420" s="2" t="str">
        <f>IFERROR(__xludf.DUMMYFUNCTION("""COMPUTED_VALUE"""),"CAMPAÑA GCBA | VINCULO CIUDADANO | Mas servicios en tu barrio 2026: Montserrat 24/4")</f>
        <v>CAMPAÑA GCBA | VINCULO CIUDADANO | Mas servicios en tu barrio 2026: Montserrat 24/4</v>
      </c>
      <c r="C420" s="3">
        <f>IFERROR(__xludf.DUMMYFUNCTION("""COMPUTED_VALUE"""),46133.0)</f>
        <v>46133</v>
      </c>
      <c r="D420" s="3">
        <f>IFERROR(__xludf.DUMMYFUNCTION("""COMPUTED_VALUE"""),46133.0)</f>
        <v>46133</v>
      </c>
      <c r="E420" s="2" t="str">
        <f>IFERROR(__xludf.DUMMYFUNCTION("""COMPUTED_VALUE"""),"M2")</f>
        <v>M2</v>
      </c>
      <c r="F420" s="2" t="str">
        <f>IFERROR(__xludf.DUMMYFUNCTION("""COMPUTED_VALUE"""),"Vínculo Ciudadano")</f>
        <v>Vínculo Ciudadano</v>
      </c>
      <c r="G420" s="2" t="str">
        <f>IFERROR(__xludf.DUMMYFUNCTION("""COMPUTED_VALUE"""),"Finalizada")</f>
        <v>Finalizada</v>
      </c>
      <c r="H420" s="4">
        <v>0.0</v>
      </c>
      <c r="I420" s="4">
        <v>0.0</v>
      </c>
      <c r="J420" s="4">
        <v>0.0</v>
      </c>
      <c r="K420" s="4">
        <v>0.0</v>
      </c>
      <c r="L420" s="5">
        <v>0.0</v>
      </c>
      <c r="M420" s="5">
        <v>0.0</v>
      </c>
      <c r="N420" s="4">
        <v>20581.0</v>
      </c>
      <c r="O420" s="4">
        <v>20300.0</v>
      </c>
      <c r="P420" s="4">
        <v>6563.0</v>
      </c>
      <c r="Q420" s="4">
        <v>286.0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0.0</v>
      </c>
      <c r="AB420" s="4">
        <v>0.0</v>
      </c>
      <c r="AC420" s="4">
        <v>0.0</v>
      </c>
      <c r="AD420" s="4" t="s">
        <v>8</v>
      </c>
      <c r="AE420" s="6" t="s">
        <v>9</v>
      </c>
    </row>
    <row r="421" ht="16.5" customHeight="1">
      <c r="A421" s="2" t="str">
        <f>IFERROR(__xludf.DUMMYFUNCTION("""COMPUTED_VALUE"""),"2861-ABRVINVC")</f>
        <v>2861-ABRVINVC</v>
      </c>
      <c r="B421" s="2" t="str">
        <f>IFERROR(__xludf.DUMMYFUNCTION("""COMPUTED_VALUE"""),"CAMPAÑA GCBA | VINCULO CIUDADANO | Mas servicios en tu barrio 2026: Palermo 25/4")</f>
        <v>CAMPAÑA GCBA | VINCULO CIUDADANO | Mas servicios en tu barrio 2026: Palermo 25/4</v>
      </c>
      <c r="C421" s="3">
        <f>IFERROR(__xludf.DUMMYFUNCTION("""COMPUTED_VALUE"""),46134.0)</f>
        <v>46134</v>
      </c>
      <c r="D421" s="3">
        <f>IFERROR(__xludf.DUMMYFUNCTION("""COMPUTED_VALUE"""),46134.0)</f>
        <v>46134</v>
      </c>
      <c r="E421" s="2" t="str">
        <f>IFERROR(__xludf.DUMMYFUNCTION("""COMPUTED_VALUE"""),"M2")</f>
        <v>M2</v>
      </c>
      <c r="F421" s="2" t="str">
        <f>IFERROR(__xludf.DUMMYFUNCTION("""COMPUTED_VALUE"""),"Vínculo Ciudadano")</f>
        <v>Vínculo Ciudadano</v>
      </c>
      <c r="G421" s="2" t="str">
        <f>IFERROR(__xludf.DUMMYFUNCTION("""COMPUTED_VALUE"""),"Finalizada")</f>
        <v>Finalizada</v>
      </c>
      <c r="H421" s="4">
        <v>0.0</v>
      </c>
      <c r="I421" s="4">
        <v>0.0</v>
      </c>
      <c r="J421" s="4">
        <v>0.0</v>
      </c>
      <c r="K421" s="4">
        <v>0.0</v>
      </c>
      <c r="L421" s="5">
        <v>0.0</v>
      </c>
      <c r="M421" s="5">
        <v>0.0</v>
      </c>
      <c r="N421" s="4">
        <v>38642.0</v>
      </c>
      <c r="O421" s="4">
        <v>38226.0</v>
      </c>
      <c r="P421" s="4">
        <v>16014.0</v>
      </c>
      <c r="Q421" s="4">
        <v>471.0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>
        <v>0.0</v>
      </c>
      <c r="AD421" s="4" t="s">
        <v>8</v>
      </c>
      <c r="AE421" s="6" t="s">
        <v>9</v>
      </c>
    </row>
    <row r="422" ht="16.5" customHeight="1">
      <c r="A422" s="2" t="str">
        <f>IFERROR(__xludf.DUMMYFUNCTION("""COMPUTED_VALUE"""),"2862-ABRSALGC")</f>
        <v>2862-ABRSALGC</v>
      </c>
      <c r="B422" s="2" t="str">
        <f>IFERROR(__xludf.DUMMYFUNCTION("""COMPUTED_VALUE"""),"Casa de Medio Camino Ruíz Díaz Guzmán")</f>
        <v>Casa de Medio Camino Ruíz Díaz Guzmán</v>
      </c>
      <c r="C422" s="3">
        <f>IFERROR(__xludf.DUMMYFUNCTION("""COMPUTED_VALUE"""),46164.0)</f>
        <v>46164</v>
      </c>
      <c r="D422" s="3">
        <f>IFERROR(__xludf.DUMMYFUNCTION("""COMPUTED_VALUE"""),46178.0)</f>
        <v>46178</v>
      </c>
      <c r="E422" s="2" t="str">
        <f>IFERROR(__xludf.DUMMYFUNCTION("""COMPUTED_VALUE"""),"Cuidado")</f>
        <v>Cuidado</v>
      </c>
      <c r="F422" s="2" t="str">
        <f>IFERROR(__xludf.DUMMYFUNCTION("""COMPUTED_VALUE"""),"Salud")</f>
        <v>Salud</v>
      </c>
      <c r="G422" s="2" t="str">
        <f>IFERROR(__xludf.DUMMYFUNCTION("""COMPUTED_VALUE"""),"Finalizada")</f>
        <v>Finalizada</v>
      </c>
      <c r="H422" s="4">
        <v>6927563.0</v>
      </c>
      <c r="I422" s="4">
        <v>0.0</v>
      </c>
      <c r="J422" s="4">
        <v>17776.0</v>
      </c>
      <c r="K422" s="4">
        <v>0.0</v>
      </c>
      <c r="L422" s="5">
        <v>0.0</v>
      </c>
      <c r="M422" s="5">
        <v>0.0</v>
      </c>
      <c r="N422" s="4">
        <v>75081.0</v>
      </c>
      <c r="O422" s="4">
        <v>73963.0</v>
      </c>
      <c r="P422" s="4">
        <v>26847.0</v>
      </c>
      <c r="Q422" s="4">
        <v>2079.0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0.0</v>
      </c>
      <c r="AC422" s="4">
        <v>0.0</v>
      </c>
      <c r="AD422" s="4" t="s">
        <v>8</v>
      </c>
      <c r="AE422" s="6" t="s">
        <v>9</v>
      </c>
    </row>
    <row r="423" ht="16.5" customHeight="1">
      <c r="A423" s="2" t="str">
        <f>IFERROR(__xludf.DUMMYFUNCTION("""COMPUTED_VALUE"""),"2863-ABRSALGC")</f>
        <v>2863-ABRSALGC</v>
      </c>
      <c r="B423" s="2" t="str">
        <f>IFERROR(__xludf.DUMMYFUNCTION("""COMPUTED_VALUE"""),"CESAC 40 - Fin de obra")</f>
        <v>CESAC 40 - Fin de obra</v>
      </c>
      <c r="C423" s="3">
        <f>IFERROR(__xludf.DUMMYFUNCTION("""COMPUTED_VALUE"""),46133.0)</f>
        <v>46133</v>
      </c>
      <c r="D423" s="3">
        <f>IFERROR(__xludf.DUMMYFUNCTION("""COMPUTED_VALUE"""),46147.0)</f>
        <v>46147</v>
      </c>
      <c r="E423" s="2" t="str">
        <f>IFERROR(__xludf.DUMMYFUNCTION("""COMPUTED_VALUE"""),"Cuidado")</f>
        <v>Cuidado</v>
      </c>
      <c r="F423" s="2" t="str">
        <f>IFERROR(__xludf.DUMMYFUNCTION("""COMPUTED_VALUE"""),"Salud")</f>
        <v>Salud</v>
      </c>
      <c r="G423" s="2" t="str">
        <f>IFERROR(__xludf.DUMMYFUNCTION("""COMPUTED_VALUE"""),"Finalizada")</f>
        <v>Finalizada</v>
      </c>
      <c r="H423" s="4">
        <v>7500848.0</v>
      </c>
      <c r="I423" s="4">
        <v>0.0</v>
      </c>
      <c r="J423" s="4">
        <v>27160.0</v>
      </c>
      <c r="K423" s="4">
        <v>482780.0</v>
      </c>
      <c r="L423" s="5">
        <v>3.360215833298811</v>
      </c>
      <c r="M423" s="5">
        <v>15.536782799618875</v>
      </c>
      <c r="N423" s="4">
        <v>65563.0</v>
      </c>
      <c r="O423" s="4">
        <v>64733.0</v>
      </c>
      <c r="P423" s="4">
        <v>20682.0</v>
      </c>
      <c r="Q423" s="4">
        <v>1422.0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0.0</v>
      </c>
      <c r="AB423" s="4">
        <v>0.0</v>
      </c>
      <c r="AC423" s="4">
        <v>0.0</v>
      </c>
      <c r="AD423" s="6" t="s">
        <v>100</v>
      </c>
      <c r="AE423" s="6" t="s">
        <v>9</v>
      </c>
    </row>
    <row r="424" ht="16.5" customHeight="1">
      <c r="A424" s="2" t="str">
        <f>IFERROR(__xludf.DUMMYFUNCTION("""COMPUTED_VALUE"""),"2864-ABRINFGC")</f>
        <v>2864-ABRINFGC</v>
      </c>
      <c r="B424" s="2" t="str">
        <f>IFERROR(__xludf.DUMMYFUNCTION("""COMPUTED_VALUE"""),"DGPLES | Infraestructura | Medidas de seguridad en EcoBici")</f>
        <v>DGPLES | Infraestructura | Medidas de seguridad en EcoBici</v>
      </c>
      <c r="C424" s="3">
        <f>IFERROR(__xludf.DUMMYFUNCTION("""COMPUTED_VALUE"""),46140.0)</f>
        <v>46140</v>
      </c>
      <c r="D424" s="3">
        <f>IFERROR(__xludf.DUMMYFUNCTION("""COMPUTED_VALUE"""),46140.0)</f>
        <v>46140</v>
      </c>
      <c r="E424" s="2" t="str">
        <f>IFERROR(__xludf.DUMMYFUNCTION("""COMPUTED_VALUE"""),"Movilidad")</f>
        <v>Movilidad</v>
      </c>
      <c r="F424" s="2" t="str">
        <f>IFERROR(__xludf.DUMMYFUNCTION("""COMPUTED_VALUE"""),"Infraestructura")</f>
        <v>Infraestructura</v>
      </c>
      <c r="G424" s="2" t="str">
        <f>IFERROR(__xludf.DUMMYFUNCTION("""COMPUTED_VALUE"""),"Finalizada")</f>
        <v>Finalizada</v>
      </c>
      <c r="H424" s="4">
        <v>0.0</v>
      </c>
      <c r="I424" s="4">
        <v>0.0</v>
      </c>
      <c r="J424" s="4">
        <v>0.0</v>
      </c>
      <c r="K424" s="4">
        <v>0.0</v>
      </c>
      <c r="L424" s="5">
        <v>0.0</v>
      </c>
      <c r="M424" s="5">
        <v>0.0</v>
      </c>
      <c r="N424" s="4">
        <v>229248.0</v>
      </c>
      <c r="O424" s="4">
        <v>228497.0</v>
      </c>
      <c r="P424" s="4">
        <v>43082.0</v>
      </c>
      <c r="Q424" s="4">
        <v>434.0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 t="s">
        <v>8</v>
      </c>
      <c r="AE424" s="6" t="s">
        <v>9</v>
      </c>
    </row>
    <row r="425" ht="16.5" customHeight="1">
      <c r="A425" s="2" t="str">
        <f>IFERROR(__xludf.DUMMYFUNCTION("""COMPUTED_VALUE"""),"2865-ABRINFGC")</f>
        <v>2865-ABRINFGC</v>
      </c>
      <c r="B425" s="2" t="str">
        <f>IFERROR(__xludf.DUMMYFUNCTION("""COMPUTED_VALUE"""),"Infraestructura | Cortes y desvíos por show de Ricky Martin")</f>
        <v>Infraestructura | Cortes y desvíos por show de Ricky Martin</v>
      </c>
      <c r="C425" s="3">
        <f>IFERROR(__xludf.DUMMYFUNCTION("""COMPUTED_VALUE"""),46126.0)</f>
        <v>46126</v>
      </c>
      <c r="D425" s="3">
        <f>IFERROR(__xludf.DUMMYFUNCTION("""COMPUTED_VALUE"""),46130.0)</f>
        <v>46130</v>
      </c>
      <c r="E425" s="2" t="str">
        <f>IFERROR(__xludf.DUMMYFUNCTION("""COMPUTED_VALUE"""),"Movilidad")</f>
        <v>Movilidad</v>
      </c>
      <c r="F425" s="2" t="str">
        <f>IFERROR(__xludf.DUMMYFUNCTION("""COMPUTED_VALUE"""),"Infraestructura")</f>
        <v>Infraestructura</v>
      </c>
      <c r="G425" s="2" t="str">
        <f>IFERROR(__xludf.DUMMYFUNCTION("""COMPUTED_VALUE"""),"Finalizada")</f>
        <v>Finalizada</v>
      </c>
      <c r="H425" s="4">
        <v>529484.0</v>
      </c>
      <c r="I425" s="4">
        <v>0.0</v>
      </c>
      <c r="J425" s="4">
        <v>929.0</v>
      </c>
      <c r="K425" s="4">
        <v>349621.0</v>
      </c>
      <c r="L425" s="5">
        <v>1.5144513630474141</v>
      </c>
      <c r="M425" s="5">
        <v>1.5144513630474141</v>
      </c>
      <c r="N425" s="4">
        <v>124025.0</v>
      </c>
      <c r="O425" s="4">
        <v>122808.0</v>
      </c>
      <c r="P425" s="4">
        <v>50903.0</v>
      </c>
      <c r="Q425" s="4">
        <v>333.0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6" t="s">
        <v>101</v>
      </c>
      <c r="AE425" s="6" t="s">
        <v>9</v>
      </c>
    </row>
    <row r="426" ht="16.5" customHeight="1">
      <c r="A426" s="2" t="str">
        <f>IFERROR(__xludf.DUMMYFUNCTION("""COMPUTED_VALUE"""),"2866-ABRAMBVC")</f>
        <v>2866-ABRAMBVC</v>
      </c>
      <c r="B426" s="2" t="str">
        <f>IFERROR(__xludf.DUMMYFUNCTION("""COMPUTED_VALUE"""),"RDV Ministros | Clara Muzzio - 17/4  - Temática")</f>
        <v>RDV Ministros | Clara Muzzio - 17/4  - Temática</v>
      </c>
      <c r="C426" s="3">
        <f>IFERROR(__xludf.DUMMYFUNCTION("""COMPUTED_VALUE"""),46126.0)</f>
        <v>46126</v>
      </c>
      <c r="D426" s="3">
        <f>IFERROR(__xludf.DUMMYFUNCTION("""COMPUTED_VALUE"""),46129.0)</f>
        <v>46129</v>
      </c>
      <c r="E426" s="2" t="str">
        <f>IFERROR(__xludf.DUMMYFUNCTION("""COMPUTED_VALUE"""),"Cercanía")</f>
        <v>Cercanía</v>
      </c>
      <c r="F426" s="2" t="str">
        <f>IFERROR(__xludf.DUMMYFUNCTION("""COMPUTED_VALUE"""),"Vicejefatura (Ambiente)")</f>
        <v>Vicejefatura (Ambiente)</v>
      </c>
      <c r="G426" s="2" t="str">
        <f>IFERROR(__xludf.DUMMYFUNCTION("""COMPUTED_VALUE"""),"Finalizada")</f>
        <v>Finalizada</v>
      </c>
      <c r="H426" s="4">
        <v>1023937.0</v>
      </c>
      <c r="I426" s="4">
        <v>0.0</v>
      </c>
      <c r="J426" s="4">
        <v>1306.0</v>
      </c>
      <c r="K426" s="4">
        <v>245180.0</v>
      </c>
      <c r="L426" s="5">
        <v>4.176266416510319</v>
      </c>
      <c r="M426" s="5">
        <v>4.176266416510319</v>
      </c>
      <c r="N426" s="4">
        <v>3435.0</v>
      </c>
      <c r="O426" s="4">
        <v>3399.0</v>
      </c>
      <c r="P426" s="4">
        <v>818.0</v>
      </c>
      <c r="Q426" s="4">
        <v>25.0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6" t="s">
        <v>102</v>
      </c>
      <c r="AE426" s="6" t="s">
        <v>9</v>
      </c>
    </row>
    <row r="427" ht="16.5" customHeight="1">
      <c r="A427" s="2" t="str">
        <f>IFERROR(__xludf.DUMMYFUNCTION("""COMPUTED_VALUE"""),"2867-ABRINFGC")</f>
        <v>2867-ABRINFGC</v>
      </c>
      <c r="B427" s="2" t="str">
        <f>IFERROR(__xludf.DUMMYFUNCTION("""COMPUTED_VALUE"""),"DGPLES | Infraestructura | Cortes en Ferro por show de Las Pastillas del Abuelo")</f>
        <v>DGPLES | Infraestructura | Cortes en Ferro por show de Las Pastillas del Abuelo</v>
      </c>
      <c r="C427" s="3">
        <f>IFERROR(__xludf.DUMMYFUNCTION("""COMPUTED_VALUE"""),46127.0)</f>
        <v>46127</v>
      </c>
      <c r="D427" s="3">
        <f>IFERROR(__xludf.DUMMYFUNCTION("""COMPUTED_VALUE"""),46131.0)</f>
        <v>46131</v>
      </c>
      <c r="E427" s="2" t="str">
        <f>IFERROR(__xludf.DUMMYFUNCTION("""COMPUTED_VALUE"""),"Movilidad")</f>
        <v>Movilidad</v>
      </c>
      <c r="F427" s="2" t="str">
        <f>IFERROR(__xludf.DUMMYFUNCTION("""COMPUTED_VALUE"""),"Infraestructura")</f>
        <v>Infraestructura</v>
      </c>
      <c r="G427" s="2" t="str">
        <f>IFERROR(__xludf.DUMMYFUNCTION("""COMPUTED_VALUE"""),"Finalizada")</f>
        <v>Finalizada</v>
      </c>
      <c r="H427" s="4">
        <v>80270.0</v>
      </c>
      <c r="I427" s="4">
        <v>0.0</v>
      </c>
      <c r="J427" s="4">
        <v>1704.0</v>
      </c>
      <c r="K427" s="4">
        <v>54520.0</v>
      </c>
      <c r="L427" s="5">
        <v>1.4723037417461482</v>
      </c>
      <c r="M427" s="5">
        <v>1.4723037417461482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6" t="s">
        <v>103</v>
      </c>
      <c r="AE427" s="4" t="s">
        <v>8</v>
      </c>
    </row>
    <row r="428" ht="16.5" customHeight="1">
      <c r="A428" s="2" t="str">
        <f>IFERROR(__xludf.DUMMYFUNCTION("""COMPUTED_VALUE"""),"2868-ABRFESGC")</f>
        <v>2868-ABRFESGC</v>
      </c>
      <c r="B428" s="2" t="str">
        <f>IFERROR(__xludf.DUMMYFUNCTION("""COMPUTED_VALUE"""),"Retiro Abierto | Edición Galerias")</f>
        <v>Retiro Abierto | Edición Galerias</v>
      </c>
      <c r="C428" s="3">
        <f>IFERROR(__xludf.DUMMYFUNCTION("""COMPUTED_VALUE"""),46133.0)</f>
        <v>46133</v>
      </c>
      <c r="D428" s="3">
        <f>IFERROR(__xludf.DUMMYFUNCTION("""COMPUTED_VALUE"""),46136.0)</f>
        <v>46136</v>
      </c>
      <c r="E428" s="2" t="str">
        <f>IFERROR(__xludf.DUMMYFUNCTION("""COMPUTED_VALUE"""),"Ciudad Atractiva")</f>
        <v>Ciudad Atractiva</v>
      </c>
      <c r="F428" s="2" t="str">
        <f>IFERROR(__xludf.DUMMYFUNCTION("""COMPUTED_VALUE"""),"Festivales y Eventos")</f>
        <v>Festivales y Eventos</v>
      </c>
      <c r="G428" s="2" t="str">
        <f>IFERROR(__xludf.DUMMYFUNCTION("""COMPUTED_VALUE"""),"Finalizada")</f>
        <v>Finalizada</v>
      </c>
      <c r="H428" s="4">
        <v>2406894.0</v>
      </c>
      <c r="I428" s="4">
        <v>651581.0</v>
      </c>
      <c r="J428" s="4">
        <v>1993.0</v>
      </c>
      <c r="K428" s="4">
        <v>419090.0</v>
      </c>
      <c r="L428" s="5">
        <v>1.3413109355985589</v>
      </c>
      <c r="M428" s="5">
        <v>5.743143477534659</v>
      </c>
      <c r="N428" s="4">
        <v>102712.0</v>
      </c>
      <c r="O428" s="4">
        <v>101476.0</v>
      </c>
      <c r="P428" s="4">
        <v>32001.0</v>
      </c>
      <c r="Q428" s="4">
        <v>3007.0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6" t="s">
        <v>104</v>
      </c>
      <c r="AE428" s="6" t="s">
        <v>9</v>
      </c>
    </row>
    <row r="429" ht="16.5" customHeight="1">
      <c r="A429" s="2" t="str">
        <f>IFERROR(__xludf.DUMMYFUNCTION("""COMPUTED_VALUE"""),"2870-ABRSALGC")</f>
        <v>2870-ABRSALGC</v>
      </c>
      <c r="B429" s="2" t="str">
        <f>IFERROR(__xludf.DUMMYFUNCTION("""COMPUTED_VALUE"""),"SIGEHOS - Mejoras y Correcciones en el RIS - Semana del 14/4")</f>
        <v>SIGEHOS - Mejoras y Correcciones en el RIS - Semana del 14/4</v>
      </c>
      <c r="C429" s="3">
        <f>IFERROR(__xludf.DUMMYFUNCTION("""COMPUTED_VALUE"""),46128.0)</f>
        <v>46128</v>
      </c>
      <c r="D429" s="3">
        <f>IFERROR(__xludf.DUMMYFUNCTION("""COMPUTED_VALUE"""),46128.0)</f>
        <v>46128</v>
      </c>
      <c r="E429" s="2" t="str">
        <f>IFERROR(__xludf.DUMMYFUNCTION("""COMPUTED_VALUE"""),"Cuidado")</f>
        <v>Cuidado</v>
      </c>
      <c r="F429" s="2" t="str">
        <f>IFERROR(__xludf.DUMMYFUNCTION("""COMPUTED_VALUE"""),"Salud")</f>
        <v>Salud</v>
      </c>
      <c r="G429" s="2" t="str">
        <f>IFERROR(__xludf.DUMMYFUNCTION("""COMPUTED_VALUE"""),"Finalizada")</f>
        <v>Finalizada</v>
      </c>
      <c r="H429" s="4">
        <v>0.0</v>
      </c>
      <c r="I429" s="4">
        <v>0.0</v>
      </c>
      <c r="J429" s="4">
        <v>0.0</v>
      </c>
      <c r="K429" s="4">
        <v>0.0</v>
      </c>
      <c r="L429" s="5">
        <v>0.0</v>
      </c>
      <c r="M429" s="5">
        <v>0.0</v>
      </c>
      <c r="N429" s="4">
        <v>497.0</v>
      </c>
      <c r="O429" s="4">
        <v>493.0</v>
      </c>
      <c r="P429" s="4">
        <v>182.0</v>
      </c>
      <c r="Q429" s="4">
        <v>37.0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 t="s">
        <v>8</v>
      </c>
      <c r="AE429" s="6" t="s">
        <v>9</v>
      </c>
    </row>
    <row r="430" ht="16.5" customHeight="1">
      <c r="A430" s="2" t="str">
        <f>IFERROR(__xludf.DUMMYFUNCTION("""COMPUTED_VALUE"""),"2871-ABRSALGC")</f>
        <v>2871-ABRSALGC</v>
      </c>
      <c r="B430" s="2" t="str">
        <f>IFERROR(__xludf.DUMMYFUNCTION("""COMPUTED_VALUE"""),"SIGEHOS - Nuestro Latido Organizacional - Refuerzo")</f>
        <v>SIGEHOS - Nuestro Latido Organizacional - Refuerzo</v>
      </c>
      <c r="C430" s="3">
        <f>IFERROR(__xludf.DUMMYFUNCTION("""COMPUTED_VALUE"""),46128.0)</f>
        <v>46128</v>
      </c>
      <c r="D430" s="3">
        <f>IFERROR(__xludf.DUMMYFUNCTION("""COMPUTED_VALUE"""),46128.0)</f>
        <v>46128</v>
      </c>
      <c r="E430" s="2" t="str">
        <f>IFERROR(__xludf.DUMMYFUNCTION("""COMPUTED_VALUE"""),"Cuidado")</f>
        <v>Cuidado</v>
      </c>
      <c r="F430" s="2" t="str">
        <f>IFERROR(__xludf.DUMMYFUNCTION("""COMPUTED_VALUE"""),"Salud")</f>
        <v>Salud</v>
      </c>
      <c r="G430" s="2" t="str">
        <f>IFERROR(__xludf.DUMMYFUNCTION("""COMPUTED_VALUE"""),"Finalizada")</f>
        <v>Finalizada</v>
      </c>
      <c r="H430" s="4">
        <v>0.0</v>
      </c>
      <c r="I430" s="4">
        <v>0.0</v>
      </c>
      <c r="J430" s="4">
        <v>0.0</v>
      </c>
      <c r="K430" s="4">
        <v>0.0</v>
      </c>
      <c r="L430" s="5">
        <v>0.0</v>
      </c>
      <c r="M430" s="5">
        <v>0.0</v>
      </c>
      <c r="N430" s="4">
        <v>6577.0</v>
      </c>
      <c r="O430" s="4">
        <v>6551.0</v>
      </c>
      <c r="P430" s="4">
        <v>1125.0</v>
      </c>
      <c r="Q430" s="4">
        <v>86.0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 t="s">
        <v>8</v>
      </c>
      <c r="AE430" s="6" t="s">
        <v>9</v>
      </c>
    </row>
    <row r="431" ht="16.5" customHeight="1">
      <c r="A431" s="2" t="str">
        <f>IFERROR(__xludf.DUMMYFUNCTION("""COMPUTED_VALUE"""),"2872-ABRINFGC")</f>
        <v>2872-ABRINFGC</v>
      </c>
      <c r="B431" s="2" t="str">
        <f>IFERROR(__xludf.DUMMYFUNCTION("""COMPUTED_VALUE"""),"INFRAESTRUCTURA | Cortes y desvíos por evento Homenaje al Papa Francisco - Cura DJ")</f>
        <v>INFRAESTRUCTURA | Cortes y desvíos por evento Homenaje al Papa Francisco - Cura DJ</v>
      </c>
      <c r="C431" s="3">
        <f>IFERROR(__xludf.DUMMYFUNCTION("""COMPUTED_VALUE"""),46128.0)</f>
        <v>46128</v>
      </c>
      <c r="D431" s="3">
        <f>IFERROR(__xludf.DUMMYFUNCTION("""COMPUTED_VALUE"""),46130.0)</f>
        <v>46130</v>
      </c>
      <c r="E431" s="2" t="str">
        <f>IFERROR(__xludf.DUMMYFUNCTION("""COMPUTED_VALUE"""),"Movilidad")</f>
        <v>Movilidad</v>
      </c>
      <c r="F431" s="2" t="str">
        <f>IFERROR(__xludf.DUMMYFUNCTION("""COMPUTED_VALUE"""),"Infraestructura")</f>
        <v>Infraestructura</v>
      </c>
      <c r="G431" s="2" t="str">
        <f>IFERROR(__xludf.DUMMYFUNCTION("""COMPUTED_VALUE"""),"Finalizada")</f>
        <v>Finalizada</v>
      </c>
      <c r="H431" s="4">
        <v>183756.0</v>
      </c>
      <c r="I431" s="4">
        <v>0.0</v>
      </c>
      <c r="J431" s="4">
        <v>1457.0</v>
      </c>
      <c r="K431" s="4">
        <v>118296.0</v>
      </c>
      <c r="L431" s="5">
        <v>1.5533576790424022</v>
      </c>
      <c r="M431" s="5">
        <v>1.5533576790424022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6" t="s">
        <v>105</v>
      </c>
      <c r="AE431" s="4" t="s">
        <v>8</v>
      </c>
    </row>
    <row r="432" ht="16.5" customHeight="1">
      <c r="A432" s="2" t="str">
        <f>IFERROR(__xludf.DUMMYFUNCTION("""COMPUTED_VALUE"""),"2873-ABRINFGC")</f>
        <v>2873-ABRINFGC</v>
      </c>
      <c r="B432" s="2" t="str">
        <f>IFERROR(__xludf.DUMMYFUNCTION("""COMPUTED_VALUE"""),"Infraestructura I Cortes de tránsito por evento deportivo")</f>
        <v>Infraestructura I Cortes de tránsito por evento deportivo</v>
      </c>
      <c r="C432" s="3">
        <f>IFERROR(__xludf.DUMMYFUNCTION("""COMPUTED_VALUE"""),46128.0)</f>
        <v>46128</v>
      </c>
      <c r="D432" s="3">
        <f>IFERROR(__xludf.DUMMYFUNCTION("""COMPUTED_VALUE"""),46131.0)</f>
        <v>46131</v>
      </c>
      <c r="E432" s="2" t="str">
        <f>IFERROR(__xludf.DUMMYFUNCTION("""COMPUTED_VALUE"""),"Movilidad")</f>
        <v>Movilidad</v>
      </c>
      <c r="F432" s="2" t="str">
        <f>IFERROR(__xludf.DUMMYFUNCTION("""COMPUTED_VALUE"""),"Infraestructura")</f>
        <v>Infraestructura</v>
      </c>
      <c r="G432" s="2" t="str">
        <f>IFERROR(__xludf.DUMMYFUNCTION("""COMPUTED_VALUE"""),"Finalizada")</f>
        <v>Finalizada</v>
      </c>
      <c r="H432" s="4">
        <v>402764.0</v>
      </c>
      <c r="I432" s="4">
        <v>0.0</v>
      </c>
      <c r="J432" s="4">
        <v>615.0</v>
      </c>
      <c r="K432" s="4">
        <v>280559.0</v>
      </c>
      <c r="L432" s="5">
        <v>1.4355768305418826</v>
      </c>
      <c r="M432" s="5">
        <v>1.4355768305418826</v>
      </c>
      <c r="N432" s="4">
        <v>162828.0</v>
      </c>
      <c r="O432" s="4">
        <v>161254.0</v>
      </c>
      <c r="P432" s="4">
        <v>66675.0</v>
      </c>
      <c r="Q432" s="4">
        <v>973.0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6" t="s">
        <v>106</v>
      </c>
      <c r="AE432" s="6" t="s">
        <v>9</v>
      </c>
    </row>
    <row r="433" ht="16.5" customHeight="1">
      <c r="A433" s="2" t="str">
        <f>IFERROR(__xludf.DUMMYFUNCTION("""COMPUTED_VALUE"""),"2874-ABRSEGGJ")</f>
        <v>2874-ABRSEGGJ</v>
      </c>
      <c r="B433" s="2" t="str">
        <f>IFERROR(__xludf.DUMMYFUNCTION("""COMPUTED_VALUE"""),"CAMPAÑA JM + GCBA | SEGURIDAD | Desalojo cuatro propiedades en Constitución")</f>
        <v>CAMPAÑA JM + GCBA | SEGURIDAD | Desalojo cuatro propiedades en Constitución</v>
      </c>
      <c r="C433" s="3">
        <f>IFERROR(__xludf.DUMMYFUNCTION("""COMPUTED_VALUE"""),46127.0)</f>
        <v>46127</v>
      </c>
      <c r="D433" s="3">
        <f>IFERROR(__xludf.DUMMYFUNCTION("""COMPUTED_VALUE"""),46142.0)</f>
        <v>46142</v>
      </c>
      <c r="E433" s="2" t="str">
        <f>IFERROR(__xludf.DUMMYFUNCTION("""COMPUTED_VALUE"""),"M2")</f>
        <v>M2</v>
      </c>
      <c r="F433" s="2" t="str">
        <f>IFERROR(__xludf.DUMMYFUNCTION("""COMPUTED_VALUE"""),"Seguridad")</f>
        <v>Seguridad</v>
      </c>
      <c r="G433" s="2" t="str">
        <f>IFERROR(__xludf.DUMMYFUNCTION("""COMPUTED_VALUE"""),"Finalizada")</f>
        <v>Finalizada</v>
      </c>
      <c r="H433" s="4">
        <v>4255739.0</v>
      </c>
      <c r="I433" s="4">
        <v>2075140.0</v>
      </c>
      <c r="J433" s="4">
        <v>4051.0</v>
      </c>
      <c r="K433" s="4">
        <v>835680.0</v>
      </c>
      <c r="L433" s="5">
        <v>1.9084470132107985</v>
      </c>
      <c r="M433" s="5">
        <v>5.092546189929159</v>
      </c>
      <c r="N433" s="4">
        <v>176386.0</v>
      </c>
      <c r="O433" s="4">
        <v>174485.0</v>
      </c>
      <c r="P433" s="4">
        <v>45581.0</v>
      </c>
      <c r="Q433" s="4">
        <v>555.0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6" t="s">
        <v>107</v>
      </c>
      <c r="AE433" s="6" t="s">
        <v>9</v>
      </c>
    </row>
    <row r="434" ht="16.5" customHeight="1">
      <c r="A434" s="2" t="str">
        <f>IFERROR(__xludf.DUMMYFUNCTION("""COMPUTED_VALUE"""),"2875-ABRDECVC")</f>
        <v>2875-ABRDECVC</v>
      </c>
      <c r="B434" s="2" t="str">
        <f>IFERROR(__xludf.DUMMYFUNCTION("""COMPUTED_VALUE"""),"RDV Hernán Lombardi, Gustavo Arengo Piragine y Gabino Tapia, Eje Oeste 20/4")</f>
        <v>RDV Hernán Lombardi, Gustavo Arengo Piragine y Gabino Tapia, Eje Oeste 20/4</v>
      </c>
      <c r="C434" s="3">
        <f>IFERROR(__xludf.DUMMYFUNCTION("""COMPUTED_VALUE"""),46128.0)</f>
        <v>46128</v>
      </c>
      <c r="D434" s="3">
        <f>IFERROR(__xludf.DUMMYFUNCTION("""COMPUTED_VALUE"""),46135.0)</f>
        <v>46135</v>
      </c>
      <c r="E434" s="2" t="str">
        <f>IFERROR(__xludf.DUMMYFUNCTION("""COMPUTED_VALUE"""),"Cercanía")</f>
        <v>Cercanía</v>
      </c>
      <c r="F434" s="2" t="str">
        <f>IFERROR(__xludf.DUMMYFUNCTION("""COMPUTED_VALUE"""),"Desarrollo Económico")</f>
        <v>Desarrollo Económico</v>
      </c>
      <c r="G434" s="2" t="str">
        <f>IFERROR(__xludf.DUMMYFUNCTION("""COMPUTED_VALUE"""),"Finalizada")</f>
        <v>Finalizada</v>
      </c>
      <c r="H434" s="4">
        <v>491808.0</v>
      </c>
      <c r="I434" s="4">
        <v>0.0</v>
      </c>
      <c r="J434" s="4">
        <v>856.0</v>
      </c>
      <c r="K434" s="4">
        <v>97790.0</v>
      </c>
      <c r="L434" s="5">
        <v>5.029225892218018</v>
      </c>
      <c r="M434" s="5">
        <v>5.029225892218018</v>
      </c>
      <c r="N434" s="4">
        <v>18784.0</v>
      </c>
      <c r="O434" s="4">
        <v>18429.0</v>
      </c>
      <c r="P434" s="4">
        <v>3045.0</v>
      </c>
      <c r="Q434" s="4">
        <v>53.0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6" t="s">
        <v>108</v>
      </c>
      <c r="AE434" s="6" t="s">
        <v>9</v>
      </c>
    </row>
    <row r="435" ht="16.5" customHeight="1">
      <c r="A435" s="2" t="str">
        <f>IFERROR(__xludf.DUMMYFUNCTION("""COMPUTED_VALUE"""),"2877-FEBINFVC")</f>
        <v>2877-FEBINFVC</v>
      </c>
      <c r="B435" s="2" t="str">
        <f>IFERROR(__xludf.DUMMYFUNCTION("""COMPUTED_VALUE"""),"RDV MINISTROS | PABLO BERECIARTUA 20/4 COMUNA 9")</f>
        <v>RDV MINISTROS | PABLO BERECIARTUA 20/4 COMUNA 9</v>
      </c>
      <c r="C435" s="3">
        <f>IFERROR(__xludf.DUMMYFUNCTION("""COMPUTED_VALUE"""),46128.0)</f>
        <v>46128</v>
      </c>
      <c r="D435" s="3">
        <f>IFERROR(__xludf.DUMMYFUNCTION("""COMPUTED_VALUE"""),46134.0)</f>
        <v>46134</v>
      </c>
      <c r="E435" s="2" t="str">
        <f>IFERROR(__xludf.DUMMYFUNCTION("""COMPUTED_VALUE"""),"Cercanía")</f>
        <v>Cercanía</v>
      </c>
      <c r="F435" s="2" t="str">
        <f>IFERROR(__xludf.DUMMYFUNCTION("""COMPUTED_VALUE"""),"Infraestructura")</f>
        <v>Infraestructura</v>
      </c>
      <c r="G435" s="2" t="str">
        <f>IFERROR(__xludf.DUMMYFUNCTION("""COMPUTED_VALUE"""),"Finalizada")</f>
        <v>Finalizada</v>
      </c>
      <c r="H435" s="4">
        <v>150395.0</v>
      </c>
      <c r="I435" s="4">
        <v>0.0</v>
      </c>
      <c r="J435" s="4">
        <v>637.0</v>
      </c>
      <c r="K435" s="4">
        <v>98609.0</v>
      </c>
      <c r="L435" s="5">
        <v>1.5251650457868957</v>
      </c>
      <c r="M435" s="5">
        <v>1.5251650457868957</v>
      </c>
      <c r="N435" s="4">
        <v>69638.0</v>
      </c>
      <c r="O435" s="4">
        <v>68676.0</v>
      </c>
      <c r="P435" s="4">
        <v>12374.0</v>
      </c>
      <c r="Q435" s="4">
        <v>336.0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6" t="s">
        <v>109</v>
      </c>
      <c r="AE435" s="6" t="s">
        <v>9</v>
      </c>
    </row>
    <row r="436" ht="16.5" customHeight="1">
      <c r="A436" s="2" t="str">
        <f>IFERROR(__xludf.DUMMYFUNCTION("""COMPUTED_VALUE"""),"2878-FEBVINVC")</f>
        <v>2878-FEBVINVC</v>
      </c>
      <c r="B436" s="2" t="str">
        <f>IFERROR(__xludf.DUMMYFUNCTION("""COMPUTED_VALUE"""),"RDV MINISTROS | EZEQUIEL SABOR 20/4 COMUNA 1")</f>
        <v>RDV MINISTROS | EZEQUIEL SABOR 20/4 COMUNA 1</v>
      </c>
      <c r="C436" s="3">
        <f>IFERROR(__xludf.DUMMYFUNCTION("""COMPUTED_VALUE"""),46128.0)</f>
        <v>46128</v>
      </c>
      <c r="D436" s="3">
        <f>IFERROR(__xludf.DUMMYFUNCTION("""COMPUTED_VALUE"""),46135.0)</f>
        <v>46135</v>
      </c>
      <c r="E436" s="2" t="str">
        <f>IFERROR(__xludf.DUMMYFUNCTION("""COMPUTED_VALUE"""),"Cercanía")</f>
        <v>Cercanía</v>
      </c>
      <c r="F436" s="2" t="str">
        <f>IFERROR(__xludf.DUMMYFUNCTION("""COMPUTED_VALUE"""),"Vínculo Ciudadano")</f>
        <v>Vínculo Ciudadano</v>
      </c>
      <c r="G436" s="2" t="str">
        <f>IFERROR(__xludf.DUMMYFUNCTION("""COMPUTED_VALUE"""),"Finalizada")</f>
        <v>Finalizada</v>
      </c>
      <c r="H436" s="4">
        <v>161460.0</v>
      </c>
      <c r="I436" s="4">
        <v>0.0</v>
      </c>
      <c r="J436" s="4">
        <v>468.0</v>
      </c>
      <c r="K436" s="4">
        <v>104370.0</v>
      </c>
      <c r="L436" s="5">
        <v>1.54699626329405</v>
      </c>
      <c r="M436" s="5">
        <v>1.54699626329405</v>
      </c>
      <c r="N436" s="4">
        <v>72735.0</v>
      </c>
      <c r="O436" s="4">
        <v>71733.0</v>
      </c>
      <c r="P436" s="4">
        <v>15384.0</v>
      </c>
      <c r="Q436" s="4">
        <v>433.0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6" t="s">
        <v>110</v>
      </c>
      <c r="AE436" s="6" t="s">
        <v>9</v>
      </c>
    </row>
    <row r="437" ht="16.5" customHeight="1">
      <c r="A437" s="2" t="str">
        <f>IFERROR(__xludf.DUMMYFUNCTION("""COMPUTED_VALUE"""),"2879-ABRJDGVC")</f>
        <v>2879-ABRJDGVC</v>
      </c>
      <c r="B437" s="2" t="str">
        <f>IFERROR(__xludf.DUMMYFUNCTION("""COMPUTED_VALUE"""),"RDV MINISTROS | GABRIEL SÁNCHEZ ZINNY 21/4  VILLA PUEYRREDÓN")</f>
        <v>RDV MINISTROS | GABRIEL SÁNCHEZ ZINNY 21/4  VILLA PUEYRREDÓN</v>
      </c>
      <c r="C437" s="3">
        <f>IFERROR(__xludf.DUMMYFUNCTION("""COMPUTED_VALUE"""),46128.0)</f>
        <v>46128</v>
      </c>
      <c r="D437" s="3">
        <f>IFERROR(__xludf.DUMMYFUNCTION("""COMPUTED_VALUE"""),46133.0)</f>
        <v>46133</v>
      </c>
      <c r="E437" s="2" t="str">
        <f>IFERROR(__xludf.DUMMYFUNCTION("""COMPUTED_VALUE"""),"Cercanía")</f>
        <v>Cercanía</v>
      </c>
      <c r="F437" s="2" t="str">
        <f>IFERROR(__xludf.DUMMYFUNCTION("""COMPUTED_VALUE"""),"Jefatura de Gabinete")</f>
        <v>Jefatura de Gabinete</v>
      </c>
      <c r="G437" s="2" t="str">
        <f>IFERROR(__xludf.DUMMYFUNCTION("""COMPUTED_VALUE"""),"Finalizada")</f>
        <v>Finalizada</v>
      </c>
      <c r="H437" s="4">
        <v>81647.0</v>
      </c>
      <c r="I437" s="4">
        <v>0.0</v>
      </c>
      <c r="J437" s="4">
        <v>351.0</v>
      </c>
      <c r="K437" s="4">
        <v>49353.0</v>
      </c>
      <c r="L437" s="5">
        <v>1.6543472534597694</v>
      </c>
      <c r="M437" s="5">
        <v>1.6543472534597694</v>
      </c>
      <c r="N437" s="4">
        <v>19340.0</v>
      </c>
      <c r="O437" s="4">
        <v>19155.0</v>
      </c>
      <c r="P437" s="4">
        <v>3778.0</v>
      </c>
      <c r="Q437" s="4">
        <v>117.0</v>
      </c>
      <c r="R437" s="4">
        <v>57.0</v>
      </c>
      <c r="S437" s="4">
        <v>57.0</v>
      </c>
      <c r="T437" s="4">
        <v>14.0</v>
      </c>
      <c r="U437" s="4">
        <v>14.0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6" t="s">
        <v>111</v>
      </c>
      <c r="AE437" s="6" t="s">
        <v>9</v>
      </c>
    </row>
    <row r="438" ht="16.5" customHeight="1">
      <c r="A438" s="2" t="str">
        <f>IFERROR(__xludf.DUMMYFUNCTION("""COMPUTED_VALUE"""),"2880-ABRJDGVC")</f>
        <v>2880-ABRJDGVC</v>
      </c>
      <c r="B438" s="2" t="str">
        <f>IFERROR(__xludf.DUMMYFUNCTION("""COMPUTED_VALUE"""),"RDV MINISTROS | GABRIEL SÁNCHEZ ZINNY 24/4  BELGRANO")</f>
        <v>RDV MINISTROS | GABRIEL SÁNCHEZ ZINNY 24/4  BELGRANO</v>
      </c>
      <c r="C438" s="3">
        <f>IFERROR(__xludf.DUMMYFUNCTION("""COMPUTED_VALUE"""),46132.0)</f>
        <v>46132</v>
      </c>
      <c r="D438" s="3">
        <f>IFERROR(__xludf.DUMMYFUNCTION("""COMPUTED_VALUE"""),46139.0)</f>
        <v>46139</v>
      </c>
      <c r="E438" s="2" t="str">
        <f>IFERROR(__xludf.DUMMYFUNCTION("""COMPUTED_VALUE"""),"Cercanía")</f>
        <v>Cercanía</v>
      </c>
      <c r="F438" s="2" t="str">
        <f>IFERROR(__xludf.DUMMYFUNCTION("""COMPUTED_VALUE"""),"Jefatura de Gabinete")</f>
        <v>Jefatura de Gabinete</v>
      </c>
      <c r="G438" s="2" t="str">
        <f>IFERROR(__xludf.DUMMYFUNCTION("""COMPUTED_VALUE"""),"Finalizada")</f>
        <v>Finalizada</v>
      </c>
      <c r="H438" s="4">
        <v>96246.0</v>
      </c>
      <c r="I438" s="4">
        <v>0.0</v>
      </c>
      <c r="J438" s="4">
        <v>363.0</v>
      </c>
      <c r="K438" s="4">
        <v>55499.0</v>
      </c>
      <c r="L438" s="5">
        <v>1.7341934088902502</v>
      </c>
      <c r="M438" s="5">
        <v>1.7341934088902502</v>
      </c>
      <c r="N438" s="4">
        <v>63657.0</v>
      </c>
      <c r="O438" s="4">
        <v>63065.0</v>
      </c>
      <c r="P438" s="4">
        <v>18892.0</v>
      </c>
      <c r="Q438" s="4">
        <v>585.0</v>
      </c>
      <c r="R438" s="4">
        <v>402.0</v>
      </c>
      <c r="S438" s="4">
        <v>277.0</v>
      </c>
      <c r="T438" s="4">
        <v>78.0</v>
      </c>
      <c r="U438" s="4">
        <v>74.0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6" t="s">
        <v>112</v>
      </c>
      <c r="AE438" s="6" t="s">
        <v>9</v>
      </c>
    </row>
    <row r="439" ht="16.5" customHeight="1">
      <c r="A439" s="2" t="str">
        <f>IFERROR(__xludf.DUMMYFUNCTION("""COMPUTED_VALUE"""),"2881-ABRCULVC")</f>
        <v>2881-ABRCULVC</v>
      </c>
      <c r="B439" s="2" t="str">
        <f>IFERROR(__xludf.DUMMYFUNCTION("""COMPUTED_VALUE"""),"RDV MINISTROS | Gabriela Ricardes 22/4 Comuna 14")</f>
        <v>RDV MINISTROS | Gabriela Ricardes 22/4 Comuna 14</v>
      </c>
      <c r="C439" s="3">
        <f>IFERROR(__xludf.DUMMYFUNCTION("""COMPUTED_VALUE"""),46129.0)</f>
        <v>46129</v>
      </c>
      <c r="D439" s="3">
        <f>IFERROR(__xludf.DUMMYFUNCTION("""COMPUTED_VALUE"""),46135.0)</f>
        <v>46135</v>
      </c>
      <c r="E439" s="2" t="str">
        <f>IFERROR(__xludf.DUMMYFUNCTION("""COMPUTED_VALUE"""),"Cercanía")</f>
        <v>Cercanía</v>
      </c>
      <c r="F439" s="2" t="str">
        <f>IFERROR(__xludf.DUMMYFUNCTION("""COMPUTED_VALUE"""),"Cultura")</f>
        <v>Cultura</v>
      </c>
      <c r="G439" s="2" t="str">
        <f>IFERROR(__xludf.DUMMYFUNCTION("""COMPUTED_VALUE"""),"Finalizada")</f>
        <v>Finalizada</v>
      </c>
      <c r="H439" s="4">
        <v>320469.0</v>
      </c>
      <c r="I439" s="4">
        <v>0.0</v>
      </c>
      <c r="J439" s="4">
        <v>309.0</v>
      </c>
      <c r="K439" s="4">
        <v>97096.0</v>
      </c>
      <c r="L439" s="5">
        <v>3.3005376122600314</v>
      </c>
      <c r="M439" s="5">
        <v>3.3005376122600314</v>
      </c>
      <c r="N439" s="4">
        <v>32215.0</v>
      </c>
      <c r="O439" s="4">
        <v>31853.0</v>
      </c>
      <c r="P439" s="4">
        <v>8656.0</v>
      </c>
      <c r="Q439" s="4">
        <v>164.0</v>
      </c>
      <c r="R439" s="4">
        <v>54.0</v>
      </c>
      <c r="S439" s="4">
        <v>54.0</v>
      </c>
      <c r="T439" s="4">
        <v>14.0</v>
      </c>
      <c r="U439" s="4">
        <v>14.0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6" t="s">
        <v>113</v>
      </c>
      <c r="AE439" s="6" t="s">
        <v>9</v>
      </c>
    </row>
    <row r="440" ht="16.5" customHeight="1">
      <c r="A440" s="2" t="str">
        <f>IFERROR(__xludf.DUMMYFUNCTION("""COMPUTED_VALUE"""),"2882-ABRSEGVC")</f>
        <v>2882-ABRSEGVC</v>
      </c>
      <c r="B440" s="2" t="str">
        <f>IFERROR(__xludf.DUMMYFUNCTION("""COMPUTED_VALUE"""),"RDV MINISTROS | Ruth Landerreche 23/4 Comuna 8")</f>
        <v>RDV MINISTROS | Ruth Landerreche 23/4 Comuna 8</v>
      </c>
      <c r="C440" s="3">
        <f>IFERROR(__xludf.DUMMYFUNCTION("""COMPUTED_VALUE"""),46132.0)</f>
        <v>46132</v>
      </c>
      <c r="D440" s="3">
        <f>IFERROR(__xludf.DUMMYFUNCTION("""COMPUTED_VALUE"""),46142.0)</f>
        <v>46142</v>
      </c>
      <c r="E440" s="2" t="str">
        <f>IFERROR(__xludf.DUMMYFUNCTION("""COMPUTED_VALUE"""),"Cercanía")</f>
        <v>Cercanía</v>
      </c>
      <c r="F440" s="2" t="str">
        <f>IFERROR(__xludf.DUMMYFUNCTION("""COMPUTED_VALUE"""),"Seguridad")</f>
        <v>Seguridad</v>
      </c>
      <c r="G440" s="2" t="str">
        <f>IFERROR(__xludf.DUMMYFUNCTION("""COMPUTED_VALUE"""),"Finalizada")</f>
        <v>Finalizada</v>
      </c>
      <c r="H440" s="4">
        <v>19358.0</v>
      </c>
      <c r="I440" s="4">
        <v>0.0</v>
      </c>
      <c r="J440" s="4">
        <v>49.0</v>
      </c>
      <c r="K440" s="4">
        <v>257363.0</v>
      </c>
      <c r="L440" s="5">
        <v>0.07521671724373745</v>
      </c>
      <c r="M440" s="5">
        <v>0.07521671724373745</v>
      </c>
      <c r="N440" s="4">
        <v>62625.0</v>
      </c>
      <c r="O440" s="4">
        <v>61342.0</v>
      </c>
      <c r="P440" s="4">
        <v>7992.0</v>
      </c>
      <c r="Q440" s="4">
        <v>154.0</v>
      </c>
      <c r="R440" s="4">
        <v>85.0</v>
      </c>
      <c r="S440" s="4">
        <v>85.0</v>
      </c>
      <c r="T440" s="4">
        <v>39.0</v>
      </c>
      <c r="U440" s="4">
        <v>34.0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6" t="s">
        <v>114</v>
      </c>
      <c r="AE440" s="6" t="s">
        <v>9</v>
      </c>
    </row>
    <row r="441" ht="16.5" customHeight="1">
      <c r="A441" s="2" t="str">
        <f>IFERROR(__xludf.DUMMYFUNCTION("""COMPUTED_VALUE"""),"2883-ABRSEGVC")</f>
        <v>2883-ABRSEGVC</v>
      </c>
      <c r="B441" s="2" t="str">
        <f>IFERROR(__xludf.DUMMYFUNCTION("""COMPUTED_VALUE"""),"RDV MINISTROS | Maximiliano Piñeiro 23/4 Comuna 9")</f>
        <v>RDV MINISTROS | Maximiliano Piñeiro 23/4 Comuna 9</v>
      </c>
      <c r="C441" s="3">
        <f>IFERROR(__xludf.DUMMYFUNCTION("""COMPUTED_VALUE"""),46132.0)</f>
        <v>46132</v>
      </c>
      <c r="D441" s="3">
        <f>IFERROR(__xludf.DUMMYFUNCTION("""COMPUTED_VALUE"""),46140.0)</f>
        <v>46140</v>
      </c>
      <c r="E441" s="2" t="str">
        <f>IFERROR(__xludf.DUMMYFUNCTION("""COMPUTED_VALUE"""),"Cercanía")</f>
        <v>Cercanía</v>
      </c>
      <c r="F441" s="2" t="str">
        <f>IFERROR(__xludf.DUMMYFUNCTION("""COMPUTED_VALUE"""),"Seguridad")</f>
        <v>Seguridad</v>
      </c>
      <c r="G441" s="2" t="str">
        <f>IFERROR(__xludf.DUMMYFUNCTION("""COMPUTED_VALUE"""),"Finalizada")</f>
        <v>Finalizada</v>
      </c>
      <c r="H441" s="4">
        <v>106418.0</v>
      </c>
      <c r="I441" s="4">
        <v>0.0</v>
      </c>
      <c r="J441" s="4">
        <v>436.0</v>
      </c>
      <c r="K441" s="4">
        <v>81866.0</v>
      </c>
      <c r="L441" s="5">
        <v>1.2999047223511593</v>
      </c>
      <c r="M441" s="5">
        <v>1.2999047223511593</v>
      </c>
      <c r="N441" s="4">
        <v>69430.0</v>
      </c>
      <c r="O441" s="4">
        <v>68491.0</v>
      </c>
      <c r="P441" s="4">
        <v>11426.0</v>
      </c>
      <c r="Q441" s="4">
        <v>193.0</v>
      </c>
      <c r="R441" s="4">
        <v>83.0</v>
      </c>
      <c r="S441" s="4">
        <v>83.0</v>
      </c>
      <c r="T441" s="4">
        <v>19.0</v>
      </c>
      <c r="U441" s="4">
        <v>19.0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6" t="s">
        <v>115</v>
      </c>
      <c r="AE441" s="6" t="s">
        <v>9</v>
      </c>
    </row>
    <row r="442" ht="16.5" customHeight="1">
      <c r="A442" s="2" t="str">
        <f>IFERROR(__xludf.DUMMYFUNCTION("""COMPUTED_VALUE"""),"2884-ABRSEGVC")</f>
        <v>2884-ABRSEGVC</v>
      </c>
      <c r="B442" s="2" t="str">
        <f>IFERROR(__xludf.DUMMYFUNCTION("""COMPUTED_VALUE"""),"RDV MINISTROS | Horacio Giménez 23/4 Comuna 10")</f>
        <v>RDV MINISTROS | Horacio Giménez 23/4 Comuna 10</v>
      </c>
      <c r="C442" s="3">
        <f>IFERROR(__xludf.DUMMYFUNCTION("""COMPUTED_VALUE"""),46132.0)</f>
        <v>46132</v>
      </c>
      <c r="D442" s="3">
        <f>IFERROR(__xludf.DUMMYFUNCTION("""COMPUTED_VALUE"""),46136.0)</f>
        <v>46136</v>
      </c>
      <c r="E442" s="2" t="str">
        <f>IFERROR(__xludf.DUMMYFUNCTION("""COMPUTED_VALUE"""),"Cercanía")</f>
        <v>Cercanía</v>
      </c>
      <c r="F442" s="2" t="str">
        <f>IFERROR(__xludf.DUMMYFUNCTION("""COMPUTED_VALUE"""),"Seguridad")</f>
        <v>Seguridad</v>
      </c>
      <c r="G442" s="2" t="str">
        <f>IFERROR(__xludf.DUMMYFUNCTION("""COMPUTED_VALUE"""),"Finalizada")</f>
        <v>Finalizada</v>
      </c>
      <c r="H442" s="4">
        <v>123217.0</v>
      </c>
      <c r="I442" s="4">
        <v>0.0</v>
      </c>
      <c r="J442" s="4">
        <v>477.0</v>
      </c>
      <c r="K442" s="4">
        <v>14933.0</v>
      </c>
      <c r="L442" s="5">
        <v>8.251322574164602</v>
      </c>
      <c r="M442" s="5">
        <v>8.251322574164602</v>
      </c>
      <c r="N442" s="4">
        <v>69378.0</v>
      </c>
      <c r="O442" s="4">
        <v>68633.0</v>
      </c>
      <c r="P442" s="4">
        <v>13271.0</v>
      </c>
      <c r="Q442" s="4">
        <v>263.0</v>
      </c>
      <c r="R442" s="4">
        <v>136.0</v>
      </c>
      <c r="S442" s="4">
        <v>136.0</v>
      </c>
      <c r="T442" s="4">
        <v>44.0</v>
      </c>
      <c r="U442" s="4">
        <v>41.0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6" t="s">
        <v>116</v>
      </c>
      <c r="AE442" s="6" t="s">
        <v>9</v>
      </c>
    </row>
    <row r="443" ht="16.5" customHeight="1">
      <c r="A443" s="2" t="str">
        <f>IFERROR(__xludf.DUMMYFUNCTION("""COMPUTED_VALUE"""),"2885-ABRSEGVC")</f>
        <v>2885-ABRSEGVC</v>
      </c>
      <c r="B443" s="2" t="str">
        <f>IFERROR(__xludf.DUMMYFUNCTION("""COMPUTED_VALUE"""),"RDV MINISTROS | Francisco Quintana 23/4 Comuna 11")</f>
        <v>RDV MINISTROS | Francisco Quintana 23/4 Comuna 11</v>
      </c>
      <c r="C443" s="3">
        <f>IFERROR(__xludf.DUMMYFUNCTION("""COMPUTED_VALUE"""),46132.0)</f>
        <v>46132</v>
      </c>
      <c r="D443" s="3">
        <f>IFERROR(__xludf.DUMMYFUNCTION("""COMPUTED_VALUE"""),46136.0)</f>
        <v>46136</v>
      </c>
      <c r="E443" s="2" t="str">
        <f>IFERROR(__xludf.DUMMYFUNCTION("""COMPUTED_VALUE"""),"Cercanía")</f>
        <v>Cercanía</v>
      </c>
      <c r="F443" s="2" t="str">
        <f>IFERROR(__xludf.DUMMYFUNCTION("""COMPUTED_VALUE"""),"Seguridad")</f>
        <v>Seguridad</v>
      </c>
      <c r="G443" s="2" t="str">
        <f>IFERROR(__xludf.DUMMYFUNCTION("""COMPUTED_VALUE"""),"Finalizada")</f>
        <v>Finalizada</v>
      </c>
      <c r="H443" s="4">
        <v>134497.0</v>
      </c>
      <c r="I443" s="4">
        <v>0.0</v>
      </c>
      <c r="J443" s="4">
        <v>344.0</v>
      </c>
      <c r="K443" s="4">
        <v>44608.0</v>
      </c>
      <c r="L443" s="5">
        <v>3.015086979913917</v>
      </c>
      <c r="M443" s="5">
        <v>3.015086979913917</v>
      </c>
      <c r="N443" s="4">
        <v>81835.0</v>
      </c>
      <c r="O443" s="4">
        <v>81002.0</v>
      </c>
      <c r="P443" s="4">
        <v>18343.0</v>
      </c>
      <c r="Q443" s="4">
        <v>339.0</v>
      </c>
      <c r="R443" s="4">
        <v>125.0</v>
      </c>
      <c r="S443" s="4">
        <v>125.0</v>
      </c>
      <c r="T443" s="4">
        <v>40.0</v>
      </c>
      <c r="U443" s="4">
        <v>40.0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6" t="s">
        <v>117</v>
      </c>
      <c r="AE443" s="6" t="s">
        <v>9</v>
      </c>
    </row>
    <row r="444" ht="16.5" customHeight="1">
      <c r="A444" s="2" t="str">
        <f>IFERROR(__xludf.DUMMYFUNCTION("""COMPUTED_VALUE"""),"2886-ABRDECGC")</f>
        <v>2886-ABRDECGC</v>
      </c>
      <c r="B444" s="2" t="str">
        <f>IFERROR(__xludf.DUMMYFUNCTION("""COMPUTED_VALUE"""),"CAFECITO BA ABRIL")</f>
        <v>CAFECITO BA ABRIL</v>
      </c>
      <c r="C444" s="3">
        <f>IFERROR(__xludf.DUMMYFUNCTION("""COMPUTED_VALUE"""),46128.0)</f>
        <v>46128</v>
      </c>
      <c r="D444" s="3">
        <f>IFERROR(__xludf.DUMMYFUNCTION("""COMPUTED_VALUE"""),46142.0)</f>
        <v>46142</v>
      </c>
      <c r="E444" s="2" t="str">
        <f>IFERROR(__xludf.DUMMYFUNCTION("""COMPUTED_VALUE"""),"Ciudad Atractiva")</f>
        <v>Ciudad Atractiva</v>
      </c>
      <c r="F444" s="2" t="str">
        <f>IFERROR(__xludf.DUMMYFUNCTION("""COMPUTED_VALUE"""),"Desarrollo Económico")</f>
        <v>Desarrollo Económico</v>
      </c>
      <c r="G444" s="2" t="str">
        <f>IFERROR(__xludf.DUMMYFUNCTION("""COMPUTED_VALUE"""),"Finalizada")</f>
        <v>Finalizada</v>
      </c>
      <c r="H444" s="4">
        <v>5513371.0</v>
      </c>
      <c r="I444" s="4">
        <v>205508.0</v>
      </c>
      <c r="J444" s="4">
        <v>37965.0</v>
      </c>
      <c r="K444" s="4">
        <v>153243.0</v>
      </c>
      <c r="L444" s="5">
        <v>13.301821290368892</v>
      </c>
      <c r="M444" s="5">
        <v>35.97796310435061</v>
      </c>
      <c r="N444" s="4">
        <v>96709.0</v>
      </c>
      <c r="O444" s="4">
        <v>95762.0</v>
      </c>
      <c r="P444" s="4">
        <v>40295.0</v>
      </c>
      <c r="Q444" s="4">
        <v>685.0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6" t="s">
        <v>118</v>
      </c>
      <c r="AE444" s="6" t="s">
        <v>9</v>
      </c>
    </row>
    <row r="445" ht="16.5" customHeight="1">
      <c r="A445" s="2" t="str">
        <f>IFERROR(__xludf.DUMMYFUNCTION("""COMPUTED_VALUE"""),"2887-ABRJDGGC")</f>
        <v>2887-ABRJDGGC</v>
      </c>
      <c r="B445" s="2" t="str">
        <f>IFERROR(__xludf.DUMMYFUNCTION("""COMPUTED_VALUE"""),"1 A 1 JM | Comuna 15 23/04")</f>
        <v>1 A 1 JM | Comuna 15 23/04</v>
      </c>
      <c r="C445" s="3">
        <f>IFERROR(__xludf.DUMMYFUNCTION("""COMPUTED_VALUE"""),46129.0)</f>
        <v>46129</v>
      </c>
      <c r="D445" s="3">
        <f>IFERROR(__xludf.DUMMYFUNCTION("""COMPUTED_VALUE"""),46149.0)</f>
        <v>46149</v>
      </c>
      <c r="E445" s="2" t="str">
        <f>IFERROR(__xludf.DUMMYFUNCTION("""COMPUTED_VALUE"""),"Cercanía")</f>
        <v>Cercanía</v>
      </c>
      <c r="F445" s="2" t="str">
        <f>IFERROR(__xludf.DUMMYFUNCTION("""COMPUTED_VALUE"""),"Jefatura de Gobierno")</f>
        <v>Jefatura de Gobierno</v>
      </c>
      <c r="G445" s="2" t="str">
        <f>IFERROR(__xludf.DUMMYFUNCTION("""COMPUTED_VALUE"""),"Finalizada")</f>
        <v>Finalizada</v>
      </c>
      <c r="H445" s="4">
        <v>814955.0</v>
      </c>
      <c r="I445" s="4">
        <v>194731.0</v>
      </c>
      <c r="J445" s="4">
        <v>1257.0</v>
      </c>
      <c r="K445" s="4">
        <v>364289.0</v>
      </c>
      <c r="L445" s="5">
        <v>0.9161297760843726</v>
      </c>
      <c r="M445" s="5">
        <v>2.237111194683342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>
        <v>0.0</v>
      </c>
      <c r="AD445" s="6" t="s">
        <v>119</v>
      </c>
      <c r="AE445" s="4" t="s">
        <v>8</v>
      </c>
    </row>
    <row r="446" ht="16.5" customHeight="1">
      <c r="A446" s="2" t="str">
        <f>IFERROR(__xludf.DUMMYFUNCTION("""COMPUTED_VALUE"""),"2888-ABRPCCVC")</f>
        <v>2888-ABRPCCVC</v>
      </c>
      <c r="B446" s="2" t="str">
        <f>IFERROR(__xludf.DUMMYFUNCTION("""COMPUTED_VALUE"""),"BA Actividad | Deja tus rueditas")</f>
        <v>BA Actividad | Deja tus rueditas</v>
      </c>
      <c r="C446" s="3">
        <f>IFERROR(__xludf.DUMMYFUNCTION("""COMPUTED_VALUE"""),46132.0)</f>
        <v>46132</v>
      </c>
      <c r="D446" s="3">
        <f>IFERROR(__xludf.DUMMYFUNCTION("""COMPUTED_VALUE"""),46133.0)</f>
        <v>46133</v>
      </c>
      <c r="E446" s="2" t="str">
        <f>IFERROR(__xludf.DUMMYFUNCTION("""COMPUTED_VALUE"""),"Cercanía")</f>
        <v>Cercanía</v>
      </c>
      <c r="F446" s="2" t="str">
        <f>IFERROR(__xludf.DUMMYFUNCTION("""COMPUTED_VALUE"""),"Cercanía y PC")</f>
        <v>Cercanía y PC</v>
      </c>
      <c r="G446" s="2" t="str">
        <f>IFERROR(__xludf.DUMMYFUNCTION("""COMPUTED_VALUE"""),"Finalizada")</f>
        <v>Finalizada</v>
      </c>
      <c r="H446" s="4">
        <v>0.0</v>
      </c>
      <c r="I446" s="4">
        <v>0.0</v>
      </c>
      <c r="J446" s="4">
        <v>0.0</v>
      </c>
      <c r="K446" s="4">
        <v>0.0</v>
      </c>
      <c r="L446" s="5">
        <v>0.0</v>
      </c>
      <c r="M446" s="5">
        <v>0.0</v>
      </c>
      <c r="N446" s="4">
        <v>117025.0</v>
      </c>
      <c r="O446" s="4">
        <v>115107.0</v>
      </c>
      <c r="P446" s="4">
        <v>19376.0</v>
      </c>
      <c r="Q446" s="4">
        <v>350.0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 t="s">
        <v>8</v>
      </c>
      <c r="AE446" s="6" t="s">
        <v>9</v>
      </c>
    </row>
    <row r="447" ht="16.5" customHeight="1">
      <c r="A447" s="2" t="str">
        <f>IFERROR(__xludf.DUMMYFUNCTION("""COMPUTED_VALUE"""),"2889-ABRSALVC")</f>
        <v>2889-ABRSALVC</v>
      </c>
      <c r="B447" s="2" t="str">
        <f>IFERROR(__xludf.DUMMYFUNCTION("""COMPUTED_VALUE"""),"RDV Ministros |  Fernán Quirós - 21/4")</f>
        <v>RDV Ministros |  Fernán Quirós - 21/4</v>
      </c>
      <c r="C447" s="3">
        <f>IFERROR(__xludf.DUMMYFUNCTION("""COMPUTED_VALUE"""),46128.0)</f>
        <v>46128</v>
      </c>
      <c r="D447" s="3">
        <f>IFERROR(__xludf.DUMMYFUNCTION("""COMPUTED_VALUE"""),46134.0)</f>
        <v>46134</v>
      </c>
      <c r="E447" s="2" t="str">
        <f>IFERROR(__xludf.DUMMYFUNCTION("""COMPUTED_VALUE"""),"Cercanía")</f>
        <v>Cercanía</v>
      </c>
      <c r="F447" s="2" t="str">
        <f>IFERROR(__xludf.DUMMYFUNCTION("""COMPUTED_VALUE"""),"Salud")</f>
        <v>Salud</v>
      </c>
      <c r="G447" s="2" t="str">
        <f>IFERROR(__xludf.DUMMYFUNCTION("""COMPUTED_VALUE"""),"Finalizada")</f>
        <v>Finalizada</v>
      </c>
      <c r="H447" s="4">
        <v>178446.0</v>
      </c>
      <c r="I447" s="4">
        <v>0.0</v>
      </c>
      <c r="J447" s="4">
        <v>581.0</v>
      </c>
      <c r="K447" s="4">
        <v>106845.0</v>
      </c>
      <c r="L447" s="5">
        <v>1.6701389863821423</v>
      </c>
      <c r="M447" s="5">
        <v>1.6701389863821423</v>
      </c>
      <c r="N447" s="4">
        <v>82114.0</v>
      </c>
      <c r="O447" s="4">
        <v>80765.0</v>
      </c>
      <c r="P447" s="4">
        <v>10887.0</v>
      </c>
      <c r="Q447" s="4">
        <v>311.0</v>
      </c>
      <c r="R447" s="4">
        <v>2159.0</v>
      </c>
      <c r="S447" s="4">
        <v>1034.0</v>
      </c>
      <c r="T447" s="4">
        <v>217.0</v>
      </c>
      <c r="U447" s="4">
        <v>172.0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0.0</v>
      </c>
      <c r="AD447" s="6" t="s">
        <v>120</v>
      </c>
      <c r="AE447" s="6" t="s">
        <v>9</v>
      </c>
    </row>
    <row r="448" ht="16.5" customHeight="1">
      <c r="A448" s="2" t="str">
        <f>IFERROR(__xludf.DUMMYFUNCTION("""COMPUTED_VALUE"""),"2890-ABRSALGC")</f>
        <v>2890-ABRSALGC</v>
      </c>
      <c r="B448" s="2" t="str">
        <f>IFERROR(__xludf.DUMMYFUNCTION("""COMPUTED_VALUE"""),"SIGEHOS - Envío Solicitud Electrónica")</f>
        <v>SIGEHOS - Envío Solicitud Electrónica</v>
      </c>
      <c r="C448" s="3">
        <f>IFERROR(__xludf.DUMMYFUNCTION("""COMPUTED_VALUE"""),46132.0)</f>
        <v>46132</v>
      </c>
      <c r="D448" s="3">
        <f>IFERROR(__xludf.DUMMYFUNCTION("""COMPUTED_VALUE"""),46132.0)</f>
        <v>46132</v>
      </c>
      <c r="E448" s="2" t="str">
        <f>IFERROR(__xludf.DUMMYFUNCTION("""COMPUTED_VALUE"""),"Cuidado")</f>
        <v>Cuidado</v>
      </c>
      <c r="F448" s="2" t="str">
        <f>IFERROR(__xludf.DUMMYFUNCTION("""COMPUTED_VALUE"""),"Salud")</f>
        <v>Salud</v>
      </c>
      <c r="G448" s="2" t="str">
        <f>IFERROR(__xludf.DUMMYFUNCTION("""COMPUTED_VALUE"""),"Finalizada")</f>
        <v>Finalizada</v>
      </c>
      <c r="H448" s="4">
        <v>0.0</v>
      </c>
      <c r="I448" s="4">
        <v>0.0</v>
      </c>
      <c r="J448" s="4">
        <v>0.0</v>
      </c>
      <c r="K448" s="4">
        <v>0.0</v>
      </c>
      <c r="L448" s="5">
        <v>0.0</v>
      </c>
      <c r="M448" s="5">
        <v>0.0</v>
      </c>
      <c r="N448" s="4">
        <v>3490.0</v>
      </c>
      <c r="O448" s="4">
        <v>3486.0</v>
      </c>
      <c r="P448" s="4">
        <v>1279.0</v>
      </c>
      <c r="Q448" s="4">
        <v>81.0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 t="s">
        <v>8</v>
      </c>
      <c r="AE448" s="6" t="s">
        <v>9</v>
      </c>
    </row>
    <row r="449" ht="16.5" customHeight="1">
      <c r="A449" s="2" t="str">
        <f>IFERROR(__xludf.DUMMYFUNCTION("""COMPUTED_VALUE"""),"2891-ABRSALGC")</f>
        <v>2891-ABRSALGC</v>
      </c>
      <c r="B449" s="2" t="str">
        <f>IFERROR(__xludf.DUMMYFUNCTION("""COMPUTED_VALUE"""),"Prioridad Porteña")</f>
        <v>Prioridad Porteña</v>
      </c>
      <c r="C449" s="3">
        <f>IFERROR(__xludf.DUMMYFUNCTION("""COMPUTED_VALUE"""),46147.0)</f>
        <v>46147</v>
      </c>
      <c r="D449" s="3">
        <f>IFERROR(__xludf.DUMMYFUNCTION("""COMPUTED_VALUE"""),46173.0)</f>
        <v>46173</v>
      </c>
      <c r="E449" s="2" t="str">
        <f>IFERROR(__xludf.DUMMYFUNCTION("""COMPUTED_VALUE"""),"Cuidado")</f>
        <v>Cuidado</v>
      </c>
      <c r="F449" s="2" t="str">
        <f>IFERROR(__xludf.DUMMYFUNCTION("""COMPUTED_VALUE"""),"Salud")</f>
        <v>Salud</v>
      </c>
      <c r="G449" s="2" t="str">
        <f>IFERROR(__xludf.DUMMYFUNCTION("""COMPUTED_VALUE"""),"Finalizada")</f>
        <v>Finalizada</v>
      </c>
      <c r="H449" s="4">
        <v>2.2406148E7</v>
      </c>
      <c r="I449" s="4">
        <v>5548145.0</v>
      </c>
      <c r="J449" s="4">
        <v>103252.0</v>
      </c>
      <c r="K449" s="4">
        <v>1145833.0</v>
      </c>
      <c r="L449" s="5">
        <v>2.6436138599603956</v>
      </c>
      <c r="M449" s="5">
        <v>19.554462124934435</v>
      </c>
      <c r="N449" s="4">
        <v>183961.0</v>
      </c>
      <c r="O449" s="4">
        <v>180707.0</v>
      </c>
      <c r="P449" s="4">
        <v>56229.0</v>
      </c>
      <c r="Q449" s="4">
        <v>1620.0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0.0</v>
      </c>
      <c r="AD449" s="6" t="s">
        <v>121</v>
      </c>
      <c r="AE449" s="6" t="s">
        <v>9</v>
      </c>
    </row>
    <row r="450" ht="16.5" customHeight="1">
      <c r="A450" s="2" t="str">
        <f>IFERROR(__xludf.DUMMYFUNCTION("""COMPUTED_VALUE"""),"2892-ABRSALGC")</f>
        <v>2892-ABRSALGC</v>
      </c>
      <c r="B450" s="2" t="str">
        <f>IFERROR(__xludf.DUMMYFUNCTION("""COMPUTED_VALUE"""),"Centro de Desarrollo Laboral para Personas con Discapacidad")</f>
        <v>Centro de Desarrollo Laboral para Personas con Discapacidad</v>
      </c>
      <c r="C450" s="3">
        <f>IFERROR(__xludf.DUMMYFUNCTION("""COMPUTED_VALUE"""),46148.0)</f>
        <v>46148</v>
      </c>
      <c r="D450" s="3">
        <f>IFERROR(__xludf.DUMMYFUNCTION("""COMPUTED_VALUE"""),46163.0)</f>
        <v>46163</v>
      </c>
      <c r="E450" s="2" t="str">
        <f>IFERROR(__xludf.DUMMYFUNCTION("""COMPUTED_VALUE"""),"Cuidado")</f>
        <v>Cuidado</v>
      </c>
      <c r="F450" s="2" t="str">
        <f>IFERROR(__xludf.DUMMYFUNCTION("""COMPUTED_VALUE"""),"Salud")</f>
        <v>Salud</v>
      </c>
      <c r="G450" s="2" t="str">
        <f>IFERROR(__xludf.DUMMYFUNCTION("""COMPUTED_VALUE"""),"Finalizada")</f>
        <v>Finalizada</v>
      </c>
      <c r="H450" s="4">
        <v>7177717.0</v>
      </c>
      <c r="I450" s="4">
        <v>297930.0</v>
      </c>
      <c r="J450" s="4">
        <v>66445.0</v>
      </c>
      <c r="K450" s="4">
        <v>770067.0</v>
      </c>
      <c r="L450" s="5">
        <v>1.7249563998976711</v>
      </c>
      <c r="M450" s="5">
        <v>9.320899350316271</v>
      </c>
      <c r="N450" s="4">
        <v>53468.0</v>
      </c>
      <c r="O450" s="4">
        <v>52836.0</v>
      </c>
      <c r="P450" s="4">
        <v>15732.0</v>
      </c>
      <c r="Q450" s="4">
        <v>788.0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6" t="s">
        <v>122</v>
      </c>
      <c r="AE450" s="6" t="s">
        <v>9</v>
      </c>
    </row>
    <row r="451" ht="16.5" customHeight="1">
      <c r="A451" s="2" t="str">
        <f>IFERROR(__xludf.DUMMYFUNCTION("""COMPUTED_VALUE"""),"2894-ABRSALGC")</f>
        <v>2894-ABRSALGC</v>
      </c>
      <c r="B451" s="2" t="str">
        <f>IFERROR(__xludf.DUMMYFUNCTION("""COMPUTED_VALUE"""),"Programa de Escucha Activa")</f>
        <v>Programa de Escucha Activa</v>
      </c>
      <c r="C451" s="3">
        <f>IFERROR(__xludf.DUMMYFUNCTION("""COMPUTED_VALUE"""),46140.0)</f>
        <v>46140</v>
      </c>
      <c r="D451" s="3">
        <f>IFERROR(__xludf.DUMMYFUNCTION("""COMPUTED_VALUE"""),46154.0)</f>
        <v>46154</v>
      </c>
      <c r="E451" s="2" t="str">
        <f>IFERROR(__xludf.DUMMYFUNCTION("""COMPUTED_VALUE"""),"Cuidado")</f>
        <v>Cuidado</v>
      </c>
      <c r="F451" s="2" t="str">
        <f>IFERROR(__xludf.DUMMYFUNCTION("""COMPUTED_VALUE"""),"Salud")</f>
        <v>Salud</v>
      </c>
      <c r="G451" s="2" t="str">
        <f>IFERROR(__xludf.DUMMYFUNCTION("""COMPUTED_VALUE"""),"Finalizada")</f>
        <v>Finalizada</v>
      </c>
      <c r="H451" s="4">
        <v>4496683.0</v>
      </c>
      <c r="I451" s="4">
        <v>5015.0</v>
      </c>
      <c r="J451" s="4">
        <v>10215.0</v>
      </c>
      <c r="K451" s="4">
        <v>297007.0</v>
      </c>
      <c r="L451" s="5">
        <v>2.004885406741255</v>
      </c>
      <c r="M451" s="5">
        <v>15.139989966566445</v>
      </c>
      <c r="N451" s="4">
        <v>207057.0</v>
      </c>
      <c r="O451" s="4">
        <v>206650.0</v>
      </c>
      <c r="P451" s="4">
        <v>117428.0</v>
      </c>
      <c r="Q451" s="4">
        <v>2485.0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>
        <v>0.0</v>
      </c>
      <c r="AD451" s="6" t="s">
        <v>123</v>
      </c>
      <c r="AE451" s="6" t="s">
        <v>9</v>
      </c>
    </row>
    <row r="452" ht="16.5" customHeight="1">
      <c r="A452" s="2" t="str">
        <f>IFERROR(__xludf.DUMMYFUNCTION("""COMPUTED_VALUE"""),"2895-ABRAMBGC")</f>
        <v>2895-ABRAMBGC</v>
      </c>
      <c r="B452" s="2" t="str">
        <f>IFERROR(__xludf.DUMMYFUNCTION("""COMPUTED_VALUE"""),"RDV Ministros | Clara Muzzio - 22/4")</f>
        <v>RDV Ministros | Clara Muzzio - 22/4</v>
      </c>
      <c r="C452" s="3">
        <f>IFERROR(__xludf.DUMMYFUNCTION("""COMPUTED_VALUE"""),46129.0)</f>
        <v>46129</v>
      </c>
      <c r="D452" s="3">
        <f>IFERROR(__xludf.DUMMYFUNCTION("""COMPUTED_VALUE"""),46140.0)</f>
        <v>46140</v>
      </c>
      <c r="E452" s="2" t="str">
        <f>IFERROR(__xludf.DUMMYFUNCTION("""COMPUTED_VALUE"""),"Cercanía")</f>
        <v>Cercanía</v>
      </c>
      <c r="F452" s="2" t="str">
        <f>IFERROR(__xludf.DUMMYFUNCTION("""COMPUTED_VALUE"""),"Vicejefatura (Ambiente)")</f>
        <v>Vicejefatura (Ambiente)</v>
      </c>
      <c r="G452" s="2" t="str">
        <f>IFERROR(__xludf.DUMMYFUNCTION("""COMPUTED_VALUE"""),"Finalizada")</f>
        <v>Finalizada</v>
      </c>
      <c r="H452" s="4">
        <v>147503.0</v>
      </c>
      <c r="I452" s="4">
        <v>0.0</v>
      </c>
      <c r="J452" s="4">
        <v>352.0</v>
      </c>
      <c r="K452" s="4">
        <v>97096.0</v>
      </c>
      <c r="L452" s="5">
        <v>1.5191459998352146</v>
      </c>
      <c r="M452" s="5">
        <v>1.5191459998352146</v>
      </c>
      <c r="N452" s="4">
        <v>81281.0</v>
      </c>
      <c r="O452" s="4">
        <v>80510.0</v>
      </c>
      <c r="P452" s="4">
        <v>16633.0</v>
      </c>
      <c r="Q452" s="4">
        <v>464.0</v>
      </c>
      <c r="R452" s="4">
        <v>0.0</v>
      </c>
      <c r="S452" s="4">
        <v>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0.0</v>
      </c>
      <c r="AB452" s="4">
        <v>0.0</v>
      </c>
      <c r="AC452" s="4">
        <v>0.0</v>
      </c>
      <c r="AD452" s="6" t="s">
        <v>124</v>
      </c>
      <c r="AE452" s="6" t="s">
        <v>9</v>
      </c>
    </row>
    <row r="453" ht="16.5" customHeight="1">
      <c r="A453" s="2" t="str">
        <f>IFERROR(__xludf.DUMMYFUNCTION("""COMPUTED_VALUE"""),"2896-ABRHYFGC")</f>
        <v>2896-ABRHYFGC</v>
      </c>
      <c r="B453" s="2" t="str">
        <f>IFERROR(__xludf.DUMMYFUNCTION("""COMPUTED_VALUE"""),"Eliminación de impuestos")</f>
        <v>Eliminación de impuestos</v>
      </c>
      <c r="C453" s="3">
        <f>IFERROR(__xludf.DUMMYFUNCTION("""COMPUTED_VALUE"""),46129.0)</f>
        <v>46129</v>
      </c>
      <c r="D453" s="3">
        <f>IFERROR(__xludf.DUMMYFUNCTION("""COMPUTED_VALUE"""),46159.0)</f>
        <v>46159</v>
      </c>
      <c r="E453" s="2" t="str">
        <f>IFERROR(__xludf.DUMMYFUNCTION("""COMPUTED_VALUE"""),"Reforma del Estado")</f>
        <v>Reforma del Estado</v>
      </c>
      <c r="F453" s="2" t="str">
        <f>IFERROR(__xludf.DUMMYFUNCTION("""COMPUTED_VALUE"""),"Hacienda y Finanzas")</f>
        <v>Hacienda y Finanzas</v>
      </c>
      <c r="G453" s="2" t="str">
        <f>IFERROR(__xludf.DUMMYFUNCTION("""COMPUTED_VALUE"""),"Finalizada")</f>
        <v>Finalizada</v>
      </c>
      <c r="H453" s="4">
        <v>1.1253893E7</v>
      </c>
      <c r="I453" s="4">
        <v>0.0</v>
      </c>
      <c r="J453" s="4">
        <v>29624.0</v>
      </c>
      <c r="K453" s="4">
        <v>1128627.0</v>
      </c>
      <c r="L453" s="5">
        <v>1.9437599844767137</v>
      </c>
      <c r="M453" s="5">
        <v>9.971312931553117</v>
      </c>
      <c r="N453" s="4">
        <v>261244.0</v>
      </c>
      <c r="O453" s="4">
        <v>259970.0</v>
      </c>
      <c r="P453" s="4">
        <v>126146.0</v>
      </c>
      <c r="Q453" s="4">
        <v>2517.0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0.0</v>
      </c>
      <c r="AD453" s="6" t="s">
        <v>125</v>
      </c>
      <c r="AE453" s="6" t="s">
        <v>9</v>
      </c>
    </row>
    <row r="454" ht="16.5" customHeight="1">
      <c r="A454" s="2" t="str">
        <f>IFERROR(__xludf.DUMMYFUNCTION("""COMPUTED_VALUE"""),"2897-ABRTURGC")</f>
        <v>2897-ABRTURGC</v>
      </c>
      <c r="B454" s="2" t="str">
        <f>IFERROR(__xludf.DUMMYFUNCTION("""COMPUTED_VALUE"""),"Informe mensual Observatorio Turismo 21/4")</f>
        <v>Informe mensual Observatorio Turismo 21/4</v>
      </c>
      <c r="C454" s="3">
        <f>IFERROR(__xludf.DUMMYFUNCTION("""COMPUTED_VALUE"""),46133.0)</f>
        <v>46133</v>
      </c>
      <c r="D454" s="3">
        <f>IFERROR(__xludf.DUMMYFUNCTION("""COMPUTED_VALUE"""),46133.0)</f>
        <v>46133</v>
      </c>
      <c r="E454" s="2" t="str">
        <f>IFERROR(__xludf.DUMMYFUNCTION("""COMPUTED_VALUE"""),"Ciudad Atractiva")</f>
        <v>Ciudad Atractiva</v>
      </c>
      <c r="F454" s="2" t="str">
        <f>IFERROR(__xludf.DUMMYFUNCTION("""COMPUTED_VALUE"""),"Turismo")</f>
        <v>Turismo</v>
      </c>
      <c r="G454" s="2" t="str">
        <f>IFERROR(__xludf.DUMMYFUNCTION("""COMPUTED_VALUE"""),"Finalizada")</f>
        <v>Finalizada</v>
      </c>
      <c r="H454" s="4">
        <v>0.0</v>
      </c>
      <c r="I454" s="4">
        <v>0.0</v>
      </c>
      <c r="J454" s="4">
        <v>0.0</v>
      </c>
      <c r="K454" s="4">
        <v>0.0</v>
      </c>
      <c r="L454" s="5">
        <v>0.0</v>
      </c>
      <c r="M454" s="5">
        <v>0.0</v>
      </c>
      <c r="N454" s="4">
        <v>333.0</v>
      </c>
      <c r="O454" s="4">
        <v>316.0</v>
      </c>
      <c r="P454" s="4">
        <v>137.0</v>
      </c>
      <c r="Q454" s="4">
        <v>19.0</v>
      </c>
      <c r="R454" s="4">
        <v>0.0</v>
      </c>
      <c r="S454" s="4">
        <v>0.0</v>
      </c>
      <c r="T454" s="4">
        <v>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0.0</v>
      </c>
      <c r="AB454" s="4">
        <v>0.0</v>
      </c>
      <c r="AC454" s="4">
        <v>0.0</v>
      </c>
      <c r="AD454" s="4" t="s">
        <v>8</v>
      </c>
      <c r="AE454" s="6" t="s">
        <v>9</v>
      </c>
    </row>
    <row r="455" ht="16.5" customHeight="1">
      <c r="A455" s="2" t="str">
        <f>IFERROR(__xludf.DUMMYFUNCTION("""COMPUTED_VALUE"""),"2898-ABRTURGC")</f>
        <v>2898-ABRTURGC</v>
      </c>
      <c r="B455" s="2" t="str">
        <f>IFERROR(__xludf.DUMMYFUNCTION("""COMPUTED_VALUE"""),"Sondeo Hotelero por fin de semana largo de mayo")</f>
        <v>Sondeo Hotelero por fin de semana largo de mayo</v>
      </c>
      <c r="C455" s="3">
        <f>IFERROR(__xludf.DUMMYFUNCTION("""COMPUTED_VALUE"""),46139.0)</f>
        <v>46139</v>
      </c>
      <c r="D455" s="3">
        <f>IFERROR(__xludf.DUMMYFUNCTION("""COMPUTED_VALUE"""),46139.0)</f>
        <v>46139</v>
      </c>
      <c r="E455" s="2" t="str">
        <f>IFERROR(__xludf.DUMMYFUNCTION("""COMPUTED_VALUE"""),"Ciudad Atractiva")</f>
        <v>Ciudad Atractiva</v>
      </c>
      <c r="F455" s="2" t="str">
        <f>IFERROR(__xludf.DUMMYFUNCTION("""COMPUTED_VALUE"""),"Turismo")</f>
        <v>Turismo</v>
      </c>
      <c r="G455" s="2" t="str">
        <f>IFERROR(__xludf.DUMMYFUNCTION("""COMPUTED_VALUE"""),"Finalizada")</f>
        <v>Finalizada</v>
      </c>
      <c r="H455" s="4">
        <v>0.0</v>
      </c>
      <c r="I455" s="4">
        <v>0.0</v>
      </c>
      <c r="J455" s="4">
        <v>0.0</v>
      </c>
      <c r="K455" s="4">
        <v>0.0</v>
      </c>
      <c r="L455" s="5">
        <v>0.0</v>
      </c>
      <c r="M455" s="5">
        <v>0.0</v>
      </c>
      <c r="N455" s="4">
        <v>395.0</v>
      </c>
      <c r="O455" s="4">
        <v>380.0</v>
      </c>
      <c r="P455" s="4">
        <v>173.0</v>
      </c>
      <c r="Q455" s="4">
        <v>71.0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 t="s">
        <v>8</v>
      </c>
      <c r="AE455" s="6" t="s">
        <v>9</v>
      </c>
    </row>
    <row r="456" ht="16.5" customHeight="1">
      <c r="A456" s="2" t="str">
        <f>IFERROR(__xludf.DUMMYFUNCTION("""COMPUTED_VALUE"""),"2899-ABRINFGC")</f>
        <v>2899-ABRINFGC</v>
      </c>
      <c r="B456" s="2" t="str">
        <f>IFERROR(__xludf.DUMMYFUNCTION("""COMPUTED_VALUE"""),"APERTURA ESTACIÓN MALABIA LÍNEA E")</f>
        <v>APERTURA ESTACIÓN MALABIA LÍNEA E</v>
      </c>
      <c r="C456" s="3">
        <f>IFERROR(__xludf.DUMMYFUNCTION("""COMPUTED_VALUE"""),46128.0)</f>
        <v>46128</v>
      </c>
      <c r="D456" s="3">
        <f>IFERROR(__xludf.DUMMYFUNCTION("""COMPUTED_VALUE"""),46149.0)</f>
        <v>46149</v>
      </c>
      <c r="E456" s="2" t="str">
        <f>IFERROR(__xludf.DUMMYFUNCTION("""COMPUTED_VALUE"""),"Movilidad")</f>
        <v>Movilidad</v>
      </c>
      <c r="F456" s="2" t="str">
        <f>IFERROR(__xludf.DUMMYFUNCTION("""COMPUTED_VALUE"""),"Infraestructura")</f>
        <v>Infraestructura</v>
      </c>
      <c r="G456" s="2" t="str">
        <f>IFERROR(__xludf.DUMMYFUNCTION("""COMPUTED_VALUE"""),"Finalizada")</f>
        <v>Finalizada</v>
      </c>
      <c r="H456" s="4">
        <v>6367811.0</v>
      </c>
      <c r="I456" s="4">
        <v>3323446.0</v>
      </c>
      <c r="J456" s="4">
        <v>4911.0</v>
      </c>
      <c r="K456" s="4">
        <v>745285.0</v>
      </c>
      <c r="L456" s="5">
        <v>2.422332396331605</v>
      </c>
      <c r="M456" s="5">
        <v>8.544128756113434</v>
      </c>
      <c r="N456" s="4">
        <v>196010.0</v>
      </c>
      <c r="O456" s="4">
        <v>194141.0</v>
      </c>
      <c r="P456" s="4">
        <v>68191.0</v>
      </c>
      <c r="Q456" s="4">
        <v>1839.0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58654.0</v>
      </c>
      <c r="AB456" s="4">
        <v>55436.0</v>
      </c>
      <c r="AC456" s="4">
        <v>563.0</v>
      </c>
      <c r="AD456" s="6" t="s">
        <v>126</v>
      </c>
      <c r="AE456" s="6" t="s">
        <v>9</v>
      </c>
    </row>
    <row r="457" ht="16.5" customHeight="1">
      <c r="A457" s="2" t="str">
        <f>IFERROR(__xludf.DUMMYFUNCTION("""COMPUTED_VALUE"""),"2900-ABREDUGC")</f>
        <v>2900-ABREDUGC</v>
      </c>
      <c r="B457" s="2" t="str">
        <f>IFERROR(__xludf.DUMMYFUNCTION("""COMPUTED_VALUE"""),"NUEVA SEDE TUMO NUÑEZ")</f>
        <v>NUEVA SEDE TUMO NUÑEZ</v>
      </c>
      <c r="C457" s="3">
        <f>IFERROR(__xludf.DUMMYFUNCTION("""COMPUTED_VALUE"""),46132.0)</f>
        <v>46132</v>
      </c>
      <c r="D457" s="3">
        <f>IFERROR(__xludf.DUMMYFUNCTION("""COMPUTED_VALUE"""),46265.0)</f>
        <v>46265</v>
      </c>
      <c r="E457" s="2" t="str">
        <f>IFERROR(__xludf.DUMMYFUNCTION("""COMPUTED_VALUE"""),"Cuidado")</f>
        <v>Cuidado</v>
      </c>
      <c r="F457" s="2" t="str">
        <f>IFERROR(__xludf.DUMMYFUNCTION("""COMPUTED_VALUE"""),"Educación")</f>
        <v>Educación</v>
      </c>
      <c r="G457" s="2" t="str">
        <f>IFERROR(__xludf.DUMMYFUNCTION("""COMPUTED_VALUE"""),"Activa")</f>
        <v>Activa</v>
      </c>
      <c r="H457" s="4">
        <v>1.8716003E7</v>
      </c>
      <c r="I457" s="4">
        <v>714414.0</v>
      </c>
      <c r="J457" s="4">
        <v>25250.0</v>
      </c>
      <c r="K457" s="4">
        <v>47819.0</v>
      </c>
      <c r="L457" s="5">
        <v>4.851899872435642</v>
      </c>
      <c r="M457" s="5">
        <v>391.39260544971665</v>
      </c>
      <c r="N457" s="4">
        <v>139660.0</v>
      </c>
      <c r="O457" s="4">
        <v>138324.0</v>
      </c>
      <c r="P457" s="4">
        <v>31978.0</v>
      </c>
      <c r="Q457" s="4">
        <v>502.0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6" t="s">
        <v>127</v>
      </c>
      <c r="AE457" s="6" t="s">
        <v>9</v>
      </c>
    </row>
    <row r="458" ht="16.5" customHeight="1">
      <c r="A458" s="2" t="str">
        <f>IFERROR(__xludf.DUMMYFUNCTION("""COMPUTED_VALUE"""),"2901-ABRINFGC")</f>
        <v>2901-ABRINFGC</v>
      </c>
      <c r="B458" s="2" t="str">
        <f>IFERROR(__xludf.DUMMYFUNCTION("""COMPUTED_VALUE""")," Infraestructura I Corte AU Illia por obras")</f>
        <v> Infraestructura I Corte AU Illia por obras</v>
      </c>
      <c r="C458" s="3">
        <f>IFERROR(__xludf.DUMMYFUNCTION("""COMPUTED_VALUE"""),46129.0)</f>
        <v>46129</v>
      </c>
      <c r="D458" s="3">
        <f>IFERROR(__xludf.DUMMYFUNCTION("""COMPUTED_VALUE"""),46167.0)</f>
        <v>46167</v>
      </c>
      <c r="E458" s="2" t="str">
        <f>IFERROR(__xludf.DUMMYFUNCTION("""COMPUTED_VALUE"""),"Movilidad")</f>
        <v>Movilidad</v>
      </c>
      <c r="F458" s="2" t="str">
        <f>IFERROR(__xludf.DUMMYFUNCTION("""COMPUTED_VALUE"""),"Infraestructura")</f>
        <v>Infraestructura</v>
      </c>
      <c r="G458" s="2" t="str">
        <f>IFERROR(__xludf.DUMMYFUNCTION("""COMPUTED_VALUE"""),"Finalizada")</f>
        <v>Finalizada</v>
      </c>
      <c r="H458" s="4">
        <v>1306417.0</v>
      </c>
      <c r="I458" s="4">
        <v>0.0</v>
      </c>
      <c r="J458" s="4">
        <v>1584.0</v>
      </c>
      <c r="K458" s="4">
        <v>381381.0</v>
      </c>
      <c r="L458" s="5">
        <v>3.425490519978709</v>
      </c>
      <c r="M458" s="5">
        <v>3.425490519978709</v>
      </c>
      <c r="N458" s="4">
        <v>146320.0</v>
      </c>
      <c r="O458" s="4">
        <v>144859.0</v>
      </c>
      <c r="P458" s="4">
        <v>54131.0</v>
      </c>
      <c r="Q458" s="4">
        <v>524.0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6" t="s">
        <v>128</v>
      </c>
      <c r="AE458" s="6" t="s">
        <v>9</v>
      </c>
    </row>
    <row r="459" ht="16.5" customHeight="1">
      <c r="A459" s="2" t="str">
        <f>IFERROR(__xludf.DUMMYFUNCTION("""COMPUTED_VALUE"""),"2902-ABRINFGC")</f>
        <v>2902-ABRINFGC</v>
      </c>
      <c r="B459" s="2" t="str">
        <f>IFERROR(__xludf.DUMMYFUNCTION("""COMPUTED_VALUE""")," INFRAESTRUCTURA | Corte AU Perito Moreno desde General Paz por obras")</f>
        <v> INFRAESTRUCTURA | Corte AU Perito Moreno desde General Paz por obras</v>
      </c>
      <c r="C459" s="3">
        <f>IFERROR(__xludf.DUMMYFUNCTION("""COMPUTED_VALUE"""),46129.0)</f>
        <v>46129</v>
      </c>
      <c r="D459" s="3">
        <f>IFERROR(__xludf.DUMMYFUNCTION("""COMPUTED_VALUE"""),46133.0)</f>
        <v>46133</v>
      </c>
      <c r="E459" s="2" t="str">
        <f>IFERROR(__xludf.DUMMYFUNCTION("""COMPUTED_VALUE"""),"Movilidad")</f>
        <v>Movilidad</v>
      </c>
      <c r="F459" s="2" t="str">
        <f>IFERROR(__xludf.DUMMYFUNCTION("""COMPUTED_VALUE"""),"Infraestructura")</f>
        <v>Infraestructura</v>
      </c>
      <c r="G459" s="2" t="str">
        <f>IFERROR(__xludf.DUMMYFUNCTION("""COMPUTED_VALUE"""),"Finalizada")</f>
        <v>Finalizada</v>
      </c>
      <c r="H459" s="4">
        <v>36430.0</v>
      </c>
      <c r="I459" s="4">
        <v>0.0</v>
      </c>
      <c r="J459" s="4">
        <v>544.0</v>
      </c>
      <c r="K459" s="4">
        <v>14854.0</v>
      </c>
      <c r="L459" s="5">
        <v>2.4525380368924194</v>
      </c>
      <c r="M459" s="5">
        <v>2.4525380368924194</v>
      </c>
      <c r="N459" s="4">
        <v>115260.0</v>
      </c>
      <c r="O459" s="4">
        <v>114063.0</v>
      </c>
      <c r="P459" s="4">
        <v>34449.0</v>
      </c>
      <c r="Q459" s="4">
        <v>345.0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6" t="s">
        <v>129</v>
      </c>
      <c r="AE459" s="6" t="s">
        <v>9</v>
      </c>
    </row>
    <row r="460" ht="16.5" customHeight="1">
      <c r="A460" s="2" t="str">
        <f>IFERROR(__xludf.DUMMYFUNCTION("""COMPUTED_VALUE"""),"2903-ABRFESGC")</f>
        <v>2903-ABRFESGC</v>
      </c>
      <c r="B460" s="2" t="str">
        <f>IFERROR(__xludf.DUMMYFUNCTION("""COMPUTED_VALUE"""),"Post DJ Padre Guilherme")</f>
        <v>Post DJ Padre Guilherme</v>
      </c>
      <c r="C460" s="3">
        <f>IFERROR(__xludf.DUMMYFUNCTION("""COMPUTED_VALUE"""),46133.0)</f>
        <v>46133</v>
      </c>
      <c r="D460" s="3">
        <f>IFERROR(__xludf.DUMMYFUNCTION("""COMPUTED_VALUE"""),46139.0)</f>
        <v>46139</v>
      </c>
      <c r="E460" s="2" t="str">
        <f>IFERROR(__xludf.DUMMYFUNCTION("""COMPUTED_VALUE"""),"Ciudad Atractiva")</f>
        <v>Ciudad Atractiva</v>
      </c>
      <c r="F460" s="2" t="str">
        <f>IFERROR(__xludf.DUMMYFUNCTION("""COMPUTED_VALUE"""),"Festivales y Eventos")</f>
        <v>Festivales y Eventos</v>
      </c>
      <c r="G460" s="2" t="str">
        <f>IFERROR(__xludf.DUMMYFUNCTION("""COMPUTED_VALUE"""),"Finalizada")</f>
        <v>Finalizada</v>
      </c>
      <c r="H460" s="4">
        <v>3480810.0</v>
      </c>
      <c r="I460" s="4">
        <v>1613816.0</v>
      </c>
      <c r="J460" s="4">
        <v>3926.0</v>
      </c>
      <c r="K460" s="4">
        <v>423241.0</v>
      </c>
      <c r="L460" s="5">
        <v>2.3441750681054057</v>
      </c>
      <c r="M460" s="5">
        <v>8.224179604527917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6" t="s">
        <v>130</v>
      </c>
      <c r="AE460" s="4" t="s">
        <v>8</v>
      </c>
    </row>
    <row r="461" ht="16.5" customHeight="1">
      <c r="A461" s="2" t="str">
        <f>IFERROR(__xludf.DUMMYFUNCTION("""COMPUTED_VALUE"""),"2904-ABRDIGCG")</f>
        <v>2904-ABRDIGCG</v>
      </c>
      <c r="B461" s="2" t="str">
        <f>IFERROR(__xludf.DUMMYFUNCTION("""COMPUTED_VALUE"""),"Centro de Control Inteligente de Autopistas")</f>
        <v>Centro de Control Inteligente de Autopistas</v>
      </c>
      <c r="C461" s="3">
        <f>IFERROR(__xludf.DUMMYFUNCTION("""COMPUTED_VALUE"""),46133.0)</f>
        <v>46133</v>
      </c>
      <c r="D461" s="3">
        <f>IFERROR(__xludf.DUMMYFUNCTION("""COMPUTED_VALUE"""),46159.0)</f>
        <v>46159</v>
      </c>
      <c r="E461" s="2" t="str">
        <f>IFERROR(__xludf.DUMMYFUNCTION("""COMPUTED_VALUE"""),"Movilidad")</f>
        <v>Movilidad</v>
      </c>
      <c r="F461" s="2" t="str">
        <f>IFERROR(__xludf.DUMMYFUNCTION("""COMPUTED_VALUE"""),"Innovación Digital")</f>
        <v>Innovación Digital</v>
      </c>
      <c r="G461" s="2" t="str">
        <f>IFERROR(__xludf.DUMMYFUNCTION("""COMPUTED_VALUE"""),"Finalizada")</f>
        <v>Finalizada</v>
      </c>
      <c r="H461" s="4">
        <v>4142115.0</v>
      </c>
      <c r="I461" s="4">
        <v>341879.0</v>
      </c>
      <c r="J461" s="4">
        <v>4179.0</v>
      </c>
      <c r="K461" s="4">
        <v>1616763.0</v>
      </c>
      <c r="L461" s="5">
        <v>2.1508984310007095</v>
      </c>
      <c r="M461" s="5">
        <v>2.561980327357813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6" t="s">
        <v>131</v>
      </c>
      <c r="AE461" s="4" t="s">
        <v>8</v>
      </c>
    </row>
    <row r="462" ht="16.5" customHeight="1">
      <c r="A462" s="2" t="str">
        <f>IFERROR(__xludf.DUMMYFUNCTION("""COMPUTED_VALUE"""),"2906-ABRPCCVC")</f>
        <v>2906-ABRPCCVC</v>
      </c>
      <c r="B462" s="2" t="str">
        <f>IFERROR(__xludf.DUMMYFUNCTION("""COMPUTED_VALUE"""),"Experiencia BA | TUMO")</f>
        <v>Experiencia BA | TUMO</v>
      </c>
      <c r="C462" s="3">
        <f>IFERROR(__xludf.DUMMYFUNCTION("""COMPUTED_VALUE"""),46134.0)</f>
        <v>46134</v>
      </c>
      <c r="D462" s="3">
        <f>IFERROR(__xludf.DUMMYFUNCTION("""COMPUTED_VALUE"""),46134.0)</f>
        <v>46134</v>
      </c>
      <c r="E462" s="2" t="str">
        <f>IFERROR(__xludf.DUMMYFUNCTION("""COMPUTED_VALUE"""),"Cercanía")</f>
        <v>Cercanía</v>
      </c>
      <c r="F462" s="2" t="str">
        <f>IFERROR(__xludf.DUMMYFUNCTION("""COMPUTED_VALUE"""),"Cercanía y PC")</f>
        <v>Cercanía y PC</v>
      </c>
      <c r="G462" s="2" t="str">
        <f>IFERROR(__xludf.DUMMYFUNCTION("""COMPUTED_VALUE"""),"Finalizada")</f>
        <v>Finalizada</v>
      </c>
      <c r="H462" s="4">
        <v>0.0</v>
      </c>
      <c r="I462" s="4">
        <v>0.0</v>
      </c>
      <c r="J462" s="4">
        <v>0.0</v>
      </c>
      <c r="K462" s="4">
        <v>0.0</v>
      </c>
      <c r="L462" s="5">
        <v>0.0</v>
      </c>
      <c r="M462" s="5">
        <v>0.0</v>
      </c>
      <c r="N462" s="4">
        <v>62309.0</v>
      </c>
      <c r="O462" s="4">
        <v>61665.0</v>
      </c>
      <c r="P462" s="4">
        <v>19384.0</v>
      </c>
      <c r="Q462" s="4">
        <v>511.0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 t="s">
        <v>8</v>
      </c>
      <c r="AE462" s="6" t="s">
        <v>9</v>
      </c>
    </row>
    <row r="463" ht="16.5" customHeight="1">
      <c r="A463" s="2" t="str">
        <f>IFERROR(__xludf.DUMMYFUNCTION("""COMPUTED_VALUE"""),"2907-ABRPCCVC")</f>
        <v>2907-ABRPCCVC</v>
      </c>
      <c r="B463" s="2" t="str">
        <f>IFERROR(__xludf.DUMMYFUNCTION("""COMPUTED_VALUE"""),"Encuentro sobre area de desarrollo Prioritario Constitución")</f>
        <v>Encuentro sobre area de desarrollo Prioritario Constitución</v>
      </c>
      <c r="C463" s="3">
        <f>IFERROR(__xludf.DUMMYFUNCTION("""COMPUTED_VALUE"""),46134.0)</f>
        <v>46134</v>
      </c>
      <c r="D463" s="3">
        <f>IFERROR(__xludf.DUMMYFUNCTION("""COMPUTED_VALUE"""),46134.0)</f>
        <v>46134</v>
      </c>
      <c r="E463" s="2" t="str">
        <f>IFERROR(__xludf.DUMMYFUNCTION("""COMPUTED_VALUE"""),"Cercanía")</f>
        <v>Cercanía</v>
      </c>
      <c r="F463" s="2" t="str">
        <f>IFERROR(__xludf.DUMMYFUNCTION("""COMPUTED_VALUE"""),"Cercanía y PC")</f>
        <v>Cercanía y PC</v>
      </c>
      <c r="G463" s="2" t="str">
        <f>IFERROR(__xludf.DUMMYFUNCTION("""COMPUTED_VALUE"""),"Finalizada")</f>
        <v>Finalizada</v>
      </c>
      <c r="H463" s="4">
        <v>0.0</v>
      </c>
      <c r="I463" s="4">
        <v>0.0</v>
      </c>
      <c r="J463" s="4">
        <v>0.0</v>
      </c>
      <c r="K463" s="4">
        <v>0.0</v>
      </c>
      <c r="L463" s="5">
        <v>0.0</v>
      </c>
      <c r="M463" s="5">
        <v>0.0</v>
      </c>
      <c r="N463" s="4">
        <v>14657.0</v>
      </c>
      <c r="O463" s="4">
        <v>14426.0</v>
      </c>
      <c r="P463" s="4">
        <v>2816.0</v>
      </c>
      <c r="Q463" s="4">
        <v>113.0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 t="s">
        <v>8</v>
      </c>
      <c r="AE463" s="6" t="s">
        <v>9</v>
      </c>
    </row>
    <row r="464" ht="16.5" customHeight="1">
      <c r="A464" s="2" t="str">
        <f>IFERROR(__xludf.DUMMYFUNCTION("""COMPUTED_VALUE"""),"2908-ABRSALGC")</f>
        <v>2908-ABRSALGC</v>
      </c>
      <c r="B464" s="2" t="str">
        <f>IFERROR(__xludf.DUMMYFUNCTION("""COMPUTED_VALUE"""),"Hospital Muñiz - Fin de obra")</f>
        <v>Hospital Muñiz - Fin de obra</v>
      </c>
      <c r="C464" s="3">
        <f>IFERROR(__xludf.DUMMYFUNCTION("""COMPUTED_VALUE"""),46135.0)</f>
        <v>46135</v>
      </c>
      <c r="D464" s="3">
        <f>IFERROR(__xludf.DUMMYFUNCTION("""COMPUTED_VALUE"""),46149.0)</f>
        <v>46149</v>
      </c>
      <c r="E464" s="2" t="str">
        <f>IFERROR(__xludf.DUMMYFUNCTION("""COMPUTED_VALUE"""),"Cuidado")</f>
        <v>Cuidado</v>
      </c>
      <c r="F464" s="2" t="str">
        <f>IFERROR(__xludf.DUMMYFUNCTION("""COMPUTED_VALUE"""),"Salud")</f>
        <v>Salud</v>
      </c>
      <c r="G464" s="2" t="str">
        <f>IFERROR(__xludf.DUMMYFUNCTION("""COMPUTED_VALUE"""),"Finalizada")</f>
        <v>Finalizada</v>
      </c>
      <c r="H464" s="4">
        <v>5345645.0</v>
      </c>
      <c r="I464" s="4">
        <v>1385.0</v>
      </c>
      <c r="J464" s="4">
        <v>8700.0</v>
      </c>
      <c r="K464" s="4">
        <v>658825.0</v>
      </c>
      <c r="L464" s="5">
        <v>1.8992828141008613</v>
      </c>
      <c r="M464" s="5">
        <v>8.11390733502827</v>
      </c>
      <c r="N464" s="4">
        <v>61659.0</v>
      </c>
      <c r="O464" s="4">
        <v>60637.0</v>
      </c>
      <c r="P464" s="4">
        <v>16446.0</v>
      </c>
      <c r="Q464" s="4">
        <v>117.0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6" t="s">
        <v>132</v>
      </c>
      <c r="AE464" s="6" t="s">
        <v>9</v>
      </c>
    </row>
    <row r="465" ht="16.5" customHeight="1">
      <c r="A465" s="2" t="str">
        <f>IFERROR(__xludf.DUMMYFUNCTION("""COMPUTED_VALUE"""),"2909-ABRJDGAG")</f>
        <v>2909-ABRJDGAG</v>
      </c>
      <c r="B465" s="2" t="str">
        <f>IFERROR(__xludf.DUMMYFUNCTION("""COMPUTED_VALUE"""),"RDV JM Primera Persona | Comuna 1 27/04 Gastón Pauls")</f>
        <v>RDV JM Primera Persona | Comuna 1 27/04 Gastón Pauls</v>
      </c>
      <c r="C465" s="3">
        <f>IFERROR(__xludf.DUMMYFUNCTION("""COMPUTED_VALUE"""),46134.0)</f>
        <v>46134</v>
      </c>
      <c r="D465" s="3">
        <f>IFERROR(__xludf.DUMMYFUNCTION("""COMPUTED_VALUE"""),46152.0)</f>
        <v>46152</v>
      </c>
      <c r="E465" s="2" t="str">
        <f>IFERROR(__xludf.DUMMYFUNCTION("""COMPUTED_VALUE"""),"Cercanía")</f>
        <v>Cercanía</v>
      </c>
      <c r="F465" s="2" t="str">
        <f>IFERROR(__xludf.DUMMYFUNCTION("""COMPUTED_VALUE"""),"Jefatura de Gobierno")</f>
        <v>Jefatura de Gobierno</v>
      </c>
      <c r="G465" s="2" t="str">
        <f>IFERROR(__xludf.DUMMYFUNCTION("""COMPUTED_VALUE"""),"Finalizada")</f>
        <v>Finalizada</v>
      </c>
      <c r="H465" s="4">
        <v>2879294.0</v>
      </c>
      <c r="I465" s="4">
        <v>430727.0</v>
      </c>
      <c r="J465" s="4">
        <v>11790.0</v>
      </c>
      <c r="K465" s="4">
        <v>265810.0</v>
      </c>
      <c r="L465" s="5">
        <v>6.076287573830932</v>
      </c>
      <c r="M465" s="5">
        <v>10.832150784394868</v>
      </c>
      <c r="N465" s="4">
        <v>101057.0</v>
      </c>
      <c r="O465" s="4">
        <v>99354.0</v>
      </c>
      <c r="P465" s="4">
        <v>21142.0</v>
      </c>
      <c r="Q465" s="4">
        <v>1044.0</v>
      </c>
      <c r="R465" s="4">
        <v>9305.0</v>
      </c>
      <c r="S465" s="4">
        <v>9124.0</v>
      </c>
      <c r="T465" s="4">
        <v>2087.0</v>
      </c>
      <c r="U465" s="4">
        <v>1762.0</v>
      </c>
      <c r="V465" s="4">
        <v>62676.0</v>
      </c>
      <c r="W465" s="4">
        <v>62676.0</v>
      </c>
      <c r="X465" s="4">
        <v>58952.0</v>
      </c>
      <c r="Y465" s="4">
        <v>26514.0</v>
      </c>
      <c r="Z465" s="4">
        <v>175.0</v>
      </c>
      <c r="AA465" s="4">
        <v>0.0</v>
      </c>
      <c r="AB465" s="4">
        <v>0.0</v>
      </c>
      <c r="AC465" s="4">
        <v>0.0</v>
      </c>
      <c r="AD465" s="6" t="s">
        <v>133</v>
      </c>
      <c r="AE465" s="6" t="s">
        <v>9</v>
      </c>
    </row>
    <row r="466" ht="16.5" customHeight="1">
      <c r="A466" s="2" t="str">
        <f>IFERROR(__xludf.DUMMYFUNCTION("""COMPUTED_VALUE"""),"2910-ABRSALGC")</f>
        <v>2910-ABRSALGC</v>
      </c>
      <c r="B466" s="2" t="str">
        <f>IFERROR(__xludf.DUMMYFUNCTION("""COMPUTED_VALUE"""),"Programa de Acogimiento Familiar")</f>
        <v>Programa de Acogimiento Familiar</v>
      </c>
      <c r="C466" s="3">
        <f>IFERROR(__xludf.DUMMYFUNCTION("""COMPUTED_VALUE"""),46168.0)</f>
        <v>46168</v>
      </c>
      <c r="D466" s="3">
        <f>IFERROR(__xludf.DUMMYFUNCTION("""COMPUTED_VALUE"""),46189.0)</f>
        <v>46189</v>
      </c>
      <c r="E466" s="2" t="str">
        <f>IFERROR(__xludf.DUMMYFUNCTION("""COMPUTED_VALUE"""),"Cuidado")</f>
        <v>Cuidado</v>
      </c>
      <c r="F466" s="2" t="str">
        <f>IFERROR(__xludf.DUMMYFUNCTION("""COMPUTED_VALUE"""),"Salud")</f>
        <v>Salud</v>
      </c>
      <c r="G466" s="2" t="str">
        <f>IFERROR(__xludf.DUMMYFUNCTION("""COMPUTED_VALUE"""),"Finalizada")</f>
        <v>Finalizada</v>
      </c>
      <c r="H466" s="4">
        <v>299543.0</v>
      </c>
      <c r="I466" s="4">
        <v>0.0</v>
      </c>
      <c r="J466" s="4">
        <v>5108.0</v>
      </c>
      <c r="K466" s="4">
        <v>101248.0</v>
      </c>
      <c r="L466" s="5">
        <v>1.0799521965865992</v>
      </c>
      <c r="M466" s="5">
        <v>2.9585078223767383</v>
      </c>
      <c r="N466" s="4">
        <v>192271.0</v>
      </c>
      <c r="O466" s="4">
        <v>189942.0</v>
      </c>
      <c r="P466" s="4">
        <v>62087.0</v>
      </c>
      <c r="Q466" s="4">
        <v>1754.0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6" t="s">
        <v>134</v>
      </c>
      <c r="AE466" s="6" t="s">
        <v>9</v>
      </c>
    </row>
    <row r="467" ht="16.5" customHeight="1">
      <c r="A467" s="2" t="str">
        <f>IFERROR(__xludf.DUMMYFUNCTION("""COMPUTED_VALUE"""),"2912-ABRINFGC")</f>
        <v>2912-ABRINFGC</v>
      </c>
      <c r="B467" s="2" t="str">
        <f>IFERROR(__xludf.DUMMYFUNCTION("""COMPUTED_VALUE""")," Cortes por Carrera Maratana 2026")</f>
        <v> Cortes por Carrera Maratana 2026</v>
      </c>
      <c r="C467" s="3">
        <f>IFERROR(__xludf.DUMMYFUNCTION("""COMPUTED_VALUE"""),46135.0)</f>
        <v>46135</v>
      </c>
      <c r="D467" s="3">
        <f>IFERROR(__xludf.DUMMYFUNCTION("""COMPUTED_VALUE"""),46138.0)</f>
        <v>46138</v>
      </c>
      <c r="E467" s="2" t="str">
        <f>IFERROR(__xludf.DUMMYFUNCTION("""COMPUTED_VALUE"""),"Movilidad")</f>
        <v>Movilidad</v>
      </c>
      <c r="F467" s="2" t="str">
        <f>IFERROR(__xludf.DUMMYFUNCTION("""COMPUTED_VALUE"""),"Infraestructura")</f>
        <v>Infraestructura</v>
      </c>
      <c r="G467" s="2" t="str">
        <f>IFERROR(__xludf.DUMMYFUNCTION("""COMPUTED_VALUE"""),"Finalizada")</f>
        <v>Finalizada</v>
      </c>
      <c r="H467" s="4">
        <v>18221.0</v>
      </c>
      <c r="I467" s="4">
        <v>0.0</v>
      </c>
      <c r="J467" s="4">
        <v>261.0</v>
      </c>
      <c r="K467" s="4">
        <v>3741.0</v>
      </c>
      <c r="L467" s="5">
        <v>4.8706228281208235</v>
      </c>
      <c r="M467" s="5">
        <v>4.8706228281208235</v>
      </c>
      <c r="N467" s="4">
        <v>45136.0</v>
      </c>
      <c r="O467" s="4">
        <v>44611.0</v>
      </c>
      <c r="P467" s="4">
        <v>13464.0</v>
      </c>
      <c r="Q467" s="4">
        <v>208.0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6" t="s">
        <v>135</v>
      </c>
      <c r="AE467" s="6" t="s">
        <v>9</v>
      </c>
    </row>
    <row r="468" ht="16.5" customHeight="1">
      <c r="A468" s="2" t="str">
        <f>IFERROR(__xludf.DUMMYFUNCTION("""COMPUTED_VALUE"""),"2913-ABRPCCVC")</f>
        <v>2913-ABRPCCVC</v>
      </c>
      <c r="B468" s="2" t="str">
        <f>IFERROR(__xludf.DUMMYFUNCTION("""COMPUTED_VALUE"""),"Experiencia BA | CityBus")</f>
        <v>Experiencia BA | CityBus</v>
      </c>
      <c r="C468" s="3">
        <f>IFERROR(__xludf.DUMMYFUNCTION("""COMPUTED_VALUE"""),46132.0)</f>
        <v>46132</v>
      </c>
      <c r="D468" s="3">
        <f>IFERROR(__xludf.DUMMYFUNCTION("""COMPUTED_VALUE"""),46142.0)</f>
        <v>46142</v>
      </c>
      <c r="E468" s="2" t="str">
        <f>IFERROR(__xludf.DUMMYFUNCTION("""COMPUTED_VALUE"""),"Cercanía")</f>
        <v>Cercanía</v>
      </c>
      <c r="F468" s="2" t="str">
        <f>IFERROR(__xludf.DUMMYFUNCTION("""COMPUTED_VALUE"""),"Cercanía y PC")</f>
        <v>Cercanía y PC</v>
      </c>
      <c r="G468" s="2" t="str">
        <f>IFERROR(__xludf.DUMMYFUNCTION("""COMPUTED_VALUE"""),"Finalizada")</f>
        <v>Finalizada</v>
      </c>
      <c r="H468" s="4">
        <v>1971099.0</v>
      </c>
      <c r="I468" s="4">
        <v>121436.0</v>
      </c>
      <c r="J468" s="4">
        <v>620.0</v>
      </c>
      <c r="K468" s="4">
        <v>1126189.0</v>
      </c>
      <c r="L468" s="5">
        <v>1.7502381927012252</v>
      </c>
      <c r="M468" s="5">
        <v>1.7502381927012252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6" t="s">
        <v>136</v>
      </c>
      <c r="AE468" s="4" t="s">
        <v>8</v>
      </c>
    </row>
    <row r="469" ht="16.5" customHeight="1">
      <c r="A469" s="2" t="str">
        <f>IFERROR(__xludf.DUMMYFUNCTION("""COMPUTED_VALUE"""),"2914-ABRAMBVC")</f>
        <v>2914-ABRAMBVC</v>
      </c>
      <c r="B469" s="2" t="str">
        <f>IFERROR(__xludf.DUMMYFUNCTION("""COMPUTED_VALUE"""),"RDV Ministros | Clara Muzzio - 24/4 - Temática")</f>
        <v>RDV Ministros | Clara Muzzio - 24/4 - Temática</v>
      </c>
      <c r="C469" s="3">
        <f>IFERROR(__xludf.DUMMYFUNCTION("""COMPUTED_VALUE"""),46133.0)</f>
        <v>46133</v>
      </c>
      <c r="D469" s="3">
        <f>IFERROR(__xludf.DUMMYFUNCTION("""COMPUTED_VALUE"""),46140.0)</f>
        <v>46140</v>
      </c>
      <c r="E469" s="2" t="str">
        <f>IFERROR(__xludf.DUMMYFUNCTION("""COMPUTED_VALUE"""),"Cercanía")</f>
        <v>Cercanía</v>
      </c>
      <c r="F469" s="2" t="str">
        <f>IFERROR(__xludf.DUMMYFUNCTION("""COMPUTED_VALUE"""),"Vicejefatura (Ambiente)")</f>
        <v>Vicejefatura (Ambiente)</v>
      </c>
      <c r="G469" s="2" t="str">
        <f>IFERROR(__xludf.DUMMYFUNCTION("""COMPUTED_VALUE"""),"Finalizada")</f>
        <v>Finalizada</v>
      </c>
      <c r="H469" s="4">
        <v>1132964.0</v>
      </c>
      <c r="I469" s="4">
        <v>0.0</v>
      </c>
      <c r="J469" s="4">
        <v>1859.0</v>
      </c>
      <c r="K469" s="4">
        <v>747158.0</v>
      </c>
      <c r="L469" s="5">
        <v>1.5163646778860695</v>
      </c>
      <c r="M469" s="5">
        <v>1.5163646778860695</v>
      </c>
      <c r="N469" s="4">
        <v>23578.0</v>
      </c>
      <c r="O469" s="4">
        <v>23337.0</v>
      </c>
      <c r="P469" s="4">
        <v>6152.0</v>
      </c>
      <c r="Q469" s="4">
        <v>117.0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6" t="s">
        <v>137</v>
      </c>
      <c r="AE469" s="6" t="s">
        <v>9</v>
      </c>
    </row>
    <row r="470" ht="16.5" customHeight="1">
      <c r="A470" s="2" t="str">
        <f>IFERROR(__xludf.DUMMYFUNCTION("""COMPUTED_VALUE"""),"2915-ABRPCCVC")</f>
        <v>2915-ABRPCCVC</v>
      </c>
      <c r="B470" s="2" t="str">
        <f>IFERROR(__xludf.DUMMYFUNCTION("""COMPUTED_VALUE"""),"Envio de resultados Fomentista")</f>
        <v>Envio de resultados Fomentista</v>
      </c>
      <c r="C470" s="3">
        <f>IFERROR(__xludf.DUMMYFUNCTION("""COMPUTED_VALUE"""),46136.0)</f>
        <v>46136</v>
      </c>
      <c r="D470" s="3">
        <f>IFERROR(__xludf.DUMMYFUNCTION("""COMPUTED_VALUE"""),46136.0)</f>
        <v>46136</v>
      </c>
      <c r="E470" s="2" t="str">
        <f>IFERROR(__xludf.DUMMYFUNCTION("""COMPUTED_VALUE"""),"Cercanía")</f>
        <v>Cercanía</v>
      </c>
      <c r="F470" s="2" t="str">
        <f>IFERROR(__xludf.DUMMYFUNCTION("""COMPUTED_VALUE"""),"Cercanía y PC")</f>
        <v>Cercanía y PC</v>
      </c>
      <c r="G470" s="2" t="str">
        <f>IFERROR(__xludf.DUMMYFUNCTION("""COMPUTED_VALUE"""),"Finalizada")</f>
        <v>Finalizada</v>
      </c>
      <c r="H470" s="4">
        <v>0.0</v>
      </c>
      <c r="I470" s="4">
        <v>0.0</v>
      </c>
      <c r="J470" s="4">
        <v>0.0</v>
      </c>
      <c r="K470" s="4">
        <v>0.0</v>
      </c>
      <c r="L470" s="5">
        <v>0.0</v>
      </c>
      <c r="M470" s="5">
        <v>0.0</v>
      </c>
      <c r="N470" s="4">
        <v>531.0</v>
      </c>
      <c r="O470" s="4">
        <v>527.0</v>
      </c>
      <c r="P470" s="4">
        <v>166.0</v>
      </c>
      <c r="Q470" s="4">
        <v>3.0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 t="s">
        <v>8</v>
      </c>
      <c r="AE470" s="6" t="s">
        <v>9</v>
      </c>
    </row>
    <row r="471" ht="16.5" customHeight="1">
      <c r="A471" s="2" t="str">
        <f>IFERROR(__xludf.DUMMYFUNCTION("""COMPUTED_VALUE"""),"2916-ABRPCCVC")</f>
        <v>2916-ABRPCCVC</v>
      </c>
      <c r="B471" s="2" t="str">
        <f>IFERROR(__xludf.DUMMYFUNCTION("""COMPUTED_VALUE"""),"Mes del compostaje")</f>
        <v>Mes del compostaje</v>
      </c>
      <c r="C471" s="3">
        <f>IFERROR(__xludf.DUMMYFUNCTION("""COMPUTED_VALUE"""),46136.0)</f>
        <v>46136</v>
      </c>
      <c r="D471" s="3">
        <f>IFERROR(__xludf.DUMMYFUNCTION("""COMPUTED_VALUE"""),46139.0)</f>
        <v>46139</v>
      </c>
      <c r="E471" s="2" t="str">
        <f>IFERROR(__xludf.DUMMYFUNCTION("""COMPUTED_VALUE"""),"Cercanía")</f>
        <v>Cercanía</v>
      </c>
      <c r="F471" s="2" t="str">
        <f>IFERROR(__xludf.DUMMYFUNCTION("""COMPUTED_VALUE"""),"Cercanía y PC")</f>
        <v>Cercanía y PC</v>
      </c>
      <c r="G471" s="2" t="str">
        <f>IFERROR(__xludf.DUMMYFUNCTION("""COMPUTED_VALUE"""),"Finalizada")</f>
        <v>Finalizada</v>
      </c>
      <c r="H471" s="4">
        <v>0.0</v>
      </c>
      <c r="I471" s="4">
        <v>0.0</v>
      </c>
      <c r="J471" s="4">
        <v>0.0</v>
      </c>
      <c r="K471" s="4">
        <v>0.0</v>
      </c>
      <c r="L471" s="5">
        <v>0.0</v>
      </c>
      <c r="M471" s="5">
        <v>0.0</v>
      </c>
      <c r="N471" s="4">
        <v>70367.0</v>
      </c>
      <c r="O471" s="4">
        <v>69281.0</v>
      </c>
      <c r="P471" s="4">
        <v>15628.0</v>
      </c>
      <c r="Q471" s="4">
        <v>162.0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 t="s">
        <v>8</v>
      </c>
      <c r="AE471" s="6" t="s">
        <v>9</v>
      </c>
    </row>
    <row r="472" ht="16.5" customHeight="1">
      <c r="A472" s="2" t="str">
        <f>IFERROR(__xludf.DUMMYFUNCTION("""COMPUTED_VALUE"""),"2917-ABRJDGGC")</f>
        <v>2917-ABRJDGGC</v>
      </c>
      <c r="B472" s="2" t="str">
        <f>IFERROR(__xludf.DUMMYFUNCTION("""COMPUTED_VALUE"""),"Infraestructura I Apertura Piedras Línea A")</f>
        <v>Infraestructura I Apertura Piedras Línea A</v>
      </c>
      <c r="C472" s="3">
        <f>IFERROR(__xludf.DUMMYFUNCTION("""COMPUTED_VALUE"""),46178.0)</f>
        <v>46178</v>
      </c>
      <c r="D472" s="3">
        <f>IFERROR(__xludf.DUMMYFUNCTION("""COMPUTED_VALUE"""),46195.0)</f>
        <v>46195</v>
      </c>
      <c r="E472" s="2" t="str">
        <f>IFERROR(__xludf.DUMMYFUNCTION("""COMPUTED_VALUE"""),"Cercanía")</f>
        <v>Cercanía</v>
      </c>
      <c r="F472" s="2" t="str">
        <f>IFERROR(__xludf.DUMMYFUNCTION("""COMPUTED_VALUE"""),"Jefatura de Gobierno")</f>
        <v>Jefatura de Gobierno</v>
      </c>
      <c r="G472" s="2" t="str">
        <f>IFERROR(__xludf.DUMMYFUNCTION("""COMPUTED_VALUE"""),"Finalizada")</f>
        <v>Finalizada</v>
      </c>
      <c r="H472" s="4">
        <v>1690842.0</v>
      </c>
      <c r="I472" s="4">
        <v>0.0</v>
      </c>
      <c r="J472" s="4">
        <v>3086.0</v>
      </c>
      <c r="K472" s="4">
        <v>98243.0</v>
      </c>
      <c r="L472" s="5">
        <v>2.756756206549067</v>
      </c>
      <c r="M472" s="5">
        <v>17.21081400201541</v>
      </c>
      <c r="N472" s="4">
        <v>182647.0</v>
      </c>
      <c r="O472" s="4">
        <v>180974.0</v>
      </c>
      <c r="P472" s="4">
        <v>49229.0</v>
      </c>
      <c r="Q472" s="4">
        <v>808.0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40505.0</v>
      </c>
      <c r="AB472" s="4">
        <v>37280.0</v>
      </c>
      <c r="AC472" s="4">
        <v>0.0</v>
      </c>
      <c r="AD472" s="6" t="s">
        <v>138</v>
      </c>
      <c r="AE472" s="6" t="s">
        <v>9</v>
      </c>
    </row>
    <row r="473" ht="16.5" customHeight="1">
      <c r="A473" s="2" t="str">
        <f>IFERROR(__xludf.DUMMYFUNCTION("""COMPUTED_VALUE"""),"2918-ABRVINVC")</f>
        <v>2918-ABRVINVC</v>
      </c>
      <c r="B473" s="2" t="str">
        <f>IFERROR(__xludf.DUMMYFUNCTION("""COMPUTED_VALUE"""),"CAMPAÑA GCBA | VINCULO CIUDADANO | Mas servicios en tu barrio 2026: Villa Lugano 27/4")</f>
        <v>CAMPAÑA GCBA | VINCULO CIUDADANO | Mas servicios en tu barrio 2026: Villa Lugano 27/4</v>
      </c>
      <c r="C473" s="3">
        <f>IFERROR(__xludf.DUMMYFUNCTION("""COMPUTED_VALUE"""),46136.0)</f>
        <v>46136</v>
      </c>
      <c r="D473" s="3">
        <f>IFERROR(__xludf.DUMMYFUNCTION("""COMPUTED_VALUE"""),46136.0)</f>
        <v>46136</v>
      </c>
      <c r="E473" s="2" t="str">
        <f>IFERROR(__xludf.DUMMYFUNCTION("""COMPUTED_VALUE"""),"M2")</f>
        <v>M2</v>
      </c>
      <c r="F473" s="2" t="str">
        <f>IFERROR(__xludf.DUMMYFUNCTION("""COMPUTED_VALUE"""),"Vínculo Ciudadano")</f>
        <v>Vínculo Ciudadano</v>
      </c>
      <c r="G473" s="2" t="str">
        <f>IFERROR(__xludf.DUMMYFUNCTION("""COMPUTED_VALUE"""),"Finalizada")</f>
        <v>Finalizada</v>
      </c>
      <c r="H473" s="4">
        <v>0.0</v>
      </c>
      <c r="I473" s="4">
        <v>0.0</v>
      </c>
      <c r="J473" s="4">
        <v>0.0</v>
      </c>
      <c r="K473" s="4">
        <v>0.0</v>
      </c>
      <c r="L473" s="5">
        <v>0.0</v>
      </c>
      <c r="M473" s="5">
        <v>0.0</v>
      </c>
      <c r="N473" s="4">
        <v>12163.0</v>
      </c>
      <c r="O473" s="4">
        <v>11980.0</v>
      </c>
      <c r="P473" s="4">
        <v>3076.0</v>
      </c>
      <c r="Q473" s="4">
        <v>205.0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 t="s">
        <v>8</v>
      </c>
      <c r="AE473" s="6" t="s">
        <v>9</v>
      </c>
    </row>
    <row r="474" ht="16.5" customHeight="1">
      <c r="A474" s="2" t="str">
        <f>IFERROR(__xludf.DUMMYFUNCTION("""COMPUTED_VALUE"""),"2919-ABRVINVC")</f>
        <v>2919-ABRVINVC</v>
      </c>
      <c r="B474" s="2" t="str">
        <f>IFERROR(__xludf.DUMMYFUNCTION("""COMPUTED_VALUE"""),"CAMPAÑA GCBA | VINCULO CIUDADANO | Mas servicios en tu barrio 2026:  Villa Pueyrredón 28/4")</f>
        <v>CAMPAÑA GCBA | VINCULO CIUDADANO | Mas servicios en tu barrio 2026:  Villa Pueyrredón 28/4</v>
      </c>
      <c r="C474" s="3">
        <f>IFERROR(__xludf.DUMMYFUNCTION("""COMPUTED_VALUE"""),46136.0)</f>
        <v>46136</v>
      </c>
      <c r="D474" s="3">
        <f>IFERROR(__xludf.DUMMYFUNCTION("""COMPUTED_VALUE"""),46136.0)</f>
        <v>46136</v>
      </c>
      <c r="E474" s="2" t="str">
        <f>IFERROR(__xludf.DUMMYFUNCTION("""COMPUTED_VALUE"""),"M2")</f>
        <v>M2</v>
      </c>
      <c r="F474" s="2" t="str">
        <f>IFERROR(__xludf.DUMMYFUNCTION("""COMPUTED_VALUE"""),"Vínculo Ciudadano")</f>
        <v>Vínculo Ciudadano</v>
      </c>
      <c r="G474" s="2" t="str">
        <f>IFERROR(__xludf.DUMMYFUNCTION("""COMPUTED_VALUE"""),"Finalizada")</f>
        <v>Finalizada</v>
      </c>
      <c r="H474" s="4">
        <v>0.0</v>
      </c>
      <c r="I474" s="4">
        <v>0.0</v>
      </c>
      <c r="J474" s="4">
        <v>0.0</v>
      </c>
      <c r="K474" s="4">
        <v>0.0</v>
      </c>
      <c r="L474" s="5">
        <v>0.0</v>
      </c>
      <c r="M474" s="5">
        <v>0.0</v>
      </c>
      <c r="N474" s="4">
        <v>14837.0</v>
      </c>
      <c r="O474" s="4">
        <v>14693.0</v>
      </c>
      <c r="P474" s="4">
        <v>5185.0</v>
      </c>
      <c r="Q474" s="4">
        <v>276.0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 t="s">
        <v>8</v>
      </c>
      <c r="AE474" s="6" t="s">
        <v>9</v>
      </c>
    </row>
    <row r="475" ht="16.5" customHeight="1">
      <c r="A475" s="2" t="str">
        <f>IFERROR(__xludf.DUMMYFUNCTION("""COMPUTED_VALUE"""),"2920-ABRVINVC")</f>
        <v>2920-ABRVINVC</v>
      </c>
      <c r="B475" s="2" t="str">
        <f>IFERROR(__xludf.DUMMYFUNCTION("""COMPUTED_VALUE"""),"CAMPAÑA GCBA | VINCULO CIUDADANO | Mas servicios en tu barrio 2026: La Paternal 29/4")</f>
        <v>CAMPAÑA GCBA | VINCULO CIUDADANO | Mas servicios en tu barrio 2026: La Paternal 29/4</v>
      </c>
      <c r="C475" s="3">
        <f>IFERROR(__xludf.DUMMYFUNCTION("""COMPUTED_VALUE"""),46136.0)</f>
        <v>46136</v>
      </c>
      <c r="D475" s="3">
        <f>IFERROR(__xludf.DUMMYFUNCTION("""COMPUTED_VALUE"""),46136.0)</f>
        <v>46136</v>
      </c>
      <c r="E475" s="2" t="str">
        <f>IFERROR(__xludf.DUMMYFUNCTION("""COMPUTED_VALUE"""),"M2")</f>
        <v>M2</v>
      </c>
      <c r="F475" s="2" t="str">
        <f>IFERROR(__xludf.DUMMYFUNCTION("""COMPUTED_VALUE"""),"Vínculo Ciudadano")</f>
        <v>Vínculo Ciudadano</v>
      </c>
      <c r="G475" s="2" t="str">
        <f>IFERROR(__xludf.DUMMYFUNCTION("""COMPUTED_VALUE"""),"Finalizada")</f>
        <v>Finalizada</v>
      </c>
      <c r="H475" s="4">
        <v>0.0</v>
      </c>
      <c r="I475" s="4">
        <v>0.0</v>
      </c>
      <c r="J475" s="4">
        <v>0.0</v>
      </c>
      <c r="K475" s="4">
        <v>0.0</v>
      </c>
      <c r="L475" s="5">
        <v>0.0</v>
      </c>
      <c r="M475" s="5">
        <v>0.0</v>
      </c>
      <c r="N475" s="4">
        <v>7494.0</v>
      </c>
      <c r="O475" s="4">
        <v>7417.0</v>
      </c>
      <c r="P475" s="4">
        <v>2359.0</v>
      </c>
      <c r="Q475" s="4">
        <v>125.0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 t="s">
        <v>8</v>
      </c>
      <c r="AE475" s="6" t="s">
        <v>9</v>
      </c>
    </row>
    <row r="476" ht="16.5" customHeight="1">
      <c r="A476" s="2" t="str">
        <f>IFERROR(__xludf.DUMMYFUNCTION("""COMPUTED_VALUE"""),"2921-ABRVINVC")</f>
        <v>2921-ABRVINVC</v>
      </c>
      <c r="B476" s="2" t="str">
        <f>IFERROR(__xludf.DUMMYFUNCTION("""COMPUTED_VALUE"""),"CAMPAÑA GCBA | VINCULO CIUDADANO | Mas servicios en tu barrio 2026: Coghlan 30/4")</f>
        <v>CAMPAÑA GCBA | VINCULO CIUDADANO | Mas servicios en tu barrio 2026: Coghlan 30/4</v>
      </c>
      <c r="C476" s="3">
        <f>IFERROR(__xludf.DUMMYFUNCTION("""COMPUTED_VALUE"""),46139.0)</f>
        <v>46139</v>
      </c>
      <c r="D476" s="3">
        <f>IFERROR(__xludf.DUMMYFUNCTION("""COMPUTED_VALUE"""),46139.0)</f>
        <v>46139</v>
      </c>
      <c r="E476" s="2" t="str">
        <f>IFERROR(__xludf.DUMMYFUNCTION("""COMPUTED_VALUE"""),"M2")</f>
        <v>M2</v>
      </c>
      <c r="F476" s="2" t="str">
        <f>IFERROR(__xludf.DUMMYFUNCTION("""COMPUTED_VALUE"""),"Vínculo Ciudadano")</f>
        <v>Vínculo Ciudadano</v>
      </c>
      <c r="G476" s="2" t="str">
        <f>IFERROR(__xludf.DUMMYFUNCTION("""COMPUTED_VALUE"""),"Finalizada")</f>
        <v>Finalizada</v>
      </c>
      <c r="H476" s="4">
        <v>0.0</v>
      </c>
      <c r="I476" s="4">
        <v>0.0</v>
      </c>
      <c r="J476" s="4">
        <v>0.0</v>
      </c>
      <c r="K476" s="4">
        <v>0.0</v>
      </c>
      <c r="L476" s="5">
        <v>0.0</v>
      </c>
      <c r="M476" s="5">
        <v>0.0</v>
      </c>
      <c r="N476" s="4">
        <v>17438.0</v>
      </c>
      <c r="O476" s="4">
        <v>17272.0</v>
      </c>
      <c r="P476" s="4">
        <v>6728.0</v>
      </c>
      <c r="Q476" s="4">
        <v>280.0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 t="s">
        <v>8</v>
      </c>
      <c r="AE476" s="6" t="s">
        <v>9</v>
      </c>
    </row>
    <row r="477" ht="16.5" customHeight="1">
      <c r="A477" s="2" t="str">
        <f>IFERROR(__xludf.DUMMYFUNCTION("""COMPUTED_VALUE"""),"2922-ABREPHVC")</f>
        <v>2922-ABREPHVC</v>
      </c>
      <c r="B477" s="2" t="str">
        <f>IFERROR(__xludf.DUMMYFUNCTION("""COMPUTED_VALUE"""),"RDV MINISTROS | IGNACIO BAISTROCCHI  27/4 COMUNA 10")</f>
        <v>RDV MINISTROS | IGNACIO BAISTROCCHI  27/4 COMUNA 10</v>
      </c>
      <c r="C477" s="3">
        <f>IFERROR(__xludf.DUMMYFUNCTION("""COMPUTED_VALUE"""),46135.0)</f>
        <v>46135</v>
      </c>
      <c r="D477" s="3">
        <f>IFERROR(__xludf.DUMMYFUNCTION("""COMPUTED_VALUE"""),46140.0)</f>
        <v>46140</v>
      </c>
      <c r="E477" s="2" t="str">
        <f>IFERROR(__xludf.DUMMYFUNCTION("""COMPUTED_VALUE"""),"Cercanía")</f>
        <v>Cercanía</v>
      </c>
      <c r="F477" s="2" t="str">
        <f>IFERROR(__xludf.DUMMYFUNCTION("""COMPUTED_VALUE"""),"Espacio Público e Higiene Urbana")</f>
        <v>Espacio Público e Higiene Urbana</v>
      </c>
      <c r="G477" s="2" t="str">
        <f>IFERROR(__xludf.DUMMYFUNCTION("""COMPUTED_VALUE"""),"Finalizada")</f>
        <v>Finalizada</v>
      </c>
      <c r="H477" s="4">
        <v>126204.0</v>
      </c>
      <c r="I477" s="4">
        <v>0.0</v>
      </c>
      <c r="J477" s="4">
        <v>459.0</v>
      </c>
      <c r="K477" s="4">
        <v>26323.0</v>
      </c>
      <c r="L477" s="5">
        <v>4.794438323899252</v>
      </c>
      <c r="M477" s="5">
        <v>4.794438323899252</v>
      </c>
      <c r="N477" s="4">
        <v>74089.0</v>
      </c>
      <c r="O477" s="4">
        <v>73332.0</v>
      </c>
      <c r="P477" s="4">
        <v>11317.0</v>
      </c>
      <c r="Q477" s="4">
        <v>307.0</v>
      </c>
      <c r="R477" s="4">
        <v>169.0</v>
      </c>
      <c r="S477" s="4">
        <v>169.0</v>
      </c>
      <c r="T477" s="4">
        <v>54.0</v>
      </c>
      <c r="U477" s="4">
        <v>51.0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6" t="s">
        <v>139</v>
      </c>
      <c r="AE477" s="6" t="s">
        <v>9</v>
      </c>
    </row>
    <row r="478" ht="16.5" customHeight="1">
      <c r="A478" s="2" t="str">
        <f>IFERROR(__xludf.DUMMYFUNCTION("""COMPUTED_VALUE"""),"2923-ABRJDGVC")</f>
        <v>2923-ABRJDGVC</v>
      </c>
      <c r="B478" s="2" t="str">
        <f>IFERROR(__xludf.DUMMYFUNCTION("""COMPUTED_VALUE"""),"RDV MINISTROS | GABRIEL SÁNCHEZ ZINNY  27/4 VILLA LUGANO")</f>
        <v>RDV MINISTROS | GABRIEL SÁNCHEZ ZINNY  27/4 VILLA LUGANO</v>
      </c>
      <c r="C478" s="3">
        <f>IFERROR(__xludf.DUMMYFUNCTION("""COMPUTED_VALUE"""),46135.0)</f>
        <v>46135</v>
      </c>
      <c r="D478" s="3">
        <f>IFERROR(__xludf.DUMMYFUNCTION("""COMPUTED_VALUE"""),46140.0)</f>
        <v>46140</v>
      </c>
      <c r="E478" s="2" t="str">
        <f>IFERROR(__xludf.DUMMYFUNCTION("""COMPUTED_VALUE"""),"Cercanía")</f>
        <v>Cercanía</v>
      </c>
      <c r="F478" s="2" t="str">
        <f>IFERROR(__xludf.DUMMYFUNCTION("""COMPUTED_VALUE"""),"Jefatura de Gabinete")</f>
        <v>Jefatura de Gabinete</v>
      </c>
      <c r="G478" s="2" t="str">
        <f>IFERROR(__xludf.DUMMYFUNCTION("""COMPUTED_VALUE"""),"Finalizada")</f>
        <v>Finalizada</v>
      </c>
      <c r="H478" s="4">
        <v>98318.0</v>
      </c>
      <c r="I478" s="4">
        <v>0.0</v>
      </c>
      <c r="J478" s="4">
        <v>495.0</v>
      </c>
      <c r="K478" s="4">
        <v>24380.0</v>
      </c>
      <c r="L478" s="5">
        <v>4.03273174733388</v>
      </c>
      <c r="M478" s="5">
        <v>4.03273174733388</v>
      </c>
      <c r="N478" s="4">
        <v>42217.0</v>
      </c>
      <c r="O478" s="4">
        <v>41446.0</v>
      </c>
      <c r="P478" s="4">
        <v>5302.0</v>
      </c>
      <c r="Q478" s="4">
        <v>138.0</v>
      </c>
      <c r="R478" s="4">
        <v>96.0</v>
      </c>
      <c r="S478" s="4">
        <v>96.0</v>
      </c>
      <c r="T478" s="4">
        <v>28.0</v>
      </c>
      <c r="U478" s="4">
        <v>28.0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6" t="s">
        <v>140</v>
      </c>
      <c r="AE478" s="6" t="s">
        <v>9</v>
      </c>
    </row>
    <row r="479" ht="16.5" customHeight="1">
      <c r="A479" s="2" t="str">
        <f>IFERROR(__xludf.DUMMYFUNCTION("""COMPUTED_VALUE"""),"2924-ABRJDGVC")</f>
        <v>2924-ABRJDGVC</v>
      </c>
      <c r="B479" s="2" t="str">
        <f>IFERROR(__xludf.DUMMYFUNCTION("""COMPUTED_VALUE"""),"RDV MINISTROS | GABRIEL SÁNCHEZ ZINNY 28/4 COLEGIALES")</f>
        <v>RDV MINISTROS | GABRIEL SÁNCHEZ ZINNY 28/4 COLEGIALES</v>
      </c>
      <c r="C479" s="3">
        <f>IFERROR(__xludf.DUMMYFUNCTION("""COMPUTED_VALUE"""),46135.0)</f>
        <v>46135</v>
      </c>
      <c r="D479" s="3">
        <f>IFERROR(__xludf.DUMMYFUNCTION("""COMPUTED_VALUE"""),46141.0)</f>
        <v>46141</v>
      </c>
      <c r="E479" s="2" t="str">
        <f>IFERROR(__xludf.DUMMYFUNCTION("""COMPUTED_VALUE"""),"Cercanía")</f>
        <v>Cercanía</v>
      </c>
      <c r="F479" s="2" t="str">
        <f>IFERROR(__xludf.DUMMYFUNCTION("""COMPUTED_VALUE"""),"Jefatura de Gabinete")</f>
        <v>Jefatura de Gabinete</v>
      </c>
      <c r="G479" s="2" t="str">
        <f>IFERROR(__xludf.DUMMYFUNCTION("""COMPUTED_VALUE"""),"Finalizada")</f>
        <v>Finalizada</v>
      </c>
      <c r="H479" s="4">
        <v>43755.0</v>
      </c>
      <c r="I479" s="4">
        <v>0.0</v>
      </c>
      <c r="J479" s="4">
        <v>219.0</v>
      </c>
      <c r="K479" s="4"/>
      <c r="L479" s="5">
        <v>0.0</v>
      </c>
      <c r="M479" s="5">
        <v>0.0</v>
      </c>
      <c r="N479" s="4">
        <v>23423.0</v>
      </c>
      <c r="O479" s="4">
        <v>23195.0</v>
      </c>
      <c r="P479" s="4">
        <v>5887.0</v>
      </c>
      <c r="Q479" s="4">
        <v>211.0</v>
      </c>
      <c r="R479" s="4">
        <v>98.0</v>
      </c>
      <c r="S479" s="4">
        <v>98.0</v>
      </c>
      <c r="T479" s="4">
        <v>26.0</v>
      </c>
      <c r="U479" s="4">
        <v>25.0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6" t="s">
        <v>141</v>
      </c>
      <c r="AE479" s="6" t="s">
        <v>9</v>
      </c>
    </row>
    <row r="480" ht="16.5" customHeight="1">
      <c r="A480" s="2" t="str">
        <f>IFERROR(__xludf.DUMMYFUNCTION("""COMPUTED_VALUE"""),"2925-ABRSALVC")</f>
        <v>2925-ABRSALVC</v>
      </c>
      <c r="B480" s="2" t="str">
        <f>IFERROR(__xludf.DUMMYFUNCTION("""COMPUTED_VALUE"""),"RDV Ministros | Gabriel Mraida - Comuna 7")</f>
        <v>RDV Ministros | Gabriel Mraida - Comuna 7</v>
      </c>
      <c r="C480" s="3">
        <f>IFERROR(__xludf.DUMMYFUNCTION("""COMPUTED_VALUE"""),46135.0)</f>
        <v>46135</v>
      </c>
      <c r="D480" s="3">
        <f>IFERROR(__xludf.DUMMYFUNCTION("""COMPUTED_VALUE"""),46142.0)</f>
        <v>46142</v>
      </c>
      <c r="E480" s="2" t="str">
        <f>IFERROR(__xludf.DUMMYFUNCTION("""COMPUTED_VALUE"""),"Cuidado")</f>
        <v>Cuidado</v>
      </c>
      <c r="F480" s="2" t="str">
        <f>IFERROR(__xludf.DUMMYFUNCTION("""COMPUTED_VALUE"""),"Salud")</f>
        <v>Salud</v>
      </c>
      <c r="G480" s="2" t="str">
        <f>IFERROR(__xludf.DUMMYFUNCTION("""COMPUTED_VALUE"""),"Finalizada")</f>
        <v>Finalizada</v>
      </c>
      <c r="H480" s="4">
        <v>140394.0</v>
      </c>
      <c r="I480" s="4">
        <v>0.0</v>
      </c>
      <c r="J480" s="4">
        <v>582.0</v>
      </c>
      <c r="K480" s="4">
        <v>26063.0</v>
      </c>
      <c r="L480" s="5">
        <v>5.386716801596132</v>
      </c>
      <c r="M480" s="5">
        <v>5.386716801596132</v>
      </c>
      <c r="N480" s="4">
        <v>85243.0</v>
      </c>
      <c r="O480" s="4">
        <v>84196.0</v>
      </c>
      <c r="P480" s="4">
        <v>14663.0</v>
      </c>
      <c r="Q480" s="4">
        <v>210.0</v>
      </c>
      <c r="R480" s="4">
        <v>105.0</v>
      </c>
      <c r="S480" s="4">
        <v>105.0</v>
      </c>
      <c r="T480" s="4">
        <v>27.0</v>
      </c>
      <c r="U480" s="4">
        <v>26.0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6" t="s">
        <v>142</v>
      </c>
      <c r="AE480" s="6" t="s">
        <v>9</v>
      </c>
    </row>
    <row r="481" ht="16.5" customHeight="1">
      <c r="A481" s="2" t="str">
        <f>IFERROR(__xludf.DUMMYFUNCTION("""COMPUTED_VALUE"""),"2926-ABREDUVC")</f>
        <v>2926-ABREDUVC</v>
      </c>
      <c r="B481" s="2" t="str">
        <f>IFERROR(__xludf.DUMMYFUNCTION("""COMPUTED_VALUE"""),"RDV MINISTROS | Mercedes Miguel | 29/4 | comuna 15")</f>
        <v>RDV MINISTROS | Mercedes Miguel | 29/4 | comuna 15</v>
      </c>
      <c r="C481" s="3">
        <f>IFERROR(__xludf.DUMMYFUNCTION("""COMPUTED_VALUE"""),46135.0)</f>
        <v>46135</v>
      </c>
      <c r="D481" s="3">
        <f>IFERROR(__xludf.DUMMYFUNCTION("""COMPUTED_VALUE"""),46142.0)</f>
        <v>46142</v>
      </c>
      <c r="E481" s="2" t="str">
        <f>IFERROR(__xludf.DUMMYFUNCTION("""COMPUTED_VALUE"""),"Cercanía")</f>
        <v>Cercanía</v>
      </c>
      <c r="F481" s="2" t="str">
        <f>IFERROR(__xludf.DUMMYFUNCTION("""COMPUTED_VALUE"""),"Educación")</f>
        <v>Educación</v>
      </c>
      <c r="G481" s="2" t="str">
        <f>IFERROR(__xludf.DUMMYFUNCTION("""COMPUTED_VALUE"""),"Finalizada")</f>
        <v>Finalizada</v>
      </c>
      <c r="H481" s="4">
        <v>142535.0</v>
      </c>
      <c r="I481" s="4">
        <v>0.0</v>
      </c>
      <c r="J481" s="4">
        <v>426.0</v>
      </c>
      <c r="K481" s="4">
        <v>21664.0</v>
      </c>
      <c r="L481" s="5">
        <v>6.579348227474151</v>
      </c>
      <c r="M481" s="5">
        <v>6.579348227474151</v>
      </c>
      <c r="N481" s="4">
        <v>15735.0</v>
      </c>
      <c r="O481" s="4">
        <v>15550.0</v>
      </c>
      <c r="P481" s="4">
        <v>2689.0</v>
      </c>
      <c r="Q481" s="4">
        <v>49.0</v>
      </c>
      <c r="R481" s="4">
        <v>32.0</v>
      </c>
      <c r="S481" s="4">
        <v>32.0</v>
      </c>
      <c r="T481" s="4">
        <v>12.0</v>
      </c>
      <c r="U481" s="4">
        <v>12.0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6" t="s">
        <v>143</v>
      </c>
      <c r="AE481" s="6" t="s">
        <v>9</v>
      </c>
    </row>
    <row r="482" ht="16.5" customHeight="1">
      <c r="A482" s="2" t="str">
        <f>IFERROR(__xludf.DUMMYFUNCTION("""COMPUTED_VALUE"""),"2927-ABRPCCVC")</f>
        <v>2927-ABRPCCVC</v>
      </c>
      <c r="B482" s="2" t="str">
        <f>IFERROR(__xludf.DUMMYFUNCTION("""COMPUTED_VALUE"""),"Voluntarios BA | Visita al MOA")</f>
        <v>Voluntarios BA | Visita al MOA</v>
      </c>
      <c r="C482" s="3">
        <f>IFERROR(__xludf.DUMMYFUNCTION("""COMPUTED_VALUE"""),46142.0)</f>
        <v>46142</v>
      </c>
      <c r="D482" s="3">
        <f>IFERROR(__xludf.DUMMYFUNCTION("""COMPUTED_VALUE"""),46142.0)</f>
        <v>46142</v>
      </c>
      <c r="E482" s="2" t="str">
        <f>IFERROR(__xludf.DUMMYFUNCTION("""COMPUTED_VALUE"""),"Cercanía")</f>
        <v>Cercanía</v>
      </c>
      <c r="F482" s="2" t="str">
        <f>IFERROR(__xludf.DUMMYFUNCTION("""COMPUTED_VALUE"""),"Cercanía y PC")</f>
        <v>Cercanía y PC</v>
      </c>
      <c r="G482" s="2" t="str">
        <f>IFERROR(__xludf.DUMMYFUNCTION("""COMPUTED_VALUE"""),"Finalizada")</f>
        <v>Finalizada</v>
      </c>
      <c r="H482" s="4">
        <v>0.0</v>
      </c>
      <c r="I482" s="4">
        <v>0.0</v>
      </c>
      <c r="J482" s="4">
        <v>0.0</v>
      </c>
      <c r="K482" s="4">
        <v>0.0</v>
      </c>
      <c r="L482" s="5">
        <v>0.0</v>
      </c>
      <c r="M482" s="5">
        <v>0.0</v>
      </c>
      <c r="N482" s="4">
        <v>78461.0</v>
      </c>
      <c r="O482" s="4">
        <v>77713.0</v>
      </c>
      <c r="P482" s="4">
        <v>23042.0</v>
      </c>
      <c r="Q482" s="4">
        <v>900.0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 t="s">
        <v>8</v>
      </c>
      <c r="AE482" s="6" t="s">
        <v>9</v>
      </c>
    </row>
    <row r="483" ht="16.5" customHeight="1">
      <c r="A483" s="2" t="str">
        <f>IFERROR(__xludf.DUMMYFUNCTION("""COMPUTED_VALUE"""),"2928-ABRPCCVC")</f>
        <v>2928-ABRPCCVC</v>
      </c>
      <c r="B483" s="2" t="str">
        <f>IFERROR(__xludf.DUMMYFUNCTION("""COMPUTED_VALUE"""),"Experiencia BA | Visita a casa de la cultura")</f>
        <v>Experiencia BA | Visita a casa de la cultura</v>
      </c>
      <c r="C483" s="3">
        <f>IFERROR(__xludf.DUMMYFUNCTION("""COMPUTED_VALUE"""),46142.0)</f>
        <v>46142</v>
      </c>
      <c r="D483" s="3">
        <f>IFERROR(__xludf.DUMMYFUNCTION("""COMPUTED_VALUE"""),46142.0)</f>
        <v>46142</v>
      </c>
      <c r="E483" s="2" t="str">
        <f>IFERROR(__xludf.DUMMYFUNCTION("""COMPUTED_VALUE"""),"Cercanía")</f>
        <v>Cercanía</v>
      </c>
      <c r="F483" s="2" t="str">
        <f>IFERROR(__xludf.DUMMYFUNCTION("""COMPUTED_VALUE"""),"Cercanía y PC")</f>
        <v>Cercanía y PC</v>
      </c>
      <c r="G483" s="2" t="str">
        <f>IFERROR(__xludf.DUMMYFUNCTION("""COMPUTED_VALUE"""),"Finalizada")</f>
        <v>Finalizada</v>
      </c>
      <c r="H483" s="4">
        <v>0.0</v>
      </c>
      <c r="I483" s="4">
        <v>0.0</v>
      </c>
      <c r="J483" s="4">
        <v>0.0</v>
      </c>
      <c r="K483" s="4">
        <v>0.0</v>
      </c>
      <c r="L483" s="5">
        <v>0.0</v>
      </c>
      <c r="M483" s="5">
        <v>0.0</v>
      </c>
      <c r="N483" s="4">
        <v>72474.0</v>
      </c>
      <c r="O483" s="4">
        <v>71456.0</v>
      </c>
      <c r="P483" s="4">
        <v>14342.0</v>
      </c>
      <c r="Q483" s="4">
        <v>776.0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 t="s">
        <v>8</v>
      </c>
      <c r="AE483" s="6" t="s">
        <v>9</v>
      </c>
    </row>
    <row r="484" ht="16.5" customHeight="1">
      <c r="A484" s="2" t="str">
        <f>IFERROR(__xludf.DUMMYFUNCTION("""COMPUTED_VALUE"""),"2929-ABRJDGAG")</f>
        <v>2929-ABRJDGAG</v>
      </c>
      <c r="B484" s="2" t="str">
        <f>IFERROR(__xludf.DUMMYFUNCTION("""COMPUTED_VALUE"""),"1 A 1 JM | Comuna 12 29/04")</f>
        <v>1 A 1 JM | Comuna 12 29/04</v>
      </c>
      <c r="C484" s="3">
        <f>IFERROR(__xludf.DUMMYFUNCTION("""COMPUTED_VALUE"""),46135.0)</f>
        <v>46135</v>
      </c>
      <c r="D484" s="3">
        <f>IFERROR(__xludf.DUMMYFUNCTION("""COMPUTED_VALUE"""),46156.0)</f>
        <v>46156</v>
      </c>
      <c r="E484" s="2" t="str">
        <f>IFERROR(__xludf.DUMMYFUNCTION("""COMPUTED_VALUE"""),"Cercanía")</f>
        <v>Cercanía</v>
      </c>
      <c r="F484" s="2" t="str">
        <f>IFERROR(__xludf.DUMMYFUNCTION("""COMPUTED_VALUE"""),"Jefatura de Gobierno")</f>
        <v>Jefatura de Gobierno</v>
      </c>
      <c r="G484" s="2" t="str">
        <f>IFERROR(__xludf.DUMMYFUNCTION("""COMPUTED_VALUE"""),"Finalizada")</f>
        <v>Finalizada</v>
      </c>
      <c r="H484" s="4">
        <v>435139.0</v>
      </c>
      <c r="I484" s="4">
        <v>178725.0</v>
      </c>
      <c r="J484" s="4">
        <v>1162.0</v>
      </c>
      <c r="K484" s="4">
        <v>8293.0</v>
      </c>
      <c r="L484" s="5">
        <v>26.173158085132037</v>
      </c>
      <c r="M484" s="5">
        <v>52.47063788737489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6" t="s">
        <v>144</v>
      </c>
      <c r="AE484" s="4" t="s">
        <v>8</v>
      </c>
    </row>
    <row r="485" ht="16.5" customHeight="1">
      <c r="A485" s="2" t="str">
        <f>IFERROR(__xludf.DUMMYFUNCTION("""COMPUTED_VALUE"""),"2930-ABRINFGC")</f>
        <v>2930-ABRINFGC</v>
      </c>
      <c r="B485" s="2" t="str">
        <f>IFERROR(__xludf.DUMMYFUNCTION("""COMPUTED_VALUE""")," Infraestructura: Corte AU Dellepiane por obras hidráulicas")</f>
        <v> Infraestructura: Corte AU Dellepiane por obras hidráulicas</v>
      </c>
      <c r="C485" s="3">
        <f>IFERROR(__xludf.DUMMYFUNCTION("""COMPUTED_VALUE"""),46142.0)</f>
        <v>46142</v>
      </c>
      <c r="D485" s="3">
        <f>IFERROR(__xludf.DUMMYFUNCTION("""COMPUTED_VALUE"""),46177.0)</f>
        <v>46177</v>
      </c>
      <c r="E485" s="2" t="str">
        <f>IFERROR(__xludf.DUMMYFUNCTION("""COMPUTED_VALUE"""),"Movilidad")</f>
        <v>Movilidad</v>
      </c>
      <c r="F485" s="2" t="str">
        <f>IFERROR(__xludf.DUMMYFUNCTION("""COMPUTED_VALUE"""),"Infraestructura")</f>
        <v>Infraestructura</v>
      </c>
      <c r="G485" s="2" t="str">
        <f>IFERROR(__xludf.DUMMYFUNCTION("""COMPUTED_VALUE"""),"Finalizada")</f>
        <v>Finalizada</v>
      </c>
      <c r="H485" s="4">
        <v>232038.0</v>
      </c>
      <c r="I485" s="4">
        <v>0.0</v>
      </c>
      <c r="J485" s="4">
        <v>1856.0</v>
      </c>
      <c r="K485" s="4">
        <v>90035.0</v>
      </c>
      <c r="L485" s="5">
        <v>2.5771977564280557</v>
      </c>
      <c r="M485" s="5">
        <v>2.5771977564280557</v>
      </c>
      <c r="N485" s="4">
        <v>106742.0</v>
      </c>
      <c r="O485" s="4">
        <v>105386.0</v>
      </c>
      <c r="P485" s="4">
        <v>34841.0</v>
      </c>
      <c r="Q485" s="4">
        <v>836.0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6" t="s">
        <v>145</v>
      </c>
      <c r="AE485" s="6" t="s">
        <v>9</v>
      </c>
    </row>
    <row r="486" ht="16.5" customHeight="1">
      <c r="A486" s="2" t="str">
        <f>IFERROR(__xludf.DUMMYFUNCTION("""COMPUTED_VALUE"""),"2931-ABRINFGC")</f>
        <v>2931-ABRINFGC</v>
      </c>
      <c r="B486" s="2" t="str">
        <f>IFERROR(__xludf.DUMMYFUNCTION("""COMPUTED_VALUE"""),"Cortes y desvíos en Ferro por show de No Te Va a Gustar")</f>
        <v>Cortes y desvíos en Ferro por show de No Te Va a Gustar</v>
      </c>
      <c r="C486" s="3">
        <f>IFERROR(__xludf.DUMMYFUNCTION("""COMPUTED_VALUE"""),46135.0)</f>
        <v>46135</v>
      </c>
      <c r="D486" s="3">
        <f>IFERROR(__xludf.DUMMYFUNCTION("""COMPUTED_VALUE"""),46138.0)</f>
        <v>46138</v>
      </c>
      <c r="E486" s="2" t="str">
        <f>IFERROR(__xludf.DUMMYFUNCTION("""COMPUTED_VALUE"""),"Movilidad")</f>
        <v>Movilidad</v>
      </c>
      <c r="F486" s="2" t="str">
        <f>IFERROR(__xludf.DUMMYFUNCTION("""COMPUTED_VALUE"""),"Infraestructura")</f>
        <v>Infraestructura</v>
      </c>
      <c r="G486" s="2" t="str">
        <f>IFERROR(__xludf.DUMMYFUNCTION("""COMPUTED_VALUE"""),"Finalizada")</f>
        <v>Finalizada</v>
      </c>
      <c r="H486" s="4">
        <v>40513.0</v>
      </c>
      <c r="I486" s="4">
        <v>0.0</v>
      </c>
      <c r="J486" s="4">
        <v>581.0</v>
      </c>
      <c r="K486" s="4"/>
      <c r="L486" s="5">
        <v>0.0</v>
      </c>
      <c r="M486" s="5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6" t="s">
        <v>146</v>
      </c>
      <c r="AE486" s="4" t="s">
        <v>8</v>
      </c>
    </row>
    <row r="487" ht="16.5" customHeight="1">
      <c r="A487" s="2" t="str">
        <f>IFERROR(__xludf.DUMMYFUNCTION("""COMPUTED_VALUE"""),"2932-ABRJDGAG")</f>
        <v>2932-ABRJDGAG</v>
      </c>
      <c r="B487" s="2" t="str">
        <f>IFERROR(__xludf.DUMMYFUNCTION("""COMPUTED_VALUE"""),"RDV JM BALVANERA 28/4")</f>
        <v>RDV JM BALVANERA 28/4</v>
      </c>
      <c r="C487" s="3">
        <f>IFERROR(__xludf.DUMMYFUNCTION("""COMPUTED_VALUE"""),46136.0)</f>
        <v>46136</v>
      </c>
      <c r="D487" s="3">
        <f>IFERROR(__xludf.DUMMYFUNCTION("""COMPUTED_VALUE"""),46156.0)</f>
        <v>46156</v>
      </c>
      <c r="E487" s="2" t="str">
        <f>IFERROR(__xludf.DUMMYFUNCTION("""COMPUTED_VALUE"""),"Cercanía")</f>
        <v>Cercanía</v>
      </c>
      <c r="F487" s="2" t="str">
        <f>IFERROR(__xludf.DUMMYFUNCTION("""COMPUTED_VALUE"""),"Jefatura de Gobierno")</f>
        <v>Jefatura de Gobierno</v>
      </c>
      <c r="G487" s="2" t="str">
        <f>IFERROR(__xludf.DUMMYFUNCTION("""COMPUTED_VALUE"""),"Finalizada")</f>
        <v>Finalizada</v>
      </c>
      <c r="H487" s="4">
        <v>1454086.0</v>
      </c>
      <c r="I487" s="4">
        <v>569136.0</v>
      </c>
      <c r="J487" s="4">
        <v>7848.0</v>
      </c>
      <c r="K487" s="4"/>
      <c r="L487" s="5">
        <v>0.0</v>
      </c>
      <c r="M487" s="5">
        <v>0.0</v>
      </c>
      <c r="N487" s="4">
        <v>32551.0</v>
      </c>
      <c r="O487" s="4">
        <v>32065.0</v>
      </c>
      <c r="P487" s="4">
        <v>4123.0</v>
      </c>
      <c r="Q487" s="4">
        <v>134.0</v>
      </c>
      <c r="R487" s="4">
        <v>66.0</v>
      </c>
      <c r="S487" s="4">
        <v>66.0</v>
      </c>
      <c r="T487" s="4">
        <v>39.0</v>
      </c>
      <c r="U487" s="4">
        <v>38.0</v>
      </c>
      <c r="V487" s="4">
        <v>11641.0</v>
      </c>
      <c r="W487" s="4">
        <v>11641.0</v>
      </c>
      <c r="X487" s="4">
        <v>10616.0</v>
      </c>
      <c r="Y487" s="4">
        <v>4281.0</v>
      </c>
      <c r="Z487" s="4">
        <v>66.0</v>
      </c>
      <c r="AA487" s="4">
        <v>0.0</v>
      </c>
      <c r="AB487" s="4">
        <v>0.0</v>
      </c>
      <c r="AC487" s="4">
        <v>0.0</v>
      </c>
      <c r="AD487" s="6" t="s">
        <v>80</v>
      </c>
      <c r="AE487" s="6" t="s">
        <v>9</v>
      </c>
    </row>
    <row r="488" ht="16.5" customHeight="1">
      <c r="A488" s="2" t="str">
        <f>IFERROR(__xludf.DUMMYFUNCTION("""COMPUTED_VALUE"""),"2933-ABRSEGVC")</f>
        <v>2933-ABRSEGVC</v>
      </c>
      <c r="B488" s="2" t="str">
        <f>IFERROR(__xludf.DUMMYFUNCTION("""COMPUTED_VALUE"""),"RDV MINISTROS | Ruth Landerreche 30/4 Comuna 12")</f>
        <v>RDV MINISTROS | Ruth Landerreche 30/4 Comuna 12</v>
      </c>
      <c r="C488" s="3">
        <f>IFERROR(__xludf.DUMMYFUNCTION("""COMPUTED_VALUE"""),46136.0)</f>
        <v>46136</v>
      </c>
      <c r="D488" s="3">
        <f>IFERROR(__xludf.DUMMYFUNCTION("""COMPUTED_VALUE"""),46147.0)</f>
        <v>46147</v>
      </c>
      <c r="E488" s="2" t="str">
        <f>IFERROR(__xludf.DUMMYFUNCTION("""COMPUTED_VALUE"""),"Cercanía")</f>
        <v>Cercanía</v>
      </c>
      <c r="F488" s="2" t="str">
        <f>IFERROR(__xludf.DUMMYFUNCTION("""COMPUTED_VALUE"""),"Seguridad")</f>
        <v>Seguridad</v>
      </c>
      <c r="G488" s="2" t="str">
        <f>IFERROR(__xludf.DUMMYFUNCTION("""COMPUTED_VALUE"""),"Finalizada")</f>
        <v>Finalizada</v>
      </c>
      <c r="H488" s="4">
        <v>105912.0</v>
      </c>
      <c r="I488" s="4">
        <v>0.0</v>
      </c>
      <c r="J488" s="4">
        <v>254.0</v>
      </c>
      <c r="K488" s="4">
        <v>66097.0</v>
      </c>
      <c r="L488" s="5">
        <v>1.602372271056175</v>
      </c>
      <c r="M488" s="5">
        <v>1.602372271056175</v>
      </c>
      <c r="N488" s="4">
        <v>97472.0</v>
      </c>
      <c r="O488" s="4">
        <v>96517.0</v>
      </c>
      <c r="P488" s="4">
        <v>20106.0</v>
      </c>
      <c r="Q488" s="4">
        <v>266.0</v>
      </c>
      <c r="R488" s="4">
        <v>111.0</v>
      </c>
      <c r="S488" s="4">
        <v>111.0</v>
      </c>
      <c r="T488" s="4">
        <v>29.0</v>
      </c>
      <c r="U488" s="4">
        <v>27.0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6" t="s">
        <v>147</v>
      </c>
      <c r="AE488" s="6" t="s">
        <v>9</v>
      </c>
    </row>
    <row r="489" ht="16.5" customHeight="1">
      <c r="A489" s="2" t="str">
        <f>IFERROR(__xludf.DUMMYFUNCTION("""COMPUTED_VALUE"""),"2935-ABRSEGVC")</f>
        <v>2935-ABRSEGVC</v>
      </c>
      <c r="B489" s="2" t="str">
        <f>IFERROR(__xludf.DUMMYFUNCTION("""COMPUTED_VALUE"""),"RDV MINISTROS | Maximiliano Piñeiro 30/4 Comuna 13")</f>
        <v>RDV MINISTROS | Maximiliano Piñeiro 30/4 Comuna 13</v>
      </c>
      <c r="C489" s="3">
        <f>IFERROR(__xludf.DUMMYFUNCTION("""COMPUTED_VALUE"""),46136.0)</f>
        <v>46136</v>
      </c>
      <c r="D489" s="3">
        <f>IFERROR(__xludf.DUMMYFUNCTION("""COMPUTED_VALUE"""),46147.0)</f>
        <v>46147</v>
      </c>
      <c r="E489" s="2" t="str">
        <f>IFERROR(__xludf.DUMMYFUNCTION("""COMPUTED_VALUE"""),"Cercanía")</f>
        <v>Cercanía</v>
      </c>
      <c r="F489" s="2" t="str">
        <f>IFERROR(__xludf.DUMMYFUNCTION("""COMPUTED_VALUE"""),"Seguridad")</f>
        <v>Seguridad</v>
      </c>
      <c r="G489" s="2" t="str">
        <f>IFERROR(__xludf.DUMMYFUNCTION("""COMPUTED_VALUE"""),"Finalizada")</f>
        <v>Finalizada</v>
      </c>
      <c r="H489" s="4">
        <v>90039.0</v>
      </c>
      <c r="I489" s="4">
        <v>0.0</v>
      </c>
      <c r="J489" s="4">
        <v>229.0</v>
      </c>
      <c r="K489" s="4">
        <v>54447.0</v>
      </c>
      <c r="L489" s="5">
        <v>1.6536999283707092</v>
      </c>
      <c r="M489" s="5">
        <v>1.6536999283707092</v>
      </c>
      <c r="N489" s="4">
        <v>109481.0</v>
      </c>
      <c r="O489" s="4">
        <v>108489.0</v>
      </c>
      <c r="P489" s="4">
        <v>32635.0</v>
      </c>
      <c r="Q489" s="4">
        <v>512.0</v>
      </c>
      <c r="R489" s="4">
        <v>139.0</v>
      </c>
      <c r="S489" s="4">
        <v>139.0</v>
      </c>
      <c r="T489" s="4">
        <v>32.0</v>
      </c>
      <c r="U489" s="4">
        <v>28.0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6" t="s">
        <v>148</v>
      </c>
      <c r="AE489" s="6" t="s">
        <v>9</v>
      </c>
    </row>
    <row r="490" ht="16.5" customHeight="1">
      <c r="A490" s="2" t="str">
        <f>IFERROR(__xludf.DUMMYFUNCTION("""COMPUTED_VALUE"""),"2936-ABRSEGVC")</f>
        <v>2936-ABRSEGVC</v>
      </c>
      <c r="B490" s="2" t="str">
        <f>IFERROR(__xludf.DUMMYFUNCTION("""COMPUTED_VALUE"""),"RDV MINISTROS | Gabino Tapia 30/4 Comuna 14")</f>
        <v>RDV MINISTROS | Gabino Tapia 30/4 Comuna 14</v>
      </c>
      <c r="C490" s="3">
        <f>IFERROR(__xludf.DUMMYFUNCTION("""COMPUTED_VALUE"""),46136.0)</f>
        <v>46136</v>
      </c>
      <c r="D490" s="3">
        <f>IFERROR(__xludf.DUMMYFUNCTION("""COMPUTED_VALUE"""),46146.0)</f>
        <v>46146</v>
      </c>
      <c r="E490" s="2" t="str">
        <f>IFERROR(__xludf.DUMMYFUNCTION("""COMPUTED_VALUE"""),"Cercanía")</f>
        <v>Cercanía</v>
      </c>
      <c r="F490" s="2" t="str">
        <f>IFERROR(__xludf.DUMMYFUNCTION("""COMPUTED_VALUE"""),"Seguridad")</f>
        <v>Seguridad</v>
      </c>
      <c r="G490" s="2" t="str">
        <f>IFERROR(__xludf.DUMMYFUNCTION("""COMPUTED_VALUE"""),"Finalizada")</f>
        <v>Finalizada</v>
      </c>
      <c r="H490" s="4">
        <v>164487.0</v>
      </c>
      <c r="I490" s="4">
        <v>0.0</v>
      </c>
      <c r="J490" s="4">
        <v>174.0</v>
      </c>
      <c r="K490" s="4">
        <v>107000.0</v>
      </c>
      <c r="L490" s="5">
        <v>1.5372616822429908</v>
      </c>
      <c r="M490" s="5">
        <v>1.5372616822429908</v>
      </c>
      <c r="N490" s="4">
        <v>91111.0</v>
      </c>
      <c r="O490" s="4">
        <v>90173.0</v>
      </c>
      <c r="P490" s="4">
        <v>25318.0</v>
      </c>
      <c r="Q490" s="4">
        <v>442.0</v>
      </c>
      <c r="R490" s="4">
        <v>133.0</v>
      </c>
      <c r="S490" s="4">
        <v>133.0</v>
      </c>
      <c r="T490" s="4">
        <v>32.0</v>
      </c>
      <c r="U490" s="4">
        <v>30.0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>
        <v>0.0</v>
      </c>
      <c r="AD490" s="6" t="s">
        <v>149</v>
      </c>
      <c r="AE490" s="6" t="s">
        <v>9</v>
      </c>
    </row>
    <row r="491" ht="16.5" customHeight="1">
      <c r="A491" s="2" t="str">
        <f>IFERROR(__xludf.DUMMYFUNCTION("""COMPUTED_VALUE"""),"2937-ABRSEGVC")</f>
        <v>2937-ABRSEGVC</v>
      </c>
      <c r="B491" s="2" t="str">
        <f>IFERROR(__xludf.DUMMYFUNCTION("""COMPUTED_VALUE"""),"RDV MINISTROS | Horacio Giménez 30/4 Comuna 15")</f>
        <v>RDV MINISTROS | Horacio Giménez 30/4 Comuna 15</v>
      </c>
      <c r="C491" s="3">
        <f>IFERROR(__xludf.DUMMYFUNCTION("""COMPUTED_VALUE"""),46136.0)</f>
        <v>46136</v>
      </c>
      <c r="D491" s="3">
        <f>IFERROR(__xludf.DUMMYFUNCTION("""COMPUTED_VALUE"""),46146.0)</f>
        <v>46146</v>
      </c>
      <c r="E491" s="2" t="str">
        <f>IFERROR(__xludf.DUMMYFUNCTION("""COMPUTED_VALUE"""),"Cercanía")</f>
        <v>Cercanía</v>
      </c>
      <c r="F491" s="2" t="str">
        <f>IFERROR(__xludf.DUMMYFUNCTION("""COMPUTED_VALUE"""),"Seguridad")</f>
        <v>Seguridad</v>
      </c>
      <c r="G491" s="2" t="str">
        <f>IFERROR(__xludf.DUMMYFUNCTION("""COMPUTED_VALUE"""),"Finalizada")</f>
        <v>Finalizada</v>
      </c>
      <c r="H491" s="4">
        <v>84681.0</v>
      </c>
      <c r="I491" s="4">
        <v>0.0</v>
      </c>
      <c r="J491" s="4">
        <v>228.0</v>
      </c>
      <c r="K491" s="4">
        <v>49295.0</v>
      </c>
      <c r="L491" s="5">
        <v>1.7178415660817528</v>
      </c>
      <c r="M491" s="5">
        <v>1.7178415660817528</v>
      </c>
      <c r="N491" s="4">
        <v>84765.0</v>
      </c>
      <c r="O491" s="4">
        <v>83831.0</v>
      </c>
      <c r="P491" s="4">
        <v>16133.0</v>
      </c>
      <c r="Q491" s="4">
        <v>292.0</v>
      </c>
      <c r="R491" s="4">
        <v>109.0</v>
      </c>
      <c r="S491" s="4">
        <v>109.0</v>
      </c>
      <c r="T491" s="4">
        <v>26.0</v>
      </c>
      <c r="U491" s="4">
        <v>26.0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  <c r="AD491" s="6" t="s">
        <v>150</v>
      </c>
      <c r="AE491" s="6" t="s">
        <v>9</v>
      </c>
    </row>
    <row r="492" ht="16.5" customHeight="1">
      <c r="A492" s="2" t="str">
        <f>IFERROR(__xludf.DUMMYFUNCTION("""COMPUTED_VALUE"""),"2938-ABRSALGC")</f>
        <v>2938-ABRSALGC</v>
      </c>
      <c r="B492" s="2" t="str">
        <f>IFERROR(__xludf.DUMMYFUNCTION("""COMPUTED_VALUE"""),"Hospital Piñero - Fin de Obra")</f>
        <v>Hospital Piñero - Fin de Obra</v>
      </c>
      <c r="C492" s="3">
        <f>IFERROR(__xludf.DUMMYFUNCTION("""COMPUTED_VALUE"""),46156.0)</f>
        <v>46156</v>
      </c>
      <c r="D492" s="3">
        <f>IFERROR(__xludf.DUMMYFUNCTION("""COMPUTED_VALUE"""),46170.0)</f>
        <v>46170</v>
      </c>
      <c r="E492" s="2" t="str">
        <f>IFERROR(__xludf.DUMMYFUNCTION("""COMPUTED_VALUE"""),"Cuidado")</f>
        <v>Cuidado</v>
      </c>
      <c r="F492" s="2" t="str">
        <f>IFERROR(__xludf.DUMMYFUNCTION("""COMPUTED_VALUE"""),"Salud")</f>
        <v>Salud</v>
      </c>
      <c r="G492" s="2" t="str">
        <f>IFERROR(__xludf.DUMMYFUNCTION("""COMPUTED_VALUE"""),"Finalizada")</f>
        <v>Finalizada</v>
      </c>
      <c r="H492" s="4">
        <v>5793439.0</v>
      </c>
      <c r="I492" s="4">
        <v>0.0</v>
      </c>
      <c r="J492" s="4">
        <v>13110.0</v>
      </c>
      <c r="K492" s="4">
        <v>398013.0</v>
      </c>
      <c r="L492" s="5">
        <v>1.8898829937715602</v>
      </c>
      <c r="M492" s="5">
        <v>14.555903952885961</v>
      </c>
      <c r="N492" s="4">
        <v>87255.0</v>
      </c>
      <c r="O492" s="4">
        <v>86023.0</v>
      </c>
      <c r="P492" s="4">
        <v>21790.0</v>
      </c>
      <c r="Q492" s="4">
        <v>332.0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6" t="s">
        <v>151</v>
      </c>
      <c r="AE492" s="6" t="s">
        <v>9</v>
      </c>
    </row>
    <row r="493" ht="16.5" customHeight="1">
      <c r="A493" s="2" t="str">
        <f>IFERROR(__xludf.DUMMYFUNCTION("""COMPUTED_VALUE"""),"2939-ABRPCCVC")</f>
        <v>2939-ABRPCCVC</v>
      </c>
      <c r="B493" s="2" t="str">
        <f>IFERROR(__xludf.DUMMYFUNCTION("""COMPUTED_VALUE"""),"Día del animal")</f>
        <v>Día del animal</v>
      </c>
      <c r="C493" s="3">
        <f>IFERROR(__xludf.DUMMYFUNCTION("""COMPUTED_VALUE"""),46136.0)</f>
        <v>46136</v>
      </c>
      <c r="D493" s="3">
        <f>IFERROR(__xludf.DUMMYFUNCTION("""COMPUTED_VALUE"""),46136.0)</f>
        <v>46136</v>
      </c>
      <c r="E493" s="2" t="str">
        <f>IFERROR(__xludf.DUMMYFUNCTION("""COMPUTED_VALUE"""),"Cercanía")</f>
        <v>Cercanía</v>
      </c>
      <c r="F493" s="2" t="str">
        <f>IFERROR(__xludf.DUMMYFUNCTION("""COMPUTED_VALUE"""),"Cercanía y PC")</f>
        <v>Cercanía y PC</v>
      </c>
      <c r="G493" s="2" t="str">
        <f>IFERROR(__xludf.DUMMYFUNCTION("""COMPUTED_VALUE"""),"Finalizada")</f>
        <v>Finalizada</v>
      </c>
      <c r="H493" s="4">
        <v>0.0</v>
      </c>
      <c r="I493" s="4">
        <v>0.0</v>
      </c>
      <c r="J493" s="4">
        <v>0.0</v>
      </c>
      <c r="K493" s="4">
        <v>0.0</v>
      </c>
      <c r="L493" s="5">
        <v>0.0</v>
      </c>
      <c r="M493" s="5">
        <v>0.0</v>
      </c>
      <c r="N493" s="4">
        <v>106015.0</v>
      </c>
      <c r="O493" s="4">
        <v>104639.0</v>
      </c>
      <c r="P493" s="4">
        <v>19719.0</v>
      </c>
      <c r="Q493" s="4">
        <v>51.0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 t="s">
        <v>8</v>
      </c>
      <c r="AE493" s="6" t="s">
        <v>9</v>
      </c>
    </row>
    <row r="494" ht="16.5" customHeight="1">
      <c r="A494" s="2" t="str">
        <f>IFERROR(__xludf.DUMMYFUNCTION("""COMPUTED_VALUE"""),"2940-ABRAMBVC")</f>
        <v>2940-ABRAMBVC</v>
      </c>
      <c r="B494" s="2" t="str">
        <f>IFERROR(__xludf.DUMMYFUNCTION("""COMPUTED_VALUE"""),"RDV Ministros | Clara Muzzio - 29/04")</f>
        <v>RDV Ministros | Clara Muzzio - 29/04</v>
      </c>
      <c r="C494" s="3">
        <f>IFERROR(__xludf.DUMMYFUNCTION("""COMPUTED_VALUE"""),46136.0)</f>
        <v>46136</v>
      </c>
      <c r="D494" s="3">
        <f>IFERROR(__xludf.DUMMYFUNCTION("""COMPUTED_VALUE"""),46142.0)</f>
        <v>46142</v>
      </c>
      <c r="E494" s="2" t="str">
        <f>IFERROR(__xludf.DUMMYFUNCTION("""COMPUTED_VALUE"""),"Cuidado")</f>
        <v>Cuidado</v>
      </c>
      <c r="F494" s="2" t="str">
        <f>IFERROR(__xludf.DUMMYFUNCTION("""COMPUTED_VALUE"""),"Vicejefatura (Ambiente)")</f>
        <v>Vicejefatura (Ambiente)</v>
      </c>
      <c r="G494" s="2" t="str">
        <f>IFERROR(__xludf.DUMMYFUNCTION("""COMPUTED_VALUE"""),"Finalizada")</f>
        <v>Finalizada</v>
      </c>
      <c r="H494" s="4">
        <v>273941.0</v>
      </c>
      <c r="I494" s="4">
        <v>0.0</v>
      </c>
      <c r="J494" s="4">
        <v>361.0</v>
      </c>
      <c r="K494" s="4"/>
      <c r="L494" s="5">
        <v>0.0</v>
      </c>
      <c r="M494" s="5">
        <v>0.0</v>
      </c>
      <c r="N494" s="4">
        <v>59756.0</v>
      </c>
      <c r="O494" s="4">
        <v>59163.0</v>
      </c>
      <c r="P494" s="4">
        <v>15022.0</v>
      </c>
      <c r="Q494" s="4">
        <v>353.0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6" t="s">
        <v>152</v>
      </c>
      <c r="AE494" s="6" t="s">
        <v>9</v>
      </c>
    </row>
    <row r="495" ht="16.5" customHeight="1">
      <c r="A495" s="2" t="str">
        <f>IFERROR(__xludf.DUMMYFUNCTION("""COMPUTED_VALUE"""),"2941-ABRPCCVC")</f>
        <v>2941-ABRPCCVC</v>
      </c>
      <c r="B495" s="2" t="str">
        <f>IFERROR(__xludf.DUMMYFUNCTION("""COMPUTED_VALUE"""),"Experiencia BA | Visita a Torre Monumental")</f>
        <v>Experiencia BA | Visita a Torre Monumental</v>
      </c>
      <c r="C495" s="3">
        <f>IFERROR(__xludf.DUMMYFUNCTION("""COMPUTED_VALUE"""),46146.0)</f>
        <v>46146</v>
      </c>
      <c r="D495" s="3">
        <f>IFERROR(__xludf.DUMMYFUNCTION("""COMPUTED_VALUE"""),46146.0)</f>
        <v>46146</v>
      </c>
      <c r="E495" s="2" t="str">
        <f>IFERROR(__xludf.DUMMYFUNCTION("""COMPUTED_VALUE"""),"Cercanía")</f>
        <v>Cercanía</v>
      </c>
      <c r="F495" s="2" t="str">
        <f>IFERROR(__xludf.DUMMYFUNCTION("""COMPUTED_VALUE"""),"Cercanía y PC")</f>
        <v>Cercanía y PC</v>
      </c>
      <c r="G495" s="2" t="str">
        <f>IFERROR(__xludf.DUMMYFUNCTION("""COMPUTED_VALUE"""),"Finalizada")</f>
        <v>Finalizada</v>
      </c>
      <c r="H495" s="4">
        <v>0.0</v>
      </c>
      <c r="I495" s="4">
        <v>0.0</v>
      </c>
      <c r="J495" s="4">
        <v>0.0</v>
      </c>
      <c r="K495" s="4">
        <v>0.0</v>
      </c>
      <c r="L495" s="5">
        <v>0.0</v>
      </c>
      <c r="M495" s="5">
        <v>0.0</v>
      </c>
      <c r="N495" s="4">
        <v>56055.0</v>
      </c>
      <c r="O495" s="4">
        <v>55410.0</v>
      </c>
      <c r="P495" s="4">
        <v>14517.0</v>
      </c>
      <c r="Q495" s="4">
        <v>922.0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 t="s">
        <v>8</v>
      </c>
      <c r="AE495" s="6" t="s">
        <v>9</v>
      </c>
    </row>
    <row r="496" ht="16.5" customHeight="1">
      <c r="A496" s="2" t="str">
        <f>IFERROR(__xludf.DUMMYFUNCTION("""COMPUTED_VALUE"""),"2942-ABRSALGJ")</f>
        <v>2942-ABRSALGJ</v>
      </c>
      <c r="B496" s="2" t="str">
        <f>IFERROR(__xludf.DUMMYFUNCTION("""COMPUTED_VALUE"""),"Htal. Fernández - Durante de Obra")</f>
        <v>Htal. Fernández - Durante de Obra</v>
      </c>
      <c r="C496" s="3">
        <f>IFERROR(__xludf.DUMMYFUNCTION("""COMPUTED_VALUE"""),46141.0)</f>
        <v>46141</v>
      </c>
      <c r="D496" s="3">
        <f>IFERROR(__xludf.DUMMYFUNCTION("""COMPUTED_VALUE"""),46157.0)</f>
        <v>46157</v>
      </c>
      <c r="E496" s="2" t="str">
        <f>IFERROR(__xludf.DUMMYFUNCTION("""COMPUTED_VALUE"""),"Cuidado")</f>
        <v>Cuidado</v>
      </c>
      <c r="F496" s="2" t="str">
        <f>IFERROR(__xludf.DUMMYFUNCTION("""COMPUTED_VALUE"""),"Salud")</f>
        <v>Salud</v>
      </c>
      <c r="G496" s="2" t="str">
        <f>IFERROR(__xludf.DUMMYFUNCTION("""COMPUTED_VALUE"""),"Finalizada")</f>
        <v>Finalizada</v>
      </c>
      <c r="H496" s="4">
        <v>9041750.0</v>
      </c>
      <c r="I496" s="4">
        <v>1426780.0</v>
      </c>
      <c r="J496" s="4">
        <v>35888.0</v>
      </c>
      <c r="K496" s="4">
        <v>469522.0</v>
      </c>
      <c r="L496" s="5">
        <v>3.015560506216961</v>
      </c>
      <c r="M496" s="5">
        <v>19.257351093239507</v>
      </c>
      <c r="N496" s="4">
        <v>194549.0</v>
      </c>
      <c r="O496" s="4">
        <v>192400.0</v>
      </c>
      <c r="P496" s="4">
        <v>50558.0</v>
      </c>
      <c r="Q496" s="4">
        <v>590.0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6" t="s">
        <v>153</v>
      </c>
      <c r="AE496" s="6" t="s">
        <v>9</v>
      </c>
    </row>
    <row r="497" ht="16.5" customHeight="1">
      <c r="A497" s="2" t="str">
        <f>IFERROR(__xludf.DUMMYFUNCTION("""COMPUTED_VALUE"""),"2943-ABRSEGGJ")</f>
        <v>2943-ABRSEGGJ</v>
      </c>
      <c r="B497" s="2" t="str">
        <f>IFERROR(__xludf.DUMMYFUNCTION("""COMPUTED_VALUE"""),"Desalojo N°700")</f>
        <v>Desalojo N°700</v>
      </c>
      <c r="C497" s="3">
        <f>IFERROR(__xludf.DUMMYFUNCTION("""COMPUTED_VALUE"""),46140.0)</f>
        <v>46140</v>
      </c>
      <c r="D497" s="3">
        <f>IFERROR(__xludf.DUMMYFUNCTION("""COMPUTED_VALUE"""),46153.0)</f>
        <v>46153</v>
      </c>
      <c r="E497" s="2" t="str">
        <f>IFERROR(__xludf.DUMMYFUNCTION("""COMPUTED_VALUE"""),"M2")</f>
        <v>M2</v>
      </c>
      <c r="F497" s="2" t="str">
        <f>IFERROR(__xludf.DUMMYFUNCTION("""COMPUTED_VALUE"""),"Seguridad")</f>
        <v>Seguridad</v>
      </c>
      <c r="G497" s="2" t="str">
        <f>IFERROR(__xludf.DUMMYFUNCTION("""COMPUTED_VALUE"""),"Finalizada")</f>
        <v>Finalizada</v>
      </c>
      <c r="H497" s="4">
        <v>8291655.0</v>
      </c>
      <c r="I497" s="4">
        <v>2648821.0</v>
      </c>
      <c r="J497" s="4">
        <v>7292.0</v>
      </c>
      <c r="K497" s="4">
        <v>1551566.0</v>
      </c>
      <c r="L497" s="5">
        <v>2.3010313451055255</v>
      </c>
      <c r="M497" s="5">
        <v>5.344055618645935</v>
      </c>
      <c r="N497" s="4">
        <v>200070.0</v>
      </c>
      <c r="O497" s="4">
        <v>198400.0</v>
      </c>
      <c r="P497" s="4">
        <v>33795.0</v>
      </c>
      <c r="Q497" s="4">
        <v>1291.0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6" t="s">
        <v>154</v>
      </c>
      <c r="AE497" s="6" t="s">
        <v>9</v>
      </c>
    </row>
    <row r="498" ht="16.5" customHeight="1">
      <c r="A498" s="2" t="str">
        <f>IFERROR(__xludf.DUMMYFUNCTION("""COMPUTED_VALUE"""),"2944-ABRINFGC")</f>
        <v>2944-ABRINFGC</v>
      </c>
      <c r="B498" s="2" t="str">
        <f>IFERROR(__xludf.DUMMYFUNCTION("""COMPUTED_VALUE"""),"FF en todas las autopistas")</f>
        <v>FF en todas las autopistas</v>
      </c>
      <c r="C498" s="3">
        <f>IFERROR(__xludf.DUMMYFUNCTION("""COMPUTED_VALUE"""),46143.0)</f>
        <v>46143</v>
      </c>
      <c r="D498" s="3">
        <f>IFERROR(__xludf.DUMMYFUNCTION("""COMPUTED_VALUE"""),46173.0)</f>
        <v>46173</v>
      </c>
      <c r="E498" s="2" t="str">
        <f>IFERROR(__xludf.DUMMYFUNCTION("""COMPUTED_VALUE"""),"Movilidad")</f>
        <v>Movilidad</v>
      </c>
      <c r="F498" s="2" t="str">
        <f>IFERROR(__xludf.DUMMYFUNCTION("""COMPUTED_VALUE"""),"Infraestructura")</f>
        <v>Infraestructura</v>
      </c>
      <c r="G498" s="2" t="str">
        <f>IFERROR(__xludf.DUMMYFUNCTION("""COMPUTED_VALUE"""),"Finalizada")</f>
        <v>Finalizada</v>
      </c>
      <c r="H498" s="4">
        <v>4312122.0</v>
      </c>
      <c r="I498" s="4">
        <v>1330035.0</v>
      </c>
      <c r="J498" s="4">
        <v>24568.0</v>
      </c>
      <c r="K498" s="4">
        <v>832283.0</v>
      </c>
      <c r="L498" s="5">
        <v>2.2401514869341317</v>
      </c>
      <c r="M498" s="5">
        <v>5.1810766289831705</v>
      </c>
      <c r="N498" s="4">
        <v>549711.0</v>
      </c>
      <c r="O498" s="4">
        <v>545251.0</v>
      </c>
      <c r="P498" s="4">
        <v>162583.0</v>
      </c>
      <c r="Q498" s="4">
        <v>4715.0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6" t="s">
        <v>155</v>
      </c>
      <c r="AE498" s="6" t="s">
        <v>9</v>
      </c>
    </row>
    <row r="499" ht="16.5" customHeight="1">
      <c r="A499" s="2" t="str">
        <f>IFERROR(__xludf.DUMMYFUNCTION("""COMPUTED_VALUE"""),"2945-ABRSALGC")</f>
        <v>2945-ABRSALGC</v>
      </c>
      <c r="B499" s="2" t="str">
        <f>IFERROR(__xludf.DUMMYFUNCTION("""COMPUTED_VALUE"""),"CEMAR 4 - Durante de obra")</f>
        <v>CEMAR 4 - Durante de obra</v>
      </c>
      <c r="C499" s="3">
        <f>IFERROR(__xludf.DUMMYFUNCTION("""COMPUTED_VALUE"""),46182.0)</f>
        <v>46182</v>
      </c>
      <c r="D499" s="3">
        <f>IFERROR(__xludf.DUMMYFUNCTION("""COMPUTED_VALUE"""),46196.0)</f>
        <v>46196</v>
      </c>
      <c r="E499" s="2" t="str">
        <f>IFERROR(__xludf.DUMMYFUNCTION("""COMPUTED_VALUE"""),"Cuidado")</f>
        <v>Cuidado</v>
      </c>
      <c r="F499" s="2" t="str">
        <f>IFERROR(__xludf.DUMMYFUNCTION("""COMPUTED_VALUE"""),"Salud")</f>
        <v>Salud</v>
      </c>
      <c r="G499" s="2" t="str">
        <f>IFERROR(__xludf.DUMMYFUNCTION("""COMPUTED_VALUE"""),"Finalizada")</f>
        <v>Finalizada</v>
      </c>
      <c r="H499" s="4">
        <v>2413720.0</v>
      </c>
      <c r="I499" s="4">
        <v>0.0</v>
      </c>
      <c r="J499" s="4">
        <v>15946.0</v>
      </c>
      <c r="K499" s="4">
        <v>390890.0</v>
      </c>
      <c r="L499" s="5">
        <v>2.4432474609225103</v>
      </c>
      <c r="M499" s="5">
        <v>6.174934124689811</v>
      </c>
      <c r="N499" s="4">
        <v>104888.0</v>
      </c>
      <c r="O499" s="4">
        <v>103804.0</v>
      </c>
      <c r="P499" s="4">
        <v>40091.0</v>
      </c>
      <c r="Q499" s="4">
        <v>2486.0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6" t="s">
        <v>156</v>
      </c>
      <c r="AE499" s="6" t="s">
        <v>9</v>
      </c>
    </row>
    <row r="500" ht="16.5" customHeight="1">
      <c r="A500" s="2" t="str">
        <f>IFERROR(__xludf.DUMMYFUNCTION("""COMPUTED_VALUE"""),"2946-ABRVINGC")</f>
        <v>2946-ABRVINGC</v>
      </c>
      <c r="B500" s="2" t="str">
        <f>IFERROR(__xludf.DUMMYFUNCTION("""COMPUTED_VALUE"""),"Mas servicios en tu barrio Nueva Pompeya 2/5")</f>
        <v>Mas servicios en tu barrio Nueva Pompeya 2/5</v>
      </c>
      <c r="C500" s="3">
        <f>IFERROR(__xludf.DUMMYFUNCTION("""COMPUTED_VALUE"""),46140.0)</f>
        <v>46140</v>
      </c>
      <c r="D500" s="3">
        <f>IFERROR(__xludf.DUMMYFUNCTION("""COMPUTED_VALUE"""),46142.0)</f>
        <v>46142</v>
      </c>
      <c r="E500" s="2" t="str">
        <f>IFERROR(__xludf.DUMMYFUNCTION("""COMPUTED_VALUE"""),"M2")</f>
        <v>M2</v>
      </c>
      <c r="F500" s="2" t="str">
        <f>IFERROR(__xludf.DUMMYFUNCTION("""COMPUTED_VALUE"""),"Vínculo Ciudadano")</f>
        <v>Vínculo Ciudadano</v>
      </c>
      <c r="G500" s="2" t="str">
        <f>IFERROR(__xludf.DUMMYFUNCTION("""COMPUTED_VALUE"""),"Finalizada")</f>
        <v>Finalizada</v>
      </c>
      <c r="H500" s="4">
        <v>0.0</v>
      </c>
      <c r="I500" s="4">
        <v>0.0</v>
      </c>
      <c r="J500" s="4">
        <v>0.0</v>
      </c>
      <c r="K500" s="4">
        <v>0.0</v>
      </c>
      <c r="L500" s="5">
        <v>0.0</v>
      </c>
      <c r="M500" s="5">
        <v>0.0</v>
      </c>
      <c r="N500" s="4">
        <v>2713.0</v>
      </c>
      <c r="O500" s="4">
        <v>2612.0</v>
      </c>
      <c r="P500" s="4">
        <v>709.0</v>
      </c>
      <c r="Q500" s="4">
        <v>73.0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20947.0</v>
      </c>
      <c r="AB500" s="4">
        <v>19354.0</v>
      </c>
      <c r="AC500" s="4">
        <v>471.0</v>
      </c>
      <c r="AD500" s="4" t="s">
        <v>8</v>
      </c>
      <c r="AE500" s="6" t="s">
        <v>9</v>
      </c>
    </row>
    <row r="501" ht="16.5" customHeight="1">
      <c r="A501" s="2" t="str">
        <f>IFERROR(__xludf.DUMMYFUNCTION("""COMPUTED_VALUE"""),"2947-ABRVINGC")</f>
        <v>2947-ABRVINGC</v>
      </c>
      <c r="B501" s="2" t="str">
        <f>IFERROR(__xludf.DUMMYFUNCTION("""COMPUTED_VALUE"""),"Mas servicios en tu barrio Villa Ortúzar 4/5")</f>
        <v>Mas servicios en tu barrio Villa Ortúzar 4/5</v>
      </c>
      <c r="C501" s="3">
        <f>IFERROR(__xludf.DUMMYFUNCTION("""COMPUTED_VALUE"""),46142.0)</f>
        <v>46142</v>
      </c>
      <c r="D501" s="3">
        <f>IFERROR(__xludf.DUMMYFUNCTION("""COMPUTED_VALUE"""),46142.0)</f>
        <v>46142</v>
      </c>
      <c r="E501" s="2" t="str">
        <f>IFERROR(__xludf.DUMMYFUNCTION("""COMPUTED_VALUE"""),"M2")</f>
        <v>M2</v>
      </c>
      <c r="F501" s="2" t="str">
        <f>IFERROR(__xludf.DUMMYFUNCTION("""COMPUTED_VALUE"""),"Vínculo Ciudadano")</f>
        <v>Vínculo Ciudadano</v>
      </c>
      <c r="G501" s="2" t="str">
        <f>IFERROR(__xludf.DUMMYFUNCTION("""COMPUTED_VALUE"""),"Finalizada")</f>
        <v>Finalizada</v>
      </c>
      <c r="H501" s="4">
        <v>0.0</v>
      </c>
      <c r="I501" s="4">
        <v>0.0</v>
      </c>
      <c r="J501" s="4">
        <v>0.0</v>
      </c>
      <c r="K501" s="4">
        <v>0.0</v>
      </c>
      <c r="L501" s="5">
        <v>0.0</v>
      </c>
      <c r="M501" s="5">
        <v>0.0</v>
      </c>
      <c r="N501" s="4">
        <v>16625.0</v>
      </c>
      <c r="O501" s="4">
        <v>16446.0</v>
      </c>
      <c r="P501" s="4">
        <v>5969.0</v>
      </c>
      <c r="Q501" s="4">
        <v>195.0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 t="s">
        <v>8</v>
      </c>
      <c r="AE501" s="6" t="s">
        <v>9</v>
      </c>
    </row>
    <row r="502" ht="16.5" customHeight="1">
      <c r="A502" s="2" t="str">
        <f>IFERROR(__xludf.DUMMYFUNCTION("""COMPUTED_VALUE"""),"2948-ABRVINGC")</f>
        <v>2948-ABRVINGC</v>
      </c>
      <c r="B502" s="2" t="str">
        <f>IFERROR(__xludf.DUMMYFUNCTION("""COMPUTED_VALUE"""),"Mas servicios en tu barrio Balvanera 5 y 6 de mayo")</f>
        <v>Mas servicios en tu barrio Balvanera 5 y 6 de mayo</v>
      </c>
      <c r="C502" s="3">
        <f>IFERROR(__xludf.DUMMYFUNCTION("""COMPUTED_VALUE"""),46142.0)</f>
        <v>46142</v>
      </c>
      <c r="D502" s="3">
        <f>IFERROR(__xludf.DUMMYFUNCTION("""COMPUTED_VALUE"""),46142.0)</f>
        <v>46142</v>
      </c>
      <c r="E502" s="2" t="str">
        <f>IFERROR(__xludf.DUMMYFUNCTION("""COMPUTED_VALUE"""),"M2")</f>
        <v>M2</v>
      </c>
      <c r="F502" s="2" t="str">
        <f>IFERROR(__xludf.DUMMYFUNCTION("""COMPUTED_VALUE"""),"Vínculo Ciudadano")</f>
        <v>Vínculo Ciudadano</v>
      </c>
      <c r="G502" s="2" t="str">
        <f>IFERROR(__xludf.DUMMYFUNCTION("""COMPUTED_VALUE"""),"Finalizada")</f>
        <v>Finalizada</v>
      </c>
      <c r="H502" s="4">
        <v>0.0</v>
      </c>
      <c r="I502" s="4">
        <v>0.0</v>
      </c>
      <c r="J502" s="4">
        <v>0.0</v>
      </c>
      <c r="K502" s="4">
        <v>0.0</v>
      </c>
      <c r="L502" s="5">
        <v>0.0</v>
      </c>
      <c r="M502" s="5">
        <v>0.0</v>
      </c>
      <c r="N502" s="4">
        <v>25942.0</v>
      </c>
      <c r="O502" s="4">
        <v>25634.0</v>
      </c>
      <c r="P502" s="4">
        <v>7394.0</v>
      </c>
      <c r="Q502" s="4">
        <v>296.0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0.0</v>
      </c>
      <c r="AB502" s="4">
        <v>0.0</v>
      </c>
      <c r="AC502" s="4">
        <v>0.0</v>
      </c>
      <c r="AD502" s="4" t="s">
        <v>8</v>
      </c>
      <c r="AE502" s="6" t="s">
        <v>9</v>
      </c>
    </row>
    <row r="503" ht="16.5" customHeight="1">
      <c r="A503" s="2" t="str">
        <f>IFERROR(__xludf.DUMMYFUNCTION("""COMPUTED_VALUE"""),"2949-ABRVINGC")</f>
        <v>2949-ABRVINGC</v>
      </c>
      <c r="B503" s="2" t="str">
        <f>IFERROR(__xludf.DUMMYFUNCTION("""COMPUTED_VALUE"""),"Mas servicios en tu barrio Parque Chacabuco 7 y 8 de mayo")</f>
        <v>Mas servicios en tu barrio Parque Chacabuco 7 y 8 de mayo</v>
      </c>
      <c r="C503" s="3">
        <f>IFERROR(__xludf.DUMMYFUNCTION("""COMPUTED_VALUE"""),46146.0)</f>
        <v>46146</v>
      </c>
      <c r="D503" s="3">
        <f>IFERROR(__xludf.DUMMYFUNCTION("""COMPUTED_VALUE"""),46146.0)</f>
        <v>46146</v>
      </c>
      <c r="E503" s="2" t="str">
        <f>IFERROR(__xludf.DUMMYFUNCTION("""COMPUTED_VALUE"""),"M2")</f>
        <v>M2</v>
      </c>
      <c r="F503" s="2" t="str">
        <f>IFERROR(__xludf.DUMMYFUNCTION("""COMPUTED_VALUE"""),"Vínculo Ciudadano")</f>
        <v>Vínculo Ciudadano</v>
      </c>
      <c r="G503" s="2" t="str">
        <f>IFERROR(__xludf.DUMMYFUNCTION("""COMPUTED_VALUE"""),"Finalizada")</f>
        <v>Finalizada</v>
      </c>
      <c r="H503" s="4">
        <v>0.0</v>
      </c>
      <c r="I503" s="4">
        <v>0.0</v>
      </c>
      <c r="J503" s="4">
        <v>0.0</v>
      </c>
      <c r="K503" s="4">
        <v>0.0</v>
      </c>
      <c r="L503" s="5">
        <v>0.0</v>
      </c>
      <c r="M503" s="5">
        <v>0.0</v>
      </c>
      <c r="N503" s="4">
        <v>14181.0</v>
      </c>
      <c r="O503" s="4">
        <v>14023.0</v>
      </c>
      <c r="P503" s="4">
        <v>5108.0</v>
      </c>
      <c r="Q503" s="4">
        <v>255.0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>
        <v>0.0</v>
      </c>
      <c r="AD503" s="4" t="s">
        <v>8</v>
      </c>
      <c r="AE503" s="6" t="s">
        <v>9</v>
      </c>
    </row>
    <row r="504" ht="16.5" customHeight="1">
      <c r="A504" s="2" t="str">
        <f>IFERROR(__xludf.DUMMYFUNCTION("""COMPUTED_VALUE"""),"2950-ABRVINGC")</f>
        <v>2950-ABRVINGC</v>
      </c>
      <c r="B504" s="2" t="str">
        <f>IFERROR(__xludf.DUMMYFUNCTION("""COMPUTED_VALUE"""),"Mas servicios en tu barrio Caballito 9/5")</f>
        <v>Mas servicios en tu barrio Caballito 9/5</v>
      </c>
      <c r="C504" s="3">
        <f>IFERROR(__xludf.DUMMYFUNCTION("""COMPUTED_VALUE"""),46146.0)</f>
        <v>46146</v>
      </c>
      <c r="D504" s="3">
        <f>IFERROR(__xludf.DUMMYFUNCTION("""COMPUTED_VALUE"""),46146.0)</f>
        <v>46146</v>
      </c>
      <c r="E504" s="2" t="str">
        <f>IFERROR(__xludf.DUMMYFUNCTION("""COMPUTED_VALUE"""),"M2")</f>
        <v>M2</v>
      </c>
      <c r="F504" s="2" t="str">
        <f>IFERROR(__xludf.DUMMYFUNCTION("""COMPUTED_VALUE"""),"Vínculo Ciudadano")</f>
        <v>Vínculo Ciudadano</v>
      </c>
      <c r="G504" s="2" t="str">
        <f>IFERROR(__xludf.DUMMYFUNCTION("""COMPUTED_VALUE"""),"Finalizada")</f>
        <v>Finalizada</v>
      </c>
      <c r="H504" s="4">
        <v>0.0</v>
      </c>
      <c r="I504" s="4">
        <v>0.0</v>
      </c>
      <c r="J504" s="4">
        <v>0.0</v>
      </c>
      <c r="K504" s="4">
        <v>0.0</v>
      </c>
      <c r="L504" s="5">
        <v>0.0</v>
      </c>
      <c r="M504" s="5">
        <v>0.0</v>
      </c>
      <c r="N504" s="4">
        <v>33457.0</v>
      </c>
      <c r="O504" s="4">
        <v>33166.0</v>
      </c>
      <c r="P504" s="4">
        <v>12792.0</v>
      </c>
      <c r="Q504" s="4">
        <v>550.0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 t="s">
        <v>8</v>
      </c>
      <c r="AE504" s="6" t="s">
        <v>9</v>
      </c>
    </row>
    <row r="505" ht="16.5" customHeight="1">
      <c r="A505" s="2" t="str">
        <f>IFERROR(__xludf.DUMMYFUNCTION("""COMPUTED_VALUE"""),"2951-ABRAMBGC")</f>
        <v>2951-ABRAMBGC</v>
      </c>
      <c r="B505" s="2" t="str">
        <f>IFERROR(__xludf.DUMMYFUNCTION("""COMPUTED_VALUE"""),"Animales BA: Adopción de perros y gatos")</f>
        <v>Animales BA: Adopción de perros y gatos</v>
      </c>
      <c r="C505" s="3">
        <f>IFERROR(__xludf.DUMMYFUNCTION("""COMPUTED_VALUE"""),46149.0)</f>
        <v>46149</v>
      </c>
      <c r="D505" s="3">
        <f>IFERROR(__xludf.DUMMYFUNCTION("""COMPUTED_VALUE"""),46164.0)</f>
        <v>46164</v>
      </c>
      <c r="E505" s="2" t="str">
        <f>IFERROR(__xludf.DUMMYFUNCTION("""COMPUTED_VALUE"""),"Cuidado")</f>
        <v>Cuidado</v>
      </c>
      <c r="F505" s="2" t="str">
        <f>IFERROR(__xludf.DUMMYFUNCTION("""COMPUTED_VALUE"""),"Vicejefatura (Ambiente)")</f>
        <v>Vicejefatura (Ambiente)</v>
      </c>
      <c r="G505" s="2" t="str">
        <f>IFERROR(__xludf.DUMMYFUNCTION("""COMPUTED_VALUE"""),"Finalizada")</f>
        <v>Finalizada</v>
      </c>
      <c r="H505" s="4">
        <v>1125960.0</v>
      </c>
      <c r="I505" s="4">
        <v>0.0</v>
      </c>
      <c r="J505" s="4">
        <v>17844.0</v>
      </c>
      <c r="K505" s="4">
        <v>503692.0</v>
      </c>
      <c r="L505" s="5">
        <v>1.602705621689445</v>
      </c>
      <c r="M505" s="5">
        <v>2.235413705200797</v>
      </c>
      <c r="N505" s="4">
        <v>302778.0</v>
      </c>
      <c r="O505" s="4">
        <v>300333.0</v>
      </c>
      <c r="P505" s="4">
        <v>127044.0</v>
      </c>
      <c r="Q505" s="4">
        <v>5460.0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0.0</v>
      </c>
      <c r="AB505" s="4">
        <v>0.0</v>
      </c>
      <c r="AC505" s="4">
        <v>0.0</v>
      </c>
      <c r="AD505" s="6" t="s">
        <v>157</v>
      </c>
      <c r="AE505" s="6" t="s">
        <v>9</v>
      </c>
    </row>
    <row r="506" ht="16.5" customHeight="1">
      <c r="A506" s="2" t="str">
        <f>IFERROR(__xludf.DUMMYFUNCTION("""COMPUTED_VALUE"""),"2953-ABRPCCVC")</f>
        <v>2953-ABRPCCVC</v>
      </c>
      <c r="B506" s="2" t="str">
        <f>IFERROR(__xludf.DUMMYFUNCTION("""COMPUTED_VALUE"""),"Voluntarios BA | Jornada de adopción perros y gatos")</f>
        <v>Voluntarios BA | Jornada de adopción perros y gatos</v>
      </c>
      <c r="C506" s="3">
        <f>IFERROR(__xludf.DUMMYFUNCTION("""COMPUTED_VALUE"""),46146.0)</f>
        <v>46146</v>
      </c>
      <c r="D506" s="3">
        <f>IFERROR(__xludf.DUMMYFUNCTION("""COMPUTED_VALUE"""),46146.0)</f>
        <v>46146</v>
      </c>
      <c r="E506" s="2" t="str">
        <f>IFERROR(__xludf.DUMMYFUNCTION("""COMPUTED_VALUE"""),"Cercanía")</f>
        <v>Cercanía</v>
      </c>
      <c r="F506" s="2" t="str">
        <f>IFERROR(__xludf.DUMMYFUNCTION("""COMPUTED_VALUE"""),"Cercanía y PC")</f>
        <v>Cercanía y PC</v>
      </c>
      <c r="G506" s="2" t="str">
        <f>IFERROR(__xludf.DUMMYFUNCTION("""COMPUTED_VALUE"""),"Finalizada")</f>
        <v>Finalizada</v>
      </c>
      <c r="H506" s="4">
        <v>0.0</v>
      </c>
      <c r="I506" s="4">
        <v>0.0</v>
      </c>
      <c r="J506" s="4">
        <v>0.0</v>
      </c>
      <c r="K506" s="4">
        <v>0.0</v>
      </c>
      <c r="L506" s="5">
        <v>0.0</v>
      </c>
      <c r="M506" s="5">
        <v>0.0</v>
      </c>
      <c r="N506" s="4">
        <v>87994.0</v>
      </c>
      <c r="O506" s="4">
        <v>86925.0</v>
      </c>
      <c r="P506" s="4">
        <v>17290.0</v>
      </c>
      <c r="Q506" s="4">
        <v>409.0</v>
      </c>
      <c r="R506" s="4">
        <v>0.0</v>
      </c>
      <c r="S506" s="4">
        <v>0.0</v>
      </c>
      <c r="T506" s="4">
        <v>0.0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0.0</v>
      </c>
      <c r="AB506" s="4">
        <v>0.0</v>
      </c>
      <c r="AC506" s="4">
        <v>0.0</v>
      </c>
      <c r="AD506" s="4" t="s">
        <v>8</v>
      </c>
      <c r="AE506" s="6" t="s">
        <v>9</v>
      </c>
    </row>
    <row r="507" ht="16.5" customHeight="1">
      <c r="A507" s="2" t="str">
        <f>IFERROR(__xludf.DUMMYFUNCTION("""COMPUTED_VALUE"""),"2954-ABRSALGC")</f>
        <v>2954-ABRSALGC</v>
      </c>
      <c r="B507" s="2" t="str">
        <f>IFERROR(__xludf.DUMMYFUNCTION("""COMPUTED_VALUE"""),"Inversión en Salud")</f>
        <v>Inversión en Salud</v>
      </c>
      <c r="C507" s="3">
        <f>IFERROR(__xludf.DUMMYFUNCTION("""COMPUTED_VALUE"""),46141.0)</f>
        <v>46141</v>
      </c>
      <c r="D507" s="3">
        <f>IFERROR(__xludf.DUMMYFUNCTION("""COMPUTED_VALUE"""),46168.0)</f>
        <v>46168</v>
      </c>
      <c r="E507" s="2" t="str">
        <f>IFERROR(__xludf.DUMMYFUNCTION("""COMPUTED_VALUE"""),"Cuidado")</f>
        <v>Cuidado</v>
      </c>
      <c r="F507" s="2" t="str">
        <f>IFERROR(__xludf.DUMMYFUNCTION("""COMPUTED_VALUE"""),"Salud")</f>
        <v>Salud</v>
      </c>
      <c r="G507" s="2" t="str">
        <f>IFERROR(__xludf.DUMMYFUNCTION("""COMPUTED_VALUE"""),"Finalizada")</f>
        <v>Finalizada</v>
      </c>
      <c r="H507" s="4">
        <v>1.0695843E7</v>
      </c>
      <c r="I507" s="4">
        <v>2850721.0</v>
      </c>
      <c r="J507" s="4">
        <v>23759.0</v>
      </c>
      <c r="K507" s="4">
        <v>880457.0</v>
      </c>
      <c r="L507" s="5">
        <v>2.550767385573628</v>
      </c>
      <c r="M507" s="5">
        <v>12.148058337885894</v>
      </c>
      <c r="N507" s="4">
        <v>241049.0</v>
      </c>
      <c r="O507" s="4">
        <v>239636.0</v>
      </c>
      <c r="P507" s="4">
        <v>122751.0</v>
      </c>
      <c r="Q507" s="4">
        <v>1565.0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0.0</v>
      </c>
      <c r="AB507" s="4">
        <v>0.0</v>
      </c>
      <c r="AC507" s="4">
        <v>0.0</v>
      </c>
      <c r="AD507" s="6" t="s">
        <v>158</v>
      </c>
      <c r="AE507" s="6" t="s">
        <v>9</v>
      </c>
    </row>
    <row r="508" ht="16.5" customHeight="1">
      <c r="A508" s="2" t="str">
        <f>IFERROR(__xludf.DUMMYFUNCTION("""COMPUTED_VALUE"""),"2956-ABRSALGC")</f>
        <v>2956-ABRSALGC</v>
      </c>
      <c r="B508" s="2" t="str">
        <f>IFERROR(__xludf.DUMMYFUNCTION("""COMPUTED_VALUE""")," Centro Regional de Hemoterapia - Durante de obra")</f>
        <v> Centro Regional de Hemoterapia - Durante de obra</v>
      </c>
      <c r="C508" s="3">
        <f>IFERROR(__xludf.DUMMYFUNCTION("""COMPUTED_VALUE"""),46157.0)</f>
        <v>46157</v>
      </c>
      <c r="D508" s="3">
        <f>IFERROR(__xludf.DUMMYFUNCTION("""COMPUTED_VALUE"""),46171.0)</f>
        <v>46171</v>
      </c>
      <c r="E508" s="2" t="str">
        <f>IFERROR(__xludf.DUMMYFUNCTION("""COMPUTED_VALUE"""),"Cuidado")</f>
        <v>Cuidado</v>
      </c>
      <c r="F508" s="2" t="str">
        <f>IFERROR(__xludf.DUMMYFUNCTION("""COMPUTED_VALUE"""),"Salud")</f>
        <v>Salud</v>
      </c>
      <c r="G508" s="2" t="str">
        <f>IFERROR(__xludf.DUMMYFUNCTION("""COMPUTED_VALUE"""),"Finalizada")</f>
        <v>Finalizada</v>
      </c>
      <c r="H508" s="4">
        <v>3384569.0</v>
      </c>
      <c r="I508" s="4">
        <v>1224475.0</v>
      </c>
      <c r="J508" s="4">
        <v>15169.0</v>
      </c>
      <c r="K508" s="4">
        <v>186455.0</v>
      </c>
      <c r="L508" s="5">
        <v>2.02094875439114</v>
      </c>
      <c r="M508" s="5">
        <v>18.15220294441018</v>
      </c>
      <c r="N508" s="4">
        <v>11075.0</v>
      </c>
      <c r="O508" s="4">
        <v>10968.0</v>
      </c>
      <c r="P508" s="4">
        <v>3518.0</v>
      </c>
      <c r="Q508" s="4">
        <v>160.0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6" t="s">
        <v>159</v>
      </c>
      <c r="AE508" s="6" t="s">
        <v>9</v>
      </c>
    </row>
    <row r="509" ht="16.5" customHeight="1">
      <c r="A509" s="2" t="str">
        <f>IFERROR(__xludf.DUMMYFUNCTION("""COMPUTED_VALUE"""),"2957-ABRSEGGJ")</f>
        <v>2957-ABRSEGGJ</v>
      </c>
      <c r="B509" s="2" t="str">
        <f>IFERROR(__xludf.DUMMYFUNCTION("""COMPUTED_VALUE"""),"Desalojo de un taller clandestino en Parque Chas")</f>
        <v>Desalojo de un taller clandestino en Parque Chas</v>
      </c>
      <c r="C509" s="3">
        <f>IFERROR(__xludf.DUMMYFUNCTION("""COMPUTED_VALUE"""),46142.0)</f>
        <v>46142</v>
      </c>
      <c r="D509" s="3">
        <f>IFERROR(__xludf.DUMMYFUNCTION("""COMPUTED_VALUE"""),46170.0)</f>
        <v>46170</v>
      </c>
      <c r="E509" s="2" t="str">
        <f>IFERROR(__xludf.DUMMYFUNCTION("""COMPUTED_VALUE"""),"M2")</f>
        <v>M2</v>
      </c>
      <c r="F509" s="2" t="str">
        <f>IFERROR(__xludf.DUMMYFUNCTION("""COMPUTED_VALUE"""),"Seguridad")</f>
        <v>Seguridad</v>
      </c>
      <c r="G509" s="2" t="str">
        <f>IFERROR(__xludf.DUMMYFUNCTION("""COMPUTED_VALUE"""),"Finalizada")</f>
        <v>Finalizada</v>
      </c>
      <c r="H509" s="4">
        <v>9275238.0</v>
      </c>
      <c r="I509" s="4">
        <v>2812807.0</v>
      </c>
      <c r="J509" s="4">
        <v>7483.0</v>
      </c>
      <c r="K509" s="4">
        <v>487539.0</v>
      </c>
      <c r="L509" s="5">
        <v>1.9330802253768415</v>
      </c>
      <c r="M509" s="5">
        <v>19.024607262188255</v>
      </c>
      <c r="N509" s="4">
        <v>94442.0</v>
      </c>
      <c r="O509" s="4">
        <v>93592.0</v>
      </c>
      <c r="P509" s="4">
        <v>19619.0</v>
      </c>
      <c r="Q509" s="4">
        <v>1061.0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6" t="s">
        <v>160</v>
      </c>
      <c r="AE509" s="6" t="s">
        <v>9</v>
      </c>
    </row>
    <row r="510" ht="16.5" customHeight="1">
      <c r="A510" s="2" t="str">
        <f>IFERROR(__xludf.DUMMYFUNCTION("""COMPUTED_VALUE"""),"2958-ABRJDGAG")</f>
        <v>2958-ABRJDGAG</v>
      </c>
      <c r="B510" s="2" t="str">
        <f>IFERROR(__xludf.DUMMYFUNCTION("""COMPUTED_VALUE"""),"RDV JM VILLA DEVOTO 4/5")</f>
        <v>RDV JM VILLA DEVOTO 4/5</v>
      </c>
      <c r="C510" s="3">
        <f>IFERROR(__xludf.DUMMYFUNCTION("""COMPUTED_VALUE"""),46142.0)</f>
        <v>46142</v>
      </c>
      <c r="D510" s="3">
        <f>IFERROR(__xludf.DUMMYFUNCTION("""COMPUTED_VALUE"""),46159.0)</f>
        <v>46159</v>
      </c>
      <c r="E510" s="2" t="str">
        <f>IFERROR(__xludf.DUMMYFUNCTION("""COMPUTED_VALUE"""),"Cercanía")</f>
        <v>Cercanía</v>
      </c>
      <c r="F510" s="2" t="str">
        <f>IFERROR(__xludf.DUMMYFUNCTION("""COMPUTED_VALUE"""),"Jefatura de Gobierno")</f>
        <v>Jefatura de Gobierno</v>
      </c>
      <c r="G510" s="2" t="str">
        <f>IFERROR(__xludf.DUMMYFUNCTION("""COMPUTED_VALUE"""),"Finalizada")</f>
        <v>Finalizada</v>
      </c>
      <c r="H510" s="4">
        <v>548694.0</v>
      </c>
      <c r="I510" s="4">
        <v>272784.0</v>
      </c>
      <c r="J510" s="4">
        <v>6614.0</v>
      </c>
      <c r="K510" s="4"/>
      <c r="L510" s="5">
        <v>0.0</v>
      </c>
      <c r="M510" s="5">
        <v>0.0</v>
      </c>
      <c r="N510" s="4">
        <v>37858.0</v>
      </c>
      <c r="O510" s="4">
        <v>37571.0</v>
      </c>
      <c r="P510" s="4">
        <v>9923.0</v>
      </c>
      <c r="Q510" s="4">
        <v>292.0</v>
      </c>
      <c r="R510" s="4">
        <v>152.0</v>
      </c>
      <c r="S510" s="4">
        <v>76.0</v>
      </c>
      <c r="T510" s="4">
        <v>29.0</v>
      </c>
      <c r="U510" s="4">
        <v>24.0</v>
      </c>
      <c r="V510" s="4">
        <v>20162.0</v>
      </c>
      <c r="W510" s="4">
        <v>20161.0</v>
      </c>
      <c r="X510" s="4">
        <v>19106.0</v>
      </c>
      <c r="Y510" s="4">
        <v>7747.0</v>
      </c>
      <c r="Z510" s="4">
        <v>76.0</v>
      </c>
      <c r="AA510" s="4">
        <v>0.0</v>
      </c>
      <c r="AB510" s="4">
        <v>0.0</v>
      </c>
      <c r="AC510" s="4">
        <v>0.0</v>
      </c>
      <c r="AD510" s="6" t="s">
        <v>161</v>
      </c>
      <c r="AE510" s="6" t="s">
        <v>9</v>
      </c>
    </row>
    <row r="511" ht="16.5" customHeight="1">
      <c r="A511" s="2" t="str">
        <f>IFERROR(__xludf.DUMMYFUNCTION("""COMPUTED_VALUE"""),"2960-ABRJDGAG")</f>
        <v>2960-ABRJDGAG</v>
      </c>
      <c r="B511" s="2" t="str">
        <f>IFERROR(__xludf.DUMMYFUNCTION("""COMPUTED_VALUE"""),"1 A 1 JM | Comuna 13 08/05")</f>
        <v>1 A 1 JM | Comuna 13 08/05</v>
      </c>
      <c r="C511" s="3">
        <f>IFERROR(__xludf.DUMMYFUNCTION("""COMPUTED_VALUE"""),46143.0)</f>
        <v>46143</v>
      </c>
      <c r="D511" s="3">
        <f>IFERROR(__xludf.DUMMYFUNCTION("""COMPUTED_VALUE"""),46164.0)</f>
        <v>46164</v>
      </c>
      <c r="E511" s="2" t="str">
        <f>IFERROR(__xludf.DUMMYFUNCTION("""COMPUTED_VALUE"""),"Cercanía")</f>
        <v>Cercanía</v>
      </c>
      <c r="F511" s="2" t="str">
        <f>IFERROR(__xludf.DUMMYFUNCTION("""COMPUTED_VALUE"""),"Jefatura de Gobierno")</f>
        <v>Jefatura de Gobierno</v>
      </c>
      <c r="G511" s="2" t="str">
        <f>IFERROR(__xludf.DUMMYFUNCTION("""COMPUTED_VALUE"""),"Finalizada")</f>
        <v>Finalizada</v>
      </c>
      <c r="H511" s="4">
        <v>527671.0</v>
      </c>
      <c r="I511" s="4">
        <v>182802.0</v>
      </c>
      <c r="J511" s="4">
        <v>1358.0</v>
      </c>
      <c r="K511" s="4">
        <v>276182.0</v>
      </c>
      <c r="L511" s="5">
        <v>0.6474679740171336</v>
      </c>
      <c r="M511" s="5">
        <v>1.910591566430832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6" t="s">
        <v>162</v>
      </c>
      <c r="AE511" s="4" t="s">
        <v>8</v>
      </c>
    </row>
    <row r="512" ht="16.5" customHeight="1">
      <c r="A512" s="2" t="str">
        <f>IFERROR(__xludf.DUMMYFUNCTION("""COMPUTED_VALUE"""),"2961-ABRSEGGJ")</f>
        <v>2961-ABRSEGGJ</v>
      </c>
      <c r="B512" s="2" t="str">
        <f>IFERROR(__xludf.DUMMYFUNCTION("""COMPUTED_VALUE"""),"Campaña ORDEN Y SEGURIDAD 2026")</f>
        <v>Campaña ORDEN Y SEGURIDAD 2026</v>
      </c>
      <c r="C512" s="3">
        <f>IFERROR(__xludf.DUMMYFUNCTION("""COMPUTED_VALUE"""),46157.0)</f>
        <v>46157</v>
      </c>
      <c r="D512" s="3">
        <f>IFERROR(__xludf.DUMMYFUNCTION("""COMPUTED_VALUE"""),46265.0)</f>
        <v>46265</v>
      </c>
      <c r="E512" s="2" t="str">
        <f>IFERROR(__xludf.DUMMYFUNCTION("""COMPUTED_VALUE"""),"M2")</f>
        <v>M2</v>
      </c>
      <c r="F512" s="2" t="str">
        <f>IFERROR(__xludf.DUMMYFUNCTION("""COMPUTED_VALUE"""),"Seguridad")</f>
        <v>Seguridad</v>
      </c>
      <c r="G512" s="2" t="str">
        <f>IFERROR(__xludf.DUMMYFUNCTION("""COMPUTED_VALUE"""),"Activa")</f>
        <v>Activa</v>
      </c>
      <c r="H512" s="4">
        <v>3.22757517E8</v>
      </c>
      <c r="I512" s="4">
        <v>2.4053246E7</v>
      </c>
      <c r="J512" s="4">
        <v>683205.0</v>
      </c>
      <c r="K512" s="4">
        <v>9116107.0</v>
      </c>
      <c r="L512" s="5">
        <v>9.638462448937908</v>
      </c>
      <c r="M512" s="5">
        <v>35.40519182146502</v>
      </c>
      <c r="N512" s="4">
        <v>1804633.0</v>
      </c>
      <c r="O512" s="4">
        <v>1783741.0</v>
      </c>
      <c r="P512" s="4">
        <v>346473.0</v>
      </c>
      <c r="Q512" s="4">
        <v>3169.0</v>
      </c>
      <c r="R512" s="4">
        <v>43388.0</v>
      </c>
      <c r="S512" s="4">
        <v>41000.0</v>
      </c>
      <c r="T512" s="4">
        <v>11931.0</v>
      </c>
      <c r="U512" s="4">
        <v>8866.0</v>
      </c>
      <c r="V512" s="4">
        <v>104073.0</v>
      </c>
      <c r="W512" s="4">
        <v>104073.0</v>
      </c>
      <c r="X512" s="4">
        <v>98868.0</v>
      </c>
      <c r="Y512" s="4">
        <v>23797.0</v>
      </c>
      <c r="Z512" s="4">
        <v>85.0</v>
      </c>
      <c r="AA512" s="4">
        <v>0.0</v>
      </c>
      <c r="AB512" s="4">
        <v>0.0</v>
      </c>
      <c r="AC512" s="4">
        <v>0.0</v>
      </c>
      <c r="AD512" s="6" t="s">
        <v>163</v>
      </c>
      <c r="AE512" s="6" t="s">
        <v>9</v>
      </c>
    </row>
    <row r="513" ht="16.5" customHeight="1">
      <c r="A513" s="2" t="str">
        <f>IFERROR(__xludf.DUMMYFUNCTION("""COMPUTED_VALUE"""),"2962-ABRHYFVC")</f>
        <v>2962-ABRHYFVC</v>
      </c>
      <c r="B513" s="2" t="str">
        <f>IFERROR(__xludf.DUMMYFUNCTION("""COMPUTED_VALUE"""),"LOMBARDI-TAPIA-PIRAGINE 4/5 EJE CENTRO")</f>
        <v>LOMBARDI-TAPIA-PIRAGINE 4/5 EJE CENTRO</v>
      </c>
      <c r="C513" s="3">
        <f>IFERROR(__xludf.DUMMYFUNCTION("""COMPUTED_VALUE"""),46142.0)</f>
        <v>46142</v>
      </c>
      <c r="D513" s="3">
        <f>IFERROR(__xludf.DUMMYFUNCTION("""COMPUTED_VALUE"""),46149.0)</f>
        <v>46149</v>
      </c>
      <c r="E513" s="2" t="str">
        <f>IFERROR(__xludf.DUMMYFUNCTION("""COMPUTED_VALUE"""),"Cercanía")</f>
        <v>Cercanía</v>
      </c>
      <c r="F513" s="2" t="str">
        <f>IFERROR(__xludf.DUMMYFUNCTION("""COMPUTED_VALUE"""),"Hacienda y Finanzas")</f>
        <v>Hacienda y Finanzas</v>
      </c>
      <c r="G513" s="2" t="str">
        <f>IFERROR(__xludf.DUMMYFUNCTION("""COMPUTED_VALUE"""),"Finalizada")</f>
        <v>Finalizada</v>
      </c>
      <c r="H513" s="4">
        <v>755385.0</v>
      </c>
      <c r="I513" s="4">
        <v>0.0</v>
      </c>
      <c r="J513" s="4">
        <v>763.0</v>
      </c>
      <c r="K513" s="4">
        <v>119329.0</v>
      </c>
      <c r="L513" s="5">
        <v>6.330271769645266</v>
      </c>
      <c r="M513" s="5">
        <v>6.330271769645266</v>
      </c>
      <c r="N513" s="4">
        <v>18230.0</v>
      </c>
      <c r="O513" s="4">
        <v>17866.0</v>
      </c>
      <c r="P513" s="4">
        <v>2569.0</v>
      </c>
      <c r="Q513" s="4">
        <v>29.0</v>
      </c>
      <c r="R513" s="4">
        <v>8.0</v>
      </c>
      <c r="S513" s="4">
        <v>8.0</v>
      </c>
      <c r="T513" s="4">
        <v>3.0</v>
      </c>
      <c r="U513" s="4">
        <v>3.0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6" t="s">
        <v>164</v>
      </c>
      <c r="AE513" s="6" t="s">
        <v>9</v>
      </c>
    </row>
    <row r="514" ht="16.5" customHeight="1">
      <c r="A514" s="2" t="str">
        <f>IFERROR(__xludf.DUMMYFUNCTION("""COMPUTED_VALUE"""),"2963-ABRCULVC")</f>
        <v>2963-ABRCULVC</v>
      </c>
      <c r="B514" s="2" t="str">
        <f>IFERROR(__xludf.DUMMYFUNCTION("""COMPUTED_VALUE"""),"RDV Ministros | Gabriela Ricardes 6/5 Comuna 12")</f>
        <v>RDV Ministros | Gabriela Ricardes 6/5 Comuna 12</v>
      </c>
      <c r="C514" s="3">
        <f>IFERROR(__xludf.DUMMYFUNCTION("""COMPUTED_VALUE"""),46142.0)</f>
        <v>46142</v>
      </c>
      <c r="D514" s="3">
        <f>IFERROR(__xludf.DUMMYFUNCTION("""COMPUTED_VALUE"""),46149.0)</f>
        <v>46149</v>
      </c>
      <c r="E514" s="2" t="str">
        <f>IFERROR(__xludf.DUMMYFUNCTION("""COMPUTED_VALUE"""),"Cercanía")</f>
        <v>Cercanía</v>
      </c>
      <c r="F514" s="2" t="str">
        <f>IFERROR(__xludf.DUMMYFUNCTION("""COMPUTED_VALUE"""),"Cultura")</f>
        <v>Cultura</v>
      </c>
      <c r="G514" s="2" t="str">
        <f>IFERROR(__xludf.DUMMYFUNCTION("""COMPUTED_VALUE"""),"Finalizada")</f>
        <v>Finalizada</v>
      </c>
      <c r="H514" s="4">
        <v>240458.0</v>
      </c>
      <c r="I514" s="4">
        <v>0.0</v>
      </c>
      <c r="J514" s="4">
        <v>849.0</v>
      </c>
      <c r="K514" s="4">
        <v>34608.0</v>
      </c>
      <c r="L514" s="5">
        <v>6.948046694405917</v>
      </c>
      <c r="M514" s="5">
        <v>6.948046694405917</v>
      </c>
      <c r="N514" s="4">
        <v>31161.0</v>
      </c>
      <c r="O514" s="4">
        <v>30855.0</v>
      </c>
      <c r="P514" s="4">
        <v>6654.0</v>
      </c>
      <c r="Q514" s="4">
        <v>131.0</v>
      </c>
      <c r="R514" s="4">
        <v>67.0</v>
      </c>
      <c r="S514" s="4">
        <v>67.0</v>
      </c>
      <c r="T514" s="4">
        <v>17.0</v>
      </c>
      <c r="U514" s="4">
        <v>17.0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6" t="s">
        <v>165</v>
      </c>
      <c r="AE514" s="6" t="s">
        <v>9</v>
      </c>
    </row>
    <row r="515" ht="16.5" customHeight="1">
      <c r="A515" s="2" t="str">
        <f>IFERROR(__xludf.DUMMYFUNCTION("""COMPUTED_VALUE"""),"2964-ABRJDGVC")</f>
        <v>2964-ABRJDGVC</v>
      </c>
      <c r="B515" s="2" t="str">
        <f>IFERROR(__xludf.DUMMYFUNCTION("""COMPUTED_VALUE"""),"RDV Ministros | Gabriel Sanchez Zinny - 4/5 - Constitución")</f>
        <v>RDV Ministros | Gabriel Sanchez Zinny - 4/5 - Constitución</v>
      </c>
      <c r="C515" s="3">
        <f>IFERROR(__xludf.DUMMYFUNCTION("""COMPUTED_VALUE"""),46142.0)</f>
        <v>46142</v>
      </c>
      <c r="D515" s="3">
        <f>IFERROR(__xludf.DUMMYFUNCTION("""COMPUTED_VALUE"""),46147.0)</f>
        <v>46147</v>
      </c>
      <c r="E515" s="2" t="str">
        <f>IFERROR(__xludf.DUMMYFUNCTION("""COMPUTED_VALUE"""),"Cercanía")</f>
        <v>Cercanía</v>
      </c>
      <c r="F515" s="2" t="str">
        <f>IFERROR(__xludf.DUMMYFUNCTION("""COMPUTED_VALUE"""),"Jefatura de Gabinete")</f>
        <v>Jefatura de Gabinete</v>
      </c>
      <c r="G515" s="2" t="str">
        <f>IFERROR(__xludf.DUMMYFUNCTION("""COMPUTED_VALUE"""),"Finalizada")</f>
        <v>Finalizada</v>
      </c>
      <c r="H515" s="4">
        <v>2969.0</v>
      </c>
      <c r="I515" s="4">
        <v>0.0</v>
      </c>
      <c r="J515" s="4">
        <v>9.0</v>
      </c>
      <c r="K515" s="4"/>
      <c r="L515" s="5">
        <v>0.0</v>
      </c>
      <c r="M515" s="5">
        <v>0.0</v>
      </c>
      <c r="N515" s="4">
        <v>12876.0</v>
      </c>
      <c r="O515" s="4">
        <v>12677.0</v>
      </c>
      <c r="P515" s="4">
        <v>1892.0</v>
      </c>
      <c r="Q515" s="4">
        <v>83.0</v>
      </c>
      <c r="R515" s="4">
        <v>51.0</v>
      </c>
      <c r="S515" s="4">
        <v>51.0</v>
      </c>
      <c r="T515" s="4">
        <v>17.0</v>
      </c>
      <c r="U515" s="4">
        <v>17.0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6" t="s">
        <v>166</v>
      </c>
      <c r="AE515" s="6" t="s">
        <v>9</v>
      </c>
    </row>
    <row r="516" ht="16.5" customHeight="1">
      <c r="A516" s="2" t="str">
        <f>IFERROR(__xludf.DUMMYFUNCTION("""COMPUTED_VALUE"""),"2965-ABRINFVC")</f>
        <v>2965-ABRINFVC</v>
      </c>
      <c r="B516" s="2" t="str">
        <f>IFERROR(__xludf.DUMMYFUNCTION("""COMPUTED_VALUE"""),"RDV Ministros | Pablo Bereciartua - 4/5 - Comuna 15")</f>
        <v>RDV Ministros | Pablo Bereciartua - 4/5 - Comuna 15</v>
      </c>
      <c r="C516" s="3">
        <f>IFERROR(__xludf.DUMMYFUNCTION("""COMPUTED_VALUE"""),46142.0)</f>
        <v>46142</v>
      </c>
      <c r="D516" s="3">
        <f>IFERROR(__xludf.DUMMYFUNCTION("""COMPUTED_VALUE"""),46147.0)</f>
        <v>46147</v>
      </c>
      <c r="E516" s="2" t="str">
        <f>IFERROR(__xludf.DUMMYFUNCTION("""COMPUTED_VALUE"""),"Cercanía")</f>
        <v>Cercanía</v>
      </c>
      <c r="F516" s="2" t="str">
        <f>IFERROR(__xludf.DUMMYFUNCTION("""COMPUTED_VALUE"""),"Infraestructura")</f>
        <v>Infraestructura</v>
      </c>
      <c r="G516" s="2" t="str">
        <f>IFERROR(__xludf.DUMMYFUNCTION("""COMPUTED_VALUE"""),"Finalizada")</f>
        <v>Finalizada</v>
      </c>
      <c r="H516" s="4">
        <v>144196.0</v>
      </c>
      <c r="I516" s="4">
        <v>0.0</v>
      </c>
      <c r="J516" s="4">
        <v>514.0</v>
      </c>
      <c r="K516" s="4"/>
      <c r="L516" s="5">
        <v>0.0</v>
      </c>
      <c r="M516" s="5">
        <v>0.0</v>
      </c>
      <c r="N516" s="4">
        <v>84920.0</v>
      </c>
      <c r="O516" s="4">
        <v>83994.0</v>
      </c>
      <c r="P516" s="4">
        <v>15559.0</v>
      </c>
      <c r="Q516" s="4">
        <v>372.0</v>
      </c>
      <c r="R516" s="4">
        <v>152.0</v>
      </c>
      <c r="S516" s="4">
        <v>152.0</v>
      </c>
      <c r="T516" s="4">
        <v>45.0</v>
      </c>
      <c r="U516" s="4">
        <v>42.0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6" t="s">
        <v>167</v>
      </c>
      <c r="AE516" s="6" t="s">
        <v>9</v>
      </c>
    </row>
    <row r="517" ht="16.5" customHeight="1">
      <c r="A517" s="2" t="str">
        <f>IFERROR(__xludf.DUMMYFUNCTION("""COMPUTED_VALUE"""),"2966-ABRSALVC")</f>
        <v>2966-ABRSALVC</v>
      </c>
      <c r="B517" s="2" t="str">
        <f>IFERROR(__xludf.DUMMYFUNCTION("""COMPUTED_VALUE"""),"RDV Ministros | Fernán Quirós - 5/5 - Comuna 13")</f>
        <v>RDV Ministros | Fernán Quirós - 5/5 - Comuna 13</v>
      </c>
      <c r="C517" s="3">
        <f>IFERROR(__xludf.DUMMYFUNCTION("""COMPUTED_VALUE"""),46142.0)</f>
        <v>46142</v>
      </c>
      <c r="D517" s="3">
        <f>IFERROR(__xludf.DUMMYFUNCTION("""COMPUTED_VALUE"""),46149.0)</f>
        <v>46149</v>
      </c>
      <c r="E517" s="2" t="str">
        <f>IFERROR(__xludf.DUMMYFUNCTION("""COMPUTED_VALUE"""),"Cercanía")</f>
        <v>Cercanía</v>
      </c>
      <c r="F517" s="2" t="str">
        <f>IFERROR(__xludf.DUMMYFUNCTION("""COMPUTED_VALUE"""),"Salud")</f>
        <v>Salud</v>
      </c>
      <c r="G517" s="2" t="str">
        <f>IFERROR(__xludf.DUMMYFUNCTION("""COMPUTED_VALUE"""),"Finalizada")</f>
        <v>Finalizada</v>
      </c>
      <c r="H517" s="4">
        <v>137796.0</v>
      </c>
      <c r="I517" s="4">
        <v>0.0</v>
      </c>
      <c r="J517" s="4">
        <v>630.0</v>
      </c>
      <c r="K517" s="4">
        <v>20763.0</v>
      </c>
      <c r="L517" s="5">
        <v>6.6366132061840775</v>
      </c>
      <c r="M517" s="5">
        <v>6.6366132061840775</v>
      </c>
      <c r="N517" s="4">
        <v>109766.0</v>
      </c>
      <c r="O517" s="4">
        <v>108772.0</v>
      </c>
      <c r="P517" s="4">
        <v>24539.0</v>
      </c>
      <c r="Q517" s="4">
        <v>571.0</v>
      </c>
      <c r="R517" s="4">
        <v>190.0</v>
      </c>
      <c r="S517" s="4">
        <v>190.0</v>
      </c>
      <c r="T517" s="4">
        <v>56.0</v>
      </c>
      <c r="U517" s="4">
        <v>53.0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6" t="s">
        <v>168</v>
      </c>
      <c r="AE517" s="6" t="s">
        <v>9</v>
      </c>
    </row>
    <row r="518" ht="16.5" customHeight="1">
      <c r="A518" s="2" t="str">
        <f>IFERROR(__xludf.DUMMYFUNCTION("""COMPUTED_VALUE"""),"2967-ABRAMBVC")</f>
        <v>2967-ABRAMBVC</v>
      </c>
      <c r="B518" s="2" t="str">
        <f>IFERROR(__xludf.DUMMYFUNCTION("""COMPUTED_VALUE"""),"RDV Ministros | Clara Muzzio - 6/5 - Retiro")</f>
        <v>RDV Ministros | Clara Muzzio - 6/5 - Retiro</v>
      </c>
      <c r="C518" s="3">
        <f>IFERROR(__xludf.DUMMYFUNCTION("""COMPUTED_VALUE"""),46142.0)</f>
        <v>46142</v>
      </c>
      <c r="D518" s="3">
        <f>IFERROR(__xludf.DUMMYFUNCTION("""COMPUTED_VALUE"""),46149.0)</f>
        <v>46149</v>
      </c>
      <c r="E518" s="2" t="str">
        <f>IFERROR(__xludf.DUMMYFUNCTION("""COMPUTED_VALUE"""),"Cercanía")</f>
        <v>Cercanía</v>
      </c>
      <c r="F518" s="2" t="str">
        <f>IFERROR(__xludf.DUMMYFUNCTION("""COMPUTED_VALUE"""),"Vicejefatura (Ambiente)")</f>
        <v>Vicejefatura (Ambiente)</v>
      </c>
      <c r="G518" s="2" t="str">
        <f>IFERROR(__xludf.DUMMYFUNCTION("""COMPUTED_VALUE"""),"Finalizada")</f>
        <v>Finalizada</v>
      </c>
      <c r="H518" s="4">
        <v>80850.0</v>
      </c>
      <c r="I518" s="4">
        <v>0.0</v>
      </c>
      <c r="J518" s="4">
        <v>178.0</v>
      </c>
      <c r="K518" s="4">
        <v>51781.0</v>
      </c>
      <c r="L518" s="5">
        <v>1.5613835190513896</v>
      </c>
      <c r="M518" s="5">
        <v>1.5613835190513896</v>
      </c>
      <c r="N518" s="4">
        <v>15411.0</v>
      </c>
      <c r="O518" s="4">
        <v>15211.0</v>
      </c>
      <c r="P518" s="4">
        <v>3655.0</v>
      </c>
      <c r="Q518" s="4">
        <v>114.0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6" t="s">
        <v>169</v>
      </c>
      <c r="AE518" s="6" t="s">
        <v>9</v>
      </c>
    </row>
    <row r="519" ht="16.5" customHeight="1">
      <c r="A519" s="2" t="str">
        <f>IFERROR(__xludf.DUMMYFUNCTION("""COMPUTED_VALUE"""),"2968-ABRSEGVC")</f>
        <v>2968-ABRSEGVC</v>
      </c>
      <c r="B519" s="2" t="str">
        <f>IFERROR(__xludf.DUMMYFUNCTION("""COMPUTED_VALUE"""),"RDV MINISTROS SEGURIDAD | MAXIMILIANO PIÑEIRO 7/5 COMUNA 3")</f>
        <v>RDV MINISTROS SEGURIDAD | MAXIMILIANO PIÑEIRO 7/5 COMUNA 3</v>
      </c>
      <c r="C519" s="3">
        <f>IFERROR(__xludf.DUMMYFUNCTION("""COMPUTED_VALUE"""),46146.0)</f>
        <v>46146</v>
      </c>
      <c r="D519" s="3">
        <f>IFERROR(__xludf.DUMMYFUNCTION("""COMPUTED_VALUE"""),46153.0)</f>
        <v>46153</v>
      </c>
      <c r="E519" s="2" t="str">
        <f>IFERROR(__xludf.DUMMYFUNCTION("""COMPUTED_VALUE"""),"Cercanía")</f>
        <v>Cercanía</v>
      </c>
      <c r="F519" s="2" t="str">
        <f>IFERROR(__xludf.DUMMYFUNCTION("""COMPUTED_VALUE"""),"Seguridad")</f>
        <v>Seguridad</v>
      </c>
      <c r="G519" s="2" t="str">
        <f>IFERROR(__xludf.DUMMYFUNCTION("""COMPUTED_VALUE"""),"Finalizada")</f>
        <v>Finalizada</v>
      </c>
      <c r="H519" s="4">
        <v>160512.0</v>
      </c>
      <c r="I519" s="4">
        <v>0.0</v>
      </c>
      <c r="J519" s="4">
        <v>293.0</v>
      </c>
      <c r="K519" s="4">
        <v>154346.0</v>
      </c>
      <c r="L519" s="5">
        <v>1.0399492050328483</v>
      </c>
      <c r="M519" s="5">
        <v>1.0399492050328483</v>
      </c>
      <c r="N519" s="4">
        <v>66595.0</v>
      </c>
      <c r="O519" s="4">
        <v>65736.0</v>
      </c>
      <c r="P519" s="4">
        <v>11488.0</v>
      </c>
      <c r="Q519" s="4">
        <v>275.0</v>
      </c>
      <c r="R519" s="4">
        <v>125.0</v>
      </c>
      <c r="S519" s="4">
        <v>125.0</v>
      </c>
      <c r="T519" s="4">
        <v>27.0</v>
      </c>
      <c r="U519" s="4">
        <v>25.0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6" t="s">
        <v>170</v>
      </c>
      <c r="AE519" s="6" t="s">
        <v>9</v>
      </c>
    </row>
    <row r="520" ht="16.5" customHeight="1">
      <c r="A520" s="2" t="str">
        <f>IFERROR(__xludf.DUMMYFUNCTION("""COMPUTED_VALUE"""),"2969-ABRSEGVC")</f>
        <v>2969-ABRSEGVC</v>
      </c>
      <c r="B520" s="2" t="str">
        <f>IFERROR(__xludf.DUMMYFUNCTION("""COMPUTED_VALUE"""),"RDV MINISTROS SEGURIDAD | RUTH LANDERRECHE 7/5 COMUNA 2")</f>
        <v>RDV MINISTROS SEGURIDAD | RUTH LANDERRECHE 7/5 COMUNA 2</v>
      </c>
      <c r="C520" s="3">
        <f>IFERROR(__xludf.DUMMYFUNCTION("""COMPUTED_VALUE"""),46146.0)</f>
        <v>46146</v>
      </c>
      <c r="D520" s="3">
        <f>IFERROR(__xludf.DUMMYFUNCTION("""COMPUTED_VALUE"""),46153.0)</f>
        <v>46153</v>
      </c>
      <c r="E520" s="2" t="str">
        <f>IFERROR(__xludf.DUMMYFUNCTION("""COMPUTED_VALUE"""),"Cercanía")</f>
        <v>Cercanía</v>
      </c>
      <c r="F520" s="2" t="str">
        <f>IFERROR(__xludf.DUMMYFUNCTION("""COMPUTED_VALUE"""),"Seguridad")</f>
        <v>Seguridad</v>
      </c>
      <c r="G520" s="2" t="str">
        <f>IFERROR(__xludf.DUMMYFUNCTION("""COMPUTED_VALUE"""),"Finalizada")</f>
        <v>Finalizada</v>
      </c>
      <c r="H520" s="4">
        <v>313207.0</v>
      </c>
      <c r="I520" s="4">
        <v>0.0</v>
      </c>
      <c r="J520" s="4">
        <v>415.0</v>
      </c>
      <c r="K520" s="4">
        <v>245739.0</v>
      </c>
      <c r="L520" s="5">
        <v>1.274551454999003</v>
      </c>
      <c r="M520" s="5">
        <v>1.274551454999003</v>
      </c>
      <c r="N520" s="4">
        <v>59988.0</v>
      </c>
      <c r="O520" s="4">
        <v>59368.0</v>
      </c>
      <c r="P520" s="4">
        <v>16582.0</v>
      </c>
      <c r="Q520" s="4">
        <v>233.0</v>
      </c>
      <c r="R520" s="4">
        <v>66.0</v>
      </c>
      <c r="S520" s="4">
        <v>66.0</v>
      </c>
      <c r="T520" s="4">
        <v>13.0</v>
      </c>
      <c r="U520" s="4">
        <v>13.0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6" t="s">
        <v>171</v>
      </c>
      <c r="AE520" s="6" t="s">
        <v>9</v>
      </c>
    </row>
    <row r="521" ht="16.5" customHeight="1">
      <c r="A521" s="2" t="str">
        <f>IFERROR(__xludf.DUMMYFUNCTION("""COMPUTED_VALUE"""),"2970-ABRSEGVC")</f>
        <v>2970-ABRSEGVC</v>
      </c>
      <c r="B521" s="2" t="str">
        <f>IFERROR(__xludf.DUMMYFUNCTION("""COMPUTED_VALUE"""),"RDV MINISTROS SEGURIDAD | FRANCISCO QUINTANA 7/5 COMUNA 1 NORTE")</f>
        <v>RDV MINISTROS SEGURIDAD | FRANCISCO QUINTANA 7/5 COMUNA 1 NORTE</v>
      </c>
      <c r="C521" s="3">
        <f>IFERROR(__xludf.DUMMYFUNCTION("""COMPUTED_VALUE"""),46146.0)</f>
        <v>46146</v>
      </c>
      <c r="D521" s="3">
        <f>IFERROR(__xludf.DUMMYFUNCTION("""COMPUTED_VALUE"""),46150.0)</f>
        <v>46150</v>
      </c>
      <c r="E521" s="2" t="str">
        <f>IFERROR(__xludf.DUMMYFUNCTION("""COMPUTED_VALUE"""),"Cercanía")</f>
        <v>Cercanía</v>
      </c>
      <c r="F521" s="2" t="str">
        <f>IFERROR(__xludf.DUMMYFUNCTION("""COMPUTED_VALUE"""),"Seguridad")</f>
        <v>Seguridad</v>
      </c>
      <c r="G521" s="2" t="str">
        <f>IFERROR(__xludf.DUMMYFUNCTION("""COMPUTED_VALUE"""),"Finalizada")</f>
        <v>Finalizada</v>
      </c>
      <c r="H521" s="4">
        <v>159514.0</v>
      </c>
      <c r="I521" s="4">
        <v>0.0</v>
      </c>
      <c r="J521" s="4">
        <v>464.0</v>
      </c>
      <c r="K521" s="4">
        <v>105517.0</v>
      </c>
      <c r="L521" s="5">
        <v>1.5117374451510184</v>
      </c>
      <c r="M521" s="5">
        <v>1.5117374451510184</v>
      </c>
      <c r="N521" s="4">
        <v>32199.0</v>
      </c>
      <c r="O521" s="4">
        <v>31801.0</v>
      </c>
      <c r="P521" s="4">
        <v>8317.0</v>
      </c>
      <c r="Q521" s="4">
        <v>168.0</v>
      </c>
      <c r="R521" s="4">
        <v>73.0</v>
      </c>
      <c r="S521" s="4">
        <v>73.0</v>
      </c>
      <c r="T521" s="4">
        <v>30.0</v>
      </c>
      <c r="U521" s="4">
        <v>29.0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6" t="s">
        <v>172</v>
      </c>
      <c r="AE521" s="6" t="s">
        <v>9</v>
      </c>
    </row>
    <row r="522" ht="16.5" customHeight="1">
      <c r="A522" s="2" t="str">
        <f>IFERROR(__xludf.DUMMYFUNCTION("""COMPUTED_VALUE"""),"2971-ABRSEGVC")</f>
        <v>2971-ABRSEGVC</v>
      </c>
      <c r="B522" s="2" t="str">
        <f>IFERROR(__xludf.DUMMYFUNCTION("""COMPUTED_VALUE"""),"RDV MINISTROS SEGURIDAD HORACIO GIMÉNEZ 7/5 COMUNA 1 SUR")</f>
        <v>RDV MINISTROS SEGURIDAD HORACIO GIMÉNEZ 7/5 COMUNA 1 SUR</v>
      </c>
      <c r="C522" s="3">
        <f>IFERROR(__xludf.DUMMYFUNCTION("""COMPUTED_VALUE"""),46146.0)</f>
        <v>46146</v>
      </c>
      <c r="D522" s="3">
        <f>IFERROR(__xludf.DUMMYFUNCTION("""COMPUTED_VALUE"""),46150.0)</f>
        <v>46150</v>
      </c>
      <c r="E522" s="2" t="str">
        <f>IFERROR(__xludf.DUMMYFUNCTION("""COMPUTED_VALUE"""),"Cercanía")</f>
        <v>Cercanía</v>
      </c>
      <c r="F522" s="2" t="str">
        <f>IFERROR(__xludf.DUMMYFUNCTION("""COMPUTED_VALUE"""),"Seguridad")</f>
        <v>Seguridad</v>
      </c>
      <c r="G522" s="2" t="str">
        <f>IFERROR(__xludf.DUMMYFUNCTION("""COMPUTED_VALUE"""),"Finalizada")</f>
        <v>Finalizada</v>
      </c>
      <c r="H522" s="4">
        <v>128925.0</v>
      </c>
      <c r="I522" s="4">
        <v>0.0</v>
      </c>
      <c r="J522" s="4">
        <v>480.0</v>
      </c>
      <c r="K522" s="4">
        <v>85443.0</v>
      </c>
      <c r="L522" s="5">
        <v>1.5089006706225203</v>
      </c>
      <c r="M522" s="5">
        <v>1.5089006706225203</v>
      </c>
      <c r="N522" s="4">
        <v>38895.0</v>
      </c>
      <c r="O522" s="4">
        <v>38348.0</v>
      </c>
      <c r="P522" s="4">
        <v>6670.0</v>
      </c>
      <c r="Q522" s="4">
        <v>177.0</v>
      </c>
      <c r="R522" s="4">
        <v>111.0</v>
      </c>
      <c r="S522" s="4">
        <v>111.0</v>
      </c>
      <c r="T522" s="4">
        <v>28.0</v>
      </c>
      <c r="U522" s="4">
        <v>26.0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6" t="s">
        <v>173</v>
      </c>
      <c r="AE522" s="6" t="s">
        <v>9</v>
      </c>
    </row>
    <row r="523" ht="16.5" customHeight="1">
      <c r="A523" s="2" t="str">
        <f>IFERROR(__xludf.DUMMYFUNCTION("""COMPUTED_VALUE"""),"2972-MAYSEGGC")</f>
        <v>2972-MAYSEGGC</v>
      </c>
      <c r="B523" s="2" t="str">
        <f>IFERROR(__xludf.DUMMYFUNCTION("""COMPUTED_VALUE"""),"Compactación de autos abandonados")</f>
        <v>Compactación de autos abandonados</v>
      </c>
      <c r="C523" s="3">
        <f>IFERROR(__xludf.DUMMYFUNCTION("""COMPUTED_VALUE"""),46161.0)</f>
        <v>46161</v>
      </c>
      <c r="D523" s="3">
        <f>IFERROR(__xludf.DUMMYFUNCTION("""COMPUTED_VALUE"""),46175.0)</f>
        <v>46175</v>
      </c>
      <c r="E523" s="2" t="str">
        <f>IFERROR(__xludf.DUMMYFUNCTION("""COMPUTED_VALUE"""),"M2")</f>
        <v>M2</v>
      </c>
      <c r="F523" s="2" t="str">
        <f>IFERROR(__xludf.DUMMYFUNCTION("""COMPUTED_VALUE"""),"Seguridad")</f>
        <v>Seguridad</v>
      </c>
      <c r="G523" s="2" t="str">
        <f>IFERROR(__xludf.DUMMYFUNCTION("""COMPUTED_VALUE"""),"Finalizada")</f>
        <v>Finalizada</v>
      </c>
      <c r="H523" s="4">
        <v>1.2056624E7</v>
      </c>
      <c r="I523" s="4">
        <v>214767.0</v>
      </c>
      <c r="J523" s="4">
        <v>18657.0</v>
      </c>
      <c r="K523" s="4">
        <v>1037711.0</v>
      </c>
      <c r="L523" s="5">
        <v>2.5616448124766915</v>
      </c>
      <c r="M523" s="5">
        <v>11.618479518864115</v>
      </c>
      <c r="N523" s="4">
        <v>257690.0</v>
      </c>
      <c r="O523" s="4">
        <v>255686.0</v>
      </c>
      <c r="P523" s="4">
        <v>94523.0</v>
      </c>
      <c r="Q523" s="4">
        <v>2252.0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6" t="s">
        <v>174</v>
      </c>
      <c r="AE523" s="6" t="s">
        <v>9</v>
      </c>
    </row>
    <row r="524" ht="16.5" customHeight="1">
      <c r="A524" s="2" t="str">
        <f>IFERROR(__xludf.DUMMYFUNCTION("""COMPUTED_VALUE"""),"2973-MAYSEGGC")</f>
        <v>2973-MAYSEGGC</v>
      </c>
      <c r="B524" s="2" t="str">
        <f>IFERROR(__xludf.DUMMYFUNCTION("""COMPUTED_VALUE"""),"Operativos de saturación en subte")</f>
        <v>Operativos de saturación en subte</v>
      </c>
      <c r="C524" s="3">
        <f>IFERROR(__xludf.DUMMYFUNCTION("""COMPUTED_VALUE"""),46150.0)</f>
        <v>46150</v>
      </c>
      <c r="D524" s="3">
        <f>IFERROR(__xludf.DUMMYFUNCTION("""COMPUTED_VALUE"""),46170.0)</f>
        <v>46170</v>
      </c>
      <c r="E524" s="2" t="str">
        <f>IFERROR(__xludf.DUMMYFUNCTION("""COMPUTED_VALUE"""),"M2")</f>
        <v>M2</v>
      </c>
      <c r="F524" s="2" t="str">
        <f>IFERROR(__xludf.DUMMYFUNCTION("""COMPUTED_VALUE"""),"Seguridad")</f>
        <v>Seguridad</v>
      </c>
      <c r="G524" s="2" t="str">
        <f>IFERROR(__xludf.DUMMYFUNCTION("""COMPUTED_VALUE"""),"Finalizada")</f>
        <v>Finalizada</v>
      </c>
      <c r="H524" s="4">
        <v>5430694.0</v>
      </c>
      <c r="I524" s="4">
        <v>925514.0</v>
      </c>
      <c r="J524" s="4">
        <v>30797.0</v>
      </c>
      <c r="K524" s="4"/>
      <c r="L524" s="5">
        <v>0.0</v>
      </c>
      <c r="M524" s="5">
        <v>0.0</v>
      </c>
      <c r="N524" s="4">
        <v>222647.0</v>
      </c>
      <c r="O524" s="4">
        <v>221061.0</v>
      </c>
      <c r="P524" s="4">
        <v>96838.0</v>
      </c>
      <c r="Q524" s="4">
        <v>546.0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6" t="s">
        <v>175</v>
      </c>
      <c r="AE524" s="6" t="s">
        <v>9</v>
      </c>
    </row>
    <row r="525" ht="16.5" customHeight="1">
      <c r="A525" s="2" t="str">
        <f>IFERROR(__xludf.DUMMYFUNCTION("""COMPUTED_VALUE"""),"2974-MAYSEGGJ")</f>
        <v>2974-MAYSEGGJ</v>
      </c>
      <c r="B525" s="2" t="str">
        <f>IFERROR(__xludf.DUMMYFUNCTION("""COMPUTED_VALUE"""),"Nueva Patrulla de Control de Accesos a la Ciudad")</f>
        <v>Nueva Patrulla de Control de Accesos a la Ciudad</v>
      </c>
      <c r="C525" s="3">
        <f>IFERROR(__xludf.DUMMYFUNCTION("""COMPUTED_VALUE"""),46150.0)</f>
        <v>46150</v>
      </c>
      <c r="D525" s="3">
        <f>IFERROR(__xludf.DUMMYFUNCTION("""COMPUTED_VALUE"""),46164.0)</f>
        <v>46164</v>
      </c>
      <c r="E525" s="2" t="str">
        <f>IFERROR(__xludf.DUMMYFUNCTION("""COMPUTED_VALUE"""),"M2")</f>
        <v>M2</v>
      </c>
      <c r="F525" s="2" t="str">
        <f>IFERROR(__xludf.DUMMYFUNCTION("""COMPUTED_VALUE"""),"Seguridad")</f>
        <v>Seguridad</v>
      </c>
      <c r="G525" s="2" t="str">
        <f>IFERROR(__xludf.DUMMYFUNCTION("""COMPUTED_VALUE"""),"Finalizada")</f>
        <v>Finalizada</v>
      </c>
      <c r="H525" s="4">
        <v>7125611.0</v>
      </c>
      <c r="I525" s="4">
        <v>754097.0</v>
      </c>
      <c r="J525" s="4">
        <v>13438.0</v>
      </c>
      <c r="K525" s="4">
        <v>632648.0</v>
      </c>
      <c r="L525" s="5">
        <v>1.4583386021926885</v>
      </c>
      <c r="M525" s="5">
        <v>11.263152653608326</v>
      </c>
      <c r="N525" s="4">
        <v>535210.0</v>
      </c>
      <c r="O525" s="4">
        <v>527830.0</v>
      </c>
      <c r="P525" s="4">
        <v>104269.0</v>
      </c>
      <c r="Q525" s="4">
        <v>1498.0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6" t="s">
        <v>176</v>
      </c>
      <c r="AE525" s="6" t="s">
        <v>9</v>
      </c>
    </row>
    <row r="526" ht="16.5" customHeight="1">
      <c r="A526" s="2" t="str">
        <f>IFERROR(__xludf.DUMMYFUNCTION("""COMPUTED_VALUE"""),"2975-MAYPCCVC")</f>
        <v>2975-MAYPCCVC</v>
      </c>
      <c r="B526" s="2" t="str">
        <f>IFERROR(__xludf.DUMMYFUNCTION("""COMPUTED_VALUE"""),"Campaña genéricas RDV Ministros")</f>
        <v>Campaña genéricas RDV Ministros</v>
      </c>
      <c r="C526" s="3">
        <f>IFERROR(__xludf.DUMMYFUNCTION("""COMPUTED_VALUE"""),46177.0)</f>
        <v>46177</v>
      </c>
      <c r="D526" s="3">
        <f>IFERROR(__xludf.DUMMYFUNCTION("""COMPUTED_VALUE"""),46387.0)</f>
        <v>46387</v>
      </c>
      <c r="E526" s="2" t="str">
        <f>IFERROR(__xludf.DUMMYFUNCTION("""COMPUTED_VALUE"""),"Cercanía")</f>
        <v>Cercanía</v>
      </c>
      <c r="F526" s="2" t="str">
        <f>IFERROR(__xludf.DUMMYFUNCTION("""COMPUTED_VALUE"""),"Cercanía y PC")</f>
        <v>Cercanía y PC</v>
      </c>
      <c r="G526" s="2" t="str">
        <f>IFERROR(__xludf.DUMMYFUNCTION("""COMPUTED_VALUE"""),"Activa")</f>
        <v>Activa</v>
      </c>
      <c r="H526" s="4">
        <v>2.9263455E7</v>
      </c>
      <c r="I526" s="4">
        <v>1.0322362E7</v>
      </c>
      <c r="J526" s="4">
        <v>65641.0</v>
      </c>
      <c r="K526" s="4">
        <v>29208.0</v>
      </c>
      <c r="L526" s="5">
        <v>2.5155094494659</v>
      </c>
      <c r="M526" s="5">
        <v>1001.8986236647494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6" t="s">
        <v>177</v>
      </c>
      <c r="AE526" s="4" t="s">
        <v>8</v>
      </c>
    </row>
    <row r="527" ht="16.5" customHeight="1">
      <c r="A527" s="2" t="str">
        <f>IFERROR(__xludf.DUMMYFUNCTION("""COMPUTED_VALUE"""),"2976-MAYPCCVC")</f>
        <v>2976-MAYPCCVC</v>
      </c>
      <c r="B527" s="2" t="str">
        <f>IFERROR(__xludf.DUMMYFUNCTION("""COMPUTED_VALUE"""),"Campañas genéricias RDV JM")</f>
        <v>Campañas genéricias RDV JM</v>
      </c>
      <c r="C527" s="3">
        <f>IFERROR(__xludf.DUMMYFUNCTION("""COMPUTED_VALUE"""),46177.0)</f>
        <v>46177</v>
      </c>
      <c r="D527" s="3">
        <f>IFERROR(__xludf.DUMMYFUNCTION("""COMPUTED_VALUE"""),46387.0)</f>
        <v>46387</v>
      </c>
      <c r="E527" s="2" t="str">
        <f>IFERROR(__xludf.DUMMYFUNCTION("""COMPUTED_VALUE"""),"Cercanía")</f>
        <v>Cercanía</v>
      </c>
      <c r="F527" s="2" t="str">
        <f>IFERROR(__xludf.DUMMYFUNCTION("""COMPUTED_VALUE"""),"Cercanía y PC")</f>
        <v>Cercanía y PC</v>
      </c>
      <c r="G527" s="2" t="str">
        <f>IFERROR(__xludf.DUMMYFUNCTION("""COMPUTED_VALUE"""),"Activa")</f>
        <v>Activa</v>
      </c>
      <c r="H527" s="4">
        <v>2.8024201E7</v>
      </c>
      <c r="I527" s="4">
        <v>1.0468804E7</v>
      </c>
      <c r="J527" s="4">
        <v>40798.0</v>
      </c>
      <c r="K527" s="4">
        <v>75463.0</v>
      </c>
      <c r="L527" s="5">
        <v>3.897539191391808</v>
      </c>
      <c r="M527" s="5">
        <v>371.36346288909795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6" t="s">
        <v>178</v>
      </c>
      <c r="AE527" s="4" t="s">
        <v>8</v>
      </c>
    </row>
    <row r="528" ht="16.5" customHeight="1">
      <c r="A528" s="2" t="str">
        <f>IFERROR(__xludf.DUMMYFUNCTION("""COMPUTED_VALUE"""),"2977-MAYEDUVC")</f>
        <v>2977-MAYEDUVC</v>
      </c>
      <c r="B528" s="2" t="str">
        <f>IFERROR(__xludf.DUMMYFUNCTION("""COMPUTED_VALUE"""),"RDV Ministros | Mercedes Miguel | 7/5 | comuna 14")</f>
        <v>RDV Ministros | Mercedes Miguel | 7/5 | comuna 14</v>
      </c>
      <c r="C528" s="3">
        <f>IFERROR(__xludf.DUMMYFUNCTION("""COMPUTED_VALUE"""),46146.0)</f>
        <v>46146</v>
      </c>
      <c r="D528" s="3">
        <f>IFERROR(__xludf.DUMMYFUNCTION("""COMPUTED_VALUE"""),46153.0)</f>
        <v>46153</v>
      </c>
      <c r="E528" s="2" t="str">
        <f>IFERROR(__xludf.DUMMYFUNCTION("""COMPUTED_VALUE"""),"Cercanía")</f>
        <v>Cercanía</v>
      </c>
      <c r="F528" s="2" t="str">
        <f>IFERROR(__xludf.DUMMYFUNCTION("""COMPUTED_VALUE"""),"Educación")</f>
        <v>Educación</v>
      </c>
      <c r="G528" s="2" t="str">
        <f>IFERROR(__xludf.DUMMYFUNCTION("""COMPUTED_VALUE"""),"Finalizada")</f>
        <v>Finalizada</v>
      </c>
      <c r="H528" s="4">
        <v>462114.0</v>
      </c>
      <c r="I528" s="4">
        <v>0.0</v>
      </c>
      <c r="J528" s="4">
        <v>487.0</v>
      </c>
      <c r="K528" s="4">
        <v>303089.0</v>
      </c>
      <c r="L528" s="5">
        <v>1.5246808693156135</v>
      </c>
      <c r="M528" s="5">
        <v>1.5246808693156135</v>
      </c>
      <c r="N528" s="4">
        <v>11440.0</v>
      </c>
      <c r="O528" s="4">
        <v>11298.0</v>
      </c>
      <c r="P528" s="4">
        <v>2766.0</v>
      </c>
      <c r="Q528" s="4">
        <v>46.0</v>
      </c>
      <c r="R528" s="4">
        <v>20.0</v>
      </c>
      <c r="S528" s="4">
        <v>20.0</v>
      </c>
      <c r="T528" s="4">
        <v>8.0</v>
      </c>
      <c r="U528" s="4">
        <v>7.0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6" t="s">
        <v>179</v>
      </c>
      <c r="AE528" s="6" t="s">
        <v>9</v>
      </c>
    </row>
    <row r="529" ht="16.5" customHeight="1">
      <c r="A529" s="2" t="str">
        <f>IFERROR(__xludf.DUMMYFUNCTION("""COMPUTED_VALUE"""),"2978-MAYSEGCG")</f>
        <v>2978-MAYSEGCG</v>
      </c>
      <c r="B529" s="2" t="str">
        <f>IFERROR(__xludf.DUMMYFUNCTION("""COMPUTED_VALUE"""),"ALTA INTERNA CONTENIDO ADICIONAL GCBA | SEGURIDAD | La villa 31 ya no es más una zona liberada")</f>
        <v>ALTA INTERNA CONTENIDO ADICIONAL GCBA | SEGURIDAD | La villa 31 ya no es más una zona liberada</v>
      </c>
      <c r="C529" s="3">
        <f>IFERROR(__xludf.DUMMYFUNCTION("""COMPUTED_VALUE"""),46146.0)</f>
        <v>46146</v>
      </c>
      <c r="D529" s="3">
        <f>IFERROR(__xludf.DUMMYFUNCTION("""COMPUTED_VALUE"""),46160.0)</f>
        <v>46160</v>
      </c>
      <c r="E529" s="2" t="str">
        <f>IFERROR(__xludf.DUMMYFUNCTION("""COMPUTED_VALUE"""),"M2")</f>
        <v>M2</v>
      </c>
      <c r="F529" s="2" t="str">
        <f>IFERROR(__xludf.DUMMYFUNCTION("""COMPUTED_VALUE"""),"Seguridad")</f>
        <v>Seguridad</v>
      </c>
      <c r="G529" s="2" t="str">
        <f>IFERROR(__xludf.DUMMYFUNCTION("""COMPUTED_VALUE"""),"Finalizada")</f>
        <v>Finalizada</v>
      </c>
      <c r="H529" s="4">
        <v>1076680.0</v>
      </c>
      <c r="I529" s="4">
        <v>121361.0</v>
      </c>
      <c r="J529" s="4">
        <v>2375.0</v>
      </c>
      <c r="K529" s="4">
        <v>382977.0</v>
      </c>
      <c r="L529" s="5">
        <v>2.8113437621580406</v>
      </c>
      <c r="M529" s="5">
        <v>2.8113437621580406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0.0</v>
      </c>
      <c r="AB529" s="4">
        <v>0.0</v>
      </c>
      <c r="AC529" s="4">
        <v>0.0</v>
      </c>
      <c r="AD529" s="6" t="s">
        <v>180</v>
      </c>
      <c r="AE529" s="4" t="s">
        <v>8</v>
      </c>
    </row>
    <row r="530" ht="16.5" customHeight="1">
      <c r="A530" s="2" t="str">
        <f>IFERROR(__xludf.DUMMYFUNCTION("""COMPUTED_VALUE"""),"2979-MAYSEGCG")</f>
        <v>2979-MAYSEGCG</v>
      </c>
      <c r="B530" s="2" t="str">
        <f>IFERROR(__xludf.DUMMYFUNCTION("""COMPUTED_VALUE"""),"ALTA INTERNA CONTENIDO ADICIONAL GCBA | SEGURIDAD | Operativo de saturación en Retiro")</f>
        <v>ALTA INTERNA CONTENIDO ADICIONAL GCBA | SEGURIDAD | Operativo de saturación en Retiro</v>
      </c>
      <c r="C530" s="3">
        <f>IFERROR(__xludf.DUMMYFUNCTION("""COMPUTED_VALUE"""),46146.0)</f>
        <v>46146</v>
      </c>
      <c r="D530" s="3">
        <f>IFERROR(__xludf.DUMMYFUNCTION("""COMPUTED_VALUE"""),46160.0)</f>
        <v>46160</v>
      </c>
      <c r="E530" s="2" t="str">
        <f>IFERROR(__xludf.DUMMYFUNCTION("""COMPUTED_VALUE"""),"M2")</f>
        <v>M2</v>
      </c>
      <c r="F530" s="2" t="str">
        <f>IFERROR(__xludf.DUMMYFUNCTION("""COMPUTED_VALUE"""),"Seguridad")</f>
        <v>Seguridad</v>
      </c>
      <c r="G530" s="2" t="str">
        <f>IFERROR(__xludf.DUMMYFUNCTION("""COMPUTED_VALUE"""),"Finalizada")</f>
        <v>Finalizada</v>
      </c>
      <c r="H530" s="4">
        <v>1120954.0</v>
      </c>
      <c r="I530" s="4">
        <v>88397.0</v>
      </c>
      <c r="J530" s="4">
        <v>2225.0</v>
      </c>
      <c r="K530" s="4">
        <v>412098.0</v>
      </c>
      <c r="L530" s="5">
        <v>2.720115118248572</v>
      </c>
      <c r="M530" s="5">
        <v>2.720115118248572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6" t="s">
        <v>181</v>
      </c>
      <c r="AE530" s="4" t="s">
        <v>8</v>
      </c>
    </row>
    <row r="531" ht="16.5" customHeight="1">
      <c r="A531" s="2" t="str">
        <f>IFERROR(__xludf.DUMMYFUNCTION("""COMPUTED_VALUE"""),"2980-MAYINFGC")</f>
        <v>2980-MAYINFGC</v>
      </c>
      <c r="B531" s="2" t="str">
        <f>IFERROR(__xludf.DUMMYFUNCTION("""COMPUTED_VALUE"""),"INFRAESTRUCTIRA | Cortes AU Dellepiane por obras 6/5")</f>
        <v>INFRAESTRUCTIRA | Cortes AU Dellepiane por obras 6/5</v>
      </c>
      <c r="C531" s="3">
        <f>IFERROR(__xludf.DUMMYFUNCTION("""COMPUTED_VALUE"""),46146.0)</f>
        <v>46146</v>
      </c>
      <c r="D531" s="3">
        <f>IFERROR(__xludf.DUMMYFUNCTION("""COMPUTED_VALUE"""),46149.0)</f>
        <v>46149</v>
      </c>
      <c r="E531" s="2" t="str">
        <f>IFERROR(__xludf.DUMMYFUNCTION("""COMPUTED_VALUE"""),"Movilidad")</f>
        <v>Movilidad</v>
      </c>
      <c r="F531" s="2" t="str">
        <f>IFERROR(__xludf.DUMMYFUNCTION("""COMPUTED_VALUE"""),"Infraestructura")</f>
        <v>Infraestructura</v>
      </c>
      <c r="G531" s="2" t="str">
        <f>IFERROR(__xludf.DUMMYFUNCTION("""COMPUTED_VALUE"""),"Finalizada")</f>
        <v>Finalizada</v>
      </c>
      <c r="H531" s="4">
        <v>33308.0</v>
      </c>
      <c r="I531" s="4">
        <v>0.0</v>
      </c>
      <c r="J531" s="4">
        <v>798.0</v>
      </c>
      <c r="K531" s="4">
        <v>23895.0</v>
      </c>
      <c r="L531" s="5">
        <v>1.3939317848922368</v>
      </c>
      <c r="M531" s="5">
        <v>1.3939317848922368</v>
      </c>
      <c r="N531" s="4">
        <v>98998.0</v>
      </c>
      <c r="O531" s="4">
        <v>97833.0</v>
      </c>
      <c r="P531" s="4">
        <v>33891.0</v>
      </c>
      <c r="Q531" s="4">
        <v>314.0</v>
      </c>
      <c r="R531" s="4">
        <v>0.0</v>
      </c>
      <c r="S531" s="4">
        <v>0.0</v>
      </c>
      <c r="T531" s="4">
        <v>0.0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0.0</v>
      </c>
      <c r="AB531" s="4">
        <v>0.0</v>
      </c>
      <c r="AC531" s="4">
        <v>0.0</v>
      </c>
      <c r="AD531" s="6" t="s">
        <v>182</v>
      </c>
      <c r="AE531" s="6" t="s">
        <v>9</v>
      </c>
    </row>
    <row r="532" ht="16.5" customHeight="1">
      <c r="A532" s="2" t="str">
        <f>IFERROR(__xludf.DUMMYFUNCTION("""COMPUTED_VALUE"""),"2981-MAYPCCVC")</f>
        <v>2981-MAYPCCVC</v>
      </c>
      <c r="B532" s="2" t="str">
        <f>IFERROR(__xludf.DUMMYFUNCTION("""COMPUTED_VALUE"""),"Experiencia BA | Circuito Riachuelo")</f>
        <v>Experiencia BA | Circuito Riachuelo</v>
      </c>
      <c r="C532" s="3">
        <f>IFERROR(__xludf.DUMMYFUNCTION("""COMPUTED_VALUE"""),46149.0)</f>
        <v>46149</v>
      </c>
      <c r="D532" s="3">
        <f>IFERROR(__xludf.DUMMYFUNCTION("""COMPUTED_VALUE"""),46149.0)</f>
        <v>46149</v>
      </c>
      <c r="E532" s="2" t="str">
        <f>IFERROR(__xludf.DUMMYFUNCTION("""COMPUTED_VALUE"""),"Cercanía")</f>
        <v>Cercanía</v>
      </c>
      <c r="F532" s="2" t="str">
        <f>IFERROR(__xludf.DUMMYFUNCTION("""COMPUTED_VALUE"""),"Cercanía y PC")</f>
        <v>Cercanía y PC</v>
      </c>
      <c r="G532" s="2" t="str">
        <f>IFERROR(__xludf.DUMMYFUNCTION("""COMPUTED_VALUE"""),"Finalizada")</f>
        <v>Finalizada</v>
      </c>
      <c r="H532" s="4">
        <v>0.0</v>
      </c>
      <c r="I532" s="4">
        <v>0.0</v>
      </c>
      <c r="J532" s="4">
        <v>0.0</v>
      </c>
      <c r="K532" s="4">
        <v>0.0</v>
      </c>
      <c r="L532" s="5">
        <v>0.0</v>
      </c>
      <c r="M532" s="5">
        <v>0.0</v>
      </c>
      <c r="N532" s="4">
        <v>18985.0</v>
      </c>
      <c r="O532" s="4">
        <v>18652.0</v>
      </c>
      <c r="P532" s="4">
        <v>3484.0</v>
      </c>
      <c r="Q532" s="4">
        <v>252.0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 t="s">
        <v>8</v>
      </c>
      <c r="AE532" s="6" t="s">
        <v>9</v>
      </c>
    </row>
    <row r="533" ht="16.5" customHeight="1">
      <c r="A533" s="2" t="str">
        <f>IFERROR(__xludf.DUMMYFUNCTION("""COMPUTED_VALUE"""),"2982-MAYDECGC")</f>
        <v>2982-MAYDECGC</v>
      </c>
      <c r="B533" s="2" t="str">
        <f>IFERROR(__xludf.DUMMYFUNCTION("""COMPUTED_VALUE"""),"Cafecito BA en Palermo")</f>
        <v>Cafecito BA en Palermo</v>
      </c>
      <c r="C533" s="3">
        <f>IFERROR(__xludf.DUMMYFUNCTION("""COMPUTED_VALUE"""),46148.0)</f>
        <v>46148</v>
      </c>
      <c r="D533" s="3">
        <f>IFERROR(__xludf.DUMMYFUNCTION("""COMPUTED_VALUE"""),46163.0)</f>
        <v>46163</v>
      </c>
      <c r="E533" s="2" t="str">
        <f>IFERROR(__xludf.DUMMYFUNCTION("""COMPUTED_VALUE"""),"Ciudad Atractiva")</f>
        <v>Ciudad Atractiva</v>
      </c>
      <c r="F533" s="2" t="str">
        <f>IFERROR(__xludf.DUMMYFUNCTION("""COMPUTED_VALUE"""),"Desarrollo Económico")</f>
        <v>Desarrollo Económico</v>
      </c>
      <c r="G533" s="2" t="str">
        <f>IFERROR(__xludf.DUMMYFUNCTION("""COMPUTED_VALUE"""),"Finalizada")</f>
        <v>Finalizada</v>
      </c>
      <c r="H533" s="4">
        <v>3252876.0</v>
      </c>
      <c r="I533" s="4">
        <v>115483.0</v>
      </c>
      <c r="J533" s="4">
        <v>26804.0</v>
      </c>
      <c r="K533" s="4">
        <v>667045.0</v>
      </c>
      <c r="L533" s="5">
        <v>2.4780202235231505</v>
      </c>
      <c r="M533" s="5">
        <v>4.876546559827298</v>
      </c>
      <c r="N533" s="4">
        <v>299444.0</v>
      </c>
      <c r="O533" s="4">
        <v>296542.0</v>
      </c>
      <c r="P533" s="4">
        <v>117298.0</v>
      </c>
      <c r="Q533" s="4">
        <v>3604.0</v>
      </c>
      <c r="R533" s="4">
        <v>0.0</v>
      </c>
      <c r="S533" s="4">
        <v>0.0</v>
      </c>
      <c r="T533" s="4">
        <v>0.0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0.0</v>
      </c>
      <c r="AB533" s="4">
        <v>0.0</v>
      </c>
      <c r="AC533" s="4">
        <v>0.0</v>
      </c>
      <c r="AD533" s="6" t="s">
        <v>183</v>
      </c>
      <c r="AE533" s="6" t="s">
        <v>9</v>
      </c>
    </row>
    <row r="534" ht="16.5" customHeight="1">
      <c r="A534" s="2" t="str">
        <f>IFERROR(__xludf.DUMMYFUNCTION("""COMPUTED_VALUE"""),"2983-MAYTURGC")</f>
        <v>2983-MAYTURGC</v>
      </c>
      <c r="B534" s="2" t="str">
        <f>IFERROR(__xludf.DUMMYFUNCTION("""COMPUTED_VALUE""")," Experiencia Mirador Obelisco")</f>
        <v> Experiencia Mirador Obelisco</v>
      </c>
      <c r="C534" s="3">
        <f>IFERROR(__xludf.DUMMYFUNCTION("""COMPUTED_VALUE"""),46148.0)</f>
        <v>46148</v>
      </c>
      <c r="D534" s="3">
        <f>IFERROR(__xludf.DUMMYFUNCTION("""COMPUTED_VALUE"""),46148.0)</f>
        <v>46148</v>
      </c>
      <c r="E534" s="2" t="str">
        <f>IFERROR(__xludf.DUMMYFUNCTION("""COMPUTED_VALUE"""),"Ciudad Atractiva")</f>
        <v>Ciudad Atractiva</v>
      </c>
      <c r="F534" s="2" t="str">
        <f>IFERROR(__xludf.DUMMYFUNCTION("""COMPUTED_VALUE"""),"Turismo")</f>
        <v>Turismo</v>
      </c>
      <c r="G534" s="2" t="str">
        <f>IFERROR(__xludf.DUMMYFUNCTION("""COMPUTED_VALUE"""),"Finalizada")</f>
        <v>Finalizada</v>
      </c>
      <c r="H534" s="4">
        <v>0.0</v>
      </c>
      <c r="I534" s="4">
        <v>0.0</v>
      </c>
      <c r="J534" s="4">
        <v>0.0</v>
      </c>
      <c r="K534" s="4">
        <v>0.0</v>
      </c>
      <c r="L534" s="5">
        <v>0.0</v>
      </c>
      <c r="M534" s="5">
        <v>0.0</v>
      </c>
      <c r="N534" s="4">
        <v>6568.0</v>
      </c>
      <c r="O534" s="4">
        <v>6564.0</v>
      </c>
      <c r="P534" s="4">
        <v>1548.0</v>
      </c>
      <c r="Q534" s="4">
        <v>504.0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 t="s">
        <v>8</v>
      </c>
      <c r="AE534" s="6" t="s">
        <v>9</v>
      </c>
    </row>
    <row r="535" ht="16.5" customHeight="1">
      <c r="A535" s="2" t="str">
        <f>IFERROR(__xludf.DUMMYFUNCTION("""COMPUTED_VALUE"""),"2984-MAYAMBVC")</f>
        <v>2984-MAYAMBVC</v>
      </c>
      <c r="B535" s="2" t="str">
        <f>IFERROR(__xludf.DUMMYFUNCTION("""COMPUTED_VALUE"""),"RDV Ministros | Clara Muzzio - 8/5 - Temática")</f>
        <v>RDV Ministros | Clara Muzzio - 8/5 - Temática</v>
      </c>
      <c r="C535" s="3">
        <f>IFERROR(__xludf.DUMMYFUNCTION("""COMPUTED_VALUE"""),46147.0)</f>
        <v>46147</v>
      </c>
      <c r="D535" s="3">
        <f>IFERROR(__xludf.DUMMYFUNCTION("""COMPUTED_VALUE"""),46154.0)</f>
        <v>46154</v>
      </c>
      <c r="E535" s="2" t="str">
        <f>IFERROR(__xludf.DUMMYFUNCTION("""COMPUTED_VALUE"""),"Cercanía")</f>
        <v>Cercanía</v>
      </c>
      <c r="F535" s="2" t="str">
        <f>IFERROR(__xludf.DUMMYFUNCTION("""COMPUTED_VALUE"""),"Vicejefatura (Ambiente)")</f>
        <v>Vicejefatura (Ambiente)</v>
      </c>
      <c r="G535" s="2" t="str">
        <f>IFERROR(__xludf.DUMMYFUNCTION("""COMPUTED_VALUE"""),"Finalizada")</f>
        <v>Finalizada</v>
      </c>
      <c r="H535" s="4">
        <v>415669.0</v>
      </c>
      <c r="I535" s="4">
        <v>0.0</v>
      </c>
      <c r="J535" s="4">
        <v>949.0</v>
      </c>
      <c r="K535" s="4">
        <v>285685.0</v>
      </c>
      <c r="L535" s="5">
        <v>1.4549906365402454</v>
      </c>
      <c r="M535" s="5">
        <v>1.4549906365402454</v>
      </c>
      <c r="N535" s="4">
        <v>9762.0</v>
      </c>
      <c r="O535" s="4">
        <v>9655.0</v>
      </c>
      <c r="P535" s="4">
        <v>2865.0</v>
      </c>
      <c r="Q535" s="4">
        <v>60.0</v>
      </c>
      <c r="R535" s="4">
        <v>0.0</v>
      </c>
      <c r="S535" s="4">
        <v>0.0</v>
      </c>
      <c r="T535" s="4">
        <v>0.0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0.0</v>
      </c>
      <c r="AB535" s="4">
        <v>0.0</v>
      </c>
      <c r="AC535" s="4">
        <v>0.0</v>
      </c>
      <c r="AD535" s="6" t="s">
        <v>184</v>
      </c>
      <c r="AE535" s="6" t="s">
        <v>9</v>
      </c>
    </row>
    <row r="536" ht="16.5" customHeight="1">
      <c r="A536" s="2" t="str">
        <f>IFERROR(__xludf.DUMMYFUNCTION("""COMPUTED_VALUE"""),"2985-MAYJDGVC")</f>
        <v>2985-MAYJDGVC</v>
      </c>
      <c r="B536" s="2" t="str">
        <f>IFERROR(__xludf.DUMMYFUNCTION("""COMPUTED_VALUE"""),"RDV Ministros | Gabriel Sanchéz Zinny - 8/5")</f>
        <v>RDV Ministros | Gabriel Sanchéz Zinny - 8/5</v>
      </c>
      <c r="C536" s="3">
        <f>IFERROR(__xludf.DUMMYFUNCTION("""COMPUTED_VALUE"""),46147.0)</f>
        <v>46147</v>
      </c>
      <c r="D536" s="3">
        <f>IFERROR(__xludf.DUMMYFUNCTION("""COMPUTED_VALUE"""),46153.0)</f>
        <v>46153</v>
      </c>
      <c r="E536" s="2" t="str">
        <f>IFERROR(__xludf.DUMMYFUNCTION("""COMPUTED_VALUE"""),"Cercanía")</f>
        <v>Cercanía</v>
      </c>
      <c r="F536" s="2" t="str">
        <f>IFERROR(__xludf.DUMMYFUNCTION("""COMPUTED_VALUE"""),"Jefatura de Gabinete")</f>
        <v>Jefatura de Gabinete</v>
      </c>
      <c r="G536" s="2" t="str">
        <f>IFERROR(__xludf.DUMMYFUNCTION("""COMPUTED_VALUE"""),"Finalizada")</f>
        <v>Finalizada</v>
      </c>
      <c r="H536" s="4">
        <v>32890.0</v>
      </c>
      <c r="I536" s="4">
        <v>0.0</v>
      </c>
      <c r="J536" s="4">
        <v>141.0</v>
      </c>
      <c r="K536" s="4">
        <v>21966.0</v>
      </c>
      <c r="L536" s="5">
        <v>1.4973140307748338</v>
      </c>
      <c r="M536" s="5">
        <v>1.4973140307748338</v>
      </c>
      <c r="N536" s="4">
        <v>6178.0</v>
      </c>
      <c r="O536" s="4">
        <v>6122.0</v>
      </c>
      <c r="P536" s="4">
        <v>1248.0</v>
      </c>
      <c r="Q536" s="4">
        <v>52.0</v>
      </c>
      <c r="R536" s="4">
        <v>71.0</v>
      </c>
      <c r="S536" s="4">
        <v>70.0</v>
      </c>
      <c r="T536" s="4">
        <v>19.0</v>
      </c>
      <c r="U536" s="4">
        <v>19.0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0.0</v>
      </c>
      <c r="AB536" s="4">
        <v>0.0</v>
      </c>
      <c r="AC536" s="4">
        <v>0.0</v>
      </c>
      <c r="AD536" s="6" t="s">
        <v>185</v>
      </c>
      <c r="AE536" s="6" t="s">
        <v>9</v>
      </c>
    </row>
    <row r="537" ht="16.5" customHeight="1">
      <c r="A537" s="2" t="str">
        <f>IFERROR(__xludf.DUMMYFUNCTION("""COMPUTED_VALUE"""),"2986-MAYINFGC")</f>
        <v>2986-MAYINFGC</v>
      </c>
      <c r="B537" s="2" t="str">
        <f>IFERROR(__xludf.DUMMYFUNCTION("""COMPUTED_VALUE"""),"Infraestructura I Cortes de tránsito por Unión Europea 15k Bs. As. Run 2026")</f>
        <v>Infraestructura I Cortes de tránsito por Unión Europea 15k Bs. As. Run 2026</v>
      </c>
      <c r="C537" s="3">
        <f>IFERROR(__xludf.DUMMYFUNCTION("""COMPUTED_VALUE"""),46148.0)</f>
        <v>46148</v>
      </c>
      <c r="D537" s="3">
        <f>IFERROR(__xludf.DUMMYFUNCTION("""COMPUTED_VALUE"""),46152.0)</f>
        <v>46152</v>
      </c>
      <c r="E537" s="2" t="str">
        <f>IFERROR(__xludf.DUMMYFUNCTION("""COMPUTED_VALUE"""),"Movilidad")</f>
        <v>Movilidad</v>
      </c>
      <c r="F537" s="2" t="str">
        <f>IFERROR(__xludf.DUMMYFUNCTION("""COMPUTED_VALUE"""),"Infraestructura")</f>
        <v>Infraestructura</v>
      </c>
      <c r="G537" s="2" t="str">
        <f>IFERROR(__xludf.DUMMYFUNCTION("""COMPUTED_VALUE"""),"Finalizada")</f>
        <v>Finalizada</v>
      </c>
      <c r="H537" s="4">
        <v>648571.0</v>
      </c>
      <c r="I537" s="4">
        <v>0.0</v>
      </c>
      <c r="J537" s="4">
        <v>1084.0</v>
      </c>
      <c r="K537" s="4">
        <v>236329.0</v>
      </c>
      <c r="L537" s="5">
        <v>2.7443563845317334</v>
      </c>
      <c r="M537" s="5">
        <v>2.7443563845317334</v>
      </c>
      <c r="N537" s="4">
        <v>130030.0</v>
      </c>
      <c r="O537" s="4">
        <v>128883.0</v>
      </c>
      <c r="P537" s="4">
        <v>54087.0</v>
      </c>
      <c r="Q537" s="4">
        <v>430.0</v>
      </c>
      <c r="R537" s="4">
        <v>0.0</v>
      </c>
      <c r="S537" s="4">
        <v>0.0</v>
      </c>
      <c r="T537" s="4">
        <v>0.0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0.0</v>
      </c>
      <c r="AB537" s="4">
        <v>0.0</v>
      </c>
      <c r="AC537" s="4">
        <v>0.0</v>
      </c>
      <c r="AD537" s="6" t="s">
        <v>186</v>
      </c>
      <c r="AE537" s="6" t="s">
        <v>9</v>
      </c>
    </row>
    <row r="538" ht="16.5" customHeight="1">
      <c r="A538" s="2" t="str">
        <f>IFERROR(__xludf.DUMMYFUNCTION("""COMPUTED_VALUE"""),"2987-MAYSEGGJ")</f>
        <v>2987-MAYSEGGJ</v>
      </c>
      <c r="B538" s="2" t="str">
        <f>IFERROR(__xludf.DUMMYFUNCTION("""COMPUTED_VALUE"""),"Un año sin manteros en parque los andes")</f>
        <v>Un año sin manteros en parque los andes</v>
      </c>
      <c r="C538" s="3">
        <f>IFERROR(__xludf.DUMMYFUNCTION("""COMPUTED_VALUE"""),46148.0)</f>
        <v>46148</v>
      </c>
      <c r="D538" s="3">
        <f>IFERROR(__xludf.DUMMYFUNCTION("""COMPUTED_VALUE"""),46162.0)</f>
        <v>46162</v>
      </c>
      <c r="E538" s="2" t="str">
        <f>IFERROR(__xludf.DUMMYFUNCTION("""COMPUTED_VALUE"""),"M2")</f>
        <v>M2</v>
      </c>
      <c r="F538" s="2" t="str">
        <f>IFERROR(__xludf.DUMMYFUNCTION("""COMPUTED_VALUE"""),"Seguridad")</f>
        <v>Seguridad</v>
      </c>
      <c r="G538" s="2" t="str">
        <f>IFERROR(__xludf.DUMMYFUNCTION("""COMPUTED_VALUE"""),"Finalizada")</f>
        <v>Finalizada</v>
      </c>
      <c r="H538" s="4">
        <v>5643792.0</v>
      </c>
      <c r="I538" s="4">
        <v>2761381.0</v>
      </c>
      <c r="J538" s="4">
        <v>29930.0</v>
      </c>
      <c r="K538" s="4">
        <v>572360.0</v>
      </c>
      <c r="L538" s="5">
        <v>2.099543993290936</v>
      </c>
      <c r="M538" s="5">
        <v>9.860563281850583</v>
      </c>
      <c r="N538" s="4">
        <v>190553.0</v>
      </c>
      <c r="O538" s="4">
        <v>188913.0</v>
      </c>
      <c r="P538" s="4">
        <v>36101.0</v>
      </c>
      <c r="Q538" s="4">
        <v>150.0</v>
      </c>
      <c r="R538" s="4">
        <v>0.0</v>
      </c>
      <c r="S538" s="4">
        <v>0.0</v>
      </c>
      <c r="T538" s="4">
        <v>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0.0</v>
      </c>
      <c r="AB538" s="4">
        <v>0.0</v>
      </c>
      <c r="AC538" s="4">
        <v>0.0</v>
      </c>
      <c r="AD538" s="6" t="s">
        <v>187</v>
      </c>
      <c r="AE538" s="6" t="s">
        <v>9</v>
      </c>
    </row>
    <row r="539" ht="16.5" customHeight="1">
      <c r="A539" s="2" t="str">
        <f>IFERROR(__xludf.DUMMYFUNCTION("""COMPUTED_VALUE"""),"2988-MAYJDGAG")</f>
        <v>2988-MAYJDGAG</v>
      </c>
      <c r="B539" s="2" t="str">
        <f>IFERROR(__xludf.DUMMYFUNCTION("""COMPUTED_VALUE"""),"1 A 1 JM | Comuna 14 13/05")</f>
        <v>1 A 1 JM | Comuna 14 13/05</v>
      </c>
      <c r="C539" s="3">
        <f>IFERROR(__xludf.DUMMYFUNCTION("""COMPUTED_VALUE"""),46149.0)</f>
        <v>46149</v>
      </c>
      <c r="D539" s="3">
        <f>IFERROR(__xludf.DUMMYFUNCTION("""COMPUTED_VALUE"""),46166.0)</f>
        <v>46166</v>
      </c>
      <c r="E539" s="2" t="str">
        <f>IFERROR(__xludf.DUMMYFUNCTION("""COMPUTED_VALUE"""),"Cercanía")</f>
        <v>Cercanía</v>
      </c>
      <c r="F539" s="2" t="str">
        <f>IFERROR(__xludf.DUMMYFUNCTION("""COMPUTED_VALUE"""),"Jefatura de Gobierno")</f>
        <v>Jefatura de Gobierno</v>
      </c>
      <c r="G539" s="2" t="str">
        <f>IFERROR(__xludf.DUMMYFUNCTION("""COMPUTED_VALUE"""),"Finalizada")</f>
        <v>Finalizada</v>
      </c>
      <c r="H539" s="4">
        <v>2980749.0</v>
      </c>
      <c r="I539" s="4">
        <v>1340613.0</v>
      </c>
      <c r="J539" s="4">
        <v>5199.0</v>
      </c>
      <c r="K539" s="4"/>
      <c r="L539" s="5">
        <v>0.0</v>
      </c>
      <c r="M539" s="5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6" t="s">
        <v>188</v>
      </c>
      <c r="AE539" s="4" t="s">
        <v>8</v>
      </c>
    </row>
    <row r="540" ht="16.5" customHeight="1">
      <c r="A540" s="2" t="str">
        <f>IFERROR(__xludf.DUMMYFUNCTION("""COMPUTED_VALUE"""),"2989-MAYVINVC")</f>
        <v>2989-MAYVINVC</v>
      </c>
      <c r="B540" s="2" t="str">
        <f>IFERROR(__xludf.DUMMYFUNCTION("""COMPUTED_VALUE"""),"Más servicios en tu barrio  11/5 nuñez")</f>
        <v>Más servicios en tu barrio  11/5 nuñez</v>
      </c>
      <c r="C540" s="3">
        <f>IFERROR(__xludf.DUMMYFUNCTION("""COMPUTED_VALUE"""),46150.0)</f>
        <v>46150</v>
      </c>
      <c r="D540" s="3">
        <f>IFERROR(__xludf.DUMMYFUNCTION("""COMPUTED_VALUE"""),46150.0)</f>
        <v>46150</v>
      </c>
      <c r="E540" s="2" t="str">
        <f>IFERROR(__xludf.DUMMYFUNCTION("""COMPUTED_VALUE"""),"M2")</f>
        <v>M2</v>
      </c>
      <c r="F540" s="2" t="str">
        <f>IFERROR(__xludf.DUMMYFUNCTION("""COMPUTED_VALUE"""),"Vínculo Ciudadano")</f>
        <v>Vínculo Ciudadano</v>
      </c>
      <c r="G540" s="2" t="str">
        <f>IFERROR(__xludf.DUMMYFUNCTION("""COMPUTED_VALUE"""),"Finalizada")</f>
        <v>Finalizada</v>
      </c>
      <c r="H540" s="4">
        <v>0.0</v>
      </c>
      <c r="I540" s="4">
        <v>0.0</v>
      </c>
      <c r="J540" s="4">
        <v>0.0</v>
      </c>
      <c r="K540" s="4">
        <v>0.0</v>
      </c>
      <c r="L540" s="5">
        <v>0.0</v>
      </c>
      <c r="M540" s="5">
        <v>0.0</v>
      </c>
      <c r="N540" s="4">
        <v>22491.0</v>
      </c>
      <c r="O540" s="4">
        <v>22292.0</v>
      </c>
      <c r="P540" s="4">
        <v>8391.0</v>
      </c>
      <c r="Q540" s="4">
        <v>324.0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 t="s">
        <v>8</v>
      </c>
      <c r="AE540" s="6" t="s">
        <v>9</v>
      </c>
    </row>
    <row r="541" ht="16.5" customHeight="1">
      <c r="A541" s="2" t="str">
        <f>IFERROR(__xludf.DUMMYFUNCTION("""COMPUTED_VALUE"""),"2990-MAYVINVC")</f>
        <v>2990-MAYVINVC</v>
      </c>
      <c r="B541" s="2" t="str">
        <f>IFERROR(__xludf.DUMMYFUNCTION("""COMPUTED_VALUE"""),"Más servicios en tu barrio  12 y 13/5 villa urquiza")</f>
        <v>Más servicios en tu barrio  12 y 13/5 villa urquiza</v>
      </c>
      <c r="C541" s="3">
        <f>IFERROR(__xludf.DUMMYFUNCTION("""COMPUTED_VALUE"""),46150.0)</f>
        <v>46150</v>
      </c>
      <c r="D541" s="3">
        <f>IFERROR(__xludf.DUMMYFUNCTION("""COMPUTED_VALUE"""),46150.0)</f>
        <v>46150</v>
      </c>
      <c r="E541" s="2" t="str">
        <f>IFERROR(__xludf.DUMMYFUNCTION("""COMPUTED_VALUE"""),"M2")</f>
        <v>M2</v>
      </c>
      <c r="F541" s="2" t="str">
        <f>IFERROR(__xludf.DUMMYFUNCTION("""COMPUTED_VALUE"""),"Vínculo Ciudadano")</f>
        <v>Vínculo Ciudadano</v>
      </c>
      <c r="G541" s="2" t="str">
        <f>IFERROR(__xludf.DUMMYFUNCTION("""COMPUTED_VALUE"""),"Finalizada")</f>
        <v>Finalizada</v>
      </c>
      <c r="H541" s="4">
        <v>0.0</v>
      </c>
      <c r="I541" s="4">
        <v>0.0</v>
      </c>
      <c r="J541" s="4">
        <v>0.0</v>
      </c>
      <c r="K541" s="4">
        <v>0.0</v>
      </c>
      <c r="L541" s="5">
        <v>0.0</v>
      </c>
      <c r="M541" s="5">
        <v>0.0</v>
      </c>
      <c r="N541" s="4">
        <v>25792.0</v>
      </c>
      <c r="O541" s="4">
        <v>25563.0</v>
      </c>
      <c r="P541" s="4">
        <v>10100.0</v>
      </c>
      <c r="Q541" s="4">
        <v>361.0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 t="s">
        <v>8</v>
      </c>
      <c r="AE541" s="6" t="s">
        <v>9</v>
      </c>
    </row>
    <row r="542" ht="16.5" customHeight="1">
      <c r="A542" s="2" t="str">
        <f>IFERROR(__xludf.DUMMYFUNCTION("""COMPUTED_VALUE"""),"2991-MAYVINVC")</f>
        <v>2991-MAYVINVC</v>
      </c>
      <c r="B542" s="2" t="str">
        <f>IFERROR(__xludf.DUMMYFUNCTION("""COMPUTED_VALUE"""),"Más servicios en tu barrio  14 y 15/5 Villa del Parque")</f>
        <v>Más servicios en tu barrio  14 y 15/5 Villa del Parque</v>
      </c>
      <c r="C542" s="3">
        <f>IFERROR(__xludf.DUMMYFUNCTION("""COMPUTED_VALUE"""),46154.0)</f>
        <v>46154</v>
      </c>
      <c r="D542" s="3">
        <f>IFERROR(__xludf.DUMMYFUNCTION("""COMPUTED_VALUE"""),46154.0)</f>
        <v>46154</v>
      </c>
      <c r="E542" s="2" t="str">
        <f>IFERROR(__xludf.DUMMYFUNCTION("""COMPUTED_VALUE"""),"M2")</f>
        <v>M2</v>
      </c>
      <c r="F542" s="2" t="str">
        <f>IFERROR(__xludf.DUMMYFUNCTION("""COMPUTED_VALUE"""),"Vínculo Ciudadano")</f>
        <v>Vínculo Ciudadano</v>
      </c>
      <c r="G542" s="2" t="str">
        <f>IFERROR(__xludf.DUMMYFUNCTION("""COMPUTED_VALUE"""),"Finalizada")</f>
        <v>Finalizada</v>
      </c>
      <c r="H542" s="4">
        <v>0.0</v>
      </c>
      <c r="I542" s="4">
        <v>0.0</v>
      </c>
      <c r="J542" s="4">
        <v>0.0</v>
      </c>
      <c r="K542" s="4">
        <v>0.0</v>
      </c>
      <c r="L542" s="5">
        <v>0.0</v>
      </c>
      <c r="M542" s="5">
        <v>0.0</v>
      </c>
      <c r="N542" s="4">
        <v>18631.0</v>
      </c>
      <c r="O542" s="4">
        <v>18444.0</v>
      </c>
      <c r="P542" s="4">
        <v>6524.0</v>
      </c>
      <c r="Q542" s="4">
        <v>285.0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 t="s">
        <v>8</v>
      </c>
      <c r="AE542" s="6" t="s">
        <v>9</v>
      </c>
    </row>
    <row r="543" ht="16.5" customHeight="1">
      <c r="A543" s="2" t="str">
        <f>IFERROR(__xludf.DUMMYFUNCTION("""COMPUTED_VALUE"""),"2992-MAYVINVC")</f>
        <v>2992-MAYVINVC</v>
      </c>
      <c r="B543" s="2" t="str">
        <f>IFERROR(__xludf.DUMMYFUNCTION("""COMPUTED_VALUE"""),"Más servicios en tu barrio 16/ 5 Parque Avellaneda")</f>
        <v>Más servicios en tu barrio 16/ 5 Parque Avellaneda</v>
      </c>
      <c r="C543" s="3">
        <f>IFERROR(__xludf.DUMMYFUNCTION("""COMPUTED_VALUE"""),46154.0)</f>
        <v>46154</v>
      </c>
      <c r="D543" s="3">
        <f>IFERROR(__xludf.DUMMYFUNCTION("""COMPUTED_VALUE"""),46154.0)</f>
        <v>46154</v>
      </c>
      <c r="E543" s="2" t="str">
        <f>IFERROR(__xludf.DUMMYFUNCTION("""COMPUTED_VALUE"""),"M2")</f>
        <v>M2</v>
      </c>
      <c r="F543" s="2" t="str">
        <f>IFERROR(__xludf.DUMMYFUNCTION("""COMPUTED_VALUE"""),"Vínculo Ciudadano")</f>
        <v>Vínculo Ciudadano</v>
      </c>
      <c r="G543" s="2" t="str">
        <f>IFERROR(__xludf.DUMMYFUNCTION("""COMPUTED_VALUE"""),"Finalizada")</f>
        <v>Finalizada</v>
      </c>
      <c r="H543" s="4">
        <v>0.0</v>
      </c>
      <c r="I543" s="4">
        <v>0.0</v>
      </c>
      <c r="J543" s="4">
        <v>0.0</v>
      </c>
      <c r="K543" s="4">
        <v>0.0</v>
      </c>
      <c r="L543" s="5">
        <v>0.0</v>
      </c>
      <c r="M543" s="5">
        <v>0.0</v>
      </c>
      <c r="N543" s="4">
        <v>11006.0</v>
      </c>
      <c r="O543" s="4">
        <v>10857.0</v>
      </c>
      <c r="P543" s="4">
        <v>3482.0</v>
      </c>
      <c r="Q543" s="4">
        <v>207.0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 t="s">
        <v>8</v>
      </c>
      <c r="AE543" s="6" t="s">
        <v>9</v>
      </c>
    </row>
    <row r="544" ht="16.5" customHeight="1">
      <c r="A544" s="2" t="str">
        <f>IFERROR(__xludf.DUMMYFUNCTION("""COMPUTED_VALUE"""),"2993-MAYEMEGC")</f>
        <v>2993-MAYEMEGC</v>
      </c>
      <c r="B544" s="2" t="str">
        <f>IFERROR(__xludf.DUMMYFUNCTION("""COMPUTED_VALUE"""),"Alerta Amarilla 6/5")</f>
        <v>Alerta Amarilla 6/5</v>
      </c>
      <c r="C544" s="3">
        <f>IFERROR(__xludf.DUMMYFUNCTION("""COMPUTED_VALUE"""),46148.0)</f>
        <v>46148</v>
      </c>
      <c r="D544" s="3">
        <f>IFERROR(__xludf.DUMMYFUNCTION("""COMPUTED_VALUE"""),46148.0)</f>
        <v>46148</v>
      </c>
      <c r="E544" s="2" t="str">
        <f>IFERROR(__xludf.DUMMYFUNCTION("""COMPUTED_VALUE"""),"Cuidado")</f>
        <v>Cuidado</v>
      </c>
      <c r="F544" s="2" t="str">
        <f>IFERROR(__xludf.DUMMYFUNCTION("""COMPUTED_VALUE"""),"Emergencias")</f>
        <v>Emergencias</v>
      </c>
      <c r="G544" s="2" t="str">
        <f>IFERROR(__xludf.DUMMYFUNCTION("""COMPUTED_VALUE"""),"Finalizada")</f>
        <v>Finalizada</v>
      </c>
      <c r="H544" s="4">
        <v>250676.0</v>
      </c>
      <c r="I544" s="4">
        <v>12309.0</v>
      </c>
      <c r="J544" s="4">
        <v>2.0</v>
      </c>
      <c r="K544" s="4">
        <v>250676.0</v>
      </c>
      <c r="L544" s="5">
        <v>1.0</v>
      </c>
      <c r="M544" s="5">
        <v>1.0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6" t="s">
        <v>189</v>
      </c>
      <c r="AE544" s="4" t="s">
        <v>8</v>
      </c>
    </row>
    <row r="545" ht="16.5" customHeight="1">
      <c r="A545" s="2" t="str">
        <f>IFERROR(__xludf.DUMMYFUNCTION("""COMPUTED_VALUE"""),"2994-MAYEPHGC")</f>
        <v>2994-MAYEPHGC</v>
      </c>
      <c r="B545" s="2" t="str">
        <f>IFERROR(__xludf.DUMMYFUNCTION("""COMPUTED_VALUE"""),"Luminarias Peatonales - Post")</f>
        <v>Luminarias Peatonales - Post</v>
      </c>
      <c r="C545" s="3">
        <f>IFERROR(__xludf.DUMMYFUNCTION("""COMPUTED_VALUE"""),46154.0)</f>
        <v>46154</v>
      </c>
      <c r="D545" s="3">
        <f>IFERROR(__xludf.DUMMYFUNCTION("""COMPUTED_VALUE"""),46220.0)</f>
        <v>46220</v>
      </c>
      <c r="E545" s="2" t="str">
        <f>IFERROR(__xludf.DUMMYFUNCTION("""COMPUTED_VALUE"""),"M2")</f>
        <v>M2</v>
      </c>
      <c r="F545" s="2" t="str">
        <f>IFERROR(__xludf.DUMMYFUNCTION("""COMPUTED_VALUE"""),"Espacio Público e Higiene Urbana")</f>
        <v>Espacio Público e Higiene Urbana</v>
      </c>
      <c r="G545" s="2" t="str">
        <f>IFERROR(__xludf.DUMMYFUNCTION("""COMPUTED_VALUE"""),"Finalizada")</f>
        <v>Finalizada</v>
      </c>
      <c r="H545" s="4">
        <v>0.0</v>
      </c>
      <c r="I545" s="4">
        <v>0.0</v>
      </c>
      <c r="J545" s="4">
        <v>0.0</v>
      </c>
      <c r="K545" s="4">
        <v>0.0</v>
      </c>
      <c r="L545" s="5">
        <v>0.0</v>
      </c>
      <c r="M545" s="5">
        <v>0.0</v>
      </c>
      <c r="N545" s="4">
        <v>34676.0</v>
      </c>
      <c r="O545" s="4">
        <v>34281.0</v>
      </c>
      <c r="P545" s="4">
        <v>10476.0</v>
      </c>
      <c r="Q545" s="4">
        <v>933.0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 t="s">
        <v>8</v>
      </c>
      <c r="AE545" s="6" t="s">
        <v>9</v>
      </c>
    </row>
    <row r="546" ht="16.5" customHeight="1">
      <c r="A546" s="2" t="str">
        <f>IFERROR(__xludf.DUMMYFUNCTION("""COMPUTED_VALUE"""),"2996-MAYEMEGC")</f>
        <v>2996-MAYEMEGC</v>
      </c>
      <c r="B546" s="2" t="str">
        <f>IFERROR(__xludf.DUMMYFUNCTION("""COMPUTED_VALUE"""),"Alerta Naranja")</f>
        <v>Alerta Naranja</v>
      </c>
      <c r="C546" s="3">
        <f>IFERROR(__xludf.DUMMYFUNCTION("""COMPUTED_VALUE"""),46148.0)</f>
        <v>46148</v>
      </c>
      <c r="D546" s="3">
        <f>IFERROR(__xludf.DUMMYFUNCTION("""COMPUTED_VALUE"""),46148.0)</f>
        <v>46148</v>
      </c>
      <c r="E546" s="2" t="str">
        <f>IFERROR(__xludf.DUMMYFUNCTION("""COMPUTED_VALUE"""),"Cuidado")</f>
        <v>Cuidado</v>
      </c>
      <c r="F546" s="2" t="str">
        <f>IFERROR(__xludf.DUMMYFUNCTION("""COMPUTED_VALUE"""),"Emergencias")</f>
        <v>Emergencias</v>
      </c>
      <c r="G546" s="2" t="str">
        <f>IFERROR(__xludf.DUMMYFUNCTION("""COMPUTED_VALUE"""),"Finalizada")</f>
        <v>Finalizada</v>
      </c>
      <c r="H546" s="4">
        <v>954502.0</v>
      </c>
      <c r="I546" s="4">
        <v>0.0</v>
      </c>
      <c r="J546" s="4">
        <v>2157.0</v>
      </c>
      <c r="K546" s="4">
        <v>924873.0</v>
      </c>
      <c r="L546" s="5">
        <v>1.032035749773212</v>
      </c>
      <c r="M546" s="5">
        <v>1.032035749773212</v>
      </c>
      <c r="N546" s="4">
        <v>252454.0</v>
      </c>
      <c r="O546" s="4">
        <v>248803.0</v>
      </c>
      <c r="P546" s="4">
        <v>70896.0</v>
      </c>
      <c r="Q546" s="4">
        <v>165.0</v>
      </c>
      <c r="R546" s="4">
        <v>0.0</v>
      </c>
      <c r="S546" s="4">
        <v>0.0</v>
      </c>
      <c r="T546" s="4">
        <v>0.0</v>
      </c>
      <c r="U546" s="4">
        <v>0.0</v>
      </c>
      <c r="V546" s="4">
        <v>48931.0</v>
      </c>
      <c r="W546" s="4">
        <v>48931.0</v>
      </c>
      <c r="X546" s="4">
        <v>41350.0</v>
      </c>
      <c r="Y546" s="4">
        <v>16496.0</v>
      </c>
      <c r="Z546" s="4">
        <v>0.0</v>
      </c>
      <c r="AA546" s="4">
        <v>161679.0</v>
      </c>
      <c r="AB546" s="4">
        <v>131691.0</v>
      </c>
      <c r="AC546" s="4">
        <v>1729.0</v>
      </c>
      <c r="AD546" s="6" t="s">
        <v>190</v>
      </c>
      <c r="AE546" s="6" t="s">
        <v>9</v>
      </c>
    </row>
    <row r="547" ht="16.5" customHeight="1">
      <c r="A547" s="2" t="str">
        <f>IFERROR(__xludf.DUMMYFUNCTION("""COMPUTED_VALUE"""),"2998-MAYFESGC")</f>
        <v>2998-MAYFESGC</v>
      </c>
      <c r="B547" s="2" t="str">
        <f>IFERROR(__xludf.DUMMYFUNCTION("""COMPUTED_VALUE"""),"La noche del Obelisco : 90 años")</f>
        <v>La noche del Obelisco : 90 años</v>
      </c>
      <c r="C547" s="3">
        <f>IFERROR(__xludf.DUMMYFUNCTION("""COMPUTED_VALUE"""),46157.0)</f>
        <v>46157</v>
      </c>
      <c r="D547" s="3">
        <f>IFERROR(__xludf.DUMMYFUNCTION("""COMPUTED_VALUE"""),46165.0)</f>
        <v>46165</v>
      </c>
      <c r="E547" s="2" t="str">
        <f>IFERROR(__xludf.DUMMYFUNCTION("""COMPUTED_VALUE"""),"Ciudad Atractiva")</f>
        <v>Ciudad Atractiva</v>
      </c>
      <c r="F547" s="2" t="str">
        <f>IFERROR(__xludf.DUMMYFUNCTION("""COMPUTED_VALUE"""),"Festivales y Eventos")</f>
        <v>Festivales y Eventos</v>
      </c>
      <c r="G547" s="2" t="str">
        <f>IFERROR(__xludf.DUMMYFUNCTION("""COMPUTED_VALUE"""),"Finalizada")</f>
        <v>Finalizada</v>
      </c>
      <c r="H547" s="4">
        <v>1.1947753E7</v>
      </c>
      <c r="I547" s="4">
        <v>2145752.0</v>
      </c>
      <c r="J547" s="4">
        <v>57312.0</v>
      </c>
      <c r="K547" s="4">
        <v>836300.0</v>
      </c>
      <c r="L547" s="5">
        <v>2.3574518713380366</v>
      </c>
      <c r="M547" s="5">
        <v>14.286443859858903</v>
      </c>
      <c r="N547" s="4">
        <v>207110.0</v>
      </c>
      <c r="O547" s="4">
        <v>205916.0</v>
      </c>
      <c r="P547" s="4">
        <v>77985.0</v>
      </c>
      <c r="Q547" s="4">
        <v>2883.0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6" t="s">
        <v>191</v>
      </c>
      <c r="AE547" s="6" t="s">
        <v>9</v>
      </c>
    </row>
    <row r="548" ht="16.5" customHeight="1">
      <c r="A548" s="2" t="str">
        <f>IFERROR(__xludf.DUMMYFUNCTION("""COMPUTED_VALUE"""),"2999-MAYSEGVC")</f>
        <v>2999-MAYSEGVC</v>
      </c>
      <c r="B548" s="2" t="str">
        <f>IFERROR(__xludf.DUMMYFUNCTION("""COMPUTED_VALUE"""),"RDV Ministros | Gabino Tapia 14/5 Comuna 5")</f>
        <v>RDV Ministros | Gabino Tapia 14/5 Comuna 5</v>
      </c>
      <c r="C548" s="3">
        <f>IFERROR(__xludf.DUMMYFUNCTION("""COMPUTED_VALUE"""),46153.0)</f>
        <v>46153</v>
      </c>
      <c r="D548" s="3">
        <f>IFERROR(__xludf.DUMMYFUNCTION("""COMPUTED_VALUE"""),46157.0)</f>
        <v>46157</v>
      </c>
      <c r="E548" s="2" t="str">
        <f>IFERROR(__xludf.DUMMYFUNCTION("""COMPUTED_VALUE"""),"Cercanía")</f>
        <v>Cercanía</v>
      </c>
      <c r="F548" s="2" t="str">
        <f>IFERROR(__xludf.DUMMYFUNCTION("""COMPUTED_VALUE"""),"Seguridad")</f>
        <v>Seguridad</v>
      </c>
      <c r="G548" s="2" t="str">
        <f>IFERROR(__xludf.DUMMYFUNCTION("""COMPUTED_VALUE"""),"Finalizada")</f>
        <v>Finalizada</v>
      </c>
      <c r="H548" s="4">
        <v>327232.0</v>
      </c>
      <c r="I548" s="4">
        <v>0.0</v>
      </c>
      <c r="J548" s="4">
        <v>359.0</v>
      </c>
      <c r="K548" s="4">
        <v>233106.0</v>
      </c>
      <c r="L548" s="5">
        <v>1.4037905502217876</v>
      </c>
      <c r="M548" s="5">
        <v>1.4037905502217876</v>
      </c>
      <c r="N548" s="4">
        <v>75651.0</v>
      </c>
      <c r="O548" s="4">
        <v>74813.0</v>
      </c>
      <c r="P548" s="4">
        <v>13866.0</v>
      </c>
      <c r="Q548" s="4">
        <v>235.0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/>
      <c r="AE548" s="6" t="s">
        <v>9</v>
      </c>
    </row>
    <row r="549" ht="16.5" customHeight="1">
      <c r="A549" s="2" t="str">
        <f>IFERROR(__xludf.DUMMYFUNCTION("""COMPUTED_VALUE"""),"3000-MAYSEGVC")</f>
        <v>3000-MAYSEGVC</v>
      </c>
      <c r="B549" s="2" t="str">
        <f>IFERROR(__xludf.DUMMYFUNCTION("""COMPUTED_VALUE"""),"RDV Ministros | Horacio Giménez 14/5 Comuna 6")</f>
        <v>RDV Ministros | Horacio Giménez 14/5 Comuna 6</v>
      </c>
      <c r="C549" s="3">
        <f>IFERROR(__xludf.DUMMYFUNCTION("""COMPUTED_VALUE"""),46153.0)</f>
        <v>46153</v>
      </c>
      <c r="D549" s="3">
        <f>IFERROR(__xludf.DUMMYFUNCTION("""COMPUTED_VALUE"""),46157.0)</f>
        <v>46157</v>
      </c>
      <c r="E549" s="2" t="str">
        <f>IFERROR(__xludf.DUMMYFUNCTION("""COMPUTED_VALUE"""),"Cercanía")</f>
        <v>Cercanía</v>
      </c>
      <c r="F549" s="2" t="str">
        <f>IFERROR(__xludf.DUMMYFUNCTION("""COMPUTED_VALUE"""),"Seguridad")</f>
        <v>Seguridad</v>
      </c>
      <c r="G549" s="2" t="str">
        <f>IFERROR(__xludf.DUMMYFUNCTION("""COMPUTED_VALUE"""),"Finalizada")</f>
        <v>Finalizada</v>
      </c>
      <c r="H549" s="4">
        <v>106346.0</v>
      </c>
      <c r="I549" s="4">
        <v>0.0</v>
      </c>
      <c r="J549" s="4">
        <v>415.0</v>
      </c>
      <c r="K549" s="4">
        <v>69928.0</v>
      </c>
      <c r="L549" s="5">
        <v>1.5207928154673378</v>
      </c>
      <c r="M549" s="5">
        <v>1.5207928154673378</v>
      </c>
      <c r="N549" s="4">
        <v>81069.0</v>
      </c>
      <c r="O549" s="4">
        <v>80318.0</v>
      </c>
      <c r="P549" s="4">
        <v>16446.0</v>
      </c>
      <c r="Q549" s="4">
        <v>192.0</v>
      </c>
      <c r="R549" s="4">
        <v>88.0</v>
      </c>
      <c r="S549" s="4">
        <v>88.0</v>
      </c>
      <c r="T549" s="4">
        <v>17.0</v>
      </c>
      <c r="U549" s="4">
        <v>17.0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/>
      <c r="AE549" s="6" t="s">
        <v>9</v>
      </c>
    </row>
    <row r="550" ht="16.5" customHeight="1">
      <c r="A550" s="2" t="str">
        <f>IFERROR(__xludf.DUMMYFUNCTION("""COMPUTED_VALUE"""),"3001-MAYSEGVC")</f>
        <v>3001-MAYSEGVC</v>
      </c>
      <c r="B550" s="2" t="str">
        <f>IFERROR(__xludf.DUMMYFUNCTION("""COMPUTED_VALUE"""),"RDV Ministros | Maximiliano Piñeiro 14/5 Comuna 7")</f>
        <v>RDV Ministros | Maximiliano Piñeiro 14/5 Comuna 7</v>
      </c>
      <c r="C550" s="3">
        <f>IFERROR(__xludf.DUMMYFUNCTION("""COMPUTED_VALUE"""),46153.0)</f>
        <v>46153</v>
      </c>
      <c r="D550" s="3">
        <f>IFERROR(__xludf.DUMMYFUNCTION("""COMPUTED_VALUE"""),46157.0)</f>
        <v>46157</v>
      </c>
      <c r="E550" s="2" t="str">
        <f>IFERROR(__xludf.DUMMYFUNCTION("""COMPUTED_VALUE"""),"Cercanía")</f>
        <v>Cercanía</v>
      </c>
      <c r="F550" s="2" t="str">
        <f>IFERROR(__xludf.DUMMYFUNCTION("""COMPUTED_VALUE"""),"Seguridad")</f>
        <v>Seguridad</v>
      </c>
      <c r="G550" s="2" t="str">
        <f>IFERROR(__xludf.DUMMYFUNCTION("""COMPUTED_VALUE"""),"Finalizada")</f>
        <v>Finalizada</v>
      </c>
      <c r="H550" s="4">
        <v>112041.0</v>
      </c>
      <c r="I550" s="4">
        <v>0.0</v>
      </c>
      <c r="J550" s="4">
        <v>467.0</v>
      </c>
      <c r="K550" s="4">
        <v>70734.0</v>
      </c>
      <c r="L550" s="5">
        <v>1.5839765883450674</v>
      </c>
      <c r="M550" s="5">
        <v>1.5839765883450674</v>
      </c>
      <c r="N550" s="4">
        <v>85514.0</v>
      </c>
      <c r="O550" s="4">
        <v>84498.0</v>
      </c>
      <c r="P550" s="4">
        <v>12763.0</v>
      </c>
      <c r="Q550" s="4">
        <v>192.0</v>
      </c>
      <c r="R550" s="4">
        <v>114.0</v>
      </c>
      <c r="S550" s="4">
        <v>114.0</v>
      </c>
      <c r="T550" s="4">
        <v>33.0</v>
      </c>
      <c r="U550" s="4">
        <v>32.0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/>
      <c r="AE550" s="6" t="s">
        <v>9</v>
      </c>
    </row>
    <row r="551" ht="16.5" customHeight="1">
      <c r="A551" s="2" t="str">
        <f>IFERROR(__xludf.DUMMYFUNCTION("""COMPUTED_VALUE"""),"3002-MAYSEGVC")</f>
        <v>3002-MAYSEGVC</v>
      </c>
      <c r="B551" s="2" t="str">
        <f>IFERROR(__xludf.DUMMYFUNCTION("""COMPUTED_VALUE"""),"RDV Ministros | Ruth Landerrecheo 14/5 Comuna 8")</f>
        <v>RDV Ministros | Ruth Landerrecheo 14/5 Comuna 8</v>
      </c>
      <c r="C551" s="3">
        <f>IFERROR(__xludf.DUMMYFUNCTION("""COMPUTED_VALUE"""),46153.0)</f>
        <v>46153</v>
      </c>
      <c r="D551" s="3">
        <f>IFERROR(__xludf.DUMMYFUNCTION("""COMPUTED_VALUE"""),46162.0)</f>
        <v>46162</v>
      </c>
      <c r="E551" s="2" t="str">
        <f>IFERROR(__xludf.DUMMYFUNCTION("""COMPUTED_VALUE"""),"Cercanía")</f>
        <v>Cercanía</v>
      </c>
      <c r="F551" s="2" t="str">
        <f>IFERROR(__xludf.DUMMYFUNCTION("""COMPUTED_VALUE"""),"Seguridad")</f>
        <v>Seguridad</v>
      </c>
      <c r="G551" s="2" t="str">
        <f>IFERROR(__xludf.DUMMYFUNCTION("""COMPUTED_VALUE"""),"Finalizada")</f>
        <v>Finalizada</v>
      </c>
      <c r="H551" s="4">
        <v>148414.0</v>
      </c>
      <c r="I551" s="4">
        <v>0.0</v>
      </c>
      <c r="J551" s="4">
        <v>557.0</v>
      </c>
      <c r="K551" s="4">
        <v>102557.0</v>
      </c>
      <c r="L551" s="5">
        <v>1.4471367142174596</v>
      </c>
      <c r="M551" s="5">
        <v>1.4471367142174596</v>
      </c>
      <c r="N551" s="4">
        <v>70328.0</v>
      </c>
      <c r="O551" s="4">
        <v>69397.0</v>
      </c>
      <c r="P551" s="4">
        <v>10485.0</v>
      </c>
      <c r="Q551" s="4">
        <v>169.0</v>
      </c>
      <c r="R551" s="4">
        <v>94.0</v>
      </c>
      <c r="S551" s="4">
        <v>94.0</v>
      </c>
      <c r="T551" s="4">
        <v>24.0</v>
      </c>
      <c r="U551" s="4">
        <v>23.0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/>
      <c r="AE551" s="6" t="s">
        <v>9</v>
      </c>
    </row>
    <row r="552" ht="16.5" customHeight="1">
      <c r="A552" s="2" t="str">
        <f>IFERROR(__xludf.DUMMYFUNCTION("""COMPUTED_VALUE"""),"3003-MAYVINVC")</f>
        <v>3003-MAYVINVC</v>
      </c>
      <c r="B552" s="2" t="str">
        <f>IFERROR(__xludf.DUMMYFUNCTION("""COMPUTED_VALUE"""),"Más Servicios en tu Barrio Agronomia 12/5")</f>
        <v>Más Servicios en tu Barrio Agronomia 12/5</v>
      </c>
      <c r="C552" s="3">
        <f>IFERROR(__xludf.DUMMYFUNCTION("""COMPUTED_VALUE"""),46150.0)</f>
        <v>46150</v>
      </c>
      <c r="D552" s="3">
        <f>IFERROR(__xludf.DUMMYFUNCTION("""COMPUTED_VALUE"""),46150.0)</f>
        <v>46150</v>
      </c>
      <c r="E552" s="2" t="str">
        <f>IFERROR(__xludf.DUMMYFUNCTION("""COMPUTED_VALUE"""),"M2")</f>
        <v>M2</v>
      </c>
      <c r="F552" s="2" t="str">
        <f>IFERROR(__xludf.DUMMYFUNCTION("""COMPUTED_VALUE"""),"Vínculo Ciudadano")</f>
        <v>Vínculo Ciudadano</v>
      </c>
      <c r="G552" s="2" t="str">
        <f>IFERROR(__xludf.DUMMYFUNCTION("""COMPUTED_VALUE"""),"Finalizada")</f>
        <v>Finalizada</v>
      </c>
      <c r="H552" s="4">
        <v>0.0</v>
      </c>
      <c r="I552" s="4">
        <v>0.0</v>
      </c>
      <c r="J552" s="4">
        <v>0.0</v>
      </c>
      <c r="K552" s="4">
        <v>0.0</v>
      </c>
      <c r="L552" s="5">
        <v>0.0</v>
      </c>
      <c r="M552" s="5">
        <v>0.0</v>
      </c>
      <c r="N552" s="4">
        <v>9778.0</v>
      </c>
      <c r="O552" s="4">
        <v>9677.0</v>
      </c>
      <c r="P552" s="4">
        <v>3488.0</v>
      </c>
      <c r="Q552" s="4">
        <v>129.0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 t="s">
        <v>8</v>
      </c>
      <c r="AE552" s="6" t="s">
        <v>9</v>
      </c>
    </row>
    <row r="553" ht="16.5" customHeight="1">
      <c r="A553" s="2" t="str">
        <f>IFERROR(__xludf.DUMMYFUNCTION("""COMPUTED_VALUE"""),"3004-MAYVINVC")</f>
        <v>3004-MAYVINVC</v>
      </c>
      <c r="B553" s="2" t="str">
        <f>IFERROR(__xludf.DUMMYFUNCTION("""COMPUTED_VALUE"""),"Más Servicios en tu Barrio Nueva Pompeya 16/5")</f>
        <v>Más Servicios en tu Barrio Nueva Pompeya 16/5</v>
      </c>
      <c r="C553" s="3">
        <f>IFERROR(__xludf.DUMMYFUNCTION("""COMPUTED_VALUE"""),46154.0)</f>
        <v>46154</v>
      </c>
      <c r="D553" s="3">
        <f>IFERROR(__xludf.DUMMYFUNCTION("""COMPUTED_VALUE"""),46154.0)</f>
        <v>46154</v>
      </c>
      <c r="E553" s="2" t="str">
        <f>IFERROR(__xludf.DUMMYFUNCTION("""COMPUTED_VALUE"""),"M2")</f>
        <v>M2</v>
      </c>
      <c r="F553" s="2" t="str">
        <f>IFERROR(__xludf.DUMMYFUNCTION("""COMPUTED_VALUE"""),"Vínculo Ciudadano")</f>
        <v>Vínculo Ciudadano</v>
      </c>
      <c r="G553" s="2" t="str">
        <f>IFERROR(__xludf.DUMMYFUNCTION("""COMPUTED_VALUE"""),"Finalizada")</f>
        <v>Finalizada</v>
      </c>
      <c r="H553" s="4">
        <v>0.0</v>
      </c>
      <c r="I553" s="4">
        <v>0.0</v>
      </c>
      <c r="J553" s="4">
        <v>0.0</v>
      </c>
      <c r="K553" s="4">
        <v>0.0</v>
      </c>
      <c r="L553" s="5">
        <v>0.0</v>
      </c>
      <c r="M553" s="5">
        <v>0.0</v>
      </c>
      <c r="N553" s="4">
        <v>6917.0</v>
      </c>
      <c r="O553" s="4">
        <v>6810.0</v>
      </c>
      <c r="P553" s="4">
        <v>2038.0</v>
      </c>
      <c r="Q553" s="4">
        <v>79.0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 t="s">
        <v>8</v>
      </c>
      <c r="AE553" s="6" t="s">
        <v>9</v>
      </c>
    </row>
    <row r="554" ht="16.5" customHeight="1">
      <c r="A554" s="2" t="str">
        <f>IFERROR(__xludf.DUMMYFUNCTION("""COMPUTED_VALUE"""),"3005-MAYSEGVC")</f>
        <v>3005-MAYSEGVC</v>
      </c>
      <c r="B554" s="2" t="str">
        <f>IFERROR(__xludf.DUMMYFUNCTION("""COMPUTED_VALUE"""),"RDV Ministros | Ezequiel Sabor 11/5 Comuna 4")</f>
        <v>RDV Ministros | Ezequiel Sabor 11/5 Comuna 4</v>
      </c>
      <c r="C554" s="3">
        <f>IFERROR(__xludf.DUMMYFUNCTION("""COMPUTED_VALUE"""),46150.0)</f>
        <v>46150</v>
      </c>
      <c r="D554" s="3">
        <f>IFERROR(__xludf.DUMMYFUNCTION("""COMPUTED_VALUE"""),46154.0)</f>
        <v>46154</v>
      </c>
      <c r="E554" s="2" t="str">
        <f>IFERROR(__xludf.DUMMYFUNCTION("""COMPUTED_VALUE"""),"Cercanía")</f>
        <v>Cercanía</v>
      </c>
      <c r="F554" s="2" t="str">
        <f>IFERROR(__xludf.DUMMYFUNCTION("""COMPUTED_VALUE"""),"Seguridad")</f>
        <v>Seguridad</v>
      </c>
      <c r="G554" s="2" t="str">
        <f>IFERROR(__xludf.DUMMYFUNCTION("""COMPUTED_VALUE"""),"Finalizada")</f>
        <v>Finalizada</v>
      </c>
      <c r="H554" s="4">
        <v>0.0</v>
      </c>
      <c r="I554" s="4">
        <v>0.0</v>
      </c>
      <c r="J554" s="4">
        <v>0.0</v>
      </c>
      <c r="K554" s="4">
        <v>0.0</v>
      </c>
      <c r="L554" s="5">
        <v>0.0</v>
      </c>
      <c r="M554" s="5">
        <v>0.0</v>
      </c>
      <c r="N554" s="4">
        <v>81124.0</v>
      </c>
      <c r="O554" s="4">
        <v>79762.0</v>
      </c>
      <c r="P554" s="4">
        <v>10421.0</v>
      </c>
      <c r="Q554" s="4">
        <v>279.0</v>
      </c>
      <c r="R554" s="4">
        <v>149.0</v>
      </c>
      <c r="S554" s="4">
        <v>149.0</v>
      </c>
      <c r="T554" s="4">
        <v>46.0</v>
      </c>
      <c r="U554" s="4">
        <v>41.0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 t="s">
        <v>8</v>
      </c>
      <c r="AE554" s="6" t="s">
        <v>9</v>
      </c>
    </row>
    <row r="555" ht="16.5" customHeight="1">
      <c r="A555" s="2" t="str">
        <f>IFERROR(__xludf.DUMMYFUNCTION("""COMPUTED_VALUE"""),"3006-MAYSEGVC")</f>
        <v>3006-MAYSEGVC</v>
      </c>
      <c r="B555" s="2" t="str">
        <f>IFERROR(__xludf.DUMMYFUNCTION("""COMPUTED_VALUE"""),"RDV Ministros | Ignacio Baistrocchi 13/5 Comuna 13")</f>
        <v>RDV Ministros | Ignacio Baistrocchi 13/5 Comuna 13</v>
      </c>
      <c r="C555" s="3">
        <f>IFERROR(__xludf.DUMMYFUNCTION("""COMPUTED_VALUE"""),46150.0)</f>
        <v>46150</v>
      </c>
      <c r="D555" s="3">
        <f>IFERROR(__xludf.DUMMYFUNCTION("""COMPUTED_VALUE"""),46157.0)</f>
        <v>46157</v>
      </c>
      <c r="E555" s="2" t="str">
        <f>IFERROR(__xludf.DUMMYFUNCTION("""COMPUTED_VALUE"""),"Cercanía")</f>
        <v>Cercanía</v>
      </c>
      <c r="F555" s="2" t="str">
        <f>IFERROR(__xludf.DUMMYFUNCTION("""COMPUTED_VALUE"""),"Seguridad")</f>
        <v>Seguridad</v>
      </c>
      <c r="G555" s="2" t="str">
        <f>IFERROR(__xludf.DUMMYFUNCTION("""COMPUTED_VALUE"""),"Finalizada")</f>
        <v>Finalizada</v>
      </c>
      <c r="H555" s="4">
        <v>180622.0</v>
      </c>
      <c r="I555" s="4">
        <v>0.0</v>
      </c>
      <c r="J555" s="4">
        <v>460.0</v>
      </c>
      <c r="K555" s="4">
        <v>23887.0</v>
      </c>
      <c r="L555" s="5">
        <v>7.561518817766986</v>
      </c>
      <c r="M555" s="5">
        <v>7.561518817766986</v>
      </c>
      <c r="N555" s="4">
        <v>109058.0</v>
      </c>
      <c r="O555" s="4">
        <v>108078.0</v>
      </c>
      <c r="P555" s="4">
        <v>24691.0</v>
      </c>
      <c r="Q555" s="4">
        <v>523.0</v>
      </c>
      <c r="R555" s="4">
        <v>235.0</v>
      </c>
      <c r="S555" s="4">
        <v>235.0</v>
      </c>
      <c r="T555" s="4">
        <v>78.0</v>
      </c>
      <c r="U555" s="4">
        <v>76.0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/>
      <c r="AE555" s="6" t="s">
        <v>9</v>
      </c>
    </row>
    <row r="556" ht="16.5" customHeight="1">
      <c r="A556" s="2" t="str">
        <f>IFERROR(__xludf.DUMMYFUNCTION("""COMPUTED_VALUE"""),"3007-MAYJDGVC")</f>
        <v>3007-MAYJDGVC</v>
      </c>
      <c r="B556" s="2" t="str">
        <f>IFERROR(__xludf.DUMMYFUNCTION("""COMPUTED_VALUE"""),"RDV Ministros | Gabriel Sánchez Zinny - 13/5")</f>
        <v>RDV Ministros | Gabriel Sánchez Zinny - 13/5</v>
      </c>
      <c r="C556" s="3">
        <f>IFERROR(__xludf.DUMMYFUNCTION("""COMPUTED_VALUE"""),46150.0)</f>
        <v>46150</v>
      </c>
      <c r="D556" s="3">
        <f>IFERROR(__xludf.DUMMYFUNCTION("""COMPUTED_VALUE"""),46157.0)</f>
        <v>46157</v>
      </c>
      <c r="E556" s="2" t="str">
        <f>IFERROR(__xludf.DUMMYFUNCTION("""COMPUTED_VALUE"""),"Cercanía")</f>
        <v>Cercanía</v>
      </c>
      <c r="F556" s="2" t="str">
        <f>IFERROR(__xludf.DUMMYFUNCTION("""COMPUTED_VALUE"""),"Jefatura de Gabinete")</f>
        <v>Jefatura de Gabinete</v>
      </c>
      <c r="G556" s="2" t="str">
        <f>IFERROR(__xludf.DUMMYFUNCTION("""COMPUTED_VALUE"""),"Finalizada")</f>
        <v>Finalizada</v>
      </c>
      <c r="H556" s="4">
        <v>24980.0</v>
      </c>
      <c r="I556" s="4">
        <v>0.0</v>
      </c>
      <c r="J556" s="4">
        <v>140.0</v>
      </c>
      <c r="K556" s="4">
        <v>10893.0</v>
      </c>
      <c r="L556" s="5">
        <v>2.2932158266776828</v>
      </c>
      <c r="M556" s="5">
        <v>2.2932158266776828</v>
      </c>
      <c r="N556" s="4">
        <v>24533.0</v>
      </c>
      <c r="O556" s="4">
        <v>24265.0</v>
      </c>
      <c r="P556" s="4">
        <v>3915.0</v>
      </c>
      <c r="Q556" s="4">
        <v>81.0</v>
      </c>
      <c r="R556" s="4">
        <v>110.0</v>
      </c>
      <c r="S556" s="4">
        <v>110.0</v>
      </c>
      <c r="T556" s="4">
        <v>24.0</v>
      </c>
      <c r="U556" s="4">
        <v>22.0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/>
      <c r="AE556" s="6" t="s">
        <v>9</v>
      </c>
    </row>
    <row r="557" ht="16.5" customHeight="1">
      <c r="A557" s="2" t="str">
        <f>IFERROR(__xludf.DUMMYFUNCTION("""COMPUTED_VALUE"""),"3008-MAYSEGGC")</f>
        <v>3008-MAYSEGGC</v>
      </c>
      <c r="B557" s="2" t="str">
        <f>IFERROR(__xludf.DUMMYFUNCTION("""COMPUTED_VALUE"""),"Newsletter Seguridad Mayo")</f>
        <v>Newsletter Seguridad Mayo</v>
      </c>
      <c r="C557" s="3">
        <f>IFERROR(__xludf.DUMMYFUNCTION("""COMPUTED_VALUE"""),46153.0)</f>
        <v>46153</v>
      </c>
      <c r="D557" s="3">
        <f>IFERROR(__xludf.DUMMYFUNCTION("""COMPUTED_VALUE"""),46153.0)</f>
        <v>46153</v>
      </c>
      <c r="E557" s="2" t="str">
        <f>IFERROR(__xludf.DUMMYFUNCTION("""COMPUTED_VALUE"""),"M2")</f>
        <v>M2</v>
      </c>
      <c r="F557" s="2" t="str">
        <f>IFERROR(__xludf.DUMMYFUNCTION("""COMPUTED_VALUE"""),"Seguridad")</f>
        <v>Seguridad</v>
      </c>
      <c r="G557" s="2" t="str">
        <f>IFERROR(__xludf.DUMMYFUNCTION("""COMPUTED_VALUE"""),"Finalizada")</f>
        <v>Finalizada</v>
      </c>
      <c r="H557" s="4">
        <v>0.0</v>
      </c>
      <c r="I557" s="4">
        <v>0.0</v>
      </c>
      <c r="J557" s="4">
        <v>0.0</v>
      </c>
      <c r="K557" s="4">
        <v>0.0</v>
      </c>
      <c r="L557" s="5">
        <v>0.0</v>
      </c>
      <c r="M557" s="5">
        <v>0.0</v>
      </c>
      <c r="N557" s="4">
        <v>28280.0</v>
      </c>
      <c r="O557" s="4">
        <v>11201.0</v>
      </c>
      <c r="P557" s="4">
        <v>2672.0</v>
      </c>
      <c r="Q557" s="4">
        <v>421.0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 t="s">
        <v>8</v>
      </c>
      <c r="AE557" s="6" t="s">
        <v>9</v>
      </c>
    </row>
    <row r="558" ht="16.5" customHeight="1">
      <c r="A558" s="2" t="str">
        <f>IFERROR(__xludf.DUMMYFUNCTION("""COMPUTED_VALUE"""),"3009-MAYPCCVC")</f>
        <v>3009-MAYPCCVC</v>
      </c>
      <c r="B558" s="2" t="str">
        <f>IFERROR(__xludf.DUMMYFUNCTION("""COMPUTED_VALUE"""),"Experiencia BA | Piramide de mayo")</f>
        <v>Experiencia BA | Piramide de mayo</v>
      </c>
      <c r="C558" s="3">
        <f>IFERROR(__xludf.DUMMYFUNCTION("""COMPUTED_VALUE"""),46155.0)</f>
        <v>46155</v>
      </c>
      <c r="D558" s="3">
        <f>IFERROR(__xludf.DUMMYFUNCTION("""COMPUTED_VALUE"""),46155.0)</f>
        <v>46155</v>
      </c>
      <c r="E558" s="2" t="str">
        <f>IFERROR(__xludf.DUMMYFUNCTION("""COMPUTED_VALUE"""),"Cercanía")</f>
        <v>Cercanía</v>
      </c>
      <c r="F558" s="2" t="str">
        <f>IFERROR(__xludf.DUMMYFUNCTION("""COMPUTED_VALUE"""),"Cercanía y PC")</f>
        <v>Cercanía y PC</v>
      </c>
      <c r="G558" s="2" t="str">
        <f>IFERROR(__xludf.DUMMYFUNCTION("""COMPUTED_VALUE"""),"Finalizada")</f>
        <v>Finalizada</v>
      </c>
      <c r="H558" s="4">
        <v>0.0</v>
      </c>
      <c r="I558" s="4">
        <v>0.0</v>
      </c>
      <c r="J558" s="4">
        <v>0.0</v>
      </c>
      <c r="K558" s="4">
        <v>0.0</v>
      </c>
      <c r="L558" s="5">
        <v>0.0</v>
      </c>
      <c r="M558" s="5">
        <v>0.0</v>
      </c>
      <c r="N558" s="4">
        <v>39084.0</v>
      </c>
      <c r="O558" s="4">
        <v>38585.0</v>
      </c>
      <c r="P558" s="4">
        <v>10211.0</v>
      </c>
      <c r="Q558" s="4">
        <v>257.0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 t="s">
        <v>8</v>
      </c>
      <c r="AE558" s="6" t="s">
        <v>9</v>
      </c>
    </row>
    <row r="559" ht="16.5" customHeight="1">
      <c r="A559" s="2" t="str">
        <f>IFERROR(__xludf.DUMMYFUNCTION("""COMPUTED_VALUE"""),"3010-MAYINNGC")</f>
        <v>3010-MAYINNGC</v>
      </c>
      <c r="B559" s="2" t="str">
        <f>IFERROR(__xludf.DUMMYFUNCTION("""COMPUTED_VALUE"""),"Prioridad para porteños en todos los servicios")</f>
        <v>Prioridad para porteños en todos los servicios</v>
      </c>
      <c r="C559" s="3">
        <f>IFERROR(__xludf.DUMMYFUNCTION("""COMPUTED_VALUE"""),46150.0)</f>
        <v>46150</v>
      </c>
      <c r="D559" s="3">
        <f>IFERROR(__xludf.DUMMYFUNCTION("""COMPUTED_VALUE"""),46173.0)</f>
        <v>46173</v>
      </c>
      <c r="E559" s="2" t="str">
        <f>IFERROR(__xludf.DUMMYFUNCTION("""COMPUTED_VALUE"""),"Reforma del Estado")</f>
        <v>Reforma del Estado</v>
      </c>
      <c r="F559" s="2" t="str">
        <f>IFERROR(__xludf.DUMMYFUNCTION("""COMPUTED_VALUE"""),"Innovación")</f>
        <v>Innovación</v>
      </c>
      <c r="G559" s="2" t="str">
        <f>IFERROR(__xludf.DUMMYFUNCTION("""COMPUTED_VALUE"""),"Finalizada")</f>
        <v>Finalizada</v>
      </c>
      <c r="H559" s="4">
        <v>1596684.0</v>
      </c>
      <c r="I559" s="4">
        <v>174029.0</v>
      </c>
      <c r="J559" s="4">
        <v>3095.0</v>
      </c>
      <c r="K559" s="4">
        <v>729072.0</v>
      </c>
      <c r="L559" s="5">
        <v>2.190022384620449</v>
      </c>
      <c r="M559" s="5">
        <v>2.190022384620449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6" t="s">
        <v>192</v>
      </c>
      <c r="AE559" s="4" t="s">
        <v>8</v>
      </c>
    </row>
    <row r="560" ht="16.5" customHeight="1">
      <c r="A560" s="2" t="str">
        <f>IFERROR(__xludf.DUMMYFUNCTION("""COMPUTED_VALUE"""),"3011-MAYFESGC")</f>
        <v>3011-MAYFESGC</v>
      </c>
      <c r="B560" s="2" t="str">
        <f>IFERROR(__xludf.DUMMYFUNCTION("""COMPUTED_VALUE"""),"La ciudad late mundial Genérica")</f>
        <v>La ciudad late mundial Genérica</v>
      </c>
      <c r="C560" s="3">
        <f>IFERROR(__xludf.DUMMYFUNCTION("""COMPUTED_VALUE"""),46176.0)</f>
        <v>46176</v>
      </c>
      <c r="D560" s="3">
        <f>IFERROR(__xludf.DUMMYFUNCTION("""COMPUTED_VALUE"""),46220.0)</f>
        <v>46220</v>
      </c>
      <c r="E560" s="2" t="str">
        <f>IFERROR(__xludf.DUMMYFUNCTION("""COMPUTED_VALUE"""),"Ciudad Atractiva")</f>
        <v>Ciudad Atractiva</v>
      </c>
      <c r="F560" s="2" t="str">
        <f>IFERROR(__xludf.DUMMYFUNCTION("""COMPUTED_VALUE"""),"Festivales y Eventos")</f>
        <v>Festivales y Eventos</v>
      </c>
      <c r="G560" s="2" t="str">
        <f>IFERROR(__xludf.DUMMYFUNCTION("""COMPUTED_VALUE"""),"Finalizada")</f>
        <v>Finalizada</v>
      </c>
      <c r="H560" s="4">
        <v>1.6855665E7</v>
      </c>
      <c r="I560" s="4">
        <v>2511126.0</v>
      </c>
      <c r="J560" s="4">
        <v>57464.0</v>
      </c>
      <c r="K560" s="4">
        <v>2220857.0</v>
      </c>
      <c r="L560" s="5">
        <v>2.612756697076849</v>
      </c>
      <c r="M560" s="5">
        <v>7.5897119895607865</v>
      </c>
      <c r="N560" s="4">
        <v>404210.0</v>
      </c>
      <c r="O560" s="4">
        <v>400014.0</v>
      </c>
      <c r="P560" s="4">
        <v>160569.0</v>
      </c>
      <c r="Q560" s="4">
        <v>10885.0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6" t="s">
        <v>193</v>
      </c>
      <c r="AE560" s="6" t="s">
        <v>9</v>
      </c>
    </row>
    <row r="561" ht="16.5" customHeight="1">
      <c r="A561" s="2" t="str">
        <f>IFERROR(__xludf.DUMMYFUNCTION("""COMPUTED_VALUE"""),"3012-MAYDHHVC")</f>
        <v>3012-MAYDHHVC</v>
      </c>
      <c r="B561" s="2" t="str">
        <f>IFERROR(__xludf.DUMMYFUNCTION("""COMPUTED_VALUE"""),"RDV Ministros | Gabriel Mraida - 15/5")</f>
        <v>RDV Ministros | Gabriel Mraida - 15/5</v>
      </c>
      <c r="C561" s="3">
        <f>IFERROR(__xludf.DUMMYFUNCTION("""COMPUTED_VALUE"""),46153.0)</f>
        <v>46153</v>
      </c>
      <c r="D561" s="3">
        <f>IFERROR(__xludf.DUMMYFUNCTION("""COMPUTED_VALUE"""),46160.0)</f>
        <v>46160</v>
      </c>
      <c r="E561" s="2" t="str">
        <f>IFERROR(__xludf.DUMMYFUNCTION("""COMPUTED_VALUE"""),"Cercanía")</f>
        <v>Cercanía</v>
      </c>
      <c r="F561" s="2" t="str">
        <f>IFERROR(__xludf.DUMMYFUNCTION("""COMPUTED_VALUE"""),"Desarrollo Humano y Hábitat")</f>
        <v>Desarrollo Humano y Hábitat</v>
      </c>
      <c r="G561" s="2" t="str">
        <f>IFERROR(__xludf.DUMMYFUNCTION("""COMPUTED_VALUE"""),"Finalizada")</f>
        <v>Finalizada</v>
      </c>
      <c r="H561" s="4">
        <v>81819.0</v>
      </c>
      <c r="I561" s="4">
        <v>0.0</v>
      </c>
      <c r="J561" s="4">
        <v>298.0</v>
      </c>
      <c r="K561" s="4">
        <v>50522.0</v>
      </c>
      <c r="L561" s="5">
        <v>1.6194727049602153</v>
      </c>
      <c r="M561" s="5">
        <v>1.6194727049602153</v>
      </c>
      <c r="N561" s="4">
        <v>81801.0</v>
      </c>
      <c r="O561" s="4">
        <v>81083.0</v>
      </c>
      <c r="P561" s="4">
        <v>14978.0</v>
      </c>
      <c r="Q561" s="4">
        <v>190.0</v>
      </c>
      <c r="R561" s="4">
        <v>108.0</v>
      </c>
      <c r="S561" s="4">
        <v>108.0</v>
      </c>
      <c r="T561" s="4">
        <v>28.0</v>
      </c>
      <c r="U561" s="4">
        <v>24.0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/>
      <c r="AE561" s="6" t="s">
        <v>9</v>
      </c>
    </row>
    <row r="562" ht="16.5" customHeight="1">
      <c r="A562" s="2" t="str">
        <f>IFERROR(__xludf.DUMMYFUNCTION("""COMPUTED_VALUE"""),"3013-MAYJDGVC")</f>
        <v>3013-MAYJDGVC</v>
      </c>
      <c r="B562" s="2" t="str">
        <f>IFERROR(__xludf.DUMMYFUNCTION("""COMPUTED_VALUE"""),"RDV Ministros | Gabriel Sánchez Zinny - 15/5")</f>
        <v>RDV Ministros | Gabriel Sánchez Zinny - 15/5</v>
      </c>
      <c r="C562" s="3">
        <f>IFERROR(__xludf.DUMMYFUNCTION("""COMPUTED_VALUE"""),46153.0)</f>
        <v>46153</v>
      </c>
      <c r="D562" s="3">
        <f>IFERROR(__xludf.DUMMYFUNCTION("""COMPUTED_VALUE"""),46160.0)</f>
        <v>46160</v>
      </c>
      <c r="E562" s="2" t="str">
        <f>IFERROR(__xludf.DUMMYFUNCTION("""COMPUTED_VALUE"""),"Cercanía")</f>
        <v>Cercanía</v>
      </c>
      <c r="F562" s="2" t="str">
        <f>IFERROR(__xludf.DUMMYFUNCTION("""COMPUTED_VALUE"""),"Jefatura de Gabinete")</f>
        <v>Jefatura de Gabinete</v>
      </c>
      <c r="G562" s="2" t="str">
        <f>IFERROR(__xludf.DUMMYFUNCTION("""COMPUTED_VALUE"""),"Finalizada")</f>
        <v>Finalizada</v>
      </c>
      <c r="H562" s="4">
        <v>32076.0</v>
      </c>
      <c r="I562" s="4">
        <v>0.0</v>
      </c>
      <c r="J562" s="4">
        <v>149.0</v>
      </c>
      <c r="K562" s="4">
        <v>20413.0</v>
      </c>
      <c r="L562" s="5">
        <v>1.5713515896732475</v>
      </c>
      <c r="M562" s="5">
        <v>1.5713515896732475</v>
      </c>
      <c r="N562" s="4">
        <v>31763.0</v>
      </c>
      <c r="O562" s="4">
        <v>31488.0</v>
      </c>
      <c r="P562" s="4">
        <v>7057.0</v>
      </c>
      <c r="Q562" s="4">
        <v>202.0</v>
      </c>
      <c r="R562" s="4">
        <v>106.0</v>
      </c>
      <c r="S562" s="4">
        <v>106.0</v>
      </c>
      <c r="T562" s="4">
        <v>36.0</v>
      </c>
      <c r="U562" s="4">
        <v>34.0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/>
      <c r="AE562" s="6" t="s">
        <v>9</v>
      </c>
    </row>
    <row r="563" ht="16.5" customHeight="1">
      <c r="A563" s="2" t="str">
        <f>IFERROR(__xludf.DUMMYFUNCTION("""COMPUTED_VALUE"""),"3014-MAYTURGC")</f>
        <v>3014-MAYTURGC</v>
      </c>
      <c r="B563" s="2" t="str">
        <f>IFERROR(__xludf.DUMMYFUNCTION("""COMPUTED_VALUE"""),"Sondeo Hotelero | Revolución de mayo 19/5")</f>
        <v>Sondeo Hotelero | Revolución de mayo 19/5</v>
      </c>
      <c r="C563" s="3">
        <f>IFERROR(__xludf.DUMMYFUNCTION("""COMPUTED_VALUE"""),46161.0)</f>
        <v>46161</v>
      </c>
      <c r="D563" s="3">
        <f>IFERROR(__xludf.DUMMYFUNCTION("""COMPUTED_VALUE"""),46161.0)</f>
        <v>46161</v>
      </c>
      <c r="E563" s="2" t="str">
        <f>IFERROR(__xludf.DUMMYFUNCTION("""COMPUTED_VALUE"""),"Ciudad Atractiva")</f>
        <v>Ciudad Atractiva</v>
      </c>
      <c r="F563" s="2" t="str">
        <f>IFERROR(__xludf.DUMMYFUNCTION("""COMPUTED_VALUE"""),"Turismo")</f>
        <v>Turismo</v>
      </c>
      <c r="G563" s="2" t="str">
        <f>IFERROR(__xludf.DUMMYFUNCTION("""COMPUTED_VALUE"""),"Finalizada")</f>
        <v>Finalizada</v>
      </c>
      <c r="H563" s="4">
        <v>0.0</v>
      </c>
      <c r="I563" s="4">
        <v>0.0</v>
      </c>
      <c r="J563" s="4">
        <v>0.0</v>
      </c>
      <c r="K563" s="4">
        <v>0.0</v>
      </c>
      <c r="L563" s="5">
        <v>0.0</v>
      </c>
      <c r="M563" s="5">
        <v>0.0</v>
      </c>
      <c r="N563" s="4">
        <v>392.0</v>
      </c>
      <c r="O563" s="4">
        <v>382.0</v>
      </c>
      <c r="P563" s="4">
        <v>178.0</v>
      </c>
      <c r="Q563" s="4">
        <v>74.0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 t="s">
        <v>8</v>
      </c>
      <c r="AE563" s="6" t="s">
        <v>9</v>
      </c>
    </row>
    <row r="564" ht="16.5" customHeight="1">
      <c r="A564" s="2" t="str">
        <f>IFERROR(__xludf.DUMMYFUNCTION("""COMPUTED_VALUE"""),"3015-MAYFESGC")</f>
        <v>3015-MAYFESGC</v>
      </c>
      <c r="B564" s="2" t="str">
        <f>IFERROR(__xludf.DUMMYFUNCTION("""COMPUTED_VALUE"""),"La ciudad late mundial | Fan Fest FIFA")</f>
        <v>La ciudad late mundial | Fan Fest FIFA</v>
      </c>
      <c r="C564" s="3">
        <f>IFERROR(__xludf.DUMMYFUNCTION("""COMPUTED_VALUE"""),46176.0)</f>
        <v>46176</v>
      </c>
      <c r="D564" s="3">
        <f>IFERROR(__xludf.DUMMYFUNCTION("""COMPUTED_VALUE"""),46222.0)</f>
        <v>46222</v>
      </c>
      <c r="E564" s="2" t="str">
        <f>IFERROR(__xludf.DUMMYFUNCTION("""COMPUTED_VALUE"""),"Ciudad Atractiva")</f>
        <v>Ciudad Atractiva</v>
      </c>
      <c r="F564" s="2" t="str">
        <f>IFERROR(__xludf.DUMMYFUNCTION("""COMPUTED_VALUE"""),"Festivales y Eventos")</f>
        <v>Festivales y Eventos</v>
      </c>
      <c r="G564" s="2" t="str">
        <f>IFERROR(__xludf.DUMMYFUNCTION("""COMPUTED_VALUE"""),"Finalizada")</f>
        <v>Finalizada</v>
      </c>
      <c r="H564" s="4">
        <v>4.8469396E7</v>
      </c>
      <c r="I564" s="4">
        <v>9931202.0</v>
      </c>
      <c r="J564" s="4">
        <v>169159.0</v>
      </c>
      <c r="K564" s="4">
        <v>3653770.0</v>
      </c>
      <c r="L564" s="5">
        <v>3.455964661158201</v>
      </c>
      <c r="M564" s="5">
        <v>13.265584861663433</v>
      </c>
      <c r="N564" s="4">
        <v>112431.0</v>
      </c>
      <c r="O564" s="4">
        <v>111274.0</v>
      </c>
      <c r="P564" s="4">
        <v>38066.0</v>
      </c>
      <c r="Q564" s="4">
        <v>950.0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6" t="s">
        <v>194</v>
      </c>
      <c r="AE564" s="6" t="s">
        <v>9</v>
      </c>
    </row>
    <row r="565" ht="16.5" customHeight="1">
      <c r="A565" s="2" t="str">
        <f>IFERROR(__xludf.DUMMYFUNCTION("""COMPUTED_VALUE"""),"3016-MAYFESGC")</f>
        <v>3016-MAYFESGC</v>
      </c>
      <c r="B565" s="2" t="str">
        <f>IFERROR(__xludf.DUMMYFUNCTION("""COMPUTED_VALUE"""),"La ciudad late mundial | Modo Hincha")</f>
        <v>La ciudad late mundial | Modo Hincha</v>
      </c>
      <c r="C565" s="3">
        <f>IFERROR(__xludf.DUMMYFUNCTION("""COMPUTED_VALUE"""),46184.0)</f>
        <v>46184</v>
      </c>
      <c r="D565" s="3">
        <f>IFERROR(__xludf.DUMMYFUNCTION("""COMPUTED_VALUE"""),46220.0)</f>
        <v>46220</v>
      </c>
      <c r="E565" s="2" t="str">
        <f>IFERROR(__xludf.DUMMYFUNCTION("""COMPUTED_VALUE"""),"Ciudad Atractiva")</f>
        <v>Ciudad Atractiva</v>
      </c>
      <c r="F565" s="2" t="str">
        <f>IFERROR(__xludf.DUMMYFUNCTION("""COMPUTED_VALUE"""),"Festivales y Eventos")</f>
        <v>Festivales y Eventos</v>
      </c>
      <c r="G565" s="2" t="str">
        <f>IFERROR(__xludf.DUMMYFUNCTION("""COMPUTED_VALUE"""),"Finalizada")</f>
        <v>Finalizada</v>
      </c>
      <c r="H565" s="4">
        <v>8833222.0</v>
      </c>
      <c r="I565" s="4">
        <v>1162315.0</v>
      </c>
      <c r="J565" s="4">
        <v>56940.0</v>
      </c>
      <c r="K565" s="4">
        <v>313331.0</v>
      </c>
      <c r="L565" s="5">
        <v>2.3551196657847453</v>
      </c>
      <c r="M565" s="5">
        <v>28.191343978093453</v>
      </c>
      <c r="N565" s="4">
        <v>1640707.0</v>
      </c>
      <c r="O565" s="4">
        <v>1599875.0</v>
      </c>
      <c r="P565" s="4">
        <v>556444.0</v>
      </c>
      <c r="Q565" s="4">
        <v>5494.0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6" t="s">
        <v>195</v>
      </c>
      <c r="AE565" s="4"/>
    </row>
    <row r="566" ht="16.5" customHeight="1">
      <c r="A566" s="2" t="str">
        <f>IFERROR(__xludf.DUMMYFUNCTION("""COMPUTED_VALUE"""),"3017-MAYAMBGC")</f>
        <v>3017-MAYAMBGC</v>
      </c>
      <c r="B566" s="2" t="str">
        <f>IFERROR(__xludf.DUMMYFUNCTION("""COMPUTED_VALUE"""),"Animales BA: Nuevos servicios en la web")</f>
        <v>Animales BA: Nuevos servicios en la web</v>
      </c>
      <c r="C566" s="3">
        <f>IFERROR(__xludf.DUMMYFUNCTION("""COMPUTED_VALUE"""),46157.0)</f>
        <v>46157</v>
      </c>
      <c r="D566" s="3">
        <f>IFERROR(__xludf.DUMMYFUNCTION("""COMPUTED_VALUE"""),46171.0)</f>
        <v>46171</v>
      </c>
      <c r="E566" s="2" t="str">
        <f>IFERROR(__xludf.DUMMYFUNCTION("""COMPUTED_VALUE"""),"Cuidado")</f>
        <v>Cuidado</v>
      </c>
      <c r="F566" s="2" t="str">
        <f>IFERROR(__xludf.DUMMYFUNCTION("""COMPUTED_VALUE"""),"Vicejefatura (Ambiente)")</f>
        <v>Vicejefatura (Ambiente)</v>
      </c>
      <c r="G566" s="2" t="str">
        <f>IFERROR(__xludf.DUMMYFUNCTION("""COMPUTED_VALUE"""),"Finalizada")</f>
        <v>Finalizada</v>
      </c>
      <c r="H566" s="4">
        <v>2696663.0</v>
      </c>
      <c r="I566" s="4">
        <v>0.0</v>
      </c>
      <c r="J566" s="4">
        <v>6058.0</v>
      </c>
      <c r="K566" s="4">
        <v>218082.0</v>
      </c>
      <c r="L566" s="5">
        <v>1.5176905934465017</v>
      </c>
      <c r="M566" s="5">
        <v>12.36536257004246</v>
      </c>
      <c r="N566" s="4">
        <v>384358.0</v>
      </c>
      <c r="O566" s="4">
        <v>381912.0</v>
      </c>
      <c r="P566" s="4">
        <v>175663.0</v>
      </c>
      <c r="Q566" s="4">
        <v>7382.0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6" t="s">
        <v>196</v>
      </c>
      <c r="AE566" s="6" t="s">
        <v>9</v>
      </c>
    </row>
    <row r="567" ht="16.5" customHeight="1">
      <c r="A567" s="2" t="str">
        <f>IFERROR(__xludf.DUMMYFUNCTION("""COMPUTED_VALUE"""),"3018-MAYEDUGJ")</f>
        <v>3018-MAYEDUGJ</v>
      </c>
      <c r="B567" s="2" t="str">
        <f>IFERROR(__xludf.DUMMYFUNCTION("""COMPUTED_VALUE"""),"Educación | Iniciativa Formación Docente")</f>
        <v>Educación | Iniciativa Formación Docente</v>
      </c>
      <c r="C567" s="3">
        <f>IFERROR(__xludf.DUMMYFUNCTION("""COMPUTED_VALUE"""),46177.0)</f>
        <v>46177</v>
      </c>
      <c r="D567" s="3">
        <f>IFERROR(__xludf.DUMMYFUNCTION("""COMPUTED_VALUE"""),46191.0)</f>
        <v>46191</v>
      </c>
      <c r="E567" s="2" t="str">
        <f>IFERROR(__xludf.DUMMYFUNCTION("""COMPUTED_VALUE"""),"Cuidado")</f>
        <v>Cuidado</v>
      </c>
      <c r="F567" s="2" t="str">
        <f>IFERROR(__xludf.DUMMYFUNCTION("""COMPUTED_VALUE"""),"Educación")</f>
        <v>Educación</v>
      </c>
      <c r="G567" s="2" t="str">
        <f>IFERROR(__xludf.DUMMYFUNCTION("""COMPUTED_VALUE"""),"Finalizada")</f>
        <v>Finalizada</v>
      </c>
      <c r="H567" s="4">
        <v>3694725.0</v>
      </c>
      <c r="I567" s="4">
        <v>0.0</v>
      </c>
      <c r="J567" s="4">
        <v>26054.0</v>
      </c>
      <c r="K567" s="4">
        <v>209286.0</v>
      </c>
      <c r="L567" s="5">
        <v>1.5179515113289948</v>
      </c>
      <c r="M567" s="5">
        <v>17.653952008256645</v>
      </c>
      <c r="N567" s="4">
        <v>219278.0</v>
      </c>
      <c r="O567" s="4">
        <v>215595.0</v>
      </c>
      <c r="P567" s="4">
        <v>64804.0</v>
      </c>
      <c r="Q567" s="4">
        <v>2184.0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6" t="s">
        <v>197</v>
      </c>
      <c r="AE567" s="6" t="s">
        <v>9</v>
      </c>
    </row>
    <row r="568" ht="16.5" customHeight="1">
      <c r="A568" s="2" t="str">
        <f>IFERROR(__xludf.DUMMYFUNCTION("""COMPUTED_VALUE"""),"3019-MAYVINVC")</f>
        <v>3019-MAYVINVC</v>
      </c>
      <c r="B568" s="2" t="str">
        <f>IFERROR(__xludf.DUMMYFUNCTION("""COMPUTED_VALUE"""),"Más servicios en tu barrio 18/5 recoleta")</f>
        <v>Más servicios en tu barrio 18/5 recoleta</v>
      </c>
      <c r="C568" s="3">
        <f>IFERROR(__xludf.DUMMYFUNCTION("""COMPUTED_VALUE"""),46157.0)</f>
        <v>46157</v>
      </c>
      <c r="D568" s="3">
        <f>IFERROR(__xludf.DUMMYFUNCTION("""COMPUTED_VALUE"""),46157.0)</f>
        <v>46157</v>
      </c>
      <c r="E568" s="2" t="str">
        <f>IFERROR(__xludf.DUMMYFUNCTION("""COMPUTED_VALUE"""),"M2")</f>
        <v>M2</v>
      </c>
      <c r="F568" s="2" t="str">
        <f>IFERROR(__xludf.DUMMYFUNCTION("""COMPUTED_VALUE"""),"Vínculo Ciudadano")</f>
        <v>Vínculo Ciudadano</v>
      </c>
      <c r="G568" s="2" t="str">
        <f>IFERROR(__xludf.DUMMYFUNCTION("""COMPUTED_VALUE"""),"Finalizada")</f>
        <v>Finalizada</v>
      </c>
      <c r="H568" s="4">
        <v>0.0</v>
      </c>
      <c r="I568" s="4">
        <v>0.0</v>
      </c>
      <c r="J568" s="4">
        <v>0.0</v>
      </c>
      <c r="K568" s="4">
        <v>0.0</v>
      </c>
      <c r="L568" s="5">
        <v>0.0</v>
      </c>
      <c r="M568" s="5">
        <v>0.0</v>
      </c>
      <c r="N568" s="4">
        <v>32499.0</v>
      </c>
      <c r="O568" s="4">
        <v>32109.0</v>
      </c>
      <c r="P568" s="4">
        <v>10683.0</v>
      </c>
      <c r="Q568" s="4">
        <v>364.0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 t="s">
        <v>8</v>
      </c>
      <c r="AE568" s="6" t="s">
        <v>9</v>
      </c>
    </row>
    <row r="569" ht="16.5" customHeight="1">
      <c r="A569" s="2" t="str">
        <f>IFERROR(__xludf.DUMMYFUNCTION("""COMPUTED_VALUE"""),"3020-MAYVINVC")</f>
        <v>3020-MAYVINVC</v>
      </c>
      <c r="B569" s="2" t="str">
        <f>IFERROR(__xludf.DUMMYFUNCTION("""COMPUTED_VALUE"""),"Más servicios en tu barrio 19 y 20/5 Caballito")</f>
        <v>Más servicios en tu barrio 19 y 20/5 Caballito</v>
      </c>
      <c r="C569" s="3">
        <f>IFERROR(__xludf.DUMMYFUNCTION("""COMPUTED_VALUE"""),46157.0)</f>
        <v>46157</v>
      </c>
      <c r="D569" s="3">
        <f>IFERROR(__xludf.DUMMYFUNCTION("""COMPUTED_VALUE"""),46157.0)</f>
        <v>46157</v>
      </c>
      <c r="E569" s="2" t="str">
        <f>IFERROR(__xludf.DUMMYFUNCTION("""COMPUTED_VALUE"""),"M2")</f>
        <v>M2</v>
      </c>
      <c r="F569" s="2" t="str">
        <f>IFERROR(__xludf.DUMMYFUNCTION("""COMPUTED_VALUE"""),"Vínculo Ciudadano")</f>
        <v>Vínculo Ciudadano</v>
      </c>
      <c r="G569" s="2" t="str">
        <f>IFERROR(__xludf.DUMMYFUNCTION("""COMPUTED_VALUE"""),"Finalizada")</f>
        <v>Finalizada</v>
      </c>
      <c r="H569" s="4">
        <v>0.0</v>
      </c>
      <c r="I569" s="4">
        <v>0.0</v>
      </c>
      <c r="J569" s="4">
        <v>0.0</v>
      </c>
      <c r="K569" s="4">
        <v>0.0</v>
      </c>
      <c r="L569" s="5">
        <v>0.0</v>
      </c>
      <c r="M569" s="5">
        <v>0.0</v>
      </c>
      <c r="N569" s="4">
        <v>16795.0</v>
      </c>
      <c r="O569" s="4">
        <v>16613.0</v>
      </c>
      <c r="P569" s="4">
        <v>5391.0</v>
      </c>
      <c r="Q569" s="4">
        <v>242.0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 t="s">
        <v>8</v>
      </c>
      <c r="AE569" s="6" t="s">
        <v>9</v>
      </c>
    </row>
    <row r="570" ht="16.5" customHeight="1">
      <c r="A570" s="2" t="str">
        <f>IFERROR(__xludf.DUMMYFUNCTION("""COMPUTED_VALUE"""),"3021-MAYVINVC")</f>
        <v>3021-MAYVINVC</v>
      </c>
      <c r="B570" s="2" t="str">
        <f>IFERROR(__xludf.DUMMYFUNCTION("""COMPUTED_VALUE"""),"Más servicios en tu barrio 22/5 Villa Soldati")</f>
        <v>Más servicios en tu barrio 22/5 Villa Soldati</v>
      </c>
      <c r="C570" s="3">
        <f>IFERROR(__xludf.DUMMYFUNCTION("""COMPUTED_VALUE"""),46162.0)</f>
        <v>46162</v>
      </c>
      <c r="D570" s="3">
        <f>IFERROR(__xludf.DUMMYFUNCTION("""COMPUTED_VALUE"""),46162.0)</f>
        <v>46162</v>
      </c>
      <c r="E570" s="2" t="str">
        <f>IFERROR(__xludf.DUMMYFUNCTION("""COMPUTED_VALUE"""),"M2")</f>
        <v>M2</v>
      </c>
      <c r="F570" s="2" t="str">
        <f>IFERROR(__xludf.DUMMYFUNCTION("""COMPUTED_VALUE"""),"Vínculo Ciudadano")</f>
        <v>Vínculo Ciudadano</v>
      </c>
      <c r="G570" s="2" t="str">
        <f>IFERROR(__xludf.DUMMYFUNCTION("""COMPUTED_VALUE"""),"Finalizada")</f>
        <v>Finalizada</v>
      </c>
      <c r="H570" s="4">
        <v>0.0</v>
      </c>
      <c r="I570" s="4">
        <v>0.0</v>
      </c>
      <c r="J570" s="4">
        <v>0.0</v>
      </c>
      <c r="K570" s="4">
        <v>0.0</v>
      </c>
      <c r="L570" s="5">
        <v>0.0</v>
      </c>
      <c r="M570" s="5">
        <v>0.0</v>
      </c>
      <c r="N570" s="4">
        <v>9629.0</v>
      </c>
      <c r="O570" s="4">
        <v>9445.0</v>
      </c>
      <c r="P570" s="4">
        <v>2129.0</v>
      </c>
      <c r="Q570" s="4">
        <v>63.0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 t="s">
        <v>8</v>
      </c>
      <c r="AE570" s="6" t="s">
        <v>9</v>
      </c>
    </row>
    <row r="571" ht="16.5" customHeight="1">
      <c r="A571" s="2" t="str">
        <f>IFERROR(__xludf.DUMMYFUNCTION("""COMPUTED_VALUE"""),"3022-MAYVINVC")</f>
        <v>3022-MAYVINVC</v>
      </c>
      <c r="B571" s="2" t="str">
        <f>IFERROR(__xludf.DUMMYFUNCTION("""COMPUTED_VALUE"""),"Más servicios en tu barrio 22/5 Villa Santa Rita")</f>
        <v>Más servicios en tu barrio 22/5 Villa Santa Rita</v>
      </c>
      <c r="C571" s="3">
        <f>IFERROR(__xludf.DUMMYFUNCTION("""COMPUTED_VALUE"""),46162.0)</f>
        <v>46162</v>
      </c>
      <c r="D571" s="3">
        <f>IFERROR(__xludf.DUMMYFUNCTION("""COMPUTED_VALUE"""),46162.0)</f>
        <v>46162</v>
      </c>
      <c r="E571" s="2" t="str">
        <f>IFERROR(__xludf.DUMMYFUNCTION("""COMPUTED_VALUE"""),"M2")</f>
        <v>M2</v>
      </c>
      <c r="F571" s="2" t="str">
        <f>IFERROR(__xludf.DUMMYFUNCTION("""COMPUTED_VALUE"""),"Vínculo Ciudadano")</f>
        <v>Vínculo Ciudadano</v>
      </c>
      <c r="G571" s="2" t="str">
        <f>IFERROR(__xludf.DUMMYFUNCTION("""COMPUTED_VALUE"""),"Finalizada")</f>
        <v>Finalizada</v>
      </c>
      <c r="H571" s="4">
        <v>0.0</v>
      </c>
      <c r="I571" s="4">
        <v>0.0</v>
      </c>
      <c r="J571" s="4">
        <v>0.0</v>
      </c>
      <c r="K571" s="4">
        <v>0.0</v>
      </c>
      <c r="L571" s="5">
        <v>0.0</v>
      </c>
      <c r="M571" s="5">
        <v>0.0</v>
      </c>
      <c r="N571" s="4">
        <v>15808.0</v>
      </c>
      <c r="O571" s="4">
        <v>15627.0</v>
      </c>
      <c r="P571" s="4">
        <v>5301.0</v>
      </c>
      <c r="Q571" s="4">
        <v>322.0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 t="s">
        <v>8</v>
      </c>
      <c r="AE571" s="6" t="s">
        <v>9</v>
      </c>
    </row>
    <row r="572" ht="16.5" customHeight="1">
      <c r="A572" s="2" t="str">
        <f>IFERROR(__xludf.DUMMYFUNCTION("""COMPUTED_VALUE"""),"3023-MAYVINVC")</f>
        <v>3023-MAYVINVC</v>
      </c>
      <c r="B572" s="2" t="str">
        <f>IFERROR(__xludf.DUMMYFUNCTION("""COMPUTED_VALUE"""),"Más servicios en tu barrio 23/5 San Cristobal")</f>
        <v>Más servicios en tu barrio 23/5 San Cristobal</v>
      </c>
      <c r="C572" s="3">
        <f>IFERROR(__xludf.DUMMYFUNCTION("""COMPUTED_VALUE"""),46160.0)</f>
        <v>46160</v>
      </c>
      <c r="D572" s="3">
        <f>IFERROR(__xludf.DUMMYFUNCTION("""COMPUTED_VALUE"""),46160.0)</f>
        <v>46160</v>
      </c>
      <c r="E572" s="2" t="str">
        <f>IFERROR(__xludf.DUMMYFUNCTION("""COMPUTED_VALUE"""),"M2")</f>
        <v>M2</v>
      </c>
      <c r="F572" s="2" t="str">
        <f>IFERROR(__xludf.DUMMYFUNCTION("""COMPUTED_VALUE"""),"Vínculo Ciudadano")</f>
        <v>Vínculo Ciudadano</v>
      </c>
      <c r="G572" s="2" t="str">
        <f>IFERROR(__xludf.DUMMYFUNCTION("""COMPUTED_VALUE"""),"Finalizada")</f>
        <v>Finalizada</v>
      </c>
      <c r="H572" s="4">
        <v>0.0</v>
      </c>
      <c r="I572" s="4">
        <v>0.0</v>
      </c>
      <c r="J572" s="4">
        <v>0.0</v>
      </c>
      <c r="K572" s="4">
        <v>0.0</v>
      </c>
      <c r="L572" s="5">
        <v>0.0</v>
      </c>
      <c r="M572" s="5">
        <v>0.0</v>
      </c>
      <c r="N572" s="4">
        <v>20723.0</v>
      </c>
      <c r="O572" s="4">
        <v>20473.0</v>
      </c>
      <c r="P572" s="4">
        <v>6662.0</v>
      </c>
      <c r="Q572" s="4">
        <v>360.0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 t="s">
        <v>8</v>
      </c>
      <c r="AE572" s="6" t="s">
        <v>9</v>
      </c>
    </row>
    <row r="573" ht="16.5" customHeight="1">
      <c r="A573" s="2" t="str">
        <f>IFERROR(__xludf.DUMMYFUNCTION("""COMPUTED_VALUE"""),"3024-MAYINFGJ")</f>
        <v>3024-MAYINFGJ</v>
      </c>
      <c r="B573" s="2" t="str">
        <f>IFERROR(__xludf.DUMMYFUNCTION("""COMPUTED_VALUE"""),"INFRAESTRUCTURA | RECAP OBRAS CABA")</f>
        <v>INFRAESTRUCTURA | RECAP OBRAS CABA</v>
      </c>
      <c r="C573" s="3">
        <f>IFERROR(__xludf.DUMMYFUNCTION("""COMPUTED_VALUE"""),46162.0)</f>
        <v>46162</v>
      </c>
      <c r="D573" s="3">
        <f>IFERROR(__xludf.DUMMYFUNCTION("""COMPUTED_VALUE"""),46218.0)</f>
        <v>46218</v>
      </c>
      <c r="E573" s="2" t="str">
        <f>IFERROR(__xludf.DUMMYFUNCTION("""COMPUTED_VALUE"""),"Movilidad")</f>
        <v>Movilidad</v>
      </c>
      <c r="F573" s="2" t="str">
        <f>IFERROR(__xludf.DUMMYFUNCTION("""COMPUTED_VALUE"""),"Infraestructura")</f>
        <v>Infraestructura</v>
      </c>
      <c r="G573" s="2" t="str">
        <f>IFERROR(__xludf.DUMMYFUNCTION("""COMPUTED_VALUE"""),"Finalizada")</f>
        <v>Finalizada</v>
      </c>
      <c r="H573" s="4">
        <v>3.4442214E7</v>
      </c>
      <c r="I573" s="4">
        <v>1.2431004E7</v>
      </c>
      <c r="J573" s="4">
        <v>29060.0</v>
      </c>
      <c r="K573" s="4">
        <v>1910847.0</v>
      </c>
      <c r="L573" s="5">
        <v>4.649639662411485</v>
      </c>
      <c r="M573" s="5">
        <v>18.024579675923817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6" t="s">
        <v>198</v>
      </c>
      <c r="AE573" s="4" t="s">
        <v>8</v>
      </c>
    </row>
    <row r="574" ht="16.5" customHeight="1">
      <c r="A574" s="2" t="str">
        <f>IFERROR(__xludf.DUMMYFUNCTION("""COMPUTED_VALUE"""),"3025-MAYDIGCG")</f>
        <v>3025-MAYDIGCG</v>
      </c>
      <c r="B574" s="2" t="str">
        <f>IFERROR(__xludf.DUMMYFUNCTION("""COMPUTED_VALUE"""),"CONTENIDO ADICIONAL |  Innovacion Digital | Centro de Simulación")</f>
        <v>CONTENIDO ADICIONAL |  Innovacion Digital | Centro de Simulación</v>
      </c>
      <c r="C574" s="3">
        <f>IFERROR(__xludf.DUMMYFUNCTION("""COMPUTED_VALUE"""),46154.0)</f>
        <v>46154</v>
      </c>
      <c r="D574" s="3">
        <f>IFERROR(__xludf.DUMMYFUNCTION("""COMPUTED_VALUE"""),46168.0)</f>
        <v>46168</v>
      </c>
      <c r="E574" s="2" t="str">
        <f>IFERROR(__xludf.DUMMYFUNCTION("""COMPUTED_VALUE"""),"Reforma del Estado")</f>
        <v>Reforma del Estado</v>
      </c>
      <c r="F574" s="2" t="str">
        <f>IFERROR(__xludf.DUMMYFUNCTION("""COMPUTED_VALUE"""),"Innovación Digital")</f>
        <v>Innovación Digital</v>
      </c>
      <c r="G574" s="2" t="str">
        <f>IFERROR(__xludf.DUMMYFUNCTION("""COMPUTED_VALUE"""),"Finalizada")</f>
        <v>Finalizada</v>
      </c>
      <c r="H574" s="4">
        <v>1991889.0</v>
      </c>
      <c r="I574" s="4">
        <v>504200.0</v>
      </c>
      <c r="J574" s="4">
        <v>1855.0</v>
      </c>
      <c r="K574" s="4">
        <v>220397.0</v>
      </c>
      <c r="L574" s="5">
        <v>2.153545647173056</v>
      </c>
      <c r="M574" s="5">
        <v>9.03773191105142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0.0</v>
      </c>
      <c r="AB574" s="4">
        <v>0.0</v>
      </c>
      <c r="AC574" s="4">
        <v>0.0</v>
      </c>
      <c r="AD574" s="6" t="s">
        <v>199</v>
      </c>
      <c r="AE574" s="4" t="s">
        <v>8</v>
      </c>
    </row>
    <row r="575" ht="16.5" customHeight="1">
      <c r="A575" s="2" t="str">
        <f>IFERROR(__xludf.DUMMYFUNCTION("""COMPUTED_VALUE"""),"3026-MAYPCCVC")</f>
        <v>3026-MAYPCCVC</v>
      </c>
      <c r="B575" s="2" t="str">
        <f>IFERROR(__xludf.DUMMYFUNCTION("""COMPUTED_VALUE"""),"Opinión Ciudadana: Nombre del barrio VIlla Riachuelo")</f>
        <v>Opinión Ciudadana: Nombre del barrio VIlla Riachuelo</v>
      </c>
      <c r="C575" s="3">
        <f>IFERROR(__xludf.DUMMYFUNCTION("""COMPUTED_VALUE"""),46168.0)</f>
        <v>46168</v>
      </c>
      <c r="D575" s="3">
        <f>IFERROR(__xludf.DUMMYFUNCTION("""COMPUTED_VALUE"""),46171.0)</f>
        <v>46171</v>
      </c>
      <c r="E575" s="2" t="str">
        <f>IFERROR(__xludf.DUMMYFUNCTION("""COMPUTED_VALUE"""),"Cercanía")</f>
        <v>Cercanía</v>
      </c>
      <c r="F575" s="2" t="str">
        <f>IFERROR(__xludf.DUMMYFUNCTION("""COMPUTED_VALUE"""),"Cercanía y PC")</f>
        <v>Cercanía y PC</v>
      </c>
      <c r="G575" s="2" t="str">
        <f>IFERROR(__xludf.DUMMYFUNCTION("""COMPUTED_VALUE"""),"Finalizada")</f>
        <v>Finalizada</v>
      </c>
      <c r="H575" s="4">
        <v>0.0</v>
      </c>
      <c r="I575" s="4">
        <v>0.0</v>
      </c>
      <c r="J575" s="4">
        <v>0.0</v>
      </c>
      <c r="K575" s="4">
        <v>0.0</v>
      </c>
      <c r="L575" s="5">
        <v>0.0</v>
      </c>
      <c r="M575" s="5">
        <v>0.0</v>
      </c>
      <c r="N575" s="4">
        <v>13364.0</v>
      </c>
      <c r="O575" s="4">
        <v>13124.0</v>
      </c>
      <c r="P575" s="4">
        <v>2747.0</v>
      </c>
      <c r="Q575" s="4">
        <v>510.0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 t="s">
        <v>8</v>
      </c>
      <c r="AE575" s="6" t="s">
        <v>9</v>
      </c>
    </row>
    <row r="576" ht="16.5" customHeight="1">
      <c r="A576" s="2" t="str">
        <f>IFERROR(__xludf.DUMMYFUNCTION("""COMPUTED_VALUE"""),"3027-MAYINFGC")</f>
        <v>3027-MAYINFGC</v>
      </c>
      <c r="B576" s="2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C576" s="3">
        <f>IFERROR(__xludf.DUMMYFUNCTION("""COMPUTED_VALUE"""),46169.0)</f>
        <v>46169</v>
      </c>
      <c r="D576" s="3">
        <f>IFERROR(__xludf.DUMMYFUNCTION("""COMPUTED_VALUE"""),46179.0)</f>
        <v>46179</v>
      </c>
      <c r="E576" s="2" t="str">
        <f>IFERROR(__xludf.DUMMYFUNCTION("""COMPUTED_VALUE"""),"Movilidad")</f>
        <v>Movilidad</v>
      </c>
      <c r="F576" s="2" t="str">
        <f>IFERROR(__xludf.DUMMYFUNCTION("""COMPUTED_VALUE"""),"Infraestructura")</f>
        <v>Infraestructura</v>
      </c>
      <c r="G576" s="2" t="str">
        <f>IFERROR(__xludf.DUMMYFUNCTION("""COMPUTED_VALUE"""),"Finalizada")</f>
        <v>Finalizada</v>
      </c>
      <c r="H576" s="4">
        <v>87186.0</v>
      </c>
      <c r="I576" s="4">
        <v>0.0</v>
      </c>
      <c r="J576" s="4">
        <v>1238.0</v>
      </c>
      <c r="K576" s="4">
        <v>42193.0</v>
      </c>
      <c r="L576" s="5">
        <v>2.066361718768516</v>
      </c>
      <c r="M576" s="5">
        <v>2.066361718768516</v>
      </c>
      <c r="N576" s="4">
        <v>99151.0</v>
      </c>
      <c r="O576" s="4">
        <v>98289.0</v>
      </c>
      <c r="P576" s="4">
        <v>38873.0</v>
      </c>
      <c r="Q576" s="4">
        <v>901.0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6" t="s">
        <v>200</v>
      </c>
      <c r="AE576" s="6" t="s">
        <v>9</v>
      </c>
    </row>
    <row r="577" ht="16.5" customHeight="1">
      <c r="A577" s="2" t="str">
        <f>IFERROR(__xludf.DUMMYFUNCTION("""COMPUTED_VALUE"""),"3028-MAYFESGC")</f>
        <v>3028-MAYFESGC</v>
      </c>
      <c r="B577" s="2" t="str">
        <f>IFERROR(__xludf.DUMMYFUNCTION("""COMPUTED_VALUE"""),"BA Celebra Europa")</f>
        <v>BA Celebra Europa</v>
      </c>
      <c r="C577" s="3">
        <f>IFERROR(__xludf.DUMMYFUNCTION("""COMPUTED_VALUE"""),46156.0)</f>
        <v>46156</v>
      </c>
      <c r="D577" s="3">
        <f>IFERROR(__xludf.DUMMYFUNCTION("""COMPUTED_VALUE"""),46159.0)</f>
        <v>46159</v>
      </c>
      <c r="E577" s="2" t="str">
        <f>IFERROR(__xludf.DUMMYFUNCTION("""COMPUTED_VALUE"""),"Ciudad Atractiva")</f>
        <v>Ciudad Atractiva</v>
      </c>
      <c r="F577" s="2" t="str">
        <f>IFERROR(__xludf.DUMMYFUNCTION("""COMPUTED_VALUE"""),"Festivales y Eventos")</f>
        <v>Festivales y Eventos</v>
      </c>
      <c r="G577" s="2" t="str">
        <f>IFERROR(__xludf.DUMMYFUNCTION("""COMPUTED_VALUE"""),"Finalizada")</f>
        <v>Finalizada</v>
      </c>
      <c r="H577" s="4">
        <v>677263.0</v>
      </c>
      <c r="I577" s="4">
        <v>0.0</v>
      </c>
      <c r="J577" s="4">
        <v>24964.0</v>
      </c>
      <c r="K577" s="4">
        <v>38945.0</v>
      </c>
      <c r="L577" s="5">
        <v>4.4038002310951345</v>
      </c>
      <c r="M577" s="5">
        <v>17.390242649890872</v>
      </c>
      <c r="N577" s="4">
        <v>113388.0</v>
      </c>
      <c r="O577" s="4">
        <v>112052.0</v>
      </c>
      <c r="P577" s="4">
        <v>43563.0</v>
      </c>
      <c r="Q577" s="4">
        <v>2546.0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6" t="s">
        <v>201</v>
      </c>
      <c r="AE577" s="6" t="s">
        <v>9</v>
      </c>
    </row>
    <row r="578" ht="16.5" customHeight="1">
      <c r="A578" s="2" t="str">
        <f>IFERROR(__xludf.DUMMYFUNCTION("""COMPUTED_VALUE"""),"3029-MAYSEGGJ")</f>
        <v>3029-MAYSEGGJ</v>
      </c>
      <c r="B578" s="2" t="str">
        <f>IFERROR(__xludf.DUMMYFUNCTION("""COMPUTED_VALUE""")," Seguridad I Desmantelamiento búnker en la Villa 31")</f>
        <v> Seguridad I Desmantelamiento búnker en la Villa 31</v>
      </c>
      <c r="C578" s="3">
        <f>IFERROR(__xludf.DUMMYFUNCTION("""COMPUTED_VALUE"""),46157.0)</f>
        <v>46157</v>
      </c>
      <c r="D578" s="3">
        <f>IFERROR(__xludf.DUMMYFUNCTION("""COMPUTED_VALUE"""),46171.0)</f>
        <v>46171</v>
      </c>
      <c r="E578" s="2" t="str">
        <f>IFERROR(__xludf.DUMMYFUNCTION("""COMPUTED_VALUE"""),"M2")</f>
        <v>M2</v>
      </c>
      <c r="F578" s="2" t="str">
        <f>IFERROR(__xludf.DUMMYFUNCTION("""COMPUTED_VALUE"""),"Seguridad")</f>
        <v>Seguridad</v>
      </c>
      <c r="G578" s="2" t="str">
        <f>IFERROR(__xludf.DUMMYFUNCTION("""COMPUTED_VALUE"""),"Finalizada")</f>
        <v>Finalizada</v>
      </c>
      <c r="H578" s="4">
        <v>4109332.0</v>
      </c>
      <c r="I578" s="4">
        <v>2456507.0</v>
      </c>
      <c r="J578" s="4">
        <v>3175.0</v>
      </c>
      <c r="K578" s="4">
        <v>398144.0</v>
      </c>
      <c r="L578" s="5">
        <v>1.7784670872850024</v>
      </c>
      <c r="M578" s="5">
        <v>10.321220462948078</v>
      </c>
      <c r="N578" s="4">
        <v>208197.0</v>
      </c>
      <c r="O578" s="4">
        <v>207588.0</v>
      </c>
      <c r="P578" s="4">
        <v>73121.0</v>
      </c>
      <c r="Q578" s="4">
        <v>410.0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6" t="s">
        <v>202</v>
      </c>
      <c r="AE578" s="6" t="s">
        <v>9</v>
      </c>
    </row>
    <row r="579" ht="16.5" customHeight="1">
      <c r="A579" s="2" t="str">
        <f>IFERROR(__xludf.DUMMYFUNCTION("""COMPUTED_VALUE"""),"3030-MAYTURGC")</f>
        <v>3030-MAYTURGC</v>
      </c>
      <c r="B579" s="2" t="str">
        <f>IFERROR(__xludf.DUMMYFUNCTION("""COMPUTED_VALUE"""),"Informe mensual Observatorio Turismo 15/5")</f>
        <v>Informe mensual Observatorio Turismo 15/5</v>
      </c>
      <c r="C579" s="3">
        <f>IFERROR(__xludf.DUMMYFUNCTION("""COMPUTED_VALUE"""),46157.0)</f>
        <v>46157</v>
      </c>
      <c r="D579" s="3">
        <f>IFERROR(__xludf.DUMMYFUNCTION("""COMPUTED_VALUE"""),46192.0)</f>
        <v>46192</v>
      </c>
      <c r="E579" s="2" t="str">
        <f>IFERROR(__xludf.DUMMYFUNCTION("""COMPUTED_VALUE"""),"Ciudad Atractiva")</f>
        <v>Ciudad Atractiva</v>
      </c>
      <c r="F579" s="2" t="str">
        <f>IFERROR(__xludf.DUMMYFUNCTION("""COMPUTED_VALUE"""),"Turismo")</f>
        <v>Turismo</v>
      </c>
      <c r="G579" s="2" t="str">
        <f>IFERROR(__xludf.DUMMYFUNCTION("""COMPUTED_VALUE"""),"Finalizada")</f>
        <v>Finalizada</v>
      </c>
      <c r="H579" s="4">
        <v>0.0</v>
      </c>
      <c r="I579" s="4">
        <v>0.0</v>
      </c>
      <c r="J579" s="4">
        <v>0.0</v>
      </c>
      <c r="K579" s="4">
        <v>0.0</v>
      </c>
      <c r="L579" s="5">
        <v>0.0</v>
      </c>
      <c r="M579" s="5">
        <v>0.0</v>
      </c>
      <c r="N579" s="4">
        <v>661.0</v>
      </c>
      <c r="O579" s="4">
        <v>645.0</v>
      </c>
      <c r="P579" s="4">
        <v>259.0</v>
      </c>
      <c r="Q579" s="4">
        <v>21.0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 t="s">
        <v>8</v>
      </c>
      <c r="AE579" s="6" t="s">
        <v>9</v>
      </c>
    </row>
    <row r="580" ht="16.5" customHeight="1">
      <c r="A580" s="2" t="str">
        <f>IFERROR(__xludf.DUMMYFUNCTION("""COMPUTED_VALUE"""),"3034-MAYJDGAG")</f>
        <v>3034-MAYJDGAG</v>
      </c>
      <c r="B580" s="2" t="str">
        <f>IFERROR(__xludf.DUMMYFUNCTION("""COMPUTED_VALUE"""),"RDV JM TEMÁTICA | TE CUENTO BS AS 21/05 MOVILIDAD EJE OESTE")</f>
        <v>RDV JM TEMÁTICA | TE CUENTO BS AS 21/05 MOVILIDAD EJE OESTE</v>
      </c>
      <c r="C580" s="3">
        <f>IFERROR(__xludf.DUMMYFUNCTION("""COMPUTED_VALUE"""),46157.0)</f>
        <v>46157</v>
      </c>
      <c r="D580" s="3">
        <f>IFERROR(__xludf.DUMMYFUNCTION("""COMPUTED_VALUE"""),46186.0)</f>
        <v>46186</v>
      </c>
      <c r="E580" s="2" t="str">
        <f>IFERROR(__xludf.DUMMYFUNCTION("""COMPUTED_VALUE"""),"Cercanía")</f>
        <v>Cercanía</v>
      </c>
      <c r="F580" s="2" t="str">
        <f>IFERROR(__xludf.DUMMYFUNCTION("""COMPUTED_VALUE"""),"Jefatura de Gobierno")</f>
        <v>Jefatura de Gobierno</v>
      </c>
      <c r="G580" s="2" t="str">
        <f>IFERROR(__xludf.DUMMYFUNCTION("""COMPUTED_VALUE"""),"Finalizada")</f>
        <v>Finalizada</v>
      </c>
      <c r="H580" s="4">
        <v>4417753.0</v>
      </c>
      <c r="I580" s="4">
        <v>1540950.0</v>
      </c>
      <c r="J580" s="4">
        <v>39627.0</v>
      </c>
      <c r="K580" s="4">
        <v>81450.0</v>
      </c>
      <c r="L580" s="5">
        <v>6.148839779005525</v>
      </c>
      <c r="M580" s="5">
        <v>54.2388336402701</v>
      </c>
      <c r="N580" s="4">
        <v>372500.0</v>
      </c>
      <c r="O580" s="4">
        <v>368241.0</v>
      </c>
      <c r="P580" s="4">
        <v>53890.0</v>
      </c>
      <c r="Q580" s="4">
        <v>1245.0</v>
      </c>
      <c r="R580" s="4">
        <v>11526.0</v>
      </c>
      <c r="S580" s="4">
        <v>11526.0</v>
      </c>
      <c r="T580" s="4">
        <v>3331.0</v>
      </c>
      <c r="U580" s="4">
        <v>2557.0</v>
      </c>
      <c r="V580" s="4">
        <v>60079.0</v>
      </c>
      <c r="W580" s="4">
        <v>60079.0</v>
      </c>
      <c r="X580" s="4">
        <v>56659.0</v>
      </c>
      <c r="Y580" s="4">
        <v>19613.0</v>
      </c>
      <c r="Z580" s="4">
        <v>287.0</v>
      </c>
      <c r="AA580" s="4">
        <v>0.0</v>
      </c>
      <c r="AB580" s="4">
        <v>0.0</v>
      </c>
      <c r="AC580" s="4">
        <v>0.0</v>
      </c>
      <c r="AD580" s="6" t="s">
        <v>203</v>
      </c>
      <c r="AE580" s="6" t="s">
        <v>9</v>
      </c>
    </row>
    <row r="581" ht="16.5" customHeight="1">
      <c r="A581" s="2" t="str">
        <f>IFERROR(__xludf.DUMMYFUNCTION("""COMPUTED_VALUE"""),"3035-MAYJDGAG")</f>
        <v>3035-MAYJDGAG</v>
      </c>
      <c r="B581" s="2" t="str">
        <f>IFERROR(__xludf.DUMMYFUNCTION("""COMPUTED_VALUE"""),"1 A 1 JM | Comuna 4 22/05")</f>
        <v>1 A 1 JM | Comuna 4 22/05</v>
      </c>
      <c r="C581" s="3">
        <f>IFERROR(__xludf.DUMMYFUNCTION("""COMPUTED_VALUE"""),46156.0)</f>
        <v>46156</v>
      </c>
      <c r="D581" s="3">
        <f>IFERROR(__xludf.DUMMYFUNCTION("""COMPUTED_VALUE"""),46179.0)</f>
        <v>46179</v>
      </c>
      <c r="E581" s="2" t="str">
        <f>IFERROR(__xludf.DUMMYFUNCTION("""COMPUTED_VALUE"""),"Cercanía")</f>
        <v>Cercanía</v>
      </c>
      <c r="F581" s="2" t="str">
        <f>IFERROR(__xludf.DUMMYFUNCTION("""COMPUTED_VALUE"""),"Jefatura de Gobierno")</f>
        <v>Jefatura de Gobierno</v>
      </c>
      <c r="G581" s="2" t="str">
        <f>IFERROR(__xludf.DUMMYFUNCTION("""COMPUTED_VALUE"""),"Finalizada")</f>
        <v>Finalizada</v>
      </c>
      <c r="H581" s="4">
        <v>2322536.0</v>
      </c>
      <c r="I581" s="4">
        <v>1098894.0</v>
      </c>
      <c r="J581" s="4">
        <v>3757.0</v>
      </c>
      <c r="K581" s="4">
        <v>10008.0</v>
      </c>
      <c r="L581" s="5">
        <v>30.264288569144686</v>
      </c>
      <c r="M581" s="5">
        <v>232.06794564348522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6" t="s">
        <v>204</v>
      </c>
      <c r="AE581" s="4" t="s">
        <v>8</v>
      </c>
    </row>
    <row r="582" ht="16.5" customHeight="1">
      <c r="A582" s="2" t="str">
        <f>IFERROR(__xludf.DUMMYFUNCTION("""COMPUTED_VALUE"""),"3037-MAYSALVC")</f>
        <v>3037-MAYSALVC</v>
      </c>
      <c r="B582" s="2" t="str">
        <f>IFERROR(__xludf.DUMMYFUNCTION("""COMPUTED_VALUE"""),"RDV Ministros | Fernán Quirós - 19/5 - Comuna 3")</f>
        <v>RDV Ministros | Fernán Quirós - 19/5 - Comuna 3</v>
      </c>
      <c r="C582" s="3">
        <f>IFERROR(__xludf.DUMMYFUNCTION("""COMPUTED_VALUE"""),46156.0)</f>
        <v>46156</v>
      </c>
      <c r="D582" s="3">
        <f>IFERROR(__xludf.DUMMYFUNCTION("""COMPUTED_VALUE"""),46171.0)</f>
        <v>46171</v>
      </c>
      <c r="E582" s="2" t="str">
        <f>IFERROR(__xludf.DUMMYFUNCTION("""COMPUTED_VALUE"""),"Cercanía")</f>
        <v>Cercanía</v>
      </c>
      <c r="F582" s="2" t="str">
        <f>IFERROR(__xludf.DUMMYFUNCTION("""COMPUTED_VALUE"""),"Salud")</f>
        <v>Salud</v>
      </c>
      <c r="G582" s="2" t="str">
        <f>IFERROR(__xludf.DUMMYFUNCTION("""COMPUTED_VALUE"""),"Finalizada")</f>
        <v>Finalizada</v>
      </c>
      <c r="H582" s="4">
        <v>339735.0</v>
      </c>
      <c r="I582" s="4">
        <v>0.0</v>
      </c>
      <c r="J582" s="4">
        <v>479.0</v>
      </c>
      <c r="K582" s="4">
        <v>274952.0</v>
      </c>
      <c r="L582" s="5">
        <v>1.2356156710989554</v>
      </c>
      <c r="M582" s="5">
        <v>1.2356156710989554</v>
      </c>
      <c r="N582" s="4">
        <v>66371.0</v>
      </c>
      <c r="O582" s="4">
        <v>65519.0</v>
      </c>
      <c r="P582" s="4">
        <v>9378.0</v>
      </c>
      <c r="Q582" s="4">
        <v>296.0</v>
      </c>
      <c r="R582" s="4">
        <v>224.0</v>
      </c>
      <c r="S582" s="4">
        <v>224.0</v>
      </c>
      <c r="T582" s="4">
        <v>58.0</v>
      </c>
      <c r="U582" s="4">
        <v>56.0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/>
      <c r="AE582" s="6" t="s">
        <v>9</v>
      </c>
    </row>
    <row r="583" ht="16.5" customHeight="1">
      <c r="A583" s="2" t="str">
        <f>IFERROR(__xludf.DUMMYFUNCTION("""COMPUTED_VALUE"""),"3038-MAYJDGVC")</f>
        <v>3038-MAYJDGVC</v>
      </c>
      <c r="B583" s="2" t="str">
        <f>IFERROR(__xludf.DUMMYFUNCTION("""COMPUTED_VALUE"""),"RDV Ministros | Gabriel Sánchez Zinny - 19/5 - Recoleta")</f>
        <v>RDV Ministros | Gabriel Sánchez Zinny - 19/5 - Recoleta</v>
      </c>
      <c r="C583" s="3">
        <f>IFERROR(__xludf.DUMMYFUNCTION("""COMPUTED_VALUE"""),46156.0)</f>
        <v>46156</v>
      </c>
      <c r="D583" s="3">
        <f>IFERROR(__xludf.DUMMYFUNCTION("""COMPUTED_VALUE"""),46163.0)</f>
        <v>46163</v>
      </c>
      <c r="E583" s="2" t="str">
        <f>IFERROR(__xludf.DUMMYFUNCTION("""COMPUTED_VALUE"""),"Cercanía")</f>
        <v>Cercanía</v>
      </c>
      <c r="F583" s="2" t="str">
        <f>IFERROR(__xludf.DUMMYFUNCTION("""COMPUTED_VALUE"""),"Jefatura de Gabinete")</f>
        <v>Jefatura de Gabinete</v>
      </c>
      <c r="G583" s="2" t="str">
        <f>IFERROR(__xludf.DUMMYFUNCTION("""COMPUTED_VALUE"""),"Finalizada")</f>
        <v>Finalizada</v>
      </c>
      <c r="H583" s="4">
        <v>222274.0</v>
      </c>
      <c r="I583" s="4">
        <v>0.0</v>
      </c>
      <c r="J583" s="4">
        <v>211.0</v>
      </c>
      <c r="K583" s="4">
        <v>162514.0</v>
      </c>
      <c r="L583" s="5">
        <v>1.3677221654749745</v>
      </c>
      <c r="M583" s="5">
        <v>1.3677221654749745</v>
      </c>
      <c r="N583" s="4">
        <v>59646.0</v>
      </c>
      <c r="O583" s="4">
        <v>59058.0</v>
      </c>
      <c r="P583" s="4">
        <v>15259.0</v>
      </c>
      <c r="Q583" s="4">
        <v>317.0</v>
      </c>
      <c r="R583" s="4">
        <v>159.0</v>
      </c>
      <c r="S583" s="4">
        <v>158.0</v>
      </c>
      <c r="T583" s="4">
        <v>38.0</v>
      </c>
      <c r="U583" s="4">
        <v>37.0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/>
      <c r="AE583" s="6" t="s">
        <v>9</v>
      </c>
    </row>
    <row r="584" ht="16.5" customHeight="1">
      <c r="A584" s="2" t="str">
        <f>IFERROR(__xludf.DUMMYFUNCTION("""COMPUTED_VALUE"""),"3039-MAYJDGVC")</f>
        <v>3039-MAYJDGVC</v>
      </c>
      <c r="B584" s="2" t="str">
        <f>IFERROR(__xludf.DUMMYFUNCTION("""COMPUTED_VALUE"""),"RDV Ministros | Gabriel Sánchéz Zinny - 22/5 - Villa Urquiza")</f>
        <v>RDV Ministros | Gabriel Sánchéz Zinny - 22/5 - Villa Urquiza</v>
      </c>
      <c r="C584" s="3">
        <f>IFERROR(__xludf.DUMMYFUNCTION("""COMPUTED_VALUE"""),46161.0)</f>
        <v>46161</v>
      </c>
      <c r="D584" s="3">
        <f>IFERROR(__xludf.DUMMYFUNCTION("""COMPUTED_VALUE"""),46165.0)</f>
        <v>46165</v>
      </c>
      <c r="E584" s="2" t="str">
        <f>IFERROR(__xludf.DUMMYFUNCTION("""COMPUTED_VALUE"""),"Cercanía")</f>
        <v>Cercanía</v>
      </c>
      <c r="F584" s="2" t="str">
        <f>IFERROR(__xludf.DUMMYFUNCTION("""COMPUTED_VALUE"""),"Jefatura de Gabinete")</f>
        <v>Jefatura de Gabinete</v>
      </c>
      <c r="G584" s="2" t="str">
        <f>IFERROR(__xludf.DUMMYFUNCTION("""COMPUTED_VALUE"""),"Finalizada")</f>
        <v>Finalizada</v>
      </c>
      <c r="H584" s="4">
        <v>53018.0</v>
      </c>
      <c r="I584" s="4">
        <v>0.0</v>
      </c>
      <c r="J584" s="4">
        <v>301.0</v>
      </c>
      <c r="K584" s="4">
        <v>33618.0</v>
      </c>
      <c r="L584" s="5">
        <v>1.5770718067701825</v>
      </c>
      <c r="M584" s="5">
        <v>1.5770718067701825</v>
      </c>
      <c r="N584" s="4">
        <v>44082.0</v>
      </c>
      <c r="O584" s="4">
        <v>43648.0</v>
      </c>
      <c r="P584" s="4">
        <v>9901.0</v>
      </c>
      <c r="Q584" s="4">
        <v>248.0</v>
      </c>
      <c r="R584" s="4">
        <v>109.0</v>
      </c>
      <c r="S584" s="4">
        <v>109.0</v>
      </c>
      <c r="T584" s="4">
        <v>37.0</v>
      </c>
      <c r="U584" s="4">
        <v>37.0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/>
      <c r="AE584" s="6" t="s">
        <v>9</v>
      </c>
    </row>
    <row r="585" ht="16.5" customHeight="1">
      <c r="A585" s="2" t="str">
        <f>IFERROR(__xludf.DUMMYFUNCTION("""COMPUTED_VALUE"""),"3040-MAYVINVC")</f>
        <v>3040-MAYVINVC</v>
      </c>
      <c r="B585" s="2" t="str">
        <f>IFERROR(__xludf.DUMMYFUNCTION("""COMPUTED_VALUE"""),"Más servicios en tu barrio 21/5 Nuñez")</f>
        <v>Más servicios en tu barrio 21/5 Nuñez</v>
      </c>
      <c r="C585" s="3">
        <f>IFERROR(__xludf.DUMMYFUNCTION("""COMPUTED_VALUE"""),46160.0)</f>
        <v>46160</v>
      </c>
      <c r="D585" s="3">
        <f>IFERROR(__xludf.DUMMYFUNCTION("""COMPUTED_VALUE"""),46160.0)</f>
        <v>46160</v>
      </c>
      <c r="E585" s="2" t="str">
        <f>IFERROR(__xludf.DUMMYFUNCTION("""COMPUTED_VALUE"""),"M2")</f>
        <v>M2</v>
      </c>
      <c r="F585" s="2" t="str">
        <f>IFERROR(__xludf.DUMMYFUNCTION("""COMPUTED_VALUE"""),"Vínculo Ciudadano")</f>
        <v>Vínculo Ciudadano</v>
      </c>
      <c r="G585" s="2" t="str">
        <f>IFERROR(__xludf.DUMMYFUNCTION("""COMPUTED_VALUE"""),"Finalizada")</f>
        <v>Finalizada</v>
      </c>
      <c r="H585" s="4">
        <v>0.0</v>
      </c>
      <c r="I585" s="4">
        <v>0.0</v>
      </c>
      <c r="J585" s="4">
        <v>0.0</v>
      </c>
      <c r="K585" s="4">
        <v>0.0</v>
      </c>
      <c r="L585" s="5">
        <v>0.0</v>
      </c>
      <c r="M585" s="5">
        <v>0.0</v>
      </c>
      <c r="N585" s="4">
        <v>21557.0</v>
      </c>
      <c r="O585" s="4">
        <v>21351.0</v>
      </c>
      <c r="P585" s="4">
        <v>8409.0</v>
      </c>
      <c r="Q585" s="4">
        <v>265.0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 t="s">
        <v>8</v>
      </c>
      <c r="AE585" s="6" t="s">
        <v>9</v>
      </c>
    </row>
    <row r="586" ht="16.5" customHeight="1">
      <c r="A586" s="2" t="str">
        <f>IFERROR(__xludf.DUMMYFUNCTION("""COMPUTED_VALUE"""),"3041-MAYINFGC")</f>
        <v>3041-MAYINFGC</v>
      </c>
      <c r="B586" s="2" t="str">
        <f>IFERROR(__xludf.DUMMYFUNCTION("""COMPUTED_VALUE""")," INFRAESTRUCTURA | Corte de tránsito por Duatlón")</f>
        <v> INFRAESTRUCTURA | Corte de tránsito por Duatlón</v>
      </c>
      <c r="C586" s="3">
        <f>IFERROR(__xludf.DUMMYFUNCTION("""COMPUTED_VALUE"""),46157.0)</f>
        <v>46157</v>
      </c>
      <c r="D586" s="3">
        <f>IFERROR(__xludf.DUMMYFUNCTION("""COMPUTED_VALUE"""),46159.0)</f>
        <v>46159</v>
      </c>
      <c r="E586" s="2" t="str">
        <f>IFERROR(__xludf.DUMMYFUNCTION("""COMPUTED_VALUE"""),"Movilidad")</f>
        <v>Movilidad</v>
      </c>
      <c r="F586" s="2" t="str">
        <f>IFERROR(__xludf.DUMMYFUNCTION("""COMPUTED_VALUE"""),"Infraestructura")</f>
        <v>Infraestructura</v>
      </c>
      <c r="G586" s="2" t="str">
        <f>IFERROR(__xludf.DUMMYFUNCTION("""COMPUTED_VALUE"""),"Finalizada")</f>
        <v>Finalizada</v>
      </c>
      <c r="H586" s="4">
        <v>70194.0</v>
      </c>
      <c r="I586" s="4">
        <v>0.0</v>
      </c>
      <c r="J586" s="4">
        <v>720.0</v>
      </c>
      <c r="K586" s="4">
        <v>60184.0</v>
      </c>
      <c r="L586" s="5">
        <v>1.1663232752891133</v>
      </c>
      <c r="M586" s="5">
        <v>1.1663232752891133</v>
      </c>
      <c r="N586" s="4">
        <v>37677.0</v>
      </c>
      <c r="O586" s="4">
        <v>37404.0</v>
      </c>
      <c r="P586" s="4">
        <v>12702.0</v>
      </c>
      <c r="Q586" s="4">
        <v>207.0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0.0</v>
      </c>
      <c r="AD586" s="6" t="s">
        <v>205</v>
      </c>
      <c r="AE586" s="6" t="s">
        <v>9</v>
      </c>
    </row>
    <row r="587" ht="16.5" customHeight="1">
      <c r="A587" s="2" t="str">
        <f>IFERROR(__xludf.DUMMYFUNCTION("""COMPUTED_VALUE"""),"3042-MAYINFGC")</f>
        <v>3042-MAYINFGC</v>
      </c>
      <c r="B587" s="2" t="str">
        <f>IFERROR(__xludf.DUMMYFUNCTION("""COMPUTED_VALUE"""),"INFRAESTRUCTURA | Corte de tránsito por BA Celebra Europa")</f>
        <v>INFRAESTRUCTURA | Corte de tránsito por BA Celebra Europa</v>
      </c>
      <c r="C587" s="3">
        <f>IFERROR(__xludf.DUMMYFUNCTION("""COMPUTED_VALUE"""),46157.0)</f>
        <v>46157</v>
      </c>
      <c r="D587" s="3">
        <f>IFERROR(__xludf.DUMMYFUNCTION("""COMPUTED_VALUE"""),46160.0)</f>
        <v>46160</v>
      </c>
      <c r="E587" s="2" t="str">
        <f>IFERROR(__xludf.DUMMYFUNCTION("""COMPUTED_VALUE"""),"Movilidad")</f>
        <v>Movilidad</v>
      </c>
      <c r="F587" s="2" t="str">
        <f>IFERROR(__xludf.DUMMYFUNCTION("""COMPUTED_VALUE"""),"Infraestructura")</f>
        <v>Infraestructura</v>
      </c>
      <c r="G587" s="2" t="str">
        <f>IFERROR(__xludf.DUMMYFUNCTION("""COMPUTED_VALUE"""),"Finalizada")</f>
        <v>Finalizada</v>
      </c>
      <c r="H587" s="4">
        <v>16429.0</v>
      </c>
      <c r="I587" s="4">
        <v>0.0</v>
      </c>
      <c r="J587" s="4">
        <v>285.0</v>
      </c>
      <c r="K587" s="4">
        <v>12092.0</v>
      </c>
      <c r="L587" s="5">
        <v>1.3586668871981475</v>
      </c>
      <c r="M587" s="5">
        <v>1.3586668871981475</v>
      </c>
      <c r="N587" s="4">
        <v>68485.0</v>
      </c>
      <c r="O587" s="4">
        <v>67850.0</v>
      </c>
      <c r="P587" s="4">
        <v>19301.0</v>
      </c>
      <c r="Q587" s="4">
        <v>381.0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  <c r="AD587" s="6" t="s">
        <v>206</v>
      </c>
      <c r="AE587" s="6" t="s">
        <v>9</v>
      </c>
    </row>
    <row r="588" ht="16.5" customHeight="1">
      <c r="A588" s="2" t="str">
        <f>IFERROR(__xludf.DUMMYFUNCTION("""COMPUTED_VALUE"""),"3043-MAYINFGC")</f>
        <v>3043-MAYINFGC</v>
      </c>
      <c r="B588" s="2" t="str">
        <f>IFERROR(__xludf.DUMMYFUNCTION("""COMPUTED_VALUE"""),"INFRAESTRUCTURA I Corte AU Dellepiane por obras hidráulicas")</f>
        <v>INFRAESTRUCTURA I Corte AU Dellepiane por obras hidráulicas</v>
      </c>
      <c r="C588" s="3">
        <f>IFERROR(__xludf.DUMMYFUNCTION("""COMPUTED_VALUE"""),46163.0)</f>
        <v>46163</v>
      </c>
      <c r="D588" s="3">
        <f>IFERROR(__xludf.DUMMYFUNCTION("""COMPUTED_VALUE"""),46177.0)</f>
        <v>46177</v>
      </c>
      <c r="E588" s="2" t="str">
        <f>IFERROR(__xludf.DUMMYFUNCTION("""COMPUTED_VALUE"""),"Movilidad")</f>
        <v>Movilidad</v>
      </c>
      <c r="F588" s="2" t="str">
        <f>IFERROR(__xludf.DUMMYFUNCTION("""COMPUTED_VALUE"""),"Infraestructura")</f>
        <v>Infraestructura</v>
      </c>
      <c r="G588" s="2" t="str">
        <f>IFERROR(__xludf.DUMMYFUNCTION("""COMPUTED_VALUE"""),"Finalizada")</f>
        <v>Finalizada</v>
      </c>
      <c r="H588" s="4">
        <v>0.0</v>
      </c>
      <c r="I588" s="4">
        <v>0.0</v>
      </c>
      <c r="J588" s="4">
        <v>0.0</v>
      </c>
      <c r="K588" s="4">
        <v>0.0</v>
      </c>
      <c r="L588" s="5">
        <v>0.0</v>
      </c>
      <c r="M588" s="5">
        <v>0.0</v>
      </c>
      <c r="N588" s="4">
        <v>102739.0</v>
      </c>
      <c r="O588" s="4">
        <v>102006.0</v>
      </c>
      <c r="P588" s="4">
        <v>33003.0</v>
      </c>
      <c r="Q588" s="4">
        <v>347.0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 t="s">
        <v>8</v>
      </c>
      <c r="AE588" s="6" t="s">
        <v>9</v>
      </c>
    </row>
    <row r="589" ht="16.5" customHeight="1">
      <c r="A589" s="2" t="str">
        <f>IFERROR(__xludf.DUMMYFUNCTION("""COMPUTED_VALUE"""),"3044-MAYDUDGC")</f>
        <v>3044-MAYDUDGC</v>
      </c>
      <c r="B589" s="2" t="str">
        <f>IFERROR(__xludf.DUMMYFUNCTION("""COMPUTED_VALUE"""),"BA Capital Mundial del deporte")</f>
        <v>BA Capital Mundial del deporte</v>
      </c>
      <c r="C589" s="3">
        <f>IFERROR(__xludf.DUMMYFUNCTION("""COMPUTED_VALUE"""),46184.0)</f>
        <v>46184</v>
      </c>
      <c r="D589" s="3">
        <f>IFERROR(__xludf.DUMMYFUNCTION("""COMPUTED_VALUE"""),46222.0)</f>
        <v>46222</v>
      </c>
      <c r="E589" s="2" t="str">
        <f>IFERROR(__xludf.DUMMYFUNCTION("""COMPUTED_VALUE"""),"Ciudad Atractiva")</f>
        <v>Ciudad Atractiva</v>
      </c>
      <c r="F589" s="2" t="str">
        <f>IFERROR(__xludf.DUMMYFUNCTION("""COMPUTED_VALUE"""),"Desarrollo Urbano + Deportes")</f>
        <v>Desarrollo Urbano + Deportes</v>
      </c>
      <c r="G589" s="2" t="str">
        <f>IFERROR(__xludf.DUMMYFUNCTION("""COMPUTED_VALUE"""),"Finalizada")</f>
        <v>Finalizada</v>
      </c>
      <c r="H589" s="4">
        <v>1.8708869E7</v>
      </c>
      <c r="I589" s="4">
        <v>4348895.0</v>
      </c>
      <c r="J589" s="4">
        <v>29425.0</v>
      </c>
      <c r="K589" s="4">
        <v>418390.0</v>
      </c>
      <c r="L589" s="5">
        <v>3.762185998709338</v>
      </c>
      <c r="M589" s="5">
        <v>44.7163388226296</v>
      </c>
      <c r="N589" s="4">
        <v>235256.0</v>
      </c>
      <c r="O589" s="4">
        <v>232624.0</v>
      </c>
      <c r="P589" s="4">
        <v>74245.0</v>
      </c>
      <c r="Q589" s="4">
        <v>1769.0</v>
      </c>
      <c r="R589" s="4">
        <v>0.0</v>
      </c>
      <c r="S589" s="4">
        <v>0.0</v>
      </c>
      <c r="T589" s="4">
        <v>0.0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0.0</v>
      </c>
      <c r="AB589" s="4">
        <v>0.0</v>
      </c>
      <c r="AC589" s="4">
        <v>0.0</v>
      </c>
      <c r="AD589" s="6" t="s">
        <v>207</v>
      </c>
      <c r="AE589" s="6" t="s">
        <v>9</v>
      </c>
    </row>
    <row r="590" ht="16.5" customHeight="1">
      <c r="A590" s="2" t="str">
        <f>IFERROR(__xludf.DUMMYFUNCTION("""COMPUTED_VALUE"""),"3046-MAYSEGVC")</f>
        <v>3046-MAYSEGVC</v>
      </c>
      <c r="B590" s="2" t="str">
        <f>IFERROR(__xludf.DUMMYFUNCTION("""COMPUTED_VALUE"""),"RDV Ministros | Gabino Tapia 21/5 Comuna 10")</f>
        <v>RDV Ministros | Gabino Tapia 21/5 Comuna 10</v>
      </c>
      <c r="C590" s="3">
        <f>IFERROR(__xludf.DUMMYFUNCTION("""COMPUTED_VALUE"""),46160.0)</f>
        <v>46160</v>
      </c>
      <c r="D590" s="3">
        <f>IFERROR(__xludf.DUMMYFUNCTION("""COMPUTED_VALUE"""),46164.0)</f>
        <v>46164</v>
      </c>
      <c r="E590" s="2" t="str">
        <f>IFERROR(__xludf.DUMMYFUNCTION("""COMPUTED_VALUE"""),"Cercanía")</f>
        <v>Cercanía</v>
      </c>
      <c r="F590" s="2" t="str">
        <f>IFERROR(__xludf.DUMMYFUNCTION("""COMPUTED_VALUE"""),"Seguridad")</f>
        <v>Seguridad</v>
      </c>
      <c r="G590" s="2" t="str">
        <f>IFERROR(__xludf.DUMMYFUNCTION("""COMPUTED_VALUE"""),"Finalizada")</f>
        <v>Finalizada</v>
      </c>
      <c r="H590" s="4">
        <v>117543.0</v>
      </c>
      <c r="I590" s="4">
        <v>0.0</v>
      </c>
      <c r="J590" s="4">
        <v>415.0</v>
      </c>
      <c r="K590" s="4">
        <v>80435.0</v>
      </c>
      <c r="L590" s="5">
        <v>1.461341455833903</v>
      </c>
      <c r="M590" s="5">
        <v>1.461341455833903</v>
      </c>
      <c r="N590" s="4">
        <v>68530.0</v>
      </c>
      <c r="O590" s="4">
        <v>67827.0</v>
      </c>
      <c r="P590" s="4">
        <v>11857.0</v>
      </c>
      <c r="Q590" s="4">
        <v>177.0</v>
      </c>
      <c r="R590" s="4">
        <v>78.0</v>
      </c>
      <c r="S590" s="4">
        <v>78.0</v>
      </c>
      <c r="T590" s="4">
        <v>29.0</v>
      </c>
      <c r="U590" s="4">
        <v>28.0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0.0</v>
      </c>
      <c r="AB590" s="4">
        <v>0.0</v>
      </c>
      <c r="AC590" s="4">
        <v>0.0</v>
      </c>
      <c r="AD590" s="4"/>
      <c r="AE590" s="6" t="s">
        <v>9</v>
      </c>
    </row>
    <row r="591" ht="16.5" customHeight="1">
      <c r="A591" s="2" t="str">
        <f>IFERROR(__xludf.DUMMYFUNCTION("""COMPUTED_VALUE"""),"3047-MAYSEGVC")</f>
        <v>3047-MAYSEGVC</v>
      </c>
      <c r="B591" s="2" t="str">
        <f>IFERROR(__xludf.DUMMYFUNCTION("""COMPUTED_VALUE"""),"RDV Ministros | Maximiliano Piñeiro Comuna 11")</f>
        <v>RDV Ministros | Maximiliano Piñeiro Comuna 11</v>
      </c>
      <c r="C591" s="3">
        <f>IFERROR(__xludf.DUMMYFUNCTION("""COMPUTED_VALUE"""),46160.0)</f>
        <v>46160</v>
      </c>
      <c r="D591" s="3">
        <f>IFERROR(__xludf.DUMMYFUNCTION("""COMPUTED_VALUE"""),46164.0)</f>
        <v>46164</v>
      </c>
      <c r="E591" s="2" t="str">
        <f>IFERROR(__xludf.DUMMYFUNCTION("""COMPUTED_VALUE"""),"Cercanía")</f>
        <v>Cercanía</v>
      </c>
      <c r="F591" s="2" t="str">
        <f>IFERROR(__xludf.DUMMYFUNCTION("""COMPUTED_VALUE"""),"Seguridad")</f>
        <v>Seguridad</v>
      </c>
      <c r="G591" s="2" t="str">
        <f>IFERROR(__xludf.DUMMYFUNCTION("""COMPUTED_VALUE"""),"Finalizada")</f>
        <v>Finalizada</v>
      </c>
      <c r="H591" s="4">
        <v>145485.0</v>
      </c>
      <c r="I591" s="4">
        <v>0.0</v>
      </c>
      <c r="J591" s="4">
        <v>513.0</v>
      </c>
      <c r="K591" s="4">
        <v>98176.0</v>
      </c>
      <c r="L591" s="5">
        <v>1.4818794817470664</v>
      </c>
      <c r="M591" s="5">
        <v>1.4818794817470664</v>
      </c>
      <c r="N591" s="4">
        <v>86430.0</v>
      </c>
      <c r="O591" s="4">
        <v>85542.0</v>
      </c>
      <c r="P591" s="4">
        <v>17313.0</v>
      </c>
      <c r="Q591" s="4">
        <v>265.0</v>
      </c>
      <c r="R591" s="4">
        <v>127.0</v>
      </c>
      <c r="S591" s="4">
        <v>127.0</v>
      </c>
      <c r="T591" s="4">
        <v>42.0</v>
      </c>
      <c r="U591" s="4">
        <v>42.0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0.0</v>
      </c>
      <c r="AB591" s="4">
        <v>0.0</v>
      </c>
      <c r="AC591" s="4">
        <v>0.0</v>
      </c>
      <c r="AD591" s="4"/>
      <c r="AE591" s="6" t="s">
        <v>9</v>
      </c>
    </row>
    <row r="592" ht="16.5" customHeight="1">
      <c r="A592" s="2" t="str">
        <f>IFERROR(__xludf.DUMMYFUNCTION("""COMPUTED_VALUE"""),"3048-MAYSEGGJ")</f>
        <v>3048-MAYSEGGJ</v>
      </c>
      <c r="B592" s="2" t="str">
        <f>IFERROR(__xludf.DUMMYFUNCTION("""COMPUTED_VALUE"""),"Desalojo N°100 en Balvanera")</f>
        <v>Desalojo N°100 en Balvanera</v>
      </c>
      <c r="C592" s="3">
        <f>IFERROR(__xludf.DUMMYFUNCTION("""COMPUTED_VALUE"""),46157.0)</f>
        <v>46157</v>
      </c>
      <c r="D592" s="3">
        <f>IFERROR(__xludf.DUMMYFUNCTION("""COMPUTED_VALUE"""),46171.0)</f>
        <v>46171</v>
      </c>
      <c r="E592" s="2" t="str">
        <f>IFERROR(__xludf.DUMMYFUNCTION("""COMPUTED_VALUE"""),"M2")</f>
        <v>M2</v>
      </c>
      <c r="F592" s="2" t="str">
        <f>IFERROR(__xludf.DUMMYFUNCTION("""COMPUTED_VALUE"""),"Seguridad")</f>
        <v>Seguridad</v>
      </c>
      <c r="G592" s="2" t="str">
        <f>IFERROR(__xludf.DUMMYFUNCTION("""COMPUTED_VALUE"""),"Finalizada")</f>
        <v>Finalizada</v>
      </c>
      <c r="H592" s="4">
        <v>4307675.0</v>
      </c>
      <c r="I592" s="4">
        <v>2525750.0</v>
      </c>
      <c r="J592" s="4">
        <v>2812.0</v>
      </c>
      <c r="K592" s="4">
        <v>400345.0</v>
      </c>
      <c r="L592" s="5">
        <v>1.957953764877793</v>
      </c>
      <c r="M592" s="5">
        <v>10.759907080143376</v>
      </c>
      <c r="N592" s="4">
        <v>184357.0</v>
      </c>
      <c r="O592" s="4">
        <v>183123.0</v>
      </c>
      <c r="P592" s="4">
        <v>44406.0</v>
      </c>
      <c r="Q592" s="4">
        <v>909.0</v>
      </c>
      <c r="R592" s="4">
        <v>0.0</v>
      </c>
      <c r="S592" s="4">
        <v>0.0</v>
      </c>
      <c r="T592" s="4">
        <v>0.0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0.0</v>
      </c>
      <c r="AB592" s="4">
        <v>0.0</v>
      </c>
      <c r="AC592" s="4">
        <v>0.0</v>
      </c>
      <c r="AD592" s="6" t="s">
        <v>208</v>
      </c>
      <c r="AE592" s="6" t="s">
        <v>9</v>
      </c>
    </row>
    <row r="593" ht="16.5" customHeight="1">
      <c r="A593" s="2" t="str">
        <f>IFERROR(__xludf.DUMMYFUNCTION("""COMPUTED_VALUE"""),"3049-MAYSEGVC")</f>
        <v>3049-MAYSEGVC</v>
      </c>
      <c r="B593" s="2" t="str">
        <f>IFERROR(__xludf.DUMMYFUNCTION("""COMPUTED_VALUE"""),"RDV MINISTROS SEGURIDAD | RUTH LANDERRECHE 21/5 COMUNA 4")</f>
        <v>RDV MINISTROS SEGURIDAD | RUTH LANDERRECHE 21/5 COMUNA 4</v>
      </c>
      <c r="C593" s="3">
        <f>IFERROR(__xludf.DUMMYFUNCTION("""COMPUTED_VALUE"""),46160.0)</f>
        <v>46160</v>
      </c>
      <c r="D593" s="3">
        <f>IFERROR(__xludf.DUMMYFUNCTION("""COMPUTED_VALUE"""),46168.0)</f>
        <v>46168</v>
      </c>
      <c r="E593" s="2" t="str">
        <f>IFERROR(__xludf.DUMMYFUNCTION("""COMPUTED_VALUE"""),"Cercanía")</f>
        <v>Cercanía</v>
      </c>
      <c r="F593" s="2" t="str">
        <f>IFERROR(__xludf.DUMMYFUNCTION("""COMPUTED_VALUE"""),"Seguridad")</f>
        <v>Seguridad</v>
      </c>
      <c r="G593" s="2" t="str">
        <f>IFERROR(__xludf.DUMMYFUNCTION("""COMPUTED_VALUE"""),"Finalizada")</f>
        <v>Finalizada</v>
      </c>
      <c r="H593" s="4">
        <v>169941.0</v>
      </c>
      <c r="I593" s="4">
        <v>0.0</v>
      </c>
      <c r="J593" s="4">
        <v>593.0</v>
      </c>
      <c r="K593" s="4">
        <v>109391.0</v>
      </c>
      <c r="L593" s="5">
        <v>1.5535190280736075</v>
      </c>
      <c r="M593" s="5">
        <v>1.5535190280736075</v>
      </c>
      <c r="N593" s="4">
        <v>80660.0</v>
      </c>
      <c r="O593" s="4">
        <v>79318.0</v>
      </c>
      <c r="P593" s="4">
        <v>11614.0</v>
      </c>
      <c r="Q593" s="4">
        <v>239.0</v>
      </c>
      <c r="R593" s="4">
        <v>138.0</v>
      </c>
      <c r="S593" s="4">
        <v>138.0</v>
      </c>
      <c r="T593" s="4">
        <v>39.0</v>
      </c>
      <c r="U593" s="4">
        <v>39.0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0.0</v>
      </c>
      <c r="AB593" s="4">
        <v>0.0</v>
      </c>
      <c r="AC593" s="4">
        <v>0.0</v>
      </c>
      <c r="AD593" s="4"/>
      <c r="AE593" s="6" t="s">
        <v>9</v>
      </c>
    </row>
    <row r="594" ht="16.5" customHeight="1">
      <c r="A594" s="2" t="str">
        <f>IFERROR(__xludf.DUMMYFUNCTION("""COMPUTED_VALUE"""),"3050-MAYSEGVC")</f>
        <v>3050-MAYSEGVC</v>
      </c>
      <c r="B594" s="2" t="str">
        <f>IFERROR(__xludf.DUMMYFUNCTION("""COMPUTED_VALUE"""),"RDV MINISTROS SEGURIDAD | HORACIO GIMÉNEZ 21/5 COMUNA 8")</f>
        <v>RDV MINISTROS SEGURIDAD | HORACIO GIMÉNEZ 21/5 COMUNA 8</v>
      </c>
      <c r="C594" s="3">
        <f>IFERROR(__xludf.DUMMYFUNCTION("""COMPUTED_VALUE"""),46160.0)</f>
        <v>46160</v>
      </c>
      <c r="D594" s="3">
        <f>IFERROR(__xludf.DUMMYFUNCTION("""COMPUTED_VALUE"""),46168.0)</f>
        <v>46168</v>
      </c>
      <c r="E594" s="2" t="str">
        <f>IFERROR(__xludf.DUMMYFUNCTION("""COMPUTED_VALUE"""),"Cercanía")</f>
        <v>Cercanía</v>
      </c>
      <c r="F594" s="2" t="str">
        <f>IFERROR(__xludf.DUMMYFUNCTION("""COMPUTED_VALUE"""),"Seguridad")</f>
        <v>Seguridad</v>
      </c>
      <c r="G594" s="2" t="str">
        <f>IFERROR(__xludf.DUMMYFUNCTION("""COMPUTED_VALUE"""),"Finalizada")</f>
        <v>Finalizada</v>
      </c>
      <c r="H594" s="4">
        <v>144522.0</v>
      </c>
      <c r="I594" s="4">
        <v>0.0</v>
      </c>
      <c r="J594" s="4">
        <v>449.0</v>
      </c>
      <c r="K594" s="4">
        <v>96521.0</v>
      </c>
      <c r="L594" s="5">
        <v>1.4973114658986126</v>
      </c>
      <c r="M594" s="5">
        <v>1.4973114658986126</v>
      </c>
      <c r="N594" s="4">
        <v>61407.0</v>
      </c>
      <c r="O594" s="4">
        <v>60174.0</v>
      </c>
      <c r="P594" s="4">
        <v>7257.0</v>
      </c>
      <c r="Q594" s="4">
        <v>110.0</v>
      </c>
      <c r="R594" s="4">
        <v>71.0</v>
      </c>
      <c r="S594" s="4">
        <v>71.0</v>
      </c>
      <c r="T594" s="4">
        <v>24.0</v>
      </c>
      <c r="U594" s="4">
        <v>24.0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0.0</v>
      </c>
      <c r="AB594" s="4">
        <v>0.0</v>
      </c>
      <c r="AC594" s="4">
        <v>0.0</v>
      </c>
      <c r="AD594" s="4"/>
      <c r="AE594" s="6" t="s">
        <v>9</v>
      </c>
    </row>
    <row r="595" ht="16.5" customHeight="1">
      <c r="A595" s="2" t="str">
        <f>IFERROR(__xludf.DUMMYFUNCTION("""COMPUTED_VALUE"""),"3051-MAYSEGGJ")</f>
        <v>3051-MAYSEGGJ</v>
      </c>
      <c r="B595" s="2" t="str">
        <f>IFERROR(__xludf.DUMMYFUNCTION("""COMPUTED_VALUE"""),"Operativo Tormenta Negra")</f>
        <v>Operativo Tormenta Negra</v>
      </c>
      <c r="C595" s="3">
        <f>IFERROR(__xludf.DUMMYFUNCTION("""COMPUTED_VALUE"""),46157.0)</f>
        <v>46157</v>
      </c>
      <c r="D595" s="3">
        <f>IFERROR(__xludf.DUMMYFUNCTION("""COMPUTED_VALUE"""),46203.0)</f>
        <v>46203</v>
      </c>
      <c r="E595" s="2" t="str">
        <f>IFERROR(__xludf.DUMMYFUNCTION("""COMPUTED_VALUE"""),"M2")</f>
        <v>M2</v>
      </c>
      <c r="F595" s="2" t="str">
        <f>IFERROR(__xludf.DUMMYFUNCTION("""COMPUTED_VALUE"""),"Seguridad")</f>
        <v>Seguridad</v>
      </c>
      <c r="G595" s="2" t="str">
        <f>IFERROR(__xludf.DUMMYFUNCTION("""COMPUTED_VALUE"""),"Finalizada")</f>
        <v>Finalizada</v>
      </c>
      <c r="H595" s="4">
        <v>2.5138589E7</v>
      </c>
      <c r="I595" s="4">
        <v>1.1192101E7</v>
      </c>
      <c r="J595" s="4">
        <v>32336.0</v>
      </c>
      <c r="K595" s="4">
        <v>3508628.0</v>
      </c>
      <c r="L595" s="5">
        <v>2.9436643041097548</v>
      </c>
      <c r="M595" s="5">
        <v>7.16479176475819</v>
      </c>
      <c r="N595" s="4">
        <v>1882440.0</v>
      </c>
      <c r="O595" s="4">
        <v>1864537.0</v>
      </c>
      <c r="P595" s="4">
        <v>332715.0</v>
      </c>
      <c r="Q595" s="4">
        <v>8238.0</v>
      </c>
      <c r="R595" s="4">
        <v>0.0</v>
      </c>
      <c r="S595" s="4">
        <v>0.0</v>
      </c>
      <c r="T595" s="4">
        <v>0.0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0.0</v>
      </c>
      <c r="AB595" s="4">
        <v>0.0</v>
      </c>
      <c r="AC595" s="4">
        <v>0.0</v>
      </c>
      <c r="AD595" s="6" t="s">
        <v>209</v>
      </c>
      <c r="AE595" s="6" t="s">
        <v>9</v>
      </c>
    </row>
    <row r="596" ht="16.5" customHeight="1">
      <c r="A596" s="2" t="str">
        <f>IFERROR(__xludf.DUMMYFUNCTION("""COMPUTED_VALUE"""),"3052-MAYFESGC")</f>
        <v>3052-MAYFESGC</v>
      </c>
      <c r="B596" s="2" t="str">
        <f>IFERROR(__xludf.DUMMYFUNCTION("""COMPUTED_VALUE"""),"Sorteo Linda entradas Filarmonica viernes 22/5")</f>
        <v>Sorteo Linda entradas Filarmonica viernes 22/5</v>
      </c>
      <c r="C596" s="3">
        <f>IFERROR(__xludf.DUMMYFUNCTION("""COMPUTED_VALUE"""),46160.0)</f>
        <v>46160</v>
      </c>
      <c r="D596" s="3">
        <f>IFERROR(__xludf.DUMMYFUNCTION("""COMPUTED_VALUE"""),46164.0)</f>
        <v>46164</v>
      </c>
      <c r="E596" s="2" t="str">
        <f>IFERROR(__xludf.DUMMYFUNCTION("""COMPUTED_VALUE"""),"Ciudad Atractiva")</f>
        <v>Ciudad Atractiva</v>
      </c>
      <c r="F596" s="2" t="str">
        <f>IFERROR(__xludf.DUMMYFUNCTION("""COMPUTED_VALUE"""),"Festivales y Eventos")</f>
        <v>Festivales y Eventos</v>
      </c>
      <c r="G596" s="2" t="str">
        <f>IFERROR(__xludf.DUMMYFUNCTION("""COMPUTED_VALUE"""),"Finalizada")</f>
        <v>Finalizada</v>
      </c>
      <c r="H596" s="4">
        <v>1414411.0</v>
      </c>
      <c r="I596" s="4">
        <v>0.0</v>
      </c>
      <c r="J596" s="4">
        <v>25333.0</v>
      </c>
      <c r="K596" s="4">
        <v>165711.0</v>
      </c>
      <c r="L596" s="5">
        <v>1.2626319314951935</v>
      </c>
      <c r="M596" s="5">
        <v>8.535408029641967</v>
      </c>
      <c r="N596" s="4">
        <v>130377.0</v>
      </c>
      <c r="O596" s="4">
        <v>128716.0</v>
      </c>
      <c r="P596" s="4">
        <v>47695.0</v>
      </c>
      <c r="Q596" s="4">
        <v>7070.0</v>
      </c>
      <c r="R596" s="4">
        <v>0.0</v>
      </c>
      <c r="S596" s="4">
        <v>0.0</v>
      </c>
      <c r="T596" s="4">
        <v>0.0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0.0</v>
      </c>
      <c r="AB596" s="4">
        <v>0.0</v>
      </c>
      <c r="AC596" s="4">
        <v>0.0</v>
      </c>
      <c r="AD596" s="6" t="s">
        <v>210</v>
      </c>
      <c r="AE596" s="6" t="s">
        <v>9</v>
      </c>
    </row>
    <row r="597" ht="16.5" customHeight="1">
      <c r="A597" s="2" t="str">
        <f>IFERROR(__xludf.DUMMYFUNCTION("""COMPUTED_VALUE"""),"3053-MAYFESGC")</f>
        <v>3053-MAYFESGC</v>
      </c>
      <c r="B597" s="2" t="str">
        <f>IFERROR(__xludf.DUMMYFUNCTION("""COMPUTED_VALUE"""),"Sorteo Linda entradas Complejo sabado Teatral 23/5")</f>
        <v>Sorteo Linda entradas Complejo sabado Teatral 23/5</v>
      </c>
      <c r="C597" s="3">
        <f>IFERROR(__xludf.DUMMYFUNCTION("""COMPUTED_VALUE"""),46160.0)</f>
        <v>46160</v>
      </c>
      <c r="D597" s="3">
        <f>IFERROR(__xludf.DUMMYFUNCTION("""COMPUTED_VALUE"""),46165.0)</f>
        <v>46165</v>
      </c>
      <c r="E597" s="2" t="str">
        <f>IFERROR(__xludf.DUMMYFUNCTION("""COMPUTED_VALUE"""),"Ciudad Atractiva")</f>
        <v>Ciudad Atractiva</v>
      </c>
      <c r="F597" s="2" t="str">
        <f>IFERROR(__xludf.DUMMYFUNCTION("""COMPUTED_VALUE"""),"Festivales y Eventos")</f>
        <v>Festivales y Eventos</v>
      </c>
      <c r="G597" s="2" t="str">
        <f>IFERROR(__xludf.DUMMYFUNCTION("""COMPUTED_VALUE"""),"Finalizada")</f>
        <v>Finalizada</v>
      </c>
      <c r="H597" s="4">
        <v>823457.0</v>
      </c>
      <c r="I597" s="4">
        <v>0.0</v>
      </c>
      <c r="J597" s="4">
        <v>12593.0</v>
      </c>
      <c r="K597" s="4">
        <v>60378.0</v>
      </c>
      <c r="L597" s="5">
        <v>1.6025042233926265</v>
      </c>
      <c r="M597" s="5">
        <v>13.638361654907417</v>
      </c>
      <c r="N597" s="4">
        <v>72400.0</v>
      </c>
      <c r="O597" s="4">
        <v>71665.0</v>
      </c>
      <c r="P597" s="4">
        <v>30435.0</v>
      </c>
      <c r="Q597" s="4">
        <v>2788.0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0.0</v>
      </c>
      <c r="AB597" s="4">
        <v>0.0</v>
      </c>
      <c r="AC597" s="4">
        <v>0.0</v>
      </c>
      <c r="AD597" s="6" t="s">
        <v>211</v>
      </c>
      <c r="AE597" s="6" t="s">
        <v>9</v>
      </c>
    </row>
    <row r="598" ht="16.5" customHeight="1">
      <c r="A598" s="2" t="str">
        <f>IFERROR(__xludf.DUMMYFUNCTION("""COMPUTED_VALUE"""),"3054-MAYFESGC")</f>
        <v>3054-MAYFESGC</v>
      </c>
      <c r="B598" s="2" t="str">
        <f>IFERROR(__xludf.DUMMYFUNCTION("""COMPUTED_VALUE"""),"Sorteo Linda entradas Complejo domingo Teatral 24/6")</f>
        <v>Sorteo Linda entradas Complejo domingo Teatral 24/6</v>
      </c>
      <c r="C598" s="3">
        <f>IFERROR(__xludf.DUMMYFUNCTION("""COMPUTED_VALUE"""),46160.0)</f>
        <v>46160</v>
      </c>
      <c r="D598" s="3">
        <f>IFERROR(__xludf.DUMMYFUNCTION("""COMPUTED_VALUE"""),46166.0)</f>
        <v>46166</v>
      </c>
      <c r="E598" s="2" t="str">
        <f>IFERROR(__xludf.DUMMYFUNCTION("""COMPUTED_VALUE"""),"Ciudad Atractiva")</f>
        <v>Ciudad Atractiva</v>
      </c>
      <c r="F598" s="2" t="str">
        <f>IFERROR(__xludf.DUMMYFUNCTION("""COMPUTED_VALUE"""),"Festivales y Eventos")</f>
        <v>Festivales y Eventos</v>
      </c>
      <c r="G598" s="2" t="str">
        <f>IFERROR(__xludf.DUMMYFUNCTION("""COMPUTED_VALUE"""),"Finalizada")</f>
        <v>Finalizada</v>
      </c>
      <c r="H598" s="4">
        <v>798147.0</v>
      </c>
      <c r="I598" s="4">
        <v>0.0</v>
      </c>
      <c r="J598" s="4">
        <v>10150.0</v>
      </c>
      <c r="K598" s="4">
        <v>50861.0</v>
      </c>
      <c r="L598" s="5">
        <v>1.4940130945124948</v>
      </c>
      <c r="M598" s="5">
        <v>15.69271150783508</v>
      </c>
      <c r="N598" s="4">
        <v>10.0</v>
      </c>
      <c r="O598" s="4">
        <v>10.0</v>
      </c>
      <c r="P598" s="4">
        <v>10.0</v>
      </c>
      <c r="Q598" s="4">
        <v>8.0</v>
      </c>
      <c r="R598" s="4">
        <v>0.0</v>
      </c>
      <c r="S598" s="4">
        <v>0.0</v>
      </c>
      <c r="T598" s="4">
        <v>0.0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0.0</v>
      </c>
      <c r="AB598" s="4">
        <v>0.0</v>
      </c>
      <c r="AC598" s="4">
        <v>0.0</v>
      </c>
      <c r="AD598" s="6" t="s">
        <v>212</v>
      </c>
      <c r="AE598" s="6" t="s">
        <v>9</v>
      </c>
    </row>
    <row r="599" ht="16.5" customHeight="1">
      <c r="A599" s="2" t="str">
        <f>IFERROR(__xludf.DUMMYFUNCTION("""COMPUTED_VALUE"""),"3056-MAYFESGC")</f>
        <v>3056-MAYFESGC</v>
      </c>
      <c r="B599" s="2" t="str">
        <f>IFERROR(__xludf.DUMMYFUNCTION("""COMPUTED_VALUE"""),"Celebración 25 de mayo")</f>
        <v>Celebración 25 de mayo</v>
      </c>
      <c r="C599" s="3">
        <f>IFERROR(__xludf.DUMMYFUNCTION("""COMPUTED_VALUE"""),46163.0)</f>
        <v>46163</v>
      </c>
      <c r="D599" s="3">
        <f>IFERROR(__xludf.DUMMYFUNCTION("""COMPUTED_VALUE"""),46167.0)</f>
        <v>46167</v>
      </c>
      <c r="E599" s="2" t="str">
        <f>IFERROR(__xludf.DUMMYFUNCTION("""COMPUTED_VALUE"""),"Ciudad Atractiva")</f>
        <v>Ciudad Atractiva</v>
      </c>
      <c r="F599" s="2" t="str">
        <f>IFERROR(__xludf.DUMMYFUNCTION("""COMPUTED_VALUE"""),"Festivales y Eventos")</f>
        <v>Festivales y Eventos</v>
      </c>
      <c r="G599" s="2" t="str">
        <f>IFERROR(__xludf.DUMMYFUNCTION("""COMPUTED_VALUE"""),"Finalizada")</f>
        <v>Finalizada</v>
      </c>
      <c r="H599" s="4">
        <v>964396.0</v>
      </c>
      <c r="I599" s="4">
        <v>99115.0</v>
      </c>
      <c r="J599" s="4">
        <v>11490.0</v>
      </c>
      <c r="K599" s="4">
        <v>267324.0</v>
      </c>
      <c r="L599" s="5">
        <v>2.1174978677559815</v>
      </c>
      <c r="M599" s="5">
        <v>3.6075922850174322</v>
      </c>
      <c r="N599" s="4">
        <v>100359.0</v>
      </c>
      <c r="O599" s="4">
        <v>99607.0</v>
      </c>
      <c r="P599" s="4">
        <v>30678.0</v>
      </c>
      <c r="Q599" s="4">
        <v>2381.0</v>
      </c>
      <c r="R599" s="4">
        <v>0.0</v>
      </c>
      <c r="S599" s="4">
        <v>0.0</v>
      </c>
      <c r="T599" s="4">
        <v>0.0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0.0</v>
      </c>
      <c r="AB599" s="4">
        <v>0.0</v>
      </c>
      <c r="AC599" s="4">
        <v>0.0</v>
      </c>
      <c r="AD599" s="6" t="s">
        <v>213</v>
      </c>
      <c r="AE599" s="6" t="s">
        <v>9</v>
      </c>
    </row>
    <row r="600" ht="16.5" customHeight="1">
      <c r="A600" s="2" t="str">
        <f>IFERROR(__xludf.DUMMYFUNCTION("""COMPUTED_VALUE"""),"3057-MAYFESGC")</f>
        <v>3057-MAYFESGC</v>
      </c>
      <c r="B600" s="2" t="str">
        <f>IFERROR(__xludf.DUMMYFUNCTION("""COMPUTED_VALUE"""),"Sorteo GCBA Entradas Obelisco")</f>
        <v>Sorteo GCBA Entradas Obelisco</v>
      </c>
      <c r="C600" s="3">
        <f>IFERROR(__xludf.DUMMYFUNCTION("""COMPUTED_VALUE"""),46160.0)</f>
        <v>46160</v>
      </c>
      <c r="D600" s="3">
        <f>IFERROR(__xludf.DUMMYFUNCTION("""COMPUTED_VALUE"""),46169.0)</f>
        <v>46169</v>
      </c>
      <c r="E600" s="2" t="str">
        <f>IFERROR(__xludf.DUMMYFUNCTION("""COMPUTED_VALUE"""),"Ciudad Atractiva")</f>
        <v>Ciudad Atractiva</v>
      </c>
      <c r="F600" s="2" t="str">
        <f>IFERROR(__xludf.DUMMYFUNCTION("""COMPUTED_VALUE"""),"Festivales y Eventos")</f>
        <v>Festivales y Eventos</v>
      </c>
      <c r="G600" s="2" t="str">
        <f>IFERROR(__xludf.DUMMYFUNCTION("""COMPUTED_VALUE"""),"Finalizada")</f>
        <v>Finalizada</v>
      </c>
      <c r="H600" s="4">
        <v>1588008.0</v>
      </c>
      <c r="I600" s="4">
        <v>0.0</v>
      </c>
      <c r="J600" s="4">
        <v>35464.0</v>
      </c>
      <c r="K600" s="4">
        <v>222255.0</v>
      </c>
      <c r="L600" s="5">
        <v>1.6117837618951205</v>
      </c>
      <c r="M600" s="5">
        <v>7.144982115138017</v>
      </c>
      <c r="N600" s="4">
        <v>120544.0</v>
      </c>
      <c r="O600" s="4">
        <v>119426.0</v>
      </c>
      <c r="P600" s="4">
        <v>51603.0</v>
      </c>
      <c r="Q600" s="4">
        <v>10870.0</v>
      </c>
      <c r="R600" s="4">
        <v>0.0</v>
      </c>
      <c r="S600" s="4">
        <v>0.0</v>
      </c>
      <c r="T600" s="4">
        <v>0.0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0.0</v>
      </c>
      <c r="AB600" s="4">
        <v>0.0</v>
      </c>
      <c r="AC600" s="4">
        <v>0.0</v>
      </c>
      <c r="AD600" s="6" t="s">
        <v>214</v>
      </c>
      <c r="AE600" s="6" t="s">
        <v>9</v>
      </c>
    </row>
    <row r="601" ht="16.5" customHeight="1">
      <c r="A601" s="2" t="str">
        <f>IFERROR(__xludf.DUMMYFUNCTION("""COMPUTED_VALUE"""),"3058-MAYSALGJ")</f>
        <v>3058-MAYSALGJ</v>
      </c>
      <c r="B601" s="2" t="str">
        <f>IFERROR(__xludf.DUMMYFUNCTION("""COMPUTED_VALUE"""),"Hospital Tornú - Fin de obra")</f>
        <v>Hospital Tornú - Fin de obra</v>
      </c>
      <c r="C601" s="3">
        <f>IFERROR(__xludf.DUMMYFUNCTION("""COMPUTED_VALUE"""),46169.0)</f>
        <v>46169</v>
      </c>
      <c r="D601" s="3">
        <f>IFERROR(__xludf.DUMMYFUNCTION("""COMPUTED_VALUE"""),46183.0)</f>
        <v>46183</v>
      </c>
      <c r="E601" s="2" t="str">
        <f>IFERROR(__xludf.DUMMYFUNCTION("""COMPUTED_VALUE"""),"Cuidado")</f>
        <v>Cuidado</v>
      </c>
      <c r="F601" s="2" t="str">
        <f>IFERROR(__xludf.DUMMYFUNCTION("""COMPUTED_VALUE"""),"Salud")</f>
        <v>Salud</v>
      </c>
      <c r="G601" s="2" t="str">
        <f>IFERROR(__xludf.DUMMYFUNCTION("""COMPUTED_VALUE"""),"Finalizada")</f>
        <v>Finalizada</v>
      </c>
      <c r="H601" s="4">
        <v>4359089.0</v>
      </c>
      <c r="I601" s="4">
        <v>44650.0</v>
      </c>
      <c r="J601" s="4">
        <v>25720.0</v>
      </c>
      <c r="K601" s="4">
        <v>371938.0</v>
      </c>
      <c r="L601" s="5">
        <v>1.4570304728207388</v>
      </c>
      <c r="M601" s="5">
        <v>11.719934505213235</v>
      </c>
      <c r="N601" s="4">
        <v>190037.0</v>
      </c>
      <c r="O601" s="4">
        <v>188046.0</v>
      </c>
      <c r="P601" s="4">
        <v>34634.0</v>
      </c>
      <c r="Q601" s="4">
        <v>171.0</v>
      </c>
      <c r="R601" s="4">
        <v>0.0</v>
      </c>
      <c r="S601" s="4">
        <v>0.0</v>
      </c>
      <c r="T601" s="4">
        <v>0.0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0.0</v>
      </c>
      <c r="AB601" s="4">
        <v>0.0</v>
      </c>
      <c r="AC601" s="4">
        <v>0.0</v>
      </c>
      <c r="AD601" s="6" t="s">
        <v>215</v>
      </c>
      <c r="AE601" s="6" t="s">
        <v>9</v>
      </c>
    </row>
    <row r="602" ht="16.5" customHeight="1">
      <c r="A602" s="2" t="str">
        <f>IFERROR(__xludf.DUMMYFUNCTION("""COMPUTED_VALUE"""),"3060-MAYINFGC")</f>
        <v>3060-MAYINFGC</v>
      </c>
      <c r="B602" s="2" t="str">
        <f>IFERROR(__xludf.DUMMYFUNCTION("""COMPUTED_VALUE"""),"Infraestructura I Modificación de reglamentación de estacionamiento")</f>
        <v>Infraestructura I Modificación de reglamentación de estacionamiento</v>
      </c>
      <c r="C602" s="3">
        <f>IFERROR(__xludf.DUMMYFUNCTION("""COMPUTED_VALUE"""),46162.0)</f>
        <v>46162</v>
      </c>
      <c r="D602" s="3">
        <f>IFERROR(__xludf.DUMMYFUNCTION("""COMPUTED_VALUE"""),46162.0)</f>
        <v>46162</v>
      </c>
      <c r="E602" s="2" t="str">
        <f>IFERROR(__xludf.DUMMYFUNCTION("""COMPUTED_VALUE"""),"Movilidad")</f>
        <v>Movilidad</v>
      </c>
      <c r="F602" s="2" t="str">
        <f>IFERROR(__xludf.DUMMYFUNCTION("""COMPUTED_VALUE"""),"Infraestructura")</f>
        <v>Infraestructura</v>
      </c>
      <c r="G602" s="2" t="str">
        <f>IFERROR(__xludf.DUMMYFUNCTION("""COMPUTED_VALUE"""),"Finalizada")</f>
        <v>Finalizada</v>
      </c>
      <c r="H602" s="4">
        <v>0.0</v>
      </c>
      <c r="I602" s="4">
        <v>0.0</v>
      </c>
      <c r="J602" s="4">
        <v>0.0</v>
      </c>
      <c r="K602" s="4">
        <v>0.0</v>
      </c>
      <c r="L602" s="5">
        <v>0.0</v>
      </c>
      <c r="M602" s="5">
        <v>0.0</v>
      </c>
      <c r="N602" s="4">
        <v>95857.0</v>
      </c>
      <c r="O602" s="4">
        <v>95342.0</v>
      </c>
      <c r="P602" s="4">
        <v>35381.0</v>
      </c>
      <c r="Q602" s="4">
        <v>244.0</v>
      </c>
      <c r="R602" s="4">
        <v>0.0</v>
      </c>
      <c r="S602" s="4">
        <v>0.0</v>
      </c>
      <c r="T602" s="4">
        <v>0.0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27248.0</v>
      </c>
      <c r="AB602" s="4">
        <v>25948.0</v>
      </c>
      <c r="AC602" s="4">
        <v>0.0</v>
      </c>
      <c r="AD602" s="4" t="s">
        <v>8</v>
      </c>
      <c r="AE602" s="6" t="s">
        <v>9</v>
      </c>
    </row>
    <row r="603" ht="16.5" customHeight="1">
      <c r="A603" s="2" t="str">
        <f>IFERROR(__xludf.DUMMYFUNCTION("""COMPUTED_VALUE"""),"3061-MAYPCCVC")</f>
        <v>3061-MAYPCCVC</v>
      </c>
      <c r="B603" s="2" t="str">
        <f>IFERROR(__xludf.DUMMYFUNCTION("""COMPUTED_VALUE"""),"Envio de resultados PBN BOSCH")</f>
        <v>Envio de resultados PBN BOSCH</v>
      </c>
      <c r="C603" s="3">
        <f>IFERROR(__xludf.DUMMYFUNCTION("""COMPUTED_VALUE"""),46168.0)</f>
        <v>46168</v>
      </c>
      <c r="D603" s="3">
        <f>IFERROR(__xludf.DUMMYFUNCTION("""COMPUTED_VALUE"""),46168.0)</f>
        <v>46168</v>
      </c>
      <c r="E603" s="2" t="str">
        <f>IFERROR(__xludf.DUMMYFUNCTION("""COMPUTED_VALUE"""),"Cercanía")</f>
        <v>Cercanía</v>
      </c>
      <c r="F603" s="2" t="str">
        <f>IFERROR(__xludf.DUMMYFUNCTION("""COMPUTED_VALUE"""),"Cercanía y PC")</f>
        <v>Cercanía y PC</v>
      </c>
      <c r="G603" s="2" t="str">
        <f>IFERROR(__xludf.DUMMYFUNCTION("""COMPUTED_VALUE"""),"Finalizada")</f>
        <v>Finalizada</v>
      </c>
      <c r="H603" s="4">
        <v>0.0</v>
      </c>
      <c r="I603" s="4">
        <v>0.0</v>
      </c>
      <c r="J603" s="4">
        <v>0.0</v>
      </c>
      <c r="K603" s="4">
        <v>0.0</v>
      </c>
      <c r="L603" s="5">
        <v>0.0</v>
      </c>
      <c r="M603" s="5">
        <v>0.0</v>
      </c>
      <c r="N603" s="4">
        <v>198.0</v>
      </c>
      <c r="O603" s="4">
        <v>197.0</v>
      </c>
      <c r="P603" s="4">
        <v>81.0</v>
      </c>
      <c r="Q603" s="4">
        <v>2.0</v>
      </c>
      <c r="R603" s="4">
        <v>0.0</v>
      </c>
      <c r="S603" s="4">
        <v>0.0</v>
      </c>
      <c r="T603" s="4">
        <v>0.0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0.0</v>
      </c>
      <c r="AB603" s="4">
        <v>0.0</v>
      </c>
      <c r="AC603" s="4">
        <v>0.0</v>
      </c>
      <c r="AD603" s="4" t="s">
        <v>8</v>
      </c>
      <c r="AE603" s="6" t="s">
        <v>9</v>
      </c>
    </row>
    <row r="604" ht="16.5" customHeight="1">
      <c r="A604" s="2" t="str">
        <f>IFERROR(__xludf.DUMMYFUNCTION("""COMPUTED_VALUE"""),"3062-MAYPCCVC")</f>
        <v>3062-MAYPCCVC</v>
      </c>
      <c r="B604" s="2" t="str">
        <f>IFERROR(__xludf.DUMMYFUNCTION("""COMPUTED_VALUE"""),"Reunión Informativa: Corredor Verde  Almagro")</f>
        <v>Reunión Informativa: Corredor Verde  Almagro</v>
      </c>
      <c r="C604" s="3">
        <f>IFERROR(__xludf.DUMMYFUNCTION("""COMPUTED_VALUE"""),46172.0)</f>
        <v>46172</v>
      </c>
      <c r="D604" s="3">
        <f>IFERROR(__xludf.DUMMYFUNCTION("""COMPUTED_VALUE"""),46172.0)</f>
        <v>46172</v>
      </c>
      <c r="E604" s="2" t="str">
        <f>IFERROR(__xludf.DUMMYFUNCTION("""COMPUTED_VALUE"""),"Cercanía")</f>
        <v>Cercanía</v>
      </c>
      <c r="F604" s="2" t="str">
        <f>IFERROR(__xludf.DUMMYFUNCTION("""COMPUTED_VALUE"""),"Cercanía y PC")</f>
        <v>Cercanía y PC</v>
      </c>
      <c r="G604" s="2" t="str">
        <f>IFERROR(__xludf.DUMMYFUNCTION("""COMPUTED_VALUE"""),"Finalizada")</f>
        <v>Finalizada</v>
      </c>
      <c r="H604" s="4">
        <v>0.0</v>
      </c>
      <c r="I604" s="4">
        <v>0.0</v>
      </c>
      <c r="J604" s="4">
        <v>0.0</v>
      </c>
      <c r="K604" s="4">
        <v>0.0</v>
      </c>
      <c r="L604" s="5">
        <v>0.0</v>
      </c>
      <c r="M604" s="5">
        <v>0.0</v>
      </c>
      <c r="N604" s="4">
        <v>51319.0</v>
      </c>
      <c r="O604" s="4">
        <v>50775.0</v>
      </c>
      <c r="P604" s="4">
        <v>10421.0</v>
      </c>
      <c r="Q604" s="4">
        <v>169.0</v>
      </c>
      <c r="R604" s="4">
        <v>0.0</v>
      </c>
      <c r="S604" s="4">
        <v>0.0</v>
      </c>
      <c r="T604" s="4">
        <v>0.0</v>
      </c>
      <c r="U604" s="4">
        <v>0.0</v>
      </c>
      <c r="V604" s="4">
        <v>0.0</v>
      </c>
      <c r="W604" s="4">
        <v>0.0</v>
      </c>
      <c r="X604" s="4">
        <v>0.0</v>
      </c>
      <c r="Y604" s="4">
        <v>0.0</v>
      </c>
      <c r="Z604" s="4">
        <v>0.0</v>
      </c>
      <c r="AA604" s="4">
        <v>0.0</v>
      </c>
      <c r="AB604" s="4">
        <v>0.0</v>
      </c>
      <c r="AC604" s="4">
        <v>0.0</v>
      </c>
      <c r="AD604" s="4" t="s">
        <v>8</v>
      </c>
      <c r="AE604" s="6" t="s">
        <v>9</v>
      </c>
    </row>
    <row r="605" ht="16.5" customHeight="1">
      <c r="A605" s="2" t="str">
        <f>IFERROR(__xludf.DUMMYFUNCTION("""COMPUTED_VALUE"""),"3063-MAYSALGC")</f>
        <v>3063-MAYSALGC</v>
      </c>
      <c r="B605" s="2" t="str">
        <f>IFERROR(__xludf.DUMMYFUNCTION("""COMPUTED_VALUE""")," SIGEHOS - Envío cierre de encuesta")</f>
        <v> SIGEHOS - Envío cierre de encuesta</v>
      </c>
      <c r="C605" s="3">
        <f>IFERROR(__xludf.DUMMYFUNCTION("""COMPUTED_VALUE"""),46163.0)</f>
        <v>46163</v>
      </c>
      <c r="D605" s="3">
        <f>IFERROR(__xludf.DUMMYFUNCTION("""COMPUTED_VALUE"""),46163.0)</f>
        <v>46163</v>
      </c>
      <c r="E605" s="2" t="str">
        <f>IFERROR(__xludf.DUMMYFUNCTION("""COMPUTED_VALUE"""),"Cuidado")</f>
        <v>Cuidado</v>
      </c>
      <c r="F605" s="2" t="str">
        <f>IFERROR(__xludf.DUMMYFUNCTION("""COMPUTED_VALUE"""),"Salud")</f>
        <v>Salud</v>
      </c>
      <c r="G605" s="2" t="str">
        <f>IFERROR(__xludf.DUMMYFUNCTION("""COMPUTED_VALUE"""),"Finalizada")</f>
        <v>Finalizada</v>
      </c>
      <c r="H605" s="4">
        <v>0.0</v>
      </c>
      <c r="I605" s="4">
        <v>0.0</v>
      </c>
      <c r="J605" s="4">
        <v>0.0</v>
      </c>
      <c r="K605" s="4">
        <v>0.0</v>
      </c>
      <c r="L605" s="5">
        <v>0.0</v>
      </c>
      <c r="M605" s="5">
        <v>0.0</v>
      </c>
      <c r="N605" s="4">
        <v>7070.0</v>
      </c>
      <c r="O605" s="4">
        <v>7038.0</v>
      </c>
      <c r="P605" s="4">
        <v>1254.0</v>
      </c>
      <c r="Q605" s="4">
        <v>16.0</v>
      </c>
      <c r="R605" s="4">
        <v>0.0</v>
      </c>
      <c r="S605" s="4">
        <v>0.0</v>
      </c>
      <c r="T605" s="4">
        <v>0.0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0.0</v>
      </c>
      <c r="AB605" s="4">
        <v>0.0</v>
      </c>
      <c r="AC605" s="4">
        <v>0.0</v>
      </c>
      <c r="AD605" s="4" t="s">
        <v>8</v>
      </c>
      <c r="AE605" s="6" t="s">
        <v>9</v>
      </c>
    </row>
    <row r="606" ht="16.5" customHeight="1">
      <c r="A606" s="2" t="str">
        <f>IFERROR(__xludf.DUMMYFUNCTION("""COMPUTED_VALUE"""),"3064-MAYINFGC")</f>
        <v>3064-MAYINFGC</v>
      </c>
      <c r="B606" s="2" t="str">
        <f>IFERROR(__xludf.DUMMYFUNCTION("""COMPUTED_VALUE""")," Infraestructura I Habilitación Puente Río Negro AU Dellepiane")</f>
        <v> Infraestructura I Habilitación Puente Río Negro AU Dellepiane</v>
      </c>
      <c r="C606" s="3">
        <f>IFERROR(__xludf.DUMMYFUNCTION("""COMPUTED_VALUE"""),46162.0)</f>
        <v>46162</v>
      </c>
      <c r="D606" s="3">
        <f>IFERROR(__xludf.DUMMYFUNCTION("""COMPUTED_VALUE"""),46162.0)</f>
        <v>46162</v>
      </c>
      <c r="E606" s="2" t="str">
        <f>IFERROR(__xludf.DUMMYFUNCTION("""COMPUTED_VALUE"""),"Movilidad")</f>
        <v>Movilidad</v>
      </c>
      <c r="F606" s="2" t="str">
        <f>IFERROR(__xludf.DUMMYFUNCTION("""COMPUTED_VALUE"""),"Infraestructura")</f>
        <v>Infraestructura</v>
      </c>
      <c r="G606" s="2" t="str">
        <f>IFERROR(__xludf.DUMMYFUNCTION("""COMPUTED_VALUE"""),"Finalizada")</f>
        <v>Finalizada</v>
      </c>
      <c r="H606" s="4">
        <v>0.0</v>
      </c>
      <c r="I606" s="4">
        <v>0.0</v>
      </c>
      <c r="J606" s="4">
        <v>0.0</v>
      </c>
      <c r="K606" s="4">
        <v>0.0</v>
      </c>
      <c r="L606" s="5">
        <v>0.0</v>
      </c>
      <c r="M606" s="5">
        <v>0.0</v>
      </c>
      <c r="N606" s="4">
        <v>75632.0</v>
      </c>
      <c r="O606" s="4">
        <v>74755.0</v>
      </c>
      <c r="P606" s="4">
        <v>17151.0</v>
      </c>
      <c r="Q606" s="4">
        <v>950.0</v>
      </c>
      <c r="R606" s="4">
        <v>0.0</v>
      </c>
      <c r="S606" s="4">
        <v>0.0</v>
      </c>
      <c r="T606" s="4">
        <v>0.0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0.0</v>
      </c>
      <c r="AB606" s="4">
        <v>0.0</v>
      </c>
      <c r="AC606" s="4">
        <v>0.0</v>
      </c>
      <c r="AD606" s="4" t="s">
        <v>8</v>
      </c>
      <c r="AE606" s="6" t="s">
        <v>9</v>
      </c>
    </row>
    <row r="607" ht="16.5" customHeight="1">
      <c r="A607" s="2" t="str">
        <f>IFERROR(__xludf.DUMMYFUNCTION("""COMPUTED_VALUE"""),"3065-MAYVINVC")</f>
        <v>3065-MAYVINVC</v>
      </c>
      <c r="B607" s="2" t="str">
        <f>IFERROR(__xludf.DUMMYFUNCTION("""COMPUTED_VALUE"""),"Mas servicios en tu barrio Lugano I y II 26 y 27/5")</f>
        <v>Mas servicios en tu barrio Lugano I y II 26 y 27/5</v>
      </c>
      <c r="C607" s="3">
        <f>IFERROR(__xludf.DUMMYFUNCTION("""COMPUTED_VALUE"""),46164.0)</f>
        <v>46164</v>
      </c>
      <c r="D607" s="3">
        <f>IFERROR(__xludf.DUMMYFUNCTION("""COMPUTED_VALUE"""),46164.0)</f>
        <v>46164</v>
      </c>
      <c r="E607" s="2" t="str">
        <f>IFERROR(__xludf.DUMMYFUNCTION("""COMPUTED_VALUE"""),"M2")</f>
        <v>M2</v>
      </c>
      <c r="F607" s="2" t="str">
        <f>IFERROR(__xludf.DUMMYFUNCTION("""COMPUTED_VALUE"""),"Vínculo Ciudadano")</f>
        <v>Vínculo Ciudadano</v>
      </c>
      <c r="G607" s="2" t="str">
        <f>IFERROR(__xludf.DUMMYFUNCTION("""COMPUTED_VALUE"""),"Finalizada")</f>
        <v>Finalizada</v>
      </c>
      <c r="H607" s="4">
        <v>0.0</v>
      </c>
      <c r="I607" s="4">
        <v>0.0</v>
      </c>
      <c r="J607" s="4">
        <v>0.0</v>
      </c>
      <c r="K607" s="4">
        <v>0.0</v>
      </c>
      <c r="L607" s="5">
        <v>0.0</v>
      </c>
      <c r="M607" s="5">
        <v>0.0</v>
      </c>
      <c r="N607" s="4">
        <v>27.0</v>
      </c>
      <c r="O607" s="4">
        <v>27.0</v>
      </c>
      <c r="P607" s="4">
        <v>5.0</v>
      </c>
      <c r="Q607" s="4">
        <v>2.0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0.0</v>
      </c>
      <c r="AB607" s="4">
        <v>0.0</v>
      </c>
      <c r="AC607" s="4">
        <v>0.0</v>
      </c>
      <c r="AD607" s="4" t="s">
        <v>8</v>
      </c>
      <c r="AE607" s="6" t="s">
        <v>9</v>
      </c>
    </row>
    <row r="608" ht="16.5" customHeight="1">
      <c r="A608" s="2" t="str">
        <f>IFERROR(__xludf.DUMMYFUNCTION("""COMPUTED_VALUE"""),"3066-MAYVINVC")</f>
        <v>3066-MAYVINVC</v>
      </c>
      <c r="B608" s="2" t="str">
        <f>IFERROR(__xludf.DUMMYFUNCTION("""COMPUTED_VALUE"""),"Más servicios en tu barrio Flores 28/5")</f>
        <v>Más servicios en tu barrio Flores 28/5</v>
      </c>
      <c r="C608" s="3">
        <f>IFERROR(__xludf.DUMMYFUNCTION("""COMPUTED_VALUE"""),46168.0)</f>
        <v>46168</v>
      </c>
      <c r="D608" s="3">
        <f>IFERROR(__xludf.DUMMYFUNCTION("""COMPUTED_VALUE"""),46168.0)</f>
        <v>46168</v>
      </c>
      <c r="E608" s="2" t="str">
        <f>IFERROR(__xludf.DUMMYFUNCTION("""COMPUTED_VALUE"""),"M2")</f>
        <v>M2</v>
      </c>
      <c r="F608" s="2" t="str">
        <f>IFERROR(__xludf.DUMMYFUNCTION("""COMPUTED_VALUE"""),"Vínculo Ciudadano")</f>
        <v>Vínculo Ciudadano</v>
      </c>
      <c r="G608" s="2" t="str">
        <f>IFERROR(__xludf.DUMMYFUNCTION("""COMPUTED_VALUE"""),"Finalizada")</f>
        <v>Finalizada</v>
      </c>
      <c r="H608" s="4">
        <v>0.0</v>
      </c>
      <c r="I608" s="4">
        <v>0.0</v>
      </c>
      <c r="J608" s="4">
        <v>0.0</v>
      </c>
      <c r="K608" s="4">
        <v>0.0</v>
      </c>
      <c r="L608" s="5">
        <v>0.0</v>
      </c>
      <c r="M608" s="5">
        <v>0.0</v>
      </c>
      <c r="N608" s="4">
        <v>8166.0</v>
      </c>
      <c r="O608" s="4">
        <v>8076.0</v>
      </c>
      <c r="P608" s="4">
        <v>2195.0</v>
      </c>
      <c r="Q608" s="4">
        <v>134.0</v>
      </c>
      <c r="R608" s="4">
        <v>0.0</v>
      </c>
      <c r="S608" s="4">
        <v>0.0</v>
      </c>
      <c r="T608" s="4">
        <v>0.0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0.0</v>
      </c>
      <c r="AB608" s="4">
        <v>0.0</v>
      </c>
      <c r="AC608" s="4">
        <v>0.0</v>
      </c>
      <c r="AD608" s="4" t="s">
        <v>8</v>
      </c>
      <c r="AE608" s="6" t="s">
        <v>9</v>
      </c>
    </row>
    <row r="609" ht="16.5" customHeight="1">
      <c r="A609" s="2" t="str">
        <f>IFERROR(__xludf.DUMMYFUNCTION("""COMPUTED_VALUE"""),"3067-MAYVINVC")</f>
        <v>3067-MAYVINVC</v>
      </c>
      <c r="B609" s="2" t="str">
        <f>IFERROR(__xludf.DUMMYFUNCTION("""COMPUTED_VALUE"""),"Más servicios en tu barrio Coghlan 29/5")</f>
        <v>Más servicios en tu barrio Coghlan 29/5</v>
      </c>
      <c r="C609" s="3">
        <f>IFERROR(__xludf.DUMMYFUNCTION("""COMPUTED_VALUE"""),46168.0)</f>
        <v>46168</v>
      </c>
      <c r="D609" s="3">
        <f>IFERROR(__xludf.DUMMYFUNCTION("""COMPUTED_VALUE"""),46168.0)</f>
        <v>46168</v>
      </c>
      <c r="E609" s="2" t="str">
        <f>IFERROR(__xludf.DUMMYFUNCTION("""COMPUTED_VALUE"""),"M2")</f>
        <v>M2</v>
      </c>
      <c r="F609" s="2" t="str">
        <f>IFERROR(__xludf.DUMMYFUNCTION("""COMPUTED_VALUE"""),"Vínculo Ciudadano")</f>
        <v>Vínculo Ciudadano</v>
      </c>
      <c r="G609" s="2" t="str">
        <f>IFERROR(__xludf.DUMMYFUNCTION("""COMPUTED_VALUE"""),"Finalizada")</f>
        <v>Finalizada</v>
      </c>
      <c r="H609" s="4">
        <v>0.0</v>
      </c>
      <c r="I609" s="4">
        <v>0.0</v>
      </c>
      <c r="J609" s="4">
        <v>0.0</v>
      </c>
      <c r="K609" s="4">
        <v>0.0</v>
      </c>
      <c r="L609" s="5">
        <v>0.0</v>
      </c>
      <c r="M609" s="5">
        <v>0.0</v>
      </c>
      <c r="N609" s="4">
        <v>17148.0</v>
      </c>
      <c r="O609" s="4">
        <v>16984.0</v>
      </c>
      <c r="P609" s="4">
        <v>6495.0</v>
      </c>
      <c r="Q609" s="4">
        <v>239.0</v>
      </c>
      <c r="R609" s="4">
        <v>0.0</v>
      </c>
      <c r="S609" s="4">
        <v>0.0</v>
      </c>
      <c r="T609" s="4">
        <v>0.0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0.0</v>
      </c>
      <c r="AB609" s="4">
        <v>0.0</v>
      </c>
      <c r="AC609" s="4">
        <v>0.0</v>
      </c>
      <c r="AD609" s="4" t="s">
        <v>8</v>
      </c>
      <c r="AE609" s="6" t="s">
        <v>9</v>
      </c>
    </row>
    <row r="610" ht="16.5" customHeight="1">
      <c r="A610" s="2" t="str">
        <f>IFERROR(__xludf.DUMMYFUNCTION("""COMPUTED_VALUE"""),"3068-MAYVINVC")</f>
        <v>3068-MAYVINVC</v>
      </c>
      <c r="B610" s="2" t="str">
        <f>IFERROR(__xludf.DUMMYFUNCTION("""COMPUTED_VALUE"""),"Más servicios en tu barrio Versalles 30/5")</f>
        <v>Más servicios en tu barrio Versalles 30/5</v>
      </c>
      <c r="C610" s="3">
        <f>IFERROR(__xludf.DUMMYFUNCTION("""COMPUTED_VALUE"""),46168.0)</f>
        <v>46168</v>
      </c>
      <c r="D610" s="3">
        <f>IFERROR(__xludf.DUMMYFUNCTION("""COMPUTED_VALUE"""),46168.0)</f>
        <v>46168</v>
      </c>
      <c r="E610" s="2" t="str">
        <f>IFERROR(__xludf.DUMMYFUNCTION("""COMPUTED_VALUE"""),"M2")</f>
        <v>M2</v>
      </c>
      <c r="F610" s="2" t="str">
        <f>IFERROR(__xludf.DUMMYFUNCTION("""COMPUTED_VALUE"""),"Vínculo Ciudadano")</f>
        <v>Vínculo Ciudadano</v>
      </c>
      <c r="G610" s="2" t="str">
        <f>IFERROR(__xludf.DUMMYFUNCTION("""COMPUTED_VALUE"""),"Finalizada")</f>
        <v>Finalizada</v>
      </c>
      <c r="H610" s="4">
        <v>0.0</v>
      </c>
      <c r="I610" s="4">
        <v>0.0</v>
      </c>
      <c r="J610" s="4">
        <v>0.0</v>
      </c>
      <c r="K610" s="4">
        <v>0.0</v>
      </c>
      <c r="L610" s="5">
        <v>0.0</v>
      </c>
      <c r="M610" s="5">
        <v>0.0</v>
      </c>
      <c r="N610" s="4">
        <v>11792.0</v>
      </c>
      <c r="O610" s="4">
        <v>11668.0</v>
      </c>
      <c r="P610" s="4">
        <v>4485.0</v>
      </c>
      <c r="Q610" s="4">
        <v>287.0</v>
      </c>
      <c r="R610" s="4">
        <v>0.0</v>
      </c>
      <c r="S610" s="4">
        <v>0.0</v>
      </c>
      <c r="T610" s="4">
        <v>0.0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0.0</v>
      </c>
      <c r="AB610" s="4">
        <v>0.0</v>
      </c>
      <c r="AC610" s="4">
        <v>0.0</v>
      </c>
      <c r="AD610" s="4" t="s">
        <v>8</v>
      </c>
      <c r="AE610" s="6" t="s">
        <v>9</v>
      </c>
    </row>
    <row r="611" ht="16.5" customHeight="1">
      <c r="A611" s="2" t="str">
        <f>IFERROR(__xludf.DUMMYFUNCTION("""COMPUTED_VALUE"""),"3070-MAYINFGC")</f>
        <v>3070-MAYINFGC</v>
      </c>
      <c r="B611" s="2" t="str">
        <f>IFERROR(__xludf.DUMMYFUNCTION("""COMPUTED_VALUE"""),"Infraestructura I Corte en Vélez por evento musical AIRBAG")</f>
        <v>Infraestructura I Corte en Vélez por evento musical AIRBAG</v>
      </c>
      <c r="C611" s="3">
        <f>IFERROR(__xludf.DUMMYFUNCTION("""COMPUTED_VALUE"""),46163.0)</f>
        <v>46163</v>
      </c>
      <c r="D611" s="3">
        <f>IFERROR(__xludf.DUMMYFUNCTION("""COMPUTED_VALUE"""),46173.0)</f>
        <v>46173</v>
      </c>
      <c r="E611" s="2" t="str">
        <f>IFERROR(__xludf.DUMMYFUNCTION("""COMPUTED_VALUE"""),"Movilidad")</f>
        <v>Movilidad</v>
      </c>
      <c r="F611" s="2" t="str">
        <f>IFERROR(__xludf.DUMMYFUNCTION("""COMPUTED_VALUE"""),"Infraestructura")</f>
        <v>Infraestructura</v>
      </c>
      <c r="G611" s="2" t="str">
        <f>IFERROR(__xludf.DUMMYFUNCTION("""COMPUTED_VALUE"""),"Finalizada")</f>
        <v>Finalizada</v>
      </c>
      <c r="H611" s="4">
        <v>133236.0</v>
      </c>
      <c r="I611" s="4">
        <v>0.0</v>
      </c>
      <c r="J611" s="4">
        <v>1739.0</v>
      </c>
      <c r="K611" s="4">
        <v>57929.0</v>
      </c>
      <c r="L611" s="5">
        <v>2.2999879162422965</v>
      </c>
      <c r="M611" s="5">
        <v>2.2999879162422965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0.0</v>
      </c>
      <c r="AB611" s="4">
        <v>0.0</v>
      </c>
      <c r="AC611" s="4">
        <v>0.0</v>
      </c>
      <c r="AD611" s="6" t="s">
        <v>216</v>
      </c>
      <c r="AE611" s="4" t="s">
        <v>8</v>
      </c>
    </row>
    <row r="612" ht="16.5" customHeight="1">
      <c r="A612" s="2" t="str">
        <f>IFERROR(__xludf.DUMMYFUNCTION("""COMPUTED_VALUE"""),"3071-MAYFESGC")</f>
        <v>3071-MAYFESGC</v>
      </c>
      <c r="B612" s="2" t="str">
        <f>IFERROR(__xludf.DUMMYFUNCTION("""COMPUTED_VALUE"""),"POST La noche del obelisco: 90 años")</f>
        <v>POST La noche del obelisco: 90 años</v>
      </c>
      <c r="C612" s="3">
        <f>IFERROR(__xludf.DUMMYFUNCTION("""COMPUTED_VALUE"""),46157.0)</f>
        <v>46157</v>
      </c>
      <c r="D612" s="3">
        <f>IFERROR(__xludf.DUMMYFUNCTION("""COMPUTED_VALUE"""),46173.0)</f>
        <v>46173</v>
      </c>
      <c r="E612" s="2" t="str">
        <f>IFERROR(__xludf.DUMMYFUNCTION("""COMPUTED_VALUE"""),"Ciudad Atractiva")</f>
        <v>Ciudad Atractiva</v>
      </c>
      <c r="F612" s="2" t="str">
        <f>IFERROR(__xludf.DUMMYFUNCTION("""COMPUTED_VALUE"""),"Festivales y Eventos")</f>
        <v>Festivales y Eventos</v>
      </c>
      <c r="G612" s="2" t="str">
        <f>IFERROR(__xludf.DUMMYFUNCTION("""COMPUTED_VALUE"""),"Finalizada")</f>
        <v>Finalizada</v>
      </c>
      <c r="H612" s="4">
        <v>1440842.0</v>
      </c>
      <c r="I612" s="4">
        <v>535384.0</v>
      </c>
      <c r="J612" s="4">
        <v>1597.0</v>
      </c>
      <c r="K612" s="4">
        <v>210932.0</v>
      </c>
      <c r="L612" s="5">
        <v>1.9570809549997155</v>
      </c>
      <c r="M612" s="5">
        <v>6.830836478106688</v>
      </c>
      <c r="N612" s="4">
        <v>185551.0</v>
      </c>
      <c r="O612" s="4">
        <v>184351.0</v>
      </c>
      <c r="P612" s="4">
        <v>77479.0</v>
      </c>
      <c r="Q612" s="4">
        <v>1423.0</v>
      </c>
      <c r="R612" s="4">
        <v>0.0</v>
      </c>
      <c r="S612" s="4">
        <v>0.0</v>
      </c>
      <c r="T612" s="4">
        <v>0.0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0.0</v>
      </c>
      <c r="AB612" s="4">
        <v>0.0</v>
      </c>
      <c r="AC612" s="4">
        <v>0.0</v>
      </c>
      <c r="AD612" s="6" t="s">
        <v>217</v>
      </c>
      <c r="AE612" s="6" t="s">
        <v>9</v>
      </c>
    </row>
    <row r="613" ht="16.5" customHeight="1">
      <c r="A613" s="2" t="str">
        <f>IFERROR(__xludf.DUMMYFUNCTION("""COMPUTED_VALUE"""),"3072-MAYCULVC")</f>
        <v>3072-MAYCULVC</v>
      </c>
      <c r="B613" s="2" t="str">
        <f>IFERROR(__xludf.DUMMYFUNCTION("""COMPUTED_VALUE"""),"RDV Ministros | Gabriela Ricardes 26/5 Comuna 5")</f>
        <v>RDV Ministros | Gabriela Ricardes 26/5 Comuna 5</v>
      </c>
      <c r="C613" s="3">
        <f>IFERROR(__xludf.DUMMYFUNCTION("""COMPUTED_VALUE"""),46163.0)</f>
        <v>46163</v>
      </c>
      <c r="D613" s="3">
        <f>IFERROR(__xludf.DUMMYFUNCTION("""COMPUTED_VALUE"""),46169.0)</f>
        <v>46169</v>
      </c>
      <c r="E613" s="2" t="str">
        <f>IFERROR(__xludf.DUMMYFUNCTION("""COMPUTED_VALUE"""),"Cercanía")</f>
        <v>Cercanía</v>
      </c>
      <c r="F613" s="2" t="str">
        <f>IFERROR(__xludf.DUMMYFUNCTION("""COMPUTED_VALUE"""),"Cultura")</f>
        <v>Cultura</v>
      </c>
      <c r="G613" s="2" t="str">
        <f>IFERROR(__xludf.DUMMYFUNCTION("""COMPUTED_VALUE"""),"Finalizada")</f>
        <v>Finalizada</v>
      </c>
      <c r="H613" s="4">
        <v>294198.0</v>
      </c>
      <c r="I613" s="4">
        <v>0.0</v>
      </c>
      <c r="J613" s="4">
        <v>345.0</v>
      </c>
      <c r="K613" s="4">
        <v>207245.0</v>
      </c>
      <c r="L613" s="5">
        <v>1.4195662139014211</v>
      </c>
      <c r="M613" s="5">
        <v>1.4195662139014211</v>
      </c>
      <c r="N613" s="4">
        <v>27280.0</v>
      </c>
      <c r="O613" s="4">
        <v>26938.0</v>
      </c>
      <c r="P613" s="4">
        <v>5066.0</v>
      </c>
      <c r="Q613" s="4">
        <v>118.0</v>
      </c>
      <c r="R613" s="4">
        <v>0.0</v>
      </c>
      <c r="S613" s="4">
        <v>0.0</v>
      </c>
      <c r="T613" s="4">
        <v>0.0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0.0</v>
      </c>
      <c r="AB613" s="4">
        <v>0.0</v>
      </c>
      <c r="AC613" s="4">
        <v>0.0</v>
      </c>
      <c r="AD613" s="4"/>
      <c r="AE613" s="6" t="s">
        <v>9</v>
      </c>
    </row>
    <row r="614" ht="16.5" customHeight="1">
      <c r="A614" s="2" t="str">
        <f>IFERROR(__xludf.DUMMYFUNCTION("""COMPUTED_VALUE"""),"3073-MAYJDGAG")</f>
        <v>3073-MAYJDGAG</v>
      </c>
      <c r="B614" s="2" t="str">
        <f>IFERROR(__xludf.DUMMYFUNCTION("""COMPUTED_VALUE"""),"RDV JM | 29/5 - Saavedra")</f>
        <v>RDV JM | 29/5 - Saavedra</v>
      </c>
      <c r="C614" s="3">
        <f>IFERROR(__xludf.DUMMYFUNCTION("""COMPUTED_VALUE"""),46164.0)</f>
        <v>46164</v>
      </c>
      <c r="D614" s="3">
        <f>IFERROR(__xludf.DUMMYFUNCTION("""COMPUTED_VALUE"""),46187.0)</f>
        <v>46187</v>
      </c>
      <c r="E614" s="2" t="str">
        <f>IFERROR(__xludf.DUMMYFUNCTION("""COMPUTED_VALUE"""),"Cercanía")</f>
        <v>Cercanía</v>
      </c>
      <c r="F614" s="2" t="str">
        <f>IFERROR(__xludf.DUMMYFUNCTION("""COMPUTED_VALUE"""),"Jefatura de Gobierno")</f>
        <v>Jefatura de Gobierno</v>
      </c>
      <c r="G614" s="2" t="str">
        <f>IFERROR(__xludf.DUMMYFUNCTION("""COMPUTED_VALUE"""),"Finalizada")</f>
        <v>Finalizada</v>
      </c>
      <c r="H614" s="4">
        <v>1073722.0</v>
      </c>
      <c r="I614" s="4">
        <v>388490.0</v>
      </c>
      <c r="J614" s="4">
        <v>2899.0</v>
      </c>
      <c r="K614" s="4">
        <v>12889.0</v>
      </c>
      <c r="L614" s="5">
        <v>6.944293583676003</v>
      </c>
      <c r="M614" s="5">
        <v>83.3052990922492</v>
      </c>
      <c r="N614" s="4">
        <v>27008.0</v>
      </c>
      <c r="O614" s="4">
        <v>26784.0</v>
      </c>
      <c r="P614" s="4">
        <v>6396.0</v>
      </c>
      <c r="Q614" s="4">
        <v>103.0</v>
      </c>
      <c r="R614" s="4">
        <v>0.0</v>
      </c>
      <c r="S614" s="4">
        <v>0.0</v>
      </c>
      <c r="T614" s="4">
        <v>0.0</v>
      </c>
      <c r="U614" s="4">
        <v>0.0</v>
      </c>
      <c r="V614" s="4">
        <v>6292.0</v>
      </c>
      <c r="W614" s="4">
        <v>6292.0</v>
      </c>
      <c r="X614" s="4">
        <v>5359.0</v>
      </c>
      <c r="Y614" s="4">
        <v>2335.0</v>
      </c>
      <c r="Z614" s="4">
        <v>11.0</v>
      </c>
      <c r="AA614" s="4">
        <v>0.0</v>
      </c>
      <c r="AB614" s="4">
        <v>0.0</v>
      </c>
      <c r="AC614" s="4">
        <v>0.0</v>
      </c>
      <c r="AD614" s="6" t="s">
        <v>218</v>
      </c>
      <c r="AE614" s="6" t="s">
        <v>9</v>
      </c>
    </row>
    <row r="615" ht="16.5" customHeight="1">
      <c r="A615" s="2" t="str">
        <f>IFERROR(__xludf.DUMMYFUNCTION("""COMPUTED_VALUE"""),"3074-MAYJDGAG")</f>
        <v>3074-MAYJDGAG</v>
      </c>
      <c r="B615" s="2" t="str">
        <f>IFERROR(__xludf.DUMMYFUNCTION("""COMPUTED_VALUE"""),"RDV JM TEMÁTICA | TE CUENTO BS AS 28/05 CIUDAD ATRACTIVA EJE ESTE")</f>
        <v>RDV JM TEMÁTICA | TE CUENTO BS AS 28/05 CIUDAD ATRACTIVA EJE ESTE</v>
      </c>
      <c r="C615" s="3">
        <f>IFERROR(__xludf.DUMMYFUNCTION("""COMPUTED_VALUE"""),46164.0)</f>
        <v>46164</v>
      </c>
      <c r="D615" s="3">
        <f>IFERROR(__xludf.DUMMYFUNCTION("""COMPUTED_VALUE"""),46186.0)</f>
        <v>46186</v>
      </c>
      <c r="E615" s="2" t="str">
        <f>IFERROR(__xludf.DUMMYFUNCTION("""COMPUTED_VALUE"""),"Cercanía")</f>
        <v>Cercanía</v>
      </c>
      <c r="F615" s="2" t="str">
        <f>IFERROR(__xludf.DUMMYFUNCTION("""COMPUTED_VALUE"""),"Jefatura de Gobierno")</f>
        <v>Jefatura de Gobierno</v>
      </c>
      <c r="G615" s="2" t="str">
        <f>IFERROR(__xludf.DUMMYFUNCTION("""COMPUTED_VALUE"""),"Finalizada")</f>
        <v>Finalizada</v>
      </c>
      <c r="H615" s="4">
        <v>4757280.0</v>
      </c>
      <c r="I615" s="4">
        <v>1489363.0</v>
      </c>
      <c r="J615" s="4">
        <v>24561.0</v>
      </c>
      <c r="K615" s="4">
        <v>200673.0</v>
      </c>
      <c r="L615" s="5">
        <v>3.725219635925112</v>
      </c>
      <c r="M615" s="5">
        <v>23.706627199473772</v>
      </c>
      <c r="N615" s="4">
        <v>402834.0</v>
      </c>
      <c r="O615" s="4">
        <v>397607.0</v>
      </c>
      <c r="P615" s="4">
        <v>56489.0</v>
      </c>
      <c r="Q615" s="4">
        <v>1432.0</v>
      </c>
      <c r="R615" s="4">
        <v>12131.0</v>
      </c>
      <c r="S615" s="4">
        <v>12108.0</v>
      </c>
      <c r="T615" s="4">
        <v>2796.0</v>
      </c>
      <c r="U615" s="4">
        <v>2128.0</v>
      </c>
      <c r="V615" s="4">
        <v>153326.0</v>
      </c>
      <c r="W615" s="4">
        <v>153326.0</v>
      </c>
      <c r="X615" s="4">
        <v>140588.0</v>
      </c>
      <c r="Y615" s="4">
        <v>72013.0</v>
      </c>
      <c r="Z615" s="4">
        <v>236.0</v>
      </c>
      <c r="AA615" s="4">
        <v>0.0</v>
      </c>
      <c r="AB615" s="4">
        <v>0.0</v>
      </c>
      <c r="AC615" s="4">
        <v>0.0</v>
      </c>
      <c r="AD615" s="6" t="s">
        <v>219</v>
      </c>
      <c r="AE615" s="6" t="s">
        <v>9</v>
      </c>
    </row>
    <row r="616" ht="16.5" customHeight="1">
      <c r="A616" s="2" t="str">
        <f>IFERROR(__xludf.DUMMYFUNCTION("""COMPUTED_VALUE"""),"3075-MAYEPHVC")</f>
        <v>3075-MAYEPHVC</v>
      </c>
      <c r="B616" s="2" t="str">
        <f>IFERROR(__xludf.DUMMYFUNCTION("""COMPUTED_VALUE"""),"RDV ministros | Ignacio Baistrocchi, Comuna 4 26/5")</f>
        <v>RDV ministros | Ignacio Baistrocchi, Comuna 4 26/5</v>
      </c>
      <c r="C616" s="3">
        <f>IFERROR(__xludf.DUMMYFUNCTION("""COMPUTED_VALUE"""),46164.0)</f>
        <v>46164</v>
      </c>
      <c r="D616" s="3">
        <f>IFERROR(__xludf.DUMMYFUNCTION("""COMPUTED_VALUE"""),46169.0)</f>
        <v>46169</v>
      </c>
      <c r="E616" s="2" t="str">
        <f>IFERROR(__xludf.DUMMYFUNCTION("""COMPUTED_VALUE"""),"Cercanía")</f>
        <v>Cercanía</v>
      </c>
      <c r="F616" s="2" t="str">
        <f>IFERROR(__xludf.DUMMYFUNCTION("""COMPUTED_VALUE"""),"Espacio Público e Higiene Urbana")</f>
        <v>Espacio Público e Higiene Urbana</v>
      </c>
      <c r="G616" s="2" t="str">
        <f>IFERROR(__xludf.DUMMYFUNCTION("""COMPUTED_VALUE"""),"Finalizada")</f>
        <v>Finalizada</v>
      </c>
      <c r="H616" s="4">
        <v>144574.0</v>
      </c>
      <c r="I616" s="4">
        <v>0.0</v>
      </c>
      <c r="J616" s="4">
        <v>501.0</v>
      </c>
      <c r="K616" s="4">
        <v>93081.0</v>
      </c>
      <c r="L616" s="5">
        <v>1.5532063471600004</v>
      </c>
      <c r="M616" s="5">
        <v>1.5532063471600004</v>
      </c>
      <c r="N616" s="4">
        <v>80454.0</v>
      </c>
      <c r="O616" s="4">
        <v>79106.0</v>
      </c>
      <c r="P616" s="4">
        <v>9201.0</v>
      </c>
      <c r="Q616" s="4">
        <v>343.0</v>
      </c>
      <c r="R616" s="4">
        <v>166.0</v>
      </c>
      <c r="S616" s="4">
        <v>166.0</v>
      </c>
      <c r="T616" s="4">
        <v>36.0</v>
      </c>
      <c r="U616" s="4">
        <v>35.0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0.0</v>
      </c>
      <c r="AB616" s="4">
        <v>0.0</v>
      </c>
      <c r="AC616" s="4">
        <v>0.0</v>
      </c>
      <c r="AD616" s="4"/>
      <c r="AE616" s="6" t="s">
        <v>9</v>
      </c>
    </row>
    <row r="617" ht="16.5" customHeight="1">
      <c r="A617" s="2" t="str">
        <f>IFERROR(__xludf.DUMMYFUNCTION("""COMPUTED_VALUE"""),"3076-MAYEDUVC")</f>
        <v>3076-MAYEDUVC</v>
      </c>
      <c r="B617" s="2" t="str">
        <f>IFERROR(__xludf.DUMMYFUNCTION("""COMPUTED_VALUE"""),"RDV MINISTROS | MERCEDES MIGUEL | COMUNA 8 | 29/5")</f>
        <v>RDV MINISTROS | MERCEDES MIGUEL | COMUNA 8 | 29/5</v>
      </c>
      <c r="C617" s="3">
        <f>IFERROR(__xludf.DUMMYFUNCTION("""COMPUTED_VALUE"""),46168.0)</f>
        <v>46168</v>
      </c>
      <c r="D617" s="3">
        <f>IFERROR(__xludf.DUMMYFUNCTION("""COMPUTED_VALUE"""),46174.0)</f>
        <v>46174</v>
      </c>
      <c r="E617" s="2" t="str">
        <f>IFERROR(__xludf.DUMMYFUNCTION("""COMPUTED_VALUE"""),"Cercanía")</f>
        <v>Cercanía</v>
      </c>
      <c r="F617" s="2" t="str">
        <f>IFERROR(__xludf.DUMMYFUNCTION("""COMPUTED_VALUE"""),"Educación")</f>
        <v>Educación</v>
      </c>
      <c r="G617" s="2" t="str">
        <f>IFERROR(__xludf.DUMMYFUNCTION("""COMPUTED_VALUE"""),"Finalizada")</f>
        <v>Finalizada</v>
      </c>
      <c r="H617" s="4">
        <v>106318.0</v>
      </c>
      <c r="I617" s="4">
        <v>0.0</v>
      </c>
      <c r="J617" s="4">
        <v>456.0</v>
      </c>
      <c r="K617" s="4">
        <v>67137.0</v>
      </c>
      <c r="L617" s="5">
        <v>1.5835977180988128</v>
      </c>
      <c r="M617" s="5">
        <v>1.5835977180988128</v>
      </c>
      <c r="N617" s="4">
        <v>15319.0</v>
      </c>
      <c r="O617" s="4">
        <v>14912.0</v>
      </c>
      <c r="P617" s="4">
        <v>1571.0</v>
      </c>
      <c r="Q617" s="4">
        <v>57.0</v>
      </c>
      <c r="R617" s="4">
        <v>48.0</v>
      </c>
      <c r="S617" s="4">
        <v>48.0</v>
      </c>
      <c r="T617" s="4">
        <v>18.0</v>
      </c>
      <c r="U617" s="4">
        <v>18.0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0.0</v>
      </c>
      <c r="AB617" s="4">
        <v>0.0</v>
      </c>
      <c r="AC617" s="4">
        <v>0.0</v>
      </c>
      <c r="AD617" s="4"/>
      <c r="AE617" s="6" t="s">
        <v>9</v>
      </c>
    </row>
    <row r="618" ht="16.5" customHeight="1">
      <c r="A618" s="2" t="str">
        <f>IFERROR(__xludf.DUMMYFUNCTION("""COMPUTED_VALUE"""),"3077-MAYINFVC")</f>
        <v>3077-MAYINFVC</v>
      </c>
      <c r="B618" s="2" t="str">
        <f>IFERROR(__xludf.DUMMYFUNCTION("""COMPUTED_VALUE"""),"RDV Ministros | Pablo Bereciartua - 27/5 - Comuna 10")</f>
        <v>RDV Ministros | Pablo Bereciartua - 27/5 - Comuna 10</v>
      </c>
      <c r="C618" s="3">
        <f>IFERROR(__xludf.DUMMYFUNCTION("""COMPUTED_VALUE"""),46164.0)</f>
        <v>46164</v>
      </c>
      <c r="D618" s="3">
        <f>IFERROR(__xludf.DUMMYFUNCTION("""COMPUTED_VALUE"""),46170.0)</f>
        <v>46170</v>
      </c>
      <c r="E618" s="2" t="str">
        <f>IFERROR(__xludf.DUMMYFUNCTION("""COMPUTED_VALUE"""),"Cercanía")</f>
        <v>Cercanía</v>
      </c>
      <c r="F618" s="2" t="str">
        <f>IFERROR(__xludf.DUMMYFUNCTION("""COMPUTED_VALUE"""),"Infraestructura")</f>
        <v>Infraestructura</v>
      </c>
      <c r="G618" s="2" t="str">
        <f>IFERROR(__xludf.DUMMYFUNCTION("""COMPUTED_VALUE"""),"Finalizada")</f>
        <v>Finalizada</v>
      </c>
      <c r="H618" s="4">
        <v>104469.0</v>
      </c>
      <c r="I618" s="4">
        <v>0.0</v>
      </c>
      <c r="J618" s="4">
        <v>356.0</v>
      </c>
      <c r="K618" s="4">
        <v>64009.0</v>
      </c>
      <c r="L618" s="5">
        <v>1.6320986111328095</v>
      </c>
      <c r="M618" s="5">
        <v>1.6320986111328095</v>
      </c>
      <c r="N618" s="4">
        <v>73270.0</v>
      </c>
      <c r="O618" s="4">
        <v>72484.0</v>
      </c>
      <c r="P618" s="4">
        <v>12102.0</v>
      </c>
      <c r="Q618" s="4">
        <v>291.0</v>
      </c>
      <c r="R618" s="4">
        <v>166.0</v>
      </c>
      <c r="S618" s="4">
        <v>166.0</v>
      </c>
      <c r="T618" s="4">
        <v>53.0</v>
      </c>
      <c r="U618" s="4">
        <v>49.0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0.0</v>
      </c>
      <c r="AB618" s="4">
        <v>0.0</v>
      </c>
      <c r="AC618" s="4">
        <v>0.0</v>
      </c>
      <c r="AD618" s="4"/>
      <c r="AE618" s="6" t="s">
        <v>9</v>
      </c>
    </row>
    <row r="619" ht="16.5" customHeight="1">
      <c r="A619" s="2" t="str">
        <f>IFERROR(__xludf.DUMMYFUNCTION("""COMPUTED_VALUE"""),"3078-MAYDECGC")</f>
        <v>3078-MAYDECGC</v>
      </c>
      <c r="B619" s="2" t="str">
        <f>IFERROR(__xludf.DUMMYFUNCTION("""COMPUTED_VALUE"""),"Barrios a la carta: Chacarita")</f>
        <v>Barrios a la carta: Chacarita</v>
      </c>
      <c r="C619" s="3">
        <f>IFERROR(__xludf.DUMMYFUNCTION("""COMPUTED_VALUE"""),46169.0)</f>
        <v>46169</v>
      </c>
      <c r="D619" s="3">
        <f>IFERROR(__xludf.DUMMYFUNCTION("""COMPUTED_VALUE"""),46173.0)</f>
        <v>46173</v>
      </c>
      <c r="E619" s="2" t="str">
        <f>IFERROR(__xludf.DUMMYFUNCTION("""COMPUTED_VALUE"""),"Ciudad Atractiva")</f>
        <v>Ciudad Atractiva</v>
      </c>
      <c r="F619" s="2" t="str">
        <f>IFERROR(__xludf.DUMMYFUNCTION("""COMPUTED_VALUE"""),"Desarrollo Económico")</f>
        <v>Desarrollo Económico</v>
      </c>
      <c r="G619" s="2" t="str">
        <f>IFERROR(__xludf.DUMMYFUNCTION("""COMPUTED_VALUE"""),"Finalizada")</f>
        <v>Finalizada</v>
      </c>
      <c r="H619" s="4">
        <v>1475395.0</v>
      </c>
      <c r="I619" s="4">
        <v>0.0</v>
      </c>
      <c r="J619" s="4">
        <v>15349.0</v>
      </c>
      <c r="K619" s="4">
        <v>126275.0</v>
      </c>
      <c r="L619" s="5">
        <v>1.1907978618095427</v>
      </c>
      <c r="M619" s="5">
        <v>11.683983369629777</v>
      </c>
      <c r="N619" s="4">
        <v>56195.0</v>
      </c>
      <c r="O619" s="4">
        <v>55522.0</v>
      </c>
      <c r="P619" s="4">
        <v>18382.0</v>
      </c>
      <c r="Q619" s="4">
        <v>659.0</v>
      </c>
      <c r="R619" s="4">
        <v>0.0</v>
      </c>
      <c r="S619" s="4">
        <v>0.0</v>
      </c>
      <c r="T619" s="4">
        <v>0.0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0.0</v>
      </c>
      <c r="AB619" s="4">
        <v>0.0</v>
      </c>
      <c r="AC619" s="4">
        <v>0.0</v>
      </c>
      <c r="AD619" s="6" t="s">
        <v>220</v>
      </c>
      <c r="AE619" s="6" t="s">
        <v>9</v>
      </c>
    </row>
    <row r="620" ht="16.5" customHeight="1">
      <c r="A620" s="2" t="str">
        <f>IFERROR(__xludf.DUMMYFUNCTION("""COMPUTED_VALUE"""),"3079-MAYDHHVC")</f>
        <v>3079-MAYDHHVC</v>
      </c>
      <c r="B620" s="2" t="str">
        <f>IFERROR(__xludf.DUMMYFUNCTION("""COMPUTED_VALUE"""),"RDV Ministros | Gabriel Mraida - 27/5 - Comuna 14")</f>
        <v>RDV Ministros | Gabriel Mraida - 27/5 - Comuna 14</v>
      </c>
      <c r="C620" s="3">
        <f>IFERROR(__xludf.DUMMYFUNCTION("""COMPUTED_VALUE"""),46164.0)</f>
        <v>46164</v>
      </c>
      <c r="D620" s="3">
        <f>IFERROR(__xludf.DUMMYFUNCTION("""COMPUTED_VALUE"""),46170.0)</f>
        <v>46170</v>
      </c>
      <c r="E620" s="2" t="str">
        <f>IFERROR(__xludf.DUMMYFUNCTION("""COMPUTED_VALUE"""),"Cercanía")</f>
        <v>Cercanía</v>
      </c>
      <c r="F620" s="2" t="str">
        <f>IFERROR(__xludf.DUMMYFUNCTION("""COMPUTED_VALUE"""),"Desarrollo Humano y Hábitat")</f>
        <v>Desarrollo Humano y Hábitat</v>
      </c>
      <c r="G620" s="2" t="str">
        <f>IFERROR(__xludf.DUMMYFUNCTION("""COMPUTED_VALUE"""),"Finalizada")</f>
        <v>Finalizada</v>
      </c>
      <c r="H620" s="4">
        <v>429369.0</v>
      </c>
      <c r="I620" s="4">
        <v>0.0</v>
      </c>
      <c r="J620" s="4">
        <v>499.0</v>
      </c>
      <c r="K620" s="4">
        <v>274037.0</v>
      </c>
      <c r="L620" s="5">
        <v>1.5668285669453395</v>
      </c>
      <c r="M620" s="5">
        <v>1.5668285669453395</v>
      </c>
      <c r="N620" s="4">
        <v>88846.0</v>
      </c>
      <c r="O620" s="4">
        <v>87920.0</v>
      </c>
      <c r="P620" s="4">
        <v>22861.0</v>
      </c>
      <c r="Q620" s="4">
        <v>262.0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0.0</v>
      </c>
      <c r="AB620" s="4">
        <v>0.0</v>
      </c>
      <c r="AC620" s="4">
        <v>0.0</v>
      </c>
      <c r="AD620" s="4"/>
      <c r="AE620" s="6" t="s">
        <v>9</v>
      </c>
    </row>
    <row r="621" ht="16.5" customHeight="1">
      <c r="A621" s="2" t="str">
        <f>IFERROR(__xludf.DUMMYFUNCTION("""COMPUTED_VALUE"""),"3080-MAYINFGC")</f>
        <v>3080-MAYINFGC</v>
      </c>
      <c r="B621" s="2" t="str">
        <f>IFERROR(__xludf.DUMMYFUNCTION("""COMPUTED_VALUE"""),"Infraestructura I Corte por Tedeum del 25 de mayo")</f>
        <v>Infraestructura I Corte por Tedeum del 25 de mayo</v>
      </c>
      <c r="C621" s="3">
        <f>IFERROR(__xludf.DUMMYFUNCTION("""COMPUTED_VALUE"""),46164.0)</f>
        <v>46164</v>
      </c>
      <c r="D621" s="3">
        <f>IFERROR(__xludf.DUMMYFUNCTION("""COMPUTED_VALUE"""),46167.0)</f>
        <v>46167</v>
      </c>
      <c r="E621" s="2" t="str">
        <f>IFERROR(__xludf.DUMMYFUNCTION("""COMPUTED_VALUE"""),"Movilidad")</f>
        <v>Movilidad</v>
      </c>
      <c r="F621" s="2" t="str">
        <f>IFERROR(__xludf.DUMMYFUNCTION("""COMPUTED_VALUE"""),"Infraestructura")</f>
        <v>Infraestructura</v>
      </c>
      <c r="G621" s="2" t="str">
        <f>IFERROR(__xludf.DUMMYFUNCTION("""COMPUTED_VALUE"""),"Finalizada")</f>
        <v>Finalizada</v>
      </c>
      <c r="H621" s="4">
        <v>17564.0</v>
      </c>
      <c r="I621" s="4">
        <v>0.0</v>
      </c>
      <c r="J621" s="4">
        <v>145.0</v>
      </c>
      <c r="K621" s="4">
        <v>11756.0</v>
      </c>
      <c r="L621" s="5">
        <v>1.494045593739367</v>
      </c>
      <c r="M621" s="5">
        <v>1.494045593739367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0.0</v>
      </c>
      <c r="AB621" s="4">
        <v>0.0</v>
      </c>
      <c r="AC621" s="4">
        <v>0.0</v>
      </c>
      <c r="AD621" s="6" t="s">
        <v>221</v>
      </c>
      <c r="AE621" s="4" t="s">
        <v>8</v>
      </c>
    </row>
    <row r="622" ht="16.5" customHeight="1">
      <c r="A622" s="2" t="str">
        <f>IFERROR(__xludf.DUMMYFUNCTION("""COMPUTED_VALUE"""),"3081-MAYINFGC")</f>
        <v>3081-MAYINFGC</v>
      </c>
      <c r="B622" s="2" t="str">
        <f>IFERROR(__xludf.DUMMYFUNCTION("""COMPUTED_VALUE"""),"Infraestructura I Cortes de tránsito 90° Aniversario del Obelisco. ")</f>
        <v>Infraestructura I Cortes de tránsito 90° Aniversario del Obelisco. </v>
      </c>
      <c r="C622" s="3">
        <f>IFERROR(__xludf.DUMMYFUNCTION("""COMPUTED_VALUE"""),46164.0)</f>
        <v>46164</v>
      </c>
      <c r="D622" s="3">
        <f>IFERROR(__xludf.DUMMYFUNCTION("""COMPUTED_VALUE"""),46166.0)</f>
        <v>46166</v>
      </c>
      <c r="E622" s="2" t="str">
        <f>IFERROR(__xludf.DUMMYFUNCTION("""COMPUTED_VALUE"""),"Movilidad")</f>
        <v>Movilidad</v>
      </c>
      <c r="F622" s="2" t="str">
        <f>IFERROR(__xludf.DUMMYFUNCTION("""COMPUTED_VALUE"""),"Infraestructura")</f>
        <v>Infraestructura</v>
      </c>
      <c r="G622" s="2" t="str">
        <f>IFERROR(__xludf.DUMMYFUNCTION("""COMPUTED_VALUE"""),"Finalizada")</f>
        <v>Finalizada</v>
      </c>
      <c r="H622" s="4">
        <v>231363.0</v>
      </c>
      <c r="I622" s="4">
        <v>0.0</v>
      </c>
      <c r="J622" s="4">
        <v>717.0</v>
      </c>
      <c r="K622" s="4">
        <v>202011.0</v>
      </c>
      <c r="L622" s="5">
        <v>1.1452990183702867</v>
      </c>
      <c r="M622" s="5">
        <v>1.1452990183702867</v>
      </c>
      <c r="N622" s="4">
        <v>118029.0</v>
      </c>
      <c r="O622" s="4">
        <v>117458.0</v>
      </c>
      <c r="P622" s="4">
        <v>31452.0</v>
      </c>
      <c r="Q622" s="4">
        <v>454.0</v>
      </c>
      <c r="R622" s="4">
        <v>0.0</v>
      </c>
      <c r="S622" s="4">
        <v>0.0</v>
      </c>
      <c r="T622" s="4">
        <v>0.0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0.0</v>
      </c>
      <c r="AB622" s="4">
        <v>0.0</v>
      </c>
      <c r="AC622" s="4">
        <v>0.0</v>
      </c>
      <c r="AD622" s="6" t="s">
        <v>222</v>
      </c>
      <c r="AE622" s="6" t="s">
        <v>9</v>
      </c>
    </row>
    <row r="623" ht="16.5" customHeight="1">
      <c r="A623" s="2" t="str">
        <f>IFERROR(__xludf.DUMMYFUNCTION("""COMPUTED_VALUE"""),"3082-MAYSEGVC")</f>
        <v>3082-MAYSEGVC</v>
      </c>
      <c r="B623" s="2" t="str">
        <f>IFERROR(__xludf.DUMMYFUNCTION("""COMPUTED_VALUE"""),"RDV Ministros | Gabino Tapia 28/5 Comuna 12")</f>
        <v>RDV Ministros | Gabino Tapia 28/5 Comuna 12</v>
      </c>
      <c r="C623" s="3">
        <f>IFERROR(__xludf.DUMMYFUNCTION("""COMPUTED_VALUE"""),46164.0)</f>
        <v>46164</v>
      </c>
      <c r="D623" s="3">
        <f>IFERROR(__xludf.DUMMYFUNCTION("""COMPUTED_VALUE"""),46171.0)</f>
        <v>46171</v>
      </c>
      <c r="E623" s="2" t="str">
        <f>IFERROR(__xludf.DUMMYFUNCTION("""COMPUTED_VALUE"""),"Cercanía")</f>
        <v>Cercanía</v>
      </c>
      <c r="F623" s="2" t="str">
        <f>IFERROR(__xludf.DUMMYFUNCTION("""COMPUTED_VALUE"""),"Seguridad")</f>
        <v>Seguridad</v>
      </c>
      <c r="G623" s="2" t="str">
        <f>IFERROR(__xludf.DUMMYFUNCTION("""COMPUTED_VALUE"""),"Finalizada")</f>
        <v>Finalizada</v>
      </c>
      <c r="H623" s="4">
        <v>157612.0</v>
      </c>
      <c r="I623" s="4">
        <v>0.0</v>
      </c>
      <c r="J623" s="4">
        <v>448.0</v>
      </c>
      <c r="K623" s="4">
        <v>95664.0</v>
      </c>
      <c r="L623" s="5">
        <v>1.6475581200869711</v>
      </c>
      <c r="M623" s="5">
        <v>1.6475581200869711</v>
      </c>
      <c r="N623" s="4">
        <v>94883.0</v>
      </c>
      <c r="O623" s="4">
        <v>93953.0</v>
      </c>
      <c r="P623" s="4">
        <v>25301.0</v>
      </c>
      <c r="Q623" s="4">
        <v>268.0</v>
      </c>
      <c r="R623" s="4">
        <v>151.0</v>
      </c>
      <c r="S623" s="4">
        <v>151.0</v>
      </c>
      <c r="T623" s="4">
        <v>37.0</v>
      </c>
      <c r="U623" s="4">
        <v>35.0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0.0</v>
      </c>
      <c r="AB623" s="4">
        <v>0.0</v>
      </c>
      <c r="AC623" s="4">
        <v>0.0</v>
      </c>
      <c r="AD623" s="4"/>
      <c r="AE623" s="6" t="s">
        <v>9</v>
      </c>
    </row>
    <row r="624" ht="16.5" customHeight="1">
      <c r="A624" s="2" t="str">
        <f>IFERROR(__xludf.DUMMYFUNCTION("""COMPUTED_VALUE"""),"3083-MAYSEGVC")</f>
        <v>3083-MAYSEGVC</v>
      </c>
      <c r="B624" s="2" t="str">
        <f>IFERROR(__xludf.DUMMYFUNCTION("""COMPUTED_VALUE"""),"RDV Ministros | Maximiliano Piñeiro 28/5 Comuna 15")</f>
        <v>RDV Ministros | Maximiliano Piñeiro 28/5 Comuna 15</v>
      </c>
      <c r="C624" s="3">
        <f>IFERROR(__xludf.DUMMYFUNCTION("""COMPUTED_VALUE"""),46164.0)</f>
        <v>46164</v>
      </c>
      <c r="D624" s="3">
        <f>IFERROR(__xludf.DUMMYFUNCTION("""COMPUTED_VALUE"""),46171.0)</f>
        <v>46171</v>
      </c>
      <c r="E624" s="2" t="str">
        <f>IFERROR(__xludf.DUMMYFUNCTION("""COMPUTED_VALUE"""),"Cercanía")</f>
        <v>Cercanía</v>
      </c>
      <c r="F624" s="2" t="str">
        <f>IFERROR(__xludf.DUMMYFUNCTION("""COMPUTED_VALUE"""),"Seguridad")</f>
        <v>Seguridad</v>
      </c>
      <c r="G624" s="2" t="str">
        <f>IFERROR(__xludf.DUMMYFUNCTION("""COMPUTED_VALUE"""),"Finalizada")</f>
        <v>Finalizada</v>
      </c>
      <c r="H624" s="4">
        <v>153670.0</v>
      </c>
      <c r="I624" s="4">
        <v>0.0</v>
      </c>
      <c r="J624" s="4">
        <v>461.0</v>
      </c>
      <c r="K624" s="4">
        <v>95443.0</v>
      </c>
      <c r="L624" s="5">
        <v>1.610070932388965</v>
      </c>
      <c r="M624" s="5">
        <v>1.610070932388965</v>
      </c>
      <c r="N624" s="4">
        <v>80323.0</v>
      </c>
      <c r="O624" s="4">
        <v>79697.0</v>
      </c>
      <c r="P624" s="4">
        <v>13464.0</v>
      </c>
      <c r="Q624" s="4">
        <v>192.0</v>
      </c>
      <c r="R624" s="4">
        <v>106.0</v>
      </c>
      <c r="S624" s="4">
        <v>106.0</v>
      </c>
      <c r="T624" s="4">
        <v>31.0</v>
      </c>
      <c r="U624" s="4">
        <v>29.0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0.0</v>
      </c>
      <c r="AB624" s="4">
        <v>0.0</v>
      </c>
      <c r="AC624" s="4">
        <v>0.0</v>
      </c>
      <c r="AD624" s="4"/>
      <c r="AE624" s="6" t="s">
        <v>9</v>
      </c>
    </row>
    <row r="625" ht="16.5" customHeight="1">
      <c r="A625" s="2" t="str">
        <f>IFERROR(__xludf.DUMMYFUNCTION("""COMPUTED_VALUE"""),"3084-MAYSEGVC")</f>
        <v>3084-MAYSEGVC</v>
      </c>
      <c r="B625" s="2" t="str">
        <f>IFERROR(__xludf.DUMMYFUNCTION("""COMPUTED_VALUE"""),"RDV Ministros | Ruth Landerreche 28/5 Comuna 14")</f>
        <v>RDV Ministros | Ruth Landerreche 28/5 Comuna 14</v>
      </c>
      <c r="C625" s="3">
        <f>IFERROR(__xludf.DUMMYFUNCTION("""COMPUTED_VALUE"""),46164.0)</f>
        <v>46164</v>
      </c>
      <c r="D625" s="3">
        <f>IFERROR(__xludf.DUMMYFUNCTION("""COMPUTED_VALUE"""),46171.0)</f>
        <v>46171</v>
      </c>
      <c r="E625" s="2" t="str">
        <f>IFERROR(__xludf.DUMMYFUNCTION("""COMPUTED_VALUE"""),"Cercanía")</f>
        <v>Cercanía</v>
      </c>
      <c r="F625" s="2" t="str">
        <f>IFERROR(__xludf.DUMMYFUNCTION("""COMPUTED_VALUE"""),"Seguridad")</f>
        <v>Seguridad</v>
      </c>
      <c r="G625" s="2" t="str">
        <f>IFERROR(__xludf.DUMMYFUNCTION("""COMPUTED_VALUE"""),"Finalizada")</f>
        <v>Finalizada</v>
      </c>
      <c r="H625" s="4">
        <v>402288.0</v>
      </c>
      <c r="I625" s="4">
        <v>0.0</v>
      </c>
      <c r="J625" s="4">
        <v>480.0</v>
      </c>
      <c r="K625" s="4">
        <v>260478.0</v>
      </c>
      <c r="L625" s="5">
        <v>1.5444221776887108</v>
      </c>
      <c r="M625" s="5">
        <v>1.5444221776887108</v>
      </c>
      <c r="N625" s="4">
        <v>89917.0</v>
      </c>
      <c r="O625" s="4">
        <v>89640.0</v>
      </c>
      <c r="P625" s="4">
        <v>24296.0</v>
      </c>
      <c r="Q625" s="4">
        <v>246.0</v>
      </c>
      <c r="R625" s="4">
        <v>77.0</v>
      </c>
      <c r="S625" s="4">
        <v>77.0</v>
      </c>
      <c r="T625" s="4">
        <v>8.0</v>
      </c>
      <c r="U625" s="4">
        <v>8.0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0.0</v>
      </c>
      <c r="AB625" s="4">
        <v>0.0</v>
      </c>
      <c r="AC625" s="4">
        <v>0.0</v>
      </c>
      <c r="AD625" s="4"/>
      <c r="AE625" s="6" t="s">
        <v>9</v>
      </c>
    </row>
    <row r="626" ht="16.5" customHeight="1">
      <c r="A626" s="2" t="str">
        <f>IFERROR(__xludf.DUMMYFUNCTION("""COMPUTED_VALUE"""),"3085-MAYSEGVC")</f>
        <v>3085-MAYSEGVC</v>
      </c>
      <c r="B626" s="2" t="str">
        <f>IFERROR(__xludf.DUMMYFUNCTION("""COMPUTED_VALUE"""),"RDV Ministros | Horacio Giménez 28/5 Comuna 13")</f>
        <v>RDV Ministros | Horacio Giménez 28/5 Comuna 13</v>
      </c>
      <c r="C626" s="3">
        <f>IFERROR(__xludf.DUMMYFUNCTION("""COMPUTED_VALUE"""),46164.0)</f>
        <v>46164</v>
      </c>
      <c r="D626" s="3">
        <f>IFERROR(__xludf.DUMMYFUNCTION("""COMPUTED_VALUE"""),46171.0)</f>
        <v>46171</v>
      </c>
      <c r="E626" s="2" t="str">
        <f>IFERROR(__xludf.DUMMYFUNCTION("""COMPUTED_VALUE"""),"Cercanía")</f>
        <v>Cercanía</v>
      </c>
      <c r="F626" s="2" t="str">
        <f>IFERROR(__xludf.DUMMYFUNCTION("""COMPUTED_VALUE"""),"Seguridad")</f>
        <v>Seguridad</v>
      </c>
      <c r="G626" s="2" t="str">
        <f>IFERROR(__xludf.DUMMYFUNCTION("""COMPUTED_VALUE"""),"Finalizada")</f>
        <v>Finalizada</v>
      </c>
      <c r="H626" s="4">
        <v>0.0</v>
      </c>
      <c r="I626" s="4">
        <v>0.0</v>
      </c>
      <c r="J626" s="4">
        <v>0.0</v>
      </c>
      <c r="K626" s="4">
        <v>0.0</v>
      </c>
      <c r="L626" s="5">
        <v>0.0</v>
      </c>
      <c r="M626" s="5">
        <v>0.0</v>
      </c>
      <c r="N626" s="4">
        <v>61905.0</v>
      </c>
      <c r="O626" s="4">
        <v>61737.0</v>
      </c>
      <c r="P626" s="4">
        <v>17173.0</v>
      </c>
      <c r="Q626" s="4">
        <v>204.0</v>
      </c>
      <c r="R626" s="4">
        <v>88.0</v>
      </c>
      <c r="S626" s="4">
        <v>88.0</v>
      </c>
      <c r="T626" s="4">
        <v>22.0</v>
      </c>
      <c r="U626" s="4">
        <v>22.0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0.0</v>
      </c>
      <c r="AB626" s="4">
        <v>0.0</v>
      </c>
      <c r="AC626" s="4">
        <v>0.0</v>
      </c>
      <c r="AD626" s="4" t="s">
        <v>8</v>
      </c>
      <c r="AE626" s="6" t="s">
        <v>9</v>
      </c>
    </row>
    <row r="627" ht="16.5" customHeight="1">
      <c r="A627" s="2" t="str">
        <f>IFERROR(__xludf.DUMMYFUNCTION("""COMPUTED_VALUE"""),"3087-MAYJDGAG")</f>
        <v>3087-MAYJDGAG</v>
      </c>
      <c r="B627" s="2" t="str">
        <f>IFERROR(__xludf.DUMMYFUNCTION("""COMPUTED_VALUE"""),"1 A 1 JM | Comuna 9 27/05")</f>
        <v>1 A 1 JM | Comuna 9 27/05</v>
      </c>
      <c r="C627" s="3">
        <f>IFERROR(__xludf.DUMMYFUNCTION("""COMPUTED_VALUE"""),46163.0)</f>
        <v>46163</v>
      </c>
      <c r="D627" s="3">
        <f>IFERROR(__xludf.DUMMYFUNCTION("""COMPUTED_VALUE"""),46185.0)</f>
        <v>46185</v>
      </c>
      <c r="E627" s="2" t="str">
        <f>IFERROR(__xludf.DUMMYFUNCTION("""COMPUTED_VALUE"""),"Cercanía")</f>
        <v>Cercanía</v>
      </c>
      <c r="F627" s="2" t="str">
        <f>IFERROR(__xludf.DUMMYFUNCTION("""COMPUTED_VALUE"""),"Jefatura de Gobierno")</f>
        <v>Jefatura de Gobierno</v>
      </c>
      <c r="G627" s="2" t="str">
        <f>IFERROR(__xludf.DUMMYFUNCTION("""COMPUTED_VALUE"""),"Finalizada")</f>
        <v>Finalizada</v>
      </c>
      <c r="H627" s="4">
        <v>746070.0</v>
      </c>
      <c r="I627" s="4">
        <v>511470.0</v>
      </c>
      <c r="J627" s="4">
        <v>842.0</v>
      </c>
      <c r="K627" s="4">
        <v>3737.0</v>
      </c>
      <c r="L627" s="5">
        <v>38.25234145036125</v>
      </c>
      <c r="M627" s="5">
        <v>199.64409954508963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0.0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0.0</v>
      </c>
      <c r="AB627" s="4">
        <v>0.0</v>
      </c>
      <c r="AC627" s="4">
        <v>0.0</v>
      </c>
      <c r="AD627" s="6" t="s">
        <v>223</v>
      </c>
      <c r="AE627" s="4" t="s">
        <v>8</v>
      </c>
    </row>
    <row r="628" ht="16.5" customHeight="1">
      <c r="A628" s="2" t="str">
        <f>IFERROR(__xludf.DUMMYFUNCTION("""COMPUTED_VALUE"""),"3088-MAYINFGC")</f>
        <v>3088-MAYINFGC</v>
      </c>
      <c r="B628" s="2" t="str">
        <f>IFERROR(__xludf.DUMMYFUNCTION("""COMPUTED_VALUE"""),"Infraestructura I Corte por Fiestas Mayas")</f>
        <v>Infraestructura I Corte por Fiestas Mayas</v>
      </c>
      <c r="C628" s="3">
        <f>IFERROR(__xludf.DUMMYFUNCTION("""COMPUTED_VALUE"""),46164.0)</f>
        <v>46164</v>
      </c>
      <c r="D628" s="3">
        <f>IFERROR(__xludf.DUMMYFUNCTION("""COMPUTED_VALUE"""),46169.0)</f>
        <v>46169</v>
      </c>
      <c r="E628" s="2" t="str">
        <f>IFERROR(__xludf.DUMMYFUNCTION("""COMPUTED_VALUE"""),"Movilidad")</f>
        <v>Movilidad</v>
      </c>
      <c r="F628" s="2" t="str">
        <f>IFERROR(__xludf.DUMMYFUNCTION("""COMPUTED_VALUE"""),"Infraestructura")</f>
        <v>Infraestructura</v>
      </c>
      <c r="G628" s="2" t="str">
        <f>IFERROR(__xludf.DUMMYFUNCTION("""COMPUTED_VALUE"""),"Finalizada")</f>
        <v>Finalizada</v>
      </c>
      <c r="H628" s="4">
        <v>341482.0</v>
      </c>
      <c r="I628" s="4">
        <v>0.0</v>
      </c>
      <c r="J628" s="4">
        <v>542.0</v>
      </c>
      <c r="K628" s="4">
        <v>233008.0</v>
      </c>
      <c r="L628" s="5">
        <v>1.465537663942869</v>
      </c>
      <c r="M628" s="5">
        <v>1.465537663942869</v>
      </c>
      <c r="N628" s="4">
        <v>114645.0</v>
      </c>
      <c r="O628" s="4">
        <v>113635.0</v>
      </c>
      <c r="P628" s="4">
        <v>45295.0</v>
      </c>
      <c r="Q628" s="4">
        <v>861.0</v>
      </c>
      <c r="R628" s="4">
        <v>0.0</v>
      </c>
      <c r="S628" s="4">
        <v>0.0</v>
      </c>
      <c r="T628" s="4">
        <v>0.0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0.0</v>
      </c>
      <c r="AB628" s="4">
        <v>0.0</v>
      </c>
      <c r="AC628" s="4">
        <v>0.0</v>
      </c>
      <c r="AD628" s="6" t="s">
        <v>224</v>
      </c>
      <c r="AE628" s="6" t="s">
        <v>9</v>
      </c>
    </row>
    <row r="629" ht="16.5" customHeight="1">
      <c r="A629" s="2" t="str">
        <f>IFERROR(__xludf.DUMMYFUNCTION("""COMPUTED_VALUE"""),"3089-MAYSALGC")</f>
        <v>3089-MAYSALGC</v>
      </c>
      <c r="B629" s="2" t="str">
        <f>IFERROR(__xludf.DUMMYFUNCTION("""COMPUTED_VALUE"""),"SIGEHOS - Envío Deploy PEL - Semana 25/5")</f>
        <v>SIGEHOS - Envío Deploy PEL - Semana 25/5</v>
      </c>
      <c r="C629" s="3">
        <f>IFERROR(__xludf.DUMMYFUNCTION("""COMPUTED_VALUE"""),46168.0)</f>
        <v>46168</v>
      </c>
      <c r="D629" s="3">
        <f>IFERROR(__xludf.DUMMYFUNCTION("""COMPUTED_VALUE"""),46168.0)</f>
        <v>46168</v>
      </c>
      <c r="E629" s="2" t="str">
        <f>IFERROR(__xludf.DUMMYFUNCTION("""COMPUTED_VALUE"""),"Cuidado")</f>
        <v>Cuidado</v>
      </c>
      <c r="F629" s="2" t="str">
        <f>IFERROR(__xludf.DUMMYFUNCTION("""COMPUTED_VALUE"""),"Salud")</f>
        <v>Salud</v>
      </c>
      <c r="G629" s="2" t="str">
        <f>IFERROR(__xludf.DUMMYFUNCTION("""COMPUTED_VALUE"""),"Finalizada")</f>
        <v>Finalizada</v>
      </c>
      <c r="H629" s="4">
        <v>0.0</v>
      </c>
      <c r="I629" s="4">
        <v>0.0</v>
      </c>
      <c r="J629" s="4">
        <v>0.0</v>
      </c>
      <c r="K629" s="4">
        <v>0.0</v>
      </c>
      <c r="L629" s="5">
        <v>0.0</v>
      </c>
      <c r="M629" s="5">
        <v>0.0</v>
      </c>
      <c r="N629" s="4">
        <v>988.0</v>
      </c>
      <c r="O629" s="4">
        <v>984.0</v>
      </c>
      <c r="P629" s="4">
        <v>433.0</v>
      </c>
      <c r="Q629" s="4">
        <v>46.0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0.0</v>
      </c>
      <c r="AB629" s="4">
        <v>0.0</v>
      </c>
      <c r="AC629" s="4">
        <v>0.0</v>
      </c>
      <c r="AD629" s="4" t="s">
        <v>8</v>
      </c>
      <c r="AE629" s="6" t="s">
        <v>9</v>
      </c>
    </row>
    <row r="630" ht="16.5" customHeight="1">
      <c r="A630" s="2" t="str">
        <f>IFERROR(__xludf.DUMMYFUNCTION("""COMPUTED_VALUE"""),"3090-MAYINFGC")</f>
        <v>3090-MAYINFGC</v>
      </c>
      <c r="B630" s="2" t="str">
        <f>IFERROR(__xludf.DUMMYFUNCTION("""COMPUTED_VALUE"""),"Infraestructura I Corte AU Dellepiane por obras (27/5)")</f>
        <v>Infraestructura I Corte AU Dellepiane por obras (27/5)</v>
      </c>
      <c r="C630" s="3">
        <f>IFERROR(__xludf.DUMMYFUNCTION("""COMPUTED_VALUE"""),46168.0)</f>
        <v>46168</v>
      </c>
      <c r="D630" s="3">
        <f>IFERROR(__xludf.DUMMYFUNCTION("""COMPUTED_VALUE"""),46183.0)</f>
        <v>46183</v>
      </c>
      <c r="E630" s="2" t="str">
        <f>IFERROR(__xludf.DUMMYFUNCTION("""COMPUTED_VALUE"""),"Movilidad")</f>
        <v>Movilidad</v>
      </c>
      <c r="F630" s="2" t="str">
        <f>IFERROR(__xludf.DUMMYFUNCTION("""COMPUTED_VALUE"""),"Infraestructura")</f>
        <v>Infraestructura</v>
      </c>
      <c r="G630" s="2" t="str">
        <f>IFERROR(__xludf.DUMMYFUNCTION("""COMPUTED_VALUE"""),"Finalizada")</f>
        <v>Finalizada</v>
      </c>
      <c r="H630" s="4">
        <v>109949.0</v>
      </c>
      <c r="I630" s="4">
        <v>0.0</v>
      </c>
      <c r="J630" s="4">
        <v>1315.0</v>
      </c>
      <c r="K630" s="4">
        <v>49869.0</v>
      </c>
      <c r="L630" s="5">
        <v>2.2047564619302573</v>
      </c>
      <c r="M630" s="5">
        <v>2.2047564619302573</v>
      </c>
      <c r="N630" s="4">
        <v>108747.0</v>
      </c>
      <c r="O630" s="4">
        <v>107489.0</v>
      </c>
      <c r="P630" s="4">
        <v>34431.0</v>
      </c>
      <c r="Q630" s="4">
        <v>480.0</v>
      </c>
      <c r="R630" s="4">
        <v>0.0</v>
      </c>
      <c r="S630" s="4">
        <v>0.0</v>
      </c>
      <c r="T630" s="4">
        <v>0.0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0.0</v>
      </c>
      <c r="AB630" s="4">
        <v>0.0</v>
      </c>
      <c r="AC630" s="4">
        <v>0.0</v>
      </c>
      <c r="AD630" s="6" t="s">
        <v>225</v>
      </c>
      <c r="AE630" s="6" t="s">
        <v>9</v>
      </c>
    </row>
    <row r="631" ht="16.5" customHeight="1">
      <c r="A631" s="2" t="str">
        <f>IFERROR(__xludf.DUMMYFUNCTION("""COMPUTED_VALUE"""),"3091-MAYCULGC")</f>
        <v>3091-MAYCULGC</v>
      </c>
      <c r="B631" s="2" t="str">
        <f>IFERROR(__xludf.DUMMYFUNCTION("""COMPUTED_VALUE"""),"Cultura | Reapertura del Palacio Ceci")</f>
        <v>Cultura | Reapertura del Palacio Ceci</v>
      </c>
      <c r="C631" s="3">
        <f>IFERROR(__xludf.DUMMYFUNCTION("""COMPUTED_VALUE"""),46189.0)</f>
        <v>46189</v>
      </c>
      <c r="D631" s="3">
        <f>IFERROR(__xludf.DUMMYFUNCTION("""COMPUTED_VALUE"""),46203.0)</f>
        <v>46203</v>
      </c>
      <c r="E631" s="2" t="str">
        <f>IFERROR(__xludf.DUMMYFUNCTION("""COMPUTED_VALUE"""),"Ciudad Atractiva")</f>
        <v>Ciudad Atractiva</v>
      </c>
      <c r="F631" s="2" t="str">
        <f>IFERROR(__xludf.DUMMYFUNCTION("""COMPUTED_VALUE"""),"Cultura")</f>
        <v>Cultura</v>
      </c>
      <c r="G631" s="2" t="str">
        <f>IFERROR(__xludf.DUMMYFUNCTION("""COMPUTED_VALUE"""),"Finalizada")</f>
        <v>Finalizada</v>
      </c>
      <c r="H631" s="4">
        <v>3252966.0</v>
      </c>
      <c r="I631" s="4">
        <v>1300322.0</v>
      </c>
      <c r="J631" s="4">
        <v>4118.0</v>
      </c>
      <c r="K631" s="4">
        <v>91230.0</v>
      </c>
      <c r="L631" s="5">
        <v>2.2338046695166063</v>
      </c>
      <c r="M631" s="5">
        <v>35.65675764551135</v>
      </c>
      <c r="N631" s="4">
        <v>175778.0</v>
      </c>
      <c r="O631" s="4">
        <v>173954.0</v>
      </c>
      <c r="P631" s="4">
        <v>57914.0</v>
      </c>
      <c r="Q631" s="4">
        <v>5759.0</v>
      </c>
      <c r="R631" s="4">
        <v>0.0</v>
      </c>
      <c r="S631" s="4">
        <v>0.0</v>
      </c>
      <c r="T631" s="4">
        <v>0.0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0.0</v>
      </c>
      <c r="AB631" s="4">
        <v>0.0</v>
      </c>
      <c r="AC631" s="4">
        <v>0.0</v>
      </c>
      <c r="AD631" s="6" t="s">
        <v>226</v>
      </c>
      <c r="AE631" s="6" t="s">
        <v>9</v>
      </c>
    </row>
    <row r="632" ht="16.5" customHeight="1">
      <c r="A632" s="2" t="str">
        <f>IFERROR(__xludf.DUMMYFUNCTION("""COMPUTED_VALUE"""),"3092-MAYPCCVC")</f>
        <v>3092-MAYPCCVC</v>
      </c>
      <c r="B632" s="2" t="str">
        <f>IFERROR(__xludf.DUMMYFUNCTION("""COMPUTED_VALUE"""),"Encuentro ""Día del vecino participativo""")</f>
        <v>Encuentro "Día del vecino participativo"</v>
      </c>
      <c r="C632" s="3">
        <f>IFERROR(__xludf.DUMMYFUNCTION("""COMPUTED_VALUE"""),46174.0)</f>
        <v>46174</v>
      </c>
      <c r="D632" s="3">
        <f>IFERROR(__xludf.DUMMYFUNCTION("""COMPUTED_VALUE"""),46176.0)</f>
        <v>46176</v>
      </c>
      <c r="E632" s="2" t="str">
        <f>IFERROR(__xludf.DUMMYFUNCTION("""COMPUTED_VALUE"""),"Cercanía")</f>
        <v>Cercanía</v>
      </c>
      <c r="F632" s="2" t="str">
        <f>IFERROR(__xludf.DUMMYFUNCTION("""COMPUTED_VALUE"""),"Cercanía y PC")</f>
        <v>Cercanía y PC</v>
      </c>
      <c r="G632" s="2" t="str">
        <f>IFERROR(__xludf.DUMMYFUNCTION("""COMPUTED_VALUE"""),"Finalizada")</f>
        <v>Finalizada</v>
      </c>
      <c r="H632" s="4">
        <v>0.0</v>
      </c>
      <c r="I632" s="4">
        <v>0.0</v>
      </c>
      <c r="J632" s="4">
        <v>0.0</v>
      </c>
      <c r="K632" s="4">
        <v>0.0</v>
      </c>
      <c r="L632" s="5">
        <v>0.0</v>
      </c>
      <c r="M632" s="5">
        <v>0.0</v>
      </c>
      <c r="N632" s="4">
        <v>887.0</v>
      </c>
      <c r="O632" s="4">
        <v>887.0</v>
      </c>
      <c r="P632" s="4">
        <v>494.0</v>
      </c>
      <c r="Q632" s="4">
        <v>80.0</v>
      </c>
      <c r="R632" s="4">
        <v>0.0</v>
      </c>
      <c r="S632" s="4">
        <v>0.0</v>
      </c>
      <c r="T632" s="4">
        <v>0.0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0.0</v>
      </c>
      <c r="AB632" s="4">
        <v>0.0</v>
      </c>
      <c r="AC632" s="4">
        <v>0.0</v>
      </c>
      <c r="AD632" s="4" t="s">
        <v>8</v>
      </c>
      <c r="AE632" s="6" t="s">
        <v>9</v>
      </c>
    </row>
    <row r="633" ht="16.5" customHeight="1">
      <c r="A633" s="2" t="str">
        <f>IFERROR(__xludf.DUMMYFUNCTION("""COMPUTED_VALUE"""),"3093-MAYVINVC")</f>
        <v>3093-MAYVINVC</v>
      </c>
      <c r="B633" s="2" t="str">
        <f>IFERROR(__xludf.DUMMYFUNCTION("""COMPUTED_VALUE"""),"Más servicios en tu barrio - 1/6 - Parque Avellaneda (Ad-hoc operativo personas mayores)")</f>
        <v>Más servicios en tu barrio - 1/6 - Parque Avellaneda (Ad-hoc operativo personas mayores)</v>
      </c>
      <c r="C633" s="3">
        <f>IFERROR(__xludf.DUMMYFUNCTION("""COMPUTED_VALUE"""),46171.0)</f>
        <v>46171</v>
      </c>
      <c r="D633" s="3">
        <f>IFERROR(__xludf.DUMMYFUNCTION("""COMPUTED_VALUE"""),46171.0)</f>
        <v>46171</v>
      </c>
      <c r="E633" s="2" t="str">
        <f>IFERROR(__xludf.DUMMYFUNCTION("""COMPUTED_VALUE"""),"M2")</f>
        <v>M2</v>
      </c>
      <c r="F633" s="2" t="str">
        <f>IFERROR(__xludf.DUMMYFUNCTION("""COMPUTED_VALUE"""),"Vínculo Ciudadano")</f>
        <v>Vínculo Ciudadano</v>
      </c>
      <c r="G633" s="2" t="str">
        <f>IFERROR(__xludf.DUMMYFUNCTION("""COMPUTED_VALUE"""),"Finalizada")</f>
        <v>Finalizada</v>
      </c>
      <c r="H633" s="4">
        <v>0.0</v>
      </c>
      <c r="I633" s="4">
        <v>0.0</v>
      </c>
      <c r="J633" s="4">
        <v>0.0</v>
      </c>
      <c r="K633" s="4">
        <v>0.0</v>
      </c>
      <c r="L633" s="5">
        <v>0.0</v>
      </c>
      <c r="M633" s="5">
        <v>0.0</v>
      </c>
      <c r="N633" s="4">
        <v>10439.0</v>
      </c>
      <c r="O633" s="4">
        <v>10378.0</v>
      </c>
      <c r="P633" s="4">
        <v>3365.0</v>
      </c>
      <c r="Q633" s="4">
        <v>155.0</v>
      </c>
      <c r="R633" s="4">
        <v>0.0</v>
      </c>
      <c r="S633" s="4">
        <v>0.0</v>
      </c>
      <c r="T633" s="4">
        <v>0.0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0.0</v>
      </c>
      <c r="AB633" s="4">
        <v>0.0</v>
      </c>
      <c r="AC633" s="4">
        <v>0.0</v>
      </c>
      <c r="AD633" s="4" t="s">
        <v>8</v>
      </c>
      <c r="AE633" s="6" t="s">
        <v>9</v>
      </c>
    </row>
    <row r="634" ht="16.5" customHeight="1">
      <c r="A634" s="2" t="str">
        <f>IFERROR(__xludf.DUMMYFUNCTION("""COMPUTED_VALUE"""),"3094-MAYVINVC")</f>
        <v>3094-MAYVINVC</v>
      </c>
      <c r="B634" s="2" t="str">
        <f>IFERROR(__xludf.DUMMYFUNCTION("""COMPUTED_VALUE"""),"Más servicios en tu barrio -  2/6 y 3/6 - Floresta")</f>
        <v>Más servicios en tu barrio -  2/6 y 3/6 - Floresta</v>
      </c>
      <c r="C634" s="3">
        <f>IFERROR(__xludf.DUMMYFUNCTION("""COMPUTED_VALUE"""),46171.0)</f>
        <v>46171</v>
      </c>
      <c r="D634" s="3">
        <f>IFERROR(__xludf.DUMMYFUNCTION("""COMPUTED_VALUE"""),46171.0)</f>
        <v>46171</v>
      </c>
      <c r="E634" s="2" t="str">
        <f>IFERROR(__xludf.DUMMYFUNCTION("""COMPUTED_VALUE"""),"M2")</f>
        <v>M2</v>
      </c>
      <c r="F634" s="2" t="str">
        <f>IFERROR(__xludf.DUMMYFUNCTION("""COMPUTED_VALUE"""),"Vínculo Ciudadano")</f>
        <v>Vínculo Ciudadano</v>
      </c>
      <c r="G634" s="2" t="str">
        <f>IFERROR(__xludf.DUMMYFUNCTION("""COMPUTED_VALUE"""),"Finalizada")</f>
        <v>Finalizada</v>
      </c>
      <c r="H634" s="4">
        <v>0.0</v>
      </c>
      <c r="I634" s="4">
        <v>0.0</v>
      </c>
      <c r="J634" s="4">
        <v>0.0</v>
      </c>
      <c r="K634" s="4">
        <v>0.0</v>
      </c>
      <c r="L634" s="5">
        <v>0.0</v>
      </c>
      <c r="M634" s="5">
        <v>0.0</v>
      </c>
      <c r="N634" s="4">
        <v>14291.0</v>
      </c>
      <c r="O634" s="4">
        <v>14146.0</v>
      </c>
      <c r="P634" s="4">
        <v>4032.0</v>
      </c>
      <c r="Q634" s="4">
        <v>174.0</v>
      </c>
      <c r="R634" s="4">
        <v>0.0</v>
      </c>
      <c r="S634" s="4">
        <v>0.0</v>
      </c>
      <c r="T634" s="4">
        <v>0.0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0.0</v>
      </c>
      <c r="AB634" s="4">
        <v>0.0</v>
      </c>
      <c r="AC634" s="4">
        <v>0.0</v>
      </c>
      <c r="AD634" s="4" t="s">
        <v>8</v>
      </c>
      <c r="AE634" s="6" t="s">
        <v>9</v>
      </c>
    </row>
    <row r="635" ht="16.5" customHeight="1">
      <c r="A635" s="2" t="str">
        <f>IFERROR(__xludf.DUMMYFUNCTION("""COMPUTED_VALUE"""),"3095-MAYVINVC")</f>
        <v>3095-MAYVINVC</v>
      </c>
      <c r="B635" s="2" t="str">
        <f>IFERROR(__xludf.DUMMYFUNCTION("""COMPUTED_VALUE"""),"Más servicios en tu barrio - 5/6 - Balvanera")</f>
        <v>Más servicios en tu barrio - 5/6 - Balvanera</v>
      </c>
      <c r="C635" s="3">
        <f>IFERROR(__xludf.DUMMYFUNCTION("""COMPUTED_VALUE"""),46175.0)</f>
        <v>46175</v>
      </c>
      <c r="D635" s="3">
        <f>IFERROR(__xludf.DUMMYFUNCTION("""COMPUTED_VALUE"""),46175.0)</f>
        <v>46175</v>
      </c>
      <c r="E635" s="2" t="str">
        <f>IFERROR(__xludf.DUMMYFUNCTION("""COMPUTED_VALUE"""),"M2")</f>
        <v>M2</v>
      </c>
      <c r="F635" s="2" t="str">
        <f>IFERROR(__xludf.DUMMYFUNCTION("""COMPUTED_VALUE"""),"Vínculo Ciudadano")</f>
        <v>Vínculo Ciudadano</v>
      </c>
      <c r="G635" s="2" t="str">
        <f>IFERROR(__xludf.DUMMYFUNCTION("""COMPUTED_VALUE"""),"Finalizada")</f>
        <v>Finalizada</v>
      </c>
      <c r="H635" s="4">
        <v>0.0</v>
      </c>
      <c r="I635" s="4">
        <v>0.0</v>
      </c>
      <c r="J635" s="4">
        <v>0.0</v>
      </c>
      <c r="K635" s="4">
        <v>0.0</v>
      </c>
      <c r="L635" s="5">
        <v>0.0</v>
      </c>
      <c r="M635" s="5">
        <v>0.0</v>
      </c>
      <c r="N635" s="4">
        <v>23966.0</v>
      </c>
      <c r="O635" s="4">
        <v>23657.0</v>
      </c>
      <c r="P635" s="4">
        <v>7489.0</v>
      </c>
      <c r="Q635" s="4">
        <v>246.0</v>
      </c>
      <c r="R635" s="4">
        <v>0.0</v>
      </c>
      <c r="S635" s="4">
        <v>0.0</v>
      </c>
      <c r="T635" s="4">
        <v>0.0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0.0</v>
      </c>
      <c r="AB635" s="4">
        <v>0.0</v>
      </c>
      <c r="AC635" s="4">
        <v>0.0</v>
      </c>
      <c r="AD635" s="4" t="s">
        <v>8</v>
      </c>
      <c r="AE635" s="6" t="s">
        <v>9</v>
      </c>
    </row>
    <row r="636" ht="16.5" customHeight="1">
      <c r="A636" s="2" t="str">
        <f>IFERROR(__xludf.DUMMYFUNCTION("""COMPUTED_VALUE"""),"3096-MAYVINVC")</f>
        <v>3096-MAYVINVC</v>
      </c>
      <c r="B636" s="2" t="str">
        <f>IFERROR(__xludf.DUMMYFUNCTION("""COMPUTED_VALUE"""),"Más servicios en tu barrio - 5/6 - Villa Lugano (Barrio Popular) ")</f>
        <v>Más servicios en tu barrio - 5/6 - Villa Lugano (Barrio Popular) </v>
      </c>
      <c r="C636" s="3">
        <f>IFERROR(__xludf.DUMMYFUNCTION("""COMPUTED_VALUE"""),46175.0)</f>
        <v>46175</v>
      </c>
      <c r="D636" s="3">
        <f>IFERROR(__xludf.DUMMYFUNCTION("""COMPUTED_VALUE"""),46175.0)</f>
        <v>46175</v>
      </c>
      <c r="E636" s="2" t="str">
        <f>IFERROR(__xludf.DUMMYFUNCTION("""COMPUTED_VALUE"""),"M2")</f>
        <v>M2</v>
      </c>
      <c r="F636" s="2" t="str">
        <f>IFERROR(__xludf.DUMMYFUNCTION("""COMPUTED_VALUE"""),"Vínculo Ciudadano")</f>
        <v>Vínculo Ciudadano</v>
      </c>
      <c r="G636" s="2" t="str">
        <f>IFERROR(__xludf.DUMMYFUNCTION("""COMPUTED_VALUE"""),"Finalizada")</f>
        <v>Finalizada</v>
      </c>
      <c r="H636" s="4">
        <v>0.0</v>
      </c>
      <c r="I636" s="4">
        <v>0.0</v>
      </c>
      <c r="J636" s="4">
        <v>0.0</v>
      </c>
      <c r="K636" s="4">
        <v>0.0</v>
      </c>
      <c r="L636" s="5">
        <v>0.0</v>
      </c>
      <c r="M636" s="5">
        <v>0.0</v>
      </c>
      <c r="N636" s="4">
        <v>1126.0</v>
      </c>
      <c r="O636" s="4">
        <v>1091.0</v>
      </c>
      <c r="P636" s="4">
        <v>224.0</v>
      </c>
      <c r="Q636" s="4">
        <v>12.0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1128.0</v>
      </c>
      <c r="AB636" s="4">
        <v>1043.0</v>
      </c>
      <c r="AC636" s="4">
        <v>32.0</v>
      </c>
      <c r="AD636" s="4" t="s">
        <v>8</v>
      </c>
      <c r="AE636" s="6" t="s">
        <v>9</v>
      </c>
    </row>
    <row r="637" ht="16.5" customHeight="1">
      <c r="A637" s="2" t="str">
        <f>IFERROR(__xludf.DUMMYFUNCTION("""COMPUTED_VALUE"""),"3097-MAYVINVC")</f>
        <v>3097-MAYVINVC</v>
      </c>
      <c r="B637" s="2" t="str">
        <f>IFERROR(__xludf.DUMMYFUNCTION("""COMPUTED_VALUE"""),"Más servicios en tu barrio - 6/5 - San Telmo")</f>
        <v>Más servicios en tu barrio - 6/5 - San Telmo</v>
      </c>
      <c r="C637" s="3">
        <f>IFERROR(__xludf.DUMMYFUNCTION("""COMPUTED_VALUE"""),46175.0)</f>
        <v>46175</v>
      </c>
      <c r="D637" s="3">
        <f>IFERROR(__xludf.DUMMYFUNCTION("""COMPUTED_VALUE"""),46175.0)</f>
        <v>46175</v>
      </c>
      <c r="E637" s="2" t="str">
        <f>IFERROR(__xludf.DUMMYFUNCTION("""COMPUTED_VALUE"""),"M2")</f>
        <v>M2</v>
      </c>
      <c r="F637" s="2" t="str">
        <f>IFERROR(__xludf.DUMMYFUNCTION("""COMPUTED_VALUE"""),"Vínculo Ciudadano")</f>
        <v>Vínculo Ciudadano</v>
      </c>
      <c r="G637" s="2" t="str">
        <f>IFERROR(__xludf.DUMMYFUNCTION("""COMPUTED_VALUE"""),"Finalizada")</f>
        <v>Finalizada</v>
      </c>
      <c r="H637" s="4">
        <v>0.0</v>
      </c>
      <c r="I637" s="4">
        <v>0.0</v>
      </c>
      <c r="J637" s="4">
        <v>0.0</v>
      </c>
      <c r="K637" s="4">
        <v>0.0</v>
      </c>
      <c r="L637" s="5">
        <v>0.0</v>
      </c>
      <c r="M637" s="5">
        <v>0.0</v>
      </c>
      <c r="N637" s="4">
        <v>16691.0</v>
      </c>
      <c r="O637" s="4">
        <v>16470.0</v>
      </c>
      <c r="P637" s="4">
        <v>5323.0</v>
      </c>
      <c r="Q637" s="4">
        <v>203.0</v>
      </c>
      <c r="R637" s="4">
        <v>0.0</v>
      </c>
      <c r="S637" s="4">
        <v>0.0</v>
      </c>
      <c r="T637" s="4">
        <v>0.0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0.0</v>
      </c>
      <c r="AB637" s="4">
        <v>0.0</v>
      </c>
      <c r="AC637" s="4">
        <v>0.0</v>
      </c>
      <c r="AD637" s="4" t="s">
        <v>8</v>
      </c>
      <c r="AE637" s="6" t="s">
        <v>9</v>
      </c>
    </row>
    <row r="638" ht="16.5" customHeight="1">
      <c r="A638" s="2" t="str">
        <f>IFERROR(__xludf.DUMMYFUNCTION("""COMPUTED_VALUE"""),"3098-MAYEMEGC")</f>
        <v>3098-MAYEMEGC</v>
      </c>
      <c r="B638" s="2" t="str">
        <f>IFERROR(__xludf.DUMMYFUNCTION("""COMPUTED_VALUE"""),"EMERGENCIAS | Alerta Violeta 26/5")</f>
        <v>EMERGENCIAS | Alerta Violeta 26/5</v>
      </c>
      <c r="C638" s="3">
        <f>IFERROR(__xludf.DUMMYFUNCTION("""COMPUTED_VALUE"""),46168.0)</f>
        <v>46168</v>
      </c>
      <c r="D638" s="3">
        <f>IFERROR(__xludf.DUMMYFUNCTION("""COMPUTED_VALUE"""),46169.0)</f>
        <v>46169</v>
      </c>
      <c r="E638" s="2" t="str">
        <f>IFERROR(__xludf.DUMMYFUNCTION("""COMPUTED_VALUE"""),"Cuidado")</f>
        <v>Cuidado</v>
      </c>
      <c r="F638" s="2" t="str">
        <f>IFERROR(__xludf.DUMMYFUNCTION("""COMPUTED_VALUE"""),"Emergencias")</f>
        <v>Emergencias</v>
      </c>
      <c r="G638" s="2" t="str">
        <f>IFERROR(__xludf.DUMMYFUNCTION("""COMPUTED_VALUE"""),"Finalizada")</f>
        <v>Finalizada</v>
      </c>
      <c r="H638" s="4">
        <v>534980.0</v>
      </c>
      <c r="I638" s="4">
        <v>0.0</v>
      </c>
      <c r="J638" s="4">
        <v>1499.0</v>
      </c>
      <c r="K638" s="4">
        <v>519280.0</v>
      </c>
      <c r="L638" s="5">
        <v>1.0302341703897704</v>
      </c>
      <c r="M638" s="5">
        <v>1.0302341703897704</v>
      </c>
      <c r="N638" s="4">
        <v>0.0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0.0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0.0</v>
      </c>
      <c r="AB638" s="4">
        <v>0.0</v>
      </c>
      <c r="AC638" s="4">
        <v>0.0</v>
      </c>
      <c r="AD638" s="6" t="s">
        <v>227</v>
      </c>
      <c r="AE638" s="4" t="s">
        <v>8</v>
      </c>
    </row>
    <row r="639" ht="16.5" customHeight="1">
      <c r="A639" s="2" t="str">
        <f>IFERROR(__xludf.DUMMYFUNCTION("""COMPUTED_VALUE"""),"3099-MAYINFGC")</f>
        <v>3099-MAYINFGC</v>
      </c>
      <c r="B639" s="2" t="str">
        <f>IFERROR(__xludf.DUMMYFUNCTION("""COMPUTED_VALUE"""),"Cortes en Núñez por recital Lali - 6/6 y 7/6")</f>
        <v>Cortes en Núñez por recital Lali - 6/6 y 7/6</v>
      </c>
      <c r="C639" s="3">
        <f>IFERROR(__xludf.DUMMYFUNCTION("""COMPUTED_VALUE"""),46169.0)</f>
        <v>46169</v>
      </c>
      <c r="D639" s="3">
        <f>IFERROR(__xludf.DUMMYFUNCTION("""COMPUTED_VALUE"""),46180.0)</f>
        <v>46180</v>
      </c>
      <c r="E639" s="2" t="str">
        <f>IFERROR(__xludf.DUMMYFUNCTION("""COMPUTED_VALUE"""),"Movilidad")</f>
        <v>Movilidad</v>
      </c>
      <c r="F639" s="2" t="str">
        <f>IFERROR(__xludf.DUMMYFUNCTION("""COMPUTED_VALUE"""),"Infraestructura")</f>
        <v>Infraestructura</v>
      </c>
      <c r="G639" s="2" t="str">
        <f>IFERROR(__xludf.DUMMYFUNCTION("""COMPUTED_VALUE"""),"Finalizada")</f>
        <v>Finalizada</v>
      </c>
      <c r="H639" s="4">
        <v>120082.0</v>
      </c>
      <c r="I639" s="4">
        <v>0.0</v>
      </c>
      <c r="J639" s="4">
        <v>1964.0</v>
      </c>
      <c r="K639" s="4">
        <v>49853.0</v>
      </c>
      <c r="L639" s="5">
        <v>2.4087216416263817</v>
      </c>
      <c r="M639" s="5">
        <v>2.4087216416263817</v>
      </c>
      <c r="N639" s="4">
        <v>75406.0</v>
      </c>
      <c r="O639" s="4">
        <v>74805.0</v>
      </c>
      <c r="P639" s="4">
        <v>30307.0</v>
      </c>
      <c r="Q639" s="4">
        <v>251.0</v>
      </c>
      <c r="R639" s="4">
        <v>0.0</v>
      </c>
      <c r="S639" s="4">
        <v>0.0</v>
      </c>
      <c r="T639" s="4">
        <v>0.0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33075.0</v>
      </c>
      <c r="AB639" s="4">
        <v>31744.0</v>
      </c>
      <c r="AC639" s="4">
        <v>649.0</v>
      </c>
      <c r="AD639" s="6" t="s">
        <v>228</v>
      </c>
      <c r="AE639" s="6" t="s">
        <v>9</v>
      </c>
    </row>
    <row r="640" ht="16.5" customHeight="1">
      <c r="A640" s="2" t="str">
        <f>IFERROR(__xludf.DUMMYFUNCTION("""COMPUTED_VALUE"""),"3100-MAYSEGGJ")</f>
        <v>3100-MAYSEGGJ</v>
      </c>
      <c r="B640" s="2" t="str">
        <f>IFERROR(__xludf.DUMMYFUNCTION("""COMPUTED_VALUE"""),"Desalojo N°800")</f>
        <v>Desalojo N°800</v>
      </c>
      <c r="C640" s="3">
        <f>IFERROR(__xludf.DUMMYFUNCTION("""COMPUTED_VALUE"""),46171.0)</f>
        <v>46171</v>
      </c>
      <c r="D640" s="3">
        <f>IFERROR(__xludf.DUMMYFUNCTION("""COMPUTED_VALUE"""),46184.0)</f>
        <v>46184</v>
      </c>
      <c r="E640" s="2" t="str">
        <f>IFERROR(__xludf.DUMMYFUNCTION("""COMPUTED_VALUE"""),"M2")</f>
        <v>M2</v>
      </c>
      <c r="F640" s="2" t="str">
        <f>IFERROR(__xludf.DUMMYFUNCTION("""COMPUTED_VALUE"""),"Seguridad")</f>
        <v>Seguridad</v>
      </c>
      <c r="G640" s="2" t="str">
        <f>IFERROR(__xludf.DUMMYFUNCTION("""COMPUTED_VALUE"""),"Finalizada")</f>
        <v>Finalizada</v>
      </c>
      <c r="H640" s="4">
        <v>3901300.0</v>
      </c>
      <c r="I640" s="4">
        <v>1892978.0</v>
      </c>
      <c r="J640" s="4">
        <v>3454.0</v>
      </c>
      <c r="K640" s="4">
        <v>552347.0</v>
      </c>
      <c r="L640" s="5">
        <v>1.708445958790398</v>
      </c>
      <c r="M640" s="5">
        <v>7.063132414949298</v>
      </c>
      <c r="N640" s="4">
        <v>373076.0</v>
      </c>
      <c r="O640" s="4">
        <v>371436.0</v>
      </c>
      <c r="P640" s="4">
        <v>140614.0</v>
      </c>
      <c r="Q640" s="4">
        <v>1516.0</v>
      </c>
      <c r="R640" s="4">
        <v>0.0</v>
      </c>
      <c r="S640" s="4">
        <v>0.0</v>
      </c>
      <c r="T640" s="4">
        <v>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0.0</v>
      </c>
      <c r="AB640" s="4">
        <v>0.0</v>
      </c>
      <c r="AC640" s="4">
        <v>0.0</v>
      </c>
      <c r="AD640" s="6" t="s">
        <v>229</v>
      </c>
      <c r="AE640" s="6" t="s">
        <v>9</v>
      </c>
    </row>
    <row r="641" ht="16.5" customHeight="1">
      <c r="A641" s="2" t="str">
        <f>IFERROR(__xludf.DUMMYFUNCTION("""COMPUTED_VALUE"""),"3101-MAYINFGC")</f>
        <v>3101-MAYINFGC</v>
      </c>
      <c r="B641" s="2" t="str">
        <f>IFERROR(__xludf.DUMMYFUNCTION("""COMPUTED_VALUE""")," Infraestructura | Cambio de sentido de Montañeses")</f>
        <v> Infraestructura | Cambio de sentido de Montañeses</v>
      </c>
      <c r="C641" s="3">
        <f>IFERROR(__xludf.DUMMYFUNCTION("""COMPUTED_VALUE"""),46174.0)</f>
        <v>46174</v>
      </c>
      <c r="D641" s="3">
        <f>IFERROR(__xludf.DUMMYFUNCTION("""COMPUTED_VALUE"""),46188.0)</f>
        <v>46188</v>
      </c>
      <c r="E641" s="2" t="str">
        <f>IFERROR(__xludf.DUMMYFUNCTION("""COMPUTED_VALUE"""),"Movilidad")</f>
        <v>Movilidad</v>
      </c>
      <c r="F641" s="2" t="str">
        <f>IFERROR(__xludf.DUMMYFUNCTION("""COMPUTED_VALUE"""),"Infraestructura")</f>
        <v>Infraestructura</v>
      </c>
      <c r="G641" s="2" t="str">
        <f>IFERROR(__xludf.DUMMYFUNCTION("""COMPUTED_VALUE"""),"Finalizada")</f>
        <v>Finalizada</v>
      </c>
      <c r="H641" s="4">
        <v>68571.0</v>
      </c>
      <c r="I641" s="4">
        <v>0.0</v>
      </c>
      <c r="J641" s="4">
        <v>3.0</v>
      </c>
      <c r="K641" s="4">
        <v>28687.0</v>
      </c>
      <c r="L641" s="5">
        <v>2.390316171087949</v>
      </c>
      <c r="M641" s="5">
        <v>2.390316171087949</v>
      </c>
      <c r="N641" s="4">
        <v>101184.0</v>
      </c>
      <c r="O641" s="4">
        <v>100314.0</v>
      </c>
      <c r="P641" s="4">
        <v>39773.0</v>
      </c>
      <c r="Q641" s="4">
        <v>356.0</v>
      </c>
      <c r="R641" s="4">
        <v>0.0</v>
      </c>
      <c r="S641" s="4">
        <v>0.0</v>
      </c>
      <c r="T641" s="4">
        <v>0.0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0.0</v>
      </c>
      <c r="AB641" s="4">
        <v>0.0</v>
      </c>
      <c r="AC641" s="4">
        <v>0.0</v>
      </c>
      <c r="AD641" s="6" t="s">
        <v>230</v>
      </c>
      <c r="AE641" s="6" t="s">
        <v>9</v>
      </c>
    </row>
    <row r="642" ht="16.5" customHeight="1">
      <c r="A642" s="2" t="str">
        <f>IFERROR(__xludf.DUMMYFUNCTION("""COMPUTED_VALUE"""),"3102-MAYJDGAG")</f>
        <v>3102-MAYJDGAG</v>
      </c>
      <c r="B642" s="2" t="str">
        <f>IFERROR(__xludf.DUMMYFUNCTION("""COMPUTED_VALUE"""),"PRIMERA PERSONA | JM | MARIO PERGOLLINI 1/6")</f>
        <v>PRIMERA PERSONA | JM | MARIO PERGOLLINI 1/6</v>
      </c>
      <c r="C642" s="3">
        <f>IFERROR(__xludf.DUMMYFUNCTION("""COMPUTED_VALUE"""),46169.0)</f>
        <v>46169</v>
      </c>
      <c r="D642" s="3">
        <f>IFERROR(__xludf.DUMMYFUNCTION("""COMPUTED_VALUE"""),46192.0)</f>
        <v>46192</v>
      </c>
      <c r="E642" s="2" t="str">
        <f>IFERROR(__xludf.DUMMYFUNCTION("""COMPUTED_VALUE"""),"Cercanía")</f>
        <v>Cercanía</v>
      </c>
      <c r="F642" s="2" t="str">
        <f>IFERROR(__xludf.DUMMYFUNCTION("""COMPUTED_VALUE"""),"Jefatura de Gobierno")</f>
        <v>Jefatura de Gobierno</v>
      </c>
      <c r="G642" s="2" t="str">
        <f>IFERROR(__xludf.DUMMYFUNCTION("""COMPUTED_VALUE"""),"Finalizada")</f>
        <v>Finalizada</v>
      </c>
      <c r="H642" s="4">
        <v>2536574.0</v>
      </c>
      <c r="I642" s="4">
        <v>1540972.0</v>
      </c>
      <c r="J642" s="4">
        <v>8098.0</v>
      </c>
      <c r="K642" s="4">
        <v>66212.0</v>
      </c>
      <c r="L642" s="5">
        <v>2.8288678789343322</v>
      </c>
      <c r="M642" s="5">
        <v>38.30988340482088</v>
      </c>
      <c r="N642" s="4">
        <v>131641.0</v>
      </c>
      <c r="O642" s="4">
        <v>129894.0</v>
      </c>
      <c r="P642" s="4">
        <v>26718.0</v>
      </c>
      <c r="Q642" s="4">
        <v>1536.0</v>
      </c>
      <c r="R642" s="4">
        <v>17946.0</v>
      </c>
      <c r="S642" s="4">
        <v>7188.0</v>
      </c>
      <c r="T642" s="4">
        <v>1653.0</v>
      </c>
      <c r="U642" s="4">
        <v>1395.0</v>
      </c>
      <c r="V642" s="4">
        <v>33371.0</v>
      </c>
      <c r="W642" s="4">
        <v>24967.0</v>
      </c>
      <c r="X642" s="4">
        <v>22524.0</v>
      </c>
      <c r="Y642" s="4">
        <v>9579.0</v>
      </c>
      <c r="Z642" s="4">
        <v>19.0</v>
      </c>
      <c r="AA642" s="4">
        <v>0.0</v>
      </c>
      <c r="AB642" s="4">
        <v>0.0</v>
      </c>
      <c r="AC642" s="4">
        <v>0.0</v>
      </c>
      <c r="AD642" s="6" t="s">
        <v>231</v>
      </c>
      <c r="AE642" s="6" t="s">
        <v>9</v>
      </c>
    </row>
    <row r="643" ht="16.5" customHeight="1">
      <c r="A643" s="2" t="str">
        <f>IFERROR(__xludf.DUMMYFUNCTION("""COMPUTED_VALUE"""),"3103-MAYJUSGC")</f>
        <v>3103-MAYJUSGC</v>
      </c>
      <c r="B643" s="2" t="str">
        <f>IFERROR(__xludf.DUMMYFUNCTION("""COMPUTED_VALUE"""),"congreso NNyA")</f>
        <v>congreso NNyA</v>
      </c>
      <c r="C643" s="3">
        <f>IFERROR(__xludf.DUMMYFUNCTION("""COMPUTED_VALUE"""),46174.0)</f>
        <v>46174</v>
      </c>
      <c r="D643" s="3">
        <f>IFERROR(__xludf.DUMMYFUNCTION("""COMPUTED_VALUE"""),46220.0)</f>
        <v>46220</v>
      </c>
      <c r="E643" s="2" t="str">
        <f>IFERROR(__xludf.DUMMYFUNCTION("""COMPUTED_VALUE"""),"M2")</f>
        <v>M2</v>
      </c>
      <c r="F643" s="2" t="str">
        <f>IFERROR(__xludf.DUMMYFUNCTION("""COMPUTED_VALUE"""),"Justicia")</f>
        <v>Justicia</v>
      </c>
      <c r="G643" s="2" t="str">
        <f>IFERROR(__xludf.DUMMYFUNCTION("""COMPUTED_VALUE"""),"Finalizada")</f>
        <v>Finalizada</v>
      </c>
      <c r="H643" s="4">
        <v>0.0</v>
      </c>
      <c r="I643" s="4">
        <v>0.0</v>
      </c>
      <c r="J643" s="4">
        <v>0.0</v>
      </c>
      <c r="K643" s="4">
        <v>0.0</v>
      </c>
      <c r="L643" s="5">
        <v>0.0</v>
      </c>
      <c r="M643" s="5">
        <v>0.0</v>
      </c>
      <c r="N643" s="4">
        <v>156745.0</v>
      </c>
      <c r="O643" s="4">
        <v>154393.0</v>
      </c>
      <c r="P643" s="4">
        <v>40564.0</v>
      </c>
      <c r="Q643" s="4">
        <v>1056.0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0.0</v>
      </c>
      <c r="AB643" s="4">
        <v>0.0</v>
      </c>
      <c r="AC643" s="4">
        <v>0.0</v>
      </c>
      <c r="AD643" s="4" t="s">
        <v>8</v>
      </c>
      <c r="AE643" s="6" t="s">
        <v>9</v>
      </c>
    </row>
    <row r="644" ht="16.5" customHeight="1">
      <c r="A644" s="2" t="str">
        <f>IFERROR(__xludf.DUMMYFUNCTION("""COMPUTED_VALUE"""),"3104-MAYDECGC")</f>
        <v>3104-MAYDECGC</v>
      </c>
      <c r="B644" s="2" t="str">
        <f>IFERROR(__xludf.DUMMYFUNCTION("""COMPUTED_VALUE"""),"Encuesta satisfacción La Noche del Obelisco ")</f>
        <v>Encuesta satisfacción La Noche del Obelisco </v>
      </c>
      <c r="C644" s="3">
        <f>IFERROR(__xludf.DUMMYFUNCTION("""COMPUTED_VALUE"""),46190.0)</f>
        <v>46190</v>
      </c>
      <c r="D644" s="3">
        <f>IFERROR(__xludf.DUMMYFUNCTION("""COMPUTED_VALUE"""),46199.0)</f>
        <v>46199</v>
      </c>
      <c r="E644" s="2" t="str">
        <f>IFERROR(__xludf.DUMMYFUNCTION("""COMPUTED_VALUE"""),"Ciudad Atractiva")</f>
        <v>Ciudad Atractiva</v>
      </c>
      <c r="F644" s="2" t="str">
        <f>IFERROR(__xludf.DUMMYFUNCTION("""COMPUTED_VALUE"""),"Desarrollo Económico")</f>
        <v>Desarrollo Económico</v>
      </c>
      <c r="G644" s="2" t="str">
        <f>IFERROR(__xludf.DUMMYFUNCTION("""COMPUTED_VALUE"""),"Finalizada")</f>
        <v>Finalizada</v>
      </c>
      <c r="H644" s="4">
        <v>105786.0</v>
      </c>
      <c r="I644" s="4">
        <v>0.0</v>
      </c>
      <c r="J644" s="4">
        <v>317.0</v>
      </c>
      <c r="K644" s="4">
        <v>51384.0</v>
      </c>
      <c r="L644" s="5">
        <v>2.0587342363381596</v>
      </c>
      <c r="M644" s="5">
        <v>2.0587342363381596</v>
      </c>
      <c r="N644" s="4">
        <v>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0.0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0.0</v>
      </c>
      <c r="AB644" s="4">
        <v>0.0</v>
      </c>
      <c r="AC644" s="4">
        <v>0.0</v>
      </c>
      <c r="AD644" s="6" t="s">
        <v>232</v>
      </c>
      <c r="AE644" s="4" t="s">
        <v>8</v>
      </c>
    </row>
    <row r="645" ht="16.5" customHeight="1">
      <c r="A645" s="2" t="str">
        <f>IFERROR(__xludf.DUMMYFUNCTION("""COMPUTED_VALUE"""),"3106-MAYPCCVC")</f>
        <v>3106-MAYPCCVC</v>
      </c>
      <c r="B645" s="2" t="str">
        <f>IFERROR(__xludf.DUMMYFUNCTION("""COMPUTED_VALUE"""),"Jornada de adopción para perros y gatos")</f>
        <v>Jornada de adopción para perros y gatos</v>
      </c>
      <c r="C645" s="3">
        <f>IFERROR(__xludf.DUMMYFUNCTION("""COMPUTED_VALUE"""),46175.0)</f>
        <v>46175</v>
      </c>
      <c r="D645" s="3">
        <f>IFERROR(__xludf.DUMMYFUNCTION("""COMPUTED_VALUE"""),46175.0)</f>
        <v>46175</v>
      </c>
      <c r="E645" s="2" t="str">
        <f>IFERROR(__xludf.DUMMYFUNCTION("""COMPUTED_VALUE"""),"Cercanía")</f>
        <v>Cercanía</v>
      </c>
      <c r="F645" s="2" t="str">
        <f>IFERROR(__xludf.DUMMYFUNCTION("""COMPUTED_VALUE"""),"Cercanía y PC")</f>
        <v>Cercanía y PC</v>
      </c>
      <c r="G645" s="2" t="str">
        <f>IFERROR(__xludf.DUMMYFUNCTION("""COMPUTED_VALUE"""),"Finalizada")</f>
        <v>Finalizada</v>
      </c>
      <c r="H645" s="4">
        <v>0.0</v>
      </c>
      <c r="I645" s="4">
        <v>0.0</v>
      </c>
      <c r="J645" s="4">
        <v>0.0</v>
      </c>
      <c r="K645" s="4">
        <v>0.0</v>
      </c>
      <c r="L645" s="5">
        <v>0.0</v>
      </c>
      <c r="M645" s="5">
        <v>0.0</v>
      </c>
      <c r="N645" s="4">
        <v>97244.0</v>
      </c>
      <c r="O645" s="4">
        <v>96091.0</v>
      </c>
      <c r="P645" s="4">
        <v>29219.0</v>
      </c>
      <c r="Q645" s="4">
        <v>705.0</v>
      </c>
      <c r="R645" s="4">
        <v>0.0</v>
      </c>
      <c r="S645" s="4">
        <v>0.0</v>
      </c>
      <c r="T645" s="4">
        <v>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0.0</v>
      </c>
      <c r="AB645" s="4">
        <v>0.0</v>
      </c>
      <c r="AC645" s="4">
        <v>0.0</v>
      </c>
      <c r="AD645" s="4" t="s">
        <v>8</v>
      </c>
      <c r="AE645" s="6" t="s">
        <v>9</v>
      </c>
    </row>
    <row r="646" ht="16.5" customHeight="1">
      <c r="A646" s="2" t="str">
        <f>IFERROR(__xludf.DUMMYFUNCTION("""COMPUTED_VALUE"""),"3107-MAYJDGVC")</f>
        <v>3107-MAYJDGVC</v>
      </c>
      <c r="B646" s="2" t="str">
        <f>IFERROR(__xludf.DUMMYFUNCTION("""COMPUTED_VALUE"""),"Gabriel Sánchez Zinny - 1/6 - Villa Crespo")</f>
        <v>Gabriel Sánchez Zinny - 1/6 - Villa Crespo</v>
      </c>
      <c r="C646" s="3">
        <f>IFERROR(__xludf.DUMMYFUNCTION("""COMPUTED_VALUE"""),46170.0)</f>
        <v>46170</v>
      </c>
      <c r="D646" s="3">
        <f>IFERROR(__xludf.DUMMYFUNCTION("""COMPUTED_VALUE"""),46175.0)</f>
        <v>46175</v>
      </c>
      <c r="E646" s="2" t="str">
        <f>IFERROR(__xludf.DUMMYFUNCTION("""COMPUTED_VALUE"""),"Cercanía")</f>
        <v>Cercanía</v>
      </c>
      <c r="F646" s="2" t="str">
        <f>IFERROR(__xludf.DUMMYFUNCTION("""COMPUTED_VALUE"""),"Jefatura de Gabinete")</f>
        <v>Jefatura de Gabinete</v>
      </c>
      <c r="G646" s="2" t="str">
        <f>IFERROR(__xludf.DUMMYFUNCTION("""COMPUTED_VALUE"""),"Finalizada")</f>
        <v>Finalizada</v>
      </c>
      <c r="H646" s="4">
        <v>0.0</v>
      </c>
      <c r="I646" s="4">
        <v>0.0</v>
      </c>
      <c r="J646" s="4">
        <v>0.0</v>
      </c>
      <c r="K646" s="4">
        <v>0.0</v>
      </c>
      <c r="L646" s="5">
        <v>0.0</v>
      </c>
      <c r="M646" s="5">
        <v>0.0</v>
      </c>
      <c r="N646" s="4">
        <v>34316.0</v>
      </c>
      <c r="O646" s="4">
        <v>33930.0</v>
      </c>
      <c r="P646" s="4">
        <v>6094.0</v>
      </c>
      <c r="Q646" s="4">
        <v>153.0</v>
      </c>
      <c r="R646" s="4">
        <v>63.0</v>
      </c>
      <c r="S646" s="4">
        <v>63.0</v>
      </c>
      <c r="T646" s="4">
        <v>27.0</v>
      </c>
      <c r="U646" s="4">
        <v>27.0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0.0</v>
      </c>
      <c r="AB646" s="4">
        <v>0.0</v>
      </c>
      <c r="AC646" s="4">
        <v>0.0</v>
      </c>
      <c r="AD646" s="4" t="s">
        <v>8</v>
      </c>
      <c r="AE646" s="6" t="s">
        <v>9</v>
      </c>
    </row>
    <row r="647" ht="16.5" customHeight="1">
      <c r="A647" s="2" t="str">
        <f>IFERROR(__xludf.DUMMYFUNCTION("""COMPUTED_VALUE"""),"3108-MAYSALVC")</f>
        <v>3108-MAYSALVC</v>
      </c>
      <c r="B647" s="2" t="str">
        <f>IFERROR(__xludf.DUMMYFUNCTION("""COMPUTED_VALUE"""),"Fernán Quirós - 2/6 - Comuna 9")</f>
        <v>Fernán Quirós - 2/6 - Comuna 9</v>
      </c>
      <c r="C647" s="3">
        <f>IFERROR(__xludf.DUMMYFUNCTION("""COMPUTED_VALUE"""),46170.0)</f>
        <v>46170</v>
      </c>
      <c r="D647" s="3">
        <f>IFERROR(__xludf.DUMMYFUNCTION("""COMPUTED_VALUE"""),46177.0)</f>
        <v>46177</v>
      </c>
      <c r="E647" s="2" t="str">
        <f>IFERROR(__xludf.DUMMYFUNCTION("""COMPUTED_VALUE"""),"Cercanía")</f>
        <v>Cercanía</v>
      </c>
      <c r="F647" s="2" t="str">
        <f>IFERROR(__xludf.DUMMYFUNCTION("""COMPUTED_VALUE"""),"Salud")</f>
        <v>Salud</v>
      </c>
      <c r="G647" s="2" t="str">
        <f>IFERROR(__xludf.DUMMYFUNCTION("""COMPUTED_VALUE"""),"Finalizada")</f>
        <v>Finalizada</v>
      </c>
      <c r="H647" s="4">
        <v>131288.0</v>
      </c>
      <c r="I647" s="4">
        <v>0.0</v>
      </c>
      <c r="J647" s="4">
        <v>734.0</v>
      </c>
      <c r="K647" s="4">
        <v>75181.0</v>
      </c>
      <c r="L647" s="5">
        <v>1.746292281294476</v>
      </c>
      <c r="M647" s="5">
        <v>1.746292281294476</v>
      </c>
      <c r="N647" s="4">
        <v>68628.0</v>
      </c>
      <c r="O647" s="4">
        <v>67639.0</v>
      </c>
      <c r="P647" s="4">
        <v>8768.0</v>
      </c>
      <c r="Q647" s="4">
        <v>222.0</v>
      </c>
      <c r="R647" s="4">
        <v>100.0</v>
      </c>
      <c r="S647" s="4">
        <v>100.0</v>
      </c>
      <c r="T647" s="4">
        <v>26.0</v>
      </c>
      <c r="U647" s="4">
        <v>26.0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0.0</v>
      </c>
      <c r="AB647" s="4">
        <v>0.0</v>
      </c>
      <c r="AC647" s="4">
        <v>0.0</v>
      </c>
      <c r="AD647" s="4"/>
      <c r="AE647" s="6" t="s">
        <v>9</v>
      </c>
    </row>
    <row r="648" ht="16.5" customHeight="1">
      <c r="A648" s="2" t="str">
        <f>IFERROR(__xludf.DUMMYFUNCTION("""COMPUTED_VALUE"""),"3109-MAYAMBVC")</f>
        <v>3109-MAYAMBVC</v>
      </c>
      <c r="B648" s="2" t="str">
        <f>IFERROR(__xludf.DUMMYFUNCTION("""COMPUTED_VALUE"""),"Clara Muzzio - 3/6 Palermo")</f>
        <v>Clara Muzzio - 3/6 Palermo</v>
      </c>
      <c r="C648" s="3">
        <f>IFERROR(__xludf.DUMMYFUNCTION("""COMPUTED_VALUE"""),46171.0)</f>
        <v>46171</v>
      </c>
      <c r="D648" s="3">
        <f>IFERROR(__xludf.DUMMYFUNCTION("""COMPUTED_VALUE"""),46178.0)</f>
        <v>46178</v>
      </c>
      <c r="E648" s="2" t="str">
        <f>IFERROR(__xludf.DUMMYFUNCTION("""COMPUTED_VALUE"""),"Cercanía")</f>
        <v>Cercanía</v>
      </c>
      <c r="F648" s="2" t="str">
        <f>IFERROR(__xludf.DUMMYFUNCTION("""COMPUTED_VALUE"""),"Vicejefatura (Ambiente)")</f>
        <v>Vicejefatura (Ambiente)</v>
      </c>
      <c r="G648" s="2" t="str">
        <f>IFERROR(__xludf.DUMMYFUNCTION("""COMPUTED_VALUE"""),"Finalizada")</f>
        <v>Finalizada</v>
      </c>
      <c r="H648" s="4">
        <v>838024.0</v>
      </c>
      <c r="I648" s="4">
        <v>0.0</v>
      </c>
      <c r="J648" s="4">
        <v>1020.0</v>
      </c>
      <c r="K648" s="4">
        <v>510562.0</v>
      </c>
      <c r="L648" s="5">
        <v>1.6413755822015739</v>
      </c>
      <c r="M648" s="5">
        <v>1.6413755822015739</v>
      </c>
      <c r="N648" s="4">
        <v>88124.0</v>
      </c>
      <c r="O648" s="4">
        <v>87174.0</v>
      </c>
      <c r="P648" s="4">
        <v>22285.0</v>
      </c>
      <c r="Q648" s="4">
        <v>445.0</v>
      </c>
      <c r="R648" s="4">
        <v>0.0</v>
      </c>
      <c r="S648" s="4">
        <v>0.0</v>
      </c>
      <c r="T648" s="4">
        <v>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0.0</v>
      </c>
      <c r="AB648" s="4">
        <v>0.0</v>
      </c>
      <c r="AC648" s="4">
        <v>0.0</v>
      </c>
      <c r="AD648" s="4"/>
      <c r="AE648" s="6" t="s">
        <v>9</v>
      </c>
    </row>
    <row r="649" ht="16.5" customHeight="1">
      <c r="A649" s="2" t="str">
        <f>IFERROR(__xludf.DUMMYFUNCTION("""COMPUTED_VALUE"""),"3110-MAYJDGAG")</f>
        <v>3110-MAYJDGAG</v>
      </c>
      <c r="B649" s="2" t="str">
        <f>IFERROR(__xludf.DUMMYFUNCTION("""COMPUTED_VALUE"""),"TE CUENTO BS AS JM | 3/6 ORDEN PÚBLICO EJE SUR")</f>
        <v>TE CUENTO BS AS JM | 3/6 ORDEN PÚBLICO EJE SUR</v>
      </c>
      <c r="C649" s="3">
        <f>IFERROR(__xludf.DUMMYFUNCTION("""COMPUTED_VALUE"""),46170.0)</f>
        <v>46170</v>
      </c>
      <c r="D649" s="3">
        <f>IFERROR(__xludf.DUMMYFUNCTION("""COMPUTED_VALUE"""),46192.0)</f>
        <v>46192</v>
      </c>
      <c r="E649" s="2" t="str">
        <f>IFERROR(__xludf.DUMMYFUNCTION("""COMPUTED_VALUE"""),"Cercanía")</f>
        <v>Cercanía</v>
      </c>
      <c r="F649" s="2" t="str">
        <f>IFERROR(__xludf.DUMMYFUNCTION("""COMPUTED_VALUE"""),"Jefatura de Gobierno")</f>
        <v>Jefatura de Gobierno</v>
      </c>
      <c r="G649" s="2" t="str">
        <f>IFERROR(__xludf.DUMMYFUNCTION("""COMPUTED_VALUE"""),"Finalizada")</f>
        <v>Finalizada</v>
      </c>
      <c r="H649" s="4">
        <v>5335999.0</v>
      </c>
      <c r="I649" s="4">
        <v>1742337.0</v>
      </c>
      <c r="J649" s="4">
        <v>48091.0</v>
      </c>
      <c r="K649" s="4">
        <v>94621.0</v>
      </c>
      <c r="L649" s="5">
        <v>10.931843882436246</v>
      </c>
      <c r="M649" s="5">
        <v>56.39339047357352</v>
      </c>
      <c r="N649" s="4">
        <v>109921.0</v>
      </c>
      <c r="O649" s="4">
        <v>108192.0</v>
      </c>
      <c r="P649" s="4">
        <v>13480.0</v>
      </c>
      <c r="Q649" s="4">
        <v>680.0</v>
      </c>
      <c r="R649" s="4">
        <v>11911.0</v>
      </c>
      <c r="S649" s="4">
        <v>9824.0</v>
      </c>
      <c r="T649" s="4">
        <v>1858.0</v>
      </c>
      <c r="U649" s="4">
        <v>1563.0</v>
      </c>
      <c r="V649" s="4">
        <v>51143.0</v>
      </c>
      <c r="W649" s="4">
        <v>51143.0</v>
      </c>
      <c r="X649" s="4">
        <v>46079.0</v>
      </c>
      <c r="Y649" s="4">
        <v>17743.0</v>
      </c>
      <c r="Z649" s="4">
        <v>201.0</v>
      </c>
      <c r="AA649" s="4">
        <v>0.0</v>
      </c>
      <c r="AB649" s="4">
        <v>0.0</v>
      </c>
      <c r="AC649" s="4">
        <v>0.0</v>
      </c>
      <c r="AD649" s="6" t="s">
        <v>233</v>
      </c>
      <c r="AE649" s="6" t="s">
        <v>9</v>
      </c>
    </row>
    <row r="650" ht="16.5" customHeight="1">
      <c r="A650" s="2" t="str">
        <f>IFERROR(__xludf.DUMMYFUNCTION("""COMPUTED_VALUE"""),"3111-MAYJDGAG")</f>
        <v>3111-MAYJDGAG</v>
      </c>
      <c r="B650" s="2" t="str">
        <f>IFERROR(__xludf.DUMMYFUNCTION("""COMPUTED_VALUE"""),"1 A 1 JM | 2/6 COMUNA 7")</f>
        <v>1 A 1 JM | 2/6 COMUNA 7</v>
      </c>
      <c r="C650" s="3">
        <f>IFERROR(__xludf.DUMMYFUNCTION("""COMPUTED_VALUE"""),46169.0)</f>
        <v>46169</v>
      </c>
      <c r="D650" s="3">
        <f>IFERROR(__xludf.DUMMYFUNCTION("""COMPUTED_VALUE"""),46193.0)</f>
        <v>46193</v>
      </c>
      <c r="E650" s="2" t="str">
        <f>IFERROR(__xludf.DUMMYFUNCTION("""COMPUTED_VALUE"""),"Cercanía")</f>
        <v>Cercanía</v>
      </c>
      <c r="F650" s="2" t="str">
        <f>IFERROR(__xludf.DUMMYFUNCTION("""COMPUTED_VALUE"""),"Jefatura de Gobierno")</f>
        <v>Jefatura de Gobierno</v>
      </c>
      <c r="G650" s="2" t="str">
        <f>IFERROR(__xludf.DUMMYFUNCTION("""COMPUTED_VALUE"""),"Finalizada")</f>
        <v>Finalizada</v>
      </c>
      <c r="H650" s="4">
        <v>2916882.0</v>
      </c>
      <c r="I650" s="4">
        <v>1876825.0</v>
      </c>
      <c r="J650" s="4">
        <v>4583.0</v>
      </c>
      <c r="K650" s="4">
        <v>11108.0</v>
      </c>
      <c r="L650" s="5">
        <v>19.71453006841916</v>
      </c>
      <c r="M650" s="5">
        <v>262.59290601368383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0.0</v>
      </c>
      <c r="AB650" s="4">
        <v>0.0</v>
      </c>
      <c r="AC650" s="4">
        <v>0.0</v>
      </c>
      <c r="AD650" s="6" t="s">
        <v>234</v>
      </c>
      <c r="AE650" s="4" t="s">
        <v>8</v>
      </c>
    </row>
    <row r="651" ht="16.5" customHeight="1">
      <c r="A651" s="2" t="str">
        <f>IFERROR(__xludf.DUMMYFUNCTION("""COMPUTED_VALUE"""),"3114-MAYSALGC")</f>
        <v>3114-MAYSALGC</v>
      </c>
      <c r="B651" s="2" t="str">
        <f>IFERROR(__xludf.DUMMYFUNCTION("""COMPUTED_VALUE"""),"Mejoras en Centros de Salud - CESAC 32")</f>
        <v>Mejoras en Centros de Salud - CESAC 32</v>
      </c>
      <c r="C651" s="3">
        <f>IFERROR(__xludf.DUMMYFUNCTION("""COMPUTED_VALUE"""),46171.0)</f>
        <v>46171</v>
      </c>
      <c r="D651" s="3">
        <f>IFERROR(__xludf.DUMMYFUNCTION("""COMPUTED_VALUE"""),46178.0)</f>
        <v>46178</v>
      </c>
      <c r="E651" s="2" t="str">
        <f>IFERROR(__xludf.DUMMYFUNCTION("""COMPUTED_VALUE"""),"Cuidado")</f>
        <v>Cuidado</v>
      </c>
      <c r="F651" s="2" t="str">
        <f>IFERROR(__xludf.DUMMYFUNCTION("""COMPUTED_VALUE"""),"Salud")</f>
        <v>Salud</v>
      </c>
      <c r="G651" s="2" t="str">
        <f>IFERROR(__xludf.DUMMYFUNCTION("""COMPUTED_VALUE"""),"Finalizada")</f>
        <v>Finalizada</v>
      </c>
      <c r="H651" s="4">
        <v>709656.0</v>
      </c>
      <c r="I651" s="4">
        <v>0.0</v>
      </c>
      <c r="J651" s="4">
        <v>8173.0</v>
      </c>
      <c r="K651" s="4">
        <v>66662.0</v>
      </c>
      <c r="L651" s="5">
        <v>1.9075635294470612</v>
      </c>
      <c r="M651" s="5">
        <v>10.645585190963368</v>
      </c>
      <c r="N651" s="4">
        <v>0.0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0.0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0.0</v>
      </c>
      <c r="AB651" s="4">
        <v>0.0</v>
      </c>
      <c r="AC651" s="4">
        <v>0.0</v>
      </c>
      <c r="AD651" s="6" t="s">
        <v>235</v>
      </c>
      <c r="AE651" s="4" t="s">
        <v>8</v>
      </c>
    </row>
    <row r="652" ht="16.5" customHeight="1">
      <c r="A652" s="2" t="str">
        <f>IFERROR(__xludf.DUMMYFUNCTION("""COMPUTED_VALUE"""),"3116-MAYDECVC")</f>
        <v>3116-MAYDECVC</v>
      </c>
      <c r="B652" s="2" t="str">
        <f>IFERROR(__xludf.DUMMYFUNCTION("""COMPUTED_VALUE"""),"RDV MINISTROS | LOMBARDI-TAPIA-PIRAGINE 1/6 EJE SUR")</f>
        <v>RDV MINISTROS | LOMBARDI-TAPIA-PIRAGINE 1/6 EJE SUR</v>
      </c>
      <c r="C652" s="3">
        <f>IFERROR(__xludf.DUMMYFUNCTION("""COMPUTED_VALUE"""),46171.0)</f>
        <v>46171</v>
      </c>
      <c r="D652" s="3">
        <f>IFERROR(__xludf.DUMMYFUNCTION("""COMPUTED_VALUE"""),46177.0)</f>
        <v>46177</v>
      </c>
      <c r="E652" s="2" t="str">
        <f>IFERROR(__xludf.DUMMYFUNCTION("""COMPUTED_VALUE"""),"Cercanía")</f>
        <v>Cercanía</v>
      </c>
      <c r="F652" s="2" t="str">
        <f>IFERROR(__xludf.DUMMYFUNCTION("""COMPUTED_VALUE"""),"Desarrollo Económico")</f>
        <v>Desarrollo Económico</v>
      </c>
      <c r="G652" s="2" t="str">
        <f>IFERROR(__xludf.DUMMYFUNCTION("""COMPUTED_VALUE"""),"Finalizada")</f>
        <v>Finalizada</v>
      </c>
      <c r="H652" s="4">
        <v>286279.0</v>
      </c>
      <c r="I652" s="4">
        <v>0.0</v>
      </c>
      <c r="J652" s="4">
        <v>914.0</v>
      </c>
      <c r="K652" s="4">
        <v>196823.0</v>
      </c>
      <c r="L652" s="5">
        <v>1.4544997281821739</v>
      </c>
      <c r="M652" s="5">
        <v>1.4544997281821739</v>
      </c>
      <c r="N652" s="4">
        <v>15629.0</v>
      </c>
      <c r="O652" s="4">
        <v>15222.0</v>
      </c>
      <c r="P652" s="4">
        <v>1849.0</v>
      </c>
      <c r="Q652" s="4">
        <v>22.0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0.0</v>
      </c>
      <c r="AB652" s="4">
        <v>0.0</v>
      </c>
      <c r="AC652" s="4">
        <v>0.0</v>
      </c>
      <c r="AD652" s="4"/>
      <c r="AE652" s="6" t="s">
        <v>9</v>
      </c>
    </row>
    <row r="653" ht="16.5" customHeight="1">
      <c r="A653" s="2" t="str">
        <f>IFERROR(__xludf.DUMMYFUNCTION("""COMPUTED_VALUE"""),"3117-MAYSEGVC")</f>
        <v>3117-MAYSEGVC</v>
      </c>
      <c r="B653" s="2" t="str">
        <f>IFERROR(__xludf.DUMMYFUNCTION("""COMPUTED_VALUE"""),"RDV MINISTROS | EZEQUIEL SABOR 3/6 COMUNA 15")</f>
        <v>RDV MINISTROS | EZEQUIEL SABOR 3/6 COMUNA 15</v>
      </c>
      <c r="C653" s="3">
        <f>IFERROR(__xludf.DUMMYFUNCTION("""COMPUTED_VALUE"""),46171.0)</f>
        <v>46171</v>
      </c>
      <c r="D653" s="3">
        <f>IFERROR(__xludf.DUMMYFUNCTION("""COMPUTED_VALUE"""),46178.0)</f>
        <v>46178</v>
      </c>
      <c r="E653" s="2" t="str">
        <f>IFERROR(__xludf.DUMMYFUNCTION("""COMPUTED_VALUE"""),"Cercanía")</f>
        <v>Cercanía</v>
      </c>
      <c r="F653" s="2" t="str">
        <f>IFERROR(__xludf.DUMMYFUNCTION("""COMPUTED_VALUE"""),"Seguridad")</f>
        <v>Seguridad</v>
      </c>
      <c r="G653" s="2" t="str">
        <f>IFERROR(__xludf.DUMMYFUNCTION("""COMPUTED_VALUE"""),"Finalizada")</f>
        <v>Finalizada</v>
      </c>
      <c r="H653" s="4">
        <v>137221.0</v>
      </c>
      <c r="I653" s="4">
        <v>0.0</v>
      </c>
      <c r="J653" s="4">
        <v>516.0</v>
      </c>
      <c r="K653" s="4">
        <v>83973.0</v>
      </c>
      <c r="L653" s="5">
        <v>1.6341085825205721</v>
      </c>
      <c r="M653" s="5">
        <v>1.6341085825205721</v>
      </c>
      <c r="N653" s="4">
        <v>80162.0</v>
      </c>
      <c r="O653" s="4">
        <v>79454.0</v>
      </c>
      <c r="P653" s="4">
        <v>13278.0</v>
      </c>
      <c r="Q653" s="4">
        <v>210.0</v>
      </c>
      <c r="R653" s="4">
        <v>106.0</v>
      </c>
      <c r="S653" s="4">
        <v>106.0</v>
      </c>
      <c r="T653" s="4">
        <v>27.0</v>
      </c>
      <c r="U653" s="4">
        <v>26.0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0.0</v>
      </c>
      <c r="AB653" s="4">
        <v>0.0</v>
      </c>
      <c r="AC653" s="4">
        <v>0.0</v>
      </c>
      <c r="AD653" s="4"/>
      <c r="AE653" s="6" t="s">
        <v>9</v>
      </c>
    </row>
    <row r="654" ht="16.5" customHeight="1">
      <c r="A654" s="2" t="str">
        <f>IFERROR(__xludf.DUMMYFUNCTION("""COMPUTED_VALUE"""),"3118-MAYINFGJ")</f>
        <v>3118-MAYINFGJ</v>
      </c>
      <c r="B654" s="2" t="str">
        <f>IFERROR(__xludf.DUMMYFUNCTION("""COMPUTED_VALUE"""),"CONTENIDO ADICIONAL | INFRAESTRUCTURA | Dellepiane Avances")</f>
        <v>CONTENIDO ADICIONAL | INFRAESTRUCTURA | Dellepiane Avances</v>
      </c>
      <c r="C654" s="3">
        <f>IFERROR(__xludf.DUMMYFUNCTION("""COMPUTED_VALUE"""),46171.0)</f>
        <v>46171</v>
      </c>
      <c r="D654" s="3">
        <f>IFERROR(__xludf.DUMMYFUNCTION("""COMPUTED_VALUE"""),46186.0)</f>
        <v>46186</v>
      </c>
      <c r="E654" s="2" t="str">
        <f>IFERROR(__xludf.DUMMYFUNCTION("""COMPUTED_VALUE"""),"Movilidad")</f>
        <v>Movilidad</v>
      </c>
      <c r="F654" s="2" t="str">
        <f>IFERROR(__xludf.DUMMYFUNCTION("""COMPUTED_VALUE"""),"Infraestructura")</f>
        <v>Infraestructura</v>
      </c>
      <c r="G654" s="2" t="str">
        <f>IFERROR(__xludf.DUMMYFUNCTION("""COMPUTED_VALUE"""),"Finalizada")</f>
        <v>Finalizada</v>
      </c>
      <c r="H654" s="4">
        <v>7932268.0</v>
      </c>
      <c r="I654" s="4">
        <v>4521126.0</v>
      </c>
      <c r="J654" s="4">
        <v>6930.0</v>
      </c>
      <c r="K654" s="4">
        <v>748204.0</v>
      </c>
      <c r="L654" s="5">
        <v>1.8633193620991066</v>
      </c>
      <c r="M654" s="5">
        <v>10.601744978642188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0.0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0.0</v>
      </c>
      <c r="AB654" s="4">
        <v>0.0</v>
      </c>
      <c r="AC654" s="4">
        <v>0.0</v>
      </c>
      <c r="AD654" s="4"/>
      <c r="AE654" s="4" t="s">
        <v>8</v>
      </c>
    </row>
    <row r="655" ht="16.5" customHeight="1">
      <c r="A655" s="2" t="str">
        <f>IFERROR(__xludf.DUMMYFUNCTION("""COMPUTED_VALUE"""),"3119-MAYCCRSGC")</f>
        <v>3119-MAYCCRSGC</v>
      </c>
      <c r="B655" s="2" t="str">
        <f>IFERROR(__xludf.DUMMYFUNCTION("""COMPUTED_VALUE""")," Vicejefatura | Envío Mail Día de la Familia Rosedal Palermo")</f>
        <v> Vicejefatura | Envío Mail Día de la Familia Rosedal Palermo</v>
      </c>
      <c r="C655" s="3">
        <f>IFERROR(__xludf.DUMMYFUNCTION("""COMPUTED_VALUE"""),46170.0)</f>
        <v>46170</v>
      </c>
      <c r="D655" s="3">
        <f>IFERROR(__xludf.DUMMYFUNCTION("""COMPUTED_VALUE"""),46170.0)</f>
        <v>46170</v>
      </c>
      <c r="E655" s="2" t="str">
        <f>IFERROR(__xludf.DUMMYFUNCTION("""COMPUTED_VALUE"""),"Cuidado")</f>
        <v>Cuidado</v>
      </c>
      <c r="F655" s="2" t="str">
        <f>IFERROR(__xludf.DUMMYFUNCTION("""COMPUTED_VALUE"""),"Vicejefatura (Cultura Ciudadana y Responsabilidad Social)")</f>
        <v>Vicejefatura (Cultura Ciudadana y Responsabilidad Social)</v>
      </c>
      <c r="G655" s="2" t="str">
        <f>IFERROR(__xludf.DUMMYFUNCTION("""COMPUTED_VALUE"""),"Finalizada")</f>
        <v>Finalizada</v>
      </c>
      <c r="H655" s="4">
        <v>0.0</v>
      </c>
      <c r="I655" s="4">
        <v>0.0</v>
      </c>
      <c r="J655" s="4">
        <v>0.0</v>
      </c>
      <c r="K655" s="4">
        <v>0.0</v>
      </c>
      <c r="L655" s="5">
        <v>0.0</v>
      </c>
      <c r="M655" s="5">
        <v>0.0</v>
      </c>
      <c r="N655" s="4">
        <v>43553.0</v>
      </c>
      <c r="O655" s="4">
        <v>43060.0</v>
      </c>
      <c r="P655" s="4">
        <v>16304.0</v>
      </c>
      <c r="Q655" s="4">
        <v>37.0</v>
      </c>
      <c r="R655" s="4">
        <v>0.0</v>
      </c>
      <c r="S655" s="4">
        <v>0.0</v>
      </c>
      <c r="T655" s="4">
        <v>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0.0</v>
      </c>
      <c r="AB655" s="4">
        <v>0.0</v>
      </c>
      <c r="AC655" s="4">
        <v>0.0</v>
      </c>
      <c r="AD655" s="4" t="s">
        <v>8</v>
      </c>
      <c r="AE655" s="6" t="s">
        <v>9</v>
      </c>
    </row>
    <row r="656" ht="16.5" customHeight="1">
      <c r="A656" s="2" t="str">
        <f>IFERROR(__xludf.DUMMYFUNCTION("""COMPUTED_VALUE"""),"3120-MAYINFGJ")</f>
        <v>3120-MAYINFGJ</v>
      </c>
      <c r="B656" s="2" t="str">
        <f>IFERROR(__xludf.DUMMYFUNCTION("""COMPUTED_VALUE"""),"Infraestructura I Remoción de Estacionamientos Truchos")</f>
        <v>Infraestructura I Remoción de Estacionamientos Truchos</v>
      </c>
      <c r="C656" s="3">
        <f>IFERROR(__xludf.DUMMYFUNCTION("""COMPUTED_VALUE"""),46171.0)</f>
        <v>46171</v>
      </c>
      <c r="D656" s="3">
        <f>IFERROR(__xludf.DUMMYFUNCTION("""COMPUTED_VALUE"""),46203.0)</f>
        <v>46203</v>
      </c>
      <c r="E656" s="2" t="str">
        <f>IFERROR(__xludf.DUMMYFUNCTION("""COMPUTED_VALUE"""),"Movilidad")</f>
        <v>Movilidad</v>
      </c>
      <c r="F656" s="2" t="str">
        <f>IFERROR(__xludf.DUMMYFUNCTION("""COMPUTED_VALUE"""),"Infraestructura")</f>
        <v>Infraestructura</v>
      </c>
      <c r="G656" s="2" t="str">
        <f>IFERROR(__xludf.DUMMYFUNCTION("""COMPUTED_VALUE"""),"Finalizada")</f>
        <v>Finalizada</v>
      </c>
      <c r="H656" s="4">
        <v>9552479.0</v>
      </c>
      <c r="I656" s="4">
        <v>4679878.0</v>
      </c>
      <c r="J656" s="4">
        <v>10092.0</v>
      </c>
      <c r="K656" s="4">
        <v>1376182.0</v>
      </c>
      <c r="L656" s="5">
        <v>2.8444522599481754</v>
      </c>
      <c r="M656" s="5">
        <v>6.94129046884787</v>
      </c>
      <c r="N656" s="4">
        <v>111268.0</v>
      </c>
      <c r="O656" s="4">
        <v>110369.0</v>
      </c>
      <c r="P656" s="4">
        <v>23289.0</v>
      </c>
      <c r="Q656" s="4">
        <v>63.0</v>
      </c>
      <c r="R656" s="4">
        <v>0.0</v>
      </c>
      <c r="S656" s="4">
        <v>0.0</v>
      </c>
      <c r="T656" s="4">
        <v>0.0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0.0</v>
      </c>
      <c r="AB656" s="4">
        <v>0.0</v>
      </c>
      <c r="AC656" s="4">
        <v>0.0</v>
      </c>
      <c r="AD656" s="6" t="s">
        <v>236</v>
      </c>
      <c r="AE656" s="6" t="s">
        <v>9</v>
      </c>
    </row>
    <row r="657" ht="16.5" customHeight="1">
      <c r="A657" s="2" t="str">
        <f>IFERROR(__xludf.DUMMYFUNCTION("""COMPUTED_VALUE"""),"3121-MAYSEGVC")</f>
        <v>3121-MAYSEGVC</v>
      </c>
      <c r="B657" s="2" t="str">
        <f>IFERROR(__xludf.DUMMYFUNCTION("""COMPUTED_VALUE"""),"RDV Ministros | Maximiliano Piñeiro 4/6 Comuna 1 Sur")</f>
        <v>RDV Ministros | Maximiliano Piñeiro 4/6 Comuna 1 Sur</v>
      </c>
      <c r="C657" s="3">
        <f>IFERROR(__xludf.DUMMYFUNCTION("""COMPUTED_VALUE"""),46174.0)</f>
        <v>46174</v>
      </c>
      <c r="D657" s="3">
        <f>IFERROR(__xludf.DUMMYFUNCTION("""COMPUTED_VALUE"""),46178.0)</f>
        <v>46178</v>
      </c>
      <c r="E657" s="2" t="str">
        <f>IFERROR(__xludf.DUMMYFUNCTION("""COMPUTED_VALUE"""),"Cercanía")</f>
        <v>Cercanía</v>
      </c>
      <c r="F657" s="2" t="str">
        <f>IFERROR(__xludf.DUMMYFUNCTION("""COMPUTED_VALUE"""),"Seguridad")</f>
        <v>Seguridad</v>
      </c>
      <c r="G657" s="2" t="str">
        <f>IFERROR(__xludf.DUMMYFUNCTION("""COMPUTED_VALUE"""),"Finalizada")</f>
        <v>Finalizada</v>
      </c>
      <c r="H657" s="4">
        <v>101723.0</v>
      </c>
      <c r="I657" s="4">
        <v>0.0</v>
      </c>
      <c r="J657" s="4">
        <v>416.0</v>
      </c>
      <c r="K657" s="4">
        <v>64685.0</v>
      </c>
      <c r="L657" s="5">
        <v>1.5725902450336244</v>
      </c>
      <c r="M657" s="5">
        <v>1.5725902450336244</v>
      </c>
      <c r="N657" s="4">
        <v>38474.0</v>
      </c>
      <c r="O657" s="4">
        <v>37892.0</v>
      </c>
      <c r="P657" s="4">
        <v>5892.0</v>
      </c>
      <c r="Q657" s="4">
        <v>153.0</v>
      </c>
      <c r="R657" s="4">
        <v>115.0</v>
      </c>
      <c r="S657" s="4">
        <v>115.0</v>
      </c>
      <c r="T657" s="4">
        <v>32.0</v>
      </c>
      <c r="U657" s="4">
        <v>30.0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0.0</v>
      </c>
      <c r="AB657" s="4">
        <v>0.0</v>
      </c>
      <c r="AC657" s="4">
        <v>0.0</v>
      </c>
      <c r="AD657" s="4"/>
      <c r="AE657" s="6" t="s">
        <v>9</v>
      </c>
    </row>
    <row r="658" ht="16.5" customHeight="1">
      <c r="A658" s="2" t="str">
        <f>IFERROR(__xludf.DUMMYFUNCTION("""COMPUTED_VALUE"""),"3122-MAYSEGVC")</f>
        <v>3122-MAYSEGVC</v>
      </c>
      <c r="B658" s="2" t="str">
        <f>IFERROR(__xludf.DUMMYFUNCTION("""COMPUTED_VALUE"""),"RDV Ministros | Horacio Giménez 4/6 Comuna 1 Norte")</f>
        <v>RDV Ministros | Horacio Giménez 4/6 Comuna 1 Norte</v>
      </c>
      <c r="C658" s="3">
        <f>IFERROR(__xludf.DUMMYFUNCTION("""COMPUTED_VALUE"""),46174.0)</f>
        <v>46174</v>
      </c>
      <c r="D658" s="3">
        <f>IFERROR(__xludf.DUMMYFUNCTION("""COMPUTED_VALUE"""),46178.0)</f>
        <v>46178</v>
      </c>
      <c r="E658" s="2" t="str">
        <f>IFERROR(__xludf.DUMMYFUNCTION("""COMPUTED_VALUE"""),"Cercanía")</f>
        <v>Cercanía</v>
      </c>
      <c r="F658" s="2" t="str">
        <f>IFERROR(__xludf.DUMMYFUNCTION("""COMPUTED_VALUE"""),"Seguridad")</f>
        <v>Seguridad</v>
      </c>
      <c r="G658" s="2" t="str">
        <f>IFERROR(__xludf.DUMMYFUNCTION("""COMPUTED_VALUE"""),"Finalizada")</f>
        <v>Finalizada</v>
      </c>
      <c r="H658" s="4">
        <v>122255.0</v>
      </c>
      <c r="I658" s="4">
        <v>0.0</v>
      </c>
      <c r="J658" s="4">
        <v>422.0</v>
      </c>
      <c r="K658" s="4">
        <v>76735.0</v>
      </c>
      <c r="L658" s="5">
        <v>1.593210399426598</v>
      </c>
      <c r="M658" s="5">
        <v>1.593210399426598</v>
      </c>
      <c r="N658" s="4">
        <v>31486.0</v>
      </c>
      <c r="O658" s="4">
        <v>31048.0</v>
      </c>
      <c r="P658" s="4">
        <v>7384.0</v>
      </c>
      <c r="Q658" s="4">
        <v>97.0</v>
      </c>
      <c r="R658" s="4">
        <v>49.0</v>
      </c>
      <c r="S658" s="4">
        <v>49.0</v>
      </c>
      <c r="T658" s="4">
        <v>14.0</v>
      </c>
      <c r="U658" s="4">
        <v>14.0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0.0</v>
      </c>
      <c r="AB658" s="4">
        <v>0.0</v>
      </c>
      <c r="AC658" s="4">
        <v>0.0</v>
      </c>
      <c r="AD658" s="4"/>
      <c r="AE658" s="6" t="s">
        <v>9</v>
      </c>
    </row>
    <row r="659" ht="16.5" customHeight="1">
      <c r="A659" s="2" t="str">
        <f>IFERROR(__xludf.DUMMYFUNCTION("""COMPUTED_VALUE"""),"3123-MAYSEGVC")</f>
        <v>3123-MAYSEGVC</v>
      </c>
      <c r="B659" s="2" t="str">
        <f>IFERROR(__xludf.DUMMYFUNCTION("""COMPUTED_VALUE"""),"RDV Ministros | Ruth Landerreche 4/6 Comuna 3")</f>
        <v>RDV Ministros | Ruth Landerreche 4/6 Comuna 3</v>
      </c>
      <c r="C659" s="3">
        <f>IFERROR(__xludf.DUMMYFUNCTION("""COMPUTED_VALUE"""),46174.0)</f>
        <v>46174</v>
      </c>
      <c r="D659" s="3">
        <f>IFERROR(__xludf.DUMMYFUNCTION("""COMPUTED_VALUE"""),46178.0)</f>
        <v>46178</v>
      </c>
      <c r="E659" s="2" t="str">
        <f>IFERROR(__xludf.DUMMYFUNCTION("""COMPUTED_VALUE"""),"Cercanía")</f>
        <v>Cercanía</v>
      </c>
      <c r="F659" s="2" t="str">
        <f>IFERROR(__xludf.DUMMYFUNCTION("""COMPUTED_VALUE"""),"Seguridad")</f>
        <v>Seguridad</v>
      </c>
      <c r="G659" s="2" t="str">
        <f>IFERROR(__xludf.DUMMYFUNCTION("""COMPUTED_VALUE"""),"Finalizada")</f>
        <v>Finalizada</v>
      </c>
      <c r="H659" s="4">
        <v>418731.0</v>
      </c>
      <c r="I659" s="4">
        <v>0.0</v>
      </c>
      <c r="J659" s="4">
        <v>871.0</v>
      </c>
      <c r="K659" s="4">
        <v>342292.0</v>
      </c>
      <c r="L659" s="5">
        <v>1.2233151811903287</v>
      </c>
      <c r="M659" s="5">
        <v>1.2233151811903287</v>
      </c>
      <c r="N659" s="4">
        <v>65463.0</v>
      </c>
      <c r="O659" s="4">
        <v>64583.0</v>
      </c>
      <c r="P659" s="4">
        <v>10945.0</v>
      </c>
      <c r="Q659" s="4">
        <v>209.0</v>
      </c>
      <c r="R659" s="4">
        <v>138.0</v>
      </c>
      <c r="S659" s="4">
        <v>138.0</v>
      </c>
      <c r="T659" s="4">
        <v>32.0</v>
      </c>
      <c r="U659" s="4">
        <v>30.0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0.0</v>
      </c>
      <c r="AB659" s="4">
        <v>0.0</v>
      </c>
      <c r="AC659" s="4">
        <v>0.0</v>
      </c>
      <c r="AD659" s="4"/>
      <c r="AE659" s="6" t="s">
        <v>9</v>
      </c>
    </row>
    <row r="660" ht="16.5" customHeight="1">
      <c r="A660" s="2" t="str">
        <f>IFERROR(__xludf.DUMMYFUNCTION("""COMPUTED_VALUE"""),"3124-MAYSEGVC")</f>
        <v>3124-MAYSEGVC</v>
      </c>
      <c r="B660" s="2" t="str">
        <f>IFERROR(__xludf.DUMMYFUNCTION("""COMPUTED_VALUE"""),"RDV Ministros | Francisco Quintana 4/6 Comuna 2")</f>
        <v>RDV Ministros | Francisco Quintana 4/6 Comuna 2</v>
      </c>
      <c r="C660" s="3">
        <f>IFERROR(__xludf.DUMMYFUNCTION("""COMPUTED_VALUE"""),46174.0)</f>
        <v>46174</v>
      </c>
      <c r="D660" s="3">
        <f>IFERROR(__xludf.DUMMYFUNCTION("""COMPUTED_VALUE"""),46178.0)</f>
        <v>46178</v>
      </c>
      <c r="E660" s="2" t="str">
        <f>IFERROR(__xludf.DUMMYFUNCTION("""COMPUTED_VALUE"""),"Cercanía")</f>
        <v>Cercanía</v>
      </c>
      <c r="F660" s="2" t="str">
        <f>IFERROR(__xludf.DUMMYFUNCTION("""COMPUTED_VALUE"""),"Seguridad")</f>
        <v>Seguridad</v>
      </c>
      <c r="G660" s="2" t="str">
        <f>IFERROR(__xludf.DUMMYFUNCTION("""COMPUTED_VALUE"""),"Finalizada")</f>
        <v>Finalizada</v>
      </c>
      <c r="H660" s="4">
        <v>257380.0</v>
      </c>
      <c r="I660" s="4">
        <v>0.0</v>
      </c>
      <c r="J660" s="4">
        <v>359.0</v>
      </c>
      <c r="K660" s="4">
        <v>219626.0</v>
      </c>
      <c r="L660" s="5">
        <v>1.1719013231584603</v>
      </c>
      <c r="M660" s="5">
        <v>1.1719013231584603</v>
      </c>
      <c r="N660" s="4">
        <v>58759.0</v>
      </c>
      <c r="O660" s="4">
        <v>58154.0</v>
      </c>
      <c r="P660" s="4">
        <v>20543.0</v>
      </c>
      <c r="Q660" s="4">
        <v>274.0</v>
      </c>
      <c r="R660" s="4">
        <v>116.0</v>
      </c>
      <c r="S660" s="4">
        <v>115.0</v>
      </c>
      <c r="T660" s="4">
        <v>28.0</v>
      </c>
      <c r="U660" s="4">
        <v>27.0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0.0</v>
      </c>
      <c r="AB660" s="4">
        <v>0.0</v>
      </c>
      <c r="AC660" s="4">
        <v>0.0</v>
      </c>
      <c r="AD660" s="4"/>
      <c r="AE660" s="6" t="s">
        <v>9</v>
      </c>
    </row>
    <row r="661" ht="16.5" customHeight="1">
      <c r="A661" s="2" t="str">
        <f>IFERROR(__xludf.DUMMYFUNCTION("""COMPUTED_VALUE"""),"3125-MAYPCCVC")</f>
        <v>3125-MAYPCCVC</v>
      </c>
      <c r="B661" s="2" t="str">
        <f>IFERROR(__xludf.DUMMYFUNCTION("""COMPUTED_VALUE"""),"Semana del Vecino Participativo")</f>
        <v>Semana del Vecino Participativo</v>
      </c>
      <c r="C661" s="3">
        <f>IFERROR(__xludf.DUMMYFUNCTION("""COMPUTED_VALUE"""),46190.0)</f>
        <v>46190</v>
      </c>
      <c r="D661" s="3">
        <f>IFERROR(__xludf.DUMMYFUNCTION("""COMPUTED_VALUE"""),46190.0)</f>
        <v>46190</v>
      </c>
      <c r="E661" s="2" t="str">
        <f>IFERROR(__xludf.DUMMYFUNCTION("""COMPUTED_VALUE"""),"Cercanía")</f>
        <v>Cercanía</v>
      </c>
      <c r="F661" s="2" t="str">
        <f>IFERROR(__xludf.DUMMYFUNCTION("""COMPUTED_VALUE"""),"Cercanía y PC")</f>
        <v>Cercanía y PC</v>
      </c>
      <c r="G661" s="2" t="str">
        <f>IFERROR(__xludf.DUMMYFUNCTION("""COMPUTED_VALUE"""),"Finalizada")</f>
        <v>Finalizada</v>
      </c>
      <c r="H661" s="4">
        <v>0.0</v>
      </c>
      <c r="I661" s="4">
        <v>0.0</v>
      </c>
      <c r="J661" s="4">
        <v>0.0</v>
      </c>
      <c r="K661" s="4">
        <v>0.0</v>
      </c>
      <c r="L661" s="5">
        <v>0.0</v>
      </c>
      <c r="M661" s="5">
        <v>0.0</v>
      </c>
      <c r="N661" s="4">
        <v>134868.0</v>
      </c>
      <c r="O661" s="4">
        <v>133039.0</v>
      </c>
      <c r="P661" s="4">
        <v>30753.0</v>
      </c>
      <c r="Q661" s="4">
        <v>1664.0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0.0</v>
      </c>
      <c r="AB661" s="4">
        <v>0.0</v>
      </c>
      <c r="AC661" s="4">
        <v>0.0</v>
      </c>
      <c r="AD661" s="4" t="s">
        <v>8</v>
      </c>
      <c r="AE661" s="6" t="s">
        <v>9</v>
      </c>
    </row>
    <row r="662" ht="16.5" customHeight="1">
      <c r="A662" s="2" t="str">
        <f>IFERROR(__xludf.DUMMYFUNCTION("""COMPUTED_VALUE"""),"3126-MAYAMBVC")</f>
        <v>3126-MAYAMBVC</v>
      </c>
      <c r="B662" s="2" t="str">
        <f>IFERROR(__xludf.DUMMYFUNCTION("""COMPUTED_VALUE"""),"Clara Muzzio - 5/6 - Núñez")</f>
        <v>Clara Muzzio - 5/6 - Núñez</v>
      </c>
      <c r="C662" s="3">
        <f>IFERROR(__xludf.DUMMYFUNCTION("""COMPUTED_VALUE"""),46150.0)</f>
        <v>46150</v>
      </c>
      <c r="D662" s="3">
        <f>IFERROR(__xludf.DUMMYFUNCTION("""COMPUTED_VALUE"""),46178.0)</f>
        <v>46178</v>
      </c>
      <c r="E662" s="2" t="str">
        <f>IFERROR(__xludf.DUMMYFUNCTION("""COMPUTED_VALUE"""),"Cercanía")</f>
        <v>Cercanía</v>
      </c>
      <c r="F662" s="2" t="str">
        <f>IFERROR(__xludf.DUMMYFUNCTION("""COMPUTED_VALUE"""),"Vicejefatura (Ambiente)")</f>
        <v>Vicejefatura (Ambiente)</v>
      </c>
      <c r="G662" s="2" t="str">
        <f>IFERROR(__xludf.DUMMYFUNCTION("""COMPUTED_VALUE"""),"Finalizada")</f>
        <v>Finalizada</v>
      </c>
      <c r="H662" s="4">
        <v>26425.0</v>
      </c>
      <c r="I662" s="4">
        <v>0.0</v>
      </c>
      <c r="J662" s="4">
        <v>176.0</v>
      </c>
      <c r="K662" s="4">
        <v>18547.0</v>
      </c>
      <c r="L662" s="5">
        <v>1.4247587210869683</v>
      </c>
      <c r="M662" s="5">
        <v>1.4247587210869683</v>
      </c>
      <c r="N662" s="4">
        <v>6979.0</v>
      </c>
      <c r="O662" s="4">
        <v>6927.0</v>
      </c>
      <c r="P662" s="4">
        <v>2423.0</v>
      </c>
      <c r="Q662" s="4">
        <v>60.0</v>
      </c>
      <c r="R662" s="4">
        <v>0.0</v>
      </c>
      <c r="S662" s="4">
        <v>0.0</v>
      </c>
      <c r="T662" s="4">
        <v>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0.0</v>
      </c>
      <c r="AB662" s="4">
        <v>0.0</v>
      </c>
      <c r="AC662" s="4">
        <v>0.0</v>
      </c>
      <c r="AD662" s="4"/>
      <c r="AE662" s="6" t="s">
        <v>9</v>
      </c>
    </row>
    <row r="663" ht="16.5" customHeight="1">
      <c r="A663" s="2" t="str">
        <f>IFERROR(__xludf.DUMMYFUNCTION("""COMPUTED_VALUE"""),"3128-MAYINFCA")</f>
        <v>3128-MAYINFCA</v>
      </c>
      <c r="B663" s="2" t="str">
        <f>IFERROR(__xludf.DUMMYFUNCTION("""COMPUTED_VALUE"""),"INFRAESTRUCTURA| Habilitacion Parcial de Puente Labruna                                ")</f>
        <v>INFRAESTRUCTURA| Habilitacion Parcial de Puente Labruna                                </v>
      </c>
      <c r="C663" s="3">
        <f>IFERROR(__xludf.DUMMYFUNCTION("""COMPUTED_VALUE"""),46177.0)</f>
        <v>46177</v>
      </c>
      <c r="D663" s="3">
        <f>IFERROR(__xludf.DUMMYFUNCTION("""COMPUTED_VALUE"""),46191.0)</f>
        <v>46191</v>
      </c>
      <c r="E663" s="2" t="str">
        <f>IFERROR(__xludf.DUMMYFUNCTION("""COMPUTED_VALUE"""),"Movilidad")</f>
        <v>Movilidad</v>
      </c>
      <c r="F663" s="2" t="str">
        <f>IFERROR(__xludf.DUMMYFUNCTION("""COMPUTED_VALUE"""),"Infraestructura")</f>
        <v>Infraestructura</v>
      </c>
      <c r="G663" s="2" t="str">
        <f>IFERROR(__xludf.DUMMYFUNCTION("""COMPUTED_VALUE"""),"Finalizada")</f>
        <v>Finalizada</v>
      </c>
      <c r="H663" s="4">
        <v>3463672.0</v>
      </c>
      <c r="I663" s="4">
        <v>1953013.0</v>
      </c>
      <c r="J663" s="4">
        <v>2959.0</v>
      </c>
      <c r="K663" s="4">
        <v>490780.0</v>
      </c>
      <c r="L663" s="5">
        <v>2.1830372060801175</v>
      </c>
      <c r="M663" s="5">
        <v>7.057484005053181</v>
      </c>
      <c r="N663" s="4">
        <v>0.0</v>
      </c>
      <c r="O663" s="4">
        <v>0.0</v>
      </c>
      <c r="P663" s="4">
        <v>0.0</v>
      </c>
      <c r="Q663" s="4">
        <v>0.0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0.0</v>
      </c>
      <c r="AB663" s="4">
        <v>0.0</v>
      </c>
      <c r="AC663" s="4">
        <v>0.0</v>
      </c>
      <c r="AD663" s="6" t="s">
        <v>237</v>
      </c>
      <c r="AE663" s="4" t="s">
        <v>8</v>
      </c>
    </row>
    <row r="664" ht="16.5" customHeight="1">
      <c r="A664" s="2" t="str">
        <f>IFERROR(__xludf.DUMMYFUNCTION("""COMPUTED_VALUE"""),"3129-MAYJDGAN")</f>
        <v>3129-MAYJDGAN</v>
      </c>
      <c r="B664" s="2" t="str">
        <f>IFERROR(__xludf.DUMMYFUNCTION("""COMPUTED_VALUE"""),"Mail Deudores Alimentarios")</f>
        <v>Mail Deudores Alimentarios</v>
      </c>
      <c r="C664" s="3">
        <f>IFERROR(__xludf.DUMMYFUNCTION("""COMPUTED_VALUE"""),46171.0)</f>
        <v>46171</v>
      </c>
      <c r="D664" s="3">
        <f>IFERROR(__xludf.DUMMYFUNCTION("""COMPUTED_VALUE"""),46175.0)</f>
        <v>46175</v>
      </c>
      <c r="E664" s="2" t="str">
        <f>IFERROR(__xludf.DUMMYFUNCTION("""COMPUTED_VALUE"""),"Cuidado")</f>
        <v>Cuidado</v>
      </c>
      <c r="F664" s="2" t="str">
        <f>IFERROR(__xludf.DUMMYFUNCTION("""COMPUTED_VALUE"""),"Jefatura de Gobierno")</f>
        <v>Jefatura de Gobierno</v>
      </c>
      <c r="G664" s="2" t="str">
        <f>IFERROR(__xludf.DUMMYFUNCTION("""COMPUTED_VALUE"""),"Finalizada")</f>
        <v>Finalizada</v>
      </c>
      <c r="H664" s="4">
        <v>0.0</v>
      </c>
      <c r="I664" s="4">
        <v>0.0</v>
      </c>
      <c r="J664" s="4">
        <v>0.0</v>
      </c>
      <c r="K664" s="4">
        <v>0.0</v>
      </c>
      <c r="L664" s="5">
        <v>0.0</v>
      </c>
      <c r="M664" s="5">
        <v>0.0</v>
      </c>
      <c r="N664" s="4">
        <v>181223.0</v>
      </c>
      <c r="O664" s="4">
        <v>178108.0</v>
      </c>
      <c r="P664" s="4">
        <v>28551.0</v>
      </c>
      <c r="Q664" s="4">
        <v>198.0</v>
      </c>
      <c r="R664" s="4">
        <v>0.0</v>
      </c>
      <c r="S664" s="4">
        <v>0.0</v>
      </c>
      <c r="T664" s="4">
        <v>0.0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0.0</v>
      </c>
      <c r="AB664" s="4">
        <v>0.0</v>
      </c>
      <c r="AC664" s="4">
        <v>0.0</v>
      </c>
      <c r="AD664" s="4" t="s">
        <v>8</v>
      </c>
      <c r="AE664" s="6" t="s">
        <v>9</v>
      </c>
    </row>
    <row r="665" ht="16.5" customHeight="1">
      <c r="A665" s="2" t="str">
        <f>IFERROR(__xludf.DUMMYFUNCTION("""COMPUTED_VALUE"""),"3130-MAYTURGC")</f>
        <v>3130-MAYTURGC</v>
      </c>
      <c r="B665" s="2" t="str">
        <f>IFERROR(__xludf.DUMMYFUNCTION("""COMPUTED_VALUE"""),"Sondeo Hotelero | Finde largo junio ")</f>
        <v>Sondeo Hotelero | Finde largo junio </v>
      </c>
      <c r="C665" s="3">
        <f>IFERROR(__xludf.DUMMYFUNCTION("""COMPUTED_VALUE"""),46182.0)</f>
        <v>46182</v>
      </c>
      <c r="D665" s="3">
        <f>IFERROR(__xludf.DUMMYFUNCTION("""COMPUTED_VALUE"""),46182.0)</f>
        <v>46182</v>
      </c>
      <c r="E665" s="2" t="str">
        <f>IFERROR(__xludf.DUMMYFUNCTION("""COMPUTED_VALUE"""),"Ciudad Atractiva")</f>
        <v>Ciudad Atractiva</v>
      </c>
      <c r="F665" s="2" t="str">
        <f>IFERROR(__xludf.DUMMYFUNCTION("""COMPUTED_VALUE"""),"Turismo")</f>
        <v>Turismo</v>
      </c>
      <c r="G665" s="2" t="str">
        <f>IFERROR(__xludf.DUMMYFUNCTION("""COMPUTED_VALUE"""),"Finalizada")</f>
        <v>Finalizada</v>
      </c>
      <c r="H665" s="4">
        <v>0.0</v>
      </c>
      <c r="I665" s="4">
        <v>0.0</v>
      </c>
      <c r="J665" s="4">
        <v>0.0</v>
      </c>
      <c r="K665" s="4">
        <v>0.0</v>
      </c>
      <c r="L665" s="5">
        <v>0.0</v>
      </c>
      <c r="M665" s="5">
        <v>0.0</v>
      </c>
      <c r="N665" s="4">
        <v>389.0</v>
      </c>
      <c r="O665" s="4">
        <v>383.0</v>
      </c>
      <c r="P665" s="4">
        <v>168.0</v>
      </c>
      <c r="Q665" s="4">
        <v>72.0</v>
      </c>
      <c r="R665" s="4">
        <v>0.0</v>
      </c>
      <c r="S665" s="4">
        <v>0.0</v>
      </c>
      <c r="T665" s="4">
        <v>0.0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0.0</v>
      </c>
      <c r="AB665" s="4">
        <v>0.0</v>
      </c>
      <c r="AC665" s="4">
        <v>0.0</v>
      </c>
      <c r="AD665" s="4" t="s">
        <v>8</v>
      </c>
      <c r="AE665" s="6" t="s">
        <v>9</v>
      </c>
    </row>
    <row r="666" ht="16.5" customHeight="1">
      <c r="A666" s="2" t="str">
        <f>IFERROR(__xludf.DUMMYFUNCTION("""COMPUTED_VALUE"""),"3131-MAYCULGC")</f>
        <v>3131-MAYCULGC</v>
      </c>
      <c r="B666" s="2" t="str">
        <f>IFERROR(__xludf.DUMMYFUNCTION("""COMPUTED_VALUE"""),"Sorteo | Entradas al Teatro Colón")</f>
        <v>Sorteo | Entradas al Teatro Colón</v>
      </c>
      <c r="C666" s="3">
        <f>IFERROR(__xludf.DUMMYFUNCTION("""COMPUTED_VALUE"""),46177.0)</f>
        <v>46177</v>
      </c>
      <c r="D666" s="3">
        <f>IFERROR(__xludf.DUMMYFUNCTION("""COMPUTED_VALUE"""),46196.0)</f>
        <v>46196</v>
      </c>
      <c r="E666" s="2" t="str">
        <f>IFERROR(__xludf.DUMMYFUNCTION("""COMPUTED_VALUE"""),"Ciudad Atractiva")</f>
        <v>Ciudad Atractiva</v>
      </c>
      <c r="F666" s="2" t="str">
        <f>IFERROR(__xludf.DUMMYFUNCTION("""COMPUTED_VALUE"""),"Cultura")</f>
        <v>Cultura</v>
      </c>
      <c r="G666" s="2" t="str">
        <f>IFERROR(__xludf.DUMMYFUNCTION("""COMPUTED_VALUE"""),"Finalizada")</f>
        <v>Finalizada</v>
      </c>
      <c r="H666" s="4">
        <v>1029410.0</v>
      </c>
      <c r="I666" s="4">
        <v>0.0</v>
      </c>
      <c r="J666" s="4">
        <v>27650.0</v>
      </c>
      <c r="K666" s="4">
        <v>79397.0</v>
      </c>
      <c r="L666" s="5">
        <v>2.242641409625049</v>
      </c>
      <c r="M666" s="5">
        <v>12.965351335692784</v>
      </c>
      <c r="N666" s="4">
        <v>103997.0</v>
      </c>
      <c r="O666" s="4">
        <v>102794.0</v>
      </c>
      <c r="P666" s="4">
        <v>35951.0</v>
      </c>
      <c r="Q666" s="4">
        <v>9610.0</v>
      </c>
      <c r="R666" s="4">
        <v>0.0</v>
      </c>
      <c r="S666" s="4">
        <v>0.0</v>
      </c>
      <c r="T666" s="4">
        <v>0.0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0.0</v>
      </c>
      <c r="AB666" s="4">
        <v>0.0</v>
      </c>
      <c r="AC666" s="4">
        <v>0.0</v>
      </c>
      <c r="AD666" s="6" t="s">
        <v>238</v>
      </c>
      <c r="AE666" s="6" t="s">
        <v>9</v>
      </c>
    </row>
    <row r="667" ht="16.5" customHeight="1">
      <c r="A667" s="2" t="str">
        <f>IFERROR(__xludf.DUMMYFUNCTION("""COMPUTED_VALUE"""),"3134-JUNPCCVC")</f>
        <v>3134-JUNPCCVC</v>
      </c>
      <c r="B667" s="2" t="str">
        <f>IFERROR(__xludf.DUMMYFUNCTION("""COMPUTED_VALUE"""),"Reunión Informativa: ´Parque ferroviario palermo")</f>
        <v>Reunión Informativa: ´Parque ferroviario palermo</v>
      </c>
      <c r="C667" s="3">
        <f>IFERROR(__xludf.DUMMYFUNCTION("""COMPUTED_VALUE"""),46185.0)</f>
        <v>46185</v>
      </c>
      <c r="D667" s="3">
        <f>IFERROR(__xludf.DUMMYFUNCTION("""COMPUTED_VALUE"""),46185.0)</f>
        <v>46185</v>
      </c>
      <c r="E667" s="2" t="str">
        <f>IFERROR(__xludf.DUMMYFUNCTION("""COMPUTED_VALUE"""),"Cercanía")</f>
        <v>Cercanía</v>
      </c>
      <c r="F667" s="2" t="str">
        <f>IFERROR(__xludf.DUMMYFUNCTION("""COMPUTED_VALUE"""),"Cercanía y PC")</f>
        <v>Cercanía y PC</v>
      </c>
      <c r="G667" s="2" t="str">
        <f>IFERROR(__xludf.DUMMYFUNCTION("""COMPUTED_VALUE"""),"Finalizada")</f>
        <v>Finalizada</v>
      </c>
      <c r="H667" s="4">
        <v>0.0</v>
      </c>
      <c r="I667" s="4">
        <v>0.0</v>
      </c>
      <c r="J667" s="4">
        <v>0.0</v>
      </c>
      <c r="K667" s="4">
        <v>0.0</v>
      </c>
      <c r="L667" s="5">
        <v>0.0</v>
      </c>
      <c r="M667" s="5">
        <v>0.0</v>
      </c>
      <c r="N667" s="4">
        <v>97712.0</v>
      </c>
      <c r="O667" s="4">
        <v>96708.0</v>
      </c>
      <c r="P667" s="4">
        <v>28503.0</v>
      </c>
      <c r="Q667" s="4">
        <v>433.0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0.0</v>
      </c>
      <c r="AB667" s="4">
        <v>0.0</v>
      </c>
      <c r="AC667" s="4">
        <v>0.0</v>
      </c>
      <c r="AD667" s="4" t="s">
        <v>8</v>
      </c>
      <c r="AE667" s="6" t="s">
        <v>9</v>
      </c>
    </row>
    <row r="668" ht="16.5" customHeight="1">
      <c r="A668" s="2" t="str">
        <f>IFERROR(__xludf.DUMMYFUNCTION("""COMPUTED_VALUE"""),"3135-JUNVINVC")</f>
        <v>3135-JUNVINVC</v>
      </c>
      <c r="B668" s="2" t="str">
        <f>IFERROR(__xludf.DUMMYFUNCTION("""COMPUTED_VALUE"""),"Más servicios en tu barrio - 4/6 - Villa Lugano")</f>
        <v>Más servicios en tu barrio - 4/6 - Villa Lugano</v>
      </c>
      <c r="C668" s="3">
        <f>IFERROR(__xludf.DUMMYFUNCTION("""COMPUTED_VALUE"""),46174.0)</f>
        <v>46174</v>
      </c>
      <c r="D668" s="3">
        <f>IFERROR(__xludf.DUMMYFUNCTION("""COMPUTED_VALUE"""),46174.0)</f>
        <v>46174</v>
      </c>
      <c r="E668" s="2" t="str">
        <f>IFERROR(__xludf.DUMMYFUNCTION("""COMPUTED_VALUE"""),"M2")</f>
        <v>M2</v>
      </c>
      <c r="F668" s="2" t="str">
        <f>IFERROR(__xludf.DUMMYFUNCTION("""COMPUTED_VALUE"""),"Vínculo Ciudadano")</f>
        <v>Vínculo Ciudadano</v>
      </c>
      <c r="G668" s="2" t="str">
        <f>IFERROR(__xludf.DUMMYFUNCTION("""COMPUTED_VALUE"""),"Finalizada")</f>
        <v>Finalizada</v>
      </c>
      <c r="H668" s="4">
        <v>0.0</v>
      </c>
      <c r="I668" s="4">
        <v>0.0</v>
      </c>
      <c r="J668" s="4">
        <v>0.0</v>
      </c>
      <c r="K668" s="4">
        <v>0.0</v>
      </c>
      <c r="L668" s="5">
        <v>0.0</v>
      </c>
      <c r="M668" s="5">
        <v>0.0</v>
      </c>
      <c r="N668" s="4">
        <v>10146.0</v>
      </c>
      <c r="O668" s="4">
        <v>9957.0</v>
      </c>
      <c r="P668" s="4">
        <v>2542.0</v>
      </c>
      <c r="Q668" s="4">
        <v>153.0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0.0</v>
      </c>
      <c r="AB668" s="4">
        <v>0.0</v>
      </c>
      <c r="AC668" s="4">
        <v>0.0</v>
      </c>
      <c r="AD668" s="4" t="s">
        <v>8</v>
      </c>
      <c r="AE668" s="6" t="s">
        <v>9</v>
      </c>
    </row>
    <row r="669" ht="16.5" customHeight="1">
      <c r="A669" s="2" t="str">
        <f>IFERROR(__xludf.DUMMYFUNCTION("""COMPUTED_VALUE"""),"3136-JUNVINVC")</f>
        <v>3136-JUNVINVC</v>
      </c>
      <c r="B669" s="2" t="str">
        <f>IFERROR(__xludf.DUMMYFUNCTION("""COMPUTED_VALUE"""),"Más servicios en tu barrio - 9/6 y 10/6 - Villa Riachuelo")</f>
        <v>Más servicios en tu barrio - 9/6 y 10/6 - Villa Riachuelo</v>
      </c>
      <c r="C669" s="3">
        <f>IFERROR(__xludf.DUMMYFUNCTION("""COMPUTED_VALUE"""),46177.0)</f>
        <v>46177</v>
      </c>
      <c r="D669" s="3">
        <f>IFERROR(__xludf.DUMMYFUNCTION("""COMPUTED_VALUE"""),46177.0)</f>
        <v>46177</v>
      </c>
      <c r="E669" s="2" t="str">
        <f>IFERROR(__xludf.DUMMYFUNCTION("""COMPUTED_VALUE"""),"M2")</f>
        <v>M2</v>
      </c>
      <c r="F669" s="2" t="str">
        <f>IFERROR(__xludf.DUMMYFUNCTION("""COMPUTED_VALUE"""),"Vínculo Ciudadano")</f>
        <v>Vínculo Ciudadano</v>
      </c>
      <c r="G669" s="2" t="str">
        <f>IFERROR(__xludf.DUMMYFUNCTION("""COMPUTED_VALUE"""),"Finalizada")</f>
        <v>Finalizada</v>
      </c>
      <c r="H669" s="4">
        <v>0.0</v>
      </c>
      <c r="I669" s="4">
        <v>0.0</v>
      </c>
      <c r="J669" s="4">
        <v>0.0</v>
      </c>
      <c r="K669" s="4">
        <v>0.0</v>
      </c>
      <c r="L669" s="5">
        <v>0.0</v>
      </c>
      <c r="M669" s="5">
        <v>0.0</v>
      </c>
      <c r="N669" s="4">
        <v>10217.0</v>
      </c>
      <c r="O669" s="4">
        <v>10067.0</v>
      </c>
      <c r="P669" s="4">
        <v>2969.0</v>
      </c>
      <c r="Q669" s="4">
        <v>125.0</v>
      </c>
      <c r="R669" s="4">
        <v>0.0</v>
      </c>
      <c r="S669" s="4">
        <v>0.0</v>
      </c>
      <c r="T669" s="4">
        <v>0.0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0.0</v>
      </c>
      <c r="AB669" s="4">
        <v>0.0</v>
      </c>
      <c r="AC669" s="4">
        <v>0.0</v>
      </c>
      <c r="AD669" s="4" t="s">
        <v>8</v>
      </c>
      <c r="AE669" s="6" t="s">
        <v>9</v>
      </c>
    </row>
    <row r="670" ht="16.5" customHeight="1">
      <c r="A670" s="2" t="str">
        <f>IFERROR(__xludf.DUMMYFUNCTION("""COMPUTED_VALUE"""),"3137-JUNVINVC")</f>
        <v>3137-JUNVINVC</v>
      </c>
      <c r="B670" s="2" t="str">
        <f>IFERROR(__xludf.DUMMYFUNCTION("""COMPUTED_VALUE"""),"Más servicios en tu barrio - 11/6 y 12/6 - Liniers")</f>
        <v>Más servicios en tu barrio - 11/6 y 12/6 - Liniers</v>
      </c>
      <c r="C670" s="3">
        <f>IFERROR(__xludf.DUMMYFUNCTION("""COMPUTED_VALUE"""),46181.0)</f>
        <v>46181</v>
      </c>
      <c r="D670" s="3">
        <f>IFERROR(__xludf.DUMMYFUNCTION("""COMPUTED_VALUE"""),46181.0)</f>
        <v>46181</v>
      </c>
      <c r="E670" s="2" t="str">
        <f>IFERROR(__xludf.DUMMYFUNCTION("""COMPUTED_VALUE"""),"M2")</f>
        <v>M2</v>
      </c>
      <c r="F670" s="2" t="str">
        <f>IFERROR(__xludf.DUMMYFUNCTION("""COMPUTED_VALUE"""),"Vínculo Ciudadano")</f>
        <v>Vínculo Ciudadano</v>
      </c>
      <c r="G670" s="2" t="str">
        <f>IFERROR(__xludf.DUMMYFUNCTION("""COMPUTED_VALUE"""),"Finalizada")</f>
        <v>Finalizada</v>
      </c>
      <c r="H670" s="4">
        <v>0.0</v>
      </c>
      <c r="I670" s="4">
        <v>0.0</v>
      </c>
      <c r="J670" s="4">
        <v>0.0</v>
      </c>
      <c r="K670" s="4">
        <v>0.0</v>
      </c>
      <c r="L670" s="5">
        <v>0.0</v>
      </c>
      <c r="M670" s="5">
        <v>0.0</v>
      </c>
      <c r="N670" s="4">
        <v>14545.0</v>
      </c>
      <c r="O670" s="4">
        <v>14379.0</v>
      </c>
      <c r="P670" s="4">
        <v>5263.0</v>
      </c>
      <c r="Q670" s="4">
        <v>256.0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0.0</v>
      </c>
      <c r="AB670" s="4">
        <v>0.0</v>
      </c>
      <c r="AC670" s="4">
        <v>0.0</v>
      </c>
      <c r="AD670" s="4" t="s">
        <v>8</v>
      </c>
      <c r="AE670" s="6" t="s">
        <v>9</v>
      </c>
    </row>
    <row r="671" ht="16.5" customHeight="1">
      <c r="A671" s="2" t="str">
        <f>IFERROR(__xludf.DUMMYFUNCTION("""COMPUTED_VALUE"""),"3138-JUNVINVC")</f>
        <v>3138-JUNVINVC</v>
      </c>
      <c r="B671" s="2" t="str">
        <f>IFERROR(__xludf.DUMMYFUNCTION("""COMPUTED_VALUE"""),"Más servicios en tu barrio - 13/6 - Chacarita")</f>
        <v>Más servicios en tu barrio - 13/6 - Chacarita</v>
      </c>
      <c r="C671" s="3">
        <f>IFERROR(__xludf.DUMMYFUNCTION("""COMPUTED_VALUE"""),46181.0)</f>
        <v>46181</v>
      </c>
      <c r="D671" s="3">
        <f>IFERROR(__xludf.DUMMYFUNCTION("""COMPUTED_VALUE"""),46181.0)</f>
        <v>46181</v>
      </c>
      <c r="E671" s="2" t="str">
        <f>IFERROR(__xludf.DUMMYFUNCTION("""COMPUTED_VALUE"""),"M2")</f>
        <v>M2</v>
      </c>
      <c r="F671" s="2" t="str">
        <f>IFERROR(__xludf.DUMMYFUNCTION("""COMPUTED_VALUE"""),"Vínculo Ciudadano")</f>
        <v>Vínculo Ciudadano</v>
      </c>
      <c r="G671" s="2" t="str">
        <f>IFERROR(__xludf.DUMMYFUNCTION("""COMPUTED_VALUE"""),"Finalizada")</f>
        <v>Finalizada</v>
      </c>
      <c r="H671" s="4">
        <v>0.0</v>
      </c>
      <c r="I671" s="4">
        <v>0.0</v>
      </c>
      <c r="J671" s="4">
        <v>0.0</v>
      </c>
      <c r="K671" s="4">
        <v>0.0</v>
      </c>
      <c r="L671" s="5">
        <v>0.0</v>
      </c>
      <c r="M671" s="5">
        <v>0.0</v>
      </c>
      <c r="N671" s="4">
        <v>13637.0</v>
      </c>
      <c r="O671" s="4">
        <v>13469.0</v>
      </c>
      <c r="P671" s="4">
        <v>4328.0</v>
      </c>
      <c r="Q671" s="4">
        <v>178.0</v>
      </c>
      <c r="R671" s="4">
        <v>0.0</v>
      </c>
      <c r="S671" s="4">
        <v>0.0</v>
      </c>
      <c r="T671" s="4">
        <v>0.0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0.0</v>
      </c>
      <c r="AB671" s="4">
        <v>0.0</v>
      </c>
      <c r="AC671" s="4">
        <v>0.0</v>
      </c>
      <c r="AD671" s="4" t="s">
        <v>8</v>
      </c>
      <c r="AE671" s="6" t="s">
        <v>9</v>
      </c>
    </row>
    <row r="672" ht="16.5" customHeight="1">
      <c r="A672" s="2" t="str">
        <f>IFERROR(__xludf.DUMMYFUNCTION("""COMPUTED_VALUE"""),"3139-JUNDHHGC")</f>
        <v>3139-JUNDHHGC</v>
      </c>
      <c r="B672" s="2" t="str">
        <f>IFERROR(__xludf.DUMMYFUNCTION("""COMPUTED_VALUE"""),"Programas y Actividades para personas mayores")</f>
        <v>Programas y Actividades para personas mayores</v>
      </c>
      <c r="C672" s="3">
        <f>IFERROR(__xludf.DUMMYFUNCTION("""COMPUTED_VALUE"""),46192.0)</f>
        <v>46192</v>
      </c>
      <c r="D672" s="3">
        <f>IFERROR(__xludf.DUMMYFUNCTION("""COMPUTED_VALUE"""),46220.0)</f>
        <v>46220</v>
      </c>
      <c r="E672" s="2" t="str">
        <f>IFERROR(__xludf.DUMMYFUNCTION("""COMPUTED_VALUE"""),"Cuidado")</f>
        <v>Cuidado</v>
      </c>
      <c r="F672" s="2" t="str">
        <f>IFERROR(__xludf.DUMMYFUNCTION("""COMPUTED_VALUE"""),"Desarrollo Humano y Hábitat")</f>
        <v>Desarrollo Humano y Hábitat</v>
      </c>
      <c r="G672" s="2" t="str">
        <f>IFERROR(__xludf.DUMMYFUNCTION("""COMPUTED_VALUE"""),"Finalizada")</f>
        <v>Finalizada</v>
      </c>
      <c r="H672" s="4">
        <v>9117501.0</v>
      </c>
      <c r="I672" s="4">
        <v>0.0</v>
      </c>
      <c r="J672" s="4">
        <v>20148.0</v>
      </c>
      <c r="K672" s="4">
        <v>439429.0</v>
      </c>
      <c r="L672" s="5">
        <v>2.5233359655370946</v>
      </c>
      <c r="M672" s="5">
        <v>20.748519100924153</v>
      </c>
      <c r="N672" s="4">
        <v>321439.0</v>
      </c>
      <c r="O672" s="4">
        <v>320390.0</v>
      </c>
      <c r="P672" s="4">
        <v>114626.0</v>
      </c>
      <c r="Q672" s="4">
        <v>8597.0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0.0</v>
      </c>
      <c r="AB672" s="4">
        <v>0.0</v>
      </c>
      <c r="AC672" s="4">
        <v>0.0</v>
      </c>
      <c r="AD672" s="6" t="s">
        <v>239</v>
      </c>
      <c r="AE672" s="6" t="s">
        <v>9</v>
      </c>
    </row>
    <row r="673" ht="16.5" customHeight="1">
      <c r="A673" s="2" t="str">
        <f>IFERROR(__xludf.DUMMYFUNCTION("""COMPUTED_VALUE"""),"3140-JUNSALGC")</f>
        <v>3140-JUNSALGC</v>
      </c>
      <c r="B673" s="2" t="str">
        <f>IFERROR(__xludf.DUMMYFUNCTION("""COMPUTED_VALUE"""),"Always On - Centros de Salud")</f>
        <v>Always On - Centros de Salud</v>
      </c>
      <c r="C673" s="3">
        <f>IFERROR(__xludf.DUMMYFUNCTION("""COMPUTED_VALUE"""),46197.0)</f>
        <v>46197</v>
      </c>
      <c r="D673" s="3">
        <f>IFERROR(__xludf.DUMMYFUNCTION("""COMPUTED_VALUE"""),46387.0)</f>
        <v>46387</v>
      </c>
      <c r="E673" s="2" t="str">
        <f>IFERROR(__xludf.DUMMYFUNCTION("""COMPUTED_VALUE"""),"Cuidado")</f>
        <v>Cuidado</v>
      </c>
      <c r="F673" s="2" t="str">
        <f>IFERROR(__xludf.DUMMYFUNCTION("""COMPUTED_VALUE"""),"Salud")</f>
        <v>Salud</v>
      </c>
      <c r="G673" s="2" t="str">
        <f>IFERROR(__xludf.DUMMYFUNCTION("""COMPUTED_VALUE"""),"Activa")</f>
        <v>Activa</v>
      </c>
      <c r="H673" s="4">
        <v>2.1636959E7</v>
      </c>
      <c r="I673" s="4">
        <v>6654759.0</v>
      </c>
      <c r="J673" s="4">
        <v>22091.0</v>
      </c>
      <c r="K673" s="4">
        <v>442734.0</v>
      </c>
      <c r="L673" s="5">
        <v>2.5194970343366445</v>
      </c>
      <c r="M673" s="5">
        <v>48.87123871218384</v>
      </c>
      <c r="N673" s="4">
        <v>0.0</v>
      </c>
      <c r="O673" s="4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0.0</v>
      </c>
      <c r="AB673" s="4">
        <v>0.0</v>
      </c>
      <c r="AC673" s="4">
        <v>0.0</v>
      </c>
      <c r="AD673" s="6" t="s">
        <v>240</v>
      </c>
      <c r="AE673" s="4" t="s">
        <v>8</v>
      </c>
    </row>
    <row r="674" ht="16.5" customHeight="1">
      <c r="A674" s="2" t="str">
        <f>IFERROR(__xludf.DUMMYFUNCTION("""COMPUTED_VALUE"""),"3141-JUNINFGC")</f>
        <v>3141-JUNINFGC</v>
      </c>
      <c r="B674" s="2" t="str">
        <f>IFERROR(__xludf.DUMMYFUNCTION("""COMPUTED_VALUE"""),"Cambio de sentido calles Pizarro y Zelada | 11/6")</f>
        <v>Cambio de sentido calles Pizarro y Zelada | 11/6</v>
      </c>
      <c r="C674" s="3">
        <f>IFERROR(__xludf.DUMMYFUNCTION("""COMPUTED_VALUE"""),46183.0)</f>
        <v>46183</v>
      </c>
      <c r="D674" s="3">
        <f>IFERROR(__xludf.DUMMYFUNCTION("""COMPUTED_VALUE"""),46183.0)</f>
        <v>46183</v>
      </c>
      <c r="E674" s="2" t="str">
        <f>IFERROR(__xludf.DUMMYFUNCTION("""COMPUTED_VALUE"""),"Movilidad")</f>
        <v>Movilidad</v>
      </c>
      <c r="F674" s="2" t="str">
        <f>IFERROR(__xludf.DUMMYFUNCTION("""COMPUTED_VALUE"""),"Infraestructura")</f>
        <v>Infraestructura</v>
      </c>
      <c r="G674" s="2" t="str">
        <f>IFERROR(__xludf.DUMMYFUNCTION("""COMPUTED_VALUE"""),"Finalizada")</f>
        <v>Finalizada</v>
      </c>
      <c r="H674" s="4">
        <v>0.0</v>
      </c>
      <c r="I674" s="4">
        <v>0.0</v>
      </c>
      <c r="J674" s="4">
        <v>0.0</v>
      </c>
      <c r="K674" s="4">
        <v>0.0</v>
      </c>
      <c r="L674" s="5">
        <v>0.0</v>
      </c>
      <c r="M674" s="5">
        <v>0.0</v>
      </c>
      <c r="N674" s="4">
        <v>32034.0</v>
      </c>
      <c r="O674" s="4">
        <v>31725.0</v>
      </c>
      <c r="P674" s="4">
        <v>10983.0</v>
      </c>
      <c r="Q674" s="4">
        <v>228.0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0.0</v>
      </c>
      <c r="AB674" s="4">
        <v>0.0</v>
      </c>
      <c r="AC674" s="4">
        <v>0.0</v>
      </c>
      <c r="AD674" s="4" t="s">
        <v>8</v>
      </c>
      <c r="AE674" s="6" t="s">
        <v>9</v>
      </c>
    </row>
    <row r="675" ht="16.5" customHeight="1">
      <c r="A675" s="2" t="str">
        <f>IFERROR(__xludf.DUMMYFUNCTION("""COMPUTED_VALUE"""),"3142-JUNFESGC")</f>
        <v>3142-JUNFESGC</v>
      </c>
      <c r="B675" s="2" t="str">
        <f>IFERROR(__xludf.DUMMYFUNCTION("""COMPUTED_VALUE"""),"Sorteo entradas Soda Stereo")</f>
        <v>Sorteo entradas Soda Stereo</v>
      </c>
      <c r="C675" s="3">
        <f>IFERROR(__xludf.DUMMYFUNCTION("""COMPUTED_VALUE"""),46176.0)</f>
        <v>46176</v>
      </c>
      <c r="D675" s="3">
        <f>IFERROR(__xludf.DUMMYFUNCTION("""COMPUTED_VALUE"""),46181.0)</f>
        <v>46181</v>
      </c>
      <c r="E675" s="2" t="str">
        <f>IFERROR(__xludf.DUMMYFUNCTION("""COMPUTED_VALUE"""),"Ciudad Atractiva")</f>
        <v>Ciudad Atractiva</v>
      </c>
      <c r="F675" s="2" t="str">
        <f>IFERROR(__xludf.DUMMYFUNCTION("""COMPUTED_VALUE"""),"Festivales y Eventos")</f>
        <v>Festivales y Eventos</v>
      </c>
      <c r="G675" s="2" t="str">
        <f>IFERROR(__xludf.DUMMYFUNCTION("""COMPUTED_VALUE"""),"Finalizada")</f>
        <v>Finalizada</v>
      </c>
      <c r="H675" s="4">
        <v>1095238.0</v>
      </c>
      <c r="I675" s="4">
        <v>0.0</v>
      </c>
      <c r="J675" s="4">
        <v>23214.0</v>
      </c>
      <c r="K675" s="4">
        <v>56133.0</v>
      </c>
      <c r="L675" s="5">
        <v>4.156200452496749</v>
      </c>
      <c r="M675" s="5">
        <v>19.51148165962981</v>
      </c>
      <c r="N675" s="4">
        <v>116601.0</v>
      </c>
      <c r="O675" s="4">
        <v>115039.0</v>
      </c>
      <c r="P675" s="4">
        <v>39231.0</v>
      </c>
      <c r="Q675" s="4">
        <v>10431.0</v>
      </c>
      <c r="R675" s="4">
        <v>0.0</v>
      </c>
      <c r="S675" s="4">
        <v>0.0</v>
      </c>
      <c r="T675" s="4">
        <v>0.0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0.0</v>
      </c>
      <c r="AB675" s="4">
        <v>0.0</v>
      </c>
      <c r="AC675" s="4">
        <v>0.0</v>
      </c>
      <c r="AD675" s="6" t="s">
        <v>241</v>
      </c>
      <c r="AE675" s="6" t="s">
        <v>9</v>
      </c>
    </row>
    <row r="676" ht="16.5" customHeight="1">
      <c r="A676" s="2" t="str">
        <f>IFERROR(__xludf.DUMMYFUNCTION("""COMPUTED_VALUE"""),"3143-JUNJDGAG")</f>
        <v>3143-JUNJDGAG</v>
      </c>
      <c r="B676" s="2" t="str">
        <f>IFERROR(__xludf.DUMMYFUNCTION("""COMPUTED_VALUE"""),"TE CUENTO JM | 10/6 SALUD EJE NORTE")</f>
        <v>TE CUENTO JM | 10/6 SALUD EJE NORTE</v>
      </c>
      <c r="C676" s="3">
        <f>IFERROR(__xludf.DUMMYFUNCTION("""COMPUTED_VALUE"""),46177.0)</f>
        <v>46177</v>
      </c>
      <c r="D676" s="3">
        <f>IFERROR(__xludf.DUMMYFUNCTION("""COMPUTED_VALUE"""),46199.0)</f>
        <v>46199</v>
      </c>
      <c r="E676" s="2" t="str">
        <f>IFERROR(__xludf.DUMMYFUNCTION("""COMPUTED_VALUE"""),"Cercanía")</f>
        <v>Cercanía</v>
      </c>
      <c r="F676" s="2" t="str">
        <f>IFERROR(__xludf.DUMMYFUNCTION("""COMPUTED_VALUE"""),"Jefatura de Gobierno")</f>
        <v>Jefatura de Gobierno</v>
      </c>
      <c r="G676" s="2" t="str">
        <f>IFERROR(__xludf.DUMMYFUNCTION("""COMPUTED_VALUE"""),"Finalizada")</f>
        <v>Finalizada</v>
      </c>
      <c r="H676" s="4">
        <v>3162793.0</v>
      </c>
      <c r="I676" s="4">
        <v>1333568.0</v>
      </c>
      <c r="J676" s="4">
        <v>9832.0</v>
      </c>
      <c r="K676" s="4">
        <v>72912.0</v>
      </c>
      <c r="L676" s="5">
        <v>16.327038073293835</v>
      </c>
      <c r="M676" s="5">
        <v>43.378223063418915</v>
      </c>
      <c r="N676" s="4">
        <v>419837.0</v>
      </c>
      <c r="O676" s="4">
        <v>416081.0</v>
      </c>
      <c r="P676" s="4">
        <v>102758.0</v>
      </c>
      <c r="Q676" s="4">
        <v>1347.0</v>
      </c>
      <c r="R676" s="4">
        <v>7575.0</v>
      </c>
      <c r="S676" s="4">
        <v>7564.0</v>
      </c>
      <c r="T676" s="4">
        <v>1597.0</v>
      </c>
      <c r="U676" s="4">
        <v>1282.0</v>
      </c>
      <c r="V676" s="4">
        <v>53042.0</v>
      </c>
      <c r="W676" s="4">
        <v>53042.0</v>
      </c>
      <c r="X676" s="4">
        <v>44012.0</v>
      </c>
      <c r="Y676" s="4">
        <v>17242.0</v>
      </c>
      <c r="Z676" s="4">
        <v>38.0</v>
      </c>
      <c r="AA676" s="4">
        <v>0.0</v>
      </c>
      <c r="AB676" s="4">
        <v>0.0</v>
      </c>
      <c r="AC676" s="4">
        <v>0.0</v>
      </c>
      <c r="AD676" s="6" t="s">
        <v>242</v>
      </c>
      <c r="AE676" s="6" t="s">
        <v>9</v>
      </c>
    </row>
    <row r="677" ht="16.5" customHeight="1">
      <c r="A677" s="2" t="str">
        <f>IFERROR(__xludf.DUMMYFUNCTION("""COMPUTED_VALUE"""),"3144-JUNSALGC")</f>
        <v>3144-JUNSALGC</v>
      </c>
      <c r="B677" s="2" t="str">
        <f>IFERROR(__xludf.DUMMYFUNCTION("""COMPUTED_VALUE"""),"Monóxido de Carbono - 2026")</f>
        <v>Monóxido de Carbono - 2026</v>
      </c>
      <c r="C677" s="3">
        <f>IFERROR(__xludf.DUMMYFUNCTION("""COMPUTED_VALUE"""),46190.0)</f>
        <v>46190</v>
      </c>
      <c r="D677" s="3">
        <f>IFERROR(__xludf.DUMMYFUNCTION("""COMPUTED_VALUE"""),46234.0)</f>
        <v>46234</v>
      </c>
      <c r="E677" s="2" t="str">
        <f>IFERROR(__xludf.DUMMYFUNCTION("""COMPUTED_VALUE"""),"Cuidado")</f>
        <v>Cuidado</v>
      </c>
      <c r="F677" s="2" t="str">
        <f>IFERROR(__xludf.DUMMYFUNCTION("""COMPUTED_VALUE"""),"Salud")</f>
        <v>Salud</v>
      </c>
      <c r="G677" s="2" t="str">
        <f>IFERROR(__xludf.DUMMYFUNCTION("""COMPUTED_VALUE"""),"Activa")</f>
        <v>Activa</v>
      </c>
      <c r="H677" s="4">
        <v>1.2071746E7</v>
      </c>
      <c r="I677" s="4">
        <v>0.0</v>
      </c>
      <c r="J677" s="4">
        <v>12647.0</v>
      </c>
      <c r="K677" s="4">
        <v>824428.0</v>
      </c>
      <c r="L677" s="5">
        <v>1.9274090642239226</v>
      </c>
      <c r="M677" s="5">
        <v>14.642571576899378</v>
      </c>
      <c r="N677" s="4">
        <v>514097.0</v>
      </c>
      <c r="O677" s="4">
        <v>509040.0</v>
      </c>
      <c r="P677" s="4">
        <v>161738.0</v>
      </c>
      <c r="Q677" s="4">
        <v>1004.0</v>
      </c>
      <c r="R677" s="4">
        <v>32976.0</v>
      </c>
      <c r="S677" s="4">
        <v>30092.0</v>
      </c>
      <c r="T677" s="4">
        <v>7294.0</v>
      </c>
      <c r="U677" s="4">
        <v>5780.0</v>
      </c>
      <c r="V677" s="4">
        <v>291240.0</v>
      </c>
      <c r="W677" s="4">
        <v>291240.0</v>
      </c>
      <c r="X677" s="4">
        <v>260205.0</v>
      </c>
      <c r="Y677" s="4">
        <v>48447.0</v>
      </c>
      <c r="Z677" s="4">
        <v>82.0</v>
      </c>
      <c r="AA677" s="4">
        <v>140172.0</v>
      </c>
      <c r="AB677" s="4">
        <v>131571.0</v>
      </c>
      <c r="AC677" s="4">
        <v>436.0</v>
      </c>
      <c r="AD677" s="6" t="s">
        <v>243</v>
      </c>
      <c r="AE677" s="6" t="s">
        <v>9</v>
      </c>
    </row>
    <row r="678" ht="16.5" customHeight="1">
      <c r="A678" s="2" t="str">
        <f>IFERROR(__xludf.DUMMYFUNCTION("""COMPUTED_VALUE"""),"3145-JUNEPHGC")</f>
        <v>3145-JUNEPHGC</v>
      </c>
      <c r="B678" s="2" t="str">
        <f>IFERROR(__xludf.DUMMYFUNCTION("""COMPUTED_VALUE"""),"Refuerzo Grandes generadores de residuos")</f>
        <v>Refuerzo Grandes generadores de residuos</v>
      </c>
      <c r="C678" s="3">
        <f>IFERROR(__xludf.DUMMYFUNCTION("""COMPUTED_VALUE"""),46211.0)</f>
        <v>46211</v>
      </c>
      <c r="D678" s="3">
        <f>IFERROR(__xludf.DUMMYFUNCTION("""COMPUTED_VALUE"""),46234.0)</f>
        <v>46234</v>
      </c>
      <c r="E678" s="2" t="str">
        <f>IFERROR(__xludf.DUMMYFUNCTION("""COMPUTED_VALUE"""),"M2")</f>
        <v>M2</v>
      </c>
      <c r="F678" s="2" t="str">
        <f>IFERROR(__xludf.DUMMYFUNCTION("""COMPUTED_VALUE"""),"Espacio Público e Higiene Urbana")</f>
        <v>Espacio Público e Higiene Urbana</v>
      </c>
      <c r="G678" s="2" t="str">
        <f>IFERROR(__xludf.DUMMYFUNCTION("""COMPUTED_VALUE"""),"Activa")</f>
        <v>Activa</v>
      </c>
      <c r="H678" s="4">
        <v>4384903.0</v>
      </c>
      <c r="I678" s="4">
        <v>0.0</v>
      </c>
      <c r="J678" s="4">
        <v>32357.0</v>
      </c>
      <c r="K678" s="4">
        <v>212976.0</v>
      </c>
      <c r="L678" s="5">
        <v>1.3528660506348134</v>
      </c>
      <c r="M678" s="5">
        <v>20.588718916685448</v>
      </c>
      <c r="N678" s="4">
        <v>104507.0</v>
      </c>
      <c r="O678" s="4">
        <v>102395.0</v>
      </c>
      <c r="P678" s="4">
        <v>24213.0</v>
      </c>
      <c r="Q678" s="4">
        <v>272.0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0.0</v>
      </c>
      <c r="AB678" s="4">
        <v>0.0</v>
      </c>
      <c r="AC678" s="4">
        <v>0.0</v>
      </c>
      <c r="AD678" s="4"/>
      <c r="AE678" s="6" t="s">
        <v>9</v>
      </c>
    </row>
    <row r="679" ht="16.5" customHeight="1">
      <c r="A679" s="2" t="str">
        <f>IFERROR(__xludf.DUMMYFUNCTION("""COMPUTED_VALUE"""),"3146-JUNEDUGC")</f>
        <v>3146-JUNEDUGC</v>
      </c>
      <c r="B679" s="2" t="str">
        <f>IFERROR(__xludf.DUMMYFUNCTION("""COMPUTED_VALUE"""),"Inscripción - TUMO chacarita")</f>
        <v>Inscripción - TUMO chacarita</v>
      </c>
      <c r="C679" s="3">
        <f>IFERROR(__xludf.DUMMYFUNCTION("""COMPUTED_VALUE"""),46190.0)</f>
        <v>46190</v>
      </c>
      <c r="D679" s="3">
        <f>IFERROR(__xludf.DUMMYFUNCTION("""COMPUTED_VALUE"""),46265.0)</f>
        <v>46265</v>
      </c>
      <c r="E679" s="2" t="str">
        <f>IFERROR(__xludf.DUMMYFUNCTION("""COMPUTED_VALUE"""),"Cuidado")</f>
        <v>Cuidado</v>
      </c>
      <c r="F679" s="2" t="str">
        <f>IFERROR(__xludf.DUMMYFUNCTION("""COMPUTED_VALUE"""),"Educación")</f>
        <v>Educación</v>
      </c>
      <c r="G679" s="2" t="str">
        <f>IFERROR(__xludf.DUMMYFUNCTION("""COMPUTED_VALUE"""),"Activa")</f>
        <v>Activa</v>
      </c>
      <c r="H679" s="4">
        <v>1.813915E7</v>
      </c>
      <c r="I679" s="4">
        <v>0.0</v>
      </c>
      <c r="J679" s="4">
        <v>52519.0</v>
      </c>
      <c r="K679" s="4">
        <v>137138.0</v>
      </c>
      <c r="L679" s="5">
        <v>3.376299785617407</v>
      </c>
      <c r="M679" s="5">
        <v>132.26931995508176</v>
      </c>
      <c r="N679" s="4">
        <v>254193.0</v>
      </c>
      <c r="O679" s="4">
        <v>251010.0</v>
      </c>
      <c r="P679" s="4">
        <v>58587.0</v>
      </c>
      <c r="Q679" s="4">
        <v>2134.0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0.0</v>
      </c>
      <c r="AB679" s="4">
        <v>0.0</v>
      </c>
      <c r="AC679" s="4">
        <v>0.0</v>
      </c>
      <c r="AD679" s="6" t="s">
        <v>244</v>
      </c>
      <c r="AE679" s="6" t="s">
        <v>9</v>
      </c>
    </row>
    <row r="680" ht="16.5" customHeight="1">
      <c r="A680" s="2" t="str">
        <f>IFERROR(__xludf.DUMMYFUNCTION("""COMPUTED_VALUE"""),"3147-JUNINFGC")</f>
        <v>3147-JUNINFGC</v>
      </c>
      <c r="B680" s="2" t="str">
        <f>IFERROR(__xludf.DUMMYFUNCTION("""COMPUTED_VALUE"""),"PBN Lorca: apertura al tránsito | 12/6 Habilitacion primer tramo")</f>
        <v>PBN Lorca: apertura al tránsito | 12/6 Habilitacion primer tramo</v>
      </c>
      <c r="C680" s="3">
        <f>IFERROR(__xludf.DUMMYFUNCTION("""COMPUTED_VALUE"""),46193.0)</f>
        <v>46193</v>
      </c>
      <c r="D680" s="3">
        <f>IFERROR(__xludf.DUMMYFUNCTION("""COMPUTED_VALUE"""),46210.0)</f>
        <v>46210</v>
      </c>
      <c r="E680" s="2" t="str">
        <f>IFERROR(__xludf.DUMMYFUNCTION("""COMPUTED_VALUE"""),"Movilidad")</f>
        <v>Movilidad</v>
      </c>
      <c r="F680" s="2" t="str">
        <f>IFERROR(__xludf.DUMMYFUNCTION("""COMPUTED_VALUE"""),"Infraestructura")</f>
        <v>Infraestructura</v>
      </c>
      <c r="G680" s="2" t="str">
        <f>IFERROR(__xludf.DUMMYFUNCTION("""COMPUTED_VALUE"""),"Finalizada")</f>
        <v>Finalizada</v>
      </c>
      <c r="H680" s="4">
        <v>7067229.0</v>
      </c>
      <c r="I680" s="4">
        <v>224631.0</v>
      </c>
      <c r="J680" s="4">
        <v>25903.0</v>
      </c>
      <c r="K680" s="4">
        <v>107085.0</v>
      </c>
      <c r="L680" s="5">
        <v>2.263342204790587</v>
      </c>
      <c r="M680" s="5">
        <v>65.99644207872251</v>
      </c>
      <c r="N680" s="4">
        <v>363229.0</v>
      </c>
      <c r="O680" s="4">
        <v>360075.0</v>
      </c>
      <c r="P680" s="4">
        <v>90093.0</v>
      </c>
      <c r="Q680" s="4">
        <v>3394.0</v>
      </c>
      <c r="R680" s="4">
        <v>0.0</v>
      </c>
      <c r="S680" s="4">
        <v>0.0</v>
      </c>
      <c r="T680" s="4">
        <v>0.0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0.0</v>
      </c>
      <c r="AB680" s="4">
        <v>0.0</v>
      </c>
      <c r="AC680" s="4">
        <v>0.0</v>
      </c>
      <c r="AD680" s="6" t="s">
        <v>245</v>
      </c>
      <c r="AE680" s="6" t="s">
        <v>9</v>
      </c>
    </row>
    <row r="681" ht="16.5" customHeight="1">
      <c r="A681" s="2" t="str">
        <f>IFERROR(__xludf.DUMMYFUNCTION("""COMPUTED_VALUE"""),"3148-JUNSEGGJ")</f>
        <v>3148-JUNSEGGJ</v>
      </c>
      <c r="B681" s="2" t="str">
        <f>IFERROR(__xludf.DUMMYFUNCTION("""COMPUTED_VALUE"""),"Egreso de 650 nuevos policías (NICE)")</f>
        <v>Egreso de 650 nuevos policías (NICE)</v>
      </c>
      <c r="C681" s="3">
        <f>IFERROR(__xludf.DUMMYFUNCTION("""COMPUTED_VALUE"""),46178.0)</f>
        <v>46178</v>
      </c>
      <c r="D681" s="3">
        <f>IFERROR(__xludf.DUMMYFUNCTION("""COMPUTED_VALUE"""),46190.0)</f>
        <v>46190</v>
      </c>
      <c r="E681" s="2" t="str">
        <f>IFERROR(__xludf.DUMMYFUNCTION("""COMPUTED_VALUE"""),"M2")</f>
        <v>M2</v>
      </c>
      <c r="F681" s="2" t="str">
        <f>IFERROR(__xludf.DUMMYFUNCTION("""COMPUTED_VALUE"""),"Seguridad")</f>
        <v>Seguridad</v>
      </c>
      <c r="G681" s="2" t="str">
        <f>IFERROR(__xludf.DUMMYFUNCTION("""COMPUTED_VALUE"""),"Finalizada")</f>
        <v>Finalizada</v>
      </c>
      <c r="H681" s="4">
        <v>7417364.0</v>
      </c>
      <c r="I681" s="4">
        <v>1651923.0</v>
      </c>
      <c r="J681" s="4">
        <v>29117.0</v>
      </c>
      <c r="K681" s="4">
        <v>606150.0</v>
      </c>
      <c r="L681" s="5">
        <v>1.5923946217932854</v>
      </c>
      <c r="M681" s="5">
        <v>12.236845665264374</v>
      </c>
      <c r="N681" s="4">
        <v>337561.0</v>
      </c>
      <c r="O681" s="4">
        <v>335739.0</v>
      </c>
      <c r="P681" s="4">
        <v>133364.0</v>
      </c>
      <c r="Q681" s="4">
        <v>490.0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0.0</v>
      </c>
      <c r="AB681" s="4">
        <v>0.0</v>
      </c>
      <c r="AC681" s="4">
        <v>0.0</v>
      </c>
      <c r="AD681" s="6" t="s">
        <v>246</v>
      </c>
      <c r="AE681" s="6" t="s">
        <v>9</v>
      </c>
    </row>
    <row r="682" ht="16.5" customHeight="1">
      <c r="A682" s="2" t="str">
        <f>IFERROR(__xludf.DUMMYFUNCTION("""COMPUTED_VALUE"""),"3149-JUNEDUGC")</f>
        <v>3149-JUNEDUGC</v>
      </c>
      <c r="B682" s="2" t="str">
        <f>IFERROR(__xludf.DUMMYFUNCTION("""COMPUTED_VALUE"""),"INSCRIPCIONES ABIERTAS EN LA UDELACIUDAD")</f>
        <v>INSCRIPCIONES ABIERTAS EN LA UDELACIUDAD</v>
      </c>
      <c r="C682" s="3">
        <f>IFERROR(__xludf.DUMMYFUNCTION("""COMPUTED_VALUE"""),46184.0)</f>
        <v>46184</v>
      </c>
      <c r="D682" s="3">
        <f>IFERROR(__xludf.DUMMYFUNCTION("""COMPUTED_VALUE"""),46188.0)</f>
        <v>46188</v>
      </c>
      <c r="E682" s="2" t="str">
        <f>IFERROR(__xludf.DUMMYFUNCTION("""COMPUTED_VALUE"""),"Cuidado")</f>
        <v>Cuidado</v>
      </c>
      <c r="F682" s="2" t="str">
        <f>IFERROR(__xludf.DUMMYFUNCTION("""COMPUTED_VALUE"""),"Educación")</f>
        <v>Educación</v>
      </c>
      <c r="G682" s="2" t="str">
        <f>IFERROR(__xludf.DUMMYFUNCTION("""COMPUTED_VALUE"""),"Finalizada")</f>
        <v>Finalizada</v>
      </c>
      <c r="H682" s="4">
        <v>966375.0</v>
      </c>
      <c r="I682" s="4">
        <v>0.0</v>
      </c>
      <c r="J682" s="4">
        <v>23000.0</v>
      </c>
      <c r="K682" s="4"/>
      <c r="L682" s="5">
        <v>0.0</v>
      </c>
      <c r="M682" s="5">
        <v>0.0</v>
      </c>
      <c r="N682" s="4">
        <v>126383.0</v>
      </c>
      <c r="O682" s="4">
        <v>124779.0</v>
      </c>
      <c r="P682" s="4">
        <v>34866.0</v>
      </c>
      <c r="Q682" s="4">
        <v>2800.0</v>
      </c>
      <c r="R682" s="4">
        <v>0.0</v>
      </c>
      <c r="S682" s="4">
        <v>0.0</v>
      </c>
      <c r="T682" s="4">
        <v>0.0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0.0</v>
      </c>
      <c r="AB682" s="4">
        <v>0.0</v>
      </c>
      <c r="AC682" s="4">
        <v>0.0</v>
      </c>
      <c r="AD682" s="6" t="s">
        <v>247</v>
      </c>
      <c r="AE682" s="6" t="s">
        <v>9</v>
      </c>
    </row>
    <row r="683" ht="16.5" customHeight="1">
      <c r="A683" s="2" t="str">
        <f>IFERROR(__xludf.DUMMYFUNCTION("""COMPUTED_VALUE"""),"3150-JUNINFGC")</f>
        <v>3150-JUNINFGC</v>
      </c>
      <c r="B683" s="2" t="str">
        <f>IFERROR(__xludf.DUMMYFUNCTION("""COMPUTED_VALUE"""),"Cortes y Desvíos por evento deportivo 15K Adizero")</f>
        <v>Cortes y Desvíos por evento deportivo 15K Adizero</v>
      </c>
      <c r="C683" s="3">
        <f>IFERROR(__xludf.DUMMYFUNCTION("""COMPUTED_VALUE"""),46178.0)</f>
        <v>46178</v>
      </c>
      <c r="D683" s="3">
        <f>IFERROR(__xludf.DUMMYFUNCTION("""COMPUTED_VALUE"""),46180.0)</f>
        <v>46180</v>
      </c>
      <c r="E683" s="2" t="str">
        <f>IFERROR(__xludf.DUMMYFUNCTION("""COMPUTED_VALUE"""),"Movilidad")</f>
        <v>Movilidad</v>
      </c>
      <c r="F683" s="2" t="str">
        <f>IFERROR(__xludf.DUMMYFUNCTION("""COMPUTED_VALUE"""),"Infraestructura")</f>
        <v>Infraestructura</v>
      </c>
      <c r="G683" s="2" t="str">
        <f>IFERROR(__xludf.DUMMYFUNCTION("""COMPUTED_VALUE"""),"Finalizada")</f>
        <v>Finalizada</v>
      </c>
      <c r="H683" s="4">
        <v>608285.0</v>
      </c>
      <c r="I683" s="4">
        <v>0.0</v>
      </c>
      <c r="J683" s="4">
        <v>1250.0</v>
      </c>
      <c r="K683" s="4"/>
      <c r="L683" s="5">
        <v>0.0</v>
      </c>
      <c r="M683" s="5">
        <v>0.0</v>
      </c>
      <c r="N683" s="4">
        <v>121335.0</v>
      </c>
      <c r="O683" s="4">
        <v>120761.0</v>
      </c>
      <c r="P683" s="4">
        <v>44720.0</v>
      </c>
      <c r="Q683" s="4">
        <v>640.0</v>
      </c>
      <c r="R683" s="4">
        <v>0.0</v>
      </c>
      <c r="S683" s="4">
        <v>0.0</v>
      </c>
      <c r="T683" s="4">
        <v>0.0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0.0</v>
      </c>
      <c r="AB683" s="4">
        <v>0.0</v>
      </c>
      <c r="AC683" s="4">
        <v>0.0</v>
      </c>
      <c r="AD683" s="6" t="s">
        <v>248</v>
      </c>
      <c r="AE683" s="6" t="s">
        <v>9</v>
      </c>
    </row>
    <row r="684" ht="16.5" customHeight="1">
      <c r="A684" s="2" t="str">
        <f>IFERROR(__xludf.DUMMYFUNCTION("""COMPUTED_VALUE"""),"3151-JUNVINVC")</f>
        <v>3151-JUNVINVC</v>
      </c>
      <c r="B684" s="2" t="str">
        <f>IFERROR(__xludf.DUMMYFUNCTION("""COMPUTED_VALUE"""),"Más servicios en tu barrio - 8/6 - Mataderos")</f>
        <v>Más servicios en tu barrio - 8/6 - Mataderos</v>
      </c>
      <c r="C684" s="3">
        <f>IFERROR(__xludf.DUMMYFUNCTION("""COMPUTED_VALUE"""),46177.0)</f>
        <v>46177</v>
      </c>
      <c r="D684" s="3">
        <f>IFERROR(__xludf.DUMMYFUNCTION("""COMPUTED_VALUE"""),46177.0)</f>
        <v>46177</v>
      </c>
      <c r="E684" s="2" t="str">
        <f>IFERROR(__xludf.DUMMYFUNCTION("""COMPUTED_VALUE"""),"M2")</f>
        <v>M2</v>
      </c>
      <c r="F684" s="2" t="str">
        <f>IFERROR(__xludf.DUMMYFUNCTION("""COMPUTED_VALUE"""),"Vínculo Ciudadano")</f>
        <v>Vínculo Ciudadano</v>
      </c>
      <c r="G684" s="2" t="str">
        <f>IFERROR(__xludf.DUMMYFUNCTION("""COMPUTED_VALUE"""),"Finalizada")</f>
        <v>Finalizada</v>
      </c>
      <c r="H684" s="4">
        <v>0.0</v>
      </c>
      <c r="I684" s="4">
        <v>0.0</v>
      </c>
      <c r="J684" s="4">
        <v>0.0</v>
      </c>
      <c r="K684" s="4">
        <v>0.0</v>
      </c>
      <c r="L684" s="5">
        <v>0.0</v>
      </c>
      <c r="M684" s="5">
        <v>0.0</v>
      </c>
      <c r="N684" s="4">
        <v>10655.0</v>
      </c>
      <c r="O684" s="4">
        <v>10530.0</v>
      </c>
      <c r="P684" s="4">
        <v>3483.0</v>
      </c>
      <c r="Q684" s="4">
        <v>212.0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0.0</v>
      </c>
      <c r="AB684" s="4">
        <v>0.0</v>
      </c>
      <c r="AC684" s="4">
        <v>0.0</v>
      </c>
      <c r="AD684" s="4" t="s">
        <v>8</v>
      </c>
      <c r="AE684" s="6" t="s">
        <v>9</v>
      </c>
    </row>
    <row r="685" ht="16.5" customHeight="1">
      <c r="A685" s="2" t="str">
        <f>IFERROR(__xludf.DUMMYFUNCTION("""COMPUTED_VALUE"""),"3152-JUNSALGC")</f>
        <v>3152-JUNSALGC</v>
      </c>
      <c r="B685" s="2" t="str">
        <f>IFERROR(__xludf.DUMMYFUNCTION("""COMPUTED_VALUE"""),"Récord de trasplantes en la Ciudad")</f>
        <v>Récord de trasplantes en la Ciudad</v>
      </c>
      <c r="C685" s="3">
        <f>IFERROR(__xludf.DUMMYFUNCTION("""COMPUTED_VALUE"""),46181.0)</f>
        <v>46181</v>
      </c>
      <c r="D685" s="3">
        <f>IFERROR(__xludf.DUMMYFUNCTION("""COMPUTED_VALUE"""),46181.0)</f>
        <v>46181</v>
      </c>
      <c r="E685" s="2" t="str">
        <f>IFERROR(__xludf.DUMMYFUNCTION("""COMPUTED_VALUE"""),"Cuidado")</f>
        <v>Cuidado</v>
      </c>
      <c r="F685" s="2" t="str">
        <f>IFERROR(__xludf.DUMMYFUNCTION("""COMPUTED_VALUE"""),"Salud")</f>
        <v>Salud</v>
      </c>
      <c r="G685" s="2" t="str">
        <f>IFERROR(__xludf.DUMMYFUNCTION("""COMPUTED_VALUE"""),"Finalizada")</f>
        <v>Finalizada</v>
      </c>
      <c r="H685" s="4">
        <v>0.0</v>
      </c>
      <c r="I685" s="4">
        <v>0.0</v>
      </c>
      <c r="J685" s="4">
        <v>0.0</v>
      </c>
      <c r="K685" s="4">
        <v>0.0</v>
      </c>
      <c r="L685" s="5">
        <v>0.0</v>
      </c>
      <c r="M685" s="5">
        <v>0.0</v>
      </c>
      <c r="N685" s="4">
        <v>145316.0</v>
      </c>
      <c r="O685" s="4">
        <v>143504.0</v>
      </c>
      <c r="P685" s="4">
        <v>35586.0</v>
      </c>
      <c r="Q685" s="4">
        <v>437.0</v>
      </c>
      <c r="R685" s="4">
        <v>0.0</v>
      </c>
      <c r="S685" s="4">
        <v>0.0</v>
      </c>
      <c r="T685" s="4">
        <v>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0.0</v>
      </c>
      <c r="AB685" s="4">
        <v>0.0</v>
      </c>
      <c r="AC685" s="4">
        <v>0.0</v>
      </c>
      <c r="AD685" s="4" t="s">
        <v>8</v>
      </c>
      <c r="AE685" s="6" t="s">
        <v>9</v>
      </c>
    </row>
    <row r="686" ht="16.5" customHeight="1">
      <c r="A686" s="2" t="str">
        <f>IFERROR(__xludf.DUMMYFUNCTION("""COMPUTED_VALUE"""),"3153-JUNDECGC")</f>
        <v>3153-JUNDECGC</v>
      </c>
      <c r="B686" s="2" t="str">
        <f>IFERROR(__xludf.DUMMYFUNCTION("""COMPUTED_VALUE"""),"Experiencia BA")</f>
        <v>Experiencia BA</v>
      </c>
      <c r="C686" s="3">
        <f>IFERROR(__xludf.DUMMYFUNCTION("""COMPUTED_VALUE"""),46177.0)</f>
        <v>46177</v>
      </c>
      <c r="D686" s="3">
        <f>IFERROR(__xludf.DUMMYFUNCTION("""COMPUTED_VALUE"""),46179.0)</f>
        <v>46179</v>
      </c>
      <c r="E686" s="2" t="str">
        <f>IFERROR(__xludf.DUMMYFUNCTION("""COMPUTED_VALUE"""),"Ciudad Atractiva")</f>
        <v>Ciudad Atractiva</v>
      </c>
      <c r="F686" s="2" t="str">
        <f>IFERROR(__xludf.DUMMYFUNCTION("""COMPUTED_VALUE"""),"Desarrollo Económico")</f>
        <v>Desarrollo Económico</v>
      </c>
      <c r="G686" s="2" t="str">
        <f>IFERROR(__xludf.DUMMYFUNCTION("""COMPUTED_VALUE"""),"Finalizada")</f>
        <v>Finalizada</v>
      </c>
      <c r="H686" s="4">
        <v>47567.0</v>
      </c>
      <c r="I686" s="4">
        <v>0.0</v>
      </c>
      <c r="J686" s="4">
        <v>842.0</v>
      </c>
      <c r="K686" s="4">
        <v>0.0</v>
      </c>
      <c r="L686" s="5">
        <v>0.0</v>
      </c>
      <c r="M686" s="5">
        <v>0.0</v>
      </c>
      <c r="N686" s="4">
        <v>157615.0</v>
      </c>
      <c r="O686" s="4">
        <v>156013.0</v>
      </c>
      <c r="P686" s="4">
        <v>62327.0</v>
      </c>
      <c r="Q686" s="4">
        <v>388.0</v>
      </c>
      <c r="R686" s="4">
        <v>0.0</v>
      </c>
      <c r="S686" s="4">
        <v>0.0</v>
      </c>
      <c r="T686" s="4">
        <v>0.0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0.0</v>
      </c>
      <c r="AB686" s="4">
        <v>0.0</v>
      </c>
      <c r="AC686" s="4">
        <v>0.0</v>
      </c>
      <c r="AD686" s="4" t="s">
        <v>8</v>
      </c>
      <c r="AE686" s="6" t="s">
        <v>9</v>
      </c>
    </row>
    <row r="687" ht="16.5" customHeight="1">
      <c r="A687" s="2" t="str">
        <f>IFERROR(__xludf.DUMMYFUNCTION("""COMPUTED_VALUE"""),"3154-JUNJDGAG")</f>
        <v>3154-JUNJDGAG</v>
      </c>
      <c r="B687" s="2" t="str">
        <f>IFERROR(__xludf.DUMMYFUNCTION("""COMPUTED_VALUE"""),"1 A 1 JM | COMUNA 3 8/6")</f>
        <v>1 A 1 JM | COMUNA 3 8/6</v>
      </c>
      <c r="C687" s="3">
        <f>IFERROR(__xludf.DUMMYFUNCTION("""COMPUTED_VALUE"""),46177.0)</f>
        <v>46177</v>
      </c>
      <c r="D687" s="3">
        <f>IFERROR(__xludf.DUMMYFUNCTION("""COMPUTED_VALUE"""),46199.0)</f>
        <v>46199</v>
      </c>
      <c r="E687" s="2" t="str">
        <f>IFERROR(__xludf.DUMMYFUNCTION("""COMPUTED_VALUE"""),"Cercanía")</f>
        <v>Cercanía</v>
      </c>
      <c r="F687" s="2" t="str">
        <f>IFERROR(__xludf.DUMMYFUNCTION("""COMPUTED_VALUE"""),"Jefatura de Gobierno")</f>
        <v>Jefatura de Gobierno</v>
      </c>
      <c r="G687" s="2" t="str">
        <f>IFERROR(__xludf.DUMMYFUNCTION("""COMPUTED_VALUE"""),"Finalizada")</f>
        <v>Finalizada</v>
      </c>
      <c r="H687" s="4">
        <v>2785341.0</v>
      </c>
      <c r="I687" s="4">
        <v>1390993.0</v>
      </c>
      <c r="J687" s="4">
        <v>5788.0</v>
      </c>
      <c r="K687" s="4">
        <v>47269.0</v>
      </c>
      <c r="L687" s="5">
        <v>17.36328248958091</v>
      </c>
      <c r="M687" s="5">
        <v>58.925321034927755</v>
      </c>
      <c r="N687" s="4">
        <v>0.0</v>
      </c>
      <c r="O687" s="4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0.0</v>
      </c>
      <c r="AB687" s="4">
        <v>0.0</v>
      </c>
      <c r="AC687" s="4">
        <v>0.0</v>
      </c>
      <c r="AD687" s="6" t="s">
        <v>249</v>
      </c>
      <c r="AE687" s="4" t="s">
        <v>8</v>
      </c>
    </row>
    <row r="688" ht="16.5" customHeight="1">
      <c r="A688" s="2" t="str">
        <f>IFERROR(__xludf.DUMMYFUNCTION("""COMPUTED_VALUE"""),"3155-JUNEPHVC")</f>
        <v>3155-JUNEPHVC</v>
      </c>
      <c r="B688" s="2" t="str">
        <f>IFERROR(__xludf.DUMMYFUNCTION("""COMPUTED_VALUE"""),"RDV de Ignacio Baistrocchi  8/6 ")</f>
        <v>RDV de Ignacio Baistrocchi  8/6 </v>
      </c>
      <c r="C688" s="3">
        <f>IFERROR(__xludf.DUMMYFUNCTION("""COMPUTED_VALUE"""),46177.0)</f>
        <v>46177</v>
      </c>
      <c r="D688" s="3">
        <f>IFERROR(__xludf.DUMMYFUNCTION("""COMPUTED_VALUE"""),46183.0)</f>
        <v>46183</v>
      </c>
      <c r="E688" s="2" t="str">
        <f>IFERROR(__xludf.DUMMYFUNCTION("""COMPUTED_VALUE"""),"Cercanía")</f>
        <v>Cercanía</v>
      </c>
      <c r="F688" s="2" t="str">
        <f>IFERROR(__xludf.DUMMYFUNCTION("""COMPUTED_VALUE"""),"Espacio Público e Higiene Urbana")</f>
        <v>Espacio Público e Higiene Urbana</v>
      </c>
      <c r="G688" s="2" t="str">
        <f>IFERROR(__xludf.DUMMYFUNCTION("""COMPUTED_VALUE"""),"Finalizada")</f>
        <v>Finalizada</v>
      </c>
      <c r="H688" s="4">
        <v>134009.0</v>
      </c>
      <c r="I688" s="4">
        <v>0.0</v>
      </c>
      <c r="J688" s="4">
        <v>606.0</v>
      </c>
      <c r="K688" s="4">
        <v>30230.0</v>
      </c>
      <c r="L688" s="5">
        <v>4.432980482963943</v>
      </c>
      <c r="M688" s="5">
        <v>4.432980482963943</v>
      </c>
      <c r="N688" s="4">
        <v>61240.0</v>
      </c>
      <c r="O688" s="4">
        <v>59970.0</v>
      </c>
      <c r="P688" s="4">
        <v>5943.0</v>
      </c>
      <c r="Q688" s="4">
        <v>173.0</v>
      </c>
      <c r="R688" s="4">
        <v>100.0</v>
      </c>
      <c r="S688" s="4">
        <v>100.0</v>
      </c>
      <c r="T688" s="4">
        <v>26.0</v>
      </c>
      <c r="U688" s="4">
        <v>25.0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0.0</v>
      </c>
      <c r="AB688" s="4">
        <v>0.0</v>
      </c>
      <c r="AC688" s="4">
        <v>0.0</v>
      </c>
      <c r="AD688" s="6" t="s">
        <v>250</v>
      </c>
      <c r="AE688" s="6" t="s">
        <v>9</v>
      </c>
    </row>
    <row r="689" ht="16.5" customHeight="1">
      <c r="A689" s="2" t="str">
        <f>IFERROR(__xludf.DUMMYFUNCTION("""COMPUTED_VALUE"""),"3156-JUNJDGAG")</f>
        <v>3156-JUNJDGAG</v>
      </c>
      <c r="B689" s="2" t="str">
        <f>IFERROR(__xludf.DUMMYFUNCTION("""COMPUTED_VALUE"""),"RDV JM | BOEDO | 12/06")</f>
        <v>RDV JM | BOEDO | 12/06</v>
      </c>
      <c r="C689" s="3">
        <f>IFERROR(__xludf.DUMMYFUNCTION("""COMPUTED_VALUE"""),46178.0)</f>
        <v>46178</v>
      </c>
      <c r="D689" s="3">
        <f>IFERROR(__xludf.DUMMYFUNCTION("""COMPUTED_VALUE"""),46200.0)</f>
        <v>46200</v>
      </c>
      <c r="E689" s="2" t="str">
        <f>IFERROR(__xludf.DUMMYFUNCTION("""COMPUTED_VALUE"""),"Cercanía")</f>
        <v>Cercanía</v>
      </c>
      <c r="F689" s="2" t="str">
        <f>IFERROR(__xludf.DUMMYFUNCTION("""COMPUTED_VALUE"""),"Jefatura de Gobierno")</f>
        <v>Jefatura de Gobierno</v>
      </c>
      <c r="G689" s="2" t="str">
        <f>IFERROR(__xludf.DUMMYFUNCTION("""COMPUTED_VALUE"""),"Finalizada")</f>
        <v>Finalizada</v>
      </c>
      <c r="H689" s="4">
        <v>1922028.0</v>
      </c>
      <c r="I689" s="4">
        <v>997336.0</v>
      </c>
      <c r="J689" s="4">
        <v>3116.0</v>
      </c>
      <c r="K689" s="4"/>
      <c r="L689" s="5">
        <v>0.0</v>
      </c>
      <c r="M689" s="5">
        <v>0.0</v>
      </c>
      <c r="N689" s="4">
        <v>25684.0</v>
      </c>
      <c r="O689" s="4">
        <v>25391.0</v>
      </c>
      <c r="P689" s="4">
        <v>5065.0</v>
      </c>
      <c r="Q689" s="4">
        <v>189.0</v>
      </c>
      <c r="R689" s="4">
        <v>214.0</v>
      </c>
      <c r="S689" s="4">
        <v>214.0</v>
      </c>
      <c r="T689" s="4">
        <v>70.0</v>
      </c>
      <c r="U689" s="4">
        <v>64.0</v>
      </c>
      <c r="V689" s="4">
        <v>25624.0</v>
      </c>
      <c r="W689" s="4">
        <v>25624.0</v>
      </c>
      <c r="X689" s="4">
        <v>24248.0</v>
      </c>
      <c r="Y689" s="4">
        <v>12460.0</v>
      </c>
      <c r="Z689" s="4">
        <v>57.0</v>
      </c>
      <c r="AA689" s="4">
        <v>0.0</v>
      </c>
      <c r="AB689" s="4">
        <v>0.0</v>
      </c>
      <c r="AC689" s="4">
        <v>0.0</v>
      </c>
      <c r="AD689" s="6" t="s">
        <v>251</v>
      </c>
      <c r="AE689" s="6" t="s">
        <v>9</v>
      </c>
    </row>
    <row r="690" ht="16.5" customHeight="1">
      <c r="A690" s="2" t="str">
        <f>IFERROR(__xludf.DUMMYFUNCTION("""COMPUTED_VALUE"""),"3157-JUNJDGVC")</f>
        <v>3157-JUNJDGVC</v>
      </c>
      <c r="B690" s="2" t="str">
        <f>IFERROR(__xludf.DUMMYFUNCTION("""COMPUTED_VALUE"""),"RDV Ministros | Gabriel Sánchéz Zinny - 10/6 ")</f>
        <v>RDV Ministros | Gabriel Sánchéz Zinny - 10/6 </v>
      </c>
      <c r="C690" s="3">
        <f>IFERROR(__xludf.DUMMYFUNCTION("""COMPUTED_VALUE"""),46177.0)</f>
        <v>46177</v>
      </c>
      <c r="D690" s="3">
        <f>IFERROR(__xludf.DUMMYFUNCTION("""COMPUTED_VALUE"""),46184.0)</f>
        <v>46184</v>
      </c>
      <c r="E690" s="2" t="str">
        <f>IFERROR(__xludf.DUMMYFUNCTION("""COMPUTED_VALUE"""),"Cercanía")</f>
        <v>Cercanía</v>
      </c>
      <c r="F690" s="2" t="str">
        <f>IFERROR(__xludf.DUMMYFUNCTION("""COMPUTED_VALUE"""),"Jefatura de Gabinete")</f>
        <v>Jefatura de Gabinete</v>
      </c>
      <c r="G690" s="2" t="str">
        <f>IFERROR(__xludf.DUMMYFUNCTION("""COMPUTED_VALUE"""),"Finalizada")</f>
        <v>Finalizada</v>
      </c>
      <c r="H690" s="4">
        <v>607791.0</v>
      </c>
      <c r="I690" s="4">
        <v>0.0</v>
      </c>
      <c r="J690" s="4">
        <v>554.0</v>
      </c>
      <c r="K690" s="4">
        <v>353327.0</v>
      </c>
      <c r="L690" s="5">
        <v>1.7201940412139463</v>
      </c>
      <c r="M690" s="5">
        <v>1.7201940412139463</v>
      </c>
      <c r="N690" s="4">
        <v>52175.0</v>
      </c>
      <c r="O690" s="4">
        <v>51621.0</v>
      </c>
      <c r="P690" s="4">
        <v>9197.0</v>
      </c>
      <c r="Q690" s="4">
        <v>193.0</v>
      </c>
      <c r="R690" s="4">
        <v>0.0</v>
      </c>
      <c r="S690" s="4">
        <v>0.0</v>
      </c>
      <c r="T690" s="4">
        <v>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0.0</v>
      </c>
      <c r="AB690" s="4">
        <v>0.0</v>
      </c>
      <c r="AC690" s="4">
        <v>0.0</v>
      </c>
      <c r="AD690" s="6" t="s">
        <v>252</v>
      </c>
      <c r="AE690" s="6" t="s">
        <v>9</v>
      </c>
    </row>
    <row r="691" ht="16.5" customHeight="1">
      <c r="A691" s="2" t="str">
        <f>IFERROR(__xludf.DUMMYFUNCTION("""COMPUTED_VALUE"""),"3158-JUNDHHVC")</f>
        <v>3158-JUNDHHVC</v>
      </c>
      <c r="B691" s="2" t="str">
        <f>IFERROR(__xludf.DUMMYFUNCTION("""COMPUTED_VALUE"""),"RDV Ministros | Gabriel Mraida - 10/6")</f>
        <v>RDV Ministros | Gabriel Mraida - 10/6</v>
      </c>
      <c r="C691" s="3">
        <f>IFERROR(__xludf.DUMMYFUNCTION("""COMPUTED_VALUE"""),46177.0)</f>
        <v>46177</v>
      </c>
      <c r="D691" s="3">
        <f>IFERROR(__xludf.DUMMYFUNCTION("""COMPUTED_VALUE"""),46184.0)</f>
        <v>46184</v>
      </c>
      <c r="E691" s="2" t="str">
        <f>IFERROR(__xludf.DUMMYFUNCTION("""COMPUTED_VALUE"""),"Cercanía")</f>
        <v>Cercanía</v>
      </c>
      <c r="F691" s="2" t="str">
        <f>IFERROR(__xludf.DUMMYFUNCTION("""COMPUTED_VALUE"""),"Desarrollo Humano y Hábitat")</f>
        <v>Desarrollo Humano y Hábitat</v>
      </c>
      <c r="G691" s="2" t="str">
        <f>IFERROR(__xludf.DUMMYFUNCTION("""COMPUTED_VALUE"""),"Finalizada")</f>
        <v>Finalizada</v>
      </c>
      <c r="H691" s="4">
        <v>172132.0</v>
      </c>
      <c r="I691" s="4">
        <v>0.0</v>
      </c>
      <c r="J691" s="4">
        <v>636.0</v>
      </c>
      <c r="K691" s="4">
        <v>90360.0</v>
      </c>
      <c r="L691" s="5">
        <v>1.9049579459938026</v>
      </c>
      <c r="M691" s="5">
        <v>1.9049579459938026</v>
      </c>
      <c r="N691" s="4">
        <v>81095.0</v>
      </c>
      <c r="O691" s="4">
        <v>79723.0</v>
      </c>
      <c r="P691" s="4">
        <v>11413.0</v>
      </c>
      <c r="Q691" s="4">
        <v>197.0</v>
      </c>
      <c r="R691" s="4">
        <v>120.0</v>
      </c>
      <c r="S691" s="4">
        <v>120.0</v>
      </c>
      <c r="T691" s="4">
        <v>35.0</v>
      </c>
      <c r="U691" s="4">
        <v>34.0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0.0</v>
      </c>
      <c r="AB691" s="4">
        <v>0.0</v>
      </c>
      <c r="AC691" s="4">
        <v>0.0</v>
      </c>
      <c r="AD691" s="6" t="s">
        <v>253</v>
      </c>
      <c r="AE691" s="6" t="s">
        <v>9</v>
      </c>
    </row>
    <row r="692" ht="16.5" customHeight="1">
      <c r="A692" s="2" t="str">
        <f>IFERROR(__xludf.DUMMYFUNCTION("""COMPUTED_VALUE"""),"3159-JUNSEGGJ")</f>
        <v>3159-JUNSEGGJ</v>
      </c>
      <c r="B692" s="2" t="str">
        <f>IFERROR(__xludf.DUMMYFUNCTION("""COMPUTED_VALUE""")," Megaoperativo de control de accesos entre la Ciudad y el Conurbano")</f>
        <v> Megaoperativo de control de accesos entre la Ciudad y el Conurbano</v>
      </c>
      <c r="C692" s="3">
        <f>IFERROR(__xludf.DUMMYFUNCTION("""COMPUTED_VALUE"""),46178.0)</f>
        <v>46178</v>
      </c>
      <c r="D692" s="3">
        <f>IFERROR(__xludf.DUMMYFUNCTION("""COMPUTED_VALUE"""),46203.0)</f>
        <v>46203</v>
      </c>
      <c r="E692" s="2" t="str">
        <f>IFERROR(__xludf.DUMMYFUNCTION("""COMPUTED_VALUE"""),"M2")</f>
        <v>M2</v>
      </c>
      <c r="F692" s="2" t="str">
        <f>IFERROR(__xludf.DUMMYFUNCTION("""COMPUTED_VALUE"""),"Seguridad")</f>
        <v>Seguridad</v>
      </c>
      <c r="G692" s="2" t="str">
        <f>IFERROR(__xludf.DUMMYFUNCTION("""COMPUTED_VALUE"""),"Finalizada")</f>
        <v>Finalizada</v>
      </c>
      <c r="H692" s="4">
        <v>6524830.0</v>
      </c>
      <c r="I692" s="4">
        <v>2873658.0</v>
      </c>
      <c r="J692" s="4">
        <v>19798.0</v>
      </c>
      <c r="K692" s="4">
        <v>986849.0</v>
      </c>
      <c r="L692" s="5">
        <v>2.26275347089575</v>
      </c>
      <c r="M692" s="5">
        <v>6.611781539019647</v>
      </c>
      <c r="N692" s="4">
        <v>411246.0</v>
      </c>
      <c r="O692" s="4">
        <v>409340.0</v>
      </c>
      <c r="P692" s="4">
        <v>152289.0</v>
      </c>
      <c r="Q692" s="4">
        <v>2259.0</v>
      </c>
      <c r="R692" s="4">
        <v>0.0</v>
      </c>
      <c r="S692" s="4">
        <v>0.0</v>
      </c>
      <c r="T692" s="4">
        <v>0.0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0.0</v>
      </c>
      <c r="AB692" s="4">
        <v>0.0</v>
      </c>
      <c r="AC692" s="4">
        <v>0.0</v>
      </c>
      <c r="AD692" s="6" t="s">
        <v>254</v>
      </c>
      <c r="AE692" s="6" t="s">
        <v>9</v>
      </c>
    </row>
    <row r="693" ht="16.5" customHeight="1">
      <c r="A693" s="2" t="str">
        <f>IFERROR(__xludf.DUMMYFUNCTION("""COMPUTED_VALUE"""),"3160-JUNSALGC")</f>
        <v>3160-JUNSALGC</v>
      </c>
      <c r="B693" s="2" t="str">
        <f>IFERROR(__xludf.DUMMYFUNCTION("""COMPUTED_VALUE"""),"SIGEHOS - Actualización del módulo RIS - Junio")</f>
        <v>SIGEHOS - Actualización del módulo RIS - Junio</v>
      </c>
      <c r="C693" s="3">
        <f>IFERROR(__xludf.DUMMYFUNCTION("""COMPUTED_VALUE"""),46178.0)</f>
        <v>46178</v>
      </c>
      <c r="D693" s="3">
        <f>IFERROR(__xludf.DUMMYFUNCTION("""COMPUTED_VALUE"""),46178.0)</f>
        <v>46178</v>
      </c>
      <c r="E693" s="2" t="str">
        <f>IFERROR(__xludf.DUMMYFUNCTION("""COMPUTED_VALUE"""),"Cuidado")</f>
        <v>Cuidado</v>
      </c>
      <c r="F693" s="2" t="str">
        <f>IFERROR(__xludf.DUMMYFUNCTION("""COMPUTED_VALUE"""),"Salud")</f>
        <v>Salud</v>
      </c>
      <c r="G693" s="2" t="str">
        <f>IFERROR(__xludf.DUMMYFUNCTION("""COMPUTED_VALUE"""),"Finalizada")</f>
        <v>Finalizada</v>
      </c>
      <c r="H693" s="4">
        <v>0.0</v>
      </c>
      <c r="I693" s="4">
        <v>0.0</v>
      </c>
      <c r="J693" s="4">
        <v>0.0</v>
      </c>
      <c r="K693" s="4">
        <v>0.0</v>
      </c>
      <c r="L693" s="5">
        <v>0.0</v>
      </c>
      <c r="M693" s="5">
        <v>0.0</v>
      </c>
      <c r="N693" s="4">
        <v>500.0</v>
      </c>
      <c r="O693" s="4">
        <v>493.0</v>
      </c>
      <c r="P693" s="4">
        <v>183.0</v>
      </c>
      <c r="Q693" s="4">
        <v>25.0</v>
      </c>
      <c r="R693" s="4">
        <v>0.0</v>
      </c>
      <c r="S693" s="4">
        <v>0.0</v>
      </c>
      <c r="T693" s="4">
        <v>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0.0</v>
      </c>
      <c r="AB693" s="4">
        <v>0.0</v>
      </c>
      <c r="AC693" s="4">
        <v>0.0</v>
      </c>
      <c r="AD693" s="4" t="s">
        <v>8</v>
      </c>
      <c r="AE693" s="6" t="s">
        <v>9</v>
      </c>
    </row>
    <row r="694" ht="16.5" customHeight="1">
      <c r="A694" s="2" t="str">
        <f>IFERROR(__xludf.DUMMYFUNCTION("""COMPUTED_VALUE"""),"3161-JUNJDGGC")</f>
        <v>3161-JUNJDGGC</v>
      </c>
      <c r="B694" s="2" t="str">
        <f>IFERROR(__xludf.DUMMYFUNCTION("""COMPUTED_VALUE"""),"Infraestructura | Cambio de sentido calle Zequeira")</f>
        <v>Infraestructura | Cambio de sentido calle Zequeira</v>
      </c>
      <c r="C694" s="3">
        <f>IFERROR(__xludf.DUMMYFUNCTION("""COMPUTED_VALUE"""),46190.0)</f>
        <v>46190</v>
      </c>
      <c r="D694" s="3">
        <f>IFERROR(__xludf.DUMMYFUNCTION("""COMPUTED_VALUE"""),46190.0)</f>
        <v>46190</v>
      </c>
      <c r="E694" s="2" t="str">
        <f>IFERROR(__xludf.DUMMYFUNCTION("""COMPUTED_VALUE"""),"Cercanía")</f>
        <v>Cercanía</v>
      </c>
      <c r="F694" s="2" t="str">
        <f>IFERROR(__xludf.DUMMYFUNCTION("""COMPUTED_VALUE"""),"Jefatura de Gobierno")</f>
        <v>Jefatura de Gobierno</v>
      </c>
      <c r="G694" s="2" t="str">
        <f>IFERROR(__xludf.DUMMYFUNCTION("""COMPUTED_VALUE"""),"Finalizada")</f>
        <v>Finalizada</v>
      </c>
      <c r="H694" s="4">
        <v>0.0</v>
      </c>
      <c r="I694" s="4">
        <v>0.0</v>
      </c>
      <c r="J694" s="4">
        <v>0.0</v>
      </c>
      <c r="K694" s="4">
        <v>0.0</v>
      </c>
      <c r="L694" s="5">
        <v>0.0</v>
      </c>
      <c r="M694" s="5">
        <v>0.0</v>
      </c>
      <c r="N694" s="4">
        <v>54690.0</v>
      </c>
      <c r="O694" s="4">
        <v>54110.0</v>
      </c>
      <c r="P694" s="4">
        <v>17062.0</v>
      </c>
      <c r="Q694" s="4">
        <v>235.0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0.0</v>
      </c>
      <c r="AB694" s="4">
        <v>0.0</v>
      </c>
      <c r="AC694" s="4">
        <v>0.0</v>
      </c>
      <c r="AD694" s="4" t="s">
        <v>8</v>
      </c>
      <c r="AE694" s="6" t="s">
        <v>9</v>
      </c>
    </row>
    <row r="695" ht="16.5" customHeight="1">
      <c r="A695" s="2" t="str">
        <f>IFERROR(__xludf.DUMMYFUNCTION("""COMPUTED_VALUE"""),"3162-JUNSEGVC")</f>
        <v>3162-JUNSEGVC</v>
      </c>
      <c r="B695" s="2" t="str">
        <f>IFERROR(__xludf.DUMMYFUNCTION("""COMPUTED_VALUE"""),"RDV Ministros | Gabino Tapia 11/6 Comuna 4")</f>
        <v>RDV Ministros | Gabino Tapia 11/6 Comuna 4</v>
      </c>
      <c r="C695" s="3">
        <f>IFERROR(__xludf.DUMMYFUNCTION("""COMPUTED_VALUE"""),46150.0)</f>
        <v>46150</v>
      </c>
      <c r="D695" s="3">
        <f>IFERROR(__xludf.DUMMYFUNCTION("""COMPUTED_VALUE"""),46185.0)</f>
        <v>46185</v>
      </c>
      <c r="E695" s="2" t="str">
        <f>IFERROR(__xludf.DUMMYFUNCTION("""COMPUTED_VALUE"""),"Cercanía")</f>
        <v>Cercanía</v>
      </c>
      <c r="F695" s="2" t="str">
        <f>IFERROR(__xludf.DUMMYFUNCTION("""COMPUTED_VALUE"""),"Seguridad")</f>
        <v>Seguridad</v>
      </c>
      <c r="G695" s="2" t="str">
        <f>IFERROR(__xludf.DUMMYFUNCTION("""COMPUTED_VALUE"""),"Finalizada")</f>
        <v>Finalizada</v>
      </c>
      <c r="H695" s="4">
        <v>172852.0</v>
      </c>
      <c r="I695" s="4">
        <v>0.0</v>
      </c>
      <c r="J695" s="4">
        <v>678.0</v>
      </c>
      <c r="K695" s="4">
        <v>63881.0</v>
      </c>
      <c r="L695" s="5">
        <v>2.7058436780889465</v>
      </c>
      <c r="M695" s="5">
        <v>2.7058436780889465</v>
      </c>
      <c r="N695" s="4">
        <v>81311.0</v>
      </c>
      <c r="O695" s="4">
        <v>80173.0</v>
      </c>
      <c r="P695" s="4">
        <v>10589.0</v>
      </c>
      <c r="Q695" s="4">
        <v>132.0</v>
      </c>
      <c r="R695" s="4">
        <v>115.0</v>
      </c>
      <c r="S695" s="4">
        <v>115.0</v>
      </c>
      <c r="T695" s="4">
        <v>34.0</v>
      </c>
      <c r="U695" s="4">
        <v>33.0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0.0</v>
      </c>
      <c r="AB695" s="4">
        <v>0.0</v>
      </c>
      <c r="AC695" s="4">
        <v>0.0</v>
      </c>
      <c r="AD695" s="6" t="s">
        <v>255</v>
      </c>
      <c r="AE695" s="6" t="s">
        <v>9</v>
      </c>
    </row>
    <row r="696" ht="16.5" customHeight="1">
      <c r="A696" s="2" t="str">
        <f>IFERROR(__xludf.DUMMYFUNCTION("""COMPUTED_VALUE"""),"3163-JUNSEGVC")</f>
        <v>3163-JUNSEGVC</v>
      </c>
      <c r="B696" s="2" t="str">
        <f>IFERROR(__xludf.DUMMYFUNCTION("""COMPUTED_VALUE"""),"RDV Ministros | Horacio Giménez 11/6 Comuna 5")</f>
        <v>RDV Ministros | Horacio Giménez 11/6 Comuna 5</v>
      </c>
      <c r="C696" s="3">
        <f>IFERROR(__xludf.DUMMYFUNCTION("""COMPUTED_VALUE"""),46181.0)</f>
        <v>46181</v>
      </c>
      <c r="D696" s="3">
        <f>IFERROR(__xludf.DUMMYFUNCTION("""COMPUTED_VALUE"""),46185.0)</f>
        <v>46185</v>
      </c>
      <c r="E696" s="2" t="str">
        <f>IFERROR(__xludf.DUMMYFUNCTION("""COMPUTED_VALUE"""),"Cercanía")</f>
        <v>Cercanía</v>
      </c>
      <c r="F696" s="2" t="str">
        <f>IFERROR(__xludf.DUMMYFUNCTION("""COMPUTED_VALUE"""),"Seguridad")</f>
        <v>Seguridad</v>
      </c>
      <c r="G696" s="2" t="str">
        <f>IFERROR(__xludf.DUMMYFUNCTION("""COMPUTED_VALUE"""),"Finalizada")</f>
        <v>Finalizada</v>
      </c>
      <c r="H696" s="4">
        <v>602815.0</v>
      </c>
      <c r="I696" s="4">
        <v>0.0</v>
      </c>
      <c r="J696" s="4">
        <v>674.0</v>
      </c>
      <c r="K696" s="4"/>
      <c r="L696" s="5">
        <v>0.0</v>
      </c>
      <c r="M696" s="5">
        <v>0.0</v>
      </c>
      <c r="N696" s="4">
        <v>74069.0</v>
      </c>
      <c r="O696" s="4">
        <v>73222.0</v>
      </c>
      <c r="P696" s="4">
        <v>12863.0</v>
      </c>
      <c r="Q696" s="4">
        <v>169.0</v>
      </c>
      <c r="R696" s="4">
        <v>75.0</v>
      </c>
      <c r="S696" s="4">
        <v>75.0</v>
      </c>
      <c r="T696" s="4">
        <v>21.0</v>
      </c>
      <c r="U696" s="4">
        <v>19.0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0.0</v>
      </c>
      <c r="AB696" s="4">
        <v>0.0</v>
      </c>
      <c r="AC696" s="4">
        <v>0.0</v>
      </c>
      <c r="AD696" s="6" t="s">
        <v>256</v>
      </c>
      <c r="AE696" s="6" t="s">
        <v>9</v>
      </c>
    </row>
    <row r="697" ht="16.5" customHeight="1">
      <c r="A697" s="2" t="str">
        <f>IFERROR(__xludf.DUMMYFUNCTION("""COMPUTED_VALUE"""),"3164-JUNSEGVC")</f>
        <v>3164-JUNSEGVC</v>
      </c>
      <c r="B697" s="2" t="str">
        <f>IFERROR(__xludf.DUMMYFUNCTION("""COMPUTED_VALUE"""),"RDV Ministros | Maximiliano Piñeiro 11/6 Comuna 6")</f>
        <v>RDV Ministros | Maximiliano Piñeiro 11/6 Comuna 6</v>
      </c>
      <c r="C697" s="3">
        <f>IFERROR(__xludf.DUMMYFUNCTION("""COMPUTED_VALUE"""),46181.0)</f>
        <v>46181</v>
      </c>
      <c r="D697" s="3">
        <f>IFERROR(__xludf.DUMMYFUNCTION("""COMPUTED_VALUE"""),46185.0)</f>
        <v>46185</v>
      </c>
      <c r="E697" s="2" t="str">
        <f>IFERROR(__xludf.DUMMYFUNCTION("""COMPUTED_VALUE"""),"Cercanía")</f>
        <v>Cercanía</v>
      </c>
      <c r="F697" s="2" t="str">
        <f>IFERROR(__xludf.DUMMYFUNCTION("""COMPUTED_VALUE"""),"Seguridad")</f>
        <v>Seguridad</v>
      </c>
      <c r="G697" s="2" t="str">
        <f>IFERROR(__xludf.DUMMYFUNCTION("""COMPUTED_VALUE"""),"Finalizada")</f>
        <v>Finalizada</v>
      </c>
      <c r="H697" s="4">
        <v>142584.0</v>
      </c>
      <c r="I697" s="4">
        <v>0.0</v>
      </c>
      <c r="J697" s="4">
        <v>522.0</v>
      </c>
      <c r="K697" s="4">
        <v>55979.0</v>
      </c>
      <c r="L697" s="5">
        <v>2.547098018899945</v>
      </c>
      <c r="M697" s="5">
        <v>2.547098018899945</v>
      </c>
      <c r="N697" s="4">
        <v>76596.0</v>
      </c>
      <c r="O697" s="4">
        <v>75894.0</v>
      </c>
      <c r="P697" s="4">
        <v>16114.0</v>
      </c>
      <c r="Q697" s="4">
        <v>197.0</v>
      </c>
      <c r="R697" s="4">
        <v>82.0</v>
      </c>
      <c r="S697" s="4">
        <v>82.0</v>
      </c>
      <c r="T697" s="4">
        <v>20.0</v>
      </c>
      <c r="U697" s="4">
        <v>19.0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0.0</v>
      </c>
      <c r="AB697" s="4">
        <v>0.0</v>
      </c>
      <c r="AC697" s="4">
        <v>0.0</v>
      </c>
      <c r="AD697" s="6" t="s">
        <v>257</v>
      </c>
      <c r="AE697" s="6" t="s">
        <v>9</v>
      </c>
    </row>
    <row r="698" ht="16.5" customHeight="1">
      <c r="A698" s="2" t="str">
        <f>IFERROR(__xludf.DUMMYFUNCTION("""COMPUTED_VALUE"""),"3165-JUNSEGVC")</f>
        <v>3165-JUNSEGVC</v>
      </c>
      <c r="B698" s="2" t="str">
        <f>IFERROR(__xludf.DUMMYFUNCTION("""COMPUTED_VALUE"""),"RDV Ministros | Ruth Landerreche 11/6 Comuna 7")</f>
        <v>RDV Ministros | Ruth Landerreche 11/6 Comuna 7</v>
      </c>
      <c r="C698" s="3">
        <f>IFERROR(__xludf.DUMMYFUNCTION("""COMPUTED_VALUE"""),46181.0)</f>
        <v>46181</v>
      </c>
      <c r="D698" s="3">
        <f>IFERROR(__xludf.DUMMYFUNCTION("""COMPUTED_VALUE"""),46185.0)</f>
        <v>46185</v>
      </c>
      <c r="E698" s="2" t="str">
        <f>IFERROR(__xludf.DUMMYFUNCTION("""COMPUTED_VALUE"""),"Cercanía")</f>
        <v>Cercanía</v>
      </c>
      <c r="F698" s="2" t="str">
        <f>IFERROR(__xludf.DUMMYFUNCTION("""COMPUTED_VALUE"""),"Seguridad")</f>
        <v>Seguridad</v>
      </c>
      <c r="G698" s="2" t="str">
        <f>IFERROR(__xludf.DUMMYFUNCTION("""COMPUTED_VALUE"""),"Finalizada")</f>
        <v>Finalizada</v>
      </c>
      <c r="H698" s="4">
        <v>0.0</v>
      </c>
      <c r="I698" s="4">
        <v>0.0</v>
      </c>
      <c r="J698" s="4">
        <v>0.0</v>
      </c>
      <c r="K698" s="4">
        <v>0.0</v>
      </c>
      <c r="L698" s="5">
        <v>0.0</v>
      </c>
      <c r="M698" s="5">
        <v>0.0</v>
      </c>
      <c r="N698" s="4">
        <v>81016.0</v>
      </c>
      <c r="O698" s="4">
        <v>80139.0</v>
      </c>
      <c r="P698" s="4">
        <v>12403.0</v>
      </c>
      <c r="Q698" s="4">
        <v>165.0</v>
      </c>
      <c r="R698" s="4">
        <v>82.0</v>
      </c>
      <c r="S698" s="4">
        <v>82.0</v>
      </c>
      <c r="T698" s="4">
        <v>21.0</v>
      </c>
      <c r="U698" s="4">
        <v>21.0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0.0</v>
      </c>
      <c r="AB698" s="4">
        <v>0.0</v>
      </c>
      <c r="AC698" s="4">
        <v>0.0</v>
      </c>
      <c r="AD698" s="4" t="s">
        <v>8</v>
      </c>
      <c r="AE698" s="6" t="s">
        <v>9</v>
      </c>
    </row>
    <row r="699" ht="16.5" customHeight="1">
      <c r="A699" s="2" t="str">
        <f>IFERROR(__xludf.DUMMYFUNCTION("""COMPUTED_VALUE"""),"3166-JUNAMBGC")</f>
        <v>3166-JUNAMBGC</v>
      </c>
      <c r="B699" s="2" t="str">
        <f>IFERROR(__xludf.DUMMYFUNCTION("""COMPUTED_VALUE"""),"Banco de herramientas Junio")</f>
        <v>Banco de herramientas Junio</v>
      </c>
      <c r="C699" s="3">
        <f>IFERROR(__xludf.DUMMYFUNCTION("""COMPUTED_VALUE"""),46190.0)</f>
        <v>46190</v>
      </c>
      <c r="D699" s="3">
        <f>IFERROR(__xludf.DUMMYFUNCTION("""COMPUTED_VALUE"""),46190.0)</f>
        <v>46190</v>
      </c>
      <c r="E699" s="2" t="str">
        <f>IFERROR(__xludf.DUMMYFUNCTION("""COMPUTED_VALUE"""),"Cuidado")</f>
        <v>Cuidado</v>
      </c>
      <c r="F699" s="2" t="str">
        <f>IFERROR(__xludf.DUMMYFUNCTION("""COMPUTED_VALUE"""),"Vicejefatura (Ambiente)")</f>
        <v>Vicejefatura (Ambiente)</v>
      </c>
      <c r="G699" s="2" t="str">
        <f>IFERROR(__xludf.DUMMYFUNCTION("""COMPUTED_VALUE"""),"Finalizada")</f>
        <v>Finalizada</v>
      </c>
      <c r="H699" s="4">
        <v>0.0</v>
      </c>
      <c r="I699" s="4">
        <v>0.0</v>
      </c>
      <c r="J699" s="4">
        <v>0.0</v>
      </c>
      <c r="K699" s="4">
        <v>0.0</v>
      </c>
      <c r="L699" s="5">
        <v>0.0</v>
      </c>
      <c r="M699" s="5">
        <v>0.0</v>
      </c>
      <c r="N699" s="4">
        <v>70733.0</v>
      </c>
      <c r="O699" s="4">
        <v>69679.0</v>
      </c>
      <c r="P699" s="4">
        <v>21250.0</v>
      </c>
      <c r="Q699" s="4">
        <v>920.0</v>
      </c>
      <c r="R699" s="4">
        <v>0.0</v>
      </c>
      <c r="S699" s="4">
        <v>0.0</v>
      </c>
      <c r="T699" s="4">
        <v>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0.0</v>
      </c>
      <c r="AB699" s="4">
        <v>0.0</v>
      </c>
      <c r="AC699" s="4">
        <v>0.0</v>
      </c>
      <c r="AD699" s="4" t="s">
        <v>8</v>
      </c>
      <c r="AE699" s="6" t="s">
        <v>9</v>
      </c>
    </row>
    <row r="700" ht="16.5" customHeight="1">
      <c r="A700" s="2" t="str">
        <f>IFERROR(__xludf.DUMMYFUNCTION("""COMPUTED_VALUE"""),"3167-JUNEMEGC")</f>
        <v>3167-JUNEMEGC</v>
      </c>
      <c r="B700" s="2" t="str">
        <f>IFERROR(__xludf.DUMMYFUNCTION("""COMPUTED_VALUE"""),"Alerta Amarilla 7/6")</f>
        <v>Alerta Amarilla 7/6</v>
      </c>
      <c r="C700" s="3">
        <f>IFERROR(__xludf.DUMMYFUNCTION("""COMPUTED_VALUE"""),46180.0)</f>
        <v>46180</v>
      </c>
      <c r="D700" s="3">
        <f>IFERROR(__xludf.DUMMYFUNCTION("""COMPUTED_VALUE"""),46181.0)</f>
        <v>46181</v>
      </c>
      <c r="E700" s="2" t="str">
        <f>IFERROR(__xludf.DUMMYFUNCTION("""COMPUTED_VALUE"""),"Cuidado")</f>
        <v>Cuidado</v>
      </c>
      <c r="F700" s="2" t="str">
        <f>IFERROR(__xludf.DUMMYFUNCTION("""COMPUTED_VALUE"""),"Emergencias")</f>
        <v>Emergencias</v>
      </c>
      <c r="G700" s="2" t="str">
        <f>IFERROR(__xludf.DUMMYFUNCTION("""COMPUTED_VALUE"""),"Finalizada")</f>
        <v>Finalizada</v>
      </c>
      <c r="H700" s="4">
        <v>586569.0</v>
      </c>
      <c r="I700" s="4">
        <v>13720.0</v>
      </c>
      <c r="J700" s="4">
        <v>0.0</v>
      </c>
      <c r="K700" s="4"/>
      <c r="L700" s="5">
        <v>0.0</v>
      </c>
      <c r="M700" s="5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0.0</v>
      </c>
      <c r="AB700" s="4">
        <v>0.0</v>
      </c>
      <c r="AC700" s="4">
        <v>0.0</v>
      </c>
      <c r="AD700" s="6" t="s">
        <v>258</v>
      </c>
      <c r="AE700" s="4" t="s">
        <v>8</v>
      </c>
    </row>
    <row r="701" ht="16.5" customHeight="1">
      <c r="A701" s="2" t="str">
        <f>IFERROR(__xludf.DUMMYFUNCTION("""COMPUTED_VALUE"""),"3168-JUNSALGC")</f>
        <v>3168-JUNSALGC</v>
      </c>
      <c r="B701" s="2" t="str">
        <f>IFERROR(__xludf.DUMMYFUNCTION("""COMPUTED_VALUE""")," SIGEHOS - Módulo GDE: mejoras - Junio")</f>
        <v> SIGEHOS - Módulo GDE: mejoras - Junio</v>
      </c>
      <c r="C701" s="3">
        <f>IFERROR(__xludf.DUMMYFUNCTION("""COMPUTED_VALUE"""),46184.0)</f>
        <v>46184</v>
      </c>
      <c r="D701" s="3">
        <f>IFERROR(__xludf.DUMMYFUNCTION("""COMPUTED_VALUE"""),46184.0)</f>
        <v>46184</v>
      </c>
      <c r="E701" s="2" t="str">
        <f>IFERROR(__xludf.DUMMYFUNCTION("""COMPUTED_VALUE"""),"Cuidado")</f>
        <v>Cuidado</v>
      </c>
      <c r="F701" s="2" t="str">
        <f>IFERROR(__xludf.DUMMYFUNCTION("""COMPUTED_VALUE"""),"Salud")</f>
        <v>Salud</v>
      </c>
      <c r="G701" s="2" t="str">
        <f>IFERROR(__xludf.DUMMYFUNCTION("""COMPUTED_VALUE"""),"Finalizada")</f>
        <v>Finalizada</v>
      </c>
      <c r="H701" s="4">
        <v>0.0</v>
      </c>
      <c r="I701" s="4">
        <v>0.0</v>
      </c>
      <c r="J701" s="4">
        <v>0.0</v>
      </c>
      <c r="K701" s="4">
        <v>0.0</v>
      </c>
      <c r="L701" s="5">
        <v>0.0</v>
      </c>
      <c r="M701" s="5">
        <v>0.0</v>
      </c>
      <c r="N701" s="4">
        <v>7429.0</v>
      </c>
      <c r="O701" s="4">
        <v>7397.0</v>
      </c>
      <c r="P701" s="4">
        <v>3046.0</v>
      </c>
      <c r="Q701" s="4">
        <v>225.0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0.0</v>
      </c>
      <c r="AB701" s="4">
        <v>0.0</v>
      </c>
      <c r="AC701" s="4">
        <v>0.0</v>
      </c>
      <c r="AD701" s="4" t="s">
        <v>8</v>
      </c>
      <c r="AE701" s="6" t="s">
        <v>9</v>
      </c>
    </row>
    <row r="702" ht="16.5" customHeight="1">
      <c r="A702" s="2" t="str">
        <f>IFERROR(__xludf.DUMMYFUNCTION("""COMPUTED_VALUE"""),"3169-JUNPCCVC")</f>
        <v>3169-JUNPCCVC</v>
      </c>
      <c r="B702" s="2" t="str">
        <f>IFERROR(__xludf.DUMMYFUNCTION("""COMPUTED_VALUE"""),"Ordenamiento de entorno - Barracas ")</f>
        <v>Ordenamiento de entorno - Barracas </v>
      </c>
      <c r="C702" s="3">
        <f>IFERROR(__xludf.DUMMYFUNCTION("""COMPUTED_VALUE"""),46191.0)</f>
        <v>46191</v>
      </c>
      <c r="D702" s="3">
        <f>IFERROR(__xludf.DUMMYFUNCTION("""COMPUTED_VALUE"""),46191.0)</f>
        <v>46191</v>
      </c>
      <c r="E702" s="2" t="str">
        <f>IFERROR(__xludf.DUMMYFUNCTION("""COMPUTED_VALUE"""),"Cercanía")</f>
        <v>Cercanía</v>
      </c>
      <c r="F702" s="2" t="str">
        <f>IFERROR(__xludf.DUMMYFUNCTION("""COMPUTED_VALUE"""),"Cercanía y PC")</f>
        <v>Cercanía y PC</v>
      </c>
      <c r="G702" s="2" t="str">
        <f>IFERROR(__xludf.DUMMYFUNCTION("""COMPUTED_VALUE"""),"Finalizada")</f>
        <v>Finalizada</v>
      </c>
      <c r="H702" s="4">
        <v>0.0</v>
      </c>
      <c r="I702" s="4">
        <v>0.0</v>
      </c>
      <c r="J702" s="4">
        <v>0.0</v>
      </c>
      <c r="K702" s="4">
        <v>0.0</v>
      </c>
      <c r="L702" s="5">
        <v>0.0</v>
      </c>
      <c r="M702" s="5">
        <v>0.0</v>
      </c>
      <c r="N702" s="4">
        <v>18434.0</v>
      </c>
      <c r="O702" s="4">
        <v>18198.0</v>
      </c>
      <c r="P702" s="4">
        <v>3857.0</v>
      </c>
      <c r="Q702" s="4">
        <v>72.0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0.0</v>
      </c>
      <c r="AB702" s="4">
        <v>0.0</v>
      </c>
      <c r="AC702" s="4">
        <v>0.0</v>
      </c>
      <c r="AD702" s="4" t="s">
        <v>8</v>
      </c>
      <c r="AE702" s="6" t="s">
        <v>9</v>
      </c>
    </row>
    <row r="703" ht="16.5" customHeight="1">
      <c r="A703" s="2" t="str">
        <f>IFERROR(__xludf.DUMMYFUNCTION("""COMPUTED_VALUE"""),"3170-JUNCULVC")</f>
        <v>3170-JUNCULVC</v>
      </c>
      <c r="B703" s="2" t="str">
        <f>IFERROR(__xludf.DUMMYFUNCTION("""COMPUTED_VALUE"""),"RDV Ministros | Gabriela Ricardes 12/6 Comuna 2")</f>
        <v>RDV Ministros | Gabriela Ricardes 12/6 Comuna 2</v>
      </c>
      <c r="C703" s="3">
        <f>IFERROR(__xludf.DUMMYFUNCTION("""COMPUTED_VALUE"""),46182.0)</f>
        <v>46182</v>
      </c>
      <c r="D703" s="3">
        <f>IFERROR(__xludf.DUMMYFUNCTION("""COMPUTED_VALUE"""),46186.0)</f>
        <v>46186</v>
      </c>
      <c r="E703" s="2" t="str">
        <f>IFERROR(__xludf.DUMMYFUNCTION("""COMPUTED_VALUE"""),"Cercanía")</f>
        <v>Cercanía</v>
      </c>
      <c r="F703" s="2" t="str">
        <f>IFERROR(__xludf.DUMMYFUNCTION("""COMPUTED_VALUE"""),"Cultura")</f>
        <v>Cultura</v>
      </c>
      <c r="G703" s="2" t="str">
        <f>IFERROR(__xludf.DUMMYFUNCTION("""COMPUTED_VALUE"""),"Finalizada")</f>
        <v>Finalizada</v>
      </c>
      <c r="H703" s="4">
        <v>353426.0</v>
      </c>
      <c r="I703" s="4">
        <v>0.0</v>
      </c>
      <c r="J703" s="4">
        <v>384.0</v>
      </c>
      <c r="K703" s="4"/>
      <c r="L703" s="5">
        <v>0.0</v>
      </c>
      <c r="M703" s="5">
        <v>0.0</v>
      </c>
      <c r="N703" s="4">
        <v>19222.0</v>
      </c>
      <c r="O703" s="4">
        <v>19008.0</v>
      </c>
      <c r="P703" s="4">
        <v>4873.0</v>
      </c>
      <c r="Q703" s="4">
        <v>72.0</v>
      </c>
      <c r="R703" s="4">
        <v>38.0</v>
      </c>
      <c r="S703" s="4">
        <v>38.0</v>
      </c>
      <c r="T703" s="4">
        <v>10.0</v>
      </c>
      <c r="U703" s="4">
        <v>9.0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0.0</v>
      </c>
      <c r="AB703" s="4">
        <v>0.0</v>
      </c>
      <c r="AC703" s="4">
        <v>0.0</v>
      </c>
      <c r="AD703" s="6" t="s">
        <v>259</v>
      </c>
      <c r="AE703" s="6" t="s">
        <v>9</v>
      </c>
    </row>
    <row r="704" ht="16.5" customHeight="1">
      <c r="A704" s="2" t="str">
        <f>IFERROR(__xludf.DUMMYFUNCTION("""COMPUTED_VALUE"""),"3171-JUNAMBVC")</f>
        <v>3171-JUNAMBVC</v>
      </c>
      <c r="B704" s="2" t="str">
        <f>IFERROR(__xludf.DUMMYFUNCTION("""COMPUTED_VALUE"""),"RDV Ministros | Clara Muzzio - 12/6 - Temática")</f>
        <v>RDV Ministros | Clara Muzzio - 12/6 - Temática</v>
      </c>
      <c r="C704" s="3">
        <f>IFERROR(__xludf.DUMMYFUNCTION("""COMPUTED_VALUE"""),46182.0)</f>
        <v>46182</v>
      </c>
      <c r="D704" s="3">
        <f>IFERROR(__xludf.DUMMYFUNCTION("""COMPUTED_VALUE"""),46186.0)</f>
        <v>46186</v>
      </c>
      <c r="E704" s="2" t="str">
        <f>IFERROR(__xludf.DUMMYFUNCTION("""COMPUTED_VALUE"""),"Cercanía")</f>
        <v>Cercanía</v>
      </c>
      <c r="F704" s="2" t="str">
        <f>IFERROR(__xludf.DUMMYFUNCTION("""COMPUTED_VALUE"""),"Vicejefatura (Ambiente)")</f>
        <v>Vicejefatura (Ambiente)</v>
      </c>
      <c r="G704" s="2" t="str">
        <f>IFERROR(__xludf.DUMMYFUNCTION("""COMPUTED_VALUE"""),"Finalizada")</f>
        <v>Finalizada</v>
      </c>
      <c r="H704" s="4">
        <v>54813.0</v>
      </c>
      <c r="I704" s="4">
        <v>0.0</v>
      </c>
      <c r="J704" s="4">
        <v>378.0</v>
      </c>
      <c r="K704" s="4"/>
      <c r="L704" s="5">
        <v>0.0</v>
      </c>
      <c r="M704" s="5">
        <v>0.0</v>
      </c>
      <c r="N704" s="4">
        <v>22928.0</v>
      </c>
      <c r="O704" s="4">
        <v>22730.0</v>
      </c>
      <c r="P704" s="4">
        <v>6744.0</v>
      </c>
      <c r="Q704" s="4">
        <v>150.0</v>
      </c>
      <c r="R704" s="4">
        <v>0.0</v>
      </c>
      <c r="S704" s="4">
        <v>0.0</v>
      </c>
      <c r="T704" s="4">
        <v>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0.0</v>
      </c>
      <c r="AB704" s="4">
        <v>0.0</v>
      </c>
      <c r="AC704" s="4">
        <v>0.0</v>
      </c>
      <c r="AD704" s="6" t="s">
        <v>260</v>
      </c>
      <c r="AE704" s="6" t="s">
        <v>9</v>
      </c>
    </row>
    <row r="705" ht="16.5" customHeight="1">
      <c r="A705" s="2" t="str">
        <f>IFERROR(__xludf.DUMMYFUNCTION("""COMPUTED_VALUE"""),"3172-JUNCDNNAGC")</f>
        <v>3172-JUNCDNNAGC</v>
      </c>
      <c r="B705" s="2" t="str">
        <f>IFERROR(__xludf.DUMMYFUNCTION("""COMPUTED_VALUE"""),"CDNNyA | Programa de Adopción")</f>
        <v>CDNNyA | Programa de Adopción</v>
      </c>
      <c r="C705" s="3">
        <f>IFERROR(__xludf.DUMMYFUNCTION("""COMPUTED_VALUE"""),46209.0)</f>
        <v>46209</v>
      </c>
      <c r="D705" s="3">
        <f>IFERROR(__xludf.DUMMYFUNCTION("""COMPUTED_VALUE"""),46234.0)</f>
        <v>46234</v>
      </c>
      <c r="E705" s="2" t="str">
        <f>IFERROR(__xludf.DUMMYFUNCTION("""COMPUTED_VALUE"""),"Cuidado")</f>
        <v>Cuidado</v>
      </c>
      <c r="F705" s="2" t="str">
        <f>IFERROR(__xludf.DUMMYFUNCTION("""COMPUTED_VALUE"""),"Consejo de Derechos de Niños, Niñas y Adolescentes")</f>
        <v>Consejo de Derechos de Niños, Niñas y Adolescentes</v>
      </c>
      <c r="G705" s="2" t="str">
        <f>IFERROR(__xludf.DUMMYFUNCTION("""COMPUTED_VALUE"""),"Activa")</f>
        <v>Activa</v>
      </c>
      <c r="H705" s="4">
        <v>1869964.0</v>
      </c>
      <c r="I705" s="4">
        <v>0.0</v>
      </c>
      <c r="J705" s="4">
        <v>21247.0</v>
      </c>
      <c r="K705" s="4">
        <v>233664.0</v>
      </c>
      <c r="L705" s="5">
        <v>1.4551492741714598</v>
      </c>
      <c r="M705" s="5">
        <v>8.002790331416051</v>
      </c>
      <c r="N705" s="4">
        <v>250880.0</v>
      </c>
      <c r="O705" s="4">
        <v>248602.0</v>
      </c>
      <c r="P705" s="4">
        <v>94984.0</v>
      </c>
      <c r="Q705" s="4">
        <v>2503.0</v>
      </c>
      <c r="R705" s="4">
        <v>0.0</v>
      </c>
      <c r="S705" s="4">
        <v>0.0</v>
      </c>
      <c r="T705" s="4">
        <v>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0.0</v>
      </c>
      <c r="AB705" s="4">
        <v>0.0</v>
      </c>
      <c r="AC705" s="4">
        <v>0.0</v>
      </c>
      <c r="AD705" s="4"/>
      <c r="AE705" s="6" t="s">
        <v>9</v>
      </c>
    </row>
    <row r="706" ht="16.5" customHeight="1">
      <c r="A706" s="2" t="str">
        <f>IFERROR(__xludf.DUMMYFUNCTION("""COMPUTED_VALUE"""),"3173-JUNVINGC")</f>
        <v>3173-JUNVINGC</v>
      </c>
      <c r="B706" s="2" t="str">
        <f>IFERROR(__xludf.DUMMYFUNCTION("""COMPUTED_VALUE"""),"Más servicios en tu barrio - 16/6 - Villa Santa Rita")</f>
        <v>Más servicios en tu barrio - 16/6 - Villa Santa Rita</v>
      </c>
      <c r="C706" s="3">
        <f>IFERROR(__xludf.DUMMYFUNCTION("""COMPUTED_VALUE"""),46183.0)</f>
        <v>46183</v>
      </c>
      <c r="D706" s="3">
        <f>IFERROR(__xludf.DUMMYFUNCTION("""COMPUTED_VALUE"""),46183.0)</f>
        <v>46183</v>
      </c>
      <c r="E706" s="2" t="str">
        <f>IFERROR(__xludf.DUMMYFUNCTION("""COMPUTED_VALUE"""),"M2")</f>
        <v>M2</v>
      </c>
      <c r="F706" s="2" t="str">
        <f>IFERROR(__xludf.DUMMYFUNCTION("""COMPUTED_VALUE"""),"Vínculo Ciudadano")</f>
        <v>Vínculo Ciudadano</v>
      </c>
      <c r="G706" s="2" t="str">
        <f>IFERROR(__xludf.DUMMYFUNCTION("""COMPUTED_VALUE"""),"Finalizada")</f>
        <v>Finalizada</v>
      </c>
      <c r="H706" s="4">
        <v>0.0</v>
      </c>
      <c r="I706" s="4">
        <v>0.0</v>
      </c>
      <c r="J706" s="4">
        <v>0.0</v>
      </c>
      <c r="K706" s="4">
        <v>0.0</v>
      </c>
      <c r="L706" s="5">
        <v>0.0</v>
      </c>
      <c r="M706" s="5">
        <v>0.0</v>
      </c>
      <c r="N706" s="4">
        <v>18210.0</v>
      </c>
      <c r="O706" s="4">
        <v>17979.0</v>
      </c>
      <c r="P706" s="4">
        <v>6043.0</v>
      </c>
      <c r="Q706" s="4">
        <v>247.0</v>
      </c>
      <c r="R706" s="4">
        <v>0.0</v>
      </c>
      <c r="S706" s="4">
        <v>0.0</v>
      </c>
      <c r="T706" s="4">
        <v>0.0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0.0</v>
      </c>
      <c r="AB706" s="4">
        <v>0.0</v>
      </c>
      <c r="AC706" s="4">
        <v>0.0</v>
      </c>
      <c r="AD706" s="4" t="s">
        <v>8</v>
      </c>
      <c r="AE706" s="6" t="s">
        <v>9</v>
      </c>
    </row>
    <row r="707" ht="16.5" customHeight="1">
      <c r="A707" s="2" t="str">
        <f>IFERROR(__xludf.DUMMYFUNCTION("""COMPUTED_VALUE"""),"3174-JUNVINGC")</f>
        <v>3174-JUNVINGC</v>
      </c>
      <c r="B707" s="2" t="str">
        <f>IFERROR(__xludf.DUMMYFUNCTION("""COMPUTED_VALUE"""),"Más servicios en tu barrio - 17/6 - Villa Devoto")</f>
        <v>Más servicios en tu barrio - 17/6 - Villa Devoto</v>
      </c>
      <c r="C707" s="3">
        <f>IFERROR(__xludf.DUMMYFUNCTION("""COMPUTED_VALUE"""),46184.0)</f>
        <v>46184</v>
      </c>
      <c r="D707" s="3">
        <f>IFERROR(__xludf.DUMMYFUNCTION("""COMPUTED_VALUE"""),46184.0)</f>
        <v>46184</v>
      </c>
      <c r="E707" s="2" t="str">
        <f>IFERROR(__xludf.DUMMYFUNCTION("""COMPUTED_VALUE"""),"M2")</f>
        <v>M2</v>
      </c>
      <c r="F707" s="2" t="str">
        <f>IFERROR(__xludf.DUMMYFUNCTION("""COMPUTED_VALUE"""),"Vínculo Ciudadano")</f>
        <v>Vínculo Ciudadano</v>
      </c>
      <c r="G707" s="2" t="str">
        <f>IFERROR(__xludf.DUMMYFUNCTION("""COMPUTED_VALUE"""),"Finalizada")</f>
        <v>Finalizada</v>
      </c>
      <c r="H707" s="4">
        <v>0.0</v>
      </c>
      <c r="I707" s="4">
        <v>0.0</v>
      </c>
      <c r="J707" s="4">
        <v>0.0</v>
      </c>
      <c r="K707" s="4">
        <v>0.0</v>
      </c>
      <c r="L707" s="5">
        <v>0.0</v>
      </c>
      <c r="M707" s="5">
        <v>0.0</v>
      </c>
      <c r="N707" s="4">
        <v>10977.0</v>
      </c>
      <c r="O707" s="4">
        <v>10885.0</v>
      </c>
      <c r="P707" s="4">
        <v>4511.0</v>
      </c>
      <c r="Q707" s="4">
        <v>172.0</v>
      </c>
      <c r="R707" s="4">
        <v>0.0</v>
      </c>
      <c r="S707" s="4">
        <v>0.0</v>
      </c>
      <c r="T707" s="4">
        <v>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0.0</v>
      </c>
      <c r="AB707" s="4">
        <v>0.0</v>
      </c>
      <c r="AC707" s="4">
        <v>0.0</v>
      </c>
      <c r="AD707" s="4" t="s">
        <v>8</v>
      </c>
      <c r="AE707" s="6" t="s">
        <v>9</v>
      </c>
    </row>
    <row r="708" ht="16.5" customHeight="1">
      <c r="A708" s="2" t="str">
        <f>IFERROR(__xludf.DUMMYFUNCTION("""COMPUTED_VALUE"""),"3175-JUNVINGC")</f>
        <v>3175-JUNVINGC</v>
      </c>
      <c r="B708" s="2" t="str">
        <f>IFERROR(__xludf.DUMMYFUNCTION("""COMPUTED_VALUE"""),"Más servicios en tu barrio - 18/6 y 19/6 - Villa Luro")</f>
        <v>Más servicios en tu barrio - 18/6 y 19/6 - Villa Luro</v>
      </c>
      <c r="C708" s="3">
        <f>IFERROR(__xludf.DUMMYFUNCTION("""COMPUTED_VALUE"""),46188.0)</f>
        <v>46188</v>
      </c>
      <c r="D708" s="3">
        <f>IFERROR(__xludf.DUMMYFUNCTION("""COMPUTED_VALUE"""),46188.0)</f>
        <v>46188</v>
      </c>
      <c r="E708" s="2" t="str">
        <f>IFERROR(__xludf.DUMMYFUNCTION("""COMPUTED_VALUE"""),"M2")</f>
        <v>M2</v>
      </c>
      <c r="F708" s="2" t="str">
        <f>IFERROR(__xludf.DUMMYFUNCTION("""COMPUTED_VALUE"""),"Vínculo Ciudadano")</f>
        <v>Vínculo Ciudadano</v>
      </c>
      <c r="G708" s="2" t="str">
        <f>IFERROR(__xludf.DUMMYFUNCTION("""COMPUTED_VALUE"""),"Finalizada")</f>
        <v>Finalizada</v>
      </c>
      <c r="H708" s="4">
        <v>0.0</v>
      </c>
      <c r="I708" s="4">
        <v>0.0</v>
      </c>
      <c r="J708" s="4">
        <v>0.0</v>
      </c>
      <c r="K708" s="4">
        <v>0.0</v>
      </c>
      <c r="L708" s="5">
        <v>0.0</v>
      </c>
      <c r="M708" s="5">
        <v>0.0</v>
      </c>
      <c r="N708" s="4">
        <v>11970.0</v>
      </c>
      <c r="O708" s="4">
        <v>11829.0</v>
      </c>
      <c r="P708" s="4">
        <v>4161.0</v>
      </c>
      <c r="Q708" s="4">
        <v>170.0</v>
      </c>
      <c r="R708" s="4">
        <v>0.0</v>
      </c>
      <c r="S708" s="4">
        <v>0.0</v>
      </c>
      <c r="T708" s="4">
        <v>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0.0</v>
      </c>
      <c r="AB708" s="4">
        <v>0.0</v>
      </c>
      <c r="AC708" s="4">
        <v>0.0</v>
      </c>
      <c r="AD708" s="4" t="s">
        <v>8</v>
      </c>
      <c r="AE708" s="6" t="s">
        <v>9</v>
      </c>
    </row>
    <row r="709" ht="16.5" customHeight="1">
      <c r="A709" s="2" t="str">
        <f>IFERROR(__xludf.DUMMYFUNCTION("""COMPUTED_VALUE"""),"3176-JUNAMBGC")</f>
        <v>3176-JUNAMBGC</v>
      </c>
      <c r="B709" s="2" t="str">
        <f>IFERROR(__xludf.DUMMYFUNCTION("""COMPUTED_VALUE"""),"Cobro de entrada a Ecoparque")</f>
        <v>Cobro de entrada a Ecoparque</v>
      </c>
      <c r="C709" s="3">
        <f>IFERROR(__xludf.DUMMYFUNCTION("""COMPUTED_VALUE"""),46185.0)</f>
        <v>46185</v>
      </c>
      <c r="D709" s="3">
        <f>IFERROR(__xludf.DUMMYFUNCTION("""COMPUTED_VALUE"""),46203.0)</f>
        <v>46203</v>
      </c>
      <c r="E709" s="2" t="str">
        <f>IFERROR(__xludf.DUMMYFUNCTION("""COMPUTED_VALUE"""),"Cuidado")</f>
        <v>Cuidado</v>
      </c>
      <c r="F709" s="2" t="str">
        <f>IFERROR(__xludf.DUMMYFUNCTION("""COMPUTED_VALUE"""),"Vicejefatura (Ambiente)")</f>
        <v>Vicejefatura (Ambiente)</v>
      </c>
      <c r="G709" s="2" t="str">
        <f>IFERROR(__xludf.DUMMYFUNCTION("""COMPUTED_VALUE"""),"Finalizada")</f>
        <v>Finalizada</v>
      </c>
      <c r="H709" s="4">
        <v>1.0535643E7</v>
      </c>
      <c r="I709" s="4">
        <v>103799.0</v>
      </c>
      <c r="J709" s="4">
        <v>10698.0</v>
      </c>
      <c r="K709" s="4">
        <v>659654.0</v>
      </c>
      <c r="L709" s="5">
        <v>2.0106010120457087</v>
      </c>
      <c r="M709" s="5">
        <v>15.97146837584552</v>
      </c>
      <c r="N709" s="4">
        <v>179777.0</v>
      </c>
      <c r="O709" s="4">
        <v>178675.0</v>
      </c>
      <c r="P709" s="4">
        <v>103434.0</v>
      </c>
      <c r="Q709" s="4">
        <v>2924.0</v>
      </c>
      <c r="R709" s="4">
        <v>0.0</v>
      </c>
      <c r="S709" s="4">
        <v>0.0</v>
      </c>
      <c r="T709" s="4">
        <v>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0.0</v>
      </c>
      <c r="AB709" s="4">
        <v>0.0</v>
      </c>
      <c r="AC709" s="4">
        <v>0.0</v>
      </c>
      <c r="AD709" s="6" t="s">
        <v>261</v>
      </c>
      <c r="AE709" s="6" t="s">
        <v>9</v>
      </c>
    </row>
    <row r="710" ht="16.5" customHeight="1">
      <c r="A710" s="2" t="str">
        <f>IFERROR(__xludf.DUMMYFUNCTION("""COMPUTED_VALUE"""),"3177-JUNEPHGC")</f>
        <v>3177-JUNEPHGC</v>
      </c>
      <c r="B710" s="2" t="str">
        <f>IFERROR(__xludf.DUMMYFUNCTION("""COMPUTED_VALUE"""),"Concurso de Identidad BA: Diseño de elementos urbanos para el Microcentro")</f>
        <v>Concurso de Identidad BA: Diseño de elementos urbanos para el Microcentro</v>
      </c>
      <c r="C710" s="3">
        <f>IFERROR(__xludf.DUMMYFUNCTION("""COMPUTED_VALUE"""),46181.0)</f>
        <v>46181</v>
      </c>
      <c r="D710" s="3">
        <f>IFERROR(__xludf.DUMMYFUNCTION("""COMPUTED_VALUE"""),46181.0)</f>
        <v>46181</v>
      </c>
      <c r="E710" s="2" t="str">
        <f>IFERROR(__xludf.DUMMYFUNCTION("""COMPUTED_VALUE"""),"M2")</f>
        <v>M2</v>
      </c>
      <c r="F710" s="2" t="str">
        <f>IFERROR(__xludf.DUMMYFUNCTION("""COMPUTED_VALUE"""),"Espacio Público e Higiene Urbana")</f>
        <v>Espacio Público e Higiene Urbana</v>
      </c>
      <c r="G710" s="2" t="str">
        <f>IFERROR(__xludf.DUMMYFUNCTION("""COMPUTED_VALUE"""),"Finalizada")</f>
        <v>Finalizada</v>
      </c>
      <c r="H710" s="4">
        <v>0.0</v>
      </c>
      <c r="I710" s="4">
        <v>0.0</v>
      </c>
      <c r="J710" s="4">
        <v>0.0</v>
      </c>
      <c r="K710" s="4">
        <v>0.0</v>
      </c>
      <c r="L710" s="5">
        <v>0.0</v>
      </c>
      <c r="M710" s="5">
        <v>0.0</v>
      </c>
      <c r="N710" s="4">
        <v>68387.0</v>
      </c>
      <c r="O710" s="4">
        <v>67680.0</v>
      </c>
      <c r="P710" s="4">
        <v>23562.0</v>
      </c>
      <c r="Q710" s="4">
        <v>1230.0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0.0</v>
      </c>
      <c r="AB710" s="4">
        <v>0.0</v>
      </c>
      <c r="AC710" s="4">
        <v>0.0</v>
      </c>
      <c r="AD710" s="4" t="s">
        <v>8</v>
      </c>
      <c r="AE710" s="6" t="s">
        <v>9</v>
      </c>
    </row>
    <row r="711" ht="16.5" customHeight="1">
      <c r="A711" s="2" t="str">
        <f>IFERROR(__xludf.DUMMYFUNCTION("""COMPUTED_VALUE"""),"3178-JUNJDGAG")</f>
        <v>3178-JUNJDGAG</v>
      </c>
      <c r="B711" s="2" t="str">
        <f>IFERROR(__xludf.DUMMYFUNCTION("""COMPUTED_VALUE""")," TE CUENTO BS AS JM | 16/6 EDUCACIÓN EJE OESTE")</f>
        <v> TE CUENTO BS AS JM | 16/6 EDUCACIÓN EJE OESTE</v>
      </c>
      <c r="C711" s="3">
        <f>IFERROR(__xludf.DUMMYFUNCTION("""COMPUTED_VALUE"""),46183.0)</f>
        <v>46183</v>
      </c>
      <c r="D711" s="3">
        <f>IFERROR(__xludf.DUMMYFUNCTION("""COMPUTED_VALUE"""),46206.0)</f>
        <v>46206</v>
      </c>
      <c r="E711" s="2" t="str">
        <f>IFERROR(__xludf.DUMMYFUNCTION("""COMPUTED_VALUE"""),"Cercanía")</f>
        <v>Cercanía</v>
      </c>
      <c r="F711" s="2" t="str">
        <f>IFERROR(__xludf.DUMMYFUNCTION("""COMPUTED_VALUE"""),"Jefatura de Gobierno")</f>
        <v>Jefatura de Gobierno</v>
      </c>
      <c r="G711" s="2" t="str">
        <f>IFERROR(__xludf.DUMMYFUNCTION("""COMPUTED_VALUE"""),"Finalizada")</f>
        <v>Finalizada</v>
      </c>
      <c r="H711" s="4">
        <v>8366482.0</v>
      </c>
      <c r="I711" s="4">
        <v>3565447.0</v>
      </c>
      <c r="J711" s="4">
        <v>58853.0</v>
      </c>
      <c r="K711" s="4">
        <v>104438.0</v>
      </c>
      <c r="L711" s="5">
        <v>9.264415251153794</v>
      </c>
      <c r="M711" s="5">
        <v>80.10955782378062</v>
      </c>
      <c r="N711" s="4">
        <v>329225.0</v>
      </c>
      <c r="O711" s="4">
        <v>325401.0</v>
      </c>
      <c r="P711" s="4">
        <v>46599.0</v>
      </c>
      <c r="Q711" s="4">
        <v>780.0</v>
      </c>
      <c r="R711" s="4">
        <v>8602.0</v>
      </c>
      <c r="S711" s="4">
        <v>7269.0</v>
      </c>
      <c r="T711" s="4">
        <v>1244.0</v>
      </c>
      <c r="U711" s="4">
        <v>1007.0</v>
      </c>
      <c r="V711" s="4">
        <v>70271.0</v>
      </c>
      <c r="W711" s="4">
        <v>70271.0</v>
      </c>
      <c r="X711" s="4">
        <v>66801.0</v>
      </c>
      <c r="Y711" s="4">
        <v>23883.0</v>
      </c>
      <c r="Z711" s="4">
        <v>135.0</v>
      </c>
      <c r="AA711" s="4">
        <v>0.0</v>
      </c>
      <c r="AB711" s="4">
        <v>0.0</v>
      </c>
      <c r="AC711" s="4">
        <v>0.0</v>
      </c>
      <c r="AD711" s="6" t="s">
        <v>262</v>
      </c>
      <c r="AE711" s="6" t="s">
        <v>9</v>
      </c>
    </row>
    <row r="712" ht="16.5" customHeight="1">
      <c r="A712" s="2" t="str">
        <f>IFERROR(__xludf.DUMMYFUNCTION("""COMPUTED_VALUE"""),"3180-JUNINFGC")</f>
        <v>3180-JUNINFGC</v>
      </c>
      <c r="B712" s="2" t="str">
        <f>IFERROR(__xludf.DUMMYFUNCTION("""COMPUTED_VALUE"""),"AU Dellepiane: cambio de sentido calle Rio Negro y Colectora Norte | 16/6")</f>
        <v>AU Dellepiane: cambio de sentido calle Rio Negro y Colectora Norte | 16/6</v>
      </c>
      <c r="C712" s="3">
        <f>IFERROR(__xludf.DUMMYFUNCTION("""COMPUTED_VALUE"""),46185.0)</f>
        <v>46185</v>
      </c>
      <c r="D712" s="3">
        <f>IFERROR(__xludf.DUMMYFUNCTION("""COMPUTED_VALUE"""),46199.0)</f>
        <v>46199</v>
      </c>
      <c r="E712" s="2" t="str">
        <f>IFERROR(__xludf.DUMMYFUNCTION("""COMPUTED_VALUE"""),"Movilidad")</f>
        <v>Movilidad</v>
      </c>
      <c r="F712" s="2" t="str">
        <f>IFERROR(__xludf.DUMMYFUNCTION("""COMPUTED_VALUE"""),"Infraestructura")</f>
        <v>Infraestructura</v>
      </c>
      <c r="G712" s="2" t="str">
        <f>IFERROR(__xludf.DUMMYFUNCTION("""COMPUTED_VALUE"""),"Finalizada")</f>
        <v>Finalizada</v>
      </c>
      <c r="H712" s="4">
        <v>79204.0</v>
      </c>
      <c r="I712" s="4">
        <v>0.0</v>
      </c>
      <c r="J712" s="4">
        <v>0.0</v>
      </c>
      <c r="K712" s="4">
        <v>34452.0</v>
      </c>
      <c r="L712" s="5">
        <v>2.298966678277023</v>
      </c>
      <c r="M712" s="5">
        <v>2.298966678277023</v>
      </c>
      <c r="N712" s="4">
        <v>52822.0</v>
      </c>
      <c r="O712" s="4">
        <v>52167.0</v>
      </c>
      <c r="P712" s="4">
        <v>11620.0</v>
      </c>
      <c r="Q712" s="4">
        <v>333.0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0.0</v>
      </c>
      <c r="AB712" s="4">
        <v>0.0</v>
      </c>
      <c r="AC712" s="4">
        <v>0.0</v>
      </c>
      <c r="AD712" s="6" t="s">
        <v>263</v>
      </c>
      <c r="AE712" s="6" t="s">
        <v>9</v>
      </c>
    </row>
    <row r="713" ht="16.5" customHeight="1">
      <c r="A713" s="2" t="str">
        <f>IFERROR(__xludf.DUMMYFUNCTION("""COMPUTED_VALUE"""),"3183-JUNSEGGC")</f>
        <v>3183-JUNSEGGC</v>
      </c>
      <c r="B713" s="2" t="str">
        <f>IFERROR(__xludf.DUMMYFUNCTION("""COMPUTED_VALUE"""),"Operativo trapitos en Movistar Arena: adaptaciones")</f>
        <v>Operativo trapitos en Movistar Arena: adaptaciones</v>
      </c>
      <c r="C713" s="3">
        <f>IFERROR(__xludf.DUMMYFUNCTION("""COMPUTED_VALUE"""),46183.0)</f>
        <v>46183</v>
      </c>
      <c r="D713" s="3">
        <f>IFERROR(__xludf.DUMMYFUNCTION("""COMPUTED_VALUE"""),46197.0)</f>
        <v>46197</v>
      </c>
      <c r="E713" s="2" t="str">
        <f>IFERROR(__xludf.DUMMYFUNCTION("""COMPUTED_VALUE"""),"M2")</f>
        <v>M2</v>
      </c>
      <c r="F713" s="2" t="str">
        <f>IFERROR(__xludf.DUMMYFUNCTION("""COMPUTED_VALUE"""),"Seguridad")</f>
        <v>Seguridad</v>
      </c>
      <c r="G713" s="2" t="str">
        <f>IFERROR(__xludf.DUMMYFUNCTION("""COMPUTED_VALUE"""),"Finalizada")</f>
        <v>Finalizada</v>
      </c>
      <c r="H713" s="4">
        <v>702218.0</v>
      </c>
      <c r="I713" s="4">
        <v>63650.0</v>
      </c>
      <c r="J713" s="4">
        <v>957.0</v>
      </c>
      <c r="K713" s="4">
        <v>313931.0</v>
      </c>
      <c r="L713" s="5">
        <v>2.2368545954365766</v>
      </c>
      <c r="M713" s="5">
        <v>2.2368545954365766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0.0</v>
      </c>
      <c r="AB713" s="4">
        <v>0.0</v>
      </c>
      <c r="AC713" s="4">
        <v>0.0</v>
      </c>
      <c r="AD713" s="6" t="s">
        <v>264</v>
      </c>
      <c r="AE713" s="4" t="s">
        <v>8</v>
      </c>
    </row>
    <row r="714" ht="16.5" customHeight="1">
      <c r="A714" s="2" t="str">
        <f>IFERROR(__xludf.DUMMYFUNCTION("""COMPUTED_VALUE"""),"3184-JUNEDUGC")</f>
        <v>3184-JUNEDUGC</v>
      </c>
      <c r="B714" s="2" t="str">
        <f>IFERROR(__xludf.DUMMYFUNCTION("""COMPUTED_VALUE"""),"Educación I Obras en escuelas")</f>
        <v>Educación I Obras en escuelas</v>
      </c>
      <c r="C714" s="3">
        <f>IFERROR(__xludf.DUMMYFUNCTION("""COMPUTED_VALUE"""),46190.0)</f>
        <v>46190</v>
      </c>
      <c r="D714" s="3">
        <f>IFERROR(__xludf.DUMMYFUNCTION("""COMPUTED_VALUE"""),46204.0)</f>
        <v>46204</v>
      </c>
      <c r="E714" s="2" t="str">
        <f>IFERROR(__xludf.DUMMYFUNCTION("""COMPUTED_VALUE"""),"Cuidado")</f>
        <v>Cuidado</v>
      </c>
      <c r="F714" s="2" t="str">
        <f>IFERROR(__xludf.DUMMYFUNCTION("""COMPUTED_VALUE"""),"Educación")</f>
        <v>Educación</v>
      </c>
      <c r="G714" s="2" t="str">
        <f>IFERROR(__xludf.DUMMYFUNCTION("""COMPUTED_VALUE"""),"Finalizada")</f>
        <v>Finalizada</v>
      </c>
      <c r="H714" s="4">
        <v>8411990.0</v>
      </c>
      <c r="I714" s="4">
        <v>5204109.0</v>
      </c>
      <c r="J714" s="4">
        <v>12360.0</v>
      </c>
      <c r="K714" s="4">
        <v>607445.0</v>
      </c>
      <c r="L714" s="5">
        <v>1.887767616821276</v>
      </c>
      <c r="M714" s="5">
        <v>13.848150861394858</v>
      </c>
      <c r="N714" s="4">
        <v>218405.0</v>
      </c>
      <c r="O714" s="4">
        <v>215828.0</v>
      </c>
      <c r="P714" s="4">
        <v>59201.0</v>
      </c>
      <c r="Q714" s="4">
        <v>394.0</v>
      </c>
      <c r="R714" s="4">
        <v>0.0</v>
      </c>
      <c r="S714" s="4">
        <v>0.0</v>
      </c>
      <c r="T714" s="4">
        <v>0.0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0.0</v>
      </c>
      <c r="AB714" s="4">
        <v>0.0</v>
      </c>
      <c r="AC714" s="4">
        <v>0.0</v>
      </c>
      <c r="AD714" s="6" t="s">
        <v>265</v>
      </c>
      <c r="AE714" s="6" t="s">
        <v>9</v>
      </c>
    </row>
    <row r="715" ht="16.5" customHeight="1">
      <c r="A715" s="2" t="str">
        <f>IFERROR(__xludf.DUMMYFUNCTION("""COMPUTED_VALUE"""),"3185-JUNINFGC")</f>
        <v>3185-JUNINFGC</v>
      </c>
      <c r="B715" s="2" t="str">
        <f>IFERROR(__xludf.DUMMYFUNCTION("""COMPUTED_VALUE"""),"CORTES Y DESVÍOS POR PROCESIÓN RELIGIOSA")</f>
        <v>CORTES Y DESVÍOS POR PROCESIÓN RELIGIOSA</v>
      </c>
      <c r="C715" s="3">
        <f>IFERROR(__xludf.DUMMYFUNCTION("""COMPUTED_VALUE"""),46185.0)</f>
        <v>46185</v>
      </c>
      <c r="D715" s="3">
        <f>IFERROR(__xludf.DUMMYFUNCTION("""COMPUTED_VALUE"""),46186.0)</f>
        <v>46186</v>
      </c>
      <c r="E715" s="2" t="str">
        <f>IFERROR(__xludf.DUMMYFUNCTION("""COMPUTED_VALUE"""),"Movilidad")</f>
        <v>Movilidad</v>
      </c>
      <c r="F715" s="2" t="str">
        <f>IFERROR(__xludf.DUMMYFUNCTION("""COMPUTED_VALUE"""),"Infraestructura")</f>
        <v>Infraestructura</v>
      </c>
      <c r="G715" s="2" t="str">
        <f>IFERROR(__xludf.DUMMYFUNCTION("""COMPUTED_VALUE"""),"Finalizada")</f>
        <v>Finalizada</v>
      </c>
      <c r="H715" s="4">
        <v>34292.0</v>
      </c>
      <c r="I715" s="4">
        <v>0.0</v>
      </c>
      <c r="J715" s="4">
        <v>384.0</v>
      </c>
      <c r="K715" s="4"/>
      <c r="L715" s="5">
        <v>0.0</v>
      </c>
      <c r="M715" s="5">
        <v>0.0</v>
      </c>
      <c r="N715" s="4">
        <v>84193.0</v>
      </c>
      <c r="O715" s="4">
        <v>83336.0</v>
      </c>
      <c r="P715" s="4">
        <v>22505.0</v>
      </c>
      <c r="Q715" s="4">
        <v>750.0</v>
      </c>
      <c r="R715" s="4">
        <v>0.0</v>
      </c>
      <c r="S715" s="4">
        <v>0.0</v>
      </c>
      <c r="T715" s="4">
        <v>0.0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0.0</v>
      </c>
      <c r="AB715" s="4">
        <v>0.0</v>
      </c>
      <c r="AC715" s="4">
        <v>0.0</v>
      </c>
      <c r="AD715" s="6" t="s">
        <v>266</v>
      </c>
      <c r="AE715" s="6" t="s">
        <v>9</v>
      </c>
    </row>
    <row r="716" ht="16.5" customHeight="1">
      <c r="A716" s="2" t="str">
        <f>IFERROR(__xludf.DUMMYFUNCTION("""COMPUTED_VALUE"""),"3186-JUNFESGC")</f>
        <v>3186-JUNFESGC</v>
      </c>
      <c r="B716" s="2" t="str">
        <f>IFERROR(__xludf.DUMMYFUNCTION("""COMPUTED_VALUE"""),"Sorteo Entradas Linda | Life chronicles")</f>
        <v>Sorteo Entradas Linda | Life chronicles</v>
      </c>
      <c r="C716" s="3">
        <f>IFERROR(__xludf.DUMMYFUNCTION("""COMPUTED_VALUE"""),46189.0)</f>
        <v>46189</v>
      </c>
      <c r="D716" s="3">
        <f>IFERROR(__xludf.DUMMYFUNCTION("""COMPUTED_VALUE"""),46195.0)</f>
        <v>46195</v>
      </c>
      <c r="E716" s="2" t="str">
        <f>IFERROR(__xludf.DUMMYFUNCTION("""COMPUTED_VALUE"""),"Cercanía")</f>
        <v>Cercanía</v>
      </c>
      <c r="F716" s="2" t="str">
        <f>IFERROR(__xludf.DUMMYFUNCTION("""COMPUTED_VALUE"""),"Festivales y Eventos")</f>
        <v>Festivales y Eventos</v>
      </c>
      <c r="G716" s="2" t="str">
        <f>IFERROR(__xludf.DUMMYFUNCTION("""COMPUTED_VALUE"""),"Finalizada")</f>
        <v>Finalizada</v>
      </c>
      <c r="H716" s="4">
        <v>1255497.0</v>
      </c>
      <c r="I716" s="4">
        <v>0.0</v>
      </c>
      <c r="J716" s="4">
        <v>23556.0</v>
      </c>
      <c r="K716" s="4">
        <v>100428.0</v>
      </c>
      <c r="L716" s="5">
        <v>2.85357669175927</v>
      </c>
      <c r="M716" s="5">
        <v>12.501463735213287</v>
      </c>
      <c r="N716" s="4">
        <v>145919.0</v>
      </c>
      <c r="O716" s="4">
        <v>144317.0</v>
      </c>
      <c r="P716" s="4">
        <v>49616.0</v>
      </c>
      <c r="Q716" s="4">
        <v>6839.0</v>
      </c>
      <c r="R716" s="4">
        <v>0.0</v>
      </c>
      <c r="S716" s="4">
        <v>0.0</v>
      </c>
      <c r="T716" s="4">
        <v>0.0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0.0</v>
      </c>
      <c r="AB716" s="4">
        <v>0.0</v>
      </c>
      <c r="AC716" s="4">
        <v>0.0</v>
      </c>
      <c r="AD716" s="6" t="s">
        <v>267</v>
      </c>
      <c r="AE716" s="6" t="s">
        <v>9</v>
      </c>
    </row>
    <row r="717" ht="16.5" customHeight="1">
      <c r="A717" s="2" t="str">
        <f>IFERROR(__xludf.DUMMYFUNCTION("""COMPUTED_VALUE"""),"3187-JUNSEGGJ")</f>
        <v>3187-JUNSEGGJ</v>
      </c>
      <c r="B717" s="2" t="str">
        <f>IFERROR(__xludf.DUMMYFUNCTION("""COMPUTED_VALUE"""),"Seguridad | Operativo de saturación en el Barrio 1-11-14 | 11/6")</f>
        <v>Seguridad | Operativo de saturación en el Barrio 1-11-14 | 11/6</v>
      </c>
      <c r="C717" s="3">
        <f>IFERROR(__xludf.DUMMYFUNCTION("""COMPUTED_VALUE"""),46183.0)</f>
        <v>46183</v>
      </c>
      <c r="D717" s="3">
        <f>IFERROR(__xludf.DUMMYFUNCTION("""COMPUTED_VALUE"""),46196.0)</f>
        <v>46196</v>
      </c>
      <c r="E717" s="2" t="str">
        <f>IFERROR(__xludf.DUMMYFUNCTION("""COMPUTED_VALUE"""),"M2")</f>
        <v>M2</v>
      </c>
      <c r="F717" s="2" t="str">
        <f>IFERROR(__xludf.DUMMYFUNCTION("""COMPUTED_VALUE"""),"Seguridad")</f>
        <v>Seguridad</v>
      </c>
      <c r="G717" s="2" t="str">
        <f>IFERROR(__xludf.DUMMYFUNCTION("""COMPUTED_VALUE"""),"Finalizada")</f>
        <v>Finalizada</v>
      </c>
      <c r="H717" s="4">
        <v>4766226.0</v>
      </c>
      <c r="I717" s="4">
        <v>2547131.0</v>
      </c>
      <c r="J717" s="4">
        <v>13784.0</v>
      </c>
      <c r="K717" s="4">
        <v>522124.0</v>
      </c>
      <c r="L717" s="5">
        <v>2.275518842267354</v>
      </c>
      <c r="M717" s="5">
        <v>9.128532685722165</v>
      </c>
      <c r="N717" s="4">
        <v>410080.0</v>
      </c>
      <c r="O717" s="4">
        <v>407705.0</v>
      </c>
      <c r="P717" s="4">
        <v>154523.0</v>
      </c>
      <c r="Q717" s="4">
        <v>1651.0</v>
      </c>
      <c r="R717" s="4">
        <v>0.0</v>
      </c>
      <c r="S717" s="4">
        <v>0.0</v>
      </c>
      <c r="T717" s="4">
        <v>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0.0</v>
      </c>
      <c r="AB717" s="4">
        <v>0.0</v>
      </c>
      <c r="AC717" s="4">
        <v>0.0</v>
      </c>
      <c r="AD717" s="6" t="s">
        <v>268</v>
      </c>
      <c r="AE717" s="6" t="s">
        <v>9</v>
      </c>
    </row>
    <row r="718" ht="16.5" customHeight="1">
      <c r="A718" s="2" t="str">
        <f>IFERROR(__xludf.DUMMYFUNCTION("""COMPUTED_VALUE"""),"3188-JUNEPHGC")</f>
        <v>3188-JUNEPHGC</v>
      </c>
      <c r="B718" s="2" t="str">
        <f>IFERROR(__xludf.DUMMYFUNCTION("""COMPUTED_VALUE"""),"Obligaciones en materia de gestión y disposición de residuos")</f>
        <v>Obligaciones en materia de gestión y disposición de residuos</v>
      </c>
      <c r="C718" s="3">
        <f>IFERROR(__xludf.DUMMYFUNCTION("""COMPUTED_VALUE"""),46184.0)</f>
        <v>46184</v>
      </c>
      <c r="D718" s="3">
        <f>IFERROR(__xludf.DUMMYFUNCTION("""COMPUTED_VALUE"""),46185.0)</f>
        <v>46185</v>
      </c>
      <c r="E718" s="2" t="str">
        <f>IFERROR(__xludf.DUMMYFUNCTION("""COMPUTED_VALUE"""),"M2")</f>
        <v>M2</v>
      </c>
      <c r="F718" s="2" t="str">
        <f>IFERROR(__xludf.DUMMYFUNCTION("""COMPUTED_VALUE"""),"Espacio Público e Higiene Urbana")</f>
        <v>Espacio Público e Higiene Urbana</v>
      </c>
      <c r="G718" s="2" t="str">
        <f>IFERROR(__xludf.DUMMYFUNCTION("""COMPUTED_VALUE"""),"Finalizada")</f>
        <v>Finalizada</v>
      </c>
      <c r="H718" s="4">
        <v>0.0</v>
      </c>
      <c r="I718" s="4">
        <v>0.0</v>
      </c>
      <c r="J718" s="4">
        <v>0.0</v>
      </c>
      <c r="K718" s="4">
        <v>0.0</v>
      </c>
      <c r="L718" s="5">
        <v>0.0</v>
      </c>
      <c r="M718" s="5">
        <v>0.0</v>
      </c>
      <c r="N718" s="4">
        <v>6283.0</v>
      </c>
      <c r="O718" s="4">
        <v>6260.0</v>
      </c>
      <c r="P718" s="4">
        <v>2912.0</v>
      </c>
      <c r="Q718" s="4">
        <v>22.0</v>
      </c>
      <c r="R718" s="4">
        <v>0.0</v>
      </c>
      <c r="S718" s="4">
        <v>0.0</v>
      </c>
      <c r="T718" s="4">
        <v>0.0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0.0</v>
      </c>
      <c r="AB718" s="4">
        <v>0.0</v>
      </c>
      <c r="AC718" s="4">
        <v>0.0</v>
      </c>
      <c r="AD718" s="4" t="s">
        <v>8</v>
      </c>
      <c r="AE718" s="6" t="s">
        <v>9</v>
      </c>
    </row>
    <row r="719" ht="16.5" customHeight="1">
      <c r="A719" s="2" t="str">
        <f>IFERROR(__xludf.DUMMYFUNCTION("""COMPUTED_VALUE"""),"3189-JUNSALVC")</f>
        <v>3189-JUNSALVC</v>
      </c>
      <c r="B719" s="2" t="str">
        <f>IFERROR(__xludf.DUMMYFUNCTION("""COMPUTED_VALUE"""),"RDV Ministros | Fernán Quirós - 16/6 - Comuna 15")</f>
        <v>RDV Ministros | Fernán Quirós - 16/6 - Comuna 15</v>
      </c>
      <c r="C719" s="3">
        <f>IFERROR(__xludf.DUMMYFUNCTION("""COMPUTED_VALUE"""),46184.0)</f>
        <v>46184</v>
      </c>
      <c r="D719" s="3">
        <f>IFERROR(__xludf.DUMMYFUNCTION("""COMPUTED_VALUE"""),46191.0)</f>
        <v>46191</v>
      </c>
      <c r="E719" s="2" t="str">
        <f>IFERROR(__xludf.DUMMYFUNCTION("""COMPUTED_VALUE"""),"Cercanía")</f>
        <v>Cercanía</v>
      </c>
      <c r="F719" s="2" t="str">
        <f>IFERROR(__xludf.DUMMYFUNCTION("""COMPUTED_VALUE"""),"Salud")</f>
        <v>Salud</v>
      </c>
      <c r="G719" s="2" t="str">
        <f>IFERROR(__xludf.DUMMYFUNCTION("""COMPUTED_VALUE"""),"Finalizada")</f>
        <v>Finalizada</v>
      </c>
      <c r="H719" s="4">
        <v>142254.0</v>
      </c>
      <c r="I719" s="4">
        <v>0.0</v>
      </c>
      <c r="J719" s="4">
        <v>484.0</v>
      </c>
      <c r="K719" s="4">
        <v>89654.0</v>
      </c>
      <c r="L719" s="5">
        <v>1.5866999799228143</v>
      </c>
      <c r="M719" s="5">
        <v>1.5866999799228143</v>
      </c>
      <c r="N719" s="4">
        <v>82761.0</v>
      </c>
      <c r="O719" s="4">
        <v>81830.0</v>
      </c>
      <c r="P719" s="4">
        <v>12766.0</v>
      </c>
      <c r="Q719" s="4">
        <v>230.0</v>
      </c>
      <c r="R719" s="4">
        <v>110.0</v>
      </c>
      <c r="S719" s="4">
        <v>110.0</v>
      </c>
      <c r="T719" s="4">
        <v>39.0</v>
      </c>
      <c r="U719" s="4">
        <v>36.0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0.0</v>
      </c>
      <c r="AB719" s="4">
        <v>0.0</v>
      </c>
      <c r="AC719" s="4">
        <v>0.0</v>
      </c>
      <c r="AD719" s="6" t="s">
        <v>269</v>
      </c>
      <c r="AE719" s="6" t="s">
        <v>9</v>
      </c>
    </row>
    <row r="720" ht="16.5" customHeight="1">
      <c r="A720" s="2" t="str">
        <f>IFERROR(__xludf.DUMMYFUNCTION("""COMPUTED_VALUE"""),"3190-JUNAMBVC")</f>
        <v>3190-JUNAMBVC</v>
      </c>
      <c r="B720" s="2" t="str">
        <f>IFERROR(__xludf.DUMMYFUNCTION("""COMPUTED_VALUE"""),"RDV Ministros | Clara Muzzio - 17/6 - Colegiales")</f>
        <v>RDV Ministros | Clara Muzzio - 17/6 - Colegiales</v>
      </c>
      <c r="C720" s="3">
        <f>IFERROR(__xludf.DUMMYFUNCTION("""COMPUTED_VALUE"""),46184.0)</f>
        <v>46184</v>
      </c>
      <c r="D720" s="3">
        <f>IFERROR(__xludf.DUMMYFUNCTION("""COMPUTED_VALUE"""),46192.0)</f>
        <v>46192</v>
      </c>
      <c r="E720" s="2" t="str">
        <f>IFERROR(__xludf.DUMMYFUNCTION("""COMPUTED_VALUE"""),"Cercanía")</f>
        <v>Cercanía</v>
      </c>
      <c r="F720" s="2" t="str">
        <f>IFERROR(__xludf.DUMMYFUNCTION("""COMPUTED_VALUE"""),"Vicejefatura (Ambiente)")</f>
        <v>Vicejefatura (Ambiente)</v>
      </c>
      <c r="G720" s="2" t="str">
        <f>IFERROR(__xludf.DUMMYFUNCTION("""COMPUTED_VALUE"""),"Finalizada")</f>
        <v>Finalizada</v>
      </c>
      <c r="H720" s="4">
        <v>165767.0</v>
      </c>
      <c r="I720" s="4">
        <v>0.0</v>
      </c>
      <c r="J720" s="4">
        <v>496.0</v>
      </c>
      <c r="K720" s="4">
        <v>99724.0</v>
      </c>
      <c r="L720" s="5">
        <v>1.662257831615258</v>
      </c>
      <c r="M720" s="5">
        <v>1.662257831615258</v>
      </c>
      <c r="N720" s="4">
        <v>22583.0</v>
      </c>
      <c r="O720" s="4">
        <v>22466.0</v>
      </c>
      <c r="P720" s="4">
        <v>4798.0</v>
      </c>
      <c r="Q720" s="4">
        <v>134.0</v>
      </c>
      <c r="R720" s="4">
        <v>0.0</v>
      </c>
      <c r="S720" s="4">
        <v>0.0</v>
      </c>
      <c r="T720" s="4">
        <v>0.0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0.0</v>
      </c>
      <c r="AB720" s="4">
        <v>0.0</v>
      </c>
      <c r="AC720" s="4">
        <v>0.0</v>
      </c>
      <c r="AD720" s="6" t="s">
        <v>270</v>
      </c>
      <c r="AE720" s="6" t="s">
        <v>9</v>
      </c>
    </row>
    <row r="721" ht="16.5" customHeight="1">
      <c r="A721" s="2" t="str">
        <f>IFERROR(__xludf.DUMMYFUNCTION("""COMPUTED_VALUE"""),"3192-JUNSEGVC")</f>
        <v>3192-JUNSEGVC</v>
      </c>
      <c r="B721" s="2" t="str">
        <f>IFERROR(__xludf.DUMMYFUNCTION("""COMPUTED_VALUE"""),"RDV Ministros | Maximiliano Piñeiro 18/6 - Comuna 8")</f>
        <v>RDV Ministros | Maximiliano Piñeiro 18/6 - Comuna 8</v>
      </c>
      <c r="C721" s="3">
        <f>IFERROR(__xludf.DUMMYFUNCTION("""COMPUTED_VALUE"""),46188.0)</f>
        <v>46188</v>
      </c>
      <c r="D721" s="3">
        <f>IFERROR(__xludf.DUMMYFUNCTION("""COMPUTED_VALUE"""),46192.0)</f>
        <v>46192</v>
      </c>
      <c r="E721" s="2" t="str">
        <f>IFERROR(__xludf.DUMMYFUNCTION("""COMPUTED_VALUE"""),"Cercanía")</f>
        <v>Cercanía</v>
      </c>
      <c r="F721" s="2" t="str">
        <f>IFERROR(__xludf.DUMMYFUNCTION("""COMPUTED_VALUE"""),"Seguridad")</f>
        <v>Seguridad</v>
      </c>
      <c r="G721" s="2" t="str">
        <f>IFERROR(__xludf.DUMMYFUNCTION("""COMPUTED_VALUE"""),"Finalizada")</f>
        <v>Finalizada</v>
      </c>
      <c r="H721" s="4">
        <v>136984.0</v>
      </c>
      <c r="I721" s="4">
        <v>0.0</v>
      </c>
      <c r="J721" s="4">
        <v>563.0</v>
      </c>
      <c r="K721" s="4">
        <v>82599.0</v>
      </c>
      <c r="L721" s="5">
        <v>1.658422014794368</v>
      </c>
      <c r="M721" s="5">
        <v>1.658422014794368</v>
      </c>
      <c r="N721" s="4">
        <v>62238.0</v>
      </c>
      <c r="O721" s="4">
        <v>60895.0</v>
      </c>
      <c r="P721" s="4">
        <v>7251.0</v>
      </c>
      <c r="Q721" s="4">
        <v>119.0</v>
      </c>
      <c r="R721" s="4">
        <v>86.0</v>
      </c>
      <c r="S721" s="4">
        <v>86.0</v>
      </c>
      <c r="T721" s="4">
        <v>26.0</v>
      </c>
      <c r="U721" s="4">
        <v>26.0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0.0</v>
      </c>
      <c r="AB721" s="4">
        <v>0.0</v>
      </c>
      <c r="AC721" s="4">
        <v>0.0</v>
      </c>
      <c r="AD721" s="6" t="s">
        <v>271</v>
      </c>
      <c r="AE721" s="6" t="s">
        <v>9</v>
      </c>
    </row>
    <row r="722" ht="16.5" customHeight="1">
      <c r="A722" s="2" t="str">
        <f>IFERROR(__xludf.DUMMYFUNCTION("""COMPUTED_VALUE"""),"3193-JUNSEGVC")</f>
        <v>3193-JUNSEGVC</v>
      </c>
      <c r="B722" s="2" t="str">
        <f>IFERROR(__xludf.DUMMYFUNCTION("""COMPUTED_VALUE"""),"RDV Ministros | Horacio Giménez 18/6 - Comuna 9")</f>
        <v>RDV Ministros | Horacio Giménez 18/6 - Comuna 9</v>
      </c>
      <c r="C722" s="3">
        <f>IFERROR(__xludf.DUMMYFUNCTION("""COMPUTED_VALUE"""),46185.0)</f>
        <v>46185</v>
      </c>
      <c r="D722" s="3">
        <f>IFERROR(__xludf.DUMMYFUNCTION("""COMPUTED_VALUE"""),46192.0)</f>
        <v>46192</v>
      </c>
      <c r="E722" s="2" t="str">
        <f>IFERROR(__xludf.DUMMYFUNCTION("""COMPUTED_VALUE"""),"Cercanía")</f>
        <v>Cercanía</v>
      </c>
      <c r="F722" s="2" t="str">
        <f>IFERROR(__xludf.DUMMYFUNCTION("""COMPUTED_VALUE"""),"Seguridad")</f>
        <v>Seguridad</v>
      </c>
      <c r="G722" s="2" t="str">
        <f>IFERROR(__xludf.DUMMYFUNCTION("""COMPUTED_VALUE"""),"Finalizada")</f>
        <v>Finalizada</v>
      </c>
      <c r="H722" s="4">
        <v>190110.0</v>
      </c>
      <c r="I722" s="4">
        <v>0.0</v>
      </c>
      <c r="J722" s="4">
        <v>647.0</v>
      </c>
      <c r="K722" s="4">
        <v>121792.0</v>
      </c>
      <c r="L722" s="5">
        <v>1.5609399632159748</v>
      </c>
      <c r="M722" s="5">
        <v>1.5609399632159748</v>
      </c>
      <c r="N722" s="4">
        <v>68362.0</v>
      </c>
      <c r="O722" s="4">
        <v>67361.0</v>
      </c>
      <c r="P722" s="4">
        <v>10376.0</v>
      </c>
      <c r="Q722" s="4">
        <v>170.0</v>
      </c>
      <c r="R722" s="4">
        <v>106.0</v>
      </c>
      <c r="S722" s="4">
        <v>106.0</v>
      </c>
      <c r="T722" s="4">
        <v>38.0</v>
      </c>
      <c r="U722" s="4">
        <v>36.0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0.0</v>
      </c>
      <c r="AB722" s="4">
        <v>0.0</v>
      </c>
      <c r="AC722" s="4">
        <v>0.0</v>
      </c>
      <c r="AD722" s="6" t="s">
        <v>272</v>
      </c>
      <c r="AE722" s="6" t="s">
        <v>9</v>
      </c>
    </row>
    <row r="723" ht="16.5" customHeight="1">
      <c r="A723" s="2" t="str">
        <f>IFERROR(__xludf.DUMMYFUNCTION("""COMPUTED_VALUE"""),"3194-JUNSEGVC")</f>
        <v>3194-JUNSEGVC</v>
      </c>
      <c r="B723" s="2" t="str">
        <f>IFERROR(__xludf.DUMMYFUNCTION("""COMPUTED_VALUE"""),"RDV Ministros | Ruth Landerreche 18/6 - Comuna 10")</f>
        <v>RDV Ministros | Ruth Landerreche 18/6 - Comuna 10</v>
      </c>
      <c r="C723" s="3">
        <f>IFERROR(__xludf.DUMMYFUNCTION("""COMPUTED_VALUE"""),46185.0)</f>
        <v>46185</v>
      </c>
      <c r="D723" s="3">
        <f>IFERROR(__xludf.DUMMYFUNCTION("""COMPUTED_VALUE"""),46192.0)</f>
        <v>46192</v>
      </c>
      <c r="E723" s="2" t="str">
        <f>IFERROR(__xludf.DUMMYFUNCTION("""COMPUTED_VALUE"""),"Cercanía")</f>
        <v>Cercanía</v>
      </c>
      <c r="F723" s="2" t="str">
        <f>IFERROR(__xludf.DUMMYFUNCTION("""COMPUTED_VALUE"""),"Seguridad")</f>
        <v>Seguridad</v>
      </c>
      <c r="G723" s="2" t="str">
        <f>IFERROR(__xludf.DUMMYFUNCTION("""COMPUTED_VALUE"""),"Finalizada")</f>
        <v>Finalizada</v>
      </c>
      <c r="H723" s="4">
        <v>142938.0</v>
      </c>
      <c r="I723" s="4">
        <v>0.0</v>
      </c>
      <c r="J723" s="4">
        <v>589.0</v>
      </c>
      <c r="K723" s="4">
        <v>85447.0</v>
      </c>
      <c r="L723" s="5">
        <v>1.672826430418856</v>
      </c>
      <c r="M723" s="5">
        <v>1.672826430418856</v>
      </c>
      <c r="N723" s="4">
        <v>145104.0</v>
      </c>
      <c r="O723" s="4">
        <v>143531.0</v>
      </c>
      <c r="P723" s="4">
        <v>25337.0</v>
      </c>
      <c r="Q723" s="4">
        <v>373.0</v>
      </c>
      <c r="R723" s="4">
        <v>94.0</v>
      </c>
      <c r="S723" s="4">
        <v>94.0</v>
      </c>
      <c r="T723" s="4">
        <v>35.0</v>
      </c>
      <c r="U723" s="4">
        <v>33.0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0.0</v>
      </c>
      <c r="AB723" s="4">
        <v>0.0</v>
      </c>
      <c r="AC723" s="4">
        <v>0.0</v>
      </c>
      <c r="AD723" s="6" t="s">
        <v>273</v>
      </c>
      <c r="AE723" s="6" t="s">
        <v>9</v>
      </c>
    </row>
    <row r="724" ht="16.5" customHeight="1">
      <c r="A724" s="2" t="str">
        <f>IFERROR(__xludf.DUMMYFUNCTION("""COMPUTED_VALUE"""),"3195-JUNSEGVC")</f>
        <v>3195-JUNSEGVC</v>
      </c>
      <c r="B724" s="2" t="str">
        <f>IFERROR(__xludf.DUMMYFUNCTION("""COMPUTED_VALUE"""),"RDV Ministros | Gabino Tapia 18/6 - Comuna 11")</f>
        <v>RDV Ministros | Gabino Tapia 18/6 - Comuna 11</v>
      </c>
      <c r="C724" s="3">
        <f>IFERROR(__xludf.DUMMYFUNCTION("""COMPUTED_VALUE"""),46185.0)</f>
        <v>46185</v>
      </c>
      <c r="D724" s="3">
        <f>IFERROR(__xludf.DUMMYFUNCTION("""COMPUTED_VALUE"""),46195.0)</f>
        <v>46195</v>
      </c>
      <c r="E724" s="2" t="str">
        <f>IFERROR(__xludf.DUMMYFUNCTION("""COMPUTED_VALUE"""),"Cercanía")</f>
        <v>Cercanía</v>
      </c>
      <c r="F724" s="2" t="str">
        <f>IFERROR(__xludf.DUMMYFUNCTION("""COMPUTED_VALUE"""),"Seguridad")</f>
        <v>Seguridad</v>
      </c>
      <c r="G724" s="2" t="str">
        <f>IFERROR(__xludf.DUMMYFUNCTION("""COMPUTED_VALUE"""),"Finalizada")</f>
        <v>Finalizada</v>
      </c>
      <c r="H724" s="4">
        <v>193359.0</v>
      </c>
      <c r="I724" s="4">
        <v>0.0</v>
      </c>
      <c r="J724" s="4">
        <v>635.0</v>
      </c>
      <c r="K724" s="4">
        <v>129756.0</v>
      </c>
      <c r="L724" s="5">
        <v>1.4901738647923795</v>
      </c>
      <c r="M724" s="5">
        <v>1.4901738647923795</v>
      </c>
      <c r="N724" s="4">
        <v>15323.0</v>
      </c>
      <c r="O724" s="4">
        <v>15288.0</v>
      </c>
      <c r="P724" s="4">
        <v>9388.0</v>
      </c>
      <c r="Q724" s="4">
        <v>100.0</v>
      </c>
      <c r="R724" s="4">
        <v>130.0</v>
      </c>
      <c r="S724" s="4">
        <v>130.0</v>
      </c>
      <c r="T724" s="4">
        <v>43.0</v>
      </c>
      <c r="U724" s="4">
        <v>43.0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0.0</v>
      </c>
      <c r="AB724" s="4">
        <v>0.0</v>
      </c>
      <c r="AC724" s="4">
        <v>0.0</v>
      </c>
      <c r="AD724" s="6" t="s">
        <v>274</v>
      </c>
      <c r="AE724" s="6" t="s">
        <v>9</v>
      </c>
    </row>
    <row r="725" ht="16.5" customHeight="1">
      <c r="A725" s="2" t="str">
        <f>IFERROR(__xludf.DUMMYFUNCTION("""COMPUTED_VALUE"""),"3196-JUNINFVC")</f>
        <v>3196-JUNINFVC</v>
      </c>
      <c r="B725" s="2" t="str">
        <f>IFERROR(__xludf.DUMMYFUNCTION("""COMPUTED_VALUE"""),"RDV Ministros | Pablo Bereciartua - 17/6 - Comuna 4")</f>
        <v>RDV Ministros | Pablo Bereciartua - 17/6 - Comuna 4</v>
      </c>
      <c r="C725" s="3">
        <f>IFERROR(__xludf.DUMMYFUNCTION("""COMPUTED_VALUE"""),46184.0)</f>
        <v>46184</v>
      </c>
      <c r="D725" s="3">
        <f>IFERROR(__xludf.DUMMYFUNCTION("""COMPUTED_VALUE"""),46191.0)</f>
        <v>46191</v>
      </c>
      <c r="E725" s="2" t="str">
        <f>IFERROR(__xludf.DUMMYFUNCTION("""COMPUTED_VALUE"""),"Cercanía")</f>
        <v>Cercanía</v>
      </c>
      <c r="F725" s="2" t="str">
        <f>IFERROR(__xludf.DUMMYFUNCTION("""COMPUTED_VALUE"""),"Infraestructura")</f>
        <v>Infraestructura</v>
      </c>
      <c r="G725" s="2" t="str">
        <f>IFERROR(__xludf.DUMMYFUNCTION("""COMPUTED_VALUE"""),"Finalizada")</f>
        <v>Finalizada</v>
      </c>
      <c r="H725" s="4">
        <v>201896.0</v>
      </c>
      <c r="I725" s="4">
        <v>0.0</v>
      </c>
      <c r="J725" s="4">
        <v>693.0</v>
      </c>
      <c r="K725" s="4">
        <v>117566.0</v>
      </c>
      <c r="L725" s="5">
        <v>1.7172992191620027</v>
      </c>
      <c r="M725" s="5">
        <v>1.7172992191620027</v>
      </c>
      <c r="N725" s="4">
        <v>79836.0</v>
      </c>
      <c r="O725" s="4">
        <v>78491.0</v>
      </c>
      <c r="P725" s="4">
        <v>10632.0</v>
      </c>
      <c r="Q725" s="4">
        <v>198.0</v>
      </c>
      <c r="R725" s="4">
        <v>139.0</v>
      </c>
      <c r="S725" s="4">
        <v>139.0</v>
      </c>
      <c r="T725" s="4">
        <v>50.0</v>
      </c>
      <c r="U725" s="4">
        <v>47.0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0.0</v>
      </c>
      <c r="AB725" s="4">
        <v>0.0</v>
      </c>
      <c r="AC725" s="4">
        <v>0.0</v>
      </c>
      <c r="AD725" s="6" t="s">
        <v>275</v>
      </c>
      <c r="AE725" s="6" t="s">
        <v>9</v>
      </c>
    </row>
    <row r="726" ht="16.5" customHeight="1">
      <c r="A726" s="2" t="str">
        <f>IFERROR(__xludf.DUMMYFUNCTION("""COMPUTED_VALUE"""),"3197-JUNJUSGC")</f>
        <v>3197-JUNJUSGC</v>
      </c>
      <c r="B726" s="2" t="str">
        <f>IFERROR(__xludf.DUMMYFUNCTION("""COMPUTED_VALUE"""),"INSCRIPCIONES SERVICIO PENITENCIARIO")</f>
        <v>INSCRIPCIONES SERVICIO PENITENCIARIO</v>
      </c>
      <c r="C726" s="3">
        <f>IFERROR(__xludf.DUMMYFUNCTION("""COMPUTED_VALUE"""),46191.0)</f>
        <v>46191</v>
      </c>
      <c r="D726" s="3">
        <f>IFERROR(__xludf.DUMMYFUNCTION("""COMPUTED_VALUE"""),46251.0)</f>
        <v>46251</v>
      </c>
      <c r="E726" s="2" t="str">
        <f>IFERROR(__xludf.DUMMYFUNCTION("""COMPUTED_VALUE"""),"M2")</f>
        <v>M2</v>
      </c>
      <c r="F726" s="2" t="str">
        <f>IFERROR(__xludf.DUMMYFUNCTION("""COMPUTED_VALUE"""),"Justicia")</f>
        <v>Justicia</v>
      </c>
      <c r="G726" s="2" t="str">
        <f>IFERROR(__xludf.DUMMYFUNCTION("""COMPUTED_VALUE"""),"Activa")</f>
        <v>Activa</v>
      </c>
      <c r="H726" s="4">
        <v>3.6562361E7</v>
      </c>
      <c r="I726" s="4">
        <v>0.0</v>
      </c>
      <c r="J726" s="4">
        <v>195701.0</v>
      </c>
      <c r="K726" s="4">
        <v>1368524.0</v>
      </c>
      <c r="L726" s="5">
        <v>4.264968681586877</v>
      </c>
      <c r="M726" s="5">
        <v>26.71663850981057</v>
      </c>
      <c r="N726" s="4">
        <v>188862.0</v>
      </c>
      <c r="O726" s="4">
        <v>183604.0</v>
      </c>
      <c r="P726" s="4">
        <v>38439.0</v>
      </c>
      <c r="Q726" s="4">
        <v>1585.0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0.0</v>
      </c>
      <c r="AB726" s="4">
        <v>0.0</v>
      </c>
      <c r="AC726" s="4">
        <v>0.0</v>
      </c>
      <c r="AD726" s="6" t="s">
        <v>276</v>
      </c>
      <c r="AE726" s="6" t="s">
        <v>9</v>
      </c>
    </row>
    <row r="727" ht="16.5" customHeight="1">
      <c r="A727" s="2" t="str">
        <f>IFERROR(__xludf.DUMMYFUNCTION("""COMPUTED_VALUE"""),"3199-JUNDUDGC")</f>
        <v>3199-JUNDUDGC</v>
      </c>
      <c r="B727" s="2" t="str">
        <f>IFERROR(__xludf.DUMMYFUNCTION("""COMPUTED_VALUE"""),"Sorteo entradas GCBA | 9k Carrera de la independencia")</f>
        <v>Sorteo entradas GCBA | 9k Carrera de la independencia</v>
      </c>
      <c r="C727" s="3">
        <f>IFERROR(__xludf.DUMMYFUNCTION("""COMPUTED_VALUE"""),46196.0)</f>
        <v>46196</v>
      </c>
      <c r="D727" s="3">
        <f>IFERROR(__xludf.DUMMYFUNCTION("""COMPUTED_VALUE"""),46206.0)</f>
        <v>46206</v>
      </c>
      <c r="E727" s="2" t="str">
        <f>IFERROR(__xludf.DUMMYFUNCTION("""COMPUTED_VALUE"""),"Ciudad Atractiva")</f>
        <v>Ciudad Atractiva</v>
      </c>
      <c r="F727" s="2" t="str">
        <f>IFERROR(__xludf.DUMMYFUNCTION("""COMPUTED_VALUE"""),"Desarrollo Urbano + Deportes")</f>
        <v>Desarrollo Urbano + Deportes</v>
      </c>
      <c r="G727" s="2" t="str">
        <f>IFERROR(__xludf.DUMMYFUNCTION("""COMPUTED_VALUE"""),"Finalizada")</f>
        <v>Finalizada</v>
      </c>
      <c r="H727" s="4">
        <v>824182.0</v>
      </c>
      <c r="I727" s="4">
        <v>0.0</v>
      </c>
      <c r="J727" s="4">
        <v>25742.0</v>
      </c>
      <c r="K727" s="4">
        <v>88571.0</v>
      </c>
      <c r="L727" s="5">
        <v>2.642670851633153</v>
      </c>
      <c r="M727" s="5">
        <v>9.305325670930666</v>
      </c>
      <c r="N727" s="4">
        <v>130438.0</v>
      </c>
      <c r="O727" s="4">
        <v>130019.0</v>
      </c>
      <c r="P727" s="4">
        <v>74342.0</v>
      </c>
      <c r="Q727" s="4">
        <v>3749.0</v>
      </c>
      <c r="R727" s="4">
        <v>0.0</v>
      </c>
      <c r="S727" s="4">
        <v>0.0</v>
      </c>
      <c r="T727" s="4">
        <v>0.0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0.0</v>
      </c>
      <c r="AB727" s="4">
        <v>0.0</v>
      </c>
      <c r="AC727" s="4">
        <v>0.0</v>
      </c>
      <c r="AD727" s="6" t="s">
        <v>277</v>
      </c>
      <c r="AE727" s="6" t="s">
        <v>9</v>
      </c>
    </row>
    <row r="728" ht="16.5" customHeight="1">
      <c r="A728" s="2" t="str">
        <f>IFERROR(__xludf.DUMMYFUNCTION("""COMPUTED_VALUE"""),"3200-JUNJUSGC")</f>
        <v>3200-JUNJUSGC</v>
      </c>
      <c r="B728" s="2" t="str">
        <f>IFERROR(__xludf.DUMMYFUNCTION("""COMPUTED_VALUE"""),"Audiencias virtuales dgai")</f>
        <v>Audiencias virtuales dgai</v>
      </c>
      <c r="C728" s="3">
        <f>IFERROR(__xludf.DUMMYFUNCTION("""COMPUTED_VALUE"""),46200.0)</f>
        <v>46200</v>
      </c>
      <c r="D728" s="3">
        <f>IFERROR(__xludf.DUMMYFUNCTION("""COMPUTED_VALUE"""),46200.0)</f>
        <v>46200</v>
      </c>
      <c r="E728" s="2" t="str">
        <f>IFERROR(__xludf.DUMMYFUNCTION("""COMPUTED_VALUE"""),"Reforma del Estado")</f>
        <v>Reforma del Estado</v>
      </c>
      <c r="F728" s="2" t="str">
        <f>IFERROR(__xludf.DUMMYFUNCTION("""COMPUTED_VALUE"""),"Justicia")</f>
        <v>Justicia</v>
      </c>
      <c r="G728" s="2" t="str">
        <f>IFERROR(__xludf.DUMMYFUNCTION("""COMPUTED_VALUE"""),"Finalizada")</f>
        <v>Finalizada</v>
      </c>
      <c r="H728" s="4">
        <v>0.0</v>
      </c>
      <c r="I728" s="4">
        <v>0.0</v>
      </c>
      <c r="J728" s="4">
        <v>0.0</v>
      </c>
      <c r="K728" s="4">
        <v>0.0</v>
      </c>
      <c r="L728" s="5">
        <v>0.0</v>
      </c>
      <c r="M728" s="5">
        <v>0.0</v>
      </c>
      <c r="N728" s="4">
        <v>200928.0</v>
      </c>
      <c r="O728" s="4">
        <v>200041.0</v>
      </c>
      <c r="P728" s="4">
        <v>101906.0</v>
      </c>
      <c r="Q728" s="4">
        <v>3116.0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0.0</v>
      </c>
      <c r="AB728" s="4">
        <v>0.0</v>
      </c>
      <c r="AC728" s="4">
        <v>0.0</v>
      </c>
      <c r="AD728" s="4" t="s">
        <v>8</v>
      </c>
      <c r="AE728" s="6" t="s">
        <v>9</v>
      </c>
    </row>
    <row r="729" ht="16.5" customHeight="1">
      <c r="A729" s="2" t="str">
        <f>IFERROR(__xludf.DUMMYFUNCTION("""COMPUTED_VALUE"""),"3201-JUNJDGAG")</f>
        <v>3201-JUNJDGAG</v>
      </c>
      <c r="B729" s="2" t="str">
        <f>IFERROR(__xludf.DUMMYFUNCTION("""COMPUTED_VALUE"""),"RDV JM MATADEROS 18/6")</f>
        <v>RDV JM MATADEROS 18/6</v>
      </c>
      <c r="C729" s="3">
        <f>IFERROR(__xludf.DUMMYFUNCTION("""COMPUTED_VALUE"""),46185.0)</f>
        <v>46185</v>
      </c>
      <c r="D729" s="3">
        <f>IFERROR(__xludf.DUMMYFUNCTION("""COMPUTED_VALUE"""),46206.0)</f>
        <v>46206</v>
      </c>
      <c r="E729" s="2" t="str">
        <f>IFERROR(__xludf.DUMMYFUNCTION("""COMPUTED_VALUE"""),"Cercanía")</f>
        <v>Cercanía</v>
      </c>
      <c r="F729" s="2" t="str">
        <f>IFERROR(__xludf.DUMMYFUNCTION("""COMPUTED_VALUE"""),"Jefatura de Gobierno")</f>
        <v>Jefatura de Gobierno</v>
      </c>
      <c r="G729" s="2" t="str">
        <f>IFERROR(__xludf.DUMMYFUNCTION("""COMPUTED_VALUE"""),"Finalizada")</f>
        <v>Finalizada</v>
      </c>
      <c r="H729" s="4">
        <v>2291760.0</v>
      </c>
      <c r="I729" s="4">
        <v>1276907.0</v>
      </c>
      <c r="J729" s="4">
        <v>20809.0</v>
      </c>
      <c r="K729" s="4">
        <v>20876.0</v>
      </c>
      <c r="L729" s="5">
        <v>9.371000191607587</v>
      </c>
      <c r="M729" s="5">
        <v>109.77965127419046</v>
      </c>
      <c r="N729" s="4">
        <v>33841.0</v>
      </c>
      <c r="O729" s="4">
        <v>33425.0</v>
      </c>
      <c r="P729" s="4">
        <v>5435.0</v>
      </c>
      <c r="Q729" s="4">
        <v>172.0</v>
      </c>
      <c r="R729" s="4">
        <v>0.0</v>
      </c>
      <c r="S729" s="4">
        <v>0.0</v>
      </c>
      <c r="T729" s="4">
        <v>0.0</v>
      </c>
      <c r="U729" s="4">
        <v>0.0</v>
      </c>
      <c r="V729" s="4">
        <v>18293.0</v>
      </c>
      <c r="W729" s="4">
        <v>18293.0</v>
      </c>
      <c r="X729" s="4">
        <v>16883.0</v>
      </c>
      <c r="Y729" s="4">
        <v>7555.0</v>
      </c>
      <c r="Z729" s="4">
        <v>59.0</v>
      </c>
      <c r="AA729" s="4">
        <v>0.0</v>
      </c>
      <c r="AB729" s="4">
        <v>0.0</v>
      </c>
      <c r="AC729" s="4">
        <v>0.0</v>
      </c>
      <c r="AD729" s="6" t="s">
        <v>278</v>
      </c>
      <c r="AE729" s="6" t="s">
        <v>9</v>
      </c>
    </row>
    <row r="730" ht="16.5" customHeight="1">
      <c r="A730" s="2" t="str">
        <f>IFERROR(__xludf.DUMMYFUNCTION("""COMPUTED_VALUE"""),"3202-JUNJDGAG")</f>
        <v>3202-JUNJDGAG</v>
      </c>
      <c r="B730" s="2" t="str">
        <f>IFERROR(__xludf.DUMMYFUNCTION("""COMPUTED_VALUE"""),"1 A 1 JM | COMUNA 5 17/06")</f>
        <v>1 A 1 JM | COMUNA 5 17/06</v>
      </c>
      <c r="C730" s="3">
        <f>IFERROR(__xludf.DUMMYFUNCTION("""COMPUTED_VALUE"""),46185.0)</f>
        <v>46185</v>
      </c>
      <c r="D730" s="3">
        <f>IFERROR(__xludf.DUMMYFUNCTION("""COMPUTED_VALUE"""),46202.0)</f>
        <v>46202</v>
      </c>
      <c r="E730" s="2" t="str">
        <f>IFERROR(__xludf.DUMMYFUNCTION("""COMPUTED_VALUE"""),"Cercanía")</f>
        <v>Cercanía</v>
      </c>
      <c r="F730" s="2" t="str">
        <f>IFERROR(__xludf.DUMMYFUNCTION("""COMPUTED_VALUE"""),"Jefatura de Gobierno")</f>
        <v>Jefatura de Gobierno</v>
      </c>
      <c r="G730" s="2" t="str">
        <f>IFERROR(__xludf.DUMMYFUNCTION("""COMPUTED_VALUE"""),"Finalizada")</f>
        <v>Finalizada</v>
      </c>
      <c r="H730" s="4">
        <v>2022985.0</v>
      </c>
      <c r="I730" s="4">
        <v>1132973.0</v>
      </c>
      <c r="J730" s="4">
        <v>2726.0</v>
      </c>
      <c r="K730" s="4">
        <v>15734.0</v>
      </c>
      <c r="L730" s="5">
        <v>29.411974068895386</v>
      </c>
      <c r="M730" s="5">
        <v>128.57410702936318</v>
      </c>
      <c r="N730" s="4">
        <v>0.0</v>
      </c>
      <c r="O730" s="4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0.0</v>
      </c>
      <c r="AB730" s="4">
        <v>0.0</v>
      </c>
      <c r="AC730" s="4">
        <v>0.0</v>
      </c>
      <c r="AD730" s="6" t="s">
        <v>279</v>
      </c>
      <c r="AE730" s="4" t="s">
        <v>8</v>
      </c>
    </row>
    <row r="731" ht="16.5" customHeight="1">
      <c r="A731" s="2" t="str">
        <f>IFERROR(__xludf.DUMMYFUNCTION("""COMPUTED_VALUE"""),"3203-JUNTURGC")</f>
        <v>3203-JUNTURGC</v>
      </c>
      <c r="B731" s="2" t="str">
        <f>IFERROR(__xludf.DUMMYFUNCTION("""COMPUTED_VALUE"""),"Público Final | Vacaciones de invierno")</f>
        <v>Público Final | Vacaciones de invierno</v>
      </c>
      <c r="C731" s="3">
        <f>IFERROR(__xludf.DUMMYFUNCTION("""COMPUTED_VALUE"""),46190.0)</f>
        <v>46190</v>
      </c>
      <c r="D731" s="3">
        <f>IFERROR(__xludf.DUMMYFUNCTION("""COMPUTED_VALUE"""),46190.0)</f>
        <v>46190</v>
      </c>
      <c r="E731" s="2" t="str">
        <f>IFERROR(__xludf.DUMMYFUNCTION("""COMPUTED_VALUE"""),"Ciudad Atractiva")</f>
        <v>Ciudad Atractiva</v>
      </c>
      <c r="F731" s="2" t="str">
        <f>IFERROR(__xludf.DUMMYFUNCTION("""COMPUTED_VALUE"""),"Turismo")</f>
        <v>Turismo</v>
      </c>
      <c r="G731" s="2" t="str">
        <f>IFERROR(__xludf.DUMMYFUNCTION("""COMPUTED_VALUE"""),"Finalizada")</f>
        <v>Finalizada</v>
      </c>
      <c r="H731" s="4">
        <v>0.0</v>
      </c>
      <c r="I731" s="4">
        <v>0.0</v>
      </c>
      <c r="J731" s="4">
        <v>0.0</v>
      </c>
      <c r="K731" s="4">
        <v>0.0</v>
      </c>
      <c r="L731" s="5">
        <v>0.0</v>
      </c>
      <c r="M731" s="5">
        <v>0.0</v>
      </c>
      <c r="N731" s="4">
        <v>26646.0</v>
      </c>
      <c r="O731" s="4">
        <v>26646.0</v>
      </c>
      <c r="P731" s="4">
        <v>6.0</v>
      </c>
      <c r="Q731" s="4">
        <v>0.0</v>
      </c>
      <c r="R731" s="4">
        <v>0.0</v>
      </c>
      <c r="S731" s="4">
        <v>0.0</v>
      </c>
      <c r="T731" s="4">
        <v>0.0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0.0</v>
      </c>
      <c r="AB731" s="4">
        <v>0.0</v>
      </c>
      <c r="AC731" s="4">
        <v>0.0</v>
      </c>
      <c r="AD731" s="4" t="s">
        <v>8</v>
      </c>
      <c r="AE731" s="6" t="s">
        <v>9</v>
      </c>
    </row>
    <row r="732" ht="16.5" customHeight="1">
      <c r="A732" s="2" t="str">
        <f>IFERROR(__xludf.DUMMYFUNCTION("""COMPUTED_VALUE"""),"3204-JUNVINGC")</f>
        <v>3204-JUNVINGC</v>
      </c>
      <c r="B732" s="2" t="str">
        <f>IFERROR(__xludf.DUMMYFUNCTION("""COMPUTED_VALUE"""),"Más servicios en tu barrio - 22/6 - Villa Pueyrredón")</f>
        <v>Más servicios en tu barrio - 22/6 - Villa Pueyrredón</v>
      </c>
      <c r="C732" s="3">
        <f>IFERROR(__xludf.DUMMYFUNCTION("""COMPUTED_VALUE"""),46192.0)</f>
        <v>46192</v>
      </c>
      <c r="D732" s="3">
        <f>IFERROR(__xludf.DUMMYFUNCTION("""COMPUTED_VALUE"""),46192.0)</f>
        <v>46192</v>
      </c>
      <c r="E732" s="2" t="str">
        <f>IFERROR(__xludf.DUMMYFUNCTION("""COMPUTED_VALUE"""),"M2")</f>
        <v>M2</v>
      </c>
      <c r="F732" s="2" t="str">
        <f>IFERROR(__xludf.DUMMYFUNCTION("""COMPUTED_VALUE"""),"Vínculo Ciudadano")</f>
        <v>Vínculo Ciudadano</v>
      </c>
      <c r="G732" s="2" t="str">
        <f>IFERROR(__xludf.DUMMYFUNCTION("""COMPUTED_VALUE"""),"Finalizada")</f>
        <v>Finalizada</v>
      </c>
      <c r="H732" s="4">
        <v>0.0</v>
      </c>
      <c r="I732" s="4">
        <v>0.0</v>
      </c>
      <c r="J732" s="4">
        <v>0.0</v>
      </c>
      <c r="K732" s="4">
        <v>0.0</v>
      </c>
      <c r="L732" s="5">
        <v>0.0</v>
      </c>
      <c r="M732" s="5">
        <v>0.0</v>
      </c>
      <c r="N732" s="4">
        <v>14675.0</v>
      </c>
      <c r="O732" s="4">
        <v>14542.0</v>
      </c>
      <c r="P732" s="4">
        <v>4382.0</v>
      </c>
      <c r="Q732" s="4">
        <v>171.0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0.0</v>
      </c>
      <c r="AB732" s="4">
        <v>0.0</v>
      </c>
      <c r="AC732" s="4">
        <v>0.0</v>
      </c>
      <c r="AD732" s="4" t="s">
        <v>8</v>
      </c>
      <c r="AE732" s="6" t="s">
        <v>9</v>
      </c>
    </row>
    <row r="733" ht="16.5" customHeight="1">
      <c r="A733" s="2" t="str">
        <f>IFERROR(__xludf.DUMMYFUNCTION("""COMPUTED_VALUE"""),"3205-JUNVINGC")</f>
        <v>3205-JUNVINGC</v>
      </c>
      <c r="B733" s="2" t="str">
        <f>IFERROR(__xludf.DUMMYFUNCTION("""COMPUTED_VALUE"""),"Más servicios en tu barrio -23/6 - Mataderos")</f>
        <v>Más servicios en tu barrio -23/6 - Mataderos</v>
      </c>
      <c r="C733" s="3">
        <f>IFERROR(__xludf.DUMMYFUNCTION("""COMPUTED_VALUE"""),46192.0)</f>
        <v>46192</v>
      </c>
      <c r="D733" s="3">
        <f>IFERROR(__xludf.DUMMYFUNCTION("""COMPUTED_VALUE"""),46192.0)</f>
        <v>46192</v>
      </c>
      <c r="E733" s="2" t="str">
        <f>IFERROR(__xludf.DUMMYFUNCTION("""COMPUTED_VALUE"""),"M2")</f>
        <v>M2</v>
      </c>
      <c r="F733" s="2" t="str">
        <f>IFERROR(__xludf.DUMMYFUNCTION("""COMPUTED_VALUE"""),"Vínculo Ciudadano")</f>
        <v>Vínculo Ciudadano</v>
      </c>
      <c r="G733" s="2" t="str">
        <f>IFERROR(__xludf.DUMMYFUNCTION("""COMPUTED_VALUE"""),"Finalizada")</f>
        <v>Finalizada</v>
      </c>
      <c r="H733" s="4">
        <v>0.0</v>
      </c>
      <c r="I733" s="4">
        <v>0.0</v>
      </c>
      <c r="J733" s="4">
        <v>0.0</v>
      </c>
      <c r="K733" s="4">
        <v>0.0</v>
      </c>
      <c r="L733" s="5">
        <v>0.0</v>
      </c>
      <c r="M733" s="5">
        <v>0.0</v>
      </c>
      <c r="N733" s="4">
        <v>10663.0</v>
      </c>
      <c r="O733" s="4">
        <v>10587.0</v>
      </c>
      <c r="P733" s="4">
        <v>2557.0</v>
      </c>
      <c r="Q733" s="4">
        <v>93.0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0.0</v>
      </c>
      <c r="AB733" s="4">
        <v>0.0</v>
      </c>
      <c r="AC733" s="4">
        <v>0.0</v>
      </c>
      <c r="AD733" s="4" t="s">
        <v>8</v>
      </c>
      <c r="AE733" s="6" t="s">
        <v>9</v>
      </c>
    </row>
    <row r="734" ht="16.5" customHeight="1">
      <c r="A734" s="2" t="str">
        <f>IFERROR(__xludf.DUMMYFUNCTION("""COMPUTED_VALUE"""),"3206-JUNVINGC")</f>
        <v>3206-JUNVINGC</v>
      </c>
      <c r="B734" s="2" t="str">
        <f>IFERROR(__xludf.DUMMYFUNCTION("""COMPUTED_VALUE"""),"Más servicios en tu barrio - 24/6 - Belgrano")</f>
        <v>Más servicios en tu barrio - 24/6 - Belgrano</v>
      </c>
      <c r="C734" s="3">
        <f>IFERROR(__xludf.DUMMYFUNCTION("""COMPUTED_VALUE"""),46192.0)</f>
        <v>46192</v>
      </c>
      <c r="D734" s="3">
        <f>IFERROR(__xludf.DUMMYFUNCTION("""COMPUTED_VALUE"""),46192.0)</f>
        <v>46192</v>
      </c>
      <c r="E734" s="2" t="str">
        <f>IFERROR(__xludf.DUMMYFUNCTION("""COMPUTED_VALUE"""),"M2")</f>
        <v>M2</v>
      </c>
      <c r="F734" s="2" t="str">
        <f>IFERROR(__xludf.DUMMYFUNCTION("""COMPUTED_VALUE"""),"Vínculo Ciudadano")</f>
        <v>Vínculo Ciudadano</v>
      </c>
      <c r="G734" s="2" t="str">
        <f>IFERROR(__xludf.DUMMYFUNCTION("""COMPUTED_VALUE"""),"Finalizada")</f>
        <v>Finalizada</v>
      </c>
      <c r="H734" s="4">
        <v>0.0</v>
      </c>
      <c r="I734" s="4">
        <v>0.0</v>
      </c>
      <c r="J734" s="4">
        <v>0.0</v>
      </c>
      <c r="K734" s="4">
        <v>0.0</v>
      </c>
      <c r="L734" s="5">
        <v>0.0</v>
      </c>
      <c r="M734" s="5">
        <v>0.0</v>
      </c>
      <c r="N734" s="4">
        <v>45803.0</v>
      </c>
      <c r="O734" s="4">
        <v>45571.0</v>
      </c>
      <c r="P734" s="4">
        <v>15621.0</v>
      </c>
      <c r="Q734" s="4">
        <v>460.0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0.0</v>
      </c>
      <c r="AB734" s="4">
        <v>0.0</v>
      </c>
      <c r="AC734" s="4">
        <v>0.0</v>
      </c>
      <c r="AD734" s="4" t="s">
        <v>8</v>
      </c>
      <c r="AE734" s="6" t="s">
        <v>9</v>
      </c>
    </row>
    <row r="735" ht="16.5" customHeight="1">
      <c r="A735" s="2" t="str">
        <f>IFERROR(__xludf.DUMMYFUNCTION("""COMPUTED_VALUE"""),"3207-JUNVINGC")</f>
        <v>3207-JUNVINGC</v>
      </c>
      <c r="B735" s="2" t="str">
        <f>IFERROR(__xludf.DUMMYFUNCTION("""COMPUTED_VALUE"""),"Más servicios en tu barrio - 25/6 - Villa Soldati")</f>
        <v>Más servicios en tu barrio - 25/6 - Villa Soldati</v>
      </c>
      <c r="C735" s="3">
        <f>IFERROR(__xludf.DUMMYFUNCTION("""COMPUTED_VALUE"""),46195.0)</f>
        <v>46195</v>
      </c>
      <c r="D735" s="3">
        <f>IFERROR(__xludf.DUMMYFUNCTION("""COMPUTED_VALUE"""),46195.0)</f>
        <v>46195</v>
      </c>
      <c r="E735" s="2" t="str">
        <f>IFERROR(__xludf.DUMMYFUNCTION("""COMPUTED_VALUE"""),"M2")</f>
        <v>M2</v>
      </c>
      <c r="F735" s="2" t="str">
        <f>IFERROR(__xludf.DUMMYFUNCTION("""COMPUTED_VALUE"""),"Vínculo Ciudadano")</f>
        <v>Vínculo Ciudadano</v>
      </c>
      <c r="G735" s="2" t="str">
        <f>IFERROR(__xludf.DUMMYFUNCTION("""COMPUTED_VALUE"""),"Finalizada")</f>
        <v>Finalizada</v>
      </c>
      <c r="H735" s="4">
        <v>0.0</v>
      </c>
      <c r="I735" s="4">
        <v>0.0</v>
      </c>
      <c r="J735" s="4">
        <v>0.0</v>
      </c>
      <c r="K735" s="4">
        <v>0.0</v>
      </c>
      <c r="L735" s="5">
        <v>0.0</v>
      </c>
      <c r="M735" s="5">
        <v>0.0</v>
      </c>
      <c r="N735" s="4">
        <v>11375.0</v>
      </c>
      <c r="O735" s="4">
        <v>11078.0</v>
      </c>
      <c r="P735" s="4">
        <v>2628.0</v>
      </c>
      <c r="Q735" s="4">
        <v>142.0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0.0</v>
      </c>
      <c r="AB735" s="4">
        <v>0.0</v>
      </c>
      <c r="AC735" s="4">
        <v>0.0</v>
      </c>
      <c r="AD735" s="4" t="s">
        <v>8</v>
      </c>
      <c r="AE735" s="6" t="s">
        <v>9</v>
      </c>
    </row>
    <row r="736" ht="16.5" customHeight="1">
      <c r="A736" s="2" t="str">
        <f>IFERROR(__xludf.DUMMYFUNCTION("""COMPUTED_VALUE"""),"3208-JUNVINGC")</f>
        <v>3208-JUNVINGC</v>
      </c>
      <c r="B736" s="2" t="str">
        <f>IFERROR(__xludf.DUMMYFUNCTION("""COMPUTED_VALUE"""),"Más servicios en tu barrio - 26/6 - Constitución")</f>
        <v>Más servicios en tu barrio - 26/6 - Constitución</v>
      </c>
      <c r="C736" s="3">
        <f>IFERROR(__xludf.DUMMYFUNCTION("""COMPUTED_VALUE"""),46195.0)</f>
        <v>46195</v>
      </c>
      <c r="D736" s="3">
        <f>IFERROR(__xludf.DUMMYFUNCTION("""COMPUTED_VALUE"""),46195.0)</f>
        <v>46195</v>
      </c>
      <c r="E736" s="2" t="str">
        <f>IFERROR(__xludf.DUMMYFUNCTION("""COMPUTED_VALUE"""),"M2")</f>
        <v>M2</v>
      </c>
      <c r="F736" s="2" t="str">
        <f>IFERROR(__xludf.DUMMYFUNCTION("""COMPUTED_VALUE"""),"Vínculo Ciudadano")</f>
        <v>Vínculo Ciudadano</v>
      </c>
      <c r="G736" s="2" t="str">
        <f>IFERROR(__xludf.DUMMYFUNCTION("""COMPUTED_VALUE"""),"Finalizada")</f>
        <v>Finalizada</v>
      </c>
      <c r="H736" s="4">
        <v>0.0</v>
      </c>
      <c r="I736" s="4">
        <v>0.0</v>
      </c>
      <c r="J736" s="4">
        <v>0.0</v>
      </c>
      <c r="K736" s="4">
        <v>0.0</v>
      </c>
      <c r="L736" s="5">
        <v>0.0</v>
      </c>
      <c r="M736" s="5">
        <v>0.0</v>
      </c>
      <c r="N736" s="4">
        <v>34847.0</v>
      </c>
      <c r="O736" s="4">
        <v>34200.0</v>
      </c>
      <c r="P736" s="4">
        <v>9268.0</v>
      </c>
      <c r="Q736" s="4">
        <v>305.0</v>
      </c>
      <c r="R736" s="4">
        <v>0.0</v>
      </c>
      <c r="S736" s="4">
        <v>0.0</v>
      </c>
      <c r="T736" s="4">
        <v>0.0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0.0</v>
      </c>
      <c r="AB736" s="4">
        <v>0.0</v>
      </c>
      <c r="AC736" s="4">
        <v>0.0</v>
      </c>
      <c r="AD736" s="4" t="s">
        <v>8</v>
      </c>
      <c r="AE736" s="6" t="s">
        <v>9</v>
      </c>
    </row>
    <row r="737" ht="16.5" customHeight="1">
      <c r="A737" s="2" t="str">
        <f>IFERROR(__xludf.DUMMYFUNCTION("""COMPUTED_VALUE"""),"3209-JUNVINGC")</f>
        <v>3209-JUNVINGC</v>
      </c>
      <c r="B737" s="2" t="str">
        <f>IFERROR(__xludf.DUMMYFUNCTION("""COMPUTED_VALUE"""),"Más servicios en tu barrio - 27/6 - Villa Lugano (Barrio Popular)")</f>
        <v>Más servicios en tu barrio - 27/6 - Villa Lugano (Barrio Popular)</v>
      </c>
      <c r="C737" s="3">
        <f>IFERROR(__xludf.DUMMYFUNCTION("""COMPUTED_VALUE"""),46195.0)</f>
        <v>46195</v>
      </c>
      <c r="D737" s="3">
        <f>IFERROR(__xludf.DUMMYFUNCTION("""COMPUTED_VALUE"""),46196.0)</f>
        <v>46196</v>
      </c>
      <c r="E737" s="2" t="str">
        <f>IFERROR(__xludf.DUMMYFUNCTION("""COMPUTED_VALUE"""),"M2")</f>
        <v>M2</v>
      </c>
      <c r="F737" s="2" t="str">
        <f>IFERROR(__xludf.DUMMYFUNCTION("""COMPUTED_VALUE"""),"Vínculo Ciudadano")</f>
        <v>Vínculo Ciudadano</v>
      </c>
      <c r="G737" s="2" t="str">
        <f>IFERROR(__xludf.DUMMYFUNCTION("""COMPUTED_VALUE"""),"Finalizada")</f>
        <v>Finalizada</v>
      </c>
      <c r="H737" s="4">
        <v>0.0</v>
      </c>
      <c r="I737" s="4">
        <v>0.0</v>
      </c>
      <c r="J737" s="4">
        <v>0.0</v>
      </c>
      <c r="K737" s="4">
        <v>0.0</v>
      </c>
      <c r="L737" s="5">
        <v>0.0</v>
      </c>
      <c r="M737" s="5">
        <v>0.0</v>
      </c>
      <c r="N737" s="4">
        <v>1226.0</v>
      </c>
      <c r="O737" s="4">
        <v>1170.0</v>
      </c>
      <c r="P737" s="4">
        <v>274.0</v>
      </c>
      <c r="Q737" s="4">
        <v>13.0</v>
      </c>
      <c r="R737" s="4">
        <v>0.0</v>
      </c>
      <c r="S737" s="4">
        <v>0.0</v>
      </c>
      <c r="T737" s="4">
        <v>0.0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1224.0</v>
      </c>
      <c r="AB737" s="4">
        <v>1000.0</v>
      </c>
      <c r="AC737" s="4">
        <v>15.0</v>
      </c>
      <c r="AD737" s="4" t="s">
        <v>8</v>
      </c>
      <c r="AE737" s="6" t="s">
        <v>9</v>
      </c>
    </row>
    <row r="738" ht="16.5" customHeight="1">
      <c r="A738" s="2" t="str">
        <f>IFERROR(__xludf.DUMMYFUNCTION("""COMPUTED_VALUE"""),"3210-JUNINFGC")</f>
        <v>3210-JUNINFGC</v>
      </c>
      <c r="B738" s="2" t="str">
        <f>IFERROR(__xludf.DUMMYFUNCTION("""COMPUTED_VALUE"""),"Infraestructura I Activación banners Extensión horaria de Subte NUEVA ESTETICA LINEA D")</f>
        <v>Infraestructura I Activación banners Extensión horaria de Subte NUEVA ESTETICA LINEA D</v>
      </c>
      <c r="C738" s="3">
        <f>IFERROR(__xludf.DUMMYFUNCTION("""COMPUTED_VALUE"""),46200.0)</f>
        <v>46200</v>
      </c>
      <c r="D738" s="3">
        <f>IFERROR(__xludf.DUMMYFUNCTION("""COMPUTED_VALUE"""),46387.0)</f>
        <v>46387</v>
      </c>
      <c r="E738" s="2" t="str">
        <f>IFERROR(__xludf.DUMMYFUNCTION("""COMPUTED_VALUE"""),"Movilidad")</f>
        <v>Movilidad</v>
      </c>
      <c r="F738" s="2" t="str">
        <f>IFERROR(__xludf.DUMMYFUNCTION("""COMPUTED_VALUE"""),"Infraestructura")</f>
        <v>Infraestructura</v>
      </c>
      <c r="G738" s="2" t="str">
        <f>IFERROR(__xludf.DUMMYFUNCTION("""COMPUTED_VALUE"""),"Activa")</f>
        <v>Activa</v>
      </c>
      <c r="H738" s="4">
        <v>436134.0</v>
      </c>
      <c r="I738" s="4">
        <v>0.0</v>
      </c>
      <c r="J738" s="4">
        <v>799.0</v>
      </c>
      <c r="K738" s="4"/>
      <c r="L738" s="5">
        <v>0.0</v>
      </c>
      <c r="M738" s="5">
        <v>0.0</v>
      </c>
      <c r="N738" s="4">
        <v>0.0</v>
      </c>
      <c r="O738" s="4">
        <v>0.0</v>
      </c>
      <c r="P738" s="4">
        <v>0.0</v>
      </c>
      <c r="Q738" s="4">
        <v>0.0</v>
      </c>
      <c r="R738" s="4">
        <v>0.0</v>
      </c>
      <c r="S738" s="4">
        <v>0.0</v>
      </c>
      <c r="T738" s="4">
        <v>0.0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0.0</v>
      </c>
      <c r="AB738" s="4">
        <v>0.0</v>
      </c>
      <c r="AC738" s="4">
        <v>0.0</v>
      </c>
      <c r="AD738" s="6" t="s">
        <v>280</v>
      </c>
      <c r="AE738" s="4" t="s">
        <v>8</v>
      </c>
    </row>
    <row r="739" ht="16.5" customHeight="1">
      <c r="A739" s="2" t="str">
        <f>IFERROR(__xludf.DUMMYFUNCTION("""COMPUTED_VALUE"""),"3212-JUNPCCVC")</f>
        <v>3212-JUNPCCVC</v>
      </c>
      <c r="B739" s="2" t="str">
        <f>IFERROR(__xludf.DUMMYFUNCTION("""COMPUTED_VALUE"""),"Reunión de Co - Creación | PBN Lorca")</f>
        <v>Reunión de Co - Creación | PBN Lorca</v>
      </c>
      <c r="C739" s="3">
        <f>IFERROR(__xludf.DUMMYFUNCTION("""COMPUTED_VALUE"""),46191.0)</f>
        <v>46191</v>
      </c>
      <c r="D739" s="3">
        <f>IFERROR(__xludf.DUMMYFUNCTION("""COMPUTED_VALUE"""),46191.0)</f>
        <v>46191</v>
      </c>
      <c r="E739" s="2" t="str">
        <f>IFERROR(__xludf.DUMMYFUNCTION("""COMPUTED_VALUE"""),"Cercanía")</f>
        <v>Cercanía</v>
      </c>
      <c r="F739" s="2" t="str">
        <f>IFERROR(__xludf.DUMMYFUNCTION("""COMPUTED_VALUE"""),"Cercanía y PC")</f>
        <v>Cercanía y PC</v>
      </c>
      <c r="G739" s="2" t="str">
        <f>IFERROR(__xludf.DUMMYFUNCTION("""COMPUTED_VALUE"""),"Finalizada")</f>
        <v>Finalizada</v>
      </c>
      <c r="H739" s="4">
        <v>0.0</v>
      </c>
      <c r="I739" s="4">
        <v>0.0</v>
      </c>
      <c r="J739" s="4">
        <v>0.0</v>
      </c>
      <c r="K739" s="4">
        <v>0.0</v>
      </c>
      <c r="L739" s="5">
        <v>0.0</v>
      </c>
      <c r="M739" s="5">
        <v>0.0</v>
      </c>
      <c r="N739" s="4">
        <v>75977.0</v>
      </c>
      <c r="O739" s="4">
        <v>75273.0</v>
      </c>
      <c r="P739" s="4">
        <v>17898.0</v>
      </c>
      <c r="Q739" s="4">
        <v>549.0</v>
      </c>
      <c r="R739" s="4">
        <v>0.0</v>
      </c>
      <c r="S739" s="4">
        <v>0.0</v>
      </c>
      <c r="T739" s="4">
        <v>0.0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0.0</v>
      </c>
      <c r="AB739" s="4">
        <v>0.0</v>
      </c>
      <c r="AC739" s="4">
        <v>0.0</v>
      </c>
      <c r="AD739" s="4" t="s">
        <v>8</v>
      </c>
      <c r="AE739" s="6" t="s">
        <v>9</v>
      </c>
    </row>
    <row r="740" ht="16.5" customHeight="1">
      <c r="A740" s="2" t="str">
        <f>IFERROR(__xludf.DUMMYFUNCTION("""COMPUTED_VALUE"""),"3213-JUNINFGC")</f>
        <v>3213-JUNINFGC</v>
      </c>
      <c r="B740" s="2" t="str">
        <f>IFERROR(__xludf.DUMMYFUNCTION("""COMPUTED_VALUE"""),"Av Fernández de la Cruz: fin de obra")</f>
        <v>Av Fernández de la Cruz: fin de obra</v>
      </c>
      <c r="C740" s="3">
        <f>IFERROR(__xludf.DUMMYFUNCTION("""COMPUTED_VALUE"""),46202.0)</f>
        <v>46202</v>
      </c>
      <c r="D740" s="3">
        <f>IFERROR(__xludf.DUMMYFUNCTION("""COMPUTED_VALUE"""),46211.0)</f>
        <v>46211</v>
      </c>
      <c r="E740" s="2" t="str">
        <f>IFERROR(__xludf.DUMMYFUNCTION("""COMPUTED_VALUE"""),"Movilidad")</f>
        <v>Movilidad</v>
      </c>
      <c r="F740" s="2" t="str">
        <f>IFERROR(__xludf.DUMMYFUNCTION("""COMPUTED_VALUE"""),"Infraestructura")</f>
        <v>Infraestructura</v>
      </c>
      <c r="G740" s="2" t="str">
        <f>IFERROR(__xludf.DUMMYFUNCTION("""COMPUTED_VALUE"""),"Finalizada")</f>
        <v>Finalizada</v>
      </c>
      <c r="H740" s="4">
        <v>242396.0</v>
      </c>
      <c r="I740" s="4">
        <v>9265.0</v>
      </c>
      <c r="J740" s="4">
        <v>2673.0</v>
      </c>
      <c r="K740" s="4">
        <v>87028.0</v>
      </c>
      <c r="L740" s="5">
        <v>2.785264512570667</v>
      </c>
      <c r="M740" s="5">
        <v>2.785264512570667</v>
      </c>
      <c r="N740" s="4">
        <v>16711.0</v>
      </c>
      <c r="O740" s="4">
        <v>16533.0</v>
      </c>
      <c r="P740" s="4">
        <v>3710.0</v>
      </c>
      <c r="Q740" s="4">
        <v>74.0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0.0</v>
      </c>
      <c r="AB740" s="4">
        <v>0.0</v>
      </c>
      <c r="AC740" s="4">
        <v>0.0</v>
      </c>
      <c r="AD740" s="6" t="s">
        <v>281</v>
      </c>
      <c r="AE740" s="6" t="s">
        <v>9</v>
      </c>
    </row>
    <row r="741" ht="16.5" customHeight="1">
      <c r="A741" s="2" t="str">
        <f>IFERROR(__xludf.DUMMYFUNCTION("""COMPUTED_VALUE"""),"3214-JUNAMBVC")</f>
        <v>3214-JUNAMBVC</v>
      </c>
      <c r="B741" s="2" t="str">
        <f>IFERROR(__xludf.DUMMYFUNCTION("""COMPUTED_VALUE"""),"CLARA MUZZIO 19/6 PALERMO")</f>
        <v>CLARA MUZZIO 19/6 PALERMO</v>
      </c>
      <c r="C741" s="3">
        <f>IFERROR(__xludf.DUMMYFUNCTION("""COMPUTED_VALUE"""),46190.0)</f>
        <v>46190</v>
      </c>
      <c r="D741" s="3">
        <f>IFERROR(__xludf.DUMMYFUNCTION("""COMPUTED_VALUE"""),46192.0)</f>
        <v>46192</v>
      </c>
      <c r="E741" s="2" t="str">
        <f>IFERROR(__xludf.DUMMYFUNCTION("""COMPUTED_VALUE"""),"Cercanía")</f>
        <v>Cercanía</v>
      </c>
      <c r="F741" s="2" t="str">
        <f>IFERROR(__xludf.DUMMYFUNCTION("""COMPUTED_VALUE"""),"Vicejefatura (Ambiente)")</f>
        <v>Vicejefatura (Ambiente)</v>
      </c>
      <c r="G741" s="2" t="str">
        <f>IFERROR(__xludf.DUMMYFUNCTION("""COMPUTED_VALUE"""),"Finalizada")</f>
        <v>Finalizada</v>
      </c>
      <c r="H741" s="4">
        <v>233282.0</v>
      </c>
      <c r="I741" s="4">
        <v>0.0</v>
      </c>
      <c r="J741" s="4">
        <v>178.0</v>
      </c>
      <c r="K741" s="4">
        <v>25558.0</v>
      </c>
      <c r="L741" s="5">
        <v>9.12755301666797</v>
      </c>
      <c r="M741" s="5">
        <v>9.12755301666797</v>
      </c>
      <c r="N741" s="4">
        <v>23094.0</v>
      </c>
      <c r="O741" s="4">
        <v>22857.0</v>
      </c>
      <c r="P741" s="4">
        <v>5836.0</v>
      </c>
      <c r="Q741" s="4">
        <v>77.0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0.0</v>
      </c>
      <c r="AB741" s="4">
        <v>0.0</v>
      </c>
      <c r="AC741" s="4">
        <v>0.0</v>
      </c>
      <c r="AD741" s="6" t="s">
        <v>282</v>
      </c>
      <c r="AE741" s="6" t="s">
        <v>9</v>
      </c>
    </row>
    <row r="742" ht="16.5" customHeight="1">
      <c r="A742" s="2" t="str">
        <f>IFERROR(__xludf.DUMMYFUNCTION("""COMPUTED_VALUE"""),"3215-JUNSEGGJ")</f>
        <v>3215-JUNSEGGJ</v>
      </c>
      <c r="B742" s="2" t="str">
        <f>IFERROR(__xludf.DUMMYFUNCTION("""COMPUTED_VALUE"""),"Desalojo de casa tomada en PP: Atuel 255")</f>
        <v>Desalojo de casa tomada en PP: Atuel 255</v>
      </c>
      <c r="C742" s="3">
        <f>IFERROR(__xludf.DUMMYFUNCTION("""COMPUTED_VALUE"""),46192.0)</f>
        <v>46192</v>
      </c>
      <c r="D742" s="3">
        <f>IFERROR(__xludf.DUMMYFUNCTION("""COMPUTED_VALUE"""),46216.0)</f>
        <v>46216</v>
      </c>
      <c r="E742" s="2" t="str">
        <f>IFERROR(__xludf.DUMMYFUNCTION("""COMPUTED_VALUE"""),"M2")</f>
        <v>M2</v>
      </c>
      <c r="F742" s="2" t="str">
        <f>IFERROR(__xludf.DUMMYFUNCTION("""COMPUTED_VALUE"""),"Seguridad")</f>
        <v>Seguridad</v>
      </c>
      <c r="G742" s="2" t="str">
        <f>IFERROR(__xludf.DUMMYFUNCTION("""COMPUTED_VALUE"""),"Finalizada")</f>
        <v>Finalizada</v>
      </c>
      <c r="H742" s="4">
        <v>3602403.0</v>
      </c>
      <c r="I742" s="4">
        <v>562608.0</v>
      </c>
      <c r="J742" s="4">
        <v>4976.0</v>
      </c>
      <c r="K742" s="4">
        <v>929296.0</v>
      </c>
      <c r="L742" s="5">
        <v>2.908451128596271</v>
      </c>
      <c r="M742" s="5">
        <v>3.8764860711764606</v>
      </c>
      <c r="N742" s="4">
        <v>232873.0</v>
      </c>
      <c r="O742" s="4">
        <v>231246.0</v>
      </c>
      <c r="P742" s="4">
        <v>76180.0</v>
      </c>
      <c r="Q742" s="4">
        <v>2185.0</v>
      </c>
      <c r="R742" s="4">
        <v>0.0</v>
      </c>
      <c r="S742" s="4">
        <v>0.0</v>
      </c>
      <c r="T742" s="4">
        <v>0.0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0.0</v>
      </c>
      <c r="AB742" s="4">
        <v>0.0</v>
      </c>
      <c r="AC742" s="4">
        <v>0.0</v>
      </c>
      <c r="AD742" s="6" t="s">
        <v>283</v>
      </c>
      <c r="AE742" s="6" t="s">
        <v>9</v>
      </c>
    </row>
    <row r="743" ht="16.5" customHeight="1">
      <c r="A743" s="2" t="str">
        <f>IFERROR(__xludf.DUMMYFUNCTION("""COMPUTED_VALUE"""),"3216-JUNJDGAG")</f>
        <v>3216-JUNJDGAG</v>
      </c>
      <c r="B743" s="2" t="str">
        <f>IFERROR(__xludf.DUMMYFUNCTION("""COMPUTED_VALUE"""),"RDV JM | TE CUENTO | CIUDAD ATRACTIVA EJE SUR 25/6")</f>
        <v>RDV JM | TE CUENTO | CIUDAD ATRACTIVA EJE SUR 25/6</v>
      </c>
      <c r="C743" s="3">
        <f>IFERROR(__xludf.DUMMYFUNCTION("""COMPUTED_VALUE"""),46193.0)</f>
        <v>46193</v>
      </c>
      <c r="D743" s="3">
        <f>IFERROR(__xludf.DUMMYFUNCTION("""COMPUTED_VALUE"""),46219.0)</f>
        <v>46219</v>
      </c>
      <c r="E743" s="2" t="str">
        <f>IFERROR(__xludf.DUMMYFUNCTION("""COMPUTED_VALUE"""),"Cercanía")</f>
        <v>Cercanía</v>
      </c>
      <c r="F743" s="2" t="str">
        <f>IFERROR(__xludf.DUMMYFUNCTION("""COMPUTED_VALUE"""),"Jefatura de Gobierno")</f>
        <v>Jefatura de Gobierno</v>
      </c>
      <c r="G743" s="2" t="str">
        <f>IFERROR(__xludf.DUMMYFUNCTION("""COMPUTED_VALUE"""),"Finalizada")</f>
        <v>Finalizada</v>
      </c>
      <c r="H743" s="4">
        <v>4916709.0</v>
      </c>
      <c r="I743" s="4">
        <v>1248505.0</v>
      </c>
      <c r="J743" s="4">
        <v>45838.0</v>
      </c>
      <c r="K743" s="4">
        <v>132497.0</v>
      </c>
      <c r="L743" s="5">
        <v>5.4213227469301195</v>
      </c>
      <c r="M743" s="5">
        <v>37.10807791874533</v>
      </c>
      <c r="N743" s="4">
        <v>254839.0</v>
      </c>
      <c r="O743" s="4">
        <v>251888.0</v>
      </c>
      <c r="P743" s="4">
        <v>34002.0</v>
      </c>
      <c r="Q743" s="4">
        <v>872.0</v>
      </c>
      <c r="R743" s="4">
        <v>9038.0</v>
      </c>
      <c r="S743" s="4">
        <v>8706.0</v>
      </c>
      <c r="T743" s="4">
        <v>2760.0</v>
      </c>
      <c r="U743" s="4">
        <v>2366.0</v>
      </c>
      <c r="V743" s="4">
        <v>54869.0</v>
      </c>
      <c r="W743" s="4">
        <v>54869.0</v>
      </c>
      <c r="X743" s="4">
        <v>51030.0</v>
      </c>
      <c r="Y743" s="4">
        <v>24299.0</v>
      </c>
      <c r="Z743" s="4">
        <v>225.0</v>
      </c>
      <c r="AA743" s="4">
        <v>0.0</v>
      </c>
      <c r="AB743" s="4">
        <v>0.0</v>
      </c>
      <c r="AC743" s="4">
        <v>0.0</v>
      </c>
      <c r="AD743" s="6" t="s">
        <v>284</v>
      </c>
      <c r="AE743" s="6" t="s">
        <v>9</v>
      </c>
    </row>
    <row r="744" ht="16.5" customHeight="1">
      <c r="A744" s="2" t="str">
        <f>IFERROR(__xludf.DUMMYFUNCTION("""COMPUTED_VALUE"""),"3220-JUNSEGGJ")</f>
        <v>3220-JUNSEGGJ</v>
      </c>
      <c r="B744" s="2" t="str">
        <f>IFERROR(__xludf.DUMMYFUNCTION("""COMPUTED_VALUE"""),"Sesiones Legislativas | Temas: Trapitos + VTV")</f>
        <v>Sesiones Legislativas | Temas: Trapitos + VTV</v>
      </c>
      <c r="C744" s="3">
        <f>IFERROR(__xludf.DUMMYFUNCTION("""COMPUTED_VALUE"""),46192.0)</f>
        <v>46192</v>
      </c>
      <c r="D744" s="3">
        <f>IFERROR(__xludf.DUMMYFUNCTION("""COMPUTED_VALUE"""),46211.0)</f>
        <v>46211</v>
      </c>
      <c r="E744" s="2" t="str">
        <f>IFERROR(__xludf.DUMMYFUNCTION("""COMPUTED_VALUE"""),"M2")</f>
        <v>M2</v>
      </c>
      <c r="F744" s="2" t="str">
        <f>IFERROR(__xludf.DUMMYFUNCTION("""COMPUTED_VALUE"""),"Seguridad")</f>
        <v>Seguridad</v>
      </c>
      <c r="G744" s="2" t="str">
        <f>IFERROR(__xludf.DUMMYFUNCTION("""COMPUTED_VALUE"""),"Finalizada")</f>
        <v>Finalizada</v>
      </c>
      <c r="H744" s="4">
        <v>4.1653937E7</v>
      </c>
      <c r="I744" s="4">
        <v>1101054.0</v>
      </c>
      <c r="J744" s="4">
        <v>47804.0</v>
      </c>
      <c r="K744" s="4">
        <v>1472466.0</v>
      </c>
      <c r="L744" s="5">
        <v>3.99255466679706</v>
      </c>
      <c r="M744" s="5">
        <v>28.288556068527217</v>
      </c>
      <c r="N744" s="4">
        <v>2099499.0</v>
      </c>
      <c r="O744" s="4">
        <v>2086659.0</v>
      </c>
      <c r="P744" s="4">
        <v>437019.0</v>
      </c>
      <c r="Q744" s="4">
        <v>20155.0</v>
      </c>
      <c r="R744" s="4">
        <v>0.0</v>
      </c>
      <c r="S744" s="4">
        <v>0.0</v>
      </c>
      <c r="T744" s="4">
        <v>0.0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0.0</v>
      </c>
      <c r="AB744" s="4">
        <v>0.0</v>
      </c>
      <c r="AC744" s="4">
        <v>0.0</v>
      </c>
      <c r="AD744" s="6" t="s">
        <v>285</v>
      </c>
      <c r="AE744" s="6" t="s">
        <v>9</v>
      </c>
    </row>
    <row r="745" ht="16.5" customHeight="1">
      <c r="A745" s="2" t="str">
        <f>IFERROR(__xludf.DUMMYFUNCTION("""COMPUTED_VALUE"""),"3222-JUNEPHVC")</f>
        <v>3222-JUNEPHVC</v>
      </c>
      <c r="B745" s="2" t="str">
        <f>IFERROR(__xludf.DUMMYFUNCTION("""COMPUTED_VALUE"""),"IGNACIO BAISTROCCHI 22/6 COMUNA 9")</f>
        <v>IGNACIO BAISTROCCHI 22/6 COMUNA 9</v>
      </c>
      <c r="C745" s="3">
        <f>IFERROR(__xludf.DUMMYFUNCTION("""COMPUTED_VALUE"""),46191.0)</f>
        <v>46191</v>
      </c>
      <c r="D745" s="3">
        <f>IFERROR(__xludf.DUMMYFUNCTION("""COMPUTED_VALUE"""),46196.0)</f>
        <v>46196</v>
      </c>
      <c r="E745" s="2" t="str">
        <f>IFERROR(__xludf.DUMMYFUNCTION("""COMPUTED_VALUE"""),"Cercanía")</f>
        <v>Cercanía</v>
      </c>
      <c r="F745" s="2" t="str">
        <f>IFERROR(__xludf.DUMMYFUNCTION("""COMPUTED_VALUE"""),"Espacio Público e Higiene Urbana")</f>
        <v>Espacio Público e Higiene Urbana</v>
      </c>
      <c r="G745" s="2" t="str">
        <f>IFERROR(__xludf.DUMMYFUNCTION("""COMPUTED_VALUE"""),"Finalizada")</f>
        <v>Finalizada</v>
      </c>
      <c r="H745" s="4">
        <v>153260.0</v>
      </c>
      <c r="I745" s="4">
        <v>0.0</v>
      </c>
      <c r="J745" s="4">
        <v>617.0</v>
      </c>
      <c r="K745" s="4">
        <v>36155.0</v>
      </c>
      <c r="L745" s="5">
        <v>4.238971096667128</v>
      </c>
      <c r="M745" s="5">
        <v>4.238971096667128</v>
      </c>
      <c r="N745" s="4">
        <v>68601.0</v>
      </c>
      <c r="O745" s="4">
        <v>67766.0</v>
      </c>
      <c r="P745" s="4">
        <v>8486.0</v>
      </c>
      <c r="Q745" s="4">
        <v>176.0</v>
      </c>
      <c r="R745" s="4">
        <v>54.0</v>
      </c>
      <c r="S745" s="4">
        <v>54.0</v>
      </c>
      <c r="T745" s="4">
        <v>21.0</v>
      </c>
      <c r="U745" s="4">
        <v>20.0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0.0</v>
      </c>
      <c r="AB745" s="4">
        <v>0.0</v>
      </c>
      <c r="AC745" s="4">
        <v>0.0</v>
      </c>
      <c r="AD745" s="6" t="s">
        <v>286</v>
      </c>
      <c r="AE745" s="6" t="s">
        <v>9</v>
      </c>
    </row>
    <row r="746" ht="16.5" customHeight="1">
      <c r="A746" s="2" t="str">
        <f>IFERROR(__xludf.DUMMYFUNCTION("""COMPUTED_VALUE"""),"3223-JUNEDUVC")</f>
        <v>3223-JUNEDUVC</v>
      </c>
      <c r="B746" s="2" t="str">
        <f>IFERROR(__xludf.DUMMYFUNCTION("""COMPUTED_VALUE"""),"MERCEDES MIGUEL 23/6 COMUNA 13")</f>
        <v>MERCEDES MIGUEL 23/6 COMUNA 13</v>
      </c>
      <c r="C746" s="3">
        <f>IFERROR(__xludf.DUMMYFUNCTION("""COMPUTED_VALUE"""),46191.0)</f>
        <v>46191</v>
      </c>
      <c r="D746" s="3">
        <f>IFERROR(__xludf.DUMMYFUNCTION("""COMPUTED_VALUE"""),46198.0)</f>
        <v>46198</v>
      </c>
      <c r="E746" s="2" t="str">
        <f>IFERROR(__xludf.DUMMYFUNCTION("""COMPUTED_VALUE"""),"Cercanía")</f>
        <v>Cercanía</v>
      </c>
      <c r="F746" s="2" t="str">
        <f>IFERROR(__xludf.DUMMYFUNCTION("""COMPUTED_VALUE"""),"Educación")</f>
        <v>Educación</v>
      </c>
      <c r="G746" s="2" t="str">
        <f>IFERROR(__xludf.DUMMYFUNCTION("""COMPUTED_VALUE"""),"Finalizada")</f>
        <v>Finalizada</v>
      </c>
      <c r="H746" s="4">
        <v>132175.0</v>
      </c>
      <c r="I746" s="4">
        <v>0.0</v>
      </c>
      <c r="J746" s="4">
        <v>626.0</v>
      </c>
      <c r="K746" s="4">
        <v>26535.0</v>
      </c>
      <c r="L746" s="5">
        <v>4.9811569625023555</v>
      </c>
      <c r="M746" s="5">
        <v>4.9811569625023555</v>
      </c>
      <c r="N746" s="4">
        <v>14497.0</v>
      </c>
      <c r="O746" s="4">
        <v>14408.0</v>
      </c>
      <c r="P746" s="4">
        <v>3217.0</v>
      </c>
      <c r="Q746" s="4">
        <v>63.0</v>
      </c>
      <c r="R746" s="4">
        <v>47.0</v>
      </c>
      <c r="S746" s="4">
        <v>47.0</v>
      </c>
      <c r="T746" s="4">
        <v>16.0</v>
      </c>
      <c r="U746" s="4">
        <v>15.0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0.0</v>
      </c>
      <c r="AB746" s="4">
        <v>0.0</v>
      </c>
      <c r="AC746" s="4">
        <v>0.0</v>
      </c>
      <c r="AD746" s="6" t="s">
        <v>287</v>
      </c>
      <c r="AE746" s="6" t="s">
        <v>9</v>
      </c>
    </row>
    <row r="747" ht="16.5" customHeight="1">
      <c r="A747" s="2" t="str">
        <f>IFERROR(__xludf.DUMMYFUNCTION("""COMPUTED_VALUE"""),"3224-JUNDECVC")</f>
        <v>3224-JUNDECVC</v>
      </c>
      <c r="B747" s="2" t="str">
        <f>IFERROR(__xludf.DUMMYFUNCTION("""COMPUTED_VALUE"""),"LOMBARDI-TAPIA-PIRAGINE 24/6 EJE OESTE")</f>
        <v>LOMBARDI-TAPIA-PIRAGINE 24/6 EJE OESTE</v>
      </c>
      <c r="C747" s="3">
        <f>IFERROR(__xludf.DUMMYFUNCTION("""COMPUTED_VALUE"""),46191.0)</f>
        <v>46191</v>
      </c>
      <c r="D747" s="3">
        <f>IFERROR(__xludf.DUMMYFUNCTION("""COMPUTED_VALUE"""),46198.0)</f>
        <v>46198</v>
      </c>
      <c r="E747" s="2" t="str">
        <f>IFERROR(__xludf.DUMMYFUNCTION("""COMPUTED_VALUE"""),"Cercanía")</f>
        <v>Cercanía</v>
      </c>
      <c r="F747" s="2" t="str">
        <f>IFERROR(__xludf.DUMMYFUNCTION("""COMPUTED_VALUE"""),"Desarrollo Económico")</f>
        <v>Desarrollo Económico</v>
      </c>
      <c r="G747" s="2" t="str">
        <f>IFERROR(__xludf.DUMMYFUNCTION("""COMPUTED_VALUE"""),"Finalizada")</f>
        <v>Finalizada</v>
      </c>
      <c r="H747" s="4">
        <v>377663.0</v>
      </c>
      <c r="I747" s="4">
        <v>0.0</v>
      </c>
      <c r="J747" s="4">
        <v>852.0</v>
      </c>
      <c r="K747" s="4">
        <v>240551.0</v>
      </c>
      <c r="L747" s="5">
        <v>1.5699913947562056</v>
      </c>
      <c r="M747" s="5">
        <v>1.5699913947562056</v>
      </c>
      <c r="N747" s="4">
        <v>18722.0</v>
      </c>
      <c r="O747" s="4">
        <v>18376.0</v>
      </c>
      <c r="P747" s="4">
        <v>2660.0</v>
      </c>
      <c r="Q747" s="4">
        <v>32.0</v>
      </c>
      <c r="R747" s="4">
        <v>18.0</v>
      </c>
      <c r="S747" s="4">
        <v>18.0</v>
      </c>
      <c r="T747" s="4">
        <v>6.0</v>
      </c>
      <c r="U747" s="4">
        <v>6.0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0.0</v>
      </c>
      <c r="AB747" s="4">
        <v>0.0</v>
      </c>
      <c r="AC747" s="4">
        <v>0.0</v>
      </c>
      <c r="AD747" s="6" t="s">
        <v>288</v>
      </c>
      <c r="AE747" s="6" t="s">
        <v>9</v>
      </c>
    </row>
    <row r="748" ht="16.5" customHeight="1">
      <c r="A748" s="2" t="str">
        <f>IFERROR(__xludf.DUMMYFUNCTION("""COMPUTED_VALUE"""),"3226-JUNFESGC")</f>
        <v>3226-JUNFESGC</v>
      </c>
      <c r="B748" s="2" t="str">
        <f>IFERROR(__xludf.DUMMYFUNCTION("""COMPUTED_VALUE"""),"Vacaciones de invierno | Genérica")</f>
        <v>Vacaciones de invierno | Genérica</v>
      </c>
      <c r="C748" s="3">
        <f>IFERROR(__xludf.DUMMYFUNCTION("""COMPUTED_VALUE"""),46196.0)</f>
        <v>46196</v>
      </c>
      <c r="D748" s="3">
        <f>IFERROR(__xludf.DUMMYFUNCTION("""COMPUTED_VALUE"""),46236.0)</f>
        <v>46236</v>
      </c>
      <c r="E748" s="2" t="str">
        <f>IFERROR(__xludf.DUMMYFUNCTION("""COMPUTED_VALUE"""),"Ciudad Atractiva")</f>
        <v>Ciudad Atractiva</v>
      </c>
      <c r="F748" s="2" t="str">
        <f>IFERROR(__xludf.DUMMYFUNCTION("""COMPUTED_VALUE"""),"Festivales y Eventos")</f>
        <v>Festivales y Eventos</v>
      </c>
      <c r="G748" s="2" t="str">
        <f>IFERROR(__xludf.DUMMYFUNCTION("""COMPUTED_VALUE"""),"Activa")</f>
        <v>Activa</v>
      </c>
      <c r="H748" s="4">
        <v>1461282.0</v>
      </c>
      <c r="I748" s="4">
        <v>438271.0</v>
      </c>
      <c r="J748" s="4">
        <v>9719.0</v>
      </c>
      <c r="K748" s="4">
        <v>274053.0</v>
      </c>
      <c r="L748" s="5">
        <v>2.152539837184778</v>
      </c>
      <c r="M748" s="5">
        <v>5.332114590973279</v>
      </c>
      <c r="N748" s="4">
        <v>334473.0</v>
      </c>
      <c r="O748" s="4">
        <v>330333.0</v>
      </c>
      <c r="P748" s="4">
        <v>120058.0</v>
      </c>
      <c r="Q748" s="4">
        <v>1238.0</v>
      </c>
      <c r="R748" s="4">
        <v>0.0</v>
      </c>
      <c r="S748" s="4">
        <v>0.0</v>
      </c>
      <c r="T748" s="4">
        <v>0.0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0.0</v>
      </c>
      <c r="AB748" s="4">
        <v>0.0</v>
      </c>
      <c r="AC748" s="4">
        <v>0.0</v>
      </c>
      <c r="AD748" s="6" t="s">
        <v>289</v>
      </c>
      <c r="AE748" s="6" t="s">
        <v>9</v>
      </c>
    </row>
    <row r="749" ht="16.5" customHeight="1">
      <c r="A749" s="2" t="str">
        <f>IFERROR(__xludf.DUMMYFUNCTION("""COMPUTED_VALUE"""),"3227-JUNSALGC")</f>
        <v>3227-JUNSALGC</v>
      </c>
      <c r="B749" s="2" t="str">
        <f>IFERROR(__xludf.DUMMYFUNCTION("""COMPUTED_VALUE"""),"Hospital Roca: Obras")</f>
        <v>Hospital Roca: Obras</v>
      </c>
      <c r="C749" s="3">
        <f>IFERROR(__xludf.DUMMYFUNCTION("""COMPUTED_VALUE"""),46196.0)</f>
        <v>46196</v>
      </c>
      <c r="D749" s="3">
        <f>IFERROR(__xludf.DUMMYFUNCTION("""COMPUTED_VALUE"""),46211.0)</f>
        <v>46211</v>
      </c>
      <c r="E749" s="2" t="str">
        <f>IFERROR(__xludf.DUMMYFUNCTION("""COMPUTED_VALUE"""),"Cuidado")</f>
        <v>Cuidado</v>
      </c>
      <c r="F749" s="2" t="str">
        <f>IFERROR(__xludf.DUMMYFUNCTION("""COMPUTED_VALUE"""),"Salud")</f>
        <v>Salud</v>
      </c>
      <c r="G749" s="2" t="str">
        <f>IFERROR(__xludf.DUMMYFUNCTION("""COMPUTED_VALUE"""),"Finalizada")</f>
        <v>Finalizada</v>
      </c>
      <c r="H749" s="4">
        <v>2407057.0</v>
      </c>
      <c r="I749" s="4">
        <v>0.0</v>
      </c>
      <c r="J749" s="4">
        <v>35082.0</v>
      </c>
      <c r="K749" s="4">
        <v>509971.0</v>
      </c>
      <c r="L749" s="5">
        <v>1.644638616705656</v>
      </c>
      <c r="M749" s="5">
        <v>4.719987999317608</v>
      </c>
      <c r="N749" s="4">
        <v>102432.0</v>
      </c>
      <c r="O749" s="4">
        <v>101373.0</v>
      </c>
      <c r="P749" s="4">
        <v>28595.0</v>
      </c>
      <c r="Q749" s="4">
        <v>407.0</v>
      </c>
      <c r="R749" s="4">
        <v>0.0</v>
      </c>
      <c r="S749" s="4">
        <v>0.0</v>
      </c>
      <c r="T749" s="4">
        <v>0.0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0.0</v>
      </c>
      <c r="AB749" s="4">
        <v>0.0</v>
      </c>
      <c r="AC749" s="4">
        <v>0.0</v>
      </c>
      <c r="AD749" s="6" t="s">
        <v>290</v>
      </c>
      <c r="AE749" s="6" t="s">
        <v>9</v>
      </c>
    </row>
    <row r="750" ht="16.5" customHeight="1">
      <c r="A750" s="2" t="str">
        <f>IFERROR(__xludf.DUMMYFUNCTION("""COMPUTED_VALUE"""),"3228-JUNSALGC")</f>
        <v>3228-JUNSALGC</v>
      </c>
      <c r="B750" s="2" t="str">
        <f>IFERROR(__xludf.DUMMYFUNCTION("""COMPUTED_VALUE"""),"Hospitar Ferrer: Obras")</f>
        <v>Hospitar Ferrer: Obras</v>
      </c>
      <c r="C750" s="3">
        <f>IFERROR(__xludf.DUMMYFUNCTION("""COMPUTED_VALUE"""),46196.0)</f>
        <v>46196</v>
      </c>
      <c r="D750" s="3">
        <f>IFERROR(__xludf.DUMMYFUNCTION("""COMPUTED_VALUE"""),46211.0)</f>
        <v>46211</v>
      </c>
      <c r="E750" s="2" t="str">
        <f>IFERROR(__xludf.DUMMYFUNCTION("""COMPUTED_VALUE"""),"Cuidado")</f>
        <v>Cuidado</v>
      </c>
      <c r="F750" s="2" t="str">
        <f>IFERROR(__xludf.DUMMYFUNCTION("""COMPUTED_VALUE"""),"Salud")</f>
        <v>Salud</v>
      </c>
      <c r="G750" s="2" t="str">
        <f>IFERROR(__xludf.DUMMYFUNCTION("""COMPUTED_VALUE"""),"Finalizada")</f>
        <v>Finalizada</v>
      </c>
      <c r="H750" s="4">
        <v>1416929.0</v>
      </c>
      <c r="I750" s="4">
        <v>0.0</v>
      </c>
      <c r="J750" s="4">
        <v>39536.0</v>
      </c>
      <c r="K750" s="4">
        <v>85014.0</v>
      </c>
      <c r="L750" s="5">
        <v>2.8100077634272003</v>
      </c>
      <c r="M750" s="5">
        <v>16.667007786952738</v>
      </c>
      <c r="N750" s="4">
        <v>78684.0</v>
      </c>
      <c r="O750" s="4">
        <v>77560.0</v>
      </c>
      <c r="P750" s="4">
        <v>18798.0</v>
      </c>
      <c r="Q750" s="4">
        <v>292.0</v>
      </c>
      <c r="R750" s="4">
        <v>0.0</v>
      </c>
      <c r="S750" s="4">
        <v>0.0</v>
      </c>
      <c r="T750" s="4">
        <v>0.0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0.0</v>
      </c>
      <c r="AB750" s="4">
        <v>0.0</v>
      </c>
      <c r="AC750" s="4">
        <v>0.0</v>
      </c>
      <c r="AD750" s="6" t="s">
        <v>291</v>
      </c>
      <c r="AE750" s="6" t="s">
        <v>9</v>
      </c>
    </row>
    <row r="751" ht="16.5" customHeight="1">
      <c r="A751" s="2" t="str">
        <f>IFERROR(__xludf.DUMMYFUNCTION("""COMPUTED_VALUE"""),"3230-JUNINFGJ")</f>
        <v>3230-JUNINFGJ</v>
      </c>
      <c r="B751" s="2" t="str">
        <f>IFERROR(__xludf.DUMMYFUNCTION("""COMPUTED_VALUE"""),"Infraestructura I PBN Álvarez Thomas: inicio de obra")</f>
        <v>Infraestructura I PBN Álvarez Thomas: inicio de obra</v>
      </c>
      <c r="C751" s="3">
        <f>IFERROR(__xludf.DUMMYFUNCTION("""COMPUTED_VALUE"""),46190.0)</f>
        <v>46190</v>
      </c>
      <c r="D751" s="3">
        <f>IFERROR(__xludf.DUMMYFUNCTION("""COMPUTED_VALUE"""),46192.0)</f>
        <v>46192</v>
      </c>
      <c r="E751" s="2" t="str">
        <f>IFERROR(__xludf.DUMMYFUNCTION("""COMPUTED_VALUE"""),"Movilidad")</f>
        <v>Movilidad</v>
      </c>
      <c r="F751" s="2" t="str">
        <f>IFERROR(__xludf.DUMMYFUNCTION("""COMPUTED_VALUE"""),"Infraestructura")</f>
        <v>Infraestructura</v>
      </c>
      <c r="G751" s="2" t="str">
        <f>IFERROR(__xludf.DUMMYFUNCTION("""COMPUTED_VALUE"""),"Finalizada")</f>
        <v>Finalizada</v>
      </c>
      <c r="H751" s="4">
        <v>0.0</v>
      </c>
      <c r="I751" s="4">
        <v>0.0</v>
      </c>
      <c r="J751" s="4">
        <v>0.0</v>
      </c>
      <c r="K751" s="4">
        <v>0.0</v>
      </c>
      <c r="L751" s="5">
        <v>0.0</v>
      </c>
      <c r="M751" s="5">
        <v>0.0</v>
      </c>
      <c r="N751" s="4">
        <v>125941.0</v>
      </c>
      <c r="O751" s="4">
        <v>124706.0</v>
      </c>
      <c r="P751" s="4">
        <v>41033.0</v>
      </c>
      <c r="Q751" s="4">
        <v>919.0</v>
      </c>
      <c r="R751" s="4">
        <v>0.0</v>
      </c>
      <c r="S751" s="4">
        <v>0.0</v>
      </c>
      <c r="T751" s="4">
        <v>0.0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0.0</v>
      </c>
      <c r="AB751" s="4">
        <v>0.0</v>
      </c>
      <c r="AC751" s="4">
        <v>0.0</v>
      </c>
      <c r="AD751" s="4" t="s">
        <v>8</v>
      </c>
      <c r="AE751" s="6" t="s">
        <v>9</v>
      </c>
    </row>
    <row r="752" ht="16.5" customHeight="1">
      <c r="A752" s="2" t="str">
        <f>IFERROR(__xludf.DUMMYFUNCTION("""COMPUTED_VALUE"""),"3231-JUNJDGAG")</f>
        <v>3231-JUNJDGAG</v>
      </c>
      <c r="B752" s="2" t="str">
        <f>IFERROR(__xludf.DUMMYFUNCTION("""COMPUTED_VALUE"""),"1 A 1 JM |  24/06 COMUNA 10")</f>
        <v>1 A 1 JM |  24/06 COMUNA 10</v>
      </c>
      <c r="C752" s="3">
        <f>IFERROR(__xludf.DUMMYFUNCTION("""COMPUTED_VALUE"""),46192.0)</f>
        <v>46192</v>
      </c>
      <c r="D752" s="3">
        <f>IFERROR(__xludf.DUMMYFUNCTION("""COMPUTED_VALUE"""),46213.0)</f>
        <v>46213</v>
      </c>
      <c r="E752" s="2" t="str">
        <f>IFERROR(__xludf.DUMMYFUNCTION("""COMPUTED_VALUE"""),"Cercanía")</f>
        <v>Cercanía</v>
      </c>
      <c r="F752" s="2" t="str">
        <f>IFERROR(__xludf.DUMMYFUNCTION("""COMPUTED_VALUE"""),"Jefatura de Gobierno")</f>
        <v>Jefatura de Gobierno</v>
      </c>
      <c r="G752" s="2" t="str">
        <f>IFERROR(__xludf.DUMMYFUNCTION("""COMPUTED_VALUE"""),"Finalizada")</f>
        <v>Finalizada</v>
      </c>
      <c r="H752" s="4">
        <v>5100987.0</v>
      </c>
      <c r="I752" s="4">
        <v>3771644.0</v>
      </c>
      <c r="J752" s="4">
        <v>5437.0</v>
      </c>
      <c r="K752" s="4">
        <v>13719.0</v>
      </c>
      <c r="L752" s="5">
        <v>20.340185144689848</v>
      </c>
      <c r="M752" s="5">
        <v>371.81915591515417</v>
      </c>
      <c r="N752" s="4">
        <v>0.0</v>
      </c>
      <c r="O752" s="4">
        <v>0.0</v>
      </c>
      <c r="P752" s="4">
        <v>0.0</v>
      </c>
      <c r="Q752" s="4">
        <v>0.0</v>
      </c>
      <c r="R752" s="4">
        <v>0.0</v>
      </c>
      <c r="S752" s="4">
        <v>0.0</v>
      </c>
      <c r="T752" s="4">
        <v>0.0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0.0</v>
      </c>
      <c r="AB752" s="4">
        <v>0.0</v>
      </c>
      <c r="AC752" s="4">
        <v>0.0</v>
      </c>
      <c r="AD752" s="6" t="s">
        <v>292</v>
      </c>
      <c r="AE752" s="4" t="s">
        <v>8</v>
      </c>
    </row>
    <row r="753" ht="16.5" customHeight="1">
      <c r="A753" s="2" t="str">
        <f>IFERROR(__xludf.DUMMYFUNCTION("""COMPUTED_VALUE"""),"3232-JUNDHHVC")</f>
        <v>3232-JUNDHHVC</v>
      </c>
      <c r="B753" s="2" t="str">
        <f>IFERROR(__xludf.DUMMYFUNCTION("""COMPUTED_VALUE"""),"RDV MINISTROS | GABRIEL MRAIDA 24/6 COMUNA 1")</f>
        <v>RDV MINISTROS | GABRIEL MRAIDA 24/6 COMUNA 1</v>
      </c>
      <c r="C753" s="3">
        <f>IFERROR(__xludf.DUMMYFUNCTION("""COMPUTED_VALUE"""),46192.0)</f>
        <v>46192</v>
      </c>
      <c r="D753" s="3">
        <f>IFERROR(__xludf.DUMMYFUNCTION("""COMPUTED_VALUE"""),46197.0)</f>
        <v>46197</v>
      </c>
      <c r="E753" s="2" t="str">
        <f>IFERROR(__xludf.DUMMYFUNCTION("""COMPUTED_VALUE"""),"Cercanía")</f>
        <v>Cercanía</v>
      </c>
      <c r="F753" s="2" t="str">
        <f>IFERROR(__xludf.DUMMYFUNCTION("""COMPUTED_VALUE"""),"Desarrollo Humano y Hábitat")</f>
        <v>Desarrollo Humano y Hábitat</v>
      </c>
      <c r="G753" s="2" t="str">
        <f>IFERROR(__xludf.DUMMYFUNCTION("""COMPUTED_VALUE"""),"Finalizada")</f>
        <v>Finalizada</v>
      </c>
      <c r="H753" s="4">
        <v>176381.0</v>
      </c>
      <c r="I753" s="4">
        <v>0.0</v>
      </c>
      <c r="J753" s="4">
        <v>506.0</v>
      </c>
      <c r="K753" s="4">
        <v>106151.0</v>
      </c>
      <c r="L753" s="5">
        <v>1.6616046951983494</v>
      </c>
      <c r="M753" s="5">
        <v>1.6616046951983494</v>
      </c>
      <c r="N753" s="4">
        <v>71036.0</v>
      </c>
      <c r="O753" s="4">
        <v>70282.0</v>
      </c>
      <c r="P753" s="4">
        <v>12566.0</v>
      </c>
      <c r="Q753" s="4">
        <v>243.0</v>
      </c>
      <c r="R753" s="4">
        <v>178.0</v>
      </c>
      <c r="S753" s="4">
        <v>178.0</v>
      </c>
      <c r="T753" s="4">
        <v>43.0</v>
      </c>
      <c r="U753" s="4">
        <v>43.0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0.0</v>
      </c>
      <c r="AB753" s="4">
        <v>0.0</v>
      </c>
      <c r="AC753" s="4">
        <v>0.0</v>
      </c>
      <c r="AD753" s="6" t="s">
        <v>293</v>
      </c>
      <c r="AE753" s="6" t="s">
        <v>9</v>
      </c>
    </row>
    <row r="754" ht="16.5" customHeight="1">
      <c r="A754" s="2" t="str">
        <f>IFERROR(__xludf.DUMMYFUNCTION("""COMPUTED_VALUE"""),"3233-JUNSALGC")</f>
        <v>3233-JUNSALGC</v>
      </c>
      <c r="B754" s="2" t="str">
        <f>IFERROR(__xludf.DUMMYFUNCTION("""COMPUTED_VALUE""")," Envío Deploy GDE Mejoras 22/6")</f>
        <v> Envío Deploy GDE Mejoras 22/6</v>
      </c>
      <c r="C754" s="3">
        <f>IFERROR(__xludf.DUMMYFUNCTION("""COMPUTED_VALUE"""),46195.0)</f>
        <v>46195</v>
      </c>
      <c r="D754" s="3">
        <f>IFERROR(__xludf.DUMMYFUNCTION("""COMPUTED_VALUE"""),46195.0)</f>
        <v>46195</v>
      </c>
      <c r="E754" s="2" t="str">
        <f>IFERROR(__xludf.DUMMYFUNCTION("""COMPUTED_VALUE"""),"Cuidado")</f>
        <v>Cuidado</v>
      </c>
      <c r="F754" s="2" t="str">
        <f>IFERROR(__xludf.DUMMYFUNCTION("""COMPUTED_VALUE"""),"Salud")</f>
        <v>Salud</v>
      </c>
      <c r="G754" s="2" t="str">
        <f>IFERROR(__xludf.DUMMYFUNCTION("""COMPUTED_VALUE"""),"Finalizada")</f>
        <v>Finalizada</v>
      </c>
      <c r="H754" s="4">
        <v>0.0</v>
      </c>
      <c r="I754" s="4">
        <v>0.0</v>
      </c>
      <c r="J754" s="4">
        <v>0.0</v>
      </c>
      <c r="K754" s="4">
        <v>0.0</v>
      </c>
      <c r="L754" s="5">
        <v>0.0</v>
      </c>
      <c r="M754" s="5">
        <v>0.0</v>
      </c>
      <c r="N754" s="4">
        <v>5452.0</v>
      </c>
      <c r="O754" s="4">
        <v>5434.0</v>
      </c>
      <c r="P754" s="4">
        <v>2044.0</v>
      </c>
      <c r="Q754" s="4">
        <v>62.0</v>
      </c>
      <c r="R754" s="4">
        <v>0.0</v>
      </c>
      <c r="S754" s="4">
        <v>0.0</v>
      </c>
      <c r="T754" s="4">
        <v>0.0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0.0</v>
      </c>
      <c r="AB754" s="4">
        <v>0.0</v>
      </c>
      <c r="AC754" s="4">
        <v>0.0</v>
      </c>
      <c r="AD754" s="4" t="s">
        <v>8</v>
      </c>
      <c r="AE754" s="6" t="s">
        <v>9</v>
      </c>
    </row>
    <row r="755" ht="16.5" customHeight="1">
      <c r="A755" s="2" t="str">
        <f>IFERROR(__xludf.DUMMYFUNCTION("""COMPUTED_VALUE"""),"3234-JUNINFGC")</f>
        <v>3234-JUNINFGC</v>
      </c>
      <c r="B755" s="2" t="str">
        <f>IFERROR(__xludf.DUMMYFUNCTION("""COMPUTED_VALUE"""),"CORTES Y DESVÍOS POR EVENTO DEPORTIVO 21 K OLÍMPICOS")</f>
        <v>CORTES Y DESVÍOS POR EVENTO DEPORTIVO 21 K OLÍMPICOS</v>
      </c>
      <c r="C755" s="3">
        <f>IFERROR(__xludf.DUMMYFUNCTION("""COMPUTED_VALUE"""),46193.0)</f>
        <v>46193</v>
      </c>
      <c r="D755" s="3">
        <f>IFERROR(__xludf.DUMMYFUNCTION("""COMPUTED_VALUE"""),46194.0)</f>
        <v>46194</v>
      </c>
      <c r="E755" s="2" t="str">
        <f>IFERROR(__xludf.DUMMYFUNCTION("""COMPUTED_VALUE"""),"Movilidad")</f>
        <v>Movilidad</v>
      </c>
      <c r="F755" s="2" t="str">
        <f>IFERROR(__xludf.DUMMYFUNCTION("""COMPUTED_VALUE"""),"Infraestructura")</f>
        <v>Infraestructura</v>
      </c>
      <c r="G755" s="2" t="str">
        <f>IFERROR(__xludf.DUMMYFUNCTION("""COMPUTED_VALUE"""),"Finalizada")</f>
        <v>Finalizada</v>
      </c>
      <c r="H755" s="4">
        <v>21861.0</v>
      </c>
      <c r="I755" s="4">
        <v>0.0</v>
      </c>
      <c r="J755" s="4">
        <v>473.0</v>
      </c>
      <c r="K755" s="4">
        <v>21861.0</v>
      </c>
      <c r="L755" s="5">
        <v>1.0</v>
      </c>
      <c r="M755" s="5">
        <v>1.0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0.0</v>
      </c>
      <c r="AB755" s="4">
        <v>0.0</v>
      </c>
      <c r="AC755" s="4">
        <v>0.0</v>
      </c>
      <c r="AD755" s="6" t="s">
        <v>294</v>
      </c>
      <c r="AE755" s="4" t="s">
        <v>8</v>
      </c>
    </row>
    <row r="756" ht="16.5" customHeight="1">
      <c r="A756" s="2" t="str">
        <f>IFERROR(__xludf.DUMMYFUNCTION("""COMPUTED_VALUE"""),"3235-JUNINFGC")</f>
        <v>3235-JUNINFGC</v>
      </c>
      <c r="B756" s="2" t="str">
        <f>IFERROR(__xludf.DUMMYFUNCTION("""COMPUTED_VALUE"""),"CORTES Y DESVÍOS AU DELLEPIANE POR MONTAJE DE PASARELA")</f>
        <v>CORTES Y DESVÍOS AU DELLEPIANE POR MONTAJE DE PASARELA</v>
      </c>
      <c r="C756" s="3">
        <f>IFERROR(__xludf.DUMMYFUNCTION("""COMPUTED_VALUE"""),46192.0)</f>
        <v>46192</v>
      </c>
      <c r="D756" s="3">
        <f>IFERROR(__xludf.DUMMYFUNCTION("""COMPUTED_VALUE"""),46194.0)</f>
        <v>46194</v>
      </c>
      <c r="E756" s="2" t="str">
        <f>IFERROR(__xludf.DUMMYFUNCTION("""COMPUTED_VALUE"""),"Movilidad")</f>
        <v>Movilidad</v>
      </c>
      <c r="F756" s="2" t="str">
        <f>IFERROR(__xludf.DUMMYFUNCTION("""COMPUTED_VALUE"""),"Infraestructura")</f>
        <v>Infraestructura</v>
      </c>
      <c r="G756" s="2" t="str">
        <f>IFERROR(__xludf.DUMMYFUNCTION("""COMPUTED_VALUE"""),"Finalizada")</f>
        <v>Finalizada</v>
      </c>
      <c r="H756" s="4">
        <v>25672.0</v>
      </c>
      <c r="I756" s="4">
        <v>0.0</v>
      </c>
      <c r="J756" s="4">
        <v>290.0</v>
      </c>
      <c r="K756" s="4"/>
      <c r="L756" s="5">
        <v>0.0</v>
      </c>
      <c r="M756" s="5">
        <v>0.0</v>
      </c>
      <c r="N756" s="4">
        <v>108894.0</v>
      </c>
      <c r="O756" s="4">
        <v>107802.0</v>
      </c>
      <c r="P756" s="4">
        <v>23052.0</v>
      </c>
      <c r="Q756" s="4">
        <v>323.0</v>
      </c>
      <c r="R756" s="4">
        <v>0.0</v>
      </c>
      <c r="S756" s="4">
        <v>0.0</v>
      </c>
      <c r="T756" s="4">
        <v>0.0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0.0</v>
      </c>
      <c r="AB756" s="4">
        <v>0.0</v>
      </c>
      <c r="AC756" s="4">
        <v>0.0</v>
      </c>
      <c r="AD756" s="6" t="s">
        <v>295</v>
      </c>
      <c r="AE756" s="6" t="s">
        <v>9</v>
      </c>
    </row>
    <row r="757" ht="16.5" customHeight="1">
      <c r="A757" s="2" t="str">
        <f>IFERROR(__xludf.DUMMYFUNCTION("""COMPUTED_VALUE"""),"3236-JUNINFGC")</f>
        <v>3236-JUNINFGC</v>
      </c>
      <c r="B757" s="2" t="str">
        <f>IFERROR(__xludf.DUMMYFUNCTION("""COMPUTED_VALUE"""),"CORTES Y DESVÍOS POR PASO A NIVEL CHIVILCOY (VILLA DEVOTO)")</f>
        <v>CORTES Y DESVÍOS POR PASO A NIVEL CHIVILCOY (VILLA DEVOTO)</v>
      </c>
      <c r="C757" s="3">
        <f>IFERROR(__xludf.DUMMYFUNCTION("""COMPUTED_VALUE"""),46192.0)</f>
        <v>46192</v>
      </c>
      <c r="D757" s="3">
        <f>IFERROR(__xludf.DUMMYFUNCTION("""COMPUTED_VALUE"""),46203.0)</f>
        <v>46203</v>
      </c>
      <c r="E757" s="2" t="str">
        <f>IFERROR(__xludf.DUMMYFUNCTION("""COMPUTED_VALUE"""),"Movilidad")</f>
        <v>Movilidad</v>
      </c>
      <c r="F757" s="2" t="str">
        <f>IFERROR(__xludf.DUMMYFUNCTION("""COMPUTED_VALUE"""),"Infraestructura")</f>
        <v>Infraestructura</v>
      </c>
      <c r="G757" s="2" t="str">
        <f>IFERROR(__xludf.DUMMYFUNCTION("""COMPUTED_VALUE"""),"Finalizada")</f>
        <v>Finalizada</v>
      </c>
      <c r="H757" s="4">
        <v>29286.0</v>
      </c>
      <c r="I757" s="4">
        <v>0.0</v>
      </c>
      <c r="J757" s="4">
        <v>776.0</v>
      </c>
      <c r="K757" s="4">
        <v>16292.0</v>
      </c>
      <c r="L757" s="5">
        <v>1.7975693591946968</v>
      </c>
      <c r="M757" s="5">
        <v>1.7975693591946968</v>
      </c>
      <c r="N757" s="4">
        <v>86529.0</v>
      </c>
      <c r="O757" s="4">
        <v>85900.0</v>
      </c>
      <c r="P757" s="4">
        <v>27453.0</v>
      </c>
      <c r="Q757" s="4">
        <v>1050.0</v>
      </c>
      <c r="R757" s="4">
        <v>0.0</v>
      </c>
      <c r="S757" s="4">
        <v>0.0</v>
      </c>
      <c r="T757" s="4">
        <v>0.0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0.0</v>
      </c>
      <c r="AB757" s="4">
        <v>0.0</v>
      </c>
      <c r="AC757" s="4">
        <v>0.0</v>
      </c>
      <c r="AD757" s="6" t="s">
        <v>296</v>
      </c>
      <c r="AE757" s="6" t="s">
        <v>9</v>
      </c>
    </row>
    <row r="758" ht="16.5" customHeight="1">
      <c r="A758" s="2" t="str">
        <f>IFERROR(__xludf.DUMMYFUNCTION("""COMPUTED_VALUE"""),"3237-JUNSALCG")</f>
        <v>3237-JUNSALCG</v>
      </c>
      <c r="B758" s="2" t="str">
        <f>IFERROR(__xludf.DUMMYFUNCTION("""COMPUTED_VALUE"""),"Contenido Adicional Salud I Prioridad porteños")</f>
        <v>Contenido Adicional Salud I Prioridad porteños</v>
      </c>
      <c r="C758" s="3">
        <f>IFERROR(__xludf.DUMMYFUNCTION("""COMPUTED_VALUE"""),46192.0)</f>
        <v>46192</v>
      </c>
      <c r="D758" s="3">
        <f>IFERROR(__xludf.DUMMYFUNCTION("""COMPUTED_VALUE"""),46218.0)</f>
        <v>46218</v>
      </c>
      <c r="E758" s="2" t="str">
        <f>IFERROR(__xludf.DUMMYFUNCTION("""COMPUTED_VALUE"""),"Cuidado")</f>
        <v>Cuidado</v>
      </c>
      <c r="F758" s="2" t="str">
        <f>IFERROR(__xludf.DUMMYFUNCTION("""COMPUTED_VALUE"""),"Salud")</f>
        <v>Salud</v>
      </c>
      <c r="G758" s="2" t="str">
        <f>IFERROR(__xludf.DUMMYFUNCTION("""COMPUTED_VALUE"""),"Finalizada")</f>
        <v>Finalizada</v>
      </c>
      <c r="H758" s="4">
        <v>878235.0</v>
      </c>
      <c r="I758" s="4">
        <v>92284.0</v>
      </c>
      <c r="J758" s="4">
        <v>1016.0</v>
      </c>
      <c r="K758" s="4">
        <v>464972.0</v>
      </c>
      <c r="L758" s="5">
        <v>1.8887911530156654</v>
      </c>
      <c r="M758" s="5">
        <v>1.8887911530156654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  <c r="T758" s="4">
        <v>0.0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0.0</v>
      </c>
      <c r="AB758" s="4">
        <v>0.0</v>
      </c>
      <c r="AC758" s="4">
        <v>0.0</v>
      </c>
      <c r="AD758" s="6" t="s">
        <v>297</v>
      </c>
      <c r="AE758" s="4" t="s">
        <v>8</v>
      </c>
    </row>
    <row r="759" ht="16.5" customHeight="1">
      <c r="A759" s="2" t="str">
        <f>IFERROR(__xludf.DUMMYFUNCTION("""COMPUTED_VALUE"""),"3238-JUNSALGC")</f>
        <v>3238-JUNSALGC</v>
      </c>
      <c r="B759" s="2" t="str">
        <f>IFERROR(__xludf.DUMMYFUNCTION("""COMPUTED_VALUE"""),"SIGEHOS - Envío Deploy RIS - Nuevas novedades - Junio")</f>
        <v>SIGEHOS - Envío Deploy RIS - Nuevas novedades - Junio</v>
      </c>
      <c r="C759" s="3">
        <f>IFERROR(__xludf.DUMMYFUNCTION("""COMPUTED_VALUE"""),46196.0)</f>
        <v>46196</v>
      </c>
      <c r="D759" s="3">
        <f>IFERROR(__xludf.DUMMYFUNCTION("""COMPUTED_VALUE"""),46196.0)</f>
        <v>46196</v>
      </c>
      <c r="E759" s="2" t="str">
        <f>IFERROR(__xludf.DUMMYFUNCTION("""COMPUTED_VALUE"""),"Cuidado")</f>
        <v>Cuidado</v>
      </c>
      <c r="F759" s="2" t="str">
        <f>IFERROR(__xludf.DUMMYFUNCTION("""COMPUTED_VALUE"""),"Salud")</f>
        <v>Salud</v>
      </c>
      <c r="G759" s="2" t="str">
        <f>IFERROR(__xludf.DUMMYFUNCTION("""COMPUTED_VALUE"""),"Finalizada")</f>
        <v>Finalizada</v>
      </c>
      <c r="H759" s="4">
        <v>0.0</v>
      </c>
      <c r="I759" s="4">
        <v>0.0</v>
      </c>
      <c r="J759" s="4">
        <v>0.0</v>
      </c>
      <c r="K759" s="4">
        <v>0.0</v>
      </c>
      <c r="L759" s="5">
        <v>0.0</v>
      </c>
      <c r="M759" s="5">
        <v>0.0</v>
      </c>
      <c r="N759" s="4">
        <v>510.0</v>
      </c>
      <c r="O759" s="4">
        <v>508.0</v>
      </c>
      <c r="P759" s="4">
        <v>182.0</v>
      </c>
      <c r="Q759" s="4">
        <v>19.0</v>
      </c>
      <c r="R759" s="4">
        <v>0.0</v>
      </c>
      <c r="S759" s="4">
        <v>0.0</v>
      </c>
      <c r="T759" s="4">
        <v>0.0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0.0</v>
      </c>
      <c r="AB759" s="4">
        <v>0.0</v>
      </c>
      <c r="AC759" s="4">
        <v>0.0</v>
      </c>
      <c r="AD759" s="4" t="s">
        <v>8</v>
      </c>
      <c r="AE759" s="6" t="s">
        <v>9</v>
      </c>
    </row>
    <row r="760" ht="16.5" customHeight="1">
      <c r="A760" s="2" t="str">
        <f>IFERROR(__xludf.DUMMYFUNCTION("""COMPUTED_VALUE"""),"3239-JUNSEGVC")</f>
        <v>3239-JUNSEGVC</v>
      </c>
      <c r="B760" s="2" t="str">
        <f>IFERROR(__xludf.DUMMYFUNCTION("""COMPUTED_VALUE"""),"RDV Ministros | Maximiliano Piñeiro 25/6 Comuna 12")</f>
        <v>RDV Ministros | Maximiliano Piñeiro 25/6 Comuna 12</v>
      </c>
      <c r="C760" s="3">
        <f>IFERROR(__xludf.DUMMYFUNCTION("""COMPUTED_VALUE"""),46195.0)</f>
        <v>46195</v>
      </c>
      <c r="D760" s="3">
        <f>IFERROR(__xludf.DUMMYFUNCTION("""COMPUTED_VALUE"""),46199.0)</f>
        <v>46199</v>
      </c>
      <c r="E760" s="2" t="str">
        <f>IFERROR(__xludf.DUMMYFUNCTION("""COMPUTED_VALUE"""),"Cercanía")</f>
        <v>Cercanía</v>
      </c>
      <c r="F760" s="2" t="str">
        <f>IFERROR(__xludf.DUMMYFUNCTION("""COMPUTED_VALUE"""),"Seguridad")</f>
        <v>Seguridad</v>
      </c>
      <c r="G760" s="2" t="str">
        <f>IFERROR(__xludf.DUMMYFUNCTION("""COMPUTED_VALUE"""),"Finalizada")</f>
        <v>Finalizada</v>
      </c>
      <c r="H760" s="4">
        <v>104076.0</v>
      </c>
      <c r="I760" s="4">
        <v>0.0</v>
      </c>
      <c r="J760" s="4">
        <v>390.0</v>
      </c>
      <c r="K760" s="4">
        <v>64916.0</v>
      </c>
      <c r="L760" s="5">
        <v>1.6032411115903629</v>
      </c>
      <c r="M760" s="5">
        <v>1.6032411115903629</v>
      </c>
      <c r="N760" s="4">
        <v>95393.0</v>
      </c>
      <c r="O760" s="4">
        <v>94458.0</v>
      </c>
      <c r="P760" s="4">
        <v>19729.0</v>
      </c>
      <c r="Q760" s="4">
        <v>220.0</v>
      </c>
      <c r="R760" s="4">
        <v>84.0</v>
      </c>
      <c r="S760" s="4">
        <v>84.0</v>
      </c>
      <c r="T760" s="4">
        <v>21.0</v>
      </c>
      <c r="U760" s="4">
        <v>20.0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0.0</v>
      </c>
      <c r="AB760" s="4">
        <v>0.0</v>
      </c>
      <c r="AC760" s="4">
        <v>0.0</v>
      </c>
      <c r="AD760" s="6" t="s">
        <v>298</v>
      </c>
      <c r="AE760" s="6" t="s">
        <v>9</v>
      </c>
    </row>
    <row r="761" ht="16.5" customHeight="1">
      <c r="A761" s="2" t="str">
        <f>IFERROR(__xludf.DUMMYFUNCTION("""COMPUTED_VALUE"""),"3240-JUNSEGVC")</f>
        <v>3240-JUNSEGVC</v>
      </c>
      <c r="B761" s="2" t="str">
        <f>IFERROR(__xludf.DUMMYFUNCTION("""COMPUTED_VALUE"""),"RDV Ministros | Ruth Landerrece 25/6 Comuna 13")</f>
        <v>RDV Ministros | Ruth Landerrece 25/6 Comuna 13</v>
      </c>
      <c r="C761" s="3">
        <f>IFERROR(__xludf.DUMMYFUNCTION("""COMPUTED_VALUE"""),46195.0)</f>
        <v>46195</v>
      </c>
      <c r="D761" s="3">
        <f>IFERROR(__xludf.DUMMYFUNCTION("""COMPUTED_VALUE"""),46199.0)</f>
        <v>46199</v>
      </c>
      <c r="E761" s="2" t="str">
        <f>IFERROR(__xludf.DUMMYFUNCTION("""COMPUTED_VALUE"""),"Cercanía")</f>
        <v>Cercanía</v>
      </c>
      <c r="F761" s="2" t="str">
        <f>IFERROR(__xludf.DUMMYFUNCTION("""COMPUTED_VALUE"""),"Seguridad")</f>
        <v>Seguridad</v>
      </c>
      <c r="G761" s="2" t="str">
        <f>IFERROR(__xludf.DUMMYFUNCTION("""COMPUTED_VALUE"""),"Finalizada")</f>
        <v>Finalizada</v>
      </c>
      <c r="H761" s="4">
        <v>97526.0</v>
      </c>
      <c r="I761" s="4">
        <v>0.0</v>
      </c>
      <c r="J761" s="4">
        <v>269.0</v>
      </c>
      <c r="K761" s="4">
        <v>62089.0</v>
      </c>
      <c r="L761" s="5">
        <v>1.5707452205704715</v>
      </c>
      <c r="M761" s="5">
        <v>1.5707452205704715</v>
      </c>
      <c r="N761" s="4">
        <v>102261.0</v>
      </c>
      <c r="O761" s="4">
        <v>101329.0</v>
      </c>
      <c r="P761" s="4">
        <v>32479.0</v>
      </c>
      <c r="Q761" s="4">
        <v>395.0</v>
      </c>
      <c r="R761" s="4">
        <v>155.0</v>
      </c>
      <c r="S761" s="4">
        <v>155.0</v>
      </c>
      <c r="T761" s="4">
        <v>43.0</v>
      </c>
      <c r="U761" s="4">
        <v>43.0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0.0</v>
      </c>
      <c r="AB761" s="4">
        <v>0.0</v>
      </c>
      <c r="AC761" s="4">
        <v>0.0</v>
      </c>
      <c r="AD761" s="6" t="s">
        <v>299</v>
      </c>
      <c r="AE761" s="6" t="s">
        <v>9</v>
      </c>
    </row>
    <row r="762" ht="16.5" customHeight="1">
      <c r="A762" s="2" t="str">
        <f>IFERROR(__xludf.DUMMYFUNCTION("""COMPUTED_VALUE"""),"3241-JUNSEGVC")</f>
        <v>3241-JUNSEGVC</v>
      </c>
      <c r="B762" s="2" t="str">
        <f>IFERROR(__xludf.DUMMYFUNCTION("""COMPUTED_VALUE"""),"RDV Ministros | Horacio Gimenez  25/6 Comuna 14")</f>
        <v>RDV Ministros | Horacio Gimenez  25/6 Comuna 14</v>
      </c>
      <c r="C762" s="3">
        <f>IFERROR(__xludf.DUMMYFUNCTION("""COMPUTED_VALUE"""),46195.0)</f>
        <v>46195</v>
      </c>
      <c r="D762" s="3">
        <f>IFERROR(__xludf.DUMMYFUNCTION("""COMPUTED_VALUE"""),46199.0)</f>
        <v>46199</v>
      </c>
      <c r="E762" s="2" t="str">
        <f>IFERROR(__xludf.DUMMYFUNCTION("""COMPUTED_VALUE"""),"Cercanía")</f>
        <v>Cercanía</v>
      </c>
      <c r="F762" s="2" t="str">
        <f>IFERROR(__xludf.DUMMYFUNCTION("""COMPUTED_VALUE"""),"Seguridad")</f>
        <v>Seguridad</v>
      </c>
      <c r="G762" s="2" t="str">
        <f>IFERROR(__xludf.DUMMYFUNCTION("""COMPUTED_VALUE"""),"Finalizada")</f>
        <v>Finalizada</v>
      </c>
      <c r="H762" s="4">
        <v>429366.0</v>
      </c>
      <c r="I762" s="4">
        <v>0.0</v>
      </c>
      <c r="J762" s="4">
        <v>402.0</v>
      </c>
      <c r="K762" s="4">
        <v>296150.0</v>
      </c>
      <c r="L762" s="5">
        <v>1.4498261016376837</v>
      </c>
      <c r="M762" s="5">
        <v>1.4498261016376837</v>
      </c>
      <c r="N762" s="4">
        <v>87184.0</v>
      </c>
      <c r="O762" s="4">
        <v>86231.0</v>
      </c>
      <c r="P762" s="4">
        <v>23344.0</v>
      </c>
      <c r="Q762" s="4">
        <v>230.0</v>
      </c>
      <c r="R762" s="4">
        <v>81.0</v>
      </c>
      <c r="S762" s="4">
        <v>81.0</v>
      </c>
      <c r="T762" s="4">
        <v>26.0</v>
      </c>
      <c r="U762" s="4">
        <v>26.0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0.0</v>
      </c>
      <c r="AB762" s="4">
        <v>0.0</v>
      </c>
      <c r="AC762" s="4">
        <v>0.0</v>
      </c>
      <c r="AD762" s="6" t="s">
        <v>300</v>
      </c>
      <c r="AE762" s="6" t="s">
        <v>9</v>
      </c>
    </row>
    <row r="763" ht="16.5" customHeight="1">
      <c r="A763" s="2" t="str">
        <f>IFERROR(__xludf.DUMMYFUNCTION("""COMPUTED_VALUE"""),"3242-JUNSEGVC")</f>
        <v>3242-JUNSEGVC</v>
      </c>
      <c r="B763" s="2" t="str">
        <f>IFERROR(__xludf.DUMMYFUNCTION("""COMPUTED_VALUE"""),"RDV Ministros | Gabino Tapia 25/6 Comuna 15")</f>
        <v>RDV Ministros | Gabino Tapia 25/6 Comuna 15</v>
      </c>
      <c r="C763" s="3">
        <f>IFERROR(__xludf.DUMMYFUNCTION("""COMPUTED_VALUE"""),46166.0)</f>
        <v>46166</v>
      </c>
      <c r="D763" s="3">
        <f>IFERROR(__xludf.DUMMYFUNCTION("""COMPUTED_VALUE"""),46199.0)</f>
        <v>46199</v>
      </c>
      <c r="E763" s="2" t="str">
        <f>IFERROR(__xludf.DUMMYFUNCTION("""COMPUTED_VALUE"""),"Cercanía")</f>
        <v>Cercanía</v>
      </c>
      <c r="F763" s="2" t="str">
        <f>IFERROR(__xludf.DUMMYFUNCTION("""COMPUTED_VALUE"""),"Seguridad")</f>
        <v>Seguridad</v>
      </c>
      <c r="G763" s="2" t="str">
        <f>IFERROR(__xludf.DUMMYFUNCTION("""COMPUTED_VALUE"""),"Finalizada")</f>
        <v>Finalizada</v>
      </c>
      <c r="H763" s="4">
        <v>69425.0</v>
      </c>
      <c r="I763" s="4">
        <v>0.0</v>
      </c>
      <c r="J763" s="4">
        <v>228.0</v>
      </c>
      <c r="K763" s="4">
        <v>63198.0</v>
      </c>
      <c r="L763" s="5">
        <v>1.0985315991012374</v>
      </c>
      <c r="M763" s="5">
        <v>1.0985315991012374</v>
      </c>
      <c r="N763" s="4">
        <v>79458.0</v>
      </c>
      <c r="O763" s="4">
        <v>78742.0</v>
      </c>
      <c r="P763" s="4">
        <v>13994.0</v>
      </c>
      <c r="Q763" s="4">
        <v>190.0</v>
      </c>
      <c r="R763" s="4">
        <v>73.0</v>
      </c>
      <c r="S763" s="4">
        <v>73.0</v>
      </c>
      <c r="T763" s="4">
        <v>19.0</v>
      </c>
      <c r="U763" s="4">
        <v>19.0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0.0</v>
      </c>
      <c r="AB763" s="4">
        <v>0.0</v>
      </c>
      <c r="AC763" s="4">
        <v>0.0</v>
      </c>
      <c r="AD763" s="6" t="s">
        <v>301</v>
      </c>
      <c r="AE763" s="6" t="s">
        <v>9</v>
      </c>
    </row>
    <row r="764" ht="16.5" customHeight="1">
      <c r="A764" s="2" t="str">
        <f>IFERROR(__xludf.DUMMYFUNCTION("""COMPUTED_VALUE"""),"3243-JUNFESGC")</f>
        <v>3243-JUNFESGC</v>
      </c>
      <c r="B764" s="2" t="str">
        <f>IFERROR(__xludf.DUMMYFUNCTION("""COMPUTED_VALUE"""),"Vacaciones de invierno | Estación invierno")</f>
        <v>Vacaciones de invierno | Estación invierno</v>
      </c>
      <c r="C764" s="3">
        <f>IFERROR(__xludf.DUMMYFUNCTION("""COMPUTED_VALUE"""),46224.0)</f>
        <v>46224</v>
      </c>
      <c r="D764" s="3">
        <f>IFERROR(__xludf.DUMMYFUNCTION("""COMPUTED_VALUE"""),46236.0)</f>
        <v>46236</v>
      </c>
      <c r="E764" s="2" t="str">
        <f>IFERROR(__xludf.DUMMYFUNCTION("""COMPUTED_VALUE"""),"Ciudad Atractiva")</f>
        <v>Ciudad Atractiva</v>
      </c>
      <c r="F764" s="2" t="str">
        <f>IFERROR(__xludf.DUMMYFUNCTION("""COMPUTED_VALUE"""),"Festivales y Eventos")</f>
        <v>Festivales y Eventos</v>
      </c>
      <c r="G764" s="2" t="str">
        <f>IFERROR(__xludf.DUMMYFUNCTION("""COMPUTED_VALUE"""),"Activa")</f>
        <v>Activa</v>
      </c>
      <c r="H764" s="4">
        <v>79072.0</v>
      </c>
      <c r="I764" s="4">
        <v>0.0</v>
      </c>
      <c r="J764" s="4">
        <v>125.0</v>
      </c>
      <c r="K764" s="4">
        <v>67498.0</v>
      </c>
      <c r="L764" s="5">
        <v>1.147634003970488</v>
      </c>
      <c r="M764" s="5">
        <v>1.1714717473110314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0.0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0.0</v>
      </c>
      <c r="AB764" s="4">
        <v>0.0</v>
      </c>
      <c r="AC764" s="4">
        <v>0.0</v>
      </c>
      <c r="AD764" s="4"/>
      <c r="AE764" s="4" t="s">
        <v>9</v>
      </c>
    </row>
    <row r="765" ht="16.5" customHeight="1">
      <c r="A765" s="2" t="str">
        <f>IFERROR(__xludf.DUMMYFUNCTION("""COMPUTED_VALUE"""),"3245-JUNFESGC")</f>
        <v>3245-JUNFESGC</v>
      </c>
      <c r="B765" s="2" t="str">
        <f>IFERROR(__xludf.DUMMYFUNCTION("""COMPUTED_VALUE"""),"Vacaciones de Invierno | Invierno en las plazas ")</f>
        <v>Vacaciones de Invierno | Invierno en las plazas </v>
      </c>
      <c r="C765" s="3">
        <f>IFERROR(__xludf.DUMMYFUNCTION("""COMPUTED_VALUE"""),46217.0)</f>
        <v>46217</v>
      </c>
      <c r="D765" s="3">
        <f>IFERROR(__xludf.DUMMYFUNCTION("""COMPUTED_VALUE"""),46236.0)</f>
        <v>46236</v>
      </c>
      <c r="E765" s="2" t="str">
        <f>IFERROR(__xludf.DUMMYFUNCTION("""COMPUTED_VALUE"""),"Ciudad Atractiva")</f>
        <v>Ciudad Atractiva</v>
      </c>
      <c r="F765" s="2" t="str">
        <f>IFERROR(__xludf.DUMMYFUNCTION("""COMPUTED_VALUE"""),"Festivales y Eventos")</f>
        <v>Festivales y Eventos</v>
      </c>
      <c r="G765" s="2" t="str">
        <f>IFERROR(__xludf.DUMMYFUNCTION("""COMPUTED_VALUE"""),"Activa")</f>
        <v>Activa</v>
      </c>
      <c r="H765" s="4">
        <v>1571087.0</v>
      </c>
      <c r="I765" s="4">
        <v>0.0</v>
      </c>
      <c r="J765" s="4">
        <v>4535.0</v>
      </c>
      <c r="K765" s="4">
        <v>413526.0</v>
      </c>
      <c r="L765" s="5">
        <v>1.7507266774035974</v>
      </c>
      <c r="M765" s="5">
        <v>3.7992459966241543</v>
      </c>
      <c r="N765" s="4">
        <v>213696.0</v>
      </c>
      <c r="O765" s="4">
        <v>210923.0</v>
      </c>
      <c r="P765" s="4">
        <v>52599.0</v>
      </c>
      <c r="Q765" s="4">
        <v>2038.0</v>
      </c>
      <c r="R765" s="4">
        <v>0.0</v>
      </c>
      <c r="S765" s="4">
        <v>0.0</v>
      </c>
      <c r="T765" s="4">
        <v>0.0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0.0</v>
      </c>
      <c r="AB765" s="4">
        <v>0.0</v>
      </c>
      <c r="AC765" s="4">
        <v>0.0</v>
      </c>
      <c r="AD765" s="4"/>
      <c r="AE765" s="6" t="s">
        <v>9</v>
      </c>
    </row>
    <row r="766" ht="16.5" customHeight="1">
      <c r="A766" s="2" t="str">
        <f>IFERROR(__xludf.DUMMYFUNCTION("""COMPUTED_VALUE"""),"3246-JUNAMBVC")</f>
        <v>3246-JUNAMBVC</v>
      </c>
      <c r="B766" s="2" t="str">
        <f>IFERROR(__xludf.DUMMYFUNCTION("""COMPUTED_VALUE"""),"RDV Ministros | Clara Muzzio - 26/6 - Temática")</f>
        <v>RDV Ministros | Clara Muzzio - 26/6 - Temática</v>
      </c>
      <c r="C766" s="3">
        <f>IFERROR(__xludf.DUMMYFUNCTION("""COMPUTED_VALUE"""),46195.0)</f>
        <v>46195</v>
      </c>
      <c r="D766" s="3">
        <f>IFERROR(__xludf.DUMMYFUNCTION("""COMPUTED_VALUE"""),46204.0)</f>
        <v>46204</v>
      </c>
      <c r="E766" s="2" t="str">
        <f>IFERROR(__xludf.DUMMYFUNCTION("""COMPUTED_VALUE"""),"Cercanía")</f>
        <v>Cercanía</v>
      </c>
      <c r="F766" s="2" t="str">
        <f>IFERROR(__xludf.DUMMYFUNCTION("""COMPUTED_VALUE"""),"Vicejefatura (Ambiente)")</f>
        <v>Vicejefatura (Ambiente)</v>
      </c>
      <c r="G766" s="2" t="str">
        <f>IFERROR(__xludf.DUMMYFUNCTION("""COMPUTED_VALUE"""),"Finalizada")</f>
        <v>Finalizada</v>
      </c>
      <c r="H766" s="4">
        <v>365488.0</v>
      </c>
      <c r="I766" s="4">
        <v>0.0</v>
      </c>
      <c r="J766" s="4">
        <v>322.0</v>
      </c>
      <c r="K766" s="4">
        <v>293244.0</v>
      </c>
      <c r="L766" s="5">
        <v>1.2463613918784358</v>
      </c>
      <c r="M766" s="5">
        <v>1.2463613918784358</v>
      </c>
      <c r="N766" s="4">
        <v>15371.0</v>
      </c>
      <c r="O766" s="4">
        <v>15297.0</v>
      </c>
      <c r="P766" s="4">
        <v>5231.0</v>
      </c>
      <c r="Q766" s="4">
        <v>96.0</v>
      </c>
      <c r="R766" s="4">
        <v>0.0</v>
      </c>
      <c r="S766" s="4">
        <v>0.0</v>
      </c>
      <c r="T766" s="4">
        <v>0.0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0.0</v>
      </c>
      <c r="AB766" s="4">
        <v>0.0</v>
      </c>
      <c r="AC766" s="4">
        <v>0.0</v>
      </c>
      <c r="AD766" s="6" t="s">
        <v>302</v>
      </c>
      <c r="AE766" s="6" t="s">
        <v>9</v>
      </c>
    </row>
    <row r="767" ht="16.5" customHeight="1">
      <c r="A767" s="2" t="str">
        <f>IFERROR(__xludf.DUMMYFUNCTION("""COMPUTED_VALUE"""),"3247-JUNSALVC")</f>
        <v>3247-JUNSALVC</v>
      </c>
      <c r="B767" s="2" t="str">
        <f>IFERROR(__xludf.DUMMYFUNCTION("""COMPUTED_VALUE"""),"RDV Ministros | Fernán Quirós - 26/6 ")</f>
        <v>RDV Ministros | Fernán Quirós - 26/6 </v>
      </c>
      <c r="C767" s="3">
        <f>IFERROR(__xludf.DUMMYFUNCTION("""COMPUTED_VALUE"""),46195.0)</f>
        <v>46195</v>
      </c>
      <c r="D767" s="3">
        <f>IFERROR(__xludf.DUMMYFUNCTION("""COMPUTED_VALUE"""),46200.0)</f>
        <v>46200</v>
      </c>
      <c r="E767" s="2" t="str">
        <f>IFERROR(__xludf.DUMMYFUNCTION("""COMPUTED_VALUE"""),"Cercanía")</f>
        <v>Cercanía</v>
      </c>
      <c r="F767" s="2" t="str">
        <f>IFERROR(__xludf.DUMMYFUNCTION("""COMPUTED_VALUE"""),"Salud")</f>
        <v>Salud</v>
      </c>
      <c r="G767" s="2" t="str">
        <f>IFERROR(__xludf.DUMMYFUNCTION("""COMPUTED_VALUE"""),"Finalizada")</f>
        <v>Finalizada</v>
      </c>
      <c r="H767" s="4">
        <v>105926.0</v>
      </c>
      <c r="I767" s="4">
        <v>0.0</v>
      </c>
      <c r="J767" s="4">
        <v>458.0</v>
      </c>
      <c r="K767" s="4">
        <v>64819.0</v>
      </c>
      <c r="L767" s="5">
        <v>1.634181335719465</v>
      </c>
      <c r="M767" s="5">
        <v>1.634181335719465</v>
      </c>
      <c r="N767" s="4">
        <v>83868.0</v>
      </c>
      <c r="O767" s="4">
        <v>82777.0</v>
      </c>
      <c r="P767" s="4">
        <v>11848.0</v>
      </c>
      <c r="Q767" s="4">
        <v>247.0</v>
      </c>
      <c r="R767" s="4">
        <v>114.0</v>
      </c>
      <c r="S767" s="4">
        <v>114.0</v>
      </c>
      <c r="T767" s="4">
        <v>31.0</v>
      </c>
      <c r="U767" s="4">
        <v>31.0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0.0</v>
      </c>
      <c r="AB767" s="4">
        <v>0.0</v>
      </c>
      <c r="AC767" s="4">
        <v>0.0</v>
      </c>
      <c r="AD767" s="6" t="s">
        <v>303</v>
      </c>
      <c r="AE767" s="6" t="s">
        <v>9</v>
      </c>
    </row>
    <row r="768" ht="16.5" customHeight="1">
      <c r="A768" s="2" t="str">
        <f>IFERROR(__xludf.DUMMYFUNCTION("""COMPUTED_VALUE"""),"3248-JUNJDGVC")</f>
        <v>3248-JUNJDGVC</v>
      </c>
      <c r="B768" s="2" t="str">
        <f>IFERROR(__xludf.DUMMYFUNCTION("""COMPUTED_VALUE"""),"RDV Ministros | Gabriel Sánchez Zinny - 26/6")</f>
        <v>RDV Ministros | Gabriel Sánchez Zinny - 26/6</v>
      </c>
      <c r="C768" s="3">
        <f>IFERROR(__xludf.DUMMYFUNCTION("""COMPUTED_VALUE"""),46196.0)</f>
        <v>46196</v>
      </c>
      <c r="D768" s="3">
        <f>IFERROR(__xludf.DUMMYFUNCTION("""COMPUTED_VALUE"""),46203.0)</f>
        <v>46203</v>
      </c>
      <c r="E768" s="2" t="str">
        <f>IFERROR(__xludf.DUMMYFUNCTION("""COMPUTED_VALUE"""),"Cercanía")</f>
        <v>Cercanía</v>
      </c>
      <c r="F768" s="2" t="str">
        <f>IFERROR(__xludf.DUMMYFUNCTION("""COMPUTED_VALUE"""),"Jefatura de Gabinete")</f>
        <v>Jefatura de Gabinete</v>
      </c>
      <c r="G768" s="2" t="str">
        <f>IFERROR(__xludf.DUMMYFUNCTION("""COMPUTED_VALUE"""),"Finalizada")</f>
        <v>Finalizada</v>
      </c>
      <c r="H768" s="4">
        <v>118581.0</v>
      </c>
      <c r="I768" s="4">
        <v>0.0</v>
      </c>
      <c r="J768" s="4">
        <v>367.0</v>
      </c>
      <c r="K768" s="4">
        <v>76388.0</v>
      </c>
      <c r="L768" s="5">
        <v>1.5523511546316175</v>
      </c>
      <c r="M768" s="5">
        <v>1.5523511546316175</v>
      </c>
      <c r="N768" s="4">
        <v>79266.0</v>
      </c>
      <c r="O768" s="4">
        <v>78495.0</v>
      </c>
      <c r="P768" s="4">
        <v>16586.0</v>
      </c>
      <c r="Q768" s="4">
        <v>350.0</v>
      </c>
      <c r="R768" s="4">
        <v>144.0</v>
      </c>
      <c r="S768" s="4">
        <v>144.0</v>
      </c>
      <c r="T768" s="4">
        <v>47.0</v>
      </c>
      <c r="U768" s="4">
        <v>46.0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0.0</v>
      </c>
      <c r="AB768" s="4">
        <v>0.0</v>
      </c>
      <c r="AC768" s="4">
        <v>0.0</v>
      </c>
      <c r="AD768" s="6" t="s">
        <v>304</v>
      </c>
      <c r="AE768" s="6" t="s">
        <v>9</v>
      </c>
    </row>
    <row r="769" ht="16.5" customHeight="1">
      <c r="A769" s="2" t="str">
        <f>IFERROR(__xludf.DUMMYFUNCTION("""COMPUTED_VALUE"""),"3250-JUNVINGC")</f>
        <v>3250-JUNVINGC</v>
      </c>
      <c r="B769" s="2" t="str">
        <f>IFERROR(__xludf.DUMMYFUNCTION("""COMPUTED_VALUE"""),"Más servicios en tu barrio - 29/6 - Parque Patricios")</f>
        <v>Más servicios en tu barrio - 29/6 - Parque Patricios</v>
      </c>
      <c r="C769" s="3">
        <f>IFERROR(__xludf.DUMMYFUNCTION("""COMPUTED_VALUE"""),46198.0)</f>
        <v>46198</v>
      </c>
      <c r="D769" s="3">
        <f>IFERROR(__xludf.DUMMYFUNCTION("""COMPUTED_VALUE"""),46198.0)</f>
        <v>46198</v>
      </c>
      <c r="E769" s="2" t="str">
        <f>IFERROR(__xludf.DUMMYFUNCTION("""COMPUTED_VALUE"""),"M2")</f>
        <v>M2</v>
      </c>
      <c r="F769" s="2" t="str">
        <f>IFERROR(__xludf.DUMMYFUNCTION("""COMPUTED_VALUE"""),"Vínculo Ciudadano")</f>
        <v>Vínculo Ciudadano</v>
      </c>
      <c r="G769" s="2" t="str">
        <f>IFERROR(__xludf.DUMMYFUNCTION("""COMPUTED_VALUE"""),"Finalizada")</f>
        <v>Finalizada</v>
      </c>
      <c r="H769" s="4">
        <v>0.0</v>
      </c>
      <c r="I769" s="4">
        <v>0.0</v>
      </c>
      <c r="J769" s="4">
        <v>0.0</v>
      </c>
      <c r="K769" s="4">
        <v>0.0</v>
      </c>
      <c r="L769" s="5">
        <v>0.0</v>
      </c>
      <c r="M769" s="5">
        <v>0.0</v>
      </c>
      <c r="N769" s="4">
        <v>12309.0</v>
      </c>
      <c r="O769" s="4">
        <v>12139.0</v>
      </c>
      <c r="P769" s="4">
        <v>3609.0</v>
      </c>
      <c r="Q769" s="4">
        <v>191.0</v>
      </c>
      <c r="R769" s="4">
        <v>0.0</v>
      </c>
      <c r="S769" s="4">
        <v>0.0</v>
      </c>
      <c r="T769" s="4">
        <v>0.0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0.0</v>
      </c>
      <c r="AB769" s="4">
        <v>0.0</v>
      </c>
      <c r="AC769" s="4">
        <v>0.0</v>
      </c>
      <c r="AD769" s="4" t="s">
        <v>8</v>
      </c>
      <c r="AE769" s="6" t="s">
        <v>9</v>
      </c>
    </row>
    <row r="770" ht="16.5" customHeight="1">
      <c r="A770" s="2" t="str">
        <f>IFERROR(__xludf.DUMMYFUNCTION("""COMPUTED_VALUE"""),"3251-JUNVINGC")</f>
        <v>3251-JUNVINGC</v>
      </c>
      <c r="B770" s="2" t="str">
        <f>IFERROR(__xludf.DUMMYFUNCTION("""COMPUTED_VALUE"""),"Más servicios en tu barrio - 30/6 - Vélez Sarsfield")</f>
        <v>Más servicios en tu barrio - 30/6 - Vélez Sarsfield</v>
      </c>
      <c r="C770" s="3">
        <f>IFERROR(__xludf.DUMMYFUNCTION("""COMPUTED_VALUE"""),46198.0)</f>
        <v>46198</v>
      </c>
      <c r="D770" s="3">
        <f>IFERROR(__xludf.DUMMYFUNCTION("""COMPUTED_VALUE"""),46198.0)</f>
        <v>46198</v>
      </c>
      <c r="E770" s="2" t="str">
        <f>IFERROR(__xludf.DUMMYFUNCTION("""COMPUTED_VALUE"""),"M2")</f>
        <v>M2</v>
      </c>
      <c r="F770" s="2" t="str">
        <f>IFERROR(__xludf.DUMMYFUNCTION("""COMPUTED_VALUE"""),"Vínculo Ciudadano")</f>
        <v>Vínculo Ciudadano</v>
      </c>
      <c r="G770" s="2" t="str">
        <f>IFERROR(__xludf.DUMMYFUNCTION("""COMPUTED_VALUE"""),"Finalizada")</f>
        <v>Finalizada</v>
      </c>
      <c r="H770" s="4">
        <v>0.0</v>
      </c>
      <c r="I770" s="4">
        <v>0.0</v>
      </c>
      <c r="J770" s="4">
        <v>0.0</v>
      </c>
      <c r="K770" s="4">
        <v>0.0</v>
      </c>
      <c r="L770" s="5">
        <v>0.0</v>
      </c>
      <c r="M770" s="5">
        <v>0.0</v>
      </c>
      <c r="N770" s="4">
        <v>13892.0</v>
      </c>
      <c r="O770" s="4">
        <v>13761.0</v>
      </c>
      <c r="P770" s="4">
        <v>4356.0</v>
      </c>
      <c r="Q770" s="4">
        <v>217.0</v>
      </c>
      <c r="R770" s="4">
        <v>0.0</v>
      </c>
      <c r="S770" s="4">
        <v>0.0</v>
      </c>
      <c r="T770" s="4">
        <v>0.0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0.0</v>
      </c>
      <c r="AB770" s="4">
        <v>0.0</v>
      </c>
      <c r="AC770" s="4">
        <v>0.0</v>
      </c>
      <c r="AD770" s="4" t="s">
        <v>8</v>
      </c>
      <c r="AE770" s="6" t="s">
        <v>9</v>
      </c>
    </row>
    <row r="771" ht="16.5" customHeight="1">
      <c r="A771" s="2" t="str">
        <f>IFERROR(__xludf.DUMMYFUNCTION("""COMPUTED_VALUE"""),"3252-JUNVINGC")</f>
        <v>3252-JUNVINGC</v>
      </c>
      <c r="B771" s="2" t="str">
        <f>IFERROR(__xludf.DUMMYFUNCTION("""COMPUTED_VALUE"""),"Más servicios en tu barrio - 1/7 - Barracas")</f>
        <v>Más servicios en tu barrio - 1/7 - Barracas</v>
      </c>
      <c r="C771" s="3">
        <f>IFERROR(__xludf.DUMMYFUNCTION("""COMPUTED_VALUE"""),46199.0)</f>
        <v>46199</v>
      </c>
      <c r="D771" s="3">
        <f>IFERROR(__xludf.DUMMYFUNCTION("""COMPUTED_VALUE"""),46199.0)</f>
        <v>46199</v>
      </c>
      <c r="E771" s="2" t="str">
        <f>IFERROR(__xludf.DUMMYFUNCTION("""COMPUTED_VALUE"""),"M2")</f>
        <v>M2</v>
      </c>
      <c r="F771" s="2" t="str">
        <f>IFERROR(__xludf.DUMMYFUNCTION("""COMPUTED_VALUE"""),"Vínculo Ciudadano")</f>
        <v>Vínculo Ciudadano</v>
      </c>
      <c r="G771" s="2" t="str">
        <f>IFERROR(__xludf.DUMMYFUNCTION("""COMPUTED_VALUE"""),"Finalizada")</f>
        <v>Finalizada</v>
      </c>
      <c r="H771" s="4">
        <v>0.0</v>
      </c>
      <c r="I771" s="4">
        <v>0.0</v>
      </c>
      <c r="J771" s="4">
        <v>0.0</v>
      </c>
      <c r="K771" s="4">
        <v>0.0</v>
      </c>
      <c r="L771" s="5">
        <v>0.0</v>
      </c>
      <c r="M771" s="5">
        <v>0.0</v>
      </c>
      <c r="N771" s="4">
        <v>7747.0</v>
      </c>
      <c r="O771" s="4">
        <v>7621.0</v>
      </c>
      <c r="P771" s="4">
        <v>2280.0</v>
      </c>
      <c r="Q771" s="4">
        <v>143.0</v>
      </c>
      <c r="R771" s="4">
        <v>0.0</v>
      </c>
      <c r="S771" s="4">
        <v>0.0</v>
      </c>
      <c r="T771" s="4">
        <v>0.0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0.0</v>
      </c>
      <c r="AB771" s="4">
        <v>0.0</v>
      </c>
      <c r="AC771" s="4">
        <v>0.0</v>
      </c>
      <c r="AD771" s="4" t="s">
        <v>8</v>
      </c>
      <c r="AE771" s="6" t="s">
        <v>9</v>
      </c>
    </row>
    <row r="772" ht="16.5" customHeight="1">
      <c r="A772" s="2" t="str">
        <f>IFERROR(__xludf.DUMMYFUNCTION("""COMPUTED_VALUE"""),"3253-JUNVINGC")</f>
        <v>3253-JUNVINGC</v>
      </c>
      <c r="B772" s="2" t="str">
        <f>IFERROR(__xludf.DUMMYFUNCTION("""COMPUTED_VALUE"""),"Más servicios en tu barrio - 2/7 - Villa Urquiza")</f>
        <v>Más servicios en tu barrio - 2/7 - Villa Urquiza</v>
      </c>
      <c r="C772" s="3">
        <f>IFERROR(__xludf.DUMMYFUNCTION("""COMPUTED_VALUE"""),46202.0)</f>
        <v>46202</v>
      </c>
      <c r="D772" s="3">
        <f>IFERROR(__xludf.DUMMYFUNCTION("""COMPUTED_VALUE"""),46202.0)</f>
        <v>46202</v>
      </c>
      <c r="E772" s="2" t="str">
        <f>IFERROR(__xludf.DUMMYFUNCTION("""COMPUTED_VALUE"""),"M2")</f>
        <v>M2</v>
      </c>
      <c r="F772" s="2" t="str">
        <f>IFERROR(__xludf.DUMMYFUNCTION("""COMPUTED_VALUE"""),"Vínculo Ciudadano")</f>
        <v>Vínculo Ciudadano</v>
      </c>
      <c r="G772" s="2" t="str">
        <f>IFERROR(__xludf.DUMMYFUNCTION("""COMPUTED_VALUE"""),"Finalizada")</f>
        <v>Finalizada</v>
      </c>
      <c r="H772" s="4">
        <v>0.0</v>
      </c>
      <c r="I772" s="4">
        <v>0.0</v>
      </c>
      <c r="J772" s="4">
        <v>0.0</v>
      </c>
      <c r="K772" s="4">
        <v>0.0</v>
      </c>
      <c r="L772" s="5">
        <v>0.0</v>
      </c>
      <c r="M772" s="5">
        <v>0.0</v>
      </c>
      <c r="N772" s="4">
        <v>13637.0</v>
      </c>
      <c r="O772" s="4">
        <v>13515.0</v>
      </c>
      <c r="P772" s="4">
        <v>5286.0</v>
      </c>
      <c r="Q772" s="4">
        <v>272.0</v>
      </c>
      <c r="R772" s="4">
        <v>0.0</v>
      </c>
      <c r="S772" s="4">
        <v>0.0</v>
      </c>
      <c r="T772" s="4">
        <v>0.0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0.0</v>
      </c>
      <c r="AB772" s="4">
        <v>0.0</v>
      </c>
      <c r="AC772" s="4">
        <v>0.0</v>
      </c>
      <c r="AD772" s="4" t="s">
        <v>8</v>
      </c>
      <c r="AE772" s="6" t="s">
        <v>9</v>
      </c>
    </row>
    <row r="773" ht="16.5" customHeight="1">
      <c r="A773" s="2" t="str">
        <f>IFERROR(__xludf.DUMMYFUNCTION("""COMPUTED_VALUE"""),"3254-JUNVINGC")</f>
        <v>3254-JUNVINGC</v>
      </c>
      <c r="B773" s="2" t="str">
        <f>IFERROR(__xludf.DUMMYFUNCTION("""COMPUTED_VALUE"""),"Más servicios en tu barrio - 3/7 - Núñez")</f>
        <v>Más servicios en tu barrio - 3/7 - Núñez</v>
      </c>
      <c r="C773" s="3">
        <f>IFERROR(__xludf.DUMMYFUNCTION("""COMPUTED_VALUE"""),46202.0)</f>
        <v>46202</v>
      </c>
      <c r="D773" s="3">
        <f>IFERROR(__xludf.DUMMYFUNCTION("""COMPUTED_VALUE"""),46202.0)</f>
        <v>46202</v>
      </c>
      <c r="E773" s="2" t="str">
        <f>IFERROR(__xludf.DUMMYFUNCTION("""COMPUTED_VALUE"""),"M2")</f>
        <v>M2</v>
      </c>
      <c r="F773" s="2" t="str">
        <f>IFERROR(__xludf.DUMMYFUNCTION("""COMPUTED_VALUE"""),"Vínculo Ciudadano")</f>
        <v>Vínculo Ciudadano</v>
      </c>
      <c r="G773" s="2" t="str">
        <f>IFERROR(__xludf.DUMMYFUNCTION("""COMPUTED_VALUE"""),"Finalizada")</f>
        <v>Finalizada</v>
      </c>
      <c r="H773" s="4">
        <v>0.0</v>
      </c>
      <c r="I773" s="4">
        <v>0.0</v>
      </c>
      <c r="J773" s="4">
        <v>0.0</v>
      </c>
      <c r="K773" s="4">
        <v>0.0</v>
      </c>
      <c r="L773" s="5">
        <v>0.0</v>
      </c>
      <c r="M773" s="5">
        <v>0.0</v>
      </c>
      <c r="N773" s="4">
        <v>23201.0</v>
      </c>
      <c r="O773" s="4">
        <v>23003.0</v>
      </c>
      <c r="P773" s="4">
        <v>8906.0</v>
      </c>
      <c r="Q773" s="4">
        <v>258.0</v>
      </c>
      <c r="R773" s="4">
        <v>0.0</v>
      </c>
      <c r="S773" s="4">
        <v>0.0</v>
      </c>
      <c r="T773" s="4">
        <v>0.0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0.0</v>
      </c>
      <c r="AB773" s="4">
        <v>0.0</v>
      </c>
      <c r="AC773" s="4">
        <v>0.0</v>
      </c>
      <c r="AD773" s="4" t="s">
        <v>8</v>
      </c>
      <c r="AE773" s="6" t="s">
        <v>9</v>
      </c>
    </row>
    <row r="774" ht="16.5" customHeight="1">
      <c r="A774" s="2" t="str">
        <f>IFERROR(__xludf.DUMMYFUNCTION("""COMPUTED_VALUE"""),"3255-JUNCCRSGC")</f>
        <v>3255-JUNCCRSGC</v>
      </c>
      <c r="B774" s="2" t="str">
        <f>IFERROR(__xludf.DUMMYFUNCTION("""COMPUTED_VALUE"""),"Programa Proyectate")</f>
        <v>Programa Proyectate</v>
      </c>
      <c r="C774" s="3">
        <f>IFERROR(__xludf.DUMMYFUNCTION("""COMPUTED_VALUE"""),46202.0)</f>
        <v>46202</v>
      </c>
      <c r="D774" s="3">
        <f>IFERROR(__xludf.DUMMYFUNCTION("""COMPUTED_VALUE"""),46202.0)</f>
        <v>46202</v>
      </c>
      <c r="E774" s="2" t="str">
        <f>IFERROR(__xludf.DUMMYFUNCTION("""COMPUTED_VALUE"""),"Cuidado")</f>
        <v>Cuidado</v>
      </c>
      <c r="F774" s="2" t="str">
        <f>IFERROR(__xludf.DUMMYFUNCTION("""COMPUTED_VALUE"""),"Vicejefatura (Cultura Ciudadana y Responsabilidad Social)")</f>
        <v>Vicejefatura (Cultura Ciudadana y Responsabilidad Social)</v>
      </c>
      <c r="G774" s="2" t="str">
        <f>IFERROR(__xludf.DUMMYFUNCTION("""COMPUTED_VALUE"""),"Finalizada")</f>
        <v>Finalizada</v>
      </c>
      <c r="H774" s="4">
        <v>0.0</v>
      </c>
      <c r="I774" s="4">
        <v>0.0</v>
      </c>
      <c r="J774" s="4">
        <v>0.0</v>
      </c>
      <c r="K774" s="4">
        <v>0.0</v>
      </c>
      <c r="L774" s="5">
        <v>0.0</v>
      </c>
      <c r="M774" s="5">
        <v>0.0</v>
      </c>
      <c r="N774" s="4">
        <v>74177.0</v>
      </c>
      <c r="O774" s="4">
        <v>72211.0</v>
      </c>
      <c r="P774" s="4">
        <v>25267.0</v>
      </c>
      <c r="Q774" s="4">
        <v>1132.0</v>
      </c>
      <c r="R774" s="4">
        <v>0.0</v>
      </c>
      <c r="S774" s="4">
        <v>0.0</v>
      </c>
      <c r="T774" s="4">
        <v>0.0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0.0</v>
      </c>
      <c r="AB774" s="4">
        <v>0.0</v>
      </c>
      <c r="AC774" s="4">
        <v>0.0</v>
      </c>
      <c r="AD774" s="4" t="s">
        <v>8</v>
      </c>
      <c r="AE774" s="6" t="s">
        <v>9</v>
      </c>
    </row>
    <row r="775" ht="16.5" customHeight="1">
      <c r="A775" s="2" t="str">
        <f>IFERROR(__xludf.DUMMYFUNCTION("""COMPUTED_VALUE"""),"3256-JUNINFGC")</f>
        <v>3256-JUNINFGC</v>
      </c>
      <c r="B775" s="2" t="str">
        <f>IFERROR(__xludf.DUMMYFUNCTION("""COMPUTED_VALUE"""),"CORTES Y DESVÍOS POR MUNDIAL DESCENTRALIZADO: MODO HINCHA EN BA")</f>
        <v>CORTES Y DESVÍOS POR MUNDIAL DESCENTRALIZADO: MODO HINCHA EN BA</v>
      </c>
      <c r="C775" s="3">
        <f>IFERROR(__xludf.DUMMYFUNCTION("""COMPUTED_VALUE"""),46199.0)</f>
        <v>46199</v>
      </c>
      <c r="D775" s="3">
        <f>IFERROR(__xludf.DUMMYFUNCTION("""COMPUTED_VALUE"""),46201.0)</f>
        <v>46201</v>
      </c>
      <c r="E775" s="2" t="str">
        <f>IFERROR(__xludf.DUMMYFUNCTION("""COMPUTED_VALUE"""),"Movilidad")</f>
        <v>Movilidad</v>
      </c>
      <c r="F775" s="2" t="str">
        <f>IFERROR(__xludf.DUMMYFUNCTION("""COMPUTED_VALUE"""),"Infraestructura")</f>
        <v>Infraestructura</v>
      </c>
      <c r="G775" s="2" t="str">
        <f>IFERROR(__xludf.DUMMYFUNCTION("""COMPUTED_VALUE"""),"Finalizada")</f>
        <v>Finalizada</v>
      </c>
      <c r="H775" s="4">
        <v>414.0</v>
      </c>
      <c r="I775" s="4">
        <v>0.0</v>
      </c>
      <c r="J775" s="4">
        <v>20.0</v>
      </c>
      <c r="K775" s="4">
        <v>386.0</v>
      </c>
      <c r="L775" s="5">
        <v>1.072538860103627</v>
      </c>
      <c r="M775" s="5">
        <v>1.072538860103627</v>
      </c>
      <c r="N775" s="4">
        <v>113182.0</v>
      </c>
      <c r="O775" s="4">
        <v>111859.0</v>
      </c>
      <c r="P775" s="4">
        <v>35915.0</v>
      </c>
      <c r="Q775" s="4">
        <v>316.0</v>
      </c>
      <c r="R775" s="4">
        <v>0.0</v>
      </c>
      <c r="S775" s="4">
        <v>0.0</v>
      </c>
      <c r="T775" s="4">
        <v>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0.0</v>
      </c>
      <c r="AB775" s="4">
        <v>0.0</v>
      </c>
      <c r="AC775" s="4">
        <v>0.0</v>
      </c>
      <c r="AD775" s="6" t="s">
        <v>305</v>
      </c>
      <c r="AE775" s="6" t="s">
        <v>9</v>
      </c>
    </row>
    <row r="776" ht="16.5" customHeight="1">
      <c r="A776" s="2" t="str">
        <f>IFERROR(__xludf.DUMMYFUNCTION("""COMPUTED_VALUE"""),"3257-JUNEDUGC")</f>
        <v>3257-JUNEDUGC</v>
      </c>
      <c r="B776" s="2" t="str">
        <f>IFERROR(__xludf.DUMMYFUNCTION("""COMPUTED_VALUE"""),"Campaña GCBA I Educación I Vacaciones en la escuela edicion invierno 2026")</f>
        <v>Campaña GCBA I Educación I Vacaciones en la escuela edicion invierno 2026</v>
      </c>
      <c r="C776" s="3">
        <f>IFERROR(__xludf.DUMMYFUNCTION("""COMPUTED_VALUE"""),46196.0)</f>
        <v>46196</v>
      </c>
      <c r="D776" s="3">
        <f>IFERROR(__xludf.DUMMYFUNCTION("""COMPUTED_VALUE"""),46202.0)</f>
        <v>46202</v>
      </c>
      <c r="E776" s="2" t="str">
        <f>IFERROR(__xludf.DUMMYFUNCTION("""COMPUTED_VALUE"""),"Cuidado")</f>
        <v>Cuidado</v>
      </c>
      <c r="F776" s="2" t="str">
        <f>IFERROR(__xludf.DUMMYFUNCTION("""COMPUTED_VALUE"""),"Educación")</f>
        <v>Educación</v>
      </c>
      <c r="G776" s="2" t="str">
        <f>IFERROR(__xludf.DUMMYFUNCTION("""COMPUTED_VALUE"""),"Finalizada")</f>
        <v>Finalizada</v>
      </c>
      <c r="H776" s="4">
        <v>709796.0</v>
      </c>
      <c r="I776" s="4">
        <v>0.0</v>
      </c>
      <c r="J776" s="4">
        <v>15623.0</v>
      </c>
      <c r="K776" s="4">
        <v>103279.0</v>
      </c>
      <c r="L776" s="5">
        <v>1.8022734534610134</v>
      </c>
      <c r="M776" s="5">
        <v>6.872607209597304</v>
      </c>
      <c r="N776" s="4">
        <v>236485.0</v>
      </c>
      <c r="O776" s="4">
        <v>232923.0</v>
      </c>
      <c r="P776" s="4">
        <v>64122.0</v>
      </c>
      <c r="Q776" s="4">
        <v>5107.0</v>
      </c>
      <c r="R776" s="4">
        <v>0.0</v>
      </c>
      <c r="S776" s="4">
        <v>0.0</v>
      </c>
      <c r="T776" s="4">
        <v>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0.0</v>
      </c>
      <c r="AB776" s="4">
        <v>0.0</v>
      </c>
      <c r="AC776" s="4">
        <v>0.0</v>
      </c>
      <c r="AD776" s="6" t="s">
        <v>306</v>
      </c>
      <c r="AE776" s="6" t="s">
        <v>9</v>
      </c>
    </row>
    <row r="777" ht="16.5" customHeight="1">
      <c r="A777" s="2" t="str">
        <f>IFERROR(__xludf.DUMMYFUNCTION("""COMPUTED_VALUE"""),"3258-JUNJDGGJ")</f>
        <v>3258-JUNJDGGJ</v>
      </c>
      <c r="B777" s="2" t="str">
        <f>IFERROR(__xludf.DUMMYFUNCTION("""COMPUTED_VALUE"""),"Decreto: Declaración de servicios esenciales")</f>
        <v>Decreto: Declaración de servicios esenciales</v>
      </c>
      <c r="C777" s="3">
        <f>IFERROR(__xludf.DUMMYFUNCTION("""COMPUTED_VALUE"""),46197.0)</f>
        <v>46197</v>
      </c>
      <c r="D777" s="3">
        <f>IFERROR(__xludf.DUMMYFUNCTION("""COMPUTED_VALUE"""),46211.0)</f>
        <v>46211</v>
      </c>
      <c r="E777" s="2" t="str">
        <f>IFERROR(__xludf.DUMMYFUNCTION("""COMPUTED_VALUE"""),"Reforma del Estado")</f>
        <v>Reforma del Estado</v>
      </c>
      <c r="F777" s="2" t="str">
        <f>IFERROR(__xludf.DUMMYFUNCTION("""COMPUTED_VALUE"""),"Jefatura de Gobierno")</f>
        <v>Jefatura de Gobierno</v>
      </c>
      <c r="G777" s="2" t="str">
        <f>IFERROR(__xludf.DUMMYFUNCTION("""COMPUTED_VALUE"""),"Finalizada")</f>
        <v>Finalizada</v>
      </c>
      <c r="H777" s="4">
        <v>901395.0</v>
      </c>
      <c r="I777" s="4">
        <v>0.0</v>
      </c>
      <c r="J777" s="4">
        <v>1123.0</v>
      </c>
      <c r="K777" s="4">
        <v>568282.0</v>
      </c>
      <c r="L777" s="5">
        <v>1.5861755255313383</v>
      </c>
      <c r="M777" s="5">
        <v>1.5861755255313383</v>
      </c>
      <c r="N777" s="4">
        <v>787284.0</v>
      </c>
      <c r="O777" s="4">
        <v>776455.0</v>
      </c>
      <c r="P777" s="4">
        <v>157968.0</v>
      </c>
      <c r="Q777" s="4">
        <v>1026.0</v>
      </c>
      <c r="R777" s="4">
        <v>0.0</v>
      </c>
      <c r="S777" s="4">
        <v>0.0</v>
      </c>
      <c r="T777" s="4">
        <v>0.0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0.0</v>
      </c>
      <c r="AB777" s="4">
        <v>0.0</v>
      </c>
      <c r="AC777" s="4">
        <v>0.0</v>
      </c>
      <c r="AD777" s="6" t="s">
        <v>307</v>
      </c>
      <c r="AE777" s="6" t="s">
        <v>9</v>
      </c>
    </row>
    <row r="778" ht="16.5" customHeight="1">
      <c r="A778" s="2" t="str">
        <f>IFERROR(__xludf.DUMMYFUNCTION("""COMPUTED_VALUE"""),"3259-JUNEDUGC")</f>
        <v>3259-JUNEDUGC</v>
      </c>
      <c r="B778" s="2" t="str">
        <f>IFERROR(__xludf.DUMMYFUNCTION("""COMPUTED_VALUE"""),"Premio Docentes de la Ciudad 2026")</f>
        <v>Premio Docentes de la Ciudad 2026</v>
      </c>
      <c r="C778" s="3">
        <f>IFERROR(__xludf.DUMMYFUNCTION("""COMPUTED_VALUE"""),46199.0)</f>
        <v>46199</v>
      </c>
      <c r="D778" s="3">
        <f>IFERROR(__xludf.DUMMYFUNCTION("""COMPUTED_VALUE"""),46199.0)</f>
        <v>46199</v>
      </c>
      <c r="E778" s="2" t="str">
        <f>IFERROR(__xludf.DUMMYFUNCTION("""COMPUTED_VALUE"""),"Cuidado")</f>
        <v>Cuidado</v>
      </c>
      <c r="F778" s="2" t="str">
        <f>IFERROR(__xludf.DUMMYFUNCTION("""COMPUTED_VALUE"""),"Educación")</f>
        <v>Educación</v>
      </c>
      <c r="G778" s="2" t="str">
        <f>IFERROR(__xludf.DUMMYFUNCTION("""COMPUTED_VALUE"""),"Finalizada")</f>
        <v>Finalizada</v>
      </c>
      <c r="H778" s="4">
        <v>0.0</v>
      </c>
      <c r="I778" s="4">
        <v>0.0</v>
      </c>
      <c r="J778" s="4">
        <v>0.0</v>
      </c>
      <c r="K778" s="4">
        <v>0.0</v>
      </c>
      <c r="L778" s="5">
        <v>0.0</v>
      </c>
      <c r="M778" s="5">
        <v>0.0</v>
      </c>
      <c r="N778" s="4">
        <v>27898.0</v>
      </c>
      <c r="O778" s="4">
        <v>27524.0</v>
      </c>
      <c r="P778" s="4">
        <v>7395.0</v>
      </c>
      <c r="Q778" s="4">
        <v>166.0</v>
      </c>
      <c r="R778" s="4">
        <v>0.0</v>
      </c>
      <c r="S778" s="4">
        <v>0.0</v>
      </c>
      <c r="T778" s="4">
        <v>0.0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0.0</v>
      </c>
      <c r="AB778" s="4">
        <v>0.0</v>
      </c>
      <c r="AC778" s="4">
        <v>0.0</v>
      </c>
      <c r="AD778" s="4" t="s">
        <v>8</v>
      </c>
      <c r="AE778" s="6" t="s">
        <v>9</v>
      </c>
    </row>
    <row r="779" ht="16.5" customHeight="1">
      <c r="A779" s="2" t="str">
        <f>IFERROR(__xludf.DUMMYFUNCTION("""COMPUTED_VALUE"""),"3260-JUNJDGAG")</f>
        <v>3260-JUNJDGAG</v>
      </c>
      <c r="B779" s="2" t="str">
        <f>IFERROR(__xludf.DUMMYFUNCTION("""COMPUTED_VALUE"""),"1 A 1 JM | COMUNA 8 | 30/06")</f>
        <v>1 A 1 JM | COMUNA 8 | 30/06</v>
      </c>
      <c r="C779" s="3">
        <f>IFERROR(__xludf.DUMMYFUNCTION("""COMPUTED_VALUE"""),46198.0)</f>
        <v>46198</v>
      </c>
      <c r="D779" s="3">
        <f>IFERROR(__xludf.DUMMYFUNCTION("""COMPUTED_VALUE"""),46203.0)</f>
        <v>46203</v>
      </c>
      <c r="E779" s="2" t="str">
        <f>IFERROR(__xludf.DUMMYFUNCTION("""COMPUTED_VALUE"""),"Cercanía")</f>
        <v>Cercanía</v>
      </c>
      <c r="F779" s="2" t="str">
        <f>IFERROR(__xludf.DUMMYFUNCTION("""COMPUTED_VALUE"""),"Jefatura de Gobierno")</f>
        <v>Jefatura de Gobierno</v>
      </c>
      <c r="G779" s="2" t="str">
        <f>IFERROR(__xludf.DUMMYFUNCTION("""COMPUTED_VALUE"""),"Finalizada")</f>
        <v>Finalizada</v>
      </c>
      <c r="H779" s="4">
        <v>1469375.0</v>
      </c>
      <c r="I779" s="4">
        <v>578801.0</v>
      </c>
      <c r="J779" s="4">
        <v>3020.0</v>
      </c>
      <c r="K779" s="4">
        <v>17388.0</v>
      </c>
      <c r="L779" s="5">
        <v>24.205774097078447</v>
      </c>
      <c r="M779" s="5">
        <v>84.50511847250978</v>
      </c>
      <c r="N779" s="4">
        <v>0.0</v>
      </c>
      <c r="O779" s="4">
        <v>0.0</v>
      </c>
      <c r="P779" s="4">
        <v>0.0</v>
      </c>
      <c r="Q779" s="4">
        <v>0.0</v>
      </c>
      <c r="R779" s="4">
        <v>0.0</v>
      </c>
      <c r="S779" s="4">
        <v>0.0</v>
      </c>
      <c r="T779" s="4">
        <v>0.0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0.0</v>
      </c>
      <c r="AB779" s="4">
        <v>0.0</v>
      </c>
      <c r="AC779" s="4">
        <v>0.0</v>
      </c>
      <c r="AD779" s="6" t="s">
        <v>308</v>
      </c>
      <c r="AE779" s="4" t="s">
        <v>8</v>
      </c>
    </row>
    <row r="780" ht="16.5" customHeight="1">
      <c r="A780" s="2" t="str">
        <f>IFERROR(__xludf.DUMMYFUNCTION("""COMPUTED_VALUE"""),"3262-JUNINFVC")</f>
        <v>3262-JUNINFVC</v>
      </c>
      <c r="B780" s="2" t="str">
        <f>IFERROR(__xludf.DUMMYFUNCTION("""COMPUTED_VALUE"""),"RDV Ministros | Pablo Bereciartua 1/7")</f>
        <v>RDV Ministros | Pablo Bereciartua 1/7</v>
      </c>
      <c r="C780" s="3">
        <f>IFERROR(__xludf.DUMMYFUNCTION("""COMPUTED_VALUE"""),46198.0)</f>
        <v>46198</v>
      </c>
      <c r="D780" s="3">
        <f>IFERROR(__xludf.DUMMYFUNCTION("""COMPUTED_VALUE"""),46205.0)</f>
        <v>46205</v>
      </c>
      <c r="E780" s="2" t="str">
        <f>IFERROR(__xludf.DUMMYFUNCTION("""COMPUTED_VALUE"""),"Cercanía")</f>
        <v>Cercanía</v>
      </c>
      <c r="F780" s="2" t="str">
        <f>IFERROR(__xludf.DUMMYFUNCTION("""COMPUTED_VALUE"""),"Infraestructura")</f>
        <v>Infraestructura</v>
      </c>
      <c r="G780" s="2" t="str">
        <f>IFERROR(__xludf.DUMMYFUNCTION("""COMPUTED_VALUE"""),"Finalizada")</f>
        <v>Finalizada</v>
      </c>
      <c r="H780" s="4">
        <v>118382.0</v>
      </c>
      <c r="I780" s="4">
        <v>0.0</v>
      </c>
      <c r="J780" s="4">
        <v>391.0</v>
      </c>
      <c r="K780" s="4">
        <v>63111.0</v>
      </c>
      <c r="L780" s="5">
        <v>1.875774429180333</v>
      </c>
      <c r="M780" s="5">
        <v>1.875774429180333</v>
      </c>
      <c r="N780" s="4">
        <v>62214.0</v>
      </c>
      <c r="O780" s="4">
        <v>60925.0</v>
      </c>
      <c r="P780" s="4">
        <v>7031.0</v>
      </c>
      <c r="Q780" s="4">
        <v>180.0</v>
      </c>
      <c r="R780" s="4">
        <v>145.0</v>
      </c>
      <c r="S780" s="4">
        <v>145.0</v>
      </c>
      <c r="T780" s="4">
        <v>48.0</v>
      </c>
      <c r="U780" s="4">
        <v>45.0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0.0</v>
      </c>
      <c r="AB780" s="4">
        <v>0.0</v>
      </c>
      <c r="AC780" s="4">
        <v>0.0</v>
      </c>
      <c r="AD780" s="6" t="s">
        <v>309</v>
      </c>
      <c r="AE780" s="6" t="s">
        <v>9</v>
      </c>
    </row>
    <row r="781" ht="16.5" customHeight="1">
      <c r="A781" s="2" t="str">
        <f>IFERROR(__xludf.DUMMYFUNCTION("""COMPUTED_VALUE"""),"3263-JUNJDGVC")</f>
        <v>3263-JUNJDGVC</v>
      </c>
      <c r="B781" s="2" t="str">
        <f>IFERROR(__xludf.DUMMYFUNCTION("""COMPUTED_VALUE"""),"RDV Ministros | Gabriel Sánchez Zinny 2/7")</f>
        <v>RDV Ministros | Gabriel Sánchez Zinny 2/7</v>
      </c>
      <c r="C781" s="3">
        <f>IFERROR(__xludf.DUMMYFUNCTION("""COMPUTED_VALUE"""),46202.0)</f>
        <v>46202</v>
      </c>
      <c r="D781" s="3">
        <f>IFERROR(__xludf.DUMMYFUNCTION("""COMPUTED_VALUE"""),46210.0)</f>
        <v>46210</v>
      </c>
      <c r="E781" s="2" t="str">
        <f>IFERROR(__xludf.DUMMYFUNCTION("""COMPUTED_VALUE"""),"Cercanía")</f>
        <v>Cercanía</v>
      </c>
      <c r="F781" s="2" t="str">
        <f>IFERROR(__xludf.DUMMYFUNCTION("""COMPUTED_VALUE"""),"Jefatura de Gabinete")</f>
        <v>Jefatura de Gabinete</v>
      </c>
      <c r="G781" s="2" t="str">
        <f>IFERROR(__xludf.DUMMYFUNCTION("""COMPUTED_VALUE"""),"Finalizada")</f>
        <v>Finalizada</v>
      </c>
      <c r="H781" s="4">
        <v>160296.0</v>
      </c>
      <c r="I781" s="4">
        <v>0.0</v>
      </c>
      <c r="J781" s="4">
        <v>617.0</v>
      </c>
      <c r="K781" s="4">
        <v>91127.0</v>
      </c>
      <c r="L781" s="5">
        <v>1.7590395821216545</v>
      </c>
      <c r="M781" s="5">
        <v>1.7590395821216545</v>
      </c>
      <c r="N781" s="4">
        <v>80772.0</v>
      </c>
      <c r="O781" s="4">
        <v>79346.0</v>
      </c>
      <c r="P781" s="4">
        <v>12221.0</v>
      </c>
      <c r="Q781" s="4">
        <v>367.0</v>
      </c>
      <c r="R781" s="4">
        <v>207.0</v>
      </c>
      <c r="S781" s="4">
        <v>207.0</v>
      </c>
      <c r="T781" s="4">
        <v>73.0</v>
      </c>
      <c r="U781" s="4">
        <v>64.0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0.0</v>
      </c>
      <c r="AB781" s="4">
        <v>0.0</v>
      </c>
      <c r="AC781" s="4">
        <v>0.0</v>
      </c>
      <c r="AD781" s="6" t="s">
        <v>310</v>
      </c>
      <c r="AE781" s="6" t="s">
        <v>9</v>
      </c>
    </row>
    <row r="782" ht="16.5" customHeight="1">
      <c r="A782" s="2" t="str">
        <f>IFERROR(__xludf.DUMMYFUNCTION("""COMPUTED_VALUE"""),"3264-JUNCULVC")</f>
        <v>3264-JUNCULVC</v>
      </c>
      <c r="B782" s="2" t="str">
        <f>IFERROR(__xludf.DUMMYFUNCTION("""COMPUTED_VALUE"""),"RDV Ministros | Gabriela Ricardes 29/6 Comuna 9")</f>
        <v>RDV Ministros | Gabriela Ricardes 29/6 Comuna 9</v>
      </c>
      <c r="C782" s="3">
        <f>IFERROR(__xludf.DUMMYFUNCTION("""COMPUTED_VALUE"""),46198.0)</f>
        <v>46198</v>
      </c>
      <c r="D782" s="3">
        <f>IFERROR(__xludf.DUMMYFUNCTION("""COMPUTED_VALUE"""),46203.0)</f>
        <v>46203</v>
      </c>
      <c r="E782" s="2" t="str">
        <f>IFERROR(__xludf.DUMMYFUNCTION("""COMPUTED_VALUE"""),"Cercanía")</f>
        <v>Cercanía</v>
      </c>
      <c r="F782" s="2" t="str">
        <f>IFERROR(__xludf.DUMMYFUNCTION("""COMPUTED_VALUE"""),"Cultura")</f>
        <v>Cultura</v>
      </c>
      <c r="G782" s="2" t="str">
        <f>IFERROR(__xludf.DUMMYFUNCTION("""COMPUTED_VALUE"""),"Finalizada")</f>
        <v>Finalizada</v>
      </c>
      <c r="H782" s="4">
        <v>99036.0</v>
      </c>
      <c r="I782" s="4">
        <v>0.0</v>
      </c>
      <c r="J782" s="4">
        <v>281.0</v>
      </c>
      <c r="K782" s="4">
        <v>35839.0</v>
      </c>
      <c r="L782" s="5">
        <v>2.763358352632607</v>
      </c>
      <c r="M782" s="5">
        <v>2.763358352632607</v>
      </c>
      <c r="N782" s="4">
        <v>20902.0</v>
      </c>
      <c r="O782" s="4">
        <v>20545.0</v>
      </c>
      <c r="P782" s="4">
        <v>3289.0</v>
      </c>
      <c r="Q782" s="4">
        <v>56.0</v>
      </c>
      <c r="R782" s="4">
        <v>32.0</v>
      </c>
      <c r="S782" s="4">
        <v>32.0</v>
      </c>
      <c r="T782" s="4">
        <v>8.0</v>
      </c>
      <c r="U782" s="4">
        <v>7.0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0.0</v>
      </c>
      <c r="AB782" s="4">
        <v>0.0</v>
      </c>
      <c r="AC782" s="4">
        <v>0.0</v>
      </c>
      <c r="AD782" s="6" t="s">
        <v>311</v>
      </c>
      <c r="AE782" s="6" t="s">
        <v>9</v>
      </c>
    </row>
    <row r="783" ht="16.5" customHeight="1">
      <c r="A783" s="2" t="str">
        <f>IFERROR(__xludf.DUMMYFUNCTION("""COMPUTED_VALUE"""),"3265-JUNSEGVC")</f>
        <v>3265-JUNSEGVC</v>
      </c>
      <c r="B783" s="2" t="str">
        <f>IFERROR(__xludf.DUMMYFUNCTION("""COMPUTED_VALUE"""),"RDV MINISTROS | EZEQUIEL SABOR 29/6 COMUNA 3")</f>
        <v>RDV MINISTROS | EZEQUIEL SABOR 29/6 COMUNA 3</v>
      </c>
      <c r="C783" s="3">
        <f>IFERROR(__xludf.DUMMYFUNCTION("""COMPUTED_VALUE"""),46199.0)</f>
        <v>46199</v>
      </c>
      <c r="D783" s="3">
        <f>IFERROR(__xludf.DUMMYFUNCTION("""COMPUTED_VALUE"""),46204.0)</f>
        <v>46204</v>
      </c>
      <c r="E783" s="2" t="str">
        <f>IFERROR(__xludf.DUMMYFUNCTION("""COMPUTED_VALUE"""),"Cercanía")</f>
        <v>Cercanía</v>
      </c>
      <c r="F783" s="2" t="str">
        <f>IFERROR(__xludf.DUMMYFUNCTION("""COMPUTED_VALUE"""),"Seguridad")</f>
        <v>Seguridad</v>
      </c>
      <c r="G783" s="2" t="str">
        <f>IFERROR(__xludf.DUMMYFUNCTION("""COMPUTED_VALUE"""),"Finalizada")</f>
        <v>Finalizada</v>
      </c>
      <c r="H783" s="4">
        <v>116414.0</v>
      </c>
      <c r="I783" s="4">
        <v>0.0</v>
      </c>
      <c r="J783" s="4">
        <v>106.0</v>
      </c>
      <c r="K783" s="4">
        <v>86889.0</v>
      </c>
      <c r="L783" s="5">
        <v>1.339801355752742</v>
      </c>
      <c r="M783" s="5">
        <v>1.339801355752742</v>
      </c>
      <c r="N783" s="4">
        <v>64885.0</v>
      </c>
      <c r="O783" s="4">
        <v>63971.0</v>
      </c>
      <c r="P783" s="4">
        <v>9988.0</v>
      </c>
      <c r="Q783" s="4">
        <v>267.0</v>
      </c>
      <c r="R783" s="4">
        <v>148.0</v>
      </c>
      <c r="S783" s="4">
        <v>148.0</v>
      </c>
      <c r="T783" s="4">
        <v>40.0</v>
      </c>
      <c r="U783" s="4">
        <v>37.0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0.0</v>
      </c>
      <c r="AB783" s="4">
        <v>0.0</v>
      </c>
      <c r="AC783" s="4">
        <v>0.0</v>
      </c>
      <c r="AD783" s="6" t="s">
        <v>312</v>
      </c>
      <c r="AE783" s="6" t="s">
        <v>9</v>
      </c>
    </row>
    <row r="784" ht="16.5" customHeight="1">
      <c r="A784" s="2" t="str">
        <f>IFERROR(__xludf.DUMMYFUNCTION("""COMPUTED_VALUE"""),"3266-JUNSALGC")</f>
        <v>3266-JUNSALGC</v>
      </c>
      <c r="B784" s="2" t="str">
        <f>IFERROR(__xludf.DUMMYFUNCTION("""COMPUTED_VALUE"""),"Primer trasplante renal pediátrico de dos hospitales de la Ciudad")</f>
        <v>Primer trasplante renal pediátrico de dos hospitales de la Ciudad</v>
      </c>
      <c r="C784" s="3">
        <f>IFERROR(__xludf.DUMMYFUNCTION("""COMPUTED_VALUE"""),46202.0)</f>
        <v>46202</v>
      </c>
      <c r="D784" s="3">
        <f>IFERROR(__xludf.DUMMYFUNCTION("""COMPUTED_VALUE"""),46216.0)</f>
        <v>46216</v>
      </c>
      <c r="E784" s="2" t="str">
        <f>IFERROR(__xludf.DUMMYFUNCTION("""COMPUTED_VALUE"""),"Cuidado")</f>
        <v>Cuidado</v>
      </c>
      <c r="F784" s="2" t="str">
        <f>IFERROR(__xludf.DUMMYFUNCTION("""COMPUTED_VALUE"""),"Salud")</f>
        <v>Salud</v>
      </c>
      <c r="G784" s="2" t="str">
        <f>IFERROR(__xludf.DUMMYFUNCTION("""COMPUTED_VALUE"""),"Finalizada")</f>
        <v>Finalizada</v>
      </c>
      <c r="H784" s="4">
        <v>2411963.0</v>
      </c>
      <c r="I784" s="4">
        <v>0.0</v>
      </c>
      <c r="J784" s="4">
        <v>7174.0</v>
      </c>
      <c r="K784" s="4">
        <v>403480.0</v>
      </c>
      <c r="L784" s="5">
        <v>1.6630762367403589</v>
      </c>
      <c r="M784" s="5">
        <v>5.977899771983742</v>
      </c>
      <c r="N784" s="4">
        <v>350156.0</v>
      </c>
      <c r="O784" s="4">
        <v>345340.0</v>
      </c>
      <c r="P784" s="4">
        <v>113269.0</v>
      </c>
      <c r="Q784" s="4">
        <v>823.0</v>
      </c>
      <c r="R784" s="4">
        <v>0.0</v>
      </c>
      <c r="S784" s="4">
        <v>0.0</v>
      </c>
      <c r="T784" s="4">
        <v>0.0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0.0</v>
      </c>
      <c r="AB784" s="4">
        <v>0.0</v>
      </c>
      <c r="AC784" s="4">
        <v>0.0</v>
      </c>
      <c r="AD784" s="6" t="s">
        <v>313</v>
      </c>
      <c r="AE784" s="6" t="s">
        <v>9</v>
      </c>
    </row>
    <row r="785" ht="16.5" customHeight="1">
      <c r="A785" s="2" t="str">
        <f>IFERROR(__xludf.DUMMYFUNCTION("""COMPUTED_VALUE"""),"3267-JUNSALGC")</f>
        <v>3267-JUNSALGC</v>
      </c>
      <c r="B785" s="2" t="str">
        <f>IFERROR(__xludf.DUMMYFUNCTION("""COMPUTED_VALUE"""),"Htal. Zubizarreta: Avance de Obra - GCBA ")</f>
        <v>Htal. Zubizarreta: Avance de Obra - GCBA </v>
      </c>
      <c r="C785" s="3">
        <f>IFERROR(__xludf.DUMMYFUNCTION("""COMPUTED_VALUE"""),46205.0)</f>
        <v>46205</v>
      </c>
      <c r="D785" s="3">
        <f>IFERROR(__xludf.DUMMYFUNCTION("""COMPUTED_VALUE"""),46220.0)</f>
        <v>46220</v>
      </c>
      <c r="E785" s="2" t="str">
        <f>IFERROR(__xludf.DUMMYFUNCTION("""COMPUTED_VALUE"""),"Cuidado")</f>
        <v>Cuidado</v>
      </c>
      <c r="F785" s="2" t="str">
        <f>IFERROR(__xludf.DUMMYFUNCTION("""COMPUTED_VALUE"""),"Salud")</f>
        <v>Salud</v>
      </c>
      <c r="G785" s="2" t="str">
        <f>IFERROR(__xludf.DUMMYFUNCTION("""COMPUTED_VALUE"""),"Finalizada")</f>
        <v>Finalizada</v>
      </c>
      <c r="H785" s="4">
        <v>1025955.0</v>
      </c>
      <c r="I785" s="4">
        <v>164148.0</v>
      </c>
      <c r="J785" s="4">
        <v>946.0</v>
      </c>
      <c r="K785" s="4">
        <v>573001.0</v>
      </c>
      <c r="L785" s="5">
        <v>1.7415275016972047</v>
      </c>
      <c r="M785" s="5">
        <v>1.790494257427125</v>
      </c>
      <c r="N785" s="4">
        <v>0.0</v>
      </c>
      <c r="O785" s="4">
        <v>0.0</v>
      </c>
      <c r="P785" s="4">
        <v>0.0</v>
      </c>
      <c r="Q785" s="4">
        <v>0.0</v>
      </c>
      <c r="R785" s="4">
        <v>0.0</v>
      </c>
      <c r="S785" s="4">
        <v>0.0</v>
      </c>
      <c r="T785" s="4">
        <v>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0.0</v>
      </c>
      <c r="AB785" s="4">
        <v>0.0</v>
      </c>
      <c r="AC785" s="4">
        <v>0.0</v>
      </c>
      <c r="AD785" s="4"/>
      <c r="AE785" s="4" t="s">
        <v>8</v>
      </c>
    </row>
    <row r="786" ht="16.5" customHeight="1">
      <c r="A786" s="2" t="str">
        <f>IFERROR(__xludf.DUMMYFUNCTION("""COMPUTED_VALUE"""),"3269-JUNDECGC")</f>
        <v>3269-JUNDECGC</v>
      </c>
      <c r="B786" s="2" t="str">
        <f>IFERROR(__xludf.DUMMYFUNCTION("""COMPUTED_VALUE"""),"INCUBATE 2026")</f>
        <v>INCUBATE 2026</v>
      </c>
      <c r="C786" s="3">
        <f>IFERROR(__xludf.DUMMYFUNCTION("""COMPUTED_VALUE"""),46205.0)</f>
        <v>46205</v>
      </c>
      <c r="D786" s="3">
        <f>IFERROR(__xludf.DUMMYFUNCTION("""COMPUTED_VALUE"""),46209.0)</f>
        <v>46209</v>
      </c>
      <c r="E786" s="2" t="str">
        <f>IFERROR(__xludf.DUMMYFUNCTION("""COMPUTED_VALUE"""),"Cuidado")</f>
        <v>Cuidado</v>
      </c>
      <c r="F786" s="2" t="str">
        <f>IFERROR(__xludf.DUMMYFUNCTION("""COMPUTED_VALUE"""),"Desarrollo Económico")</f>
        <v>Desarrollo Económico</v>
      </c>
      <c r="G786" s="2" t="str">
        <f>IFERROR(__xludf.DUMMYFUNCTION("""COMPUTED_VALUE"""),"Finalizada")</f>
        <v>Finalizada</v>
      </c>
      <c r="H786" s="4">
        <v>1296042.0</v>
      </c>
      <c r="I786" s="4">
        <v>0.0</v>
      </c>
      <c r="J786" s="4">
        <v>15367.0</v>
      </c>
      <c r="K786" s="4">
        <v>74805.0</v>
      </c>
      <c r="L786" s="5">
        <v>5.84787113160885</v>
      </c>
      <c r="M786" s="5">
        <v>17.325606577100462</v>
      </c>
      <c r="N786" s="4">
        <v>12736.0</v>
      </c>
      <c r="O786" s="4">
        <v>12564.0</v>
      </c>
      <c r="P786" s="4">
        <v>4890.0</v>
      </c>
      <c r="Q786" s="4">
        <v>93.0</v>
      </c>
      <c r="R786" s="4">
        <v>0.0</v>
      </c>
      <c r="S786" s="4">
        <v>0.0</v>
      </c>
      <c r="T786" s="4">
        <v>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0.0</v>
      </c>
      <c r="AB786" s="4">
        <v>0.0</v>
      </c>
      <c r="AC786" s="4">
        <v>0.0</v>
      </c>
      <c r="AD786" s="4"/>
      <c r="AE786" s="6" t="s">
        <v>9</v>
      </c>
    </row>
    <row r="787" ht="16.5" customHeight="1">
      <c r="A787" s="2" t="str">
        <f>IFERROR(__xludf.DUMMYFUNCTION("""COMPUTED_VALUE"""),"3270-JUNPCCVC")</f>
        <v>3270-JUNPCCVC</v>
      </c>
      <c r="B787" s="2" t="str">
        <f>IFERROR(__xludf.DUMMYFUNCTION("""COMPUTED_VALUE"""),"Experiencia BA | Monumento Dos Congresos")</f>
        <v>Experiencia BA | Monumento Dos Congresos</v>
      </c>
      <c r="C787" s="3">
        <f>IFERROR(__xludf.DUMMYFUNCTION("""COMPUTED_VALUE"""),46204.0)</f>
        <v>46204</v>
      </c>
      <c r="D787" s="3">
        <f>IFERROR(__xludf.DUMMYFUNCTION("""COMPUTED_VALUE"""),46204.0)</f>
        <v>46204</v>
      </c>
      <c r="E787" s="2" t="str">
        <f>IFERROR(__xludf.DUMMYFUNCTION("""COMPUTED_VALUE"""),"Cercanía")</f>
        <v>Cercanía</v>
      </c>
      <c r="F787" s="2" t="str">
        <f>IFERROR(__xludf.DUMMYFUNCTION("""COMPUTED_VALUE"""),"Cercanía y PC")</f>
        <v>Cercanía y PC</v>
      </c>
      <c r="G787" s="2" t="str">
        <f>IFERROR(__xludf.DUMMYFUNCTION("""COMPUTED_VALUE"""),"Finalizada")</f>
        <v>Finalizada</v>
      </c>
      <c r="H787" s="4">
        <v>0.0</v>
      </c>
      <c r="I787" s="4">
        <v>0.0</v>
      </c>
      <c r="J787" s="4">
        <v>0.0</v>
      </c>
      <c r="K787" s="4">
        <v>0.0</v>
      </c>
      <c r="L787" s="5">
        <v>0.0</v>
      </c>
      <c r="M787" s="5">
        <v>0.0</v>
      </c>
      <c r="N787" s="4">
        <v>114090.0</v>
      </c>
      <c r="O787" s="4">
        <v>112753.0</v>
      </c>
      <c r="P787" s="4">
        <v>29054.0</v>
      </c>
      <c r="Q787" s="4">
        <v>1395.0</v>
      </c>
      <c r="R787" s="4">
        <v>0.0</v>
      </c>
      <c r="S787" s="4">
        <v>0.0</v>
      </c>
      <c r="T787" s="4">
        <v>0.0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0.0</v>
      </c>
      <c r="AB787" s="4">
        <v>0.0</v>
      </c>
      <c r="AC787" s="4">
        <v>0.0</v>
      </c>
      <c r="AD787" s="4" t="s">
        <v>8</v>
      </c>
      <c r="AE787" s="6" t="s">
        <v>9</v>
      </c>
    </row>
    <row r="788" ht="16.5" customHeight="1">
      <c r="A788" s="2" t="str">
        <f>IFERROR(__xludf.DUMMYFUNCTION("""COMPUTED_VALUE"""),"3271-JUNTURGC")</f>
        <v>3271-JUNTURGC</v>
      </c>
      <c r="B788" s="2" t="str">
        <f>IFERROR(__xludf.DUMMYFUNCTION("""COMPUTED_VALUE"""),"Sondeo Hotelero | Finde largo julio ")</f>
        <v>Sondeo Hotelero | Finde largo julio </v>
      </c>
      <c r="C788" s="3">
        <f>IFERROR(__xludf.DUMMYFUNCTION("""COMPUTED_VALUE"""),46209.0)</f>
        <v>46209</v>
      </c>
      <c r="D788" s="3">
        <f>IFERROR(__xludf.DUMMYFUNCTION("""COMPUTED_VALUE"""),46209.0)</f>
        <v>46209</v>
      </c>
      <c r="E788" s="2" t="str">
        <f>IFERROR(__xludf.DUMMYFUNCTION("""COMPUTED_VALUE"""),"Ciudad Atractiva")</f>
        <v>Ciudad Atractiva</v>
      </c>
      <c r="F788" s="2" t="str">
        <f>IFERROR(__xludf.DUMMYFUNCTION("""COMPUTED_VALUE"""),"Turismo")</f>
        <v>Turismo</v>
      </c>
      <c r="G788" s="2" t="str">
        <f>IFERROR(__xludf.DUMMYFUNCTION("""COMPUTED_VALUE"""),"Finalizada")</f>
        <v>Finalizada</v>
      </c>
      <c r="H788" s="4">
        <v>0.0</v>
      </c>
      <c r="I788" s="4">
        <v>0.0</v>
      </c>
      <c r="J788" s="4">
        <v>0.0</v>
      </c>
      <c r="K788" s="4">
        <v>0.0</v>
      </c>
      <c r="L788" s="5">
        <v>0.0</v>
      </c>
      <c r="M788" s="5">
        <v>0.0</v>
      </c>
      <c r="N788" s="4">
        <v>395.0</v>
      </c>
      <c r="O788" s="4">
        <v>389.0</v>
      </c>
      <c r="P788" s="4">
        <v>173.0</v>
      </c>
      <c r="Q788" s="4">
        <v>63.0</v>
      </c>
      <c r="R788" s="4">
        <v>0.0</v>
      </c>
      <c r="S788" s="4">
        <v>0.0</v>
      </c>
      <c r="T788" s="4">
        <v>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0.0</v>
      </c>
      <c r="AB788" s="4">
        <v>0.0</v>
      </c>
      <c r="AC788" s="4">
        <v>0.0</v>
      </c>
      <c r="AD788" s="4" t="s">
        <v>8</v>
      </c>
      <c r="AE788" s="6" t="s">
        <v>9</v>
      </c>
    </row>
    <row r="789" ht="16.5" customHeight="1">
      <c r="A789" s="2" t="str">
        <f>IFERROR(__xludf.DUMMYFUNCTION("""COMPUTED_VALUE"""),"3272-JUNSEGVC")</f>
        <v>3272-JUNSEGVC</v>
      </c>
      <c r="B789" s="2" t="str">
        <f>IFERROR(__xludf.DUMMYFUNCTION("""COMPUTED_VALUE"""),"RDV Ministros | Ruth Landerreche 2/7 Comuna 1 Sur")</f>
        <v>RDV Ministros | Ruth Landerreche 2/7 Comuna 1 Sur</v>
      </c>
      <c r="C789" s="3">
        <f>IFERROR(__xludf.DUMMYFUNCTION("""COMPUTED_VALUE"""),46202.0)</f>
        <v>46202</v>
      </c>
      <c r="D789" s="3">
        <f>IFERROR(__xludf.DUMMYFUNCTION("""COMPUTED_VALUE"""),46206.0)</f>
        <v>46206</v>
      </c>
      <c r="E789" s="2" t="str">
        <f>IFERROR(__xludf.DUMMYFUNCTION("""COMPUTED_VALUE"""),"Cercanía")</f>
        <v>Cercanía</v>
      </c>
      <c r="F789" s="2" t="str">
        <f>IFERROR(__xludf.DUMMYFUNCTION("""COMPUTED_VALUE"""),"Seguridad")</f>
        <v>Seguridad</v>
      </c>
      <c r="G789" s="2" t="str">
        <f>IFERROR(__xludf.DUMMYFUNCTION("""COMPUTED_VALUE"""),"Finalizada")</f>
        <v>Finalizada</v>
      </c>
      <c r="H789" s="4">
        <v>127832.0</v>
      </c>
      <c r="I789" s="4">
        <v>0.0</v>
      </c>
      <c r="J789" s="4">
        <v>415.0</v>
      </c>
      <c r="K789" s="4">
        <v>72585.0</v>
      </c>
      <c r="L789" s="5">
        <v>1.7611352207756423</v>
      </c>
      <c r="M789" s="5">
        <v>1.7611352207756423</v>
      </c>
      <c r="N789" s="4">
        <v>26296.0</v>
      </c>
      <c r="O789" s="4">
        <v>25896.0</v>
      </c>
      <c r="P789" s="4">
        <v>4571.0</v>
      </c>
      <c r="Q789" s="4">
        <v>98.0</v>
      </c>
      <c r="R789" s="4">
        <v>86.0</v>
      </c>
      <c r="S789" s="4">
        <v>86.0</v>
      </c>
      <c r="T789" s="4">
        <v>28.0</v>
      </c>
      <c r="U789" s="4">
        <v>28.0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0.0</v>
      </c>
      <c r="AB789" s="4">
        <v>0.0</v>
      </c>
      <c r="AC789" s="4">
        <v>0.0</v>
      </c>
      <c r="AD789" s="6" t="s">
        <v>314</v>
      </c>
      <c r="AE789" s="6" t="s">
        <v>9</v>
      </c>
    </row>
    <row r="790" ht="16.5" customHeight="1">
      <c r="A790" s="2" t="str">
        <f>IFERROR(__xludf.DUMMYFUNCTION("""COMPUTED_VALUE"""),"3273-JUNSEGVC")</f>
        <v>3273-JUNSEGVC</v>
      </c>
      <c r="B790" s="2" t="str">
        <f>IFERROR(__xludf.DUMMYFUNCTION("""COMPUTED_VALUE"""),"RDV Ministros | Maximiliano Piñeiro 2/7 Comuna 1 Norte")</f>
        <v>RDV Ministros | Maximiliano Piñeiro 2/7 Comuna 1 Norte</v>
      </c>
      <c r="C790" s="3">
        <f>IFERROR(__xludf.DUMMYFUNCTION("""COMPUTED_VALUE"""),46202.0)</f>
        <v>46202</v>
      </c>
      <c r="D790" s="3">
        <f>IFERROR(__xludf.DUMMYFUNCTION("""COMPUTED_VALUE"""),46206.0)</f>
        <v>46206</v>
      </c>
      <c r="E790" s="2" t="str">
        <f>IFERROR(__xludf.DUMMYFUNCTION("""COMPUTED_VALUE"""),"Cercanía")</f>
        <v>Cercanía</v>
      </c>
      <c r="F790" s="2" t="str">
        <f>IFERROR(__xludf.DUMMYFUNCTION("""COMPUTED_VALUE"""),"Seguridad")</f>
        <v>Seguridad</v>
      </c>
      <c r="G790" s="2" t="str">
        <f>IFERROR(__xludf.DUMMYFUNCTION("""COMPUTED_VALUE"""),"Finalizada")</f>
        <v>Finalizada</v>
      </c>
      <c r="H790" s="4">
        <v>148818.0</v>
      </c>
      <c r="I790" s="4">
        <v>0.0</v>
      </c>
      <c r="J790" s="4">
        <v>428.0</v>
      </c>
      <c r="K790" s="4">
        <v>97301.0</v>
      </c>
      <c r="L790" s="5">
        <v>1.5294601288784289</v>
      </c>
      <c r="M790" s="5">
        <v>1.5294601288784289</v>
      </c>
      <c r="N790" s="4">
        <v>32723.0</v>
      </c>
      <c r="O790" s="4">
        <v>32247.0</v>
      </c>
      <c r="P790" s="4">
        <v>7721.0</v>
      </c>
      <c r="Q790" s="4">
        <v>116.0</v>
      </c>
      <c r="R790" s="4">
        <v>56.0</v>
      </c>
      <c r="S790" s="4">
        <v>56.0</v>
      </c>
      <c r="T790" s="4">
        <v>16.0</v>
      </c>
      <c r="U790" s="4">
        <v>15.0</v>
      </c>
      <c r="V790" s="4">
        <v>0.0</v>
      </c>
      <c r="W790" s="4">
        <v>0.0</v>
      </c>
      <c r="X790" s="4">
        <v>0.0</v>
      </c>
      <c r="Y790" s="4">
        <v>0.0</v>
      </c>
      <c r="Z790" s="4">
        <v>0.0</v>
      </c>
      <c r="AA790" s="4">
        <v>0.0</v>
      </c>
      <c r="AB790" s="4">
        <v>0.0</v>
      </c>
      <c r="AC790" s="4">
        <v>0.0</v>
      </c>
      <c r="AD790" s="6" t="s">
        <v>315</v>
      </c>
      <c r="AE790" s="6" t="s">
        <v>9</v>
      </c>
    </row>
    <row r="791" ht="16.5" customHeight="1">
      <c r="A791" s="2" t="str">
        <f>IFERROR(__xludf.DUMMYFUNCTION("""COMPUTED_VALUE"""),"3274-JUNSEGVC")</f>
        <v>3274-JUNSEGVC</v>
      </c>
      <c r="B791" s="2" t="str">
        <f>IFERROR(__xludf.DUMMYFUNCTION("""COMPUTED_VALUE"""),"RDV Ministros | Gabino Tapia 2/7 Comuna 3")</f>
        <v>RDV Ministros | Gabino Tapia 2/7 Comuna 3</v>
      </c>
      <c r="C791" s="3">
        <f>IFERROR(__xludf.DUMMYFUNCTION("""COMPUTED_VALUE"""),46202.0)</f>
        <v>46202</v>
      </c>
      <c r="D791" s="3">
        <f>IFERROR(__xludf.DUMMYFUNCTION("""COMPUTED_VALUE"""),46206.0)</f>
        <v>46206</v>
      </c>
      <c r="E791" s="2" t="str">
        <f>IFERROR(__xludf.DUMMYFUNCTION("""COMPUTED_VALUE"""),"Cercanía")</f>
        <v>Cercanía</v>
      </c>
      <c r="F791" s="2" t="str">
        <f>IFERROR(__xludf.DUMMYFUNCTION("""COMPUTED_VALUE"""),"Seguridad")</f>
        <v>Seguridad</v>
      </c>
      <c r="G791" s="2" t="str">
        <f>IFERROR(__xludf.DUMMYFUNCTION("""COMPUTED_VALUE"""),"Finalizada")</f>
        <v>Finalizada</v>
      </c>
      <c r="H791" s="4">
        <v>623302.0</v>
      </c>
      <c r="I791" s="4">
        <v>0.0</v>
      </c>
      <c r="J791" s="4">
        <v>971.0</v>
      </c>
      <c r="K791" s="4">
        <v>404134.0</v>
      </c>
      <c r="L791" s="5">
        <v>1.5423151726902462</v>
      </c>
      <c r="M791" s="5">
        <v>1.5423151726902462</v>
      </c>
      <c r="N791" s="4">
        <v>64682.0</v>
      </c>
      <c r="O791" s="4">
        <v>63757.0</v>
      </c>
      <c r="P791" s="4">
        <v>10424.0</v>
      </c>
      <c r="Q791" s="4">
        <v>168.0</v>
      </c>
      <c r="R791" s="4">
        <v>125.0</v>
      </c>
      <c r="S791" s="4">
        <v>125.0</v>
      </c>
      <c r="T791" s="4">
        <v>39.0</v>
      </c>
      <c r="U791" s="4">
        <v>39.0</v>
      </c>
      <c r="V791" s="4">
        <v>0.0</v>
      </c>
      <c r="W791" s="4">
        <v>0.0</v>
      </c>
      <c r="X791" s="4">
        <v>0.0</v>
      </c>
      <c r="Y791" s="4">
        <v>0.0</v>
      </c>
      <c r="Z791" s="4">
        <v>0.0</v>
      </c>
      <c r="AA791" s="4">
        <v>0.0</v>
      </c>
      <c r="AB791" s="4">
        <v>0.0</v>
      </c>
      <c r="AC791" s="4">
        <v>0.0</v>
      </c>
      <c r="AD791" s="6" t="s">
        <v>316</v>
      </c>
      <c r="AE791" s="6" t="s">
        <v>9</v>
      </c>
    </row>
    <row r="792" ht="16.5" customHeight="1">
      <c r="A792" s="2" t="str">
        <f>IFERROR(__xludf.DUMMYFUNCTION("""COMPUTED_VALUE"""),"3275-JUNSEGVC")</f>
        <v>3275-JUNSEGVC</v>
      </c>
      <c r="B792" s="2" t="str">
        <f>IFERROR(__xludf.DUMMYFUNCTION("""COMPUTED_VALUE"""),"RDV Ministros | Horacio Giménez 2/7 Comuna 2")</f>
        <v>RDV Ministros | Horacio Giménez 2/7 Comuna 2</v>
      </c>
      <c r="C792" s="3">
        <f>IFERROR(__xludf.DUMMYFUNCTION("""COMPUTED_VALUE"""),46202.0)</f>
        <v>46202</v>
      </c>
      <c r="D792" s="3">
        <f>IFERROR(__xludf.DUMMYFUNCTION("""COMPUTED_VALUE"""),46206.0)</f>
        <v>46206</v>
      </c>
      <c r="E792" s="2" t="str">
        <f>IFERROR(__xludf.DUMMYFUNCTION("""COMPUTED_VALUE"""),"Cercanía")</f>
        <v>Cercanía</v>
      </c>
      <c r="F792" s="2" t="str">
        <f>IFERROR(__xludf.DUMMYFUNCTION("""COMPUTED_VALUE"""),"Seguridad")</f>
        <v>Seguridad</v>
      </c>
      <c r="G792" s="2" t="str">
        <f>IFERROR(__xludf.DUMMYFUNCTION("""COMPUTED_VALUE"""),"Finalizada")</f>
        <v>Finalizada</v>
      </c>
      <c r="H792" s="4">
        <v>354890.0</v>
      </c>
      <c r="I792" s="4">
        <v>0.0</v>
      </c>
      <c r="J792" s="4">
        <v>405.0</v>
      </c>
      <c r="K792" s="4">
        <v>299018.0</v>
      </c>
      <c r="L792" s="5">
        <v>1.186851627661211</v>
      </c>
      <c r="M792" s="5">
        <v>1.186851627661211</v>
      </c>
      <c r="N792" s="4">
        <v>57983.0</v>
      </c>
      <c r="O792" s="4">
        <v>57355.0</v>
      </c>
      <c r="P792" s="4">
        <v>15800.0</v>
      </c>
      <c r="Q792" s="4">
        <v>183.0</v>
      </c>
      <c r="R792" s="4">
        <v>79.0</v>
      </c>
      <c r="S792" s="4">
        <v>79.0</v>
      </c>
      <c r="T792" s="4">
        <v>27.0</v>
      </c>
      <c r="U792" s="4">
        <v>24.0</v>
      </c>
      <c r="V792" s="4">
        <v>0.0</v>
      </c>
      <c r="W792" s="4">
        <v>0.0</v>
      </c>
      <c r="X792" s="4">
        <v>0.0</v>
      </c>
      <c r="Y792" s="4">
        <v>0.0</v>
      </c>
      <c r="Z792" s="4">
        <v>0.0</v>
      </c>
      <c r="AA792" s="4">
        <v>0.0</v>
      </c>
      <c r="AB792" s="4">
        <v>0.0</v>
      </c>
      <c r="AC792" s="4">
        <v>0.0</v>
      </c>
      <c r="AD792" s="6" t="s">
        <v>317</v>
      </c>
      <c r="AE792" s="6" t="s">
        <v>9</v>
      </c>
    </row>
    <row r="793" ht="16.5" customHeight="1">
      <c r="A793" s="2" t="str">
        <f>IFERROR(__xludf.DUMMYFUNCTION("""COMPUTED_VALUE"""),"3277-JUNVINGC")</f>
        <v>3277-JUNVINGC</v>
      </c>
      <c r="B793" s="2" t="str">
        <f>IFERROR(__xludf.DUMMYFUNCTION("""COMPUTED_VALUE"""),"Más servicios en tu barrio - 6/7 - Parque Patricios ")</f>
        <v>Más servicios en tu barrio - 6/7 - Parque Patricios </v>
      </c>
      <c r="C793" s="3">
        <f>IFERROR(__xludf.DUMMYFUNCTION("""COMPUTED_VALUE"""),46205.0)</f>
        <v>46205</v>
      </c>
      <c r="D793" s="3">
        <f>IFERROR(__xludf.DUMMYFUNCTION("""COMPUTED_VALUE"""),46205.0)</f>
        <v>46205</v>
      </c>
      <c r="E793" s="2" t="str">
        <f>IFERROR(__xludf.DUMMYFUNCTION("""COMPUTED_VALUE"""),"M2")</f>
        <v>M2</v>
      </c>
      <c r="F793" s="2" t="str">
        <f>IFERROR(__xludf.DUMMYFUNCTION("""COMPUTED_VALUE"""),"Vínculo Ciudadano")</f>
        <v>Vínculo Ciudadano</v>
      </c>
      <c r="G793" s="2" t="str">
        <f>IFERROR(__xludf.DUMMYFUNCTION("""COMPUTED_VALUE"""),"Finalizada")</f>
        <v>Finalizada</v>
      </c>
      <c r="H793" s="4">
        <v>0.0</v>
      </c>
      <c r="I793" s="4">
        <v>0.0</v>
      </c>
      <c r="J793" s="4">
        <v>0.0</v>
      </c>
      <c r="K793" s="4">
        <v>0.0</v>
      </c>
      <c r="L793" s="5">
        <v>0.0</v>
      </c>
      <c r="M793" s="5">
        <v>0.0</v>
      </c>
      <c r="N793" s="4">
        <v>12663.0</v>
      </c>
      <c r="O793" s="4">
        <v>12486.0</v>
      </c>
      <c r="P793" s="4">
        <v>3587.0</v>
      </c>
      <c r="Q793" s="4">
        <v>128.0</v>
      </c>
      <c r="R793" s="4">
        <v>0.0</v>
      </c>
      <c r="S793" s="4">
        <v>0.0</v>
      </c>
      <c r="T793" s="4">
        <v>0.0</v>
      </c>
      <c r="U793" s="4">
        <v>0.0</v>
      </c>
      <c r="V793" s="4">
        <v>0.0</v>
      </c>
      <c r="W793" s="4">
        <v>0.0</v>
      </c>
      <c r="X793" s="4">
        <v>0.0</v>
      </c>
      <c r="Y793" s="4">
        <v>0.0</v>
      </c>
      <c r="Z793" s="4">
        <v>0.0</v>
      </c>
      <c r="AA793" s="4">
        <v>0.0</v>
      </c>
      <c r="AB793" s="4">
        <v>0.0</v>
      </c>
      <c r="AC793" s="4">
        <v>0.0</v>
      </c>
      <c r="AD793" s="4" t="s">
        <v>8</v>
      </c>
      <c r="AE793" s="6" t="s">
        <v>9</v>
      </c>
    </row>
    <row r="794" ht="16.5" customHeight="1">
      <c r="A794" s="2" t="str">
        <f>IFERROR(__xludf.DUMMYFUNCTION("""COMPUTED_VALUE"""),"3278-JUNVINGC")</f>
        <v>3278-JUNVINGC</v>
      </c>
      <c r="B794" s="2" t="str">
        <f>IFERROR(__xludf.DUMMYFUNCTION("""COMPUTED_VALUE"""),"Más servicios en tu barrio - 7/7 - Retiro")</f>
        <v>Más servicios en tu barrio - 7/7 - Retiro</v>
      </c>
      <c r="C794" s="3">
        <f>IFERROR(__xludf.DUMMYFUNCTION("""COMPUTED_VALUE"""),46205.0)</f>
        <v>46205</v>
      </c>
      <c r="D794" s="3">
        <f>IFERROR(__xludf.DUMMYFUNCTION("""COMPUTED_VALUE"""),46216.0)</f>
        <v>46216</v>
      </c>
      <c r="E794" s="2" t="str">
        <f>IFERROR(__xludf.DUMMYFUNCTION("""COMPUTED_VALUE"""),"M2")</f>
        <v>M2</v>
      </c>
      <c r="F794" s="2" t="str">
        <f>IFERROR(__xludf.DUMMYFUNCTION("""COMPUTED_VALUE"""),"Vínculo Ciudadano")</f>
        <v>Vínculo Ciudadano</v>
      </c>
      <c r="G794" s="2" t="str">
        <f>IFERROR(__xludf.DUMMYFUNCTION("""COMPUTED_VALUE"""),"Finalizada")</f>
        <v>Finalizada</v>
      </c>
      <c r="H794" s="4">
        <v>0.0</v>
      </c>
      <c r="I794" s="4">
        <v>0.0</v>
      </c>
      <c r="J794" s="4">
        <v>0.0</v>
      </c>
      <c r="K794" s="4">
        <v>0.0</v>
      </c>
      <c r="L794" s="5">
        <v>0.0</v>
      </c>
      <c r="M794" s="5">
        <v>0.0</v>
      </c>
      <c r="N794" s="4">
        <v>2750.0</v>
      </c>
      <c r="O794" s="4">
        <v>2667.0</v>
      </c>
      <c r="P794" s="4">
        <v>599.0</v>
      </c>
      <c r="Q794" s="4">
        <v>43.0</v>
      </c>
      <c r="R794" s="4">
        <v>0.0</v>
      </c>
      <c r="S794" s="4">
        <v>0.0</v>
      </c>
      <c r="T794" s="4">
        <v>0.0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4">
        <v>0.0</v>
      </c>
      <c r="AA794" s="4">
        <v>4275.0</v>
      </c>
      <c r="AB794" s="4">
        <v>3734.0</v>
      </c>
      <c r="AC794" s="4">
        <v>101.0</v>
      </c>
      <c r="AD794" s="4" t="s">
        <v>8</v>
      </c>
      <c r="AE794" s="6" t="s">
        <v>9</v>
      </c>
    </row>
    <row r="795" ht="16.5" customHeight="1">
      <c r="A795" s="2" t="str">
        <f>IFERROR(__xludf.DUMMYFUNCTION("""COMPUTED_VALUE"""),"3279-JUNVINGC")</f>
        <v>3279-JUNVINGC</v>
      </c>
      <c r="B795" s="2" t="str">
        <f>IFERROR(__xludf.DUMMYFUNCTION("""COMPUTED_VALUE"""),"Más servicios en tu barrio - 8/7 - Boedo")</f>
        <v>Más servicios en tu barrio - 8/7 - Boedo</v>
      </c>
      <c r="C795" s="3">
        <f>IFERROR(__xludf.DUMMYFUNCTION("""COMPUTED_VALUE"""),46205.0)</f>
        <v>46205</v>
      </c>
      <c r="D795" s="3">
        <f>IFERROR(__xludf.DUMMYFUNCTION("""COMPUTED_VALUE"""),46205.0)</f>
        <v>46205</v>
      </c>
      <c r="E795" s="2" t="str">
        <f>IFERROR(__xludf.DUMMYFUNCTION("""COMPUTED_VALUE"""),"M2")</f>
        <v>M2</v>
      </c>
      <c r="F795" s="2" t="str">
        <f>IFERROR(__xludf.DUMMYFUNCTION("""COMPUTED_VALUE"""),"Vínculo Ciudadano")</f>
        <v>Vínculo Ciudadano</v>
      </c>
      <c r="G795" s="2" t="str">
        <f>IFERROR(__xludf.DUMMYFUNCTION("""COMPUTED_VALUE"""),"Finalizada")</f>
        <v>Finalizada</v>
      </c>
      <c r="H795" s="4">
        <v>0.0</v>
      </c>
      <c r="I795" s="4">
        <v>0.0</v>
      </c>
      <c r="J795" s="4">
        <v>0.0</v>
      </c>
      <c r="K795" s="4">
        <v>0.0</v>
      </c>
      <c r="L795" s="5">
        <v>0.0</v>
      </c>
      <c r="M795" s="5">
        <v>0.0</v>
      </c>
      <c r="N795" s="4">
        <v>19033.0</v>
      </c>
      <c r="O795" s="4">
        <v>18832.0</v>
      </c>
      <c r="P795" s="4">
        <v>6338.0</v>
      </c>
      <c r="Q795" s="4">
        <v>288.0</v>
      </c>
      <c r="R795" s="4">
        <v>0.0</v>
      </c>
      <c r="S795" s="4">
        <v>0.0</v>
      </c>
      <c r="T795" s="4">
        <v>0.0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4">
        <v>0.0</v>
      </c>
      <c r="AA795" s="4">
        <v>0.0</v>
      </c>
      <c r="AB795" s="4">
        <v>0.0</v>
      </c>
      <c r="AC795" s="4">
        <v>0.0</v>
      </c>
      <c r="AD795" s="4" t="s">
        <v>8</v>
      </c>
      <c r="AE795" s="6" t="s">
        <v>9</v>
      </c>
    </row>
    <row r="796" ht="16.5" customHeight="1">
      <c r="A796" s="2" t="str">
        <f>IFERROR(__xludf.DUMMYFUNCTION("""COMPUTED_VALUE"""),"3280-JUNINFGJ")</f>
        <v>3280-JUNINFGJ</v>
      </c>
      <c r="B796" s="2" t="str">
        <f>IFERROR(__xludf.DUMMYFUNCTION("""COMPUTED_VALUE"""),"Infraestructura | AU Dellepiane: Colectora Norte apertura | 30/6")</f>
        <v>Infraestructura | AU Dellepiane: Colectora Norte apertura | 30/6</v>
      </c>
      <c r="C796" s="3">
        <f>IFERROR(__xludf.DUMMYFUNCTION("""COMPUTED_VALUE"""),46203.0)</f>
        <v>46203</v>
      </c>
      <c r="D796" s="3">
        <f>IFERROR(__xludf.DUMMYFUNCTION("""COMPUTED_VALUE"""),46220.0)</f>
        <v>46220</v>
      </c>
      <c r="E796" s="2" t="str">
        <f>IFERROR(__xludf.DUMMYFUNCTION("""COMPUTED_VALUE"""),"Movilidad")</f>
        <v>Movilidad</v>
      </c>
      <c r="F796" s="2" t="str">
        <f>IFERROR(__xludf.DUMMYFUNCTION("""COMPUTED_VALUE"""),"Infraestructura")</f>
        <v>Infraestructura</v>
      </c>
      <c r="G796" s="2" t="str">
        <f>IFERROR(__xludf.DUMMYFUNCTION("""COMPUTED_VALUE"""),"Finalizada")</f>
        <v>Finalizada</v>
      </c>
      <c r="H796" s="4">
        <v>5404802.0</v>
      </c>
      <c r="I796" s="4">
        <v>117888.0</v>
      </c>
      <c r="J796" s="4">
        <v>13656.0</v>
      </c>
      <c r="K796" s="4">
        <v>231300.0</v>
      </c>
      <c r="L796" s="5">
        <v>2.6430998702983137</v>
      </c>
      <c r="M796" s="5">
        <v>23.367064418504107</v>
      </c>
      <c r="N796" s="4">
        <v>137861.0</v>
      </c>
      <c r="O796" s="4">
        <v>135963.0</v>
      </c>
      <c r="P796" s="4">
        <v>36103.0</v>
      </c>
      <c r="Q796" s="4">
        <v>596.0</v>
      </c>
      <c r="R796" s="4">
        <v>0.0</v>
      </c>
      <c r="S796" s="4">
        <v>0.0</v>
      </c>
      <c r="T796" s="4">
        <v>0.0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4">
        <v>0.0</v>
      </c>
      <c r="AA796" s="4">
        <v>7891.0</v>
      </c>
      <c r="AB796" s="4">
        <v>7412.0</v>
      </c>
      <c r="AC796" s="4">
        <v>233.0</v>
      </c>
      <c r="AD796" s="4"/>
      <c r="AE796" s="6" t="s">
        <v>9</v>
      </c>
    </row>
    <row r="797" ht="16.5" customHeight="1">
      <c r="A797" s="2" t="str">
        <f>IFERROR(__xludf.DUMMYFUNCTION("""COMPUTED_VALUE"""),"3281-JUNSEGGJ")</f>
        <v>3281-JUNSEGGJ</v>
      </c>
      <c r="B797" s="2" t="str">
        <f>IFERROR(__xludf.DUMMYFUNCTION("""COMPUTED_VALUE"""),"Banco de ADN para identificar delincuentes")</f>
        <v>Banco de ADN para identificar delincuentes</v>
      </c>
      <c r="C797" s="3">
        <f>IFERROR(__xludf.DUMMYFUNCTION("""COMPUTED_VALUE"""),46205.0)</f>
        <v>46205</v>
      </c>
      <c r="D797" s="3">
        <f>IFERROR(__xludf.DUMMYFUNCTION("""COMPUTED_VALUE"""),46224.0)</f>
        <v>46224</v>
      </c>
      <c r="E797" s="2" t="str">
        <f>IFERROR(__xludf.DUMMYFUNCTION("""COMPUTED_VALUE"""),"M2")</f>
        <v>M2</v>
      </c>
      <c r="F797" s="2" t="str">
        <f>IFERROR(__xludf.DUMMYFUNCTION("""COMPUTED_VALUE"""),"Seguridad")</f>
        <v>Seguridad</v>
      </c>
      <c r="G797" s="2" t="str">
        <f>IFERROR(__xludf.DUMMYFUNCTION("""COMPUTED_VALUE"""),"Finalizada")</f>
        <v>Finalizada</v>
      </c>
      <c r="H797" s="4">
        <v>1.67963E7</v>
      </c>
      <c r="I797" s="4">
        <v>3251030.0</v>
      </c>
      <c r="J797" s="4">
        <v>57348.0</v>
      </c>
      <c r="K797" s="4">
        <v>2634893.0</v>
      </c>
      <c r="L797" s="5">
        <v>2.1016026077719285</v>
      </c>
      <c r="M797" s="5">
        <v>6.374566253734023</v>
      </c>
      <c r="N797" s="4">
        <v>692045.0</v>
      </c>
      <c r="O797" s="4">
        <v>686749.0</v>
      </c>
      <c r="P797" s="4">
        <v>174626.0</v>
      </c>
      <c r="Q797" s="4">
        <v>2957.0</v>
      </c>
      <c r="R797" s="4">
        <v>0.0</v>
      </c>
      <c r="S797" s="4">
        <v>0.0</v>
      </c>
      <c r="T797" s="4">
        <v>0.0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4">
        <v>0.0</v>
      </c>
      <c r="AA797" s="4">
        <v>0.0</v>
      </c>
      <c r="AB797" s="4">
        <v>0.0</v>
      </c>
      <c r="AC797" s="4">
        <v>0.0</v>
      </c>
      <c r="AD797" s="4"/>
      <c r="AE797" s="6" t="s">
        <v>9</v>
      </c>
    </row>
    <row r="798" ht="16.5" customHeight="1">
      <c r="A798" s="2" t="str">
        <f>IFERROR(__xludf.DUMMYFUNCTION("""COMPUTED_VALUE"""),"3282-JUNSEGGJ")</f>
        <v>3282-JUNSEGGJ</v>
      </c>
      <c r="B798" s="2" t="str">
        <f>IFERROR(__xludf.DUMMYFUNCTION("""COMPUTED_VALUE"""),"Megaoperativo Marea Azul")</f>
        <v>Megaoperativo Marea Azul</v>
      </c>
      <c r="C798" s="3">
        <f>IFERROR(__xludf.DUMMYFUNCTION("""COMPUTED_VALUE"""),46204.0)</f>
        <v>46204</v>
      </c>
      <c r="D798" s="3">
        <f>IFERROR(__xludf.DUMMYFUNCTION("""COMPUTED_VALUE"""),46225.0)</f>
        <v>46225</v>
      </c>
      <c r="E798" s="2" t="str">
        <f>IFERROR(__xludf.DUMMYFUNCTION("""COMPUTED_VALUE"""),"M2")</f>
        <v>M2</v>
      </c>
      <c r="F798" s="2" t="str">
        <f>IFERROR(__xludf.DUMMYFUNCTION("""COMPUTED_VALUE"""),"Seguridad")</f>
        <v>Seguridad</v>
      </c>
      <c r="G798" s="2" t="str">
        <f>IFERROR(__xludf.DUMMYFUNCTION("""COMPUTED_VALUE"""),"Activa")</f>
        <v>Activa</v>
      </c>
      <c r="H798" s="4">
        <v>1.1666699E7</v>
      </c>
      <c r="I798" s="4">
        <v>3275682.0</v>
      </c>
      <c r="J798" s="4">
        <v>75632.0</v>
      </c>
      <c r="K798" s="4">
        <v>2422026.0</v>
      </c>
      <c r="L798" s="5">
        <v>1.9329635602590558</v>
      </c>
      <c r="M798" s="5">
        <v>4.816917324586937</v>
      </c>
      <c r="N798" s="4">
        <v>693555.0</v>
      </c>
      <c r="O798" s="4">
        <v>689453.0</v>
      </c>
      <c r="P798" s="4">
        <v>180248.0</v>
      </c>
      <c r="Q798" s="4">
        <v>2493.0</v>
      </c>
      <c r="R798" s="4">
        <v>0.0</v>
      </c>
      <c r="S798" s="4">
        <v>0.0</v>
      </c>
      <c r="T798" s="4">
        <v>0.0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4">
        <v>0.0</v>
      </c>
      <c r="AA798" s="4">
        <v>0.0</v>
      </c>
      <c r="AB798" s="4">
        <v>0.0</v>
      </c>
      <c r="AC798" s="4">
        <v>0.0</v>
      </c>
      <c r="AD798" s="4"/>
      <c r="AE798" s="6" t="s">
        <v>9</v>
      </c>
    </row>
    <row r="799" ht="16.5" customHeight="1">
      <c r="A799" s="2" t="str">
        <f>IFERROR(__xludf.DUMMYFUNCTION("""COMPUTED_VALUE"""),"3283-JUNAMBVC")</f>
        <v>3283-JUNAMBVC</v>
      </c>
      <c r="B799" s="2" t="str">
        <f>IFERROR(__xludf.DUMMYFUNCTION("""COMPUTED_VALUE"""),"RDV Ministros | Clara Muzzio - 3/7 - Temática")</f>
        <v>RDV Ministros | Clara Muzzio - 3/7 - Temática</v>
      </c>
      <c r="C799" s="3">
        <f>IFERROR(__xludf.DUMMYFUNCTION("""COMPUTED_VALUE"""),46203.0)</f>
        <v>46203</v>
      </c>
      <c r="D799" s="3">
        <f>IFERROR(__xludf.DUMMYFUNCTION("""COMPUTED_VALUE"""),46210.0)</f>
        <v>46210</v>
      </c>
      <c r="E799" s="2" t="str">
        <f>IFERROR(__xludf.DUMMYFUNCTION("""COMPUTED_VALUE"""),"Cercanía")</f>
        <v>Cercanía</v>
      </c>
      <c r="F799" s="2" t="str">
        <f>IFERROR(__xludf.DUMMYFUNCTION("""COMPUTED_VALUE"""),"Vicejefatura (Ambiente)")</f>
        <v>Vicejefatura (Ambiente)</v>
      </c>
      <c r="G799" s="2" t="str">
        <f>IFERROR(__xludf.DUMMYFUNCTION("""COMPUTED_VALUE"""),"Finalizada")</f>
        <v>Finalizada</v>
      </c>
      <c r="H799" s="4">
        <v>95575.0</v>
      </c>
      <c r="I799" s="4">
        <v>0.0</v>
      </c>
      <c r="J799" s="4">
        <v>293.0</v>
      </c>
      <c r="K799" s="4">
        <v>68577.0</v>
      </c>
      <c r="L799" s="5">
        <v>1.3936888461145864</v>
      </c>
      <c r="M799" s="5">
        <v>1.3936888461145864</v>
      </c>
      <c r="N799" s="4">
        <v>4098.0</v>
      </c>
      <c r="O799" s="4">
        <v>4018.0</v>
      </c>
      <c r="P799" s="4">
        <v>1378.0</v>
      </c>
      <c r="Q799" s="4">
        <v>39.0</v>
      </c>
      <c r="R799" s="4">
        <v>0.0</v>
      </c>
      <c r="S799" s="4">
        <v>0.0</v>
      </c>
      <c r="T799" s="4">
        <v>0.0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4">
        <v>0.0</v>
      </c>
      <c r="AA799" s="4">
        <v>0.0</v>
      </c>
      <c r="AB799" s="4">
        <v>0.0</v>
      </c>
      <c r="AC799" s="4">
        <v>0.0</v>
      </c>
      <c r="AD799" s="6" t="s">
        <v>310</v>
      </c>
      <c r="AE799" s="6" t="s">
        <v>9</v>
      </c>
    </row>
    <row r="800" ht="16.5" customHeight="1">
      <c r="A800" s="2" t="str">
        <f>IFERROR(__xludf.DUMMYFUNCTION("""COMPUTED_VALUE"""),"3284-JUNINFGC")</f>
        <v>3284-JUNINFGC</v>
      </c>
      <c r="B800" s="2" t="str">
        <f>IFERROR(__xludf.DUMMYFUNCTION("""COMPUTED_VALUE"""),"INFRAESTRUCTURA | M2 | TRAMBUS JULIO 2026")</f>
        <v>INFRAESTRUCTURA | M2 | TRAMBUS JULIO 2026</v>
      </c>
      <c r="C800" s="3">
        <f>IFERROR(__xludf.DUMMYFUNCTION("""COMPUTED_VALUE"""),46204.0)</f>
        <v>46204</v>
      </c>
      <c r="D800" s="3">
        <f>IFERROR(__xludf.DUMMYFUNCTION("""COMPUTED_VALUE"""),46204.0)</f>
        <v>46204</v>
      </c>
      <c r="E800" s="2" t="str">
        <f>IFERROR(__xludf.DUMMYFUNCTION("""COMPUTED_VALUE"""),"M2")</f>
        <v>M2</v>
      </c>
      <c r="F800" s="2" t="str">
        <f>IFERROR(__xludf.DUMMYFUNCTION("""COMPUTED_VALUE"""),"Infraestructura")</f>
        <v>Infraestructura</v>
      </c>
      <c r="G800" s="2" t="str">
        <f>IFERROR(__xludf.DUMMYFUNCTION("""COMPUTED_VALUE"""),"Finalizada")</f>
        <v>Finalizada</v>
      </c>
      <c r="H800" s="4">
        <v>0.0</v>
      </c>
      <c r="I800" s="4">
        <v>0.0</v>
      </c>
      <c r="J800" s="4">
        <v>0.0</v>
      </c>
      <c r="K800" s="4">
        <v>0.0</v>
      </c>
      <c r="L800" s="5">
        <v>0.0</v>
      </c>
      <c r="M800" s="5">
        <v>0.0</v>
      </c>
      <c r="N800" s="4">
        <v>12379.0</v>
      </c>
      <c r="O800" s="4">
        <v>12272.0</v>
      </c>
      <c r="P800" s="4">
        <v>4201.0</v>
      </c>
      <c r="Q800" s="4">
        <v>558.0</v>
      </c>
      <c r="R800" s="4">
        <v>0.0</v>
      </c>
      <c r="S800" s="4">
        <v>0.0</v>
      </c>
      <c r="T800" s="4">
        <v>0.0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4">
        <v>0.0</v>
      </c>
      <c r="AA800" s="4">
        <v>0.0</v>
      </c>
      <c r="AB800" s="4">
        <v>0.0</v>
      </c>
      <c r="AC800" s="4">
        <v>0.0</v>
      </c>
      <c r="AD800" s="4" t="s">
        <v>8</v>
      </c>
      <c r="AE800" s="6" t="s">
        <v>9</v>
      </c>
    </row>
    <row r="801" ht="16.5" customHeight="1">
      <c r="A801" s="2" t="str">
        <f>IFERROR(__xludf.DUMMYFUNCTION("""COMPUTED_VALUE"""),"3286-JUNAMBGC")</f>
        <v>3286-JUNAMBGC</v>
      </c>
      <c r="B801" s="2" t="str">
        <f>IFERROR(__xludf.DUMMYFUNCTION("""COMPUTED_VALUE"""),"Banco de herramientas Junio - Comuna 12")</f>
        <v>Banco de herramientas Junio - Comuna 12</v>
      </c>
      <c r="C801" s="3">
        <f>IFERROR(__xludf.DUMMYFUNCTION("""COMPUTED_VALUE"""),46204.0)</f>
        <v>46204</v>
      </c>
      <c r="D801" s="3">
        <f>IFERROR(__xludf.DUMMYFUNCTION("""COMPUTED_VALUE"""),46206.0)</f>
        <v>46206</v>
      </c>
      <c r="E801" s="2" t="str">
        <f>IFERROR(__xludf.DUMMYFUNCTION("""COMPUTED_VALUE"""),"Cuidado")</f>
        <v>Cuidado</v>
      </c>
      <c r="F801" s="2" t="str">
        <f>IFERROR(__xludf.DUMMYFUNCTION("""COMPUTED_VALUE"""),"Vicejefatura (Ambiente)")</f>
        <v>Vicejefatura (Ambiente)</v>
      </c>
      <c r="G801" s="2" t="str">
        <f>IFERROR(__xludf.DUMMYFUNCTION("""COMPUTED_VALUE"""),"Finalizada")</f>
        <v>Finalizada</v>
      </c>
      <c r="H801" s="4">
        <v>0.0</v>
      </c>
      <c r="I801" s="4">
        <v>0.0</v>
      </c>
      <c r="J801" s="4">
        <v>0.0</v>
      </c>
      <c r="K801" s="4">
        <v>0.0</v>
      </c>
      <c r="L801" s="5">
        <v>0.0</v>
      </c>
      <c r="M801" s="5">
        <v>0.0</v>
      </c>
      <c r="N801" s="4">
        <v>228269.0</v>
      </c>
      <c r="O801" s="4">
        <v>226021.0</v>
      </c>
      <c r="P801" s="4">
        <v>74987.0</v>
      </c>
      <c r="Q801" s="4">
        <v>2302.0</v>
      </c>
      <c r="R801" s="4">
        <v>0.0</v>
      </c>
      <c r="S801" s="4">
        <v>0.0</v>
      </c>
      <c r="T801" s="4">
        <v>0.0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4">
        <v>0.0</v>
      </c>
      <c r="AA801" s="4">
        <v>0.0</v>
      </c>
      <c r="AB801" s="4">
        <v>0.0</v>
      </c>
      <c r="AC801" s="4">
        <v>0.0</v>
      </c>
      <c r="AD801" s="4" t="s">
        <v>8</v>
      </c>
      <c r="AE801" s="6" t="s">
        <v>9</v>
      </c>
    </row>
    <row r="802" ht="16.5" customHeight="1">
      <c r="A802" s="2" t="str">
        <f>IFERROR(__xludf.DUMMYFUNCTION("""COMPUTED_VALUE"""),"3288-JUNPCCVC")</f>
        <v>3288-JUNPCCVC</v>
      </c>
      <c r="B802" s="2" t="str">
        <f>IFERROR(__xludf.DUMMYFUNCTION("""COMPUTED_VALUE"""),"Visita Circuito Riachuelo")</f>
        <v>Visita Circuito Riachuelo</v>
      </c>
      <c r="C802" s="3">
        <f>IFERROR(__xludf.DUMMYFUNCTION("""COMPUTED_VALUE"""),46216.0)</f>
        <v>46216</v>
      </c>
      <c r="D802" s="3">
        <f>IFERROR(__xludf.DUMMYFUNCTION("""COMPUTED_VALUE"""),46216.0)</f>
        <v>46216</v>
      </c>
      <c r="E802" s="2" t="str">
        <f>IFERROR(__xludf.DUMMYFUNCTION("""COMPUTED_VALUE"""),"Cercanía")</f>
        <v>Cercanía</v>
      </c>
      <c r="F802" s="2" t="str">
        <f>IFERROR(__xludf.DUMMYFUNCTION("""COMPUTED_VALUE"""),"Cercanía y PC")</f>
        <v>Cercanía y PC</v>
      </c>
      <c r="G802" s="2" t="str">
        <f>IFERROR(__xludf.DUMMYFUNCTION("""COMPUTED_VALUE"""),"Finalizada")</f>
        <v>Finalizada</v>
      </c>
      <c r="H802" s="4">
        <v>0.0</v>
      </c>
      <c r="I802" s="4">
        <v>0.0</v>
      </c>
      <c r="J802" s="4">
        <v>0.0</v>
      </c>
      <c r="K802" s="4">
        <v>0.0</v>
      </c>
      <c r="L802" s="5">
        <v>0.0</v>
      </c>
      <c r="M802" s="5">
        <v>0.0</v>
      </c>
      <c r="N802" s="4">
        <v>83744.0</v>
      </c>
      <c r="O802" s="4">
        <v>82568.0</v>
      </c>
      <c r="P802" s="4">
        <v>23165.0</v>
      </c>
      <c r="Q802" s="4">
        <v>1016.0</v>
      </c>
      <c r="R802" s="4">
        <v>0.0</v>
      </c>
      <c r="S802" s="4">
        <v>0.0</v>
      </c>
      <c r="T802" s="4">
        <v>0.0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0.0</v>
      </c>
      <c r="AB802" s="4">
        <v>0.0</v>
      </c>
      <c r="AC802" s="4">
        <v>0.0</v>
      </c>
      <c r="AD802" s="4" t="s">
        <v>8</v>
      </c>
      <c r="AE802" s="6" t="s">
        <v>9</v>
      </c>
    </row>
    <row r="803" ht="16.5" customHeight="1">
      <c r="A803" s="2" t="str">
        <f>IFERROR(__xludf.DUMMYFUNCTION("""COMPUTED_VALUE"""),"3289-JUNJDGAG")</f>
        <v>3289-JUNJDGAG</v>
      </c>
      <c r="B803" s="2" t="str">
        <f>IFERROR(__xludf.DUMMYFUNCTION("""COMPUTED_VALUE"""),"PRIMERA PERSONA | JM | PAULA PARETTO 27/7")</f>
        <v>PRIMERA PERSONA | JM | PAULA PARETTO 27/7</v>
      </c>
      <c r="C803" s="3">
        <f>IFERROR(__xludf.DUMMYFUNCTION("""COMPUTED_VALUE"""),46220.0)</f>
        <v>46220</v>
      </c>
      <c r="D803" s="3">
        <f>IFERROR(__xludf.DUMMYFUNCTION("""COMPUTED_VALUE"""),46230.0)</f>
        <v>46230</v>
      </c>
      <c r="E803" s="2" t="str">
        <f>IFERROR(__xludf.DUMMYFUNCTION("""COMPUTED_VALUE"""),"Cercanía")</f>
        <v>Cercanía</v>
      </c>
      <c r="F803" s="2" t="str">
        <f>IFERROR(__xludf.DUMMYFUNCTION("""COMPUTED_VALUE"""),"Jefatura de Gobierno")</f>
        <v>Jefatura de Gobierno</v>
      </c>
      <c r="G803" s="2" t="str">
        <f>IFERROR(__xludf.DUMMYFUNCTION("""COMPUTED_VALUE"""),"Activa")</f>
        <v>Activa</v>
      </c>
      <c r="H803" s="4">
        <v>1347357.0</v>
      </c>
      <c r="I803" s="4">
        <v>0.0</v>
      </c>
      <c r="J803" s="4">
        <v>9151.0</v>
      </c>
      <c r="K803" s="4">
        <v>139749.0</v>
      </c>
      <c r="L803" s="5">
        <v>1.5639467903169253</v>
      </c>
      <c r="M803" s="5">
        <v>9.641263980422043</v>
      </c>
      <c r="N803" s="4">
        <v>277445.0</v>
      </c>
      <c r="O803" s="4">
        <v>273543.0</v>
      </c>
      <c r="P803" s="4">
        <v>49242.0</v>
      </c>
      <c r="Q803" s="4">
        <v>1658.0</v>
      </c>
      <c r="R803" s="4">
        <v>0.0</v>
      </c>
      <c r="S803" s="4">
        <v>0.0</v>
      </c>
      <c r="T803" s="4">
        <v>0.0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0.0</v>
      </c>
      <c r="AB803" s="4">
        <v>0.0</v>
      </c>
      <c r="AC803" s="4">
        <v>0.0</v>
      </c>
      <c r="AD803" s="4"/>
      <c r="AE803" s="6" t="s">
        <v>9</v>
      </c>
    </row>
    <row r="804" ht="16.5" customHeight="1">
      <c r="A804" s="2" t="str">
        <f>IFERROR(__xludf.DUMMYFUNCTION("""COMPUTED_VALUE"""),"3290-JULDECLI")</f>
        <v>3290-JULDECLI</v>
      </c>
      <c r="B804" s="2" t="str">
        <f>IFERROR(__xludf.DUMMYFUNCTION("""COMPUTED_VALUE"""),"Sorteo CAMINOS Y SABORES ")</f>
        <v>Sorteo CAMINOS Y SABORES </v>
      </c>
      <c r="C804" s="3">
        <f>IFERROR(__xludf.DUMMYFUNCTION("""COMPUTED_VALUE"""),46206.0)</f>
        <v>46206</v>
      </c>
      <c r="D804" s="3">
        <f>IFERROR(__xludf.DUMMYFUNCTION("""COMPUTED_VALUE"""),46211.0)</f>
        <v>46211</v>
      </c>
      <c r="E804" s="2" t="str">
        <f>IFERROR(__xludf.DUMMYFUNCTION("""COMPUTED_VALUE"""),"Ciudad Atractiva")</f>
        <v>Ciudad Atractiva</v>
      </c>
      <c r="F804" s="2" t="str">
        <f>IFERROR(__xludf.DUMMYFUNCTION("""COMPUTED_VALUE"""),"Desarrollo Económico")</f>
        <v>Desarrollo Económico</v>
      </c>
      <c r="G804" s="2" t="str">
        <f>IFERROR(__xludf.DUMMYFUNCTION("""COMPUTED_VALUE"""),"Finalizada")</f>
        <v>Finalizada</v>
      </c>
      <c r="H804" s="4">
        <v>1145289.0</v>
      </c>
      <c r="I804" s="4">
        <v>0.0</v>
      </c>
      <c r="J804" s="4">
        <v>13679.0</v>
      </c>
      <c r="K804" s="4">
        <v>151781.0</v>
      </c>
      <c r="L804" s="5">
        <v>2.0224270494989494</v>
      </c>
      <c r="M804" s="5">
        <v>7.545667771328427</v>
      </c>
      <c r="N804" s="4">
        <v>140891.0</v>
      </c>
      <c r="O804" s="4">
        <v>138772.0</v>
      </c>
      <c r="P804" s="4">
        <v>24818.0</v>
      </c>
      <c r="Q804" s="4">
        <v>3614.0</v>
      </c>
      <c r="R804" s="4">
        <v>0.0</v>
      </c>
      <c r="S804" s="4">
        <v>0.0</v>
      </c>
      <c r="T804" s="4">
        <v>0.0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0.0</v>
      </c>
      <c r="AB804" s="4">
        <v>0.0</v>
      </c>
      <c r="AC804" s="4">
        <v>0.0</v>
      </c>
      <c r="AD804" s="4"/>
      <c r="AE804" s="6" t="s">
        <v>9</v>
      </c>
    </row>
    <row r="805" ht="16.5" customHeight="1">
      <c r="A805" s="2" t="str">
        <f>IFERROR(__xludf.DUMMYFUNCTION("""COMPUTED_VALUE"""),"3292-JULINFGC")</f>
        <v>3292-JULINFGC</v>
      </c>
      <c r="B805" s="2" t="str">
        <f>IFERROR(__xludf.DUMMYFUNCTION("""COMPUTED_VALUE""")," INFRAESTRUCTURA | CORTES Y DESVÍOS EN AV. LEOPOLDO LUGONES")</f>
        <v> INFRAESTRUCTURA | CORTES Y DESVÍOS EN AV. LEOPOLDO LUGONES</v>
      </c>
      <c r="C805" s="3">
        <f>IFERROR(__xludf.DUMMYFUNCTION("""COMPUTED_VALUE"""),46204.0)</f>
        <v>46204</v>
      </c>
      <c r="D805" s="3">
        <f>IFERROR(__xludf.DUMMYFUNCTION("""COMPUTED_VALUE"""),46205.0)</f>
        <v>46205</v>
      </c>
      <c r="E805" s="2" t="str">
        <f>IFERROR(__xludf.DUMMYFUNCTION("""COMPUTED_VALUE"""),"Movilidad")</f>
        <v>Movilidad</v>
      </c>
      <c r="F805" s="2" t="str">
        <f>IFERROR(__xludf.DUMMYFUNCTION("""COMPUTED_VALUE"""),"Infraestructura")</f>
        <v>Infraestructura</v>
      </c>
      <c r="G805" s="2" t="str">
        <f>IFERROR(__xludf.DUMMYFUNCTION("""COMPUTED_VALUE"""),"Finalizada")</f>
        <v>Finalizada</v>
      </c>
      <c r="H805" s="4">
        <v>1958.0</v>
      </c>
      <c r="I805" s="4">
        <v>0.0</v>
      </c>
      <c r="J805" s="4">
        <v>78.0</v>
      </c>
      <c r="K805" s="4">
        <v>1958.0</v>
      </c>
      <c r="L805" s="5">
        <v>1.0</v>
      </c>
      <c r="M805" s="5">
        <v>1.0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4">
        <v>0.0</v>
      </c>
      <c r="T805" s="4">
        <v>0.0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4">
        <v>0.0</v>
      </c>
      <c r="AA805" s="4">
        <v>0.0</v>
      </c>
      <c r="AB805" s="4">
        <v>0.0</v>
      </c>
      <c r="AC805" s="4">
        <v>0.0</v>
      </c>
      <c r="AD805" s="4"/>
      <c r="AE805" s="4" t="s">
        <v>8</v>
      </c>
    </row>
    <row r="806" ht="16.5" customHeight="1">
      <c r="A806" s="2" t="str">
        <f>IFERROR(__xludf.DUMMYFUNCTION("""COMPUTED_VALUE"""),"3293-JULPCCVC")</f>
        <v>3293-JULPCCVC</v>
      </c>
      <c r="B806" s="2" t="str">
        <f>IFERROR(__xludf.DUMMYFUNCTION("""COMPUTED_VALUE"""),"Alta Interna Campaña VC | Invierno en la Ciudad - 1/7")</f>
        <v>Alta Interna Campaña VC | Invierno en la Ciudad - 1/7</v>
      </c>
      <c r="C806" s="3">
        <f>IFERROR(__xludf.DUMMYFUNCTION("""COMPUTED_VALUE"""),46218.0)</f>
        <v>46218</v>
      </c>
      <c r="D806" s="3">
        <f>IFERROR(__xludf.DUMMYFUNCTION("""COMPUTED_VALUE"""),46218.0)</f>
        <v>46218</v>
      </c>
      <c r="E806" s="2" t="str">
        <f>IFERROR(__xludf.DUMMYFUNCTION("""COMPUTED_VALUE"""),"Cercanía")</f>
        <v>Cercanía</v>
      </c>
      <c r="F806" s="2" t="str">
        <f>IFERROR(__xludf.DUMMYFUNCTION("""COMPUTED_VALUE"""),"Cercanía y PC")</f>
        <v>Cercanía y PC</v>
      </c>
      <c r="G806" s="2" t="str">
        <f>IFERROR(__xludf.DUMMYFUNCTION("""COMPUTED_VALUE"""),"Finalizada")</f>
        <v>Finalizada</v>
      </c>
      <c r="H806" s="4">
        <v>0.0</v>
      </c>
      <c r="I806" s="4">
        <v>0.0</v>
      </c>
      <c r="J806" s="4">
        <v>0.0</v>
      </c>
      <c r="K806" s="4">
        <v>0.0</v>
      </c>
      <c r="L806" s="5">
        <v>0.0</v>
      </c>
      <c r="M806" s="5">
        <v>0.0</v>
      </c>
      <c r="N806" s="4">
        <v>139406.0</v>
      </c>
      <c r="O806" s="4">
        <v>121938.0</v>
      </c>
      <c r="P806" s="4">
        <v>32669.0</v>
      </c>
      <c r="Q806" s="4">
        <v>1684.0</v>
      </c>
      <c r="R806" s="4">
        <v>0.0</v>
      </c>
      <c r="S806" s="4">
        <v>0.0</v>
      </c>
      <c r="T806" s="4">
        <v>0.0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0.0</v>
      </c>
      <c r="AA806" s="4">
        <v>0.0</v>
      </c>
      <c r="AB806" s="4">
        <v>0.0</v>
      </c>
      <c r="AC806" s="4">
        <v>0.0</v>
      </c>
      <c r="AD806" s="4" t="s">
        <v>8</v>
      </c>
      <c r="AE806" s="6" t="s">
        <v>9</v>
      </c>
    </row>
    <row r="807" ht="16.5" customHeight="1">
      <c r="A807" s="2" t="str">
        <f>IFERROR(__xludf.DUMMYFUNCTION("""COMPUTED_VALUE"""),"3294-JULDHHVC")</f>
        <v>3294-JULDHHVC</v>
      </c>
      <c r="B807" s="2" t="str">
        <f>IFERROR(__xludf.DUMMYFUNCTION("""COMPUTED_VALUE"""),"RDV Ministros | Gabriel Mraida - 8/7 ")</f>
        <v>RDV Ministros | Gabriel Mraida - 8/7 </v>
      </c>
      <c r="C807" s="3">
        <f>IFERROR(__xludf.DUMMYFUNCTION("""COMPUTED_VALUE"""),46206.0)</f>
        <v>46206</v>
      </c>
      <c r="D807" s="3">
        <f>IFERROR(__xludf.DUMMYFUNCTION("""COMPUTED_VALUE"""),46216.0)</f>
        <v>46216</v>
      </c>
      <c r="E807" s="2" t="str">
        <f>IFERROR(__xludf.DUMMYFUNCTION("""COMPUTED_VALUE"""),"Cercanía")</f>
        <v>Cercanía</v>
      </c>
      <c r="F807" s="2" t="str">
        <f>IFERROR(__xludf.DUMMYFUNCTION("""COMPUTED_VALUE"""),"Desarrollo Humano y Hábitat")</f>
        <v>Desarrollo Humano y Hábitat</v>
      </c>
      <c r="G807" s="2" t="str">
        <f>IFERROR(__xludf.DUMMYFUNCTION("""COMPUTED_VALUE"""),"Finalizada")</f>
        <v>Finalizada</v>
      </c>
      <c r="H807" s="4">
        <v>135430.0</v>
      </c>
      <c r="I807" s="4">
        <v>0.0</v>
      </c>
      <c r="J807" s="4">
        <v>550.0</v>
      </c>
      <c r="K807" s="4"/>
      <c r="L807" s="5">
        <v>0.0</v>
      </c>
      <c r="M807" s="5">
        <v>0.0</v>
      </c>
      <c r="N807" s="4">
        <v>62043.0</v>
      </c>
      <c r="O807" s="4">
        <v>61054.0</v>
      </c>
      <c r="P807" s="4">
        <v>6833.0</v>
      </c>
      <c r="Q807" s="4">
        <v>91.0</v>
      </c>
      <c r="R807" s="4">
        <v>52.0</v>
      </c>
      <c r="S807" s="4">
        <v>52.0</v>
      </c>
      <c r="T807" s="4">
        <v>12.0</v>
      </c>
      <c r="U807" s="4">
        <v>12.0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0.0</v>
      </c>
      <c r="AB807" s="4">
        <v>0.0</v>
      </c>
      <c r="AC807" s="4">
        <v>0.0</v>
      </c>
      <c r="AD807" s="4"/>
      <c r="AE807" s="6" t="s">
        <v>9</v>
      </c>
    </row>
    <row r="808" ht="16.5" customHeight="1">
      <c r="A808" s="2" t="str">
        <f>IFERROR(__xludf.DUMMYFUNCTION("""COMPUTED_VALUE"""),"3295-JULSEGVC")</f>
        <v>3295-JULSEGVC</v>
      </c>
      <c r="B808" s="2" t="str">
        <f>IFERROR(__xludf.DUMMYFUNCTION("""COMPUTED_VALUE"""),"RDV Ministros | Ezequiel Sabor 8/7")</f>
        <v>RDV Ministros | Ezequiel Sabor 8/7</v>
      </c>
      <c r="C808" s="3">
        <f>IFERROR(__xludf.DUMMYFUNCTION("""COMPUTED_VALUE"""),46206.0)</f>
        <v>46206</v>
      </c>
      <c r="D808" s="3">
        <f>IFERROR(__xludf.DUMMYFUNCTION("""COMPUTED_VALUE"""),46216.0)</f>
        <v>46216</v>
      </c>
      <c r="E808" s="2" t="str">
        <f>IFERROR(__xludf.DUMMYFUNCTION("""COMPUTED_VALUE"""),"Cercanía")</f>
        <v>Cercanía</v>
      </c>
      <c r="F808" s="2" t="str">
        <f>IFERROR(__xludf.DUMMYFUNCTION("""COMPUTED_VALUE"""),"Seguridad")</f>
        <v>Seguridad</v>
      </c>
      <c r="G808" s="2" t="str">
        <f>IFERROR(__xludf.DUMMYFUNCTION("""COMPUTED_VALUE"""),"Finalizada")</f>
        <v>Finalizada</v>
      </c>
      <c r="H808" s="4">
        <v>129266.0</v>
      </c>
      <c r="I808" s="4">
        <v>0.0</v>
      </c>
      <c r="J808" s="4">
        <v>471.0</v>
      </c>
      <c r="K808" s="4">
        <v>77784.0</v>
      </c>
      <c r="L808" s="5">
        <v>1.6618584798930371</v>
      </c>
      <c r="M808" s="5">
        <v>1.6618584798930371</v>
      </c>
      <c r="N808" s="4">
        <v>101748.0</v>
      </c>
      <c r="O808" s="4">
        <v>101355.0</v>
      </c>
      <c r="P808" s="4">
        <v>24316.0</v>
      </c>
      <c r="Q808" s="4">
        <v>354.0</v>
      </c>
      <c r="R808" s="4">
        <v>195.0</v>
      </c>
      <c r="S808" s="4">
        <v>195.0</v>
      </c>
      <c r="T808" s="4">
        <v>71.0</v>
      </c>
      <c r="U808" s="4">
        <v>68.0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0.0</v>
      </c>
      <c r="AB808" s="4">
        <v>0.0</v>
      </c>
      <c r="AC808" s="4">
        <v>0.0</v>
      </c>
      <c r="AD808" s="4"/>
      <c r="AE808" s="6" t="s">
        <v>9</v>
      </c>
    </row>
    <row r="809" ht="16.5" customHeight="1">
      <c r="A809" s="2" t="str">
        <f>IFERROR(__xludf.DUMMYFUNCTION("""COMPUTED_VALUE"""),"3296-JULEPHVC")</f>
        <v>3296-JULEPHVC</v>
      </c>
      <c r="B809" s="2" t="str">
        <f>IFERROR(__xludf.DUMMYFUNCTION("""COMPUTED_VALUE"""),"RDV Ministros | Ignacio Baistrocchi 8/7")</f>
        <v>RDV Ministros | Ignacio Baistrocchi 8/7</v>
      </c>
      <c r="C809" s="3">
        <f>IFERROR(__xludf.DUMMYFUNCTION("""COMPUTED_VALUE"""),46206.0)</f>
        <v>46206</v>
      </c>
      <c r="D809" s="3">
        <f>IFERROR(__xludf.DUMMYFUNCTION("""COMPUTED_VALUE"""),46216.0)</f>
        <v>46216</v>
      </c>
      <c r="E809" s="2" t="str">
        <f>IFERROR(__xludf.DUMMYFUNCTION("""COMPUTED_VALUE"""),"Cercanía")</f>
        <v>Cercanía</v>
      </c>
      <c r="F809" s="2" t="str">
        <f>IFERROR(__xludf.DUMMYFUNCTION("""COMPUTED_VALUE"""),"Espacio Público e Higiene Urbana")</f>
        <v>Espacio Público e Higiene Urbana</v>
      </c>
      <c r="G809" s="2" t="str">
        <f>IFERROR(__xludf.DUMMYFUNCTION("""COMPUTED_VALUE"""),"Finalizada")</f>
        <v>Finalizada</v>
      </c>
      <c r="H809" s="4">
        <v>123263.0</v>
      </c>
      <c r="I809" s="4">
        <v>0.0</v>
      </c>
      <c r="J809" s="4">
        <v>450.0</v>
      </c>
      <c r="K809" s="4">
        <v>87071.0</v>
      </c>
      <c r="L809" s="5">
        <v>1.4156607825797338</v>
      </c>
      <c r="M809" s="5">
        <v>1.4156607825797338</v>
      </c>
      <c r="N809" s="4">
        <v>74941.0</v>
      </c>
      <c r="O809" s="4">
        <v>74253.0</v>
      </c>
      <c r="P809" s="4">
        <v>11290.0</v>
      </c>
      <c r="Q809" s="4">
        <v>204.0</v>
      </c>
      <c r="R809" s="4">
        <v>160.0</v>
      </c>
      <c r="S809" s="4">
        <v>80.0</v>
      </c>
      <c r="T809" s="4">
        <v>35.0</v>
      </c>
      <c r="U809" s="4">
        <v>34.0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0.0</v>
      </c>
      <c r="AB809" s="4">
        <v>0.0</v>
      </c>
      <c r="AC809" s="4">
        <v>0.0</v>
      </c>
      <c r="AD809" s="6" t="s">
        <v>318</v>
      </c>
      <c r="AE809" s="6" t="s">
        <v>9</v>
      </c>
    </row>
    <row r="810" ht="16.5" customHeight="1">
      <c r="A810" s="2" t="str">
        <f>IFERROR(__xludf.DUMMYFUNCTION("""COMPUTED_VALUE"""),"3297-JULEDUVC")</f>
        <v>3297-JULEDUVC</v>
      </c>
      <c r="B810" s="2" t="str">
        <f>IFERROR(__xludf.DUMMYFUNCTION("""COMPUTED_VALUE"""),"RDV ministros | Mercedes Miguel 8/7")</f>
        <v>RDV ministros | Mercedes Miguel 8/7</v>
      </c>
      <c r="C810" s="3">
        <f>IFERROR(__xludf.DUMMYFUNCTION("""COMPUTED_VALUE"""),46206.0)</f>
        <v>46206</v>
      </c>
      <c r="D810" s="3">
        <f>IFERROR(__xludf.DUMMYFUNCTION("""COMPUTED_VALUE"""),46216.0)</f>
        <v>46216</v>
      </c>
      <c r="E810" s="2" t="str">
        <f>IFERROR(__xludf.DUMMYFUNCTION("""COMPUTED_VALUE"""),"Cercanía")</f>
        <v>Cercanía</v>
      </c>
      <c r="F810" s="2" t="str">
        <f>IFERROR(__xludf.DUMMYFUNCTION("""COMPUTED_VALUE"""),"Educación")</f>
        <v>Educación</v>
      </c>
      <c r="G810" s="2" t="str">
        <f>IFERROR(__xludf.DUMMYFUNCTION("""COMPUTED_VALUE"""),"Finalizada")</f>
        <v>Finalizada</v>
      </c>
      <c r="H810" s="4">
        <v>182974.0</v>
      </c>
      <c r="I810" s="4">
        <v>0.0</v>
      </c>
      <c r="J810" s="4">
        <v>530.0</v>
      </c>
      <c r="K810" s="4">
        <v>112629.0</v>
      </c>
      <c r="L810" s="5">
        <v>1.6245727121789237</v>
      </c>
      <c r="M810" s="5">
        <v>1.6245727121789237</v>
      </c>
      <c r="N810" s="4">
        <v>18915.0</v>
      </c>
      <c r="O810" s="4">
        <v>18600.0</v>
      </c>
      <c r="P810" s="4">
        <v>1869.0</v>
      </c>
      <c r="Q810" s="4">
        <v>35.0</v>
      </c>
      <c r="R810" s="4">
        <v>27.0</v>
      </c>
      <c r="S810" s="4">
        <v>27.0</v>
      </c>
      <c r="T810" s="4">
        <v>8.0</v>
      </c>
      <c r="U810" s="4">
        <v>8.0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0.0</v>
      </c>
      <c r="AB810" s="4">
        <v>0.0</v>
      </c>
      <c r="AC810" s="4">
        <v>0.0</v>
      </c>
      <c r="AD810" s="6" t="s">
        <v>319</v>
      </c>
      <c r="AE810" s="6" t="s">
        <v>9</v>
      </c>
    </row>
    <row r="811" ht="16.5" customHeight="1">
      <c r="A811" s="2" t="str">
        <f>IFERROR(__xludf.DUMMYFUNCTION("""COMPUTED_VALUE"""),"3298-JULSALGC")</f>
        <v>3298-JULSALGC</v>
      </c>
      <c r="B811" s="2" t="str">
        <f>IFERROR(__xludf.DUMMYFUNCTION("""COMPUTED_VALUE"""),"Hospital Udaondo: obras")</f>
        <v>Hospital Udaondo: obras</v>
      </c>
      <c r="C811" s="3">
        <f>IFERROR(__xludf.DUMMYFUNCTION("""COMPUTED_VALUE"""),46220.0)</f>
        <v>46220</v>
      </c>
      <c r="D811" s="3">
        <f>IFERROR(__xludf.DUMMYFUNCTION("""COMPUTED_VALUE"""),46234.0)</f>
        <v>46234</v>
      </c>
      <c r="E811" s="2" t="str">
        <f>IFERROR(__xludf.DUMMYFUNCTION("""COMPUTED_VALUE"""),"Cuidado")</f>
        <v>Cuidado</v>
      </c>
      <c r="F811" s="2" t="str">
        <f>IFERROR(__xludf.DUMMYFUNCTION("""COMPUTED_VALUE"""),"Salud")</f>
        <v>Salud</v>
      </c>
      <c r="G811" s="2" t="str">
        <f>IFERROR(__xludf.DUMMYFUNCTION("""COMPUTED_VALUE"""),"Activa")</f>
        <v>Activa</v>
      </c>
      <c r="H811" s="4">
        <v>1864673.0</v>
      </c>
      <c r="I811" s="4">
        <v>21136.0</v>
      </c>
      <c r="J811" s="4">
        <v>5133.0</v>
      </c>
      <c r="K811" s="4">
        <v>185549.0</v>
      </c>
      <c r="L811" s="5">
        <v>1.4411449266770502</v>
      </c>
      <c r="M811" s="5">
        <v>10.049490970040258</v>
      </c>
      <c r="N811" s="4">
        <v>128424.0</v>
      </c>
      <c r="O811" s="4">
        <v>127036.0</v>
      </c>
      <c r="P811" s="4">
        <v>25116.0</v>
      </c>
      <c r="Q811" s="4">
        <v>159.0</v>
      </c>
      <c r="R811" s="4">
        <v>0.0</v>
      </c>
      <c r="S811" s="4">
        <v>0.0</v>
      </c>
      <c r="T811" s="4">
        <v>0.0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0.0</v>
      </c>
      <c r="AB811" s="4">
        <v>0.0</v>
      </c>
      <c r="AC811" s="4">
        <v>0.0</v>
      </c>
      <c r="AD811" s="4"/>
      <c r="AE811" s="6" t="s">
        <v>9</v>
      </c>
    </row>
    <row r="812" ht="16.5" customHeight="1">
      <c r="A812" s="2" t="str">
        <f>IFERROR(__xludf.DUMMYFUNCTION("""COMPUTED_VALUE"""),"3299-JULSALGC")</f>
        <v>3299-JULSALGC</v>
      </c>
      <c r="B812" s="2" t="str">
        <f>IFERROR(__xludf.DUMMYFUNCTION("""COMPUTED_VALUE"""),"Hospital Penna: obras")</f>
        <v>Hospital Penna: obras</v>
      </c>
      <c r="C812" s="3">
        <f>IFERROR(__xludf.DUMMYFUNCTION("""COMPUTED_VALUE"""),46217.0)</f>
        <v>46217</v>
      </c>
      <c r="D812" s="3">
        <f>IFERROR(__xludf.DUMMYFUNCTION("""COMPUTED_VALUE"""),46231.0)</f>
        <v>46231</v>
      </c>
      <c r="E812" s="2" t="str">
        <f>IFERROR(__xludf.DUMMYFUNCTION("""COMPUTED_VALUE"""),"Cuidado")</f>
        <v>Cuidado</v>
      </c>
      <c r="F812" s="2" t="str">
        <f>IFERROR(__xludf.DUMMYFUNCTION("""COMPUTED_VALUE"""),"Salud")</f>
        <v>Salud</v>
      </c>
      <c r="G812" s="2" t="str">
        <f>IFERROR(__xludf.DUMMYFUNCTION("""COMPUTED_VALUE"""),"Activa")</f>
        <v>Activa</v>
      </c>
      <c r="H812" s="4">
        <v>1719948.0</v>
      </c>
      <c r="I812" s="4">
        <v>0.0</v>
      </c>
      <c r="J812" s="4">
        <v>7845.0</v>
      </c>
      <c r="K812" s="4">
        <v>284206.0</v>
      </c>
      <c r="L812" s="5">
        <v>1.4334848666108386</v>
      </c>
      <c r="M812" s="5">
        <v>6.051765268854282</v>
      </c>
      <c r="N812" s="4">
        <v>0.0</v>
      </c>
      <c r="O812" s="4">
        <v>0.0</v>
      </c>
      <c r="P812" s="4">
        <v>0.0</v>
      </c>
      <c r="Q812" s="4">
        <v>0.0</v>
      </c>
      <c r="R812" s="4">
        <v>0.0</v>
      </c>
      <c r="S812" s="4">
        <v>0.0</v>
      </c>
      <c r="T812" s="4">
        <v>0.0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0.0</v>
      </c>
      <c r="AB812" s="4">
        <v>0.0</v>
      </c>
      <c r="AC812" s="4">
        <v>0.0</v>
      </c>
      <c r="AD812" s="6" t="s">
        <v>320</v>
      </c>
      <c r="AE812" s="4" t="s">
        <v>8</v>
      </c>
    </row>
    <row r="813" ht="16.5" customHeight="1">
      <c r="A813" s="2" t="str">
        <f>IFERROR(__xludf.DUMMYFUNCTION("""COMPUTED_VALUE"""),"3301-JULSEGGJ")</f>
        <v>3301-JULSEGGJ</v>
      </c>
      <c r="B813" s="2" t="str">
        <f>IFERROR(__xludf.DUMMYFUNCTION("""COMPUTED_VALUE"""),"685 nuevos vehículos para la Policía de la Ciudad")</f>
        <v>685 nuevos vehículos para la Policía de la Ciudad</v>
      </c>
      <c r="C813" s="3">
        <f>IFERROR(__xludf.DUMMYFUNCTION("""COMPUTED_VALUE"""),46206.0)</f>
        <v>46206</v>
      </c>
      <c r="D813" s="3">
        <f>IFERROR(__xludf.DUMMYFUNCTION("""COMPUTED_VALUE"""),46227.0)</f>
        <v>46227</v>
      </c>
      <c r="E813" s="2" t="str">
        <f>IFERROR(__xludf.DUMMYFUNCTION("""COMPUTED_VALUE"""),"M2")</f>
        <v>M2</v>
      </c>
      <c r="F813" s="2" t="str">
        <f>IFERROR(__xludf.DUMMYFUNCTION("""COMPUTED_VALUE"""),"Seguridad")</f>
        <v>Seguridad</v>
      </c>
      <c r="G813" s="2" t="str">
        <f>IFERROR(__xludf.DUMMYFUNCTION("""COMPUTED_VALUE"""),"Activa")</f>
        <v>Activa</v>
      </c>
      <c r="H813" s="4">
        <v>1.6809605E7</v>
      </c>
      <c r="I813" s="4">
        <v>8410191.0</v>
      </c>
      <c r="J813" s="4">
        <v>14122.0</v>
      </c>
      <c r="K813" s="4">
        <v>3334161.0</v>
      </c>
      <c r="L813" s="5">
        <v>1.670452026761755</v>
      </c>
      <c r="M813" s="5">
        <v>5.041629663354589</v>
      </c>
      <c r="N813" s="4">
        <v>328108.0</v>
      </c>
      <c r="O813" s="4">
        <v>326964.0</v>
      </c>
      <c r="P813" s="4">
        <v>136210.0</v>
      </c>
      <c r="Q813" s="4">
        <v>812.0</v>
      </c>
      <c r="R813" s="4">
        <v>0.0</v>
      </c>
      <c r="S813" s="4">
        <v>0.0</v>
      </c>
      <c r="T813" s="4">
        <v>0.0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0.0</v>
      </c>
      <c r="AB813" s="4">
        <v>0.0</v>
      </c>
      <c r="AC813" s="4">
        <v>0.0</v>
      </c>
      <c r="AD813" s="4"/>
      <c r="AE813" s="6" t="s">
        <v>9</v>
      </c>
    </row>
    <row r="814" ht="16.5" customHeight="1">
      <c r="A814" s="2" t="str">
        <f>IFERROR(__xludf.DUMMYFUNCTION("""COMPUTED_VALUE"""),"3302-JULDUDGC")</f>
        <v>3302-JULDUDGC</v>
      </c>
      <c r="B814" s="2" t="str">
        <f>IFERROR(__xludf.DUMMYFUNCTION("""COMPUTED_VALUE"""),"Deportes | Media | Sorteo Maratón de Buenos Aires 2026")</f>
        <v>Deportes | Media | Sorteo Maratón de Buenos Aires 2026</v>
      </c>
      <c r="C814" s="3">
        <f>IFERROR(__xludf.DUMMYFUNCTION("""COMPUTED_VALUE"""),46211.0)</f>
        <v>46211</v>
      </c>
      <c r="D814" s="3">
        <f>IFERROR(__xludf.DUMMYFUNCTION("""COMPUTED_VALUE"""),46223.0)</f>
        <v>46223</v>
      </c>
      <c r="E814" s="2" t="str">
        <f>IFERROR(__xludf.DUMMYFUNCTION("""COMPUTED_VALUE"""),"Ciudad Atractiva")</f>
        <v>Ciudad Atractiva</v>
      </c>
      <c r="F814" s="2" t="str">
        <f>IFERROR(__xludf.DUMMYFUNCTION("""COMPUTED_VALUE"""),"Desarrollo Urbano + Deportes")</f>
        <v>Desarrollo Urbano + Deportes</v>
      </c>
      <c r="G814" s="2" t="str">
        <f>IFERROR(__xludf.DUMMYFUNCTION("""COMPUTED_VALUE"""),"Finalizada")</f>
        <v>Finalizada</v>
      </c>
      <c r="H814" s="4">
        <v>3561803.0</v>
      </c>
      <c r="I814" s="4">
        <v>0.0</v>
      </c>
      <c r="J814" s="4">
        <v>23437.0</v>
      </c>
      <c r="K814" s="4">
        <v>93709.0</v>
      </c>
      <c r="L814" s="5">
        <v>1.9779210107887182</v>
      </c>
      <c r="M814" s="5">
        <v>38.00918801822664</v>
      </c>
      <c r="N814" s="4">
        <v>72375.0</v>
      </c>
      <c r="O814" s="4">
        <v>71995.0</v>
      </c>
      <c r="P814" s="4">
        <v>20934.0</v>
      </c>
      <c r="Q814" s="4">
        <v>1349.0</v>
      </c>
      <c r="R814" s="4">
        <v>0.0</v>
      </c>
      <c r="S814" s="4">
        <v>0.0</v>
      </c>
      <c r="T814" s="4">
        <v>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0.0</v>
      </c>
      <c r="AB814" s="4">
        <v>0.0</v>
      </c>
      <c r="AC814" s="4">
        <v>0.0</v>
      </c>
      <c r="AD814" s="4"/>
      <c r="AE814" s="6" t="s">
        <v>9</v>
      </c>
    </row>
    <row r="815" ht="16.5" customHeight="1">
      <c r="A815" s="2" t="str">
        <f>IFERROR(__xludf.DUMMYFUNCTION("""COMPUTED_VALUE"""),"3305-JULSEGGJ")</f>
        <v>3305-JULSEGGJ</v>
      </c>
      <c r="B815" s="2" t="str">
        <f>IFERROR(__xludf.DUMMYFUNCTION("""COMPUTED_VALUE"""),"Egreso más de 1000 Cadetes")</f>
        <v>Egreso más de 1000 Cadetes</v>
      </c>
      <c r="C815" s="3">
        <f>IFERROR(__xludf.DUMMYFUNCTION("""COMPUTED_VALUE"""),46217.0)</f>
        <v>46217</v>
      </c>
      <c r="D815" s="3">
        <f>IFERROR(__xludf.DUMMYFUNCTION("""COMPUTED_VALUE"""),46234.0)</f>
        <v>46234</v>
      </c>
      <c r="E815" s="2" t="str">
        <f>IFERROR(__xludf.DUMMYFUNCTION("""COMPUTED_VALUE"""),"M2")</f>
        <v>M2</v>
      </c>
      <c r="F815" s="2" t="str">
        <f>IFERROR(__xludf.DUMMYFUNCTION("""COMPUTED_VALUE"""),"Seguridad")</f>
        <v>Seguridad</v>
      </c>
      <c r="G815" s="2" t="str">
        <f>IFERROR(__xludf.DUMMYFUNCTION("""COMPUTED_VALUE"""),"Activa")</f>
        <v>Activa</v>
      </c>
      <c r="H815" s="4">
        <v>1.7734576E7</v>
      </c>
      <c r="I815" s="4">
        <v>6175573.0</v>
      </c>
      <c r="J815" s="4">
        <v>16307.0</v>
      </c>
      <c r="K815" s="4">
        <v>2528174.0</v>
      </c>
      <c r="L815" s="5">
        <v>1.5513382385864265</v>
      </c>
      <c r="M815" s="5">
        <v>7.014776672808122</v>
      </c>
      <c r="N815" s="4">
        <v>299267.0</v>
      </c>
      <c r="O815" s="4">
        <v>295827.0</v>
      </c>
      <c r="P815" s="4">
        <v>155836.0</v>
      </c>
      <c r="Q815" s="4">
        <v>743.0</v>
      </c>
      <c r="R815" s="4">
        <v>0.0</v>
      </c>
      <c r="S815" s="4">
        <v>0.0</v>
      </c>
      <c r="T815" s="4">
        <v>0.0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0.0</v>
      </c>
      <c r="AB815" s="4">
        <v>0.0</v>
      </c>
      <c r="AC815" s="4">
        <v>0.0</v>
      </c>
      <c r="AD815" s="4"/>
      <c r="AE815" s="6" t="s">
        <v>9</v>
      </c>
    </row>
    <row r="816" ht="16.5" customHeight="1">
      <c r="A816" s="2" t="str">
        <f>IFERROR(__xludf.DUMMYFUNCTION("""COMPUTED_VALUE"""),"3306-JULCULGC")</f>
        <v>3306-JULCULGC</v>
      </c>
      <c r="B816" s="2" t="str">
        <f>IFERROR(__xludf.DUMMYFUNCTION("""COMPUTED_VALUE"""),"Evento 9 de julio Casa de la Cultura")</f>
        <v>Evento 9 de julio Casa de la Cultura</v>
      </c>
      <c r="C816" s="3">
        <f>IFERROR(__xludf.DUMMYFUNCTION("""COMPUTED_VALUE"""),46210.0)</f>
        <v>46210</v>
      </c>
      <c r="D816" s="3">
        <f>IFERROR(__xludf.DUMMYFUNCTION("""COMPUTED_VALUE"""),46212.0)</f>
        <v>46212</v>
      </c>
      <c r="E816" s="2" t="str">
        <f>IFERROR(__xludf.DUMMYFUNCTION("""COMPUTED_VALUE"""),"Ciudad Atractiva")</f>
        <v>Ciudad Atractiva</v>
      </c>
      <c r="F816" s="2" t="str">
        <f>IFERROR(__xludf.DUMMYFUNCTION("""COMPUTED_VALUE"""),"Cultura")</f>
        <v>Cultura</v>
      </c>
      <c r="G816" s="2" t="str">
        <f>IFERROR(__xludf.DUMMYFUNCTION("""COMPUTED_VALUE"""),"Finalizada")</f>
        <v>Finalizada</v>
      </c>
      <c r="H816" s="4">
        <v>3956211.0</v>
      </c>
      <c r="I816" s="4">
        <v>0.0</v>
      </c>
      <c r="J816" s="4">
        <v>18949.0</v>
      </c>
      <c r="K816" s="4">
        <v>483212.0</v>
      </c>
      <c r="L816" s="5">
        <v>1.1515318328187214</v>
      </c>
      <c r="M816" s="5">
        <v>8.18731943743119</v>
      </c>
      <c r="N816" s="4">
        <v>93006.0</v>
      </c>
      <c r="O816" s="4">
        <v>91676.0</v>
      </c>
      <c r="P816" s="4">
        <v>28984.0</v>
      </c>
      <c r="Q816" s="4">
        <v>1242.0</v>
      </c>
      <c r="R816" s="4">
        <v>1270.0</v>
      </c>
      <c r="S816" s="4">
        <v>788.0</v>
      </c>
      <c r="T816" s="4">
        <v>206.0</v>
      </c>
      <c r="U816" s="4">
        <v>159.0</v>
      </c>
      <c r="V816" s="4">
        <v>0.0</v>
      </c>
      <c r="W816" s="4">
        <v>0.0</v>
      </c>
      <c r="X816" s="4">
        <v>0.0</v>
      </c>
      <c r="Y816" s="4">
        <v>0.0</v>
      </c>
      <c r="Z816" s="4">
        <v>0.0</v>
      </c>
      <c r="AA816" s="4">
        <v>0.0</v>
      </c>
      <c r="AB816" s="4">
        <v>0.0</v>
      </c>
      <c r="AC816" s="4">
        <v>0.0</v>
      </c>
      <c r="AD816" s="4"/>
      <c r="AE816" s="6" t="s">
        <v>9</v>
      </c>
    </row>
    <row r="817" ht="16.5" customHeight="1">
      <c r="A817" s="2" t="str">
        <f>IFERROR(__xludf.DUMMYFUNCTION("""COMPUTED_VALUE"""),"3307-JULFESGC")</f>
        <v>3307-JULFESGC</v>
      </c>
      <c r="B817" s="2" t="str">
        <f>IFERROR(__xludf.DUMMYFUNCTION("""COMPUTED_VALUE"""),"Sorteo | Expo Rural 2026")</f>
        <v>Sorteo | Expo Rural 2026</v>
      </c>
      <c r="C817" s="3">
        <f>IFERROR(__xludf.DUMMYFUNCTION("""COMPUTED_VALUE"""),46211.0)</f>
        <v>46211</v>
      </c>
      <c r="D817" s="3">
        <f>IFERROR(__xludf.DUMMYFUNCTION("""COMPUTED_VALUE"""),46219.0)</f>
        <v>46219</v>
      </c>
      <c r="E817" s="2" t="str">
        <f>IFERROR(__xludf.DUMMYFUNCTION("""COMPUTED_VALUE"""),"Ciudad Atractiva")</f>
        <v>Ciudad Atractiva</v>
      </c>
      <c r="F817" s="2" t="str">
        <f>IFERROR(__xludf.DUMMYFUNCTION("""COMPUTED_VALUE"""),"Festivales y Eventos")</f>
        <v>Festivales y Eventos</v>
      </c>
      <c r="G817" s="2" t="str">
        <f>IFERROR(__xludf.DUMMYFUNCTION("""COMPUTED_VALUE"""),"Finalizada")</f>
        <v>Finalizada</v>
      </c>
      <c r="H817" s="4">
        <v>2760698.0</v>
      </c>
      <c r="I817" s="4">
        <v>0.0</v>
      </c>
      <c r="J817" s="4">
        <v>27847.0</v>
      </c>
      <c r="K817" s="4">
        <v>103318.0</v>
      </c>
      <c r="L817" s="5">
        <v>3.012814804777483</v>
      </c>
      <c r="M817" s="5">
        <v>26.72039722023268</v>
      </c>
      <c r="N817" s="4">
        <v>108534.0</v>
      </c>
      <c r="O817" s="4">
        <v>108075.0</v>
      </c>
      <c r="P817" s="4">
        <v>24919.0</v>
      </c>
      <c r="Q817" s="4">
        <v>3174.0</v>
      </c>
      <c r="R817" s="4">
        <v>0.0</v>
      </c>
      <c r="S817" s="4">
        <v>0.0</v>
      </c>
      <c r="T817" s="4">
        <v>0.0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0.0</v>
      </c>
      <c r="AB817" s="4">
        <v>0.0</v>
      </c>
      <c r="AC817" s="4">
        <v>0.0</v>
      </c>
      <c r="AD817" s="4"/>
      <c r="AE817" s="6" t="s">
        <v>9</v>
      </c>
    </row>
    <row r="818" ht="16.5" customHeight="1">
      <c r="A818" s="2" t="str">
        <f>IFERROR(__xludf.DUMMYFUNCTION("""COMPUTED_VALUE"""),"3308-JULJDGAG")</f>
        <v>3308-JULJDGAG</v>
      </c>
      <c r="B818" s="2" t="str">
        <f>IFERROR(__xludf.DUMMYFUNCTION("""COMPUTED_VALUE"""),"1 A 1 JM | COMUNA 11 | 13/7")</f>
        <v>1 A 1 JM | COMUNA 11 | 13/7</v>
      </c>
      <c r="C818" s="3">
        <f>IFERROR(__xludf.DUMMYFUNCTION("""COMPUTED_VALUE"""),46219.0)</f>
        <v>46219</v>
      </c>
      <c r="D818" s="3">
        <f>IFERROR(__xludf.DUMMYFUNCTION("""COMPUTED_VALUE"""),46229.0)</f>
        <v>46229</v>
      </c>
      <c r="E818" s="2" t="str">
        <f>IFERROR(__xludf.DUMMYFUNCTION("""COMPUTED_VALUE"""),"Cercanía")</f>
        <v>Cercanía</v>
      </c>
      <c r="F818" s="2" t="str">
        <f>IFERROR(__xludf.DUMMYFUNCTION("""COMPUTED_VALUE"""),"Jefatura de Gobierno")</f>
        <v>Jefatura de Gobierno</v>
      </c>
      <c r="G818" s="2" t="str">
        <f>IFERROR(__xludf.DUMMYFUNCTION("""COMPUTED_VALUE"""),"Activa")</f>
        <v>Activa</v>
      </c>
      <c r="H818" s="4">
        <v>1579311.0</v>
      </c>
      <c r="I818" s="4">
        <v>1013363.0</v>
      </c>
      <c r="J818" s="4">
        <v>1350.0</v>
      </c>
      <c r="K818" s="4"/>
      <c r="L818" s="5">
        <v>0.0</v>
      </c>
      <c r="M818" s="5">
        <v>0.0</v>
      </c>
      <c r="N818" s="4">
        <v>0.0</v>
      </c>
      <c r="O818" s="4">
        <v>0.0</v>
      </c>
      <c r="P818" s="4">
        <v>0.0</v>
      </c>
      <c r="Q818" s="4">
        <v>0.0</v>
      </c>
      <c r="R818" s="4">
        <v>0.0</v>
      </c>
      <c r="S818" s="4">
        <v>0.0</v>
      </c>
      <c r="T818" s="4">
        <v>0.0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0.0</v>
      </c>
      <c r="AB818" s="4">
        <v>0.0</v>
      </c>
      <c r="AC818" s="4">
        <v>0.0</v>
      </c>
      <c r="AD818" s="6" t="s">
        <v>321</v>
      </c>
      <c r="AE818" s="4" t="s">
        <v>8</v>
      </c>
    </row>
    <row r="819" ht="16.5" customHeight="1">
      <c r="A819" s="2" t="str">
        <f>IFERROR(__xludf.DUMMYFUNCTION("""COMPUTED_VALUE"""),"3309-JULJDGAG")</f>
        <v>3309-JULJDGAG</v>
      </c>
      <c r="B819" s="2" t="str">
        <f>IFERROR(__xludf.DUMMYFUNCTION("""COMPUTED_VALUE"""),"1 a 1 | JM |  Recoleta 15/7")</f>
        <v>1 a 1 | JM |  Recoleta 15/7</v>
      </c>
      <c r="C819" s="3">
        <f>IFERROR(__xludf.DUMMYFUNCTION("""COMPUTED_VALUE"""),46219.0)</f>
        <v>46219</v>
      </c>
      <c r="D819" s="3">
        <f>IFERROR(__xludf.DUMMYFUNCTION("""COMPUTED_VALUE"""),46229.0)</f>
        <v>46229</v>
      </c>
      <c r="E819" s="2" t="str">
        <f>IFERROR(__xludf.DUMMYFUNCTION("""COMPUTED_VALUE"""),"Cercanía")</f>
        <v>Cercanía</v>
      </c>
      <c r="F819" s="2" t="str">
        <f>IFERROR(__xludf.DUMMYFUNCTION("""COMPUTED_VALUE"""),"Jefatura de Gobierno")</f>
        <v>Jefatura de Gobierno</v>
      </c>
      <c r="G819" s="2" t="str">
        <f>IFERROR(__xludf.DUMMYFUNCTION("""COMPUTED_VALUE"""),"Activa")</f>
        <v>Activa</v>
      </c>
      <c r="H819" s="4">
        <v>4655935.0</v>
      </c>
      <c r="I819" s="4">
        <v>791931.0</v>
      </c>
      <c r="J819" s="4">
        <v>9180.0</v>
      </c>
      <c r="K819" s="4"/>
      <c r="L819" s="5">
        <v>0.0</v>
      </c>
      <c r="M819" s="5">
        <v>0.0</v>
      </c>
      <c r="N819" s="4">
        <v>0.0</v>
      </c>
      <c r="O819" s="4">
        <v>0.0</v>
      </c>
      <c r="P819" s="4">
        <v>0.0</v>
      </c>
      <c r="Q819" s="4">
        <v>0.0</v>
      </c>
      <c r="R819" s="4">
        <v>0.0</v>
      </c>
      <c r="S819" s="4">
        <v>0.0</v>
      </c>
      <c r="T819" s="4">
        <v>0.0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0.0</v>
      </c>
      <c r="AB819" s="4">
        <v>0.0</v>
      </c>
      <c r="AC819" s="4">
        <v>0.0</v>
      </c>
      <c r="AD819" s="6" t="s">
        <v>322</v>
      </c>
      <c r="AE819" s="4" t="s">
        <v>8</v>
      </c>
    </row>
    <row r="820" ht="16.5" customHeight="1">
      <c r="A820" s="2" t="str">
        <f>IFERROR(__xludf.DUMMYFUNCTION("""COMPUTED_VALUE"""),"3311-JULINFGC")</f>
        <v>3311-JULINFGC</v>
      </c>
      <c r="B820" s="2" t="str">
        <f>IFERROR(__xludf.DUMMYFUNCTION("""COMPUTED_VALUE"""),"INFRAESTRUCTURA | CORTES Y DESVÍOS POR CARRERA 9K INDEPENDENCIA")</f>
        <v>INFRAESTRUCTURA | CORTES Y DESVÍOS POR CARRERA 9K INDEPENDENCIA</v>
      </c>
      <c r="C820" s="3">
        <f>IFERROR(__xludf.DUMMYFUNCTION("""COMPUTED_VALUE"""),46211.0)</f>
        <v>46211</v>
      </c>
      <c r="D820" s="3">
        <f>IFERROR(__xludf.DUMMYFUNCTION("""COMPUTED_VALUE"""),46212.0)</f>
        <v>46212</v>
      </c>
      <c r="E820" s="2" t="str">
        <f>IFERROR(__xludf.DUMMYFUNCTION("""COMPUTED_VALUE"""),"Movilidad")</f>
        <v>Movilidad</v>
      </c>
      <c r="F820" s="2" t="str">
        <f>IFERROR(__xludf.DUMMYFUNCTION("""COMPUTED_VALUE"""),"Infraestructura")</f>
        <v>Infraestructura</v>
      </c>
      <c r="G820" s="2" t="str">
        <f>IFERROR(__xludf.DUMMYFUNCTION("""COMPUTED_VALUE"""),"Finalizada")</f>
        <v>Finalizada</v>
      </c>
      <c r="H820" s="4">
        <v>15337.0</v>
      </c>
      <c r="I820" s="4">
        <v>0.0</v>
      </c>
      <c r="J820" s="4">
        <v>573.0</v>
      </c>
      <c r="K820" s="4"/>
      <c r="L820" s="5">
        <v>0.0</v>
      </c>
      <c r="M820" s="5">
        <v>0.0</v>
      </c>
      <c r="N820" s="4">
        <v>142117.0</v>
      </c>
      <c r="O820" s="4">
        <v>140851.0</v>
      </c>
      <c r="P820" s="4">
        <v>55180.0</v>
      </c>
      <c r="Q820" s="4">
        <v>1290.0</v>
      </c>
      <c r="R820" s="4">
        <v>0.0</v>
      </c>
      <c r="S820" s="4">
        <v>0.0</v>
      </c>
      <c r="T820" s="4">
        <v>0.0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0.0</v>
      </c>
      <c r="AB820" s="4">
        <v>0.0</v>
      </c>
      <c r="AC820" s="4">
        <v>0.0</v>
      </c>
      <c r="AD820" s="4"/>
      <c r="AE820" s="6" t="s">
        <v>9</v>
      </c>
    </row>
    <row r="821" ht="16.5" customHeight="1">
      <c r="A821" s="2" t="str">
        <f>IFERROR(__xludf.DUMMYFUNCTION("""COMPUTED_VALUE"""),"3312-JULSEGVC")</f>
        <v>3312-JULSEGVC</v>
      </c>
      <c r="B821" s="2" t="str">
        <f>IFERROR(__xludf.DUMMYFUNCTION("""COMPUTED_VALUE"""),"RDV Ministros | Maximiliano Piñeiro 16/7 Comuna 4")</f>
        <v>RDV Ministros | Maximiliano Piñeiro 16/7 Comuna 4</v>
      </c>
      <c r="C821" s="3">
        <f>IFERROR(__xludf.DUMMYFUNCTION("""COMPUTED_VALUE"""),46217.0)</f>
        <v>46217</v>
      </c>
      <c r="D821" s="3">
        <f>IFERROR(__xludf.DUMMYFUNCTION("""COMPUTED_VALUE"""),46220.0)</f>
        <v>46220</v>
      </c>
      <c r="E821" s="2" t="str">
        <f>IFERROR(__xludf.DUMMYFUNCTION("""COMPUTED_VALUE"""),"Cercanía")</f>
        <v>Cercanía</v>
      </c>
      <c r="F821" s="2" t="str">
        <f>IFERROR(__xludf.DUMMYFUNCTION("""COMPUTED_VALUE"""),"Seguridad")</f>
        <v>Seguridad</v>
      </c>
      <c r="G821" s="2" t="str">
        <f>IFERROR(__xludf.DUMMYFUNCTION("""COMPUTED_VALUE"""),"Finalizada")</f>
        <v>Finalizada</v>
      </c>
      <c r="H821" s="4">
        <v>193980.0</v>
      </c>
      <c r="I821" s="4">
        <v>0.0</v>
      </c>
      <c r="J821" s="4">
        <v>757.0</v>
      </c>
      <c r="K821" s="4">
        <v>89039.0</v>
      </c>
      <c r="L821" s="5">
        <v>2.1785958961803256</v>
      </c>
      <c r="M821" s="5">
        <v>2.1785958961803256</v>
      </c>
      <c r="N821" s="4">
        <v>79043.0</v>
      </c>
      <c r="O821" s="4">
        <v>76208.0</v>
      </c>
      <c r="P821" s="4">
        <v>9939.0</v>
      </c>
      <c r="Q821" s="4">
        <v>119.0</v>
      </c>
      <c r="R821" s="4">
        <v>70.0</v>
      </c>
      <c r="S821" s="4">
        <v>70.0</v>
      </c>
      <c r="T821" s="4">
        <v>17.0</v>
      </c>
      <c r="U821" s="4">
        <v>16.0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0.0</v>
      </c>
      <c r="AB821" s="4">
        <v>0.0</v>
      </c>
      <c r="AC821" s="4">
        <v>0.0</v>
      </c>
      <c r="AD821" s="4"/>
      <c r="AE821" s="6" t="s">
        <v>9</v>
      </c>
    </row>
    <row r="822" ht="16.5" customHeight="1">
      <c r="A822" s="2" t="str">
        <f>IFERROR(__xludf.DUMMYFUNCTION("""COMPUTED_VALUE"""),"3313-JULSEGVC")</f>
        <v>3313-JULSEGVC</v>
      </c>
      <c r="B822" s="2" t="str">
        <f>IFERROR(__xludf.DUMMYFUNCTION("""COMPUTED_VALUE"""),"RDV Ministros | Ruth Landerreche 16/7 Comuna 5")</f>
        <v>RDV Ministros | Ruth Landerreche 16/7 Comuna 5</v>
      </c>
      <c r="C822" s="3">
        <f>IFERROR(__xludf.DUMMYFUNCTION("""COMPUTED_VALUE"""),46217.0)</f>
        <v>46217</v>
      </c>
      <c r="D822" s="3">
        <f>IFERROR(__xludf.DUMMYFUNCTION("""COMPUTED_VALUE"""),46224.0)</f>
        <v>46224</v>
      </c>
      <c r="E822" s="2" t="str">
        <f>IFERROR(__xludf.DUMMYFUNCTION("""COMPUTED_VALUE"""),"Cercanía")</f>
        <v>Cercanía</v>
      </c>
      <c r="F822" s="2" t="str">
        <f>IFERROR(__xludf.DUMMYFUNCTION("""COMPUTED_VALUE"""),"Seguridad")</f>
        <v>Seguridad</v>
      </c>
      <c r="G822" s="2" t="str">
        <f>IFERROR(__xludf.DUMMYFUNCTION("""COMPUTED_VALUE"""),"Finalizada")</f>
        <v>Finalizada</v>
      </c>
      <c r="H822" s="4">
        <v>618781.0</v>
      </c>
      <c r="I822" s="4">
        <v>0.0</v>
      </c>
      <c r="J822" s="4">
        <v>738.0</v>
      </c>
      <c r="K822" s="4">
        <v>287717.0</v>
      </c>
      <c r="L822" s="5">
        <v>2.1506584595279388</v>
      </c>
      <c r="M822" s="5">
        <v>2.1506584595279388</v>
      </c>
      <c r="N822" s="4">
        <v>70852.0</v>
      </c>
      <c r="O822" s="4">
        <v>64417.0</v>
      </c>
      <c r="P822" s="4">
        <v>9629.0</v>
      </c>
      <c r="Q822" s="4">
        <v>138.0</v>
      </c>
      <c r="R822" s="4">
        <v>57.0</v>
      </c>
      <c r="S822" s="4">
        <v>57.0</v>
      </c>
      <c r="T822" s="4">
        <v>19.0</v>
      </c>
      <c r="U822" s="4">
        <v>18.0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0.0</v>
      </c>
      <c r="AB822" s="4">
        <v>0.0</v>
      </c>
      <c r="AC822" s="4">
        <v>0.0</v>
      </c>
      <c r="AD822" s="6" t="s">
        <v>323</v>
      </c>
      <c r="AE822" s="6" t="s">
        <v>9</v>
      </c>
    </row>
    <row r="823" ht="16.5" customHeight="1">
      <c r="A823" s="2" t="str">
        <f>IFERROR(__xludf.DUMMYFUNCTION("""COMPUTED_VALUE"""),"3314-JULSEGVC")</f>
        <v>3314-JULSEGVC</v>
      </c>
      <c r="B823" s="2" t="str">
        <f>IFERROR(__xludf.DUMMYFUNCTION("""COMPUTED_VALUE"""),"RDV Ministros | Horacio Giménez 16/7 Comuna 6")</f>
        <v>RDV Ministros | Horacio Giménez 16/7 Comuna 6</v>
      </c>
      <c r="C823" s="3">
        <f>IFERROR(__xludf.DUMMYFUNCTION("""COMPUTED_VALUE"""),46217.0)</f>
        <v>46217</v>
      </c>
      <c r="D823" s="3">
        <f>IFERROR(__xludf.DUMMYFUNCTION("""COMPUTED_VALUE"""),46220.0)</f>
        <v>46220</v>
      </c>
      <c r="E823" s="2" t="str">
        <f>IFERROR(__xludf.DUMMYFUNCTION("""COMPUTED_VALUE"""),"Cercanía")</f>
        <v>Cercanía</v>
      </c>
      <c r="F823" s="2" t="str">
        <f>IFERROR(__xludf.DUMMYFUNCTION("""COMPUTED_VALUE"""),"Seguridad")</f>
        <v>Seguridad</v>
      </c>
      <c r="G823" s="2" t="str">
        <f>IFERROR(__xludf.DUMMYFUNCTION("""COMPUTED_VALUE"""),"Finalizada")</f>
        <v>Finalizada</v>
      </c>
      <c r="H823" s="4">
        <v>66598.0</v>
      </c>
      <c r="I823" s="4">
        <v>0.0</v>
      </c>
      <c r="J823" s="4">
        <v>208.0</v>
      </c>
      <c r="K823" s="4"/>
      <c r="L823" s="5">
        <v>0.0</v>
      </c>
      <c r="M823" s="5">
        <v>0.0</v>
      </c>
      <c r="N823" s="4">
        <v>78468.0</v>
      </c>
      <c r="O823" s="4">
        <v>72122.0</v>
      </c>
      <c r="P823" s="4">
        <v>12794.0</v>
      </c>
      <c r="Q823" s="4">
        <v>135.0</v>
      </c>
      <c r="R823" s="4">
        <v>166.0</v>
      </c>
      <c r="S823" s="4">
        <v>166.0</v>
      </c>
      <c r="T823" s="4">
        <v>42.0</v>
      </c>
      <c r="U823" s="4">
        <v>37.0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0.0</v>
      </c>
      <c r="AB823" s="4">
        <v>0.0</v>
      </c>
      <c r="AC823" s="4">
        <v>0.0</v>
      </c>
      <c r="AD823" s="6" t="s">
        <v>324</v>
      </c>
      <c r="AE823" s="6" t="s">
        <v>9</v>
      </c>
    </row>
    <row r="824" ht="16.5" customHeight="1">
      <c r="A824" s="2" t="str">
        <f>IFERROR(__xludf.DUMMYFUNCTION("""COMPUTED_VALUE"""),"3315-JULSEGVC")</f>
        <v>3315-JULSEGVC</v>
      </c>
      <c r="B824" s="2" t="str">
        <f>IFERROR(__xludf.DUMMYFUNCTION("""COMPUTED_VALUE"""),"RDV Ministros | Gabino Tapia 16/7 Comuna 7")</f>
        <v>RDV Ministros | Gabino Tapia 16/7 Comuna 7</v>
      </c>
      <c r="C824" s="3">
        <f>IFERROR(__xludf.DUMMYFUNCTION("""COMPUTED_VALUE"""),46217.0)</f>
        <v>46217</v>
      </c>
      <c r="D824" s="3">
        <f>IFERROR(__xludf.DUMMYFUNCTION("""COMPUTED_VALUE"""),46220.0)</f>
        <v>46220</v>
      </c>
      <c r="E824" s="2" t="str">
        <f>IFERROR(__xludf.DUMMYFUNCTION("""COMPUTED_VALUE"""),"Cercanía")</f>
        <v>Cercanía</v>
      </c>
      <c r="F824" s="2" t="str">
        <f>IFERROR(__xludf.DUMMYFUNCTION("""COMPUTED_VALUE"""),"Seguridad")</f>
        <v>Seguridad</v>
      </c>
      <c r="G824" s="2" t="str">
        <f>IFERROR(__xludf.DUMMYFUNCTION("""COMPUTED_VALUE"""),"Finalizada")</f>
        <v>Finalizada</v>
      </c>
      <c r="H824" s="4">
        <v>207001.0</v>
      </c>
      <c r="I824" s="4">
        <v>0.0</v>
      </c>
      <c r="J824" s="4">
        <v>800.0</v>
      </c>
      <c r="K824" s="4">
        <v>70460.0</v>
      </c>
      <c r="L824" s="5">
        <v>2.937851263128016</v>
      </c>
      <c r="M824" s="5">
        <v>2.937851263128016</v>
      </c>
      <c r="N824" s="4">
        <v>79707.0</v>
      </c>
      <c r="O824" s="4">
        <v>78194.0</v>
      </c>
      <c r="P824" s="4">
        <v>13261.0</v>
      </c>
      <c r="Q824" s="4">
        <v>152.0</v>
      </c>
      <c r="R824" s="4">
        <v>79.0</v>
      </c>
      <c r="S824" s="4">
        <v>79.0</v>
      </c>
      <c r="T824" s="4">
        <v>16.0</v>
      </c>
      <c r="U824" s="4">
        <v>16.0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0.0</v>
      </c>
      <c r="AB824" s="4">
        <v>0.0</v>
      </c>
      <c r="AC824" s="4">
        <v>0.0</v>
      </c>
      <c r="AD824" s="4"/>
      <c r="AE824" s="6" t="s">
        <v>9</v>
      </c>
    </row>
    <row r="825" ht="16.5" customHeight="1">
      <c r="A825" s="2" t="str">
        <f>IFERROR(__xludf.DUMMYFUNCTION("""COMPUTED_VALUE"""),"3316-JULDECVC")</f>
        <v>3316-JULDECVC</v>
      </c>
      <c r="B825" s="2" t="str">
        <f>IFERROR(__xludf.DUMMYFUNCTION("""COMPUTED_VALUE"""),"RDV Ministros | LOMBARDI-TAPIA-PIRAGINE 13/7 EJE CENTRO")</f>
        <v>RDV Ministros | LOMBARDI-TAPIA-PIRAGINE 13/7 EJE CENTRO</v>
      </c>
      <c r="C825" s="3">
        <f>IFERROR(__xludf.DUMMYFUNCTION("""COMPUTED_VALUE"""),46212.0)</f>
        <v>46212</v>
      </c>
      <c r="D825" s="3">
        <f>IFERROR(__xludf.DUMMYFUNCTION("""COMPUTED_VALUE"""),46219.0)</f>
        <v>46219</v>
      </c>
      <c r="E825" s="2" t="str">
        <f>IFERROR(__xludf.DUMMYFUNCTION("""COMPUTED_VALUE"""),"Cercanía")</f>
        <v>Cercanía</v>
      </c>
      <c r="F825" s="2" t="str">
        <f>IFERROR(__xludf.DUMMYFUNCTION("""COMPUTED_VALUE"""),"Desarrollo Económico")</f>
        <v>Desarrollo Económico</v>
      </c>
      <c r="G825" s="2" t="str">
        <f>IFERROR(__xludf.DUMMYFUNCTION("""COMPUTED_VALUE"""),"Finalizada")</f>
        <v>Finalizada</v>
      </c>
      <c r="H825" s="4">
        <v>96889.0</v>
      </c>
      <c r="I825" s="4">
        <v>0.0</v>
      </c>
      <c r="J825" s="4">
        <v>80.0</v>
      </c>
      <c r="K825" s="4">
        <v>49145.0</v>
      </c>
      <c r="L825" s="5">
        <v>1.9714925221283957</v>
      </c>
      <c r="M825" s="5">
        <v>1.9714925221283957</v>
      </c>
      <c r="N825" s="4">
        <v>18100.0</v>
      </c>
      <c r="O825" s="4">
        <v>17706.0</v>
      </c>
      <c r="P825" s="4">
        <v>2528.0</v>
      </c>
      <c r="Q825" s="4">
        <v>30.0</v>
      </c>
      <c r="R825" s="4">
        <v>9.0</v>
      </c>
      <c r="S825" s="4">
        <v>9.0</v>
      </c>
      <c r="T825" s="4">
        <v>2.0</v>
      </c>
      <c r="U825" s="4">
        <v>2.0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0.0</v>
      </c>
      <c r="AB825" s="4">
        <v>0.0</v>
      </c>
      <c r="AC825" s="4">
        <v>0.0</v>
      </c>
      <c r="AD825" s="4"/>
      <c r="AE825" s="6" t="s">
        <v>9</v>
      </c>
    </row>
    <row r="826" ht="16.5" customHeight="1">
      <c r="A826" s="2" t="str">
        <f>IFERROR(__xludf.DUMMYFUNCTION("""COMPUTED_VALUE"""),"3317-JULVINGC")</f>
        <v>3317-JULVINGC</v>
      </c>
      <c r="B826" s="2" t="str">
        <f>IFERROR(__xludf.DUMMYFUNCTION("""COMPUTED_VALUE"""),"Más servicios en tu barrio Parque Avellaneda 13/7")</f>
        <v>Más servicios en tu barrio Parque Avellaneda 13/7</v>
      </c>
      <c r="C826" s="3">
        <f>IFERROR(__xludf.DUMMYFUNCTION("""COMPUTED_VALUE"""),46212.0)</f>
        <v>46212</v>
      </c>
      <c r="D826" s="3">
        <f>IFERROR(__xludf.DUMMYFUNCTION("""COMPUTED_VALUE"""),46212.0)</f>
        <v>46212</v>
      </c>
      <c r="E826" s="2" t="str">
        <f>IFERROR(__xludf.DUMMYFUNCTION("""COMPUTED_VALUE"""),"M2")</f>
        <v>M2</v>
      </c>
      <c r="F826" s="2" t="str">
        <f>IFERROR(__xludf.DUMMYFUNCTION("""COMPUTED_VALUE"""),"Vínculo Ciudadano")</f>
        <v>Vínculo Ciudadano</v>
      </c>
      <c r="G826" s="2" t="str">
        <f>IFERROR(__xludf.DUMMYFUNCTION("""COMPUTED_VALUE"""),"Finalizada")</f>
        <v>Finalizada</v>
      </c>
      <c r="H826" s="4">
        <v>0.0</v>
      </c>
      <c r="I826" s="4">
        <v>0.0</v>
      </c>
      <c r="J826" s="4">
        <v>0.0</v>
      </c>
      <c r="K826" s="4">
        <v>0.0</v>
      </c>
      <c r="L826" s="5">
        <v>0.0</v>
      </c>
      <c r="M826" s="5">
        <v>0.0</v>
      </c>
      <c r="N826" s="4">
        <v>10777.0</v>
      </c>
      <c r="O826" s="4">
        <v>10562.0</v>
      </c>
      <c r="P826" s="4">
        <v>2798.0</v>
      </c>
      <c r="Q826" s="4">
        <v>137.0</v>
      </c>
      <c r="R826" s="4">
        <v>0.0</v>
      </c>
      <c r="S826" s="4">
        <v>0.0</v>
      </c>
      <c r="T826" s="4">
        <v>0.0</v>
      </c>
      <c r="U826" s="4">
        <v>0.0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0.0</v>
      </c>
      <c r="AB826" s="4">
        <v>0.0</v>
      </c>
      <c r="AC826" s="4">
        <v>0.0</v>
      </c>
      <c r="AD826" s="4" t="s">
        <v>8</v>
      </c>
      <c r="AE826" s="6" t="s">
        <v>9</v>
      </c>
    </row>
    <row r="827" ht="16.5" customHeight="1">
      <c r="A827" s="2" t="str">
        <f>IFERROR(__xludf.DUMMYFUNCTION("""COMPUTED_VALUE"""),"3318-JULVINGC")</f>
        <v>3318-JULVINGC</v>
      </c>
      <c r="B827" s="2" t="str">
        <f>IFERROR(__xludf.DUMMYFUNCTION("""COMPUTED_VALUE"""),"Más servicios en tu barrio Villa Devoto 14/7")</f>
        <v>Más servicios en tu barrio Villa Devoto 14/7</v>
      </c>
      <c r="C827" s="3">
        <f>IFERROR(__xludf.DUMMYFUNCTION("""COMPUTED_VALUE"""),46212.0)</f>
        <v>46212</v>
      </c>
      <c r="D827" s="3">
        <f>IFERROR(__xludf.DUMMYFUNCTION("""COMPUTED_VALUE"""),46212.0)</f>
        <v>46212</v>
      </c>
      <c r="E827" s="2" t="str">
        <f>IFERROR(__xludf.DUMMYFUNCTION("""COMPUTED_VALUE"""),"M2")</f>
        <v>M2</v>
      </c>
      <c r="F827" s="2" t="str">
        <f>IFERROR(__xludf.DUMMYFUNCTION("""COMPUTED_VALUE"""),"Vínculo Ciudadano")</f>
        <v>Vínculo Ciudadano</v>
      </c>
      <c r="G827" s="2" t="str">
        <f>IFERROR(__xludf.DUMMYFUNCTION("""COMPUTED_VALUE"""),"Finalizada")</f>
        <v>Finalizada</v>
      </c>
      <c r="H827" s="4">
        <v>0.0</v>
      </c>
      <c r="I827" s="4">
        <v>0.0</v>
      </c>
      <c r="J827" s="4">
        <v>0.0</v>
      </c>
      <c r="K827" s="4">
        <v>0.0</v>
      </c>
      <c r="L827" s="5">
        <v>0.0</v>
      </c>
      <c r="M827" s="5">
        <v>0.0</v>
      </c>
      <c r="N827" s="4">
        <v>13898.0</v>
      </c>
      <c r="O827" s="4">
        <v>13776.0</v>
      </c>
      <c r="P827" s="4">
        <v>5094.0</v>
      </c>
      <c r="Q827" s="4">
        <v>271.0</v>
      </c>
      <c r="R827" s="4">
        <v>0.0</v>
      </c>
      <c r="S827" s="4">
        <v>0.0</v>
      </c>
      <c r="T827" s="4">
        <v>0.0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0.0</v>
      </c>
      <c r="AB827" s="4">
        <v>0.0</v>
      </c>
      <c r="AC827" s="4">
        <v>0.0</v>
      </c>
      <c r="AD827" s="4" t="s">
        <v>8</v>
      </c>
      <c r="AE827" s="6" t="s">
        <v>9</v>
      </c>
    </row>
    <row r="828" ht="16.5" customHeight="1">
      <c r="A828" s="2" t="str">
        <f>IFERROR(__xludf.DUMMYFUNCTION("""COMPUTED_VALUE"""),"3319-JULVINGC")</f>
        <v>3319-JULVINGC</v>
      </c>
      <c r="B828" s="2" t="str">
        <f>IFERROR(__xludf.DUMMYFUNCTION("""COMPUTED_VALUE"""),"Más servicios en tu barrio  Puerto Madero Barrio Popular  15/7")</f>
        <v>Más servicios en tu barrio  Puerto Madero Barrio Popular  15/7</v>
      </c>
      <c r="C828" s="3">
        <f>IFERROR(__xludf.DUMMYFUNCTION("""COMPUTED_VALUE"""),46212.0)</f>
        <v>46212</v>
      </c>
      <c r="D828" s="3">
        <f>IFERROR(__xludf.DUMMYFUNCTION("""COMPUTED_VALUE"""),46212.0)</f>
        <v>46212</v>
      </c>
      <c r="E828" s="2" t="str">
        <f>IFERROR(__xludf.DUMMYFUNCTION("""COMPUTED_VALUE"""),"M2")</f>
        <v>M2</v>
      </c>
      <c r="F828" s="2" t="str">
        <f>IFERROR(__xludf.DUMMYFUNCTION("""COMPUTED_VALUE"""),"Vínculo Ciudadano")</f>
        <v>Vínculo Ciudadano</v>
      </c>
      <c r="G828" s="2" t="str">
        <f>IFERROR(__xludf.DUMMYFUNCTION("""COMPUTED_VALUE"""),"Finalizada")</f>
        <v>Finalizada</v>
      </c>
      <c r="H828" s="4">
        <v>0.0</v>
      </c>
      <c r="I828" s="4">
        <v>0.0</v>
      </c>
      <c r="J828" s="4">
        <v>0.0</v>
      </c>
      <c r="K828" s="4">
        <v>0.0</v>
      </c>
      <c r="L828" s="5">
        <v>0.0</v>
      </c>
      <c r="M828" s="5">
        <v>0.0</v>
      </c>
      <c r="N828" s="4">
        <v>67.0</v>
      </c>
      <c r="O828" s="4">
        <v>67.0</v>
      </c>
      <c r="P828" s="4">
        <v>15.0</v>
      </c>
      <c r="Q828" s="4">
        <v>3.0</v>
      </c>
      <c r="R828" s="4">
        <v>0.0</v>
      </c>
      <c r="S828" s="4">
        <v>0.0</v>
      </c>
      <c r="T828" s="4">
        <v>0.0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0.0</v>
      </c>
      <c r="AB828" s="4">
        <v>0.0</v>
      </c>
      <c r="AC828" s="4">
        <v>0.0</v>
      </c>
      <c r="AD828" s="4" t="s">
        <v>8</v>
      </c>
      <c r="AE828" s="6" t="s">
        <v>9</v>
      </c>
    </row>
    <row r="829" ht="16.5" customHeight="1">
      <c r="A829" s="2" t="str">
        <f>IFERROR(__xludf.DUMMYFUNCTION("""COMPUTED_VALUE"""),"3320-JULVINGC")</f>
        <v>3320-JULVINGC</v>
      </c>
      <c r="B829" s="2" t="str">
        <f>IFERROR(__xludf.DUMMYFUNCTION("""COMPUTED_VALUE"""),"Más servicios en tu barrio San Telmo 15/7")</f>
        <v>Más servicios en tu barrio San Telmo 15/7</v>
      </c>
      <c r="C829" s="3">
        <f>IFERROR(__xludf.DUMMYFUNCTION("""COMPUTED_VALUE"""),46212.0)</f>
        <v>46212</v>
      </c>
      <c r="D829" s="3">
        <f>IFERROR(__xludf.DUMMYFUNCTION("""COMPUTED_VALUE"""),46212.0)</f>
        <v>46212</v>
      </c>
      <c r="E829" s="2" t="str">
        <f>IFERROR(__xludf.DUMMYFUNCTION("""COMPUTED_VALUE"""),"M2")</f>
        <v>M2</v>
      </c>
      <c r="F829" s="2" t="str">
        <f>IFERROR(__xludf.DUMMYFUNCTION("""COMPUTED_VALUE"""),"Vínculo Ciudadano")</f>
        <v>Vínculo Ciudadano</v>
      </c>
      <c r="G829" s="2" t="str">
        <f>IFERROR(__xludf.DUMMYFUNCTION("""COMPUTED_VALUE"""),"Finalizada")</f>
        <v>Finalizada</v>
      </c>
      <c r="H829" s="4">
        <v>0.0</v>
      </c>
      <c r="I829" s="4">
        <v>0.0</v>
      </c>
      <c r="J829" s="4">
        <v>0.0</v>
      </c>
      <c r="K829" s="4">
        <v>0.0</v>
      </c>
      <c r="L829" s="5">
        <v>0.0</v>
      </c>
      <c r="M829" s="5">
        <v>0.0</v>
      </c>
      <c r="N829" s="4">
        <v>12884.0</v>
      </c>
      <c r="O829" s="4">
        <v>12711.0</v>
      </c>
      <c r="P829" s="4">
        <v>3796.0</v>
      </c>
      <c r="Q829" s="4">
        <v>136.0</v>
      </c>
      <c r="R829" s="4">
        <v>0.0</v>
      </c>
      <c r="S829" s="4">
        <v>0.0</v>
      </c>
      <c r="T829" s="4">
        <v>0.0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0.0</v>
      </c>
      <c r="AB829" s="4">
        <v>0.0</v>
      </c>
      <c r="AC829" s="4">
        <v>0.0</v>
      </c>
      <c r="AD829" s="4" t="s">
        <v>8</v>
      </c>
      <c r="AE829" s="6" t="s">
        <v>9</v>
      </c>
    </row>
    <row r="830" ht="16.5" customHeight="1">
      <c r="A830" s="2" t="str">
        <f>IFERROR(__xludf.DUMMYFUNCTION("""COMPUTED_VALUE"""),"3321-JULVINGC")</f>
        <v>3321-JULVINGC</v>
      </c>
      <c r="B830" s="2" t="str">
        <f>IFERROR(__xludf.DUMMYFUNCTION("""COMPUTED_VALUE"""),"Más servicios en tu barrio  Parque Chacabuco 16/7")</f>
        <v>Más servicios en tu barrio  Parque Chacabuco 16/7</v>
      </c>
      <c r="C830" s="3">
        <f>IFERROR(__xludf.DUMMYFUNCTION("""COMPUTED_VALUE"""),46217.0)</f>
        <v>46217</v>
      </c>
      <c r="D830" s="3">
        <f>IFERROR(__xludf.DUMMYFUNCTION("""COMPUTED_VALUE"""),46217.0)</f>
        <v>46217</v>
      </c>
      <c r="E830" s="2" t="str">
        <f>IFERROR(__xludf.DUMMYFUNCTION("""COMPUTED_VALUE"""),"M2")</f>
        <v>M2</v>
      </c>
      <c r="F830" s="2" t="str">
        <f>IFERROR(__xludf.DUMMYFUNCTION("""COMPUTED_VALUE"""),"Vínculo Ciudadano")</f>
        <v>Vínculo Ciudadano</v>
      </c>
      <c r="G830" s="2" t="str">
        <f>IFERROR(__xludf.DUMMYFUNCTION("""COMPUTED_VALUE"""),"Finalizada")</f>
        <v>Finalizada</v>
      </c>
      <c r="H830" s="4">
        <v>0.0</v>
      </c>
      <c r="I830" s="4">
        <v>0.0</v>
      </c>
      <c r="J830" s="4">
        <v>0.0</v>
      </c>
      <c r="K830" s="4">
        <v>0.0</v>
      </c>
      <c r="L830" s="5">
        <v>0.0</v>
      </c>
      <c r="M830" s="5">
        <v>0.0</v>
      </c>
      <c r="N830" s="4">
        <v>13016.0</v>
      </c>
      <c r="O830" s="4">
        <v>12832.0</v>
      </c>
      <c r="P830" s="4">
        <v>3982.0</v>
      </c>
      <c r="Q830" s="4">
        <v>161.0</v>
      </c>
      <c r="R830" s="4">
        <v>0.0</v>
      </c>
      <c r="S830" s="4">
        <v>0.0</v>
      </c>
      <c r="T830" s="4">
        <v>0.0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0.0</v>
      </c>
      <c r="AB830" s="4">
        <v>0.0</v>
      </c>
      <c r="AC830" s="4">
        <v>0.0</v>
      </c>
      <c r="AD830" s="4" t="s">
        <v>8</v>
      </c>
      <c r="AE830" s="6" t="s">
        <v>9</v>
      </c>
    </row>
    <row r="831" ht="16.5" customHeight="1">
      <c r="A831" s="2" t="str">
        <f>IFERROR(__xludf.DUMMYFUNCTION("""COMPUTED_VALUE"""),"3322-JULVINGC")</f>
        <v>3322-JULVINGC</v>
      </c>
      <c r="B831" s="2" t="str">
        <f>IFERROR(__xludf.DUMMYFUNCTION("""COMPUTED_VALUE"""),"Más servicios en tu barrio  La Boca 17/7")</f>
        <v>Más servicios en tu barrio  La Boca 17/7</v>
      </c>
      <c r="C831" s="3">
        <f>IFERROR(__xludf.DUMMYFUNCTION("""COMPUTED_VALUE"""),46217.0)</f>
        <v>46217</v>
      </c>
      <c r="D831" s="3">
        <f>IFERROR(__xludf.DUMMYFUNCTION("""COMPUTED_VALUE"""),46217.0)</f>
        <v>46217</v>
      </c>
      <c r="E831" s="2" t="str">
        <f>IFERROR(__xludf.DUMMYFUNCTION("""COMPUTED_VALUE"""),"M2")</f>
        <v>M2</v>
      </c>
      <c r="F831" s="2" t="str">
        <f>IFERROR(__xludf.DUMMYFUNCTION("""COMPUTED_VALUE"""),"Vínculo Ciudadano")</f>
        <v>Vínculo Ciudadano</v>
      </c>
      <c r="G831" s="2" t="str">
        <f>IFERROR(__xludf.DUMMYFUNCTION("""COMPUTED_VALUE"""),"Finalizada")</f>
        <v>Finalizada</v>
      </c>
      <c r="H831" s="4">
        <v>0.0</v>
      </c>
      <c r="I831" s="4">
        <v>0.0</v>
      </c>
      <c r="J831" s="4">
        <v>0.0</v>
      </c>
      <c r="K831" s="4">
        <v>0.0</v>
      </c>
      <c r="L831" s="5">
        <v>0.0</v>
      </c>
      <c r="M831" s="5">
        <v>0.0</v>
      </c>
      <c r="N831" s="4">
        <v>9514.0</v>
      </c>
      <c r="O831" s="4">
        <v>9339.0</v>
      </c>
      <c r="P831" s="4">
        <v>2527.0</v>
      </c>
      <c r="Q831" s="4">
        <v>106.0</v>
      </c>
      <c r="R831" s="4">
        <v>0.0</v>
      </c>
      <c r="S831" s="4">
        <v>0.0</v>
      </c>
      <c r="T831" s="4">
        <v>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0.0</v>
      </c>
      <c r="AB831" s="4">
        <v>0.0</v>
      </c>
      <c r="AC831" s="4">
        <v>0.0</v>
      </c>
      <c r="AD831" s="4" t="s">
        <v>8</v>
      </c>
      <c r="AE831" s="6" t="s">
        <v>9</v>
      </c>
    </row>
    <row r="832" ht="16.5" customHeight="1">
      <c r="A832" s="2" t="str">
        <f>IFERROR(__xludf.DUMMYFUNCTION("""COMPUTED_VALUE"""),"3323-JULSALVC")</f>
        <v>3323-JULSALVC</v>
      </c>
      <c r="B832" s="2" t="str">
        <f>IFERROR(__xludf.DUMMYFUNCTION("""COMPUTED_VALUE"""),"RDV MINISTROS | FERNÁN QUIRÓS 13/7 COMUNA 14")</f>
        <v>RDV MINISTROS | FERNÁN QUIRÓS 13/7 COMUNA 14</v>
      </c>
      <c r="C832" s="3">
        <f>IFERROR(__xludf.DUMMYFUNCTION("""COMPUTED_VALUE"""),46211.0)</f>
        <v>46211</v>
      </c>
      <c r="D832" s="3">
        <f>IFERROR(__xludf.DUMMYFUNCTION("""COMPUTED_VALUE"""),46217.0)</f>
        <v>46217</v>
      </c>
      <c r="E832" s="2" t="str">
        <f>IFERROR(__xludf.DUMMYFUNCTION("""COMPUTED_VALUE"""),"Cercanía")</f>
        <v>Cercanía</v>
      </c>
      <c r="F832" s="2" t="str">
        <f>IFERROR(__xludf.DUMMYFUNCTION("""COMPUTED_VALUE"""),"Salud")</f>
        <v>Salud</v>
      </c>
      <c r="G832" s="2" t="str">
        <f>IFERROR(__xludf.DUMMYFUNCTION("""COMPUTED_VALUE"""),"Finalizada")</f>
        <v>Finalizada</v>
      </c>
      <c r="H832" s="4">
        <v>666883.0</v>
      </c>
      <c r="I832" s="4">
        <v>0.0</v>
      </c>
      <c r="J832" s="4">
        <v>644.0</v>
      </c>
      <c r="K832" s="4">
        <v>423383.0</v>
      </c>
      <c r="L832" s="5">
        <v>1.5751293745851864</v>
      </c>
      <c r="M832" s="5">
        <v>1.5751293745851864</v>
      </c>
      <c r="N832" s="4">
        <v>86723.0</v>
      </c>
      <c r="O832" s="4">
        <v>85781.0</v>
      </c>
      <c r="P832" s="4">
        <v>20609.0</v>
      </c>
      <c r="Q832" s="4">
        <v>293.0</v>
      </c>
      <c r="R832" s="4">
        <v>142.0</v>
      </c>
      <c r="S832" s="4">
        <v>141.0</v>
      </c>
      <c r="T832" s="4">
        <v>45.0</v>
      </c>
      <c r="U832" s="4">
        <v>42.0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0.0</v>
      </c>
      <c r="AB832" s="4">
        <v>0.0</v>
      </c>
      <c r="AC832" s="4">
        <v>0.0</v>
      </c>
      <c r="AD832" s="4"/>
      <c r="AE832" s="6" t="s">
        <v>9</v>
      </c>
    </row>
    <row r="833" ht="16.5" customHeight="1">
      <c r="A833" s="2" t="str">
        <f>IFERROR(__xludf.DUMMYFUNCTION("""COMPUTED_VALUE"""),"3324-JULVINGC")</f>
        <v>3324-JULVINGC</v>
      </c>
      <c r="B833" s="2" t="str">
        <f>IFERROR(__xludf.DUMMYFUNCTION("""COMPUTED_VALUE"""),"Más servicios en tu barrio Villa Lugano 13/7")</f>
        <v>Más servicios en tu barrio Villa Lugano 13/7</v>
      </c>
      <c r="C833" s="3">
        <f>IFERROR(__xludf.DUMMYFUNCTION("""COMPUTED_VALUE"""),46212.0)</f>
        <v>46212</v>
      </c>
      <c r="D833" s="3">
        <f>IFERROR(__xludf.DUMMYFUNCTION("""COMPUTED_VALUE"""),46212.0)</f>
        <v>46212</v>
      </c>
      <c r="E833" s="2" t="str">
        <f>IFERROR(__xludf.DUMMYFUNCTION("""COMPUTED_VALUE"""),"M2")</f>
        <v>M2</v>
      </c>
      <c r="F833" s="2" t="str">
        <f>IFERROR(__xludf.DUMMYFUNCTION("""COMPUTED_VALUE"""),"Vínculo Ciudadano")</f>
        <v>Vínculo Ciudadano</v>
      </c>
      <c r="G833" s="2" t="str">
        <f>IFERROR(__xludf.DUMMYFUNCTION("""COMPUTED_VALUE"""),"Finalizada")</f>
        <v>Finalizada</v>
      </c>
      <c r="H833" s="4">
        <v>0.0</v>
      </c>
      <c r="I833" s="4">
        <v>0.0</v>
      </c>
      <c r="J833" s="4">
        <v>0.0</v>
      </c>
      <c r="K833" s="4">
        <v>0.0</v>
      </c>
      <c r="L833" s="5">
        <v>0.0</v>
      </c>
      <c r="M833" s="5">
        <v>0.0</v>
      </c>
      <c r="N833" s="4">
        <v>10467.0</v>
      </c>
      <c r="O833" s="4">
        <v>10270.0</v>
      </c>
      <c r="P833" s="4">
        <v>2822.0</v>
      </c>
      <c r="Q833" s="4">
        <v>160.0</v>
      </c>
      <c r="R833" s="4">
        <v>0.0</v>
      </c>
      <c r="S833" s="4">
        <v>0.0</v>
      </c>
      <c r="T833" s="4">
        <v>0.0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0.0</v>
      </c>
      <c r="AB833" s="4">
        <v>0.0</v>
      </c>
      <c r="AC833" s="4">
        <v>0.0</v>
      </c>
      <c r="AD833" s="4" t="s">
        <v>8</v>
      </c>
      <c r="AE833" s="6" t="s">
        <v>9</v>
      </c>
    </row>
    <row r="834" ht="16.5" customHeight="1">
      <c r="A834" s="2" t="str">
        <f>IFERROR(__xludf.DUMMYFUNCTION("""COMPUTED_VALUE"""),"3325-JULTURGC")</f>
        <v>3325-JULTURGC</v>
      </c>
      <c r="B834" s="2" t="str">
        <f>IFERROR(__xludf.DUMMYFUNCTION("""COMPUTED_VALUE"""),"Sondeo Hotelero por vacaciones de invierno 14/7")</f>
        <v>Sondeo Hotelero por vacaciones de invierno 14/7</v>
      </c>
      <c r="C834" s="3">
        <f>IFERROR(__xludf.DUMMYFUNCTION("""COMPUTED_VALUE"""),46217.0)</f>
        <v>46217</v>
      </c>
      <c r="D834" s="3">
        <f>IFERROR(__xludf.DUMMYFUNCTION("""COMPUTED_VALUE"""),46217.0)</f>
        <v>46217</v>
      </c>
      <c r="E834" s="2" t="str">
        <f>IFERROR(__xludf.DUMMYFUNCTION("""COMPUTED_VALUE"""),"Ciudad Atractiva")</f>
        <v>Ciudad Atractiva</v>
      </c>
      <c r="F834" s="2" t="str">
        <f>IFERROR(__xludf.DUMMYFUNCTION("""COMPUTED_VALUE"""),"Turismo")</f>
        <v>Turismo</v>
      </c>
      <c r="G834" s="2" t="str">
        <f>IFERROR(__xludf.DUMMYFUNCTION("""COMPUTED_VALUE"""),"Finalizada")</f>
        <v>Finalizada</v>
      </c>
      <c r="H834" s="4">
        <v>0.0</v>
      </c>
      <c r="I834" s="4">
        <v>0.0</v>
      </c>
      <c r="J834" s="4">
        <v>0.0</v>
      </c>
      <c r="K834" s="4">
        <v>0.0</v>
      </c>
      <c r="L834" s="5">
        <v>0.0</v>
      </c>
      <c r="M834" s="5">
        <v>0.0</v>
      </c>
      <c r="N834" s="4">
        <v>395.0</v>
      </c>
      <c r="O834" s="4">
        <v>389.0</v>
      </c>
      <c r="P834" s="4">
        <v>165.0</v>
      </c>
      <c r="Q834" s="4">
        <v>62.0</v>
      </c>
      <c r="R834" s="4">
        <v>0.0</v>
      </c>
      <c r="S834" s="4">
        <v>0.0</v>
      </c>
      <c r="T834" s="4">
        <v>0.0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0.0</v>
      </c>
      <c r="AB834" s="4">
        <v>0.0</v>
      </c>
      <c r="AC834" s="4">
        <v>0.0</v>
      </c>
      <c r="AD834" s="4" t="s">
        <v>8</v>
      </c>
      <c r="AE834" s="6" t="s">
        <v>9</v>
      </c>
    </row>
    <row r="835" ht="16.5" customHeight="1">
      <c r="A835" s="2" t="str">
        <f>IFERROR(__xludf.DUMMYFUNCTION("""COMPUTED_VALUE"""),"3326-JULINFVC")</f>
        <v>3326-JULINFVC</v>
      </c>
      <c r="B835" s="2" t="str">
        <f>IFERROR(__xludf.DUMMYFUNCTION("""COMPUTED_VALUE"""),"PABLO BERECIARTUA 13/7 COMUNA 1")</f>
        <v>PABLO BERECIARTUA 13/7 COMUNA 1</v>
      </c>
      <c r="C835" s="3">
        <f>IFERROR(__xludf.DUMMYFUNCTION("""COMPUTED_VALUE"""),46211.0)</f>
        <v>46211</v>
      </c>
      <c r="D835" s="3">
        <f>IFERROR(__xludf.DUMMYFUNCTION("""COMPUTED_VALUE"""),46217.0)</f>
        <v>46217</v>
      </c>
      <c r="E835" s="2" t="str">
        <f>IFERROR(__xludf.DUMMYFUNCTION("""COMPUTED_VALUE"""),"Cercanía")</f>
        <v>Cercanía</v>
      </c>
      <c r="F835" s="2" t="str">
        <f>IFERROR(__xludf.DUMMYFUNCTION("""COMPUTED_VALUE"""),"Infraestructura")</f>
        <v>Infraestructura</v>
      </c>
      <c r="G835" s="2" t="str">
        <f>IFERROR(__xludf.DUMMYFUNCTION("""COMPUTED_VALUE"""),"Finalizada")</f>
        <v>Finalizada</v>
      </c>
      <c r="H835" s="4">
        <v>176210.0</v>
      </c>
      <c r="I835" s="4">
        <v>0.0</v>
      </c>
      <c r="J835" s="4">
        <v>573.0</v>
      </c>
      <c r="K835" s="4">
        <v>108209.0</v>
      </c>
      <c r="L835" s="5">
        <v>1.6284227744457485</v>
      </c>
      <c r="M835" s="5">
        <v>1.6284227744457485</v>
      </c>
      <c r="N835" s="4">
        <v>68546.0</v>
      </c>
      <c r="O835" s="4">
        <v>67956.0</v>
      </c>
      <c r="P835" s="4">
        <v>12119.0</v>
      </c>
      <c r="Q835" s="4">
        <v>211.0</v>
      </c>
      <c r="R835" s="4">
        <v>404.0</v>
      </c>
      <c r="S835" s="4">
        <v>201.0</v>
      </c>
      <c r="T835" s="4">
        <v>61.0</v>
      </c>
      <c r="U835" s="4">
        <v>59.0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0.0</v>
      </c>
      <c r="AB835" s="4">
        <v>0.0</v>
      </c>
      <c r="AC835" s="4">
        <v>0.0</v>
      </c>
      <c r="AD835" s="4"/>
      <c r="AE835" s="6" t="s">
        <v>9</v>
      </c>
    </row>
    <row r="836" ht="16.5" customHeight="1">
      <c r="A836" s="2" t="str">
        <f>IFERROR(__xludf.DUMMYFUNCTION("""COMPUTED_VALUE"""),"3327-JULSALGC")</f>
        <v>3327-JULSALGC</v>
      </c>
      <c r="B836" s="2" t="str">
        <f>IFERROR(__xludf.DUMMYFUNCTION("""COMPUTED_VALUE"""),"Salud | Inauguración Centro de Diagnóstico Porteño en Palermo")</f>
        <v>Salud | Inauguración Centro de Diagnóstico Porteño en Palermo</v>
      </c>
      <c r="C836" s="3">
        <f>IFERROR(__xludf.DUMMYFUNCTION("""COMPUTED_VALUE"""),46225.0)</f>
        <v>46225</v>
      </c>
      <c r="D836" s="3">
        <f>IFERROR(__xludf.DUMMYFUNCTION("""COMPUTED_VALUE"""),46225.0)</f>
        <v>46225</v>
      </c>
      <c r="E836" s="2" t="str">
        <f>IFERROR(__xludf.DUMMYFUNCTION("""COMPUTED_VALUE"""),"Cuidado")</f>
        <v>Cuidado</v>
      </c>
      <c r="F836" s="2" t="str">
        <f>IFERROR(__xludf.DUMMYFUNCTION("""COMPUTED_VALUE"""),"Salud")</f>
        <v>Salud</v>
      </c>
      <c r="G836" s="2" t="str">
        <f>IFERROR(__xludf.DUMMYFUNCTION("""COMPUTED_VALUE"""),"Activa")</f>
        <v>Activa</v>
      </c>
      <c r="H836" s="4">
        <v>12759.0</v>
      </c>
      <c r="I836" s="4">
        <v>1732.0</v>
      </c>
      <c r="J836" s="4">
        <v>7.0</v>
      </c>
      <c r="K836" s="4"/>
      <c r="L836" s="5">
        <v>0.0</v>
      </c>
      <c r="M836" s="5">
        <v>0.0</v>
      </c>
      <c r="N836" s="4">
        <v>40832.0</v>
      </c>
      <c r="O836" s="4">
        <v>40676.0</v>
      </c>
      <c r="P836" s="4">
        <v>8450.0</v>
      </c>
      <c r="Q836" s="4">
        <v>570.0</v>
      </c>
      <c r="R836" s="4">
        <v>0.0</v>
      </c>
      <c r="S836" s="4">
        <v>0.0</v>
      </c>
      <c r="T836" s="4">
        <v>0.0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0.0</v>
      </c>
      <c r="AB836" s="4">
        <v>0.0</v>
      </c>
      <c r="AC836" s="4">
        <v>0.0</v>
      </c>
      <c r="AD836" s="6" t="s">
        <v>325</v>
      </c>
      <c r="AE836" s="4"/>
    </row>
    <row r="837" ht="16.5" customHeight="1">
      <c r="A837" s="2" t="str">
        <f>IFERROR(__xludf.DUMMYFUNCTION("""COMPUTED_VALUE"""),"3328-JULPCCVC")</f>
        <v>3328-JULPCCVC</v>
      </c>
      <c r="B837" s="2" t="str">
        <f>IFERROR(__xludf.DUMMYFUNCTION("""COMPUTED_VALUE"""),"Reunión informativa Linea F")</f>
        <v>Reunión informativa Linea F</v>
      </c>
      <c r="C837" s="3">
        <f>IFERROR(__xludf.DUMMYFUNCTION("""COMPUTED_VALUE"""),46220.0)</f>
        <v>46220</v>
      </c>
      <c r="D837" s="3">
        <f>IFERROR(__xludf.DUMMYFUNCTION("""COMPUTED_VALUE"""),46220.0)</f>
        <v>46220</v>
      </c>
      <c r="E837" s="2" t="str">
        <f>IFERROR(__xludf.DUMMYFUNCTION("""COMPUTED_VALUE"""),"Cercanía")</f>
        <v>Cercanía</v>
      </c>
      <c r="F837" s="2" t="str">
        <f>IFERROR(__xludf.DUMMYFUNCTION("""COMPUTED_VALUE"""),"Cercanía y PC")</f>
        <v>Cercanía y PC</v>
      </c>
      <c r="G837" s="2" t="str">
        <f>IFERROR(__xludf.DUMMYFUNCTION("""COMPUTED_VALUE"""),"Finalizada")</f>
        <v>Finalizada</v>
      </c>
      <c r="H837" s="4">
        <v>0.0</v>
      </c>
      <c r="I837" s="4">
        <v>0.0</v>
      </c>
      <c r="J837" s="4">
        <v>0.0</v>
      </c>
      <c r="K837" s="4">
        <v>0.0</v>
      </c>
      <c r="L837" s="5">
        <v>0.0</v>
      </c>
      <c r="M837" s="5">
        <v>0.0</v>
      </c>
      <c r="N837" s="4">
        <v>133790.0</v>
      </c>
      <c r="O837" s="4">
        <v>131783.0</v>
      </c>
      <c r="P837" s="4">
        <v>22434.0</v>
      </c>
      <c r="Q837" s="4">
        <v>453.0</v>
      </c>
      <c r="R837" s="4">
        <v>0.0</v>
      </c>
      <c r="S837" s="4">
        <v>0.0</v>
      </c>
      <c r="T837" s="4">
        <v>0.0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0.0</v>
      </c>
      <c r="AB837" s="4">
        <v>0.0</v>
      </c>
      <c r="AC837" s="4">
        <v>0.0</v>
      </c>
      <c r="AD837" s="4" t="s">
        <v>8</v>
      </c>
      <c r="AE837" s="6" t="s">
        <v>9</v>
      </c>
    </row>
    <row r="838" ht="16.5" customHeight="1">
      <c r="A838" s="2" t="str">
        <f>IFERROR(__xludf.DUMMYFUNCTION("""COMPUTED_VALUE"""),"3329-JULINFGC")</f>
        <v>3329-JULINFGC</v>
      </c>
      <c r="B838" s="2" t="str">
        <f>IFERROR(__xludf.DUMMYFUNCTION("""COMPUTED_VALUE"""),"Cortes y desvios en Av. Cantilo")</f>
        <v>Cortes y desvios en Av. Cantilo</v>
      </c>
      <c r="C838" s="3">
        <f>IFERROR(__xludf.DUMMYFUNCTION("""COMPUTED_VALUE"""),46211.0)</f>
        <v>46211</v>
      </c>
      <c r="D838" s="3">
        <f>IFERROR(__xludf.DUMMYFUNCTION("""COMPUTED_VALUE"""),46214.0)</f>
        <v>46214</v>
      </c>
      <c r="E838" s="2" t="str">
        <f>IFERROR(__xludf.DUMMYFUNCTION("""COMPUTED_VALUE"""),"Movilidad")</f>
        <v>Movilidad</v>
      </c>
      <c r="F838" s="2" t="str">
        <f>IFERROR(__xludf.DUMMYFUNCTION("""COMPUTED_VALUE"""),"Infraestructura")</f>
        <v>Infraestructura</v>
      </c>
      <c r="G838" s="2" t="str">
        <f>IFERROR(__xludf.DUMMYFUNCTION("""COMPUTED_VALUE"""),"Finalizada")</f>
        <v>Finalizada</v>
      </c>
      <c r="H838" s="4">
        <v>759309.0</v>
      </c>
      <c r="I838" s="4">
        <v>0.0</v>
      </c>
      <c r="J838" s="4">
        <v>828.0</v>
      </c>
      <c r="K838" s="4">
        <v>377396.0</v>
      </c>
      <c r="L838" s="5">
        <v>2.0119688602952865</v>
      </c>
      <c r="M838" s="5">
        <v>2.0119688602952865</v>
      </c>
      <c r="N838" s="4">
        <v>106956.0</v>
      </c>
      <c r="O838" s="4">
        <v>106619.0</v>
      </c>
      <c r="P838" s="4">
        <v>37814.0</v>
      </c>
      <c r="Q838" s="4">
        <v>352.0</v>
      </c>
      <c r="R838" s="4">
        <v>0.0</v>
      </c>
      <c r="S838" s="4">
        <v>0.0</v>
      </c>
      <c r="T838" s="4">
        <v>0.0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110180.0</v>
      </c>
      <c r="AB838" s="4">
        <v>82761.0</v>
      </c>
      <c r="AC838" s="4">
        <v>0.0</v>
      </c>
      <c r="AD838" s="4"/>
      <c r="AE838" s="6" t="s">
        <v>9</v>
      </c>
    </row>
    <row r="839" ht="16.5" customHeight="1">
      <c r="A839" s="2" t="str">
        <f>IFERROR(__xludf.DUMMYFUNCTION("""COMPUTED_VALUE"""),"3330-JULFESGC")</f>
        <v>3330-JULFESGC</v>
      </c>
      <c r="B839" s="2" t="str">
        <f>IFERROR(__xludf.DUMMYFUNCTION("""COMPUTED_VALUE"""),"Sorteo Era Cretácica 2")</f>
        <v>Sorteo Era Cretácica 2</v>
      </c>
      <c r="C839" s="3">
        <f>IFERROR(__xludf.DUMMYFUNCTION("""COMPUTED_VALUE"""),46219.0)</f>
        <v>46219</v>
      </c>
      <c r="D839" s="3">
        <f>IFERROR(__xludf.DUMMYFUNCTION("""COMPUTED_VALUE"""),46225.0)</f>
        <v>46225</v>
      </c>
      <c r="E839" s="2" t="str">
        <f>IFERROR(__xludf.DUMMYFUNCTION("""COMPUTED_VALUE"""),"Ciudad Atractiva")</f>
        <v>Ciudad Atractiva</v>
      </c>
      <c r="F839" s="2" t="str">
        <f>IFERROR(__xludf.DUMMYFUNCTION("""COMPUTED_VALUE"""),"Festivales y Eventos")</f>
        <v>Festivales y Eventos</v>
      </c>
      <c r="G839" s="2" t="str">
        <f>IFERROR(__xludf.DUMMYFUNCTION("""COMPUTED_VALUE"""),"Activa")</f>
        <v>Activa</v>
      </c>
      <c r="H839" s="4">
        <v>922514.0</v>
      </c>
      <c r="I839" s="4">
        <v>0.0</v>
      </c>
      <c r="J839" s="4">
        <v>22305.0</v>
      </c>
      <c r="K839" s="4">
        <v>230968.0</v>
      </c>
      <c r="L839" s="5">
        <v>2.007446919053722</v>
      </c>
      <c r="M839" s="5">
        <v>3.994120397630841</v>
      </c>
      <c r="N839" s="4">
        <v>217525.0</v>
      </c>
      <c r="O839" s="4">
        <v>214513.0</v>
      </c>
      <c r="P839" s="4">
        <v>48863.0</v>
      </c>
      <c r="Q839" s="4">
        <v>3690.0</v>
      </c>
      <c r="R839" s="4">
        <v>0.0</v>
      </c>
      <c r="S839" s="4">
        <v>0.0</v>
      </c>
      <c r="T839" s="4">
        <v>0.0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0.0</v>
      </c>
      <c r="AB839" s="4">
        <v>0.0</v>
      </c>
      <c r="AC839" s="4">
        <v>0.0</v>
      </c>
      <c r="AD839" s="4"/>
      <c r="AE839" s="6" t="s">
        <v>9</v>
      </c>
    </row>
    <row r="840" ht="16.5" customHeight="1">
      <c r="A840" s="2" t="str">
        <f>IFERROR(__xludf.DUMMYFUNCTION("""COMPUTED_VALUE"""),"3331-JULINFGC")</f>
        <v>3331-JULINFGC</v>
      </c>
      <c r="B840" s="2" t="str">
        <f>IFERROR(__xludf.DUMMYFUNCTION("""COMPUTED_VALUE""")," Infraestructura | Cambio de sentido: calle Estanislao San Zeballos")</f>
        <v> Infraestructura | Cambio de sentido: calle Estanislao San Zeballos</v>
      </c>
      <c r="C840" s="3">
        <f>IFERROR(__xludf.DUMMYFUNCTION("""COMPUTED_VALUE"""),46224.0)</f>
        <v>46224</v>
      </c>
      <c r="D840" s="3">
        <f>IFERROR(__xludf.DUMMYFUNCTION("""COMPUTED_VALUE"""),46224.0)</f>
        <v>46224</v>
      </c>
      <c r="E840" s="2" t="str">
        <f>IFERROR(__xludf.DUMMYFUNCTION("""COMPUTED_VALUE"""),"Movilidad")</f>
        <v>Movilidad</v>
      </c>
      <c r="F840" s="2" t="str">
        <f>IFERROR(__xludf.DUMMYFUNCTION("""COMPUTED_VALUE"""),"Infraestructura")</f>
        <v>Infraestructura</v>
      </c>
      <c r="G840" s="2" t="str">
        <f>IFERROR(__xludf.DUMMYFUNCTION("""COMPUTED_VALUE"""),"Finalizada")</f>
        <v>Finalizada</v>
      </c>
      <c r="H840" s="4">
        <v>0.0</v>
      </c>
      <c r="I840" s="4">
        <v>0.0</v>
      </c>
      <c r="J840" s="4">
        <v>0.0</v>
      </c>
      <c r="K840" s="4">
        <v>0.0</v>
      </c>
      <c r="L840" s="5">
        <v>0.0</v>
      </c>
      <c r="M840" s="5">
        <v>0.0</v>
      </c>
      <c r="N840" s="4">
        <v>50074.0</v>
      </c>
      <c r="O840" s="4">
        <v>49587.0</v>
      </c>
      <c r="P840" s="4">
        <v>16235.0</v>
      </c>
      <c r="Q840" s="4">
        <v>281.0</v>
      </c>
      <c r="R840" s="4">
        <v>0.0</v>
      </c>
      <c r="S840" s="4">
        <v>0.0</v>
      </c>
      <c r="T840" s="4">
        <v>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0.0</v>
      </c>
      <c r="AB840" s="4">
        <v>0.0</v>
      </c>
      <c r="AC840" s="4">
        <v>0.0</v>
      </c>
      <c r="AD840" s="4" t="s">
        <v>8</v>
      </c>
      <c r="AE840" s="6" t="s">
        <v>9</v>
      </c>
    </row>
    <row r="841" ht="16.5" customHeight="1">
      <c r="A841" s="2" t="str">
        <f>IFERROR(__xludf.DUMMYFUNCTION("""COMPUTED_VALUE"""),"3332-JULINFGC")</f>
        <v>3332-JULINFGC</v>
      </c>
      <c r="B841" s="2" t="str">
        <f>IFERROR(__xludf.DUMMYFUNCTION("""COMPUTED_VALUE"""),"Infraestructura | Cambio de sentido calle: Oliden
")</f>
        <v>Infraestructura | Cambio de sentido calle: Oliden
</v>
      </c>
      <c r="C841" s="3">
        <f>IFERROR(__xludf.DUMMYFUNCTION("""COMPUTED_VALUE"""),46217.0)</f>
        <v>46217</v>
      </c>
      <c r="D841" s="3">
        <f>IFERROR(__xludf.DUMMYFUNCTION("""COMPUTED_VALUE"""),46232.0)</f>
        <v>46232</v>
      </c>
      <c r="E841" s="2" t="str">
        <f>IFERROR(__xludf.DUMMYFUNCTION("""COMPUTED_VALUE"""),"Movilidad")</f>
        <v>Movilidad</v>
      </c>
      <c r="F841" s="2" t="str">
        <f>IFERROR(__xludf.DUMMYFUNCTION("""COMPUTED_VALUE"""),"Infraestructura")</f>
        <v>Infraestructura</v>
      </c>
      <c r="G841" s="2" t="str">
        <f>IFERROR(__xludf.DUMMYFUNCTION("""COMPUTED_VALUE"""),"Activa")</f>
        <v>Activa</v>
      </c>
      <c r="H841" s="4">
        <v>62235.0</v>
      </c>
      <c r="I841" s="4">
        <v>0.0</v>
      </c>
      <c r="J841" s="4">
        <v>0.0</v>
      </c>
      <c r="K841" s="4">
        <v>40016.0</v>
      </c>
      <c r="L841" s="5">
        <v>1.555252898840464</v>
      </c>
      <c r="M841" s="5">
        <v>1.555252898840464</v>
      </c>
      <c r="N841" s="4">
        <v>40553.0</v>
      </c>
      <c r="O841" s="4">
        <v>39881.0</v>
      </c>
      <c r="P841" s="4">
        <v>10580.0</v>
      </c>
      <c r="Q841" s="4">
        <v>320.0</v>
      </c>
      <c r="R841" s="4">
        <v>0.0</v>
      </c>
      <c r="S841" s="4">
        <v>0.0</v>
      </c>
      <c r="T841" s="4">
        <v>0.0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0.0</v>
      </c>
      <c r="AB841" s="4">
        <v>0.0</v>
      </c>
      <c r="AC841" s="4">
        <v>0.0</v>
      </c>
      <c r="AD841" s="4"/>
      <c r="AE841" s="6" t="s">
        <v>9</v>
      </c>
    </row>
    <row r="842" ht="16.5" customHeight="1">
      <c r="A842" s="2" t="str">
        <f>IFERROR(__xludf.DUMMYFUNCTION("""COMPUTED_VALUE"""),"3335-JULINFGC")</f>
        <v>3335-JULINFGC</v>
      </c>
      <c r="B842" s="2" t="str">
        <f>IFERROR(__xludf.DUMMYFUNCTION("""COMPUTED_VALUE"""),"Cortes y desvios en Av. Cantilo | PLACA HASTA FIN DE AÑO")</f>
        <v>Cortes y desvios en Av. Cantilo | PLACA HASTA FIN DE AÑO</v>
      </c>
      <c r="C842" s="3">
        <f>IFERROR(__xludf.DUMMYFUNCTION("""COMPUTED_VALUE"""),46217.0)</f>
        <v>46217</v>
      </c>
      <c r="D842" s="3">
        <f>IFERROR(__xludf.DUMMYFUNCTION("""COMPUTED_VALUE"""),46387.0)</f>
        <v>46387</v>
      </c>
      <c r="E842" s="2" t="str">
        <f>IFERROR(__xludf.DUMMYFUNCTION("""COMPUTED_VALUE"""),"Movilidad")</f>
        <v>Movilidad</v>
      </c>
      <c r="F842" s="2" t="str">
        <f>IFERROR(__xludf.DUMMYFUNCTION("""COMPUTED_VALUE"""),"Infraestructura")</f>
        <v>Infraestructura</v>
      </c>
      <c r="G842" s="2" t="str">
        <f>IFERROR(__xludf.DUMMYFUNCTION("""COMPUTED_VALUE"""),"Activa")</f>
        <v>Activa</v>
      </c>
      <c r="H842" s="4">
        <v>0.0</v>
      </c>
      <c r="I842" s="4">
        <v>0.0</v>
      </c>
      <c r="J842" s="4">
        <v>0.0</v>
      </c>
      <c r="K842" s="4">
        <v>0.0</v>
      </c>
      <c r="L842" s="5">
        <v>0.0</v>
      </c>
      <c r="M842" s="5">
        <v>0.0</v>
      </c>
      <c r="N842" s="4">
        <v>0.0</v>
      </c>
      <c r="O842" s="4">
        <v>0.0</v>
      </c>
      <c r="P842" s="4">
        <v>0.0</v>
      </c>
      <c r="Q842" s="4">
        <v>0.0</v>
      </c>
      <c r="R842" s="4">
        <v>0.0</v>
      </c>
      <c r="S842" s="4">
        <v>0.0</v>
      </c>
      <c r="T842" s="4">
        <v>0.0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0.0</v>
      </c>
      <c r="AB842" s="4">
        <v>0.0</v>
      </c>
      <c r="AC842" s="4">
        <v>0.0</v>
      </c>
      <c r="AD842" s="4" t="s">
        <v>8</v>
      </c>
      <c r="AE842" s="4" t="s">
        <v>8</v>
      </c>
    </row>
    <row r="843" ht="16.5" customHeight="1">
      <c r="A843" s="2" t="str">
        <f>IFERROR(__xludf.DUMMYFUNCTION("""COMPUTED_VALUE"""),"3340-JULAMBVC")</f>
        <v>3340-JULAMBVC</v>
      </c>
      <c r="B843" s="2" t="str">
        <f>IFERROR(__xludf.DUMMYFUNCTION("""COMPUTED_VALUE"""),"RDV Ministros | Clara Muzzio - 17/7 - Temática")</f>
        <v>RDV Ministros | Clara Muzzio - 17/7 - Temática</v>
      </c>
      <c r="C843" s="3">
        <f>IFERROR(__xludf.DUMMYFUNCTION("""COMPUTED_VALUE"""),46218.0)</f>
        <v>46218</v>
      </c>
      <c r="D843" s="3">
        <f>IFERROR(__xludf.DUMMYFUNCTION("""COMPUTED_VALUE"""),46224.0)</f>
        <v>46224</v>
      </c>
      <c r="E843" s="2" t="str">
        <f>IFERROR(__xludf.DUMMYFUNCTION("""COMPUTED_VALUE"""),"Cercanía")</f>
        <v>Cercanía</v>
      </c>
      <c r="F843" s="2" t="str">
        <f>IFERROR(__xludf.DUMMYFUNCTION("""COMPUTED_VALUE"""),"Vicejefatura (Ambiente)")</f>
        <v>Vicejefatura (Ambiente)</v>
      </c>
      <c r="G843" s="2" t="str">
        <f>IFERROR(__xludf.DUMMYFUNCTION("""COMPUTED_VALUE"""),"Finalizada")</f>
        <v>Finalizada</v>
      </c>
      <c r="H843" s="4">
        <v>64757.0</v>
      </c>
      <c r="I843" s="4">
        <v>0.0</v>
      </c>
      <c r="J843" s="4">
        <v>354.0</v>
      </c>
      <c r="K843" s="4">
        <v>42944.0</v>
      </c>
      <c r="L843" s="5">
        <v>1.5079405737704918</v>
      </c>
      <c r="M843" s="5">
        <v>1.5079405737704918</v>
      </c>
      <c r="N843" s="4">
        <v>10410.0</v>
      </c>
      <c r="O843" s="4">
        <v>6696.0</v>
      </c>
      <c r="P843" s="4">
        <v>2734.0</v>
      </c>
      <c r="Q843" s="4">
        <v>55.0</v>
      </c>
      <c r="R843" s="4">
        <v>0.0</v>
      </c>
      <c r="S843" s="4">
        <v>0.0</v>
      </c>
      <c r="T843" s="4">
        <v>0.0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0.0</v>
      </c>
      <c r="AB843" s="4">
        <v>0.0</v>
      </c>
      <c r="AC843" s="4">
        <v>0.0</v>
      </c>
      <c r="AD843" s="4"/>
      <c r="AE843" s="6" t="s">
        <v>9</v>
      </c>
    </row>
    <row r="844" ht="16.5" customHeight="1">
      <c r="A844" s="2" t="str">
        <f>IFERROR(__xludf.DUMMYFUNCTION("""COMPUTED_VALUE"""),"3341-JULVINGC")</f>
        <v>3341-JULVINGC</v>
      </c>
      <c r="B844" s="2" t="str">
        <f>IFERROR(__xludf.DUMMYFUNCTION("""COMPUTED_VALUE"""),"Más servicios en tu barrio - Villa Lugano -  20/7")</f>
        <v>Más servicios en tu barrio - Villa Lugano -  20/7</v>
      </c>
      <c r="C844" s="3">
        <f>IFERROR(__xludf.DUMMYFUNCTION("""COMPUTED_VALUE"""),46220.0)</f>
        <v>46220</v>
      </c>
      <c r="D844" s="3">
        <f>IFERROR(__xludf.DUMMYFUNCTION("""COMPUTED_VALUE"""),46220.0)</f>
        <v>46220</v>
      </c>
      <c r="E844" s="2" t="str">
        <f>IFERROR(__xludf.DUMMYFUNCTION("""COMPUTED_VALUE"""),"M2")</f>
        <v>M2</v>
      </c>
      <c r="F844" s="2" t="str">
        <f>IFERROR(__xludf.DUMMYFUNCTION("""COMPUTED_VALUE"""),"Vínculo Ciudadano")</f>
        <v>Vínculo Ciudadano</v>
      </c>
      <c r="G844" s="2" t="str">
        <f>IFERROR(__xludf.DUMMYFUNCTION("""COMPUTED_VALUE"""),"Finalizada")</f>
        <v>Finalizada</v>
      </c>
      <c r="H844" s="4">
        <v>0.0</v>
      </c>
      <c r="I844" s="4">
        <v>0.0</v>
      </c>
      <c r="J844" s="4">
        <v>0.0</v>
      </c>
      <c r="K844" s="4">
        <v>0.0</v>
      </c>
      <c r="L844" s="5">
        <v>0.0</v>
      </c>
      <c r="M844" s="5">
        <v>0.0</v>
      </c>
      <c r="N844" s="4">
        <v>10505.0</v>
      </c>
      <c r="O844" s="4">
        <v>6419.0</v>
      </c>
      <c r="P844" s="4">
        <v>1966.0</v>
      </c>
      <c r="Q844" s="4">
        <v>99.0</v>
      </c>
      <c r="R844" s="4">
        <v>0.0</v>
      </c>
      <c r="S844" s="4">
        <v>0.0</v>
      </c>
      <c r="T844" s="4">
        <v>0.0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0.0</v>
      </c>
      <c r="AA844" s="4">
        <v>0.0</v>
      </c>
      <c r="AB844" s="4">
        <v>0.0</v>
      </c>
      <c r="AC844" s="4">
        <v>0.0</v>
      </c>
      <c r="AD844" s="4" t="s">
        <v>8</v>
      </c>
      <c r="AE844" s="6" t="s">
        <v>9</v>
      </c>
    </row>
    <row r="845" ht="16.5" customHeight="1">
      <c r="A845" s="2" t="str">
        <f>IFERROR(__xludf.DUMMYFUNCTION("""COMPUTED_VALUE"""),"3342-JULVINGC")</f>
        <v>3342-JULVINGC</v>
      </c>
      <c r="B845" s="2" t="str">
        <f>IFERROR(__xludf.DUMMYFUNCTION("""COMPUTED_VALUE"""),"Más servicios en tu barrio - Caballito - 21/7")</f>
        <v>Más servicios en tu barrio - Caballito - 21/7</v>
      </c>
      <c r="C845" s="3">
        <f>IFERROR(__xludf.DUMMYFUNCTION("""COMPUTED_VALUE"""),46220.0)</f>
        <v>46220</v>
      </c>
      <c r="D845" s="3">
        <f>IFERROR(__xludf.DUMMYFUNCTION("""COMPUTED_VALUE"""),46220.0)</f>
        <v>46220</v>
      </c>
      <c r="E845" s="2" t="str">
        <f>IFERROR(__xludf.DUMMYFUNCTION("""COMPUTED_VALUE"""),"M2")</f>
        <v>M2</v>
      </c>
      <c r="F845" s="2" t="str">
        <f>IFERROR(__xludf.DUMMYFUNCTION("""COMPUTED_VALUE"""),"Vínculo Ciudadano")</f>
        <v>Vínculo Ciudadano</v>
      </c>
      <c r="G845" s="2" t="str">
        <f>IFERROR(__xludf.DUMMYFUNCTION("""COMPUTED_VALUE"""),"Finalizada")</f>
        <v>Finalizada</v>
      </c>
      <c r="H845" s="4">
        <v>0.0</v>
      </c>
      <c r="I845" s="4">
        <v>0.0</v>
      </c>
      <c r="J845" s="4">
        <v>0.0</v>
      </c>
      <c r="K845" s="4">
        <v>0.0</v>
      </c>
      <c r="L845" s="5">
        <v>0.0</v>
      </c>
      <c r="M845" s="5">
        <v>0.0</v>
      </c>
      <c r="N845" s="4">
        <v>26121.0</v>
      </c>
      <c r="O845" s="4">
        <v>16699.0</v>
      </c>
      <c r="P845" s="4">
        <v>7068.0</v>
      </c>
      <c r="Q845" s="4">
        <v>273.0</v>
      </c>
      <c r="R845" s="4">
        <v>0.0</v>
      </c>
      <c r="S845" s="4">
        <v>0.0</v>
      </c>
      <c r="T845" s="4">
        <v>0.0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0.0</v>
      </c>
      <c r="AB845" s="4">
        <v>0.0</v>
      </c>
      <c r="AC845" s="4">
        <v>0.0</v>
      </c>
      <c r="AD845" s="4" t="s">
        <v>8</v>
      </c>
      <c r="AE845" s="6" t="s">
        <v>9</v>
      </c>
    </row>
    <row r="846" ht="16.5" customHeight="1">
      <c r="A846" s="2" t="str">
        <f>IFERROR(__xludf.DUMMYFUNCTION("""COMPUTED_VALUE"""),"3343-JULVINGC")</f>
        <v>3343-JULVINGC</v>
      </c>
      <c r="B846" s="2" t="str">
        <f>IFERROR(__xludf.DUMMYFUNCTION("""COMPUTED_VALUE"""),"Más servicios en tu barrio - Parque Patricios - 22/7")</f>
        <v>Más servicios en tu barrio - Parque Patricios - 22/7</v>
      </c>
      <c r="C846" s="3">
        <f>IFERROR(__xludf.DUMMYFUNCTION("""COMPUTED_VALUE"""),46220.0)</f>
        <v>46220</v>
      </c>
      <c r="D846" s="3">
        <f>IFERROR(__xludf.DUMMYFUNCTION("""COMPUTED_VALUE"""),46220.0)</f>
        <v>46220</v>
      </c>
      <c r="E846" s="2" t="str">
        <f>IFERROR(__xludf.DUMMYFUNCTION("""COMPUTED_VALUE"""),"M2")</f>
        <v>M2</v>
      </c>
      <c r="F846" s="2" t="str">
        <f>IFERROR(__xludf.DUMMYFUNCTION("""COMPUTED_VALUE"""),"Vínculo Ciudadano")</f>
        <v>Vínculo Ciudadano</v>
      </c>
      <c r="G846" s="2" t="str">
        <f>IFERROR(__xludf.DUMMYFUNCTION("""COMPUTED_VALUE"""),"Finalizada")</f>
        <v>Finalizada</v>
      </c>
      <c r="H846" s="4">
        <v>0.0</v>
      </c>
      <c r="I846" s="4">
        <v>0.0</v>
      </c>
      <c r="J846" s="4">
        <v>0.0</v>
      </c>
      <c r="K846" s="4">
        <v>0.0</v>
      </c>
      <c r="L846" s="5">
        <v>0.0</v>
      </c>
      <c r="M846" s="5">
        <v>0.0</v>
      </c>
      <c r="N846" s="4">
        <v>16008.0</v>
      </c>
      <c r="O846" s="4">
        <v>10411.0</v>
      </c>
      <c r="P846" s="4">
        <v>3558.0</v>
      </c>
      <c r="Q846" s="4">
        <v>126.0</v>
      </c>
      <c r="R846" s="4">
        <v>0.0</v>
      </c>
      <c r="S846" s="4">
        <v>0.0</v>
      </c>
      <c r="T846" s="4">
        <v>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0.0</v>
      </c>
      <c r="AB846" s="4">
        <v>0.0</v>
      </c>
      <c r="AC846" s="4">
        <v>0.0</v>
      </c>
      <c r="AD846" s="4" t="s">
        <v>8</v>
      </c>
      <c r="AE846" s="6" t="s">
        <v>9</v>
      </c>
    </row>
    <row r="847" ht="16.5" customHeight="1">
      <c r="A847" s="2" t="str">
        <f>IFERROR(__xludf.DUMMYFUNCTION("""COMPUTED_VALUE"""),"3346-JULJDGAG")</f>
        <v>3346-JULJDGAG</v>
      </c>
      <c r="B847" s="2" t="str">
        <f>IFERROR(__xludf.DUMMYFUNCTION("""COMPUTED_VALUE"""),"1 A 1 JM | 24/7  RETIRO")</f>
        <v>1 A 1 JM | 24/7  RETIRO</v>
      </c>
      <c r="C847" s="3">
        <f>IFERROR(__xludf.DUMMYFUNCTION("""COMPUTED_VALUE"""),46219.0)</f>
        <v>46219</v>
      </c>
      <c r="D847" s="3">
        <f>IFERROR(__xludf.DUMMYFUNCTION("""COMPUTED_VALUE"""),46227.0)</f>
        <v>46227</v>
      </c>
      <c r="E847" s="2" t="str">
        <f>IFERROR(__xludf.DUMMYFUNCTION("""COMPUTED_VALUE"""),"Cercanía")</f>
        <v>Cercanía</v>
      </c>
      <c r="F847" s="2" t="str">
        <f>IFERROR(__xludf.DUMMYFUNCTION("""COMPUTED_VALUE"""),"Jefatura de Gobierno")</f>
        <v>Jefatura de Gobierno</v>
      </c>
      <c r="G847" s="2" t="str">
        <f>IFERROR(__xludf.DUMMYFUNCTION("""COMPUTED_VALUE"""),"Activa")</f>
        <v>Activa</v>
      </c>
      <c r="H847" s="4">
        <v>359374.0</v>
      </c>
      <c r="I847" s="4">
        <v>0.0</v>
      </c>
      <c r="J847" s="4">
        <v>1396.0</v>
      </c>
      <c r="K847" s="4">
        <v>14962.0</v>
      </c>
      <c r="L847" s="5">
        <v>5.014102392728245</v>
      </c>
      <c r="M847" s="5">
        <v>24.0191150915653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0.0</v>
      </c>
      <c r="T847" s="4">
        <v>0.0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0.0</v>
      </c>
      <c r="AB847" s="4">
        <v>0.0</v>
      </c>
      <c r="AC847" s="4">
        <v>0.0</v>
      </c>
      <c r="AD847" s="4"/>
      <c r="AE847" s="4" t="s">
        <v>8</v>
      </c>
    </row>
    <row r="848" ht="16.5" customHeight="1">
      <c r="A848" s="2" t="str">
        <f>IFERROR(__xludf.DUMMYFUNCTION("""COMPUTED_VALUE"""),"3348-JULSEGCG")</f>
        <v>3348-JULSEGCG</v>
      </c>
      <c r="B848" s="2" t="str">
        <f>IFERROR(__xludf.DUMMYFUNCTION("""COMPUTED_VALUE""")," Ciudad Inteligente | Pauta Canal de YouTube | Policía Científica")</f>
        <v> Ciudad Inteligente | Pauta Canal de YouTube | Policía Científica</v>
      </c>
      <c r="C848" s="3">
        <f>IFERROR(__xludf.DUMMYFUNCTION("""COMPUTED_VALUE"""),46219.0)</f>
        <v>46219</v>
      </c>
      <c r="D848" s="3">
        <f>IFERROR(__xludf.DUMMYFUNCTION("""COMPUTED_VALUE"""),46234.0)</f>
        <v>46234</v>
      </c>
      <c r="E848" s="2" t="str">
        <f>IFERROR(__xludf.DUMMYFUNCTION("""COMPUTED_VALUE"""),"Otros")</f>
        <v>Otros</v>
      </c>
      <c r="F848" s="2" t="str">
        <f>IFERROR(__xludf.DUMMYFUNCTION("""COMPUTED_VALUE"""),"Seguridad")</f>
        <v>Seguridad</v>
      </c>
      <c r="G848" s="2" t="str">
        <f>IFERROR(__xludf.DUMMYFUNCTION("""COMPUTED_VALUE"""),"Activa")</f>
        <v>Activa</v>
      </c>
      <c r="H848" s="4">
        <v>641019.0</v>
      </c>
      <c r="I848" s="4">
        <v>125075.0</v>
      </c>
      <c r="J848" s="4">
        <v>777.0</v>
      </c>
      <c r="K848" s="4">
        <v>224810.0</v>
      </c>
      <c r="L848" s="5">
        <v>1.4856767937369335</v>
      </c>
      <c r="M848" s="5">
        <v>2.8513811663182245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0.0</v>
      </c>
      <c r="T848" s="4">
        <v>0.0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0.0</v>
      </c>
      <c r="AA848" s="4">
        <v>0.0</v>
      </c>
      <c r="AB848" s="4">
        <v>0.0</v>
      </c>
      <c r="AC848" s="4">
        <v>0.0</v>
      </c>
      <c r="AD848" s="4"/>
      <c r="AE848" s="4" t="s">
        <v>8</v>
      </c>
    </row>
    <row r="849" ht="16.5" customHeight="1">
      <c r="A849" s="2" t="str">
        <f>IFERROR(__xludf.DUMMYFUNCTION("""COMPUTED_VALUE"""),"3349-JULINFGC")</f>
        <v>3349-JULINFGC</v>
      </c>
      <c r="B849" s="2" t="str">
        <f>IFERROR(__xludf.DUMMYFUNCTION("""COMPUTED_VALUE"""),"INFRAESTRUCTURA | CORTES Y DESVÍOS ANIVERSARIO AMIA")</f>
        <v>INFRAESTRUCTURA | CORTES Y DESVÍOS ANIVERSARIO AMIA</v>
      </c>
      <c r="C849" s="3">
        <f>IFERROR(__xludf.DUMMYFUNCTION("""COMPUTED_VALUE"""),46218.0)</f>
        <v>46218</v>
      </c>
      <c r="D849" s="3">
        <f>IFERROR(__xludf.DUMMYFUNCTION("""COMPUTED_VALUE"""),46221.0)</f>
        <v>46221</v>
      </c>
      <c r="E849" s="2" t="str">
        <f>IFERROR(__xludf.DUMMYFUNCTION("""COMPUTED_VALUE"""),"Movilidad")</f>
        <v>Movilidad</v>
      </c>
      <c r="F849" s="2" t="str">
        <f>IFERROR(__xludf.DUMMYFUNCTION("""COMPUTED_VALUE"""),"Infraestructura")</f>
        <v>Infraestructura</v>
      </c>
      <c r="G849" s="2" t="str">
        <f>IFERROR(__xludf.DUMMYFUNCTION("""COMPUTED_VALUE"""),"Finalizada")</f>
        <v>Finalizada</v>
      </c>
      <c r="H849" s="4">
        <v>416733.0</v>
      </c>
      <c r="I849" s="4">
        <v>0.0</v>
      </c>
      <c r="J849" s="4">
        <v>587.0</v>
      </c>
      <c r="K849" s="4">
        <v>270152.0</v>
      </c>
      <c r="L849" s="5">
        <v>1.5425871361307708</v>
      </c>
      <c r="M849" s="5">
        <v>1.5425871361307708</v>
      </c>
      <c r="N849" s="4">
        <v>123150.0</v>
      </c>
      <c r="O849" s="4">
        <v>122259.0</v>
      </c>
      <c r="P849" s="4">
        <v>37590.0</v>
      </c>
      <c r="Q849" s="4">
        <v>160.0</v>
      </c>
      <c r="R849" s="4">
        <v>0.0</v>
      </c>
      <c r="S849" s="4">
        <v>0.0</v>
      </c>
      <c r="T849" s="4">
        <v>0.0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0.0</v>
      </c>
      <c r="AB849" s="4">
        <v>0.0</v>
      </c>
      <c r="AC849" s="4">
        <v>0.0</v>
      </c>
      <c r="AD849" s="4"/>
      <c r="AE849" s="6" t="s">
        <v>9</v>
      </c>
    </row>
    <row r="850" ht="16.5" customHeight="1">
      <c r="A850" s="2" t="str">
        <f>IFERROR(__xludf.DUMMYFUNCTION("""COMPUTED_VALUE"""),"3350-JULPCCVC")</f>
        <v>3350-JULPCCVC</v>
      </c>
      <c r="B850" s="2" t="str">
        <f>IFERROR(__xludf.DUMMYFUNCTION("""COMPUTED_VALUE"""),"Vacaciones de invierno PC")</f>
        <v>Vacaciones de invierno PC</v>
      </c>
      <c r="C850" s="3">
        <f>IFERROR(__xludf.DUMMYFUNCTION("""COMPUTED_VALUE"""),46218.0)</f>
        <v>46218</v>
      </c>
      <c r="D850" s="3">
        <f>IFERROR(__xludf.DUMMYFUNCTION("""COMPUTED_VALUE"""),46231.0)</f>
        <v>46231</v>
      </c>
      <c r="E850" s="2" t="str">
        <f>IFERROR(__xludf.DUMMYFUNCTION("""COMPUTED_VALUE"""),"Cercanía")</f>
        <v>Cercanía</v>
      </c>
      <c r="F850" s="2" t="str">
        <f>IFERROR(__xludf.DUMMYFUNCTION("""COMPUTED_VALUE"""),"Cercanía y PC")</f>
        <v>Cercanía y PC</v>
      </c>
      <c r="G850" s="2" t="str">
        <f>IFERROR(__xludf.DUMMYFUNCTION("""COMPUTED_VALUE"""),"Activa")</f>
        <v>Activa</v>
      </c>
      <c r="H850" s="4">
        <v>350203.0</v>
      </c>
      <c r="I850" s="4">
        <v>0.0</v>
      </c>
      <c r="J850" s="4">
        <v>311.0</v>
      </c>
      <c r="K850" s="4">
        <v>243343.0</v>
      </c>
      <c r="L850" s="5">
        <v>1.439133239912387</v>
      </c>
      <c r="M850" s="5">
        <v>1.439133239912387</v>
      </c>
      <c r="N850" s="4">
        <v>0.0</v>
      </c>
      <c r="O850" s="4">
        <v>0.0</v>
      </c>
      <c r="P850" s="4">
        <v>0.0</v>
      </c>
      <c r="Q850" s="4">
        <v>0.0</v>
      </c>
      <c r="R850" s="4">
        <v>0.0</v>
      </c>
      <c r="S850" s="4">
        <v>0.0</v>
      </c>
      <c r="T850" s="4">
        <v>0.0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4">
        <v>0.0</v>
      </c>
      <c r="AA850" s="4">
        <v>0.0</v>
      </c>
      <c r="AB850" s="4">
        <v>0.0</v>
      </c>
      <c r="AC850" s="4">
        <v>0.0</v>
      </c>
      <c r="AD850" s="4"/>
      <c r="AE850" s="4" t="s">
        <v>8</v>
      </c>
    </row>
    <row r="851" ht="16.5" customHeight="1">
      <c r="A851" s="2" t="str">
        <f>IFERROR(__xludf.DUMMYFUNCTION("""COMPUTED_VALUE"""),"3351-JULCULGC")</f>
        <v>3351-JULCULGC</v>
      </c>
      <c r="B851" s="2" t="str">
        <f>IFERROR(__xludf.DUMMYFUNCTION("""COMPUTED_VALUE"""),"Vacaciones de invierno | Actividades en Museos")</f>
        <v>Vacaciones de invierno | Actividades en Museos</v>
      </c>
      <c r="C851" s="3">
        <f>IFERROR(__xludf.DUMMYFUNCTION("""COMPUTED_VALUE"""),46225.0)</f>
        <v>46225</v>
      </c>
      <c r="D851" s="3">
        <f>IFERROR(__xludf.DUMMYFUNCTION("""COMPUTED_VALUE"""),46236.0)</f>
        <v>46236</v>
      </c>
      <c r="E851" s="2" t="str">
        <f>IFERROR(__xludf.DUMMYFUNCTION("""COMPUTED_VALUE"""),"Ciudad Atractiva")</f>
        <v>Ciudad Atractiva</v>
      </c>
      <c r="F851" s="2" t="str">
        <f>IFERROR(__xludf.DUMMYFUNCTION("""COMPUTED_VALUE"""),"Cultura")</f>
        <v>Cultura</v>
      </c>
      <c r="G851" s="2" t="str">
        <f>IFERROR(__xludf.DUMMYFUNCTION("""COMPUTED_VALUE"""),"Activa")</f>
        <v>Activa</v>
      </c>
      <c r="H851" s="4">
        <v>161.0</v>
      </c>
      <c r="I851" s="4">
        <v>99.0</v>
      </c>
      <c r="J851" s="4">
        <v>0.0</v>
      </c>
      <c r="K851" s="4">
        <v>0.0</v>
      </c>
      <c r="L851" s="5">
        <v>0.0</v>
      </c>
      <c r="M851" s="5">
        <v>0.0</v>
      </c>
      <c r="N851" s="4">
        <v>152030.0</v>
      </c>
      <c r="O851" s="4">
        <v>151427.0</v>
      </c>
      <c r="P851" s="4">
        <v>21105.0</v>
      </c>
      <c r="Q851" s="4">
        <v>984.0</v>
      </c>
      <c r="R851" s="4">
        <v>0.0</v>
      </c>
      <c r="S851" s="4">
        <v>0.0</v>
      </c>
      <c r="T851" s="4">
        <v>0.0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0.0</v>
      </c>
      <c r="AA851" s="4">
        <v>0.0</v>
      </c>
      <c r="AB851" s="4">
        <v>0.0</v>
      </c>
      <c r="AC851" s="4">
        <v>0.0</v>
      </c>
      <c r="AD851" s="4" t="s">
        <v>8</v>
      </c>
      <c r="AE851" s="6" t="s">
        <v>9</v>
      </c>
    </row>
    <row r="852" ht="16.5" customHeight="1">
      <c r="A852" s="2" t="str">
        <f>IFERROR(__xludf.DUMMYFUNCTION("""COMPUTED_VALUE"""),"3352-JULCULGC")</f>
        <v>3352-JULCULGC</v>
      </c>
      <c r="B852" s="2" t="str">
        <f>IFERROR(__xludf.DUMMYFUNCTION("""COMPUTED_VALUE"""),"Vacaciones de invierno | Actividades en Complejo Teatral")</f>
        <v>Vacaciones de invierno | Actividades en Complejo Teatral</v>
      </c>
      <c r="C852" s="3">
        <f>IFERROR(__xludf.DUMMYFUNCTION("""COMPUTED_VALUE"""),46225.0)</f>
        <v>46225</v>
      </c>
      <c r="D852" s="3">
        <f>IFERROR(__xludf.DUMMYFUNCTION("""COMPUTED_VALUE"""),46236.0)</f>
        <v>46236</v>
      </c>
      <c r="E852" s="2" t="str">
        <f>IFERROR(__xludf.DUMMYFUNCTION("""COMPUTED_VALUE"""),"Ciudad Atractiva")</f>
        <v>Ciudad Atractiva</v>
      </c>
      <c r="F852" s="2" t="str">
        <f>IFERROR(__xludf.DUMMYFUNCTION("""COMPUTED_VALUE"""),"Cultura")</f>
        <v>Cultura</v>
      </c>
      <c r="G852" s="2" t="str">
        <f>IFERROR(__xludf.DUMMYFUNCTION("""COMPUTED_VALUE"""),"Activa")</f>
        <v>Activa</v>
      </c>
      <c r="H852" s="4">
        <v>870.0</v>
      </c>
      <c r="I852" s="4">
        <v>383.0</v>
      </c>
      <c r="J852" s="4">
        <v>0.0</v>
      </c>
      <c r="K852" s="4">
        <v>0.0</v>
      </c>
      <c r="L852" s="5">
        <v>0.0</v>
      </c>
      <c r="M852" s="5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0.0</v>
      </c>
      <c r="T852" s="4">
        <v>0.0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0.0</v>
      </c>
      <c r="AA852" s="4">
        <v>0.0</v>
      </c>
      <c r="AB852" s="4">
        <v>0.0</v>
      </c>
      <c r="AC852" s="4">
        <v>0.0</v>
      </c>
      <c r="AD852" s="4" t="s">
        <v>8</v>
      </c>
      <c r="AE852" s="4" t="s">
        <v>8</v>
      </c>
    </row>
    <row r="853" ht="16.5" customHeight="1">
      <c r="A853" s="2" t="str">
        <f>IFERROR(__xludf.DUMMYFUNCTION("""COMPUTED_VALUE"""),"3353-JULCULGC")</f>
        <v>3353-JULCULGC</v>
      </c>
      <c r="B853" s="2" t="str">
        <f>IFERROR(__xludf.DUMMYFUNCTION("""COMPUTED_VALUE"""),"Vacaciones de invierno | Actividades en Espacios Culturales")</f>
        <v>Vacaciones de invierno | Actividades en Espacios Culturales</v>
      </c>
      <c r="C853" s="3">
        <f>IFERROR(__xludf.DUMMYFUNCTION("""COMPUTED_VALUE"""),46224.0)</f>
        <v>46224</v>
      </c>
      <c r="D853" s="3">
        <f>IFERROR(__xludf.DUMMYFUNCTION("""COMPUTED_VALUE"""),46236.0)</f>
        <v>46236</v>
      </c>
      <c r="E853" s="2" t="str">
        <f>IFERROR(__xludf.DUMMYFUNCTION("""COMPUTED_VALUE"""),"Ciudad Atractiva")</f>
        <v>Ciudad Atractiva</v>
      </c>
      <c r="F853" s="2" t="str">
        <f>IFERROR(__xludf.DUMMYFUNCTION("""COMPUTED_VALUE"""),"Cultura")</f>
        <v>Cultura</v>
      </c>
      <c r="G853" s="2" t="str">
        <f>IFERROR(__xludf.DUMMYFUNCTION("""COMPUTED_VALUE"""),"Activa")</f>
        <v>Activa</v>
      </c>
      <c r="H853" s="4">
        <v>36350.0</v>
      </c>
      <c r="I853" s="4">
        <v>0.0</v>
      </c>
      <c r="J853" s="4">
        <v>469.0</v>
      </c>
      <c r="K853" s="4">
        <v>0.0</v>
      </c>
      <c r="L853" s="5">
        <v>0.0</v>
      </c>
      <c r="M853" s="5">
        <v>0.0</v>
      </c>
      <c r="N853" s="4">
        <v>177189.0</v>
      </c>
      <c r="O853" s="4">
        <v>176563.0</v>
      </c>
      <c r="P853" s="4">
        <v>21499.0</v>
      </c>
      <c r="Q853" s="4">
        <v>1353.0</v>
      </c>
      <c r="R853" s="4">
        <v>0.0</v>
      </c>
      <c r="S853" s="4">
        <v>0.0</v>
      </c>
      <c r="T853" s="4">
        <v>0.0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0.0</v>
      </c>
      <c r="AB853" s="4">
        <v>0.0</v>
      </c>
      <c r="AC853" s="4">
        <v>0.0</v>
      </c>
      <c r="AD853" s="4" t="s">
        <v>8</v>
      </c>
      <c r="AE853" s="6" t="s">
        <v>9</v>
      </c>
    </row>
    <row r="854" ht="16.5" customHeight="1">
      <c r="A854" s="2" t="str">
        <f>IFERROR(__xludf.DUMMYFUNCTION("""COMPUTED_VALUE"""),"3356-JULDHHGC")</f>
        <v>3356-JULDHHGC</v>
      </c>
      <c r="B854" s="2" t="str">
        <f>IFERROR(__xludf.DUMMYFUNCTION("""COMPUTED_VALUE"""),"RDV Ministros | Gabriel Mraida - 24/7")</f>
        <v>RDV Ministros | Gabriel Mraida - 24/7</v>
      </c>
      <c r="C854" s="3">
        <f>IFERROR(__xludf.DUMMYFUNCTION("""COMPUTED_VALUE"""),46219.0)</f>
        <v>46219</v>
      </c>
      <c r="D854" s="3">
        <f>IFERROR(__xludf.DUMMYFUNCTION("""COMPUTED_VALUE"""),46225.0)</f>
        <v>46225</v>
      </c>
      <c r="E854" s="2" t="str">
        <f>IFERROR(__xludf.DUMMYFUNCTION("""COMPUTED_VALUE"""),"Cercanía")</f>
        <v>Cercanía</v>
      </c>
      <c r="F854" s="2" t="str">
        <f>IFERROR(__xludf.DUMMYFUNCTION("""COMPUTED_VALUE"""),"Desarrollo Humano y Hábitat")</f>
        <v>Desarrollo Humano y Hábitat</v>
      </c>
      <c r="G854" s="2" t="str">
        <f>IFERROR(__xludf.DUMMYFUNCTION("""COMPUTED_VALUE"""),"Activa")</f>
        <v>Activa</v>
      </c>
      <c r="H854" s="4">
        <v>824122.0</v>
      </c>
      <c r="I854" s="4">
        <v>0.0</v>
      </c>
      <c r="J854" s="4">
        <v>1249.0</v>
      </c>
      <c r="K854" s="4">
        <v>656525.0</v>
      </c>
      <c r="L854" s="5">
        <v>1.2552789307337877</v>
      </c>
      <c r="M854" s="5">
        <v>1.2552789307337877</v>
      </c>
      <c r="N854" s="4">
        <v>128273.0</v>
      </c>
      <c r="O854" s="4">
        <v>126396.0</v>
      </c>
      <c r="P854" s="4">
        <v>22458.0</v>
      </c>
      <c r="Q854" s="4">
        <v>377.0</v>
      </c>
      <c r="R854" s="4">
        <v>99.0</v>
      </c>
      <c r="S854" s="4">
        <v>98.0</v>
      </c>
      <c r="T854" s="4">
        <v>25.0</v>
      </c>
      <c r="U854" s="4">
        <v>21.0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0.0</v>
      </c>
      <c r="AB854" s="4">
        <v>0.0</v>
      </c>
      <c r="AC854" s="4">
        <v>0.0</v>
      </c>
      <c r="AD854" s="4"/>
      <c r="AE854" s="6" t="s">
        <v>9</v>
      </c>
    </row>
    <row r="855" ht="16.5" customHeight="1">
      <c r="A855" s="2" t="str">
        <f>IFERROR(__xludf.DUMMYFUNCTION("""COMPUTED_VALUE"""),"3360-JULCULGC")</f>
        <v>3360-JULCULGC</v>
      </c>
      <c r="B855" s="2" t="str">
        <f>IFERROR(__xludf.DUMMYFUNCTION("""COMPUTED_VALUE"""),"Vacaciones de invierno | Actividades en la Usina")</f>
        <v>Vacaciones de invierno | Actividades en la Usina</v>
      </c>
      <c r="C855" s="3">
        <f>IFERROR(__xludf.DUMMYFUNCTION("""COMPUTED_VALUE"""),46224.0)</f>
        <v>46224</v>
      </c>
      <c r="D855" s="3">
        <f>IFERROR(__xludf.DUMMYFUNCTION("""COMPUTED_VALUE"""),46236.0)</f>
        <v>46236</v>
      </c>
      <c r="E855" s="2" t="str">
        <f>IFERROR(__xludf.DUMMYFUNCTION("""COMPUTED_VALUE"""),"Ciudad Atractiva")</f>
        <v>Ciudad Atractiva</v>
      </c>
      <c r="F855" s="2" t="str">
        <f>IFERROR(__xludf.DUMMYFUNCTION("""COMPUTED_VALUE"""),"Cultura")</f>
        <v>Cultura</v>
      </c>
      <c r="G855" s="2" t="str">
        <f>IFERROR(__xludf.DUMMYFUNCTION("""COMPUTED_VALUE"""),"Activa")</f>
        <v>Activa</v>
      </c>
      <c r="H855" s="4">
        <v>161032.0</v>
      </c>
      <c r="I855" s="4">
        <v>18114.0</v>
      </c>
      <c r="J855" s="4">
        <v>148.0</v>
      </c>
      <c r="K855" s="4">
        <v>128395.0</v>
      </c>
      <c r="L855" s="5">
        <v>1.235421940106702</v>
      </c>
      <c r="M855" s="5">
        <v>1.2541921414385295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0.0</v>
      </c>
      <c r="T855" s="4">
        <v>0.0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0.0</v>
      </c>
      <c r="AB855" s="4">
        <v>0.0</v>
      </c>
      <c r="AC855" s="4">
        <v>0.0</v>
      </c>
      <c r="AD855" s="4"/>
      <c r="AE855" s="4" t="s">
        <v>8</v>
      </c>
    </row>
    <row r="856" ht="16.5" customHeight="1">
      <c r="A856" s="2" t="str">
        <f>IFERROR(__xludf.DUMMYFUNCTION("""COMPUTED_VALUE"""),"3362-JULCULGC")</f>
        <v>3362-JULCULGC</v>
      </c>
      <c r="B856" s="2" t="str">
        <f>IFERROR(__xludf.DUMMYFUNCTION("""COMPUTED_VALUE"""),"Vacaciones de invierno | Ambiente | Paseo Ambiental del sur")</f>
        <v>Vacaciones de invierno | Ambiente | Paseo Ambiental del sur</v>
      </c>
      <c r="C856" s="3">
        <f>IFERROR(__xludf.DUMMYFUNCTION("""COMPUTED_VALUE"""),46224.0)</f>
        <v>46224</v>
      </c>
      <c r="D856" s="3">
        <f>IFERROR(__xludf.DUMMYFUNCTION("""COMPUTED_VALUE"""),46236.0)</f>
        <v>46236</v>
      </c>
      <c r="E856" s="2" t="str">
        <f>IFERROR(__xludf.DUMMYFUNCTION("""COMPUTED_VALUE"""),"Ciudad Atractiva")</f>
        <v>Ciudad Atractiva</v>
      </c>
      <c r="F856" s="2" t="str">
        <f>IFERROR(__xludf.DUMMYFUNCTION("""COMPUTED_VALUE"""),"Cultura")</f>
        <v>Cultura</v>
      </c>
      <c r="G856" s="2" t="str">
        <f>IFERROR(__xludf.DUMMYFUNCTION("""COMPUTED_VALUE"""),"Activa")</f>
        <v>Activa</v>
      </c>
      <c r="H856" s="4">
        <v>948.0</v>
      </c>
      <c r="I856" s="4">
        <v>342.0</v>
      </c>
      <c r="J856" s="4">
        <v>1.0</v>
      </c>
      <c r="K856" s="4">
        <v>0.0</v>
      </c>
      <c r="L856" s="5">
        <v>0.0</v>
      </c>
      <c r="M856" s="5">
        <v>0.0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0.0</v>
      </c>
      <c r="AB856" s="4">
        <v>0.0</v>
      </c>
      <c r="AC856" s="4">
        <v>0.0</v>
      </c>
      <c r="AD856" s="4" t="s">
        <v>8</v>
      </c>
      <c r="AE856" s="4" t="s">
        <v>9</v>
      </c>
    </row>
    <row r="857" ht="16.5" customHeight="1">
      <c r="A857" s="2" t="str">
        <f>IFERROR(__xludf.DUMMYFUNCTION("""COMPUTED_VALUE"""),"3363-JULCULGC")</f>
        <v>3363-JULCULGC</v>
      </c>
      <c r="B857" s="2" t="str">
        <f>IFERROR(__xludf.DUMMYFUNCTION("""COMPUTED_VALUE"""),"Vacaciones de invierno | Jardin Botánico y Reservas Ecologicas")</f>
        <v>Vacaciones de invierno | Jardin Botánico y Reservas Ecologicas</v>
      </c>
      <c r="C857" s="3">
        <f>IFERROR(__xludf.DUMMYFUNCTION("""COMPUTED_VALUE"""),46224.0)</f>
        <v>46224</v>
      </c>
      <c r="D857" s="3">
        <f>IFERROR(__xludf.DUMMYFUNCTION("""COMPUTED_VALUE"""),46236.0)</f>
        <v>46236</v>
      </c>
      <c r="E857" s="2" t="str">
        <f>IFERROR(__xludf.DUMMYFUNCTION("""COMPUTED_VALUE"""),"Ciudad Atractiva")</f>
        <v>Ciudad Atractiva</v>
      </c>
      <c r="F857" s="2" t="str">
        <f>IFERROR(__xludf.DUMMYFUNCTION("""COMPUTED_VALUE"""),"Cultura")</f>
        <v>Cultura</v>
      </c>
      <c r="G857" s="2" t="str">
        <f>IFERROR(__xludf.DUMMYFUNCTION("""COMPUTED_VALUE"""),"Activa")</f>
        <v>Activa</v>
      </c>
      <c r="H857" s="4">
        <v>2992.0</v>
      </c>
      <c r="I857" s="4">
        <v>1375.0</v>
      </c>
      <c r="J857" s="4">
        <v>6.0</v>
      </c>
      <c r="K857" s="4">
        <v>0.0</v>
      </c>
      <c r="L857" s="5">
        <v>0.0</v>
      </c>
      <c r="M857" s="5">
        <v>0.0</v>
      </c>
      <c r="N857" s="4">
        <v>0.0</v>
      </c>
      <c r="O857" s="4">
        <v>0.0</v>
      </c>
      <c r="P857" s="4">
        <v>0.0</v>
      </c>
      <c r="Q857" s="4">
        <v>0.0</v>
      </c>
      <c r="R857" s="4">
        <v>0.0</v>
      </c>
      <c r="S857" s="4">
        <v>0.0</v>
      </c>
      <c r="T857" s="4">
        <v>0.0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0.0</v>
      </c>
      <c r="AB857" s="4">
        <v>0.0</v>
      </c>
      <c r="AC857" s="4">
        <v>0.0</v>
      </c>
      <c r="AD857" s="4" t="s">
        <v>8</v>
      </c>
      <c r="AE857" s="4" t="s">
        <v>8</v>
      </c>
    </row>
    <row r="858" ht="16.5" customHeight="1">
      <c r="A858" s="2" t="str">
        <f>IFERROR(__xludf.DUMMYFUNCTION("""COMPUTED_VALUE"""),"3365-JULINFGC")</f>
        <v>3365-JULINFGC</v>
      </c>
      <c r="B858" s="2" t="str">
        <f>IFERROR(__xludf.DUMMYFUNCTION("""COMPUTED_VALUE"""),"INFRAESTRUCTURA | CORTES Y DESVÍOS PUENTE LABRUNA")</f>
        <v>INFRAESTRUCTURA | CORTES Y DESVÍOS PUENTE LABRUNA</v>
      </c>
      <c r="C858" s="3">
        <f>IFERROR(__xludf.DUMMYFUNCTION("""COMPUTED_VALUE"""),46220.0)</f>
        <v>46220</v>
      </c>
      <c r="D858" s="3">
        <f>IFERROR(__xludf.DUMMYFUNCTION("""COMPUTED_VALUE"""),46236.0)</f>
        <v>46236</v>
      </c>
      <c r="E858" s="2" t="str">
        <f>IFERROR(__xludf.DUMMYFUNCTION("""COMPUTED_VALUE"""),"Movilidad")</f>
        <v>Movilidad</v>
      </c>
      <c r="F858" s="2" t="str">
        <f>IFERROR(__xludf.DUMMYFUNCTION("""COMPUTED_VALUE"""),"Infraestructura")</f>
        <v>Infraestructura</v>
      </c>
      <c r="G858" s="2" t="str">
        <f>IFERROR(__xludf.DUMMYFUNCTION("""COMPUTED_VALUE"""),"Activa")</f>
        <v>Activa</v>
      </c>
      <c r="H858" s="4">
        <v>12732.0</v>
      </c>
      <c r="I858" s="4">
        <v>0.0</v>
      </c>
      <c r="J858" s="4">
        <v>300.0</v>
      </c>
      <c r="K858" s="4">
        <v>8789.0</v>
      </c>
      <c r="L858" s="5">
        <v>1.4486289680282172</v>
      </c>
      <c r="M858" s="5">
        <v>1.4486289680282172</v>
      </c>
      <c r="N858" s="4">
        <v>111433.0</v>
      </c>
      <c r="O858" s="4">
        <v>89600.0</v>
      </c>
      <c r="P858" s="4">
        <v>32772.0</v>
      </c>
      <c r="Q858" s="4">
        <v>152.0</v>
      </c>
      <c r="R858" s="4">
        <v>0.0</v>
      </c>
      <c r="S858" s="4">
        <v>0.0</v>
      </c>
      <c r="T858" s="4">
        <v>0.0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0.0</v>
      </c>
      <c r="AB858" s="4">
        <v>0.0</v>
      </c>
      <c r="AC858" s="4">
        <v>0.0</v>
      </c>
      <c r="AD858" s="4"/>
      <c r="AE858" s="6" t="s">
        <v>9</v>
      </c>
    </row>
    <row r="859" ht="16.5" customHeight="1">
      <c r="A859" s="2" t="str">
        <f>IFERROR(__xludf.DUMMYFUNCTION("""COMPUTED_VALUE"""),"3367-JULEMEGC")</f>
        <v>3367-JULEMEGC</v>
      </c>
      <c r="B859" s="2" t="str">
        <f>IFERROR(__xludf.DUMMYFUNCTION("""COMPUTED_VALUE"""),"Alerta Amarilla 17/7")</f>
        <v>Alerta Amarilla 17/7</v>
      </c>
      <c r="C859" s="3">
        <f>IFERROR(__xludf.DUMMYFUNCTION("""COMPUTED_VALUE"""),46220.0)</f>
        <v>46220</v>
      </c>
      <c r="D859" s="3">
        <f>IFERROR(__xludf.DUMMYFUNCTION("""COMPUTED_VALUE"""),46220.0)</f>
        <v>46220</v>
      </c>
      <c r="E859" s="2" t="str">
        <f>IFERROR(__xludf.DUMMYFUNCTION("""COMPUTED_VALUE"""),"Cuidado")</f>
        <v>Cuidado</v>
      </c>
      <c r="F859" s="2" t="str">
        <f>IFERROR(__xludf.DUMMYFUNCTION("""COMPUTED_VALUE"""),"Emergencias")</f>
        <v>Emergencias</v>
      </c>
      <c r="G859" s="2" t="str">
        <f>IFERROR(__xludf.DUMMYFUNCTION("""COMPUTED_VALUE"""),"Finalizada")</f>
        <v>Finalizada</v>
      </c>
      <c r="H859" s="4">
        <v>204344.0</v>
      </c>
      <c r="I859" s="4">
        <v>14393.0</v>
      </c>
      <c r="J859" s="4">
        <v>0.0</v>
      </c>
      <c r="K859" s="4">
        <v>201222.0</v>
      </c>
      <c r="L859" s="5">
        <v>1.0155152021150768</v>
      </c>
      <c r="M859" s="5">
        <v>1.0155152021150768</v>
      </c>
      <c r="N859" s="4">
        <v>0.0</v>
      </c>
      <c r="O859" s="4">
        <v>0.0</v>
      </c>
      <c r="P859" s="4">
        <v>0.0</v>
      </c>
      <c r="Q859" s="4">
        <v>0.0</v>
      </c>
      <c r="R859" s="4">
        <v>0.0</v>
      </c>
      <c r="S859" s="4">
        <v>0.0</v>
      </c>
      <c r="T859" s="4">
        <v>0.0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0.0</v>
      </c>
      <c r="AB859" s="4">
        <v>0.0</v>
      </c>
      <c r="AC859" s="4">
        <v>0.0</v>
      </c>
      <c r="AD859" s="4"/>
      <c r="AE859" s="4" t="s">
        <v>8</v>
      </c>
    </row>
    <row r="860" ht="16.5" customHeight="1">
      <c r="A860" s="2" t="str">
        <f>IFERROR(__xludf.DUMMYFUNCTION("""COMPUTED_VALUE"""),"3369-JULVINGC")</f>
        <v>3369-JULVINGC</v>
      </c>
      <c r="B860" s="2" t="str">
        <f>IFERROR(__xludf.DUMMYFUNCTION("""COMPUTED_VALUE"""),"OBRAS EN PARQUES Y PLAZAS (PATIOS DE JUEGOS) - PLAN 2026")</f>
        <v>OBRAS EN PARQUES Y PLAZAS (PATIOS DE JUEGOS) - PLAN 2026</v>
      </c>
      <c r="C860" s="3">
        <f>IFERROR(__xludf.DUMMYFUNCTION("""COMPUTED_VALUE"""),46225.0)</f>
        <v>46225</v>
      </c>
      <c r="D860" s="3">
        <f>IFERROR(__xludf.DUMMYFUNCTION("""COMPUTED_VALUE"""),46225.0)</f>
        <v>46225</v>
      </c>
      <c r="E860" s="2" t="str">
        <f>IFERROR(__xludf.DUMMYFUNCTION("""COMPUTED_VALUE"""),"M2")</f>
        <v>M2</v>
      </c>
      <c r="F860" s="2" t="str">
        <f>IFERROR(__xludf.DUMMYFUNCTION("""COMPUTED_VALUE"""),"Vínculo Ciudadano")</f>
        <v>Vínculo Ciudadano</v>
      </c>
      <c r="G860" s="2" t="str">
        <f>IFERROR(__xludf.DUMMYFUNCTION("""COMPUTED_VALUE"""),"Activa")</f>
        <v>Activa</v>
      </c>
      <c r="H860" s="4">
        <v>0.0</v>
      </c>
      <c r="I860" s="4">
        <v>0.0</v>
      </c>
      <c r="J860" s="4">
        <v>0.0</v>
      </c>
      <c r="K860" s="4">
        <v>0.0</v>
      </c>
      <c r="L860" s="5">
        <v>0.0</v>
      </c>
      <c r="M860" s="5">
        <v>0.0</v>
      </c>
      <c r="N860" s="4">
        <v>8712.0</v>
      </c>
      <c r="O860" s="4">
        <v>8686.0</v>
      </c>
      <c r="P860" s="4">
        <v>1279.0</v>
      </c>
      <c r="Q860" s="4">
        <v>12.0</v>
      </c>
      <c r="R860" s="4">
        <v>0.0</v>
      </c>
      <c r="S860" s="4">
        <v>0.0</v>
      </c>
      <c r="T860" s="4">
        <v>0.0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0.0</v>
      </c>
      <c r="AB860" s="4">
        <v>0.0</v>
      </c>
      <c r="AC860" s="4">
        <v>0.0</v>
      </c>
      <c r="AD860" s="4" t="s">
        <v>8</v>
      </c>
      <c r="AE860" s="4" t="s">
        <v>9</v>
      </c>
    </row>
    <row r="861" ht="16.5" customHeight="1">
      <c r="A861" s="2" t="str">
        <f>IFERROR(__xludf.DUMMYFUNCTION("""COMPUTED_VALUE"""),"3370-JULSEGVC")</f>
        <v>3370-JULSEGVC</v>
      </c>
      <c r="B861" s="2" t="str">
        <f>IFERROR(__xludf.DUMMYFUNCTION("""COMPUTED_VALUE"""),"RDV Ministros | Gabino Tapia 23/7 Comuna 8")</f>
        <v>RDV Ministros | Gabino Tapia 23/7 Comuna 8</v>
      </c>
      <c r="C861" s="3">
        <f>IFERROR(__xludf.DUMMYFUNCTION("""COMPUTED_VALUE"""),46223.0)</f>
        <v>46223</v>
      </c>
      <c r="D861" s="3">
        <f>IFERROR(__xludf.DUMMYFUNCTION("""COMPUTED_VALUE"""),46226.0)</f>
        <v>46226</v>
      </c>
      <c r="E861" s="2" t="str">
        <f>IFERROR(__xludf.DUMMYFUNCTION("""COMPUTED_VALUE"""),"Cercanía")</f>
        <v>Cercanía</v>
      </c>
      <c r="F861" s="2" t="str">
        <f>IFERROR(__xludf.DUMMYFUNCTION("""COMPUTED_VALUE"""),"Seguridad")</f>
        <v>Seguridad</v>
      </c>
      <c r="G861" s="2" t="str">
        <f>IFERROR(__xludf.DUMMYFUNCTION("""COMPUTED_VALUE"""),"Activa")</f>
        <v>Activa</v>
      </c>
      <c r="H861" s="4">
        <v>113246.0</v>
      </c>
      <c r="I861" s="4">
        <v>0.0</v>
      </c>
      <c r="J861" s="4">
        <v>402.0</v>
      </c>
      <c r="K861" s="4">
        <v>71000.0</v>
      </c>
      <c r="L861" s="5">
        <v>1.5950140845070422</v>
      </c>
      <c r="M861" s="5">
        <v>1.5950140845070422</v>
      </c>
      <c r="N861" s="4">
        <v>61721.0</v>
      </c>
      <c r="O861" s="4">
        <v>60354.0</v>
      </c>
      <c r="P861" s="4">
        <v>6768.0</v>
      </c>
      <c r="Q861" s="4">
        <v>84.0</v>
      </c>
      <c r="R861" s="4">
        <v>0.0</v>
      </c>
      <c r="S861" s="4">
        <v>0.0</v>
      </c>
      <c r="T861" s="4">
        <v>0.0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0.0</v>
      </c>
      <c r="AB861" s="4">
        <v>0.0</v>
      </c>
      <c r="AC861" s="4">
        <v>0.0</v>
      </c>
      <c r="AD861" s="4"/>
      <c r="AE861" s="4"/>
    </row>
    <row r="862" ht="16.5" customHeight="1">
      <c r="A862" s="2" t="str">
        <f>IFERROR(__xludf.DUMMYFUNCTION("""COMPUTED_VALUE"""),"3371-JULSEGVC")</f>
        <v>3371-JULSEGVC</v>
      </c>
      <c r="B862" s="2" t="str">
        <f>IFERROR(__xludf.DUMMYFUNCTION("""COMPUTED_VALUE"""),"RDV Ministros | Maximiliano Piñerio  23/7 Comuna 9")</f>
        <v>RDV Ministros | Maximiliano Piñerio  23/7 Comuna 9</v>
      </c>
      <c r="C862" s="3">
        <f>IFERROR(__xludf.DUMMYFUNCTION("""COMPUTED_VALUE"""),46223.0)</f>
        <v>46223</v>
      </c>
      <c r="D862" s="3">
        <f>IFERROR(__xludf.DUMMYFUNCTION("""COMPUTED_VALUE"""),46226.0)</f>
        <v>46226</v>
      </c>
      <c r="E862" s="2" t="str">
        <f>IFERROR(__xludf.DUMMYFUNCTION("""COMPUTED_VALUE"""),"Cercanía")</f>
        <v>Cercanía</v>
      </c>
      <c r="F862" s="2" t="str">
        <f>IFERROR(__xludf.DUMMYFUNCTION("""COMPUTED_VALUE"""),"Seguridad")</f>
        <v>Seguridad</v>
      </c>
      <c r="G862" s="2" t="str">
        <f>IFERROR(__xludf.DUMMYFUNCTION("""COMPUTED_VALUE"""),"Activa")</f>
        <v>Activa</v>
      </c>
      <c r="H862" s="4">
        <v>99914.0</v>
      </c>
      <c r="I862" s="4">
        <v>0.0</v>
      </c>
      <c r="J862" s="4">
        <v>369.0</v>
      </c>
      <c r="K862" s="4">
        <v>63475.0</v>
      </c>
      <c r="L862" s="5">
        <v>1.574068530917684</v>
      </c>
      <c r="M862" s="5">
        <v>1.574068530917684</v>
      </c>
      <c r="N862" s="4">
        <v>68869.0</v>
      </c>
      <c r="O862" s="4">
        <v>67830.0</v>
      </c>
      <c r="P862" s="4">
        <v>10114.0</v>
      </c>
      <c r="Q862" s="4">
        <v>149.0</v>
      </c>
      <c r="R862" s="4">
        <v>0.0</v>
      </c>
      <c r="S862" s="4">
        <v>0.0</v>
      </c>
      <c r="T862" s="4">
        <v>0.0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0.0</v>
      </c>
      <c r="AB862" s="4">
        <v>0.0</v>
      </c>
      <c r="AC862" s="4">
        <v>0.0</v>
      </c>
      <c r="AD862" s="4"/>
      <c r="AE862" s="6" t="s">
        <v>9</v>
      </c>
    </row>
    <row r="863" ht="16.5" customHeight="1">
      <c r="A863" s="2" t="str">
        <f>IFERROR(__xludf.DUMMYFUNCTION("""COMPUTED_VALUE"""),"3372-JULSEGVC")</f>
        <v>3372-JULSEGVC</v>
      </c>
      <c r="B863" s="2" t="str">
        <f>IFERROR(__xludf.DUMMYFUNCTION("""COMPUTED_VALUE"""),"RDV Ministros | Horacio Giménez 23/7 Comuna 10")</f>
        <v>RDV Ministros | Horacio Giménez 23/7 Comuna 10</v>
      </c>
      <c r="C863" s="3">
        <f>IFERROR(__xludf.DUMMYFUNCTION("""COMPUTED_VALUE"""),46223.0)</f>
        <v>46223</v>
      </c>
      <c r="D863" s="3">
        <f>IFERROR(__xludf.DUMMYFUNCTION("""COMPUTED_VALUE"""),46226.0)</f>
        <v>46226</v>
      </c>
      <c r="E863" s="2" t="str">
        <f>IFERROR(__xludf.DUMMYFUNCTION("""COMPUTED_VALUE"""),"Cercanía")</f>
        <v>Cercanía</v>
      </c>
      <c r="F863" s="2" t="str">
        <f>IFERROR(__xludf.DUMMYFUNCTION("""COMPUTED_VALUE"""),"Seguridad")</f>
        <v>Seguridad</v>
      </c>
      <c r="G863" s="2" t="str">
        <f>IFERROR(__xludf.DUMMYFUNCTION("""COMPUTED_VALUE"""),"Activa")</f>
        <v>Activa</v>
      </c>
      <c r="H863" s="4">
        <v>97023.0</v>
      </c>
      <c r="I863" s="4">
        <v>0.0</v>
      </c>
      <c r="J863" s="4">
        <v>362.0</v>
      </c>
      <c r="K863" s="4">
        <v>60420.0</v>
      </c>
      <c r="L863" s="5">
        <v>1.6058093346573983</v>
      </c>
      <c r="M863" s="5">
        <v>1.6058093346573983</v>
      </c>
      <c r="N863" s="4">
        <v>67288.0</v>
      </c>
      <c r="O863" s="4">
        <v>66554.0</v>
      </c>
      <c r="P863" s="4">
        <v>11320.0</v>
      </c>
      <c r="Q863" s="4">
        <v>135.0</v>
      </c>
      <c r="R863" s="4">
        <v>0.0</v>
      </c>
      <c r="S863" s="4">
        <v>0.0</v>
      </c>
      <c r="T863" s="4">
        <v>0.0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0.0</v>
      </c>
      <c r="AB863" s="4">
        <v>0.0</v>
      </c>
      <c r="AC863" s="4">
        <v>0.0</v>
      </c>
      <c r="AD863" s="6" t="s">
        <v>326</v>
      </c>
      <c r="AE863" s="6" t="s">
        <v>9</v>
      </c>
    </row>
    <row r="864" ht="16.5" customHeight="1">
      <c r="A864" s="2" t="str">
        <f>IFERROR(__xludf.DUMMYFUNCTION("""COMPUTED_VALUE"""),"3373-JULSEGVC")</f>
        <v>3373-JULSEGVC</v>
      </c>
      <c r="B864" s="2" t="str">
        <f>IFERROR(__xludf.DUMMYFUNCTION("""COMPUTED_VALUE"""),"RDV Ministros | Ruth Landerreche 23/7 Comuna 11")</f>
        <v>RDV Ministros | Ruth Landerreche 23/7 Comuna 11</v>
      </c>
      <c r="C864" s="3">
        <f>IFERROR(__xludf.DUMMYFUNCTION("""COMPUTED_VALUE"""),46223.0)</f>
        <v>46223</v>
      </c>
      <c r="D864" s="3">
        <f>IFERROR(__xludf.DUMMYFUNCTION("""COMPUTED_VALUE"""),46226.0)</f>
        <v>46226</v>
      </c>
      <c r="E864" s="2" t="str">
        <f>IFERROR(__xludf.DUMMYFUNCTION("""COMPUTED_VALUE"""),"Cercanía")</f>
        <v>Cercanía</v>
      </c>
      <c r="F864" s="2" t="str">
        <f>IFERROR(__xludf.DUMMYFUNCTION("""COMPUTED_VALUE"""),"Seguridad")</f>
        <v>Seguridad</v>
      </c>
      <c r="G864" s="2" t="str">
        <f>IFERROR(__xludf.DUMMYFUNCTION("""COMPUTED_VALUE"""),"Activa")</f>
        <v>Activa</v>
      </c>
      <c r="H864" s="4">
        <v>119214.0</v>
      </c>
      <c r="I864" s="4">
        <v>0.0</v>
      </c>
      <c r="J864" s="4">
        <v>392.0</v>
      </c>
      <c r="K864" s="4">
        <v>75693.0</v>
      </c>
      <c r="L864" s="5">
        <v>1.5749673021283341</v>
      </c>
      <c r="M864" s="5">
        <v>1.5749673021283341</v>
      </c>
      <c r="N864" s="4">
        <v>84490.0</v>
      </c>
      <c r="O864" s="4">
        <v>83573.0</v>
      </c>
      <c r="P864" s="4">
        <v>16026.0</v>
      </c>
      <c r="Q864" s="4">
        <v>168.0</v>
      </c>
      <c r="R864" s="4">
        <v>0.0</v>
      </c>
      <c r="S864" s="4">
        <v>0.0</v>
      </c>
      <c r="T864" s="4">
        <v>0.0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0.0</v>
      </c>
      <c r="AB864" s="4">
        <v>0.0</v>
      </c>
      <c r="AC864" s="4">
        <v>0.0</v>
      </c>
      <c r="AD864" s="4"/>
      <c r="AE864" s="6" t="s">
        <v>9</v>
      </c>
    </row>
    <row r="865" ht="16.5" customHeight="1">
      <c r="A865" s="2" t="str">
        <f>IFERROR(__xludf.DUMMYFUNCTION("""COMPUTED_VALUE"""),"3375-JULEMEGC")</f>
        <v>3375-JULEMEGC</v>
      </c>
      <c r="B865" s="2" t="str">
        <f>IFERROR(__xludf.DUMMYFUNCTION("""COMPUTED_VALUE"""),"Alerta Amarilla 18/7")</f>
        <v>Alerta Amarilla 18/7</v>
      </c>
      <c r="C865" s="3">
        <f>IFERROR(__xludf.DUMMYFUNCTION("""COMPUTED_VALUE"""),46221.0)</f>
        <v>46221</v>
      </c>
      <c r="D865" s="3">
        <f>IFERROR(__xludf.DUMMYFUNCTION("""COMPUTED_VALUE"""),46222.0)</f>
        <v>46222</v>
      </c>
      <c r="E865" s="2" t="str">
        <f>IFERROR(__xludf.DUMMYFUNCTION("""COMPUTED_VALUE"""),"Cuidado")</f>
        <v>Cuidado</v>
      </c>
      <c r="F865" s="2" t="str">
        <f>IFERROR(__xludf.DUMMYFUNCTION("""COMPUTED_VALUE"""),"Emergencias")</f>
        <v>Emergencias</v>
      </c>
      <c r="G865" s="2" t="str">
        <f>IFERROR(__xludf.DUMMYFUNCTION("""COMPUTED_VALUE"""),"Finalizada")</f>
        <v>Finalizada</v>
      </c>
      <c r="H865" s="4">
        <v>414840.0</v>
      </c>
      <c r="I865" s="4">
        <v>15476.0</v>
      </c>
      <c r="J865" s="4">
        <v>0.0</v>
      </c>
      <c r="K865" s="4"/>
      <c r="L865" s="5">
        <v>0.0</v>
      </c>
      <c r="M865" s="5">
        <v>0.0</v>
      </c>
      <c r="N865" s="4">
        <v>0.0</v>
      </c>
      <c r="O865" s="4">
        <v>0.0</v>
      </c>
      <c r="P865" s="4">
        <v>0.0</v>
      </c>
      <c r="Q865" s="4">
        <v>0.0</v>
      </c>
      <c r="R865" s="4">
        <v>0.0</v>
      </c>
      <c r="S865" s="4">
        <v>0.0</v>
      </c>
      <c r="T865" s="4">
        <v>0.0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0.0</v>
      </c>
      <c r="AB865" s="4">
        <v>0.0</v>
      </c>
      <c r="AC865" s="4">
        <v>0.0</v>
      </c>
      <c r="AD865" s="4"/>
      <c r="AE865" s="4" t="s">
        <v>8</v>
      </c>
    </row>
    <row r="866" ht="16.5" customHeight="1">
      <c r="A866" s="2" t="str">
        <f>IFERROR(__xludf.DUMMYFUNCTION("""COMPUTED_VALUE"""),"3380-JULJDGVC")</f>
        <v>3380-JULJDGVC</v>
      </c>
      <c r="B866" s="2" t="str">
        <f>IFERROR(__xludf.DUMMYFUNCTION("""COMPUTED_VALUE"""),"Alta Interna Campaña VC | RDV Ministros | Gabrie Sánchez Zinny - 25/07")</f>
        <v>Alta Interna Campaña VC | RDV Ministros | Gabrie Sánchez Zinny - 25/07</v>
      </c>
      <c r="C866" s="3">
        <f>IFERROR(__xludf.DUMMYFUNCTION("""COMPUTED_VALUE"""),46225.0)</f>
        <v>46225</v>
      </c>
      <c r="D866" s="3">
        <f>IFERROR(__xludf.DUMMYFUNCTION("""COMPUTED_VALUE"""),46225.0)</f>
        <v>46225</v>
      </c>
      <c r="E866" s="2" t="str">
        <f>IFERROR(__xludf.DUMMYFUNCTION("""COMPUTED_VALUE"""),"Cercanía")</f>
        <v>Cercanía</v>
      </c>
      <c r="F866" s="2" t="str">
        <f>IFERROR(__xludf.DUMMYFUNCTION("""COMPUTED_VALUE"""),"Jefatura de Gabinete")</f>
        <v>Jefatura de Gabinete</v>
      </c>
      <c r="G866" s="2" t="str">
        <f>IFERROR(__xludf.DUMMYFUNCTION("""COMPUTED_VALUE"""),"Activa")</f>
        <v>Activa</v>
      </c>
      <c r="H866" s="4">
        <v>9611.0</v>
      </c>
      <c r="I866" s="4">
        <v>0.0</v>
      </c>
      <c r="J866" s="4">
        <v>31.0</v>
      </c>
      <c r="K866" s="4"/>
      <c r="L866" s="5">
        <v>0.0</v>
      </c>
      <c r="M866" s="5">
        <v>0.0</v>
      </c>
      <c r="N866" s="4">
        <v>23677.0</v>
      </c>
      <c r="O866" s="4">
        <v>23640.0</v>
      </c>
      <c r="P866" s="4">
        <v>2278.0</v>
      </c>
      <c r="Q866" s="4">
        <v>17.0</v>
      </c>
      <c r="R866" s="4">
        <v>0.0</v>
      </c>
      <c r="S866" s="4">
        <v>0.0</v>
      </c>
      <c r="T866" s="4">
        <v>0.0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0.0</v>
      </c>
      <c r="AB866" s="4">
        <v>0.0</v>
      </c>
      <c r="AC866" s="4">
        <v>0.0</v>
      </c>
      <c r="AD866" s="4"/>
      <c r="AE866" s="4" t="s">
        <v>9</v>
      </c>
    </row>
    <row r="867" ht="16.5" customHeight="1">
      <c r="A867" s="2" t="str">
        <f>IFERROR(__xludf.DUMMYFUNCTION("""COMPUTED_VALUE"""),"3387-JULJDGGC")</f>
        <v>3387-JULJDGGC</v>
      </c>
      <c r="B867" s="2" t="str">
        <f>IFERROR(__xludf.DUMMYFUNCTION("""COMPUTED_VALUE"""),"TE CUENTO BS AS JM | 28/7 ORDEN PÚBLICO EJE NORTE")</f>
        <v>TE CUENTO BS AS JM | 28/7 ORDEN PÚBLICO EJE NORTE</v>
      </c>
      <c r="C867" s="3">
        <f>IFERROR(__xludf.DUMMYFUNCTION("""COMPUTED_VALUE"""),46225.0)</f>
        <v>46225</v>
      </c>
      <c r="D867" s="3">
        <f>IFERROR(__xludf.DUMMYFUNCTION("""COMPUTED_VALUE"""),46231.0)</f>
        <v>46231</v>
      </c>
      <c r="E867" s="2" t="str">
        <f>IFERROR(__xludf.DUMMYFUNCTION("""COMPUTED_VALUE"""),"Cercanía")</f>
        <v>Cercanía</v>
      </c>
      <c r="F867" s="2" t="str">
        <f>IFERROR(__xludf.DUMMYFUNCTION("""COMPUTED_VALUE"""),"Jefatura de Gobierno")</f>
        <v>Jefatura de Gobierno</v>
      </c>
      <c r="G867" s="2" t="str">
        <f>IFERROR(__xludf.DUMMYFUNCTION("""COMPUTED_VALUE"""),"Activa")</f>
        <v>Activa</v>
      </c>
      <c r="H867" s="4">
        <v>63994.0</v>
      </c>
      <c r="I867" s="4">
        <v>0.0</v>
      </c>
      <c r="J867" s="4">
        <v>144.0</v>
      </c>
      <c r="K867" s="4"/>
      <c r="L867" s="5">
        <v>0.0</v>
      </c>
      <c r="M867" s="5">
        <v>0.0</v>
      </c>
      <c r="N867" s="4">
        <v>227075.0</v>
      </c>
      <c r="O867" s="4">
        <v>226311.0</v>
      </c>
      <c r="P867" s="4">
        <v>26234.0</v>
      </c>
      <c r="Q867" s="4">
        <v>461.0</v>
      </c>
      <c r="R867" s="4">
        <v>0.0</v>
      </c>
      <c r="S867" s="4">
        <v>0.0</v>
      </c>
      <c r="T867" s="4">
        <v>0.0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0.0</v>
      </c>
      <c r="AB867" s="4">
        <v>0.0</v>
      </c>
      <c r="AC867" s="4">
        <v>0.0</v>
      </c>
      <c r="AD867" s="4"/>
      <c r="AE867" s="6" t="s">
        <v>9</v>
      </c>
    </row>
    <row r="868" ht="16.5" customHeight="1">
      <c r="A868" s="2" t="str">
        <f>IFERROR(__xludf.DUMMYFUNCTION("""COMPUTED_VALUE"""),"3388-JULAMBVC")</f>
        <v>3388-JULAMBVC</v>
      </c>
      <c r="B868" s="2" t="str">
        <f>IFERROR(__xludf.DUMMYFUNCTION("""COMPUTED_VALUE"""),"RDV Ministros | Clara Muzzio 24/7 Palermo")</f>
        <v>RDV Ministros | Clara Muzzio 24/7 Palermo</v>
      </c>
      <c r="C868" s="3">
        <f>IFERROR(__xludf.DUMMYFUNCTION("""COMPUTED_VALUE"""),46225.0)</f>
        <v>46225</v>
      </c>
      <c r="D868" s="3">
        <f>IFERROR(__xludf.DUMMYFUNCTION("""COMPUTED_VALUE"""),46225.0)</f>
        <v>46225</v>
      </c>
      <c r="E868" s="2" t="str">
        <f>IFERROR(__xludf.DUMMYFUNCTION("""COMPUTED_VALUE"""),"Cercanía")</f>
        <v>Cercanía</v>
      </c>
      <c r="F868" s="2" t="str">
        <f>IFERROR(__xludf.DUMMYFUNCTION("""COMPUTED_VALUE"""),"Vicejefatura (Ambiente)")</f>
        <v>Vicejefatura (Ambiente)</v>
      </c>
      <c r="G868" s="2" t="str">
        <f>IFERROR(__xludf.DUMMYFUNCTION("""COMPUTED_VALUE"""),"Activa")</f>
        <v>Activa</v>
      </c>
      <c r="H868" s="4">
        <v>33136.0</v>
      </c>
      <c r="I868" s="4">
        <v>0.0</v>
      </c>
      <c r="J868" s="4">
        <v>26.0</v>
      </c>
      <c r="K868" s="4"/>
      <c r="L868" s="5">
        <v>0.0</v>
      </c>
      <c r="M868" s="5">
        <v>0.0</v>
      </c>
      <c r="N868" s="4">
        <v>23357.0</v>
      </c>
      <c r="O868" s="4">
        <v>23315.0</v>
      </c>
      <c r="P868" s="4">
        <v>2561.0</v>
      </c>
      <c r="Q868" s="4">
        <v>31.0</v>
      </c>
      <c r="R868" s="4">
        <v>0.0</v>
      </c>
      <c r="S868" s="4">
        <v>0.0</v>
      </c>
      <c r="T868" s="4">
        <v>0.0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0.0</v>
      </c>
      <c r="AB868" s="4">
        <v>0.0</v>
      </c>
      <c r="AC868" s="4">
        <v>0.0</v>
      </c>
      <c r="AD868" s="4"/>
      <c r="AE868" s="4"/>
    </row>
    <row r="869" ht="16.5" customHeight="1">
      <c r="A869" s="2"/>
      <c r="B869" s="2"/>
      <c r="C869" s="2"/>
      <c r="D869" s="2"/>
      <c r="E869" s="2"/>
      <c r="F869" s="2"/>
      <c r="G869" s="2"/>
      <c r="H869" s="4"/>
      <c r="I869" s="4"/>
      <c r="J869" s="4"/>
      <c r="K869" s="4"/>
      <c r="L869" s="5"/>
      <c r="M869" s="5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6.5" customHeight="1">
      <c r="A870" s="2"/>
      <c r="B870" s="2"/>
      <c r="C870" s="2"/>
      <c r="D870" s="2"/>
      <c r="E870" s="2"/>
      <c r="F870" s="2"/>
      <c r="G870" s="2"/>
      <c r="H870" s="4"/>
      <c r="I870" s="4"/>
      <c r="J870" s="4"/>
      <c r="K870" s="4"/>
      <c r="L870" s="5"/>
      <c r="M870" s="5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6.5" customHeight="1">
      <c r="A871" s="2"/>
      <c r="B871" s="2"/>
      <c r="C871" s="2"/>
      <c r="D871" s="2"/>
      <c r="E871" s="2"/>
      <c r="F871" s="2"/>
      <c r="G871" s="2"/>
      <c r="H871" s="4"/>
      <c r="I871" s="4"/>
      <c r="J871" s="4"/>
      <c r="K871" s="4"/>
      <c r="L871" s="5"/>
      <c r="M871" s="5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6.5" customHeight="1">
      <c r="A872" s="2"/>
      <c r="B872" s="2"/>
      <c r="C872" s="2"/>
      <c r="D872" s="2"/>
      <c r="E872" s="2"/>
      <c r="F872" s="2"/>
      <c r="G872" s="2"/>
      <c r="H872" s="4"/>
      <c r="I872" s="4"/>
      <c r="J872" s="4"/>
      <c r="K872" s="4"/>
      <c r="L872" s="5"/>
      <c r="M872" s="5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6.5" customHeight="1">
      <c r="A873" s="2"/>
      <c r="B873" s="2"/>
      <c r="C873" s="2"/>
      <c r="D873" s="2"/>
      <c r="E873" s="2"/>
      <c r="F873" s="2"/>
      <c r="G873" s="2"/>
      <c r="H873" s="4"/>
      <c r="I873" s="4"/>
      <c r="J873" s="4"/>
      <c r="K873" s="4"/>
      <c r="L873" s="5"/>
      <c r="M873" s="5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6.5" customHeight="1">
      <c r="A874" s="2"/>
      <c r="B874" s="2"/>
      <c r="C874" s="2"/>
      <c r="D874" s="2"/>
      <c r="E874" s="2"/>
      <c r="F874" s="2"/>
      <c r="G874" s="2"/>
      <c r="H874" s="4"/>
      <c r="I874" s="4"/>
      <c r="J874" s="4"/>
      <c r="K874" s="4"/>
      <c r="L874" s="5"/>
      <c r="M874" s="5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6.5" customHeight="1">
      <c r="A875" s="2"/>
      <c r="B875" s="2"/>
      <c r="C875" s="2"/>
      <c r="D875" s="2"/>
      <c r="E875" s="2"/>
      <c r="F875" s="2"/>
      <c r="G875" s="2"/>
      <c r="H875" s="4"/>
      <c r="I875" s="4"/>
      <c r="J875" s="4"/>
      <c r="K875" s="4"/>
      <c r="L875" s="5"/>
      <c r="M875" s="5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6.5" customHeight="1">
      <c r="A876" s="2"/>
      <c r="B876" s="2"/>
      <c r="C876" s="2"/>
      <c r="D876" s="2"/>
      <c r="E876" s="2"/>
      <c r="F876" s="2"/>
      <c r="G876" s="2"/>
      <c r="H876" s="4"/>
      <c r="I876" s="4"/>
      <c r="J876" s="4"/>
      <c r="K876" s="4"/>
      <c r="L876" s="5"/>
      <c r="M876" s="5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6.5" customHeight="1">
      <c r="A877" s="2"/>
      <c r="B877" s="2"/>
      <c r="C877" s="2"/>
      <c r="D877" s="2"/>
      <c r="E877" s="2"/>
      <c r="F877" s="2"/>
      <c r="G877" s="2"/>
      <c r="H877" s="4"/>
      <c r="I877" s="4"/>
      <c r="J877" s="4"/>
      <c r="K877" s="4"/>
      <c r="L877" s="5"/>
      <c r="M877" s="5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6.5" customHeight="1">
      <c r="A878" s="2"/>
      <c r="B878" s="2"/>
      <c r="C878" s="2"/>
      <c r="D878" s="2"/>
      <c r="E878" s="2"/>
      <c r="F878" s="2"/>
      <c r="G878" s="2"/>
      <c r="H878" s="4"/>
      <c r="I878" s="4"/>
      <c r="J878" s="4"/>
      <c r="K878" s="4"/>
      <c r="L878" s="5"/>
      <c r="M878" s="5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6.5" customHeight="1">
      <c r="A879" s="2"/>
      <c r="B879" s="2"/>
      <c r="C879" s="2"/>
      <c r="D879" s="2"/>
      <c r="E879" s="2"/>
      <c r="F879" s="2"/>
      <c r="G879" s="2"/>
      <c r="H879" s="4"/>
      <c r="I879" s="4"/>
      <c r="J879" s="4"/>
      <c r="K879" s="4"/>
      <c r="L879" s="5"/>
      <c r="M879" s="5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6.5" customHeight="1">
      <c r="A880" s="2"/>
      <c r="B880" s="2"/>
      <c r="C880" s="2"/>
      <c r="D880" s="2"/>
      <c r="E880" s="2"/>
      <c r="F880" s="2"/>
      <c r="G880" s="2"/>
      <c r="H880" s="4"/>
      <c r="I880" s="4"/>
      <c r="J880" s="4"/>
      <c r="K880" s="4"/>
      <c r="L880" s="5"/>
      <c r="M880" s="5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6.5" customHeight="1">
      <c r="A881" s="2"/>
      <c r="B881" s="2"/>
      <c r="C881" s="2"/>
      <c r="D881" s="2"/>
      <c r="E881" s="2"/>
      <c r="F881" s="2"/>
      <c r="G881" s="2"/>
      <c r="H881" s="4"/>
      <c r="I881" s="4"/>
      <c r="J881" s="4"/>
      <c r="K881" s="4"/>
      <c r="L881" s="5"/>
      <c r="M881" s="5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6.5" customHeight="1">
      <c r="A882" s="2"/>
      <c r="B882" s="2"/>
      <c r="C882" s="2"/>
      <c r="D882" s="2"/>
      <c r="E882" s="2"/>
      <c r="F882" s="2"/>
      <c r="G882" s="2"/>
      <c r="H882" s="4"/>
      <c r="I882" s="4"/>
      <c r="J882" s="4"/>
      <c r="K882" s="4"/>
      <c r="L882" s="5"/>
      <c r="M882" s="5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6.5" customHeight="1">
      <c r="A883" s="2"/>
      <c r="B883" s="2"/>
      <c r="C883" s="2"/>
      <c r="D883" s="2"/>
      <c r="E883" s="2"/>
      <c r="F883" s="2"/>
      <c r="G883" s="2"/>
      <c r="H883" s="4"/>
      <c r="I883" s="4"/>
      <c r="J883" s="4"/>
      <c r="K883" s="4"/>
      <c r="L883" s="5"/>
      <c r="M883" s="5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6.5" customHeight="1">
      <c r="A884" s="2"/>
      <c r="B884" s="2"/>
      <c r="C884" s="2"/>
      <c r="D884" s="2"/>
      <c r="E884" s="2"/>
      <c r="F884" s="2"/>
      <c r="G884" s="2"/>
      <c r="H884" s="4"/>
      <c r="I884" s="4"/>
      <c r="J884" s="4"/>
      <c r="K884" s="4"/>
      <c r="L884" s="5"/>
      <c r="M884" s="5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6.5" customHeight="1">
      <c r="A885" s="2"/>
      <c r="B885" s="2"/>
      <c r="C885" s="2"/>
      <c r="D885" s="2"/>
      <c r="E885" s="2"/>
      <c r="F885" s="2"/>
      <c r="G885" s="2"/>
      <c r="H885" s="4"/>
      <c r="I885" s="4"/>
      <c r="J885" s="4"/>
      <c r="K885" s="4"/>
      <c r="L885" s="5"/>
      <c r="M885" s="5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6.5" customHeight="1">
      <c r="A886" s="2"/>
      <c r="B886" s="2"/>
      <c r="C886" s="2"/>
      <c r="D886" s="2"/>
      <c r="E886" s="2"/>
      <c r="F886" s="2"/>
      <c r="G886" s="2"/>
      <c r="H886" s="4"/>
      <c r="I886" s="4"/>
      <c r="J886" s="4"/>
      <c r="K886" s="4"/>
      <c r="L886" s="5"/>
      <c r="M886" s="5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6.5" customHeight="1">
      <c r="A887" s="2"/>
      <c r="B887" s="2"/>
      <c r="C887" s="2"/>
      <c r="D887" s="2"/>
      <c r="E887" s="2"/>
      <c r="F887" s="2"/>
      <c r="G887" s="2"/>
      <c r="H887" s="4"/>
      <c r="I887" s="4"/>
      <c r="J887" s="4"/>
      <c r="K887" s="4"/>
      <c r="L887" s="5"/>
      <c r="M887" s="5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6.5" customHeight="1">
      <c r="A888" s="2"/>
      <c r="B888" s="2"/>
      <c r="C888" s="2"/>
      <c r="D888" s="2"/>
      <c r="E888" s="2"/>
      <c r="F888" s="2"/>
      <c r="G888" s="2"/>
      <c r="H888" s="4"/>
      <c r="I888" s="4"/>
      <c r="J888" s="4"/>
      <c r="K888" s="4"/>
      <c r="L888" s="5"/>
      <c r="M888" s="5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6.5" customHeight="1">
      <c r="A889" s="2"/>
      <c r="B889" s="2"/>
      <c r="C889" s="2"/>
      <c r="D889" s="2"/>
      <c r="E889" s="2"/>
      <c r="F889" s="2"/>
      <c r="G889" s="2"/>
      <c r="H889" s="4"/>
      <c r="I889" s="4"/>
      <c r="J889" s="4"/>
      <c r="K889" s="4"/>
      <c r="L889" s="5"/>
      <c r="M889" s="5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6.5" customHeight="1">
      <c r="A890" s="2"/>
      <c r="B890" s="2"/>
      <c r="C890" s="2"/>
      <c r="D890" s="2"/>
      <c r="E890" s="2"/>
      <c r="F890" s="2"/>
      <c r="G890" s="2"/>
      <c r="H890" s="4"/>
      <c r="I890" s="4"/>
      <c r="J890" s="4"/>
      <c r="K890" s="4"/>
      <c r="L890" s="5"/>
      <c r="M890" s="5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6.5" customHeight="1">
      <c r="A891" s="2"/>
      <c r="B891" s="2"/>
      <c r="C891" s="2"/>
      <c r="D891" s="2"/>
      <c r="E891" s="2"/>
      <c r="F891" s="2"/>
      <c r="G891" s="2"/>
      <c r="H891" s="4"/>
      <c r="I891" s="4"/>
      <c r="J891" s="4"/>
      <c r="K891" s="4"/>
      <c r="L891" s="5"/>
      <c r="M891" s="5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6.5" customHeight="1">
      <c r="A892" s="2"/>
      <c r="B892" s="2"/>
      <c r="C892" s="2"/>
      <c r="D892" s="2"/>
      <c r="E892" s="2"/>
      <c r="F892" s="2"/>
      <c r="G892" s="2"/>
      <c r="H892" s="4"/>
      <c r="I892" s="4"/>
      <c r="J892" s="4"/>
      <c r="K892" s="4"/>
      <c r="L892" s="5"/>
      <c r="M892" s="5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6.5" customHeight="1">
      <c r="A893" s="2"/>
      <c r="B893" s="2"/>
      <c r="C893" s="2"/>
      <c r="D893" s="2"/>
      <c r="E893" s="2"/>
      <c r="F893" s="2"/>
      <c r="G893" s="2"/>
      <c r="H893" s="4"/>
      <c r="I893" s="4"/>
      <c r="J893" s="4"/>
      <c r="K893" s="4"/>
      <c r="L893" s="5"/>
      <c r="M893" s="5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6.5" customHeight="1">
      <c r="A894" s="2"/>
      <c r="B894" s="2"/>
      <c r="C894" s="2"/>
      <c r="D894" s="2"/>
      <c r="E894" s="2"/>
      <c r="F894" s="2"/>
      <c r="G894" s="2"/>
      <c r="H894" s="4"/>
      <c r="I894" s="4"/>
      <c r="J894" s="4"/>
      <c r="K894" s="4"/>
      <c r="L894" s="5"/>
      <c r="M894" s="5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6.5" customHeight="1">
      <c r="A895" s="2"/>
      <c r="B895" s="2"/>
      <c r="C895" s="2"/>
      <c r="D895" s="2"/>
      <c r="E895" s="2"/>
      <c r="F895" s="2"/>
      <c r="G895" s="2"/>
      <c r="H895" s="4"/>
      <c r="I895" s="4"/>
      <c r="J895" s="4"/>
      <c r="K895" s="4"/>
      <c r="L895" s="5"/>
      <c r="M895" s="5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6.5" customHeight="1">
      <c r="A896" s="2"/>
      <c r="B896" s="2"/>
      <c r="C896" s="2"/>
      <c r="D896" s="2"/>
      <c r="E896" s="2"/>
      <c r="F896" s="2"/>
      <c r="G896" s="2"/>
      <c r="H896" s="4"/>
      <c r="I896" s="4"/>
      <c r="J896" s="4"/>
      <c r="K896" s="4"/>
      <c r="L896" s="5"/>
      <c r="M896" s="5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6.5" customHeight="1">
      <c r="A897" s="2"/>
      <c r="B897" s="2"/>
      <c r="C897" s="2"/>
      <c r="D897" s="2"/>
      <c r="E897" s="2"/>
      <c r="F897" s="2"/>
      <c r="G897" s="2"/>
      <c r="H897" s="4"/>
      <c r="I897" s="4"/>
      <c r="J897" s="4"/>
      <c r="K897" s="4"/>
      <c r="L897" s="5"/>
      <c r="M897" s="5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6.5" customHeight="1">
      <c r="A898" s="2"/>
      <c r="B898" s="2"/>
      <c r="C898" s="2"/>
      <c r="D898" s="2"/>
      <c r="E898" s="2"/>
      <c r="F898" s="2"/>
      <c r="G898" s="2"/>
      <c r="H898" s="4"/>
      <c r="I898" s="4"/>
      <c r="J898" s="4"/>
      <c r="K898" s="4"/>
      <c r="L898" s="5"/>
      <c r="M898" s="5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6.5" customHeight="1">
      <c r="A899" s="2"/>
      <c r="B899" s="2"/>
      <c r="C899" s="2"/>
      <c r="D899" s="2"/>
      <c r="E899" s="2"/>
      <c r="F899" s="2"/>
      <c r="G899" s="2"/>
      <c r="H899" s="4"/>
      <c r="I899" s="4"/>
      <c r="J899" s="4"/>
      <c r="K899" s="4"/>
      <c r="L899" s="5"/>
      <c r="M899" s="5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6.5" customHeight="1">
      <c r="A900" s="2"/>
      <c r="B900" s="2"/>
      <c r="C900" s="2"/>
      <c r="D900" s="2"/>
      <c r="E900" s="2"/>
      <c r="F900" s="2"/>
      <c r="G900" s="2"/>
      <c r="H900" s="4"/>
      <c r="I900" s="4"/>
      <c r="J900" s="4"/>
      <c r="K900" s="4"/>
      <c r="L900" s="5"/>
      <c r="M900" s="5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6.5" customHeight="1">
      <c r="A901" s="2"/>
      <c r="B901" s="2"/>
      <c r="C901" s="2"/>
      <c r="D901" s="2"/>
      <c r="E901" s="2"/>
      <c r="F901" s="2"/>
      <c r="G901" s="2"/>
      <c r="H901" s="4"/>
      <c r="I901" s="4"/>
      <c r="J901" s="4"/>
      <c r="K901" s="4"/>
      <c r="L901" s="5"/>
      <c r="M901" s="5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6.5" customHeight="1">
      <c r="A902" s="2"/>
      <c r="B902" s="2"/>
      <c r="C902" s="2"/>
      <c r="D902" s="2"/>
      <c r="E902" s="2"/>
      <c r="F902" s="2"/>
      <c r="G902" s="2"/>
      <c r="H902" s="4"/>
      <c r="I902" s="4"/>
      <c r="J902" s="4"/>
      <c r="K902" s="4"/>
      <c r="L902" s="5"/>
      <c r="M902" s="5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6.5" customHeight="1">
      <c r="A903" s="2"/>
      <c r="B903" s="2"/>
      <c r="C903" s="2"/>
      <c r="D903" s="2"/>
      <c r="E903" s="2"/>
      <c r="F903" s="2"/>
      <c r="G903" s="2"/>
      <c r="H903" s="4"/>
      <c r="I903" s="4"/>
      <c r="J903" s="4"/>
      <c r="K903" s="4"/>
      <c r="L903" s="5"/>
      <c r="M903" s="5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6.5" customHeight="1">
      <c r="A904" s="2"/>
      <c r="B904" s="2"/>
      <c r="C904" s="2"/>
      <c r="D904" s="2"/>
      <c r="E904" s="2"/>
      <c r="F904" s="2"/>
      <c r="G904" s="2"/>
      <c r="H904" s="4"/>
      <c r="I904" s="4"/>
      <c r="J904" s="4"/>
      <c r="K904" s="4"/>
      <c r="L904" s="5"/>
      <c r="M904" s="5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6.5" customHeight="1">
      <c r="A905" s="2"/>
      <c r="B905" s="2"/>
      <c r="C905" s="2"/>
      <c r="D905" s="2"/>
      <c r="E905" s="2"/>
      <c r="F905" s="2"/>
      <c r="G905" s="2"/>
      <c r="H905" s="4"/>
      <c r="I905" s="4"/>
      <c r="J905" s="4"/>
      <c r="K905" s="4"/>
      <c r="L905" s="5"/>
      <c r="M905" s="5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6.5" customHeight="1">
      <c r="A906" s="2"/>
      <c r="B906" s="2"/>
      <c r="C906" s="2"/>
      <c r="D906" s="2"/>
      <c r="E906" s="2"/>
      <c r="F906" s="2"/>
      <c r="G906" s="2"/>
      <c r="H906" s="4"/>
      <c r="I906" s="4"/>
      <c r="J906" s="4"/>
      <c r="K906" s="4"/>
      <c r="L906" s="5"/>
      <c r="M906" s="5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6.5" customHeight="1">
      <c r="A907" s="2"/>
      <c r="B907" s="2"/>
      <c r="C907" s="2"/>
      <c r="D907" s="2"/>
      <c r="E907" s="2"/>
      <c r="F907" s="2"/>
      <c r="G907" s="2"/>
      <c r="H907" s="4"/>
      <c r="I907" s="4"/>
      <c r="J907" s="4"/>
      <c r="K907" s="4"/>
      <c r="L907" s="5"/>
      <c r="M907" s="5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6.5" customHeight="1">
      <c r="A908" s="2"/>
      <c r="B908" s="2"/>
      <c r="C908" s="2"/>
      <c r="D908" s="2"/>
      <c r="E908" s="2"/>
      <c r="F908" s="2"/>
      <c r="G908" s="2"/>
      <c r="H908" s="4"/>
      <c r="I908" s="4"/>
      <c r="J908" s="4"/>
      <c r="K908" s="4"/>
      <c r="L908" s="5"/>
      <c r="M908" s="5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6.5" customHeight="1">
      <c r="A909" s="2"/>
      <c r="B909" s="2"/>
      <c r="C909" s="2"/>
      <c r="D909" s="2"/>
      <c r="E909" s="2"/>
      <c r="F909" s="2"/>
      <c r="G909" s="2"/>
      <c r="H909" s="4"/>
      <c r="I909" s="4"/>
      <c r="J909" s="4"/>
      <c r="K909" s="4"/>
      <c r="L909" s="5"/>
      <c r="M909" s="5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6.5" customHeight="1">
      <c r="A910" s="2"/>
      <c r="B910" s="2"/>
      <c r="C910" s="2"/>
      <c r="D910" s="2"/>
      <c r="E910" s="2"/>
      <c r="F910" s="2"/>
      <c r="G910" s="2"/>
      <c r="H910" s="4"/>
      <c r="I910" s="4"/>
      <c r="J910" s="4"/>
      <c r="K910" s="4"/>
      <c r="L910" s="5"/>
      <c r="M910" s="5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6.5" customHeight="1">
      <c r="A911" s="2"/>
      <c r="B911" s="2"/>
      <c r="C911" s="2"/>
      <c r="D911" s="2"/>
      <c r="E911" s="2"/>
      <c r="F911" s="2"/>
      <c r="G911" s="2"/>
      <c r="H911" s="4"/>
      <c r="I911" s="4"/>
      <c r="J911" s="4"/>
      <c r="K911" s="4"/>
      <c r="L911" s="5"/>
      <c r="M911" s="5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6.5" customHeight="1">
      <c r="A912" s="2"/>
      <c r="B912" s="2"/>
      <c r="C912" s="2"/>
      <c r="D912" s="2"/>
      <c r="E912" s="2"/>
      <c r="F912" s="2"/>
      <c r="G912" s="2"/>
      <c r="H912" s="4"/>
      <c r="I912" s="4"/>
      <c r="J912" s="4"/>
      <c r="K912" s="4"/>
      <c r="L912" s="5"/>
      <c r="M912" s="5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6.5" customHeight="1">
      <c r="A913" s="2"/>
      <c r="B913" s="2"/>
      <c r="C913" s="2"/>
      <c r="D913" s="2"/>
      <c r="E913" s="2"/>
      <c r="F913" s="2"/>
      <c r="G913" s="2"/>
      <c r="H913" s="4"/>
      <c r="I913" s="4"/>
      <c r="J913" s="4"/>
      <c r="K913" s="4"/>
      <c r="L913" s="5"/>
      <c r="M913" s="5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6.5" customHeight="1">
      <c r="A914" s="2"/>
      <c r="B914" s="2"/>
      <c r="C914" s="2"/>
      <c r="D914" s="2"/>
      <c r="E914" s="2"/>
      <c r="F914" s="2"/>
      <c r="G914" s="2"/>
      <c r="H914" s="4"/>
      <c r="I914" s="4"/>
      <c r="J914" s="4"/>
      <c r="K914" s="4"/>
      <c r="L914" s="5"/>
      <c r="M914" s="5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6.5" customHeight="1">
      <c r="A915" s="2"/>
      <c r="B915" s="2"/>
      <c r="C915" s="2"/>
      <c r="D915" s="2"/>
      <c r="E915" s="2"/>
      <c r="F915" s="2"/>
      <c r="G915" s="2"/>
      <c r="H915" s="4"/>
      <c r="I915" s="4"/>
      <c r="J915" s="4"/>
      <c r="K915" s="4"/>
      <c r="L915" s="5"/>
      <c r="M915" s="5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6.5" customHeight="1">
      <c r="A916" s="2"/>
      <c r="B916" s="2"/>
      <c r="C916" s="2"/>
      <c r="D916" s="2"/>
      <c r="E916" s="2"/>
      <c r="F916" s="2"/>
      <c r="G916" s="2"/>
      <c r="H916" s="4"/>
      <c r="I916" s="4"/>
      <c r="J916" s="4"/>
      <c r="K916" s="4"/>
      <c r="L916" s="5"/>
      <c r="M916" s="5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6.5" customHeight="1">
      <c r="A917" s="2"/>
      <c r="B917" s="2"/>
      <c r="C917" s="2"/>
      <c r="D917" s="2"/>
      <c r="E917" s="2"/>
      <c r="F917" s="2"/>
      <c r="G917" s="2"/>
      <c r="H917" s="4"/>
      <c r="I917" s="4"/>
      <c r="J917" s="4"/>
      <c r="K917" s="4"/>
      <c r="L917" s="5"/>
      <c r="M917" s="5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6.5" customHeight="1">
      <c r="A918" s="2"/>
      <c r="B918" s="2"/>
      <c r="C918" s="2"/>
      <c r="D918" s="2"/>
      <c r="E918" s="2"/>
      <c r="F918" s="2"/>
      <c r="G918" s="2"/>
      <c r="H918" s="4"/>
      <c r="I918" s="4"/>
      <c r="J918" s="4"/>
      <c r="K918" s="4"/>
      <c r="L918" s="5"/>
      <c r="M918" s="5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6.5" customHeight="1">
      <c r="A919" s="2"/>
      <c r="B919" s="2"/>
      <c r="C919" s="2"/>
      <c r="D919" s="2"/>
      <c r="E919" s="2"/>
      <c r="F919" s="2"/>
      <c r="G919" s="2"/>
      <c r="H919" s="4"/>
      <c r="I919" s="4"/>
      <c r="J919" s="4"/>
      <c r="K919" s="4"/>
      <c r="L919" s="5"/>
      <c r="M919" s="5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6.5" customHeight="1">
      <c r="A920" s="2"/>
      <c r="B920" s="2"/>
      <c r="C920" s="2"/>
      <c r="D920" s="2"/>
      <c r="E920" s="2"/>
      <c r="F920" s="2"/>
      <c r="G920" s="2"/>
      <c r="H920" s="4"/>
      <c r="I920" s="4"/>
      <c r="J920" s="4"/>
      <c r="K920" s="4"/>
      <c r="L920" s="5"/>
      <c r="M920" s="5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6.5" customHeight="1">
      <c r="A921" s="2"/>
      <c r="B921" s="2"/>
      <c r="C921" s="2"/>
      <c r="D921" s="2"/>
      <c r="E921" s="2"/>
      <c r="F921" s="2"/>
      <c r="G921" s="2"/>
      <c r="H921" s="4"/>
      <c r="I921" s="4"/>
      <c r="J921" s="4"/>
      <c r="K921" s="4"/>
      <c r="L921" s="5"/>
      <c r="M921" s="5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6.5" customHeight="1">
      <c r="A922" s="2"/>
      <c r="B922" s="2"/>
      <c r="C922" s="2"/>
      <c r="D922" s="2"/>
      <c r="E922" s="2"/>
      <c r="F922" s="2"/>
      <c r="G922" s="2"/>
      <c r="H922" s="4"/>
      <c r="I922" s="4"/>
      <c r="J922" s="4"/>
      <c r="K922" s="4"/>
      <c r="L922" s="5"/>
      <c r="M922" s="5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6.5" customHeight="1">
      <c r="A923" s="2"/>
      <c r="B923" s="2"/>
      <c r="C923" s="2"/>
      <c r="D923" s="2"/>
      <c r="E923" s="2"/>
      <c r="F923" s="2"/>
      <c r="G923" s="2"/>
      <c r="H923" s="4"/>
      <c r="I923" s="4"/>
      <c r="J923" s="4"/>
      <c r="K923" s="4"/>
      <c r="L923" s="5"/>
      <c r="M923" s="5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6.5" customHeight="1">
      <c r="A924" s="2"/>
      <c r="B924" s="2"/>
      <c r="C924" s="2"/>
      <c r="D924" s="2"/>
      <c r="E924" s="2"/>
      <c r="F924" s="2"/>
      <c r="G924" s="2"/>
      <c r="H924" s="4"/>
      <c r="I924" s="4"/>
      <c r="J924" s="4"/>
      <c r="K924" s="4"/>
      <c r="L924" s="5"/>
      <c r="M924" s="5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6.5" customHeight="1">
      <c r="A925" s="2"/>
      <c r="B925" s="2"/>
      <c r="C925" s="2"/>
      <c r="D925" s="2"/>
      <c r="E925" s="2"/>
      <c r="F925" s="2"/>
      <c r="G925" s="2"/>
      <c r="H925" s="4"/>
      <c r="I925" s="4"/>
      <c r="J925" s="4"/>
      <c r="K925" s="4"/>
      <c r="L925" s="5"/>
      <c r="M925" s="5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6.5" customHeight="1">
      <c r="A926" s="2"/>
      <c r="B926" s="2"/>
      <c r="C926" s="2"/>
      <c r="D926" s="2"/>
      <c r="E926" s="2"/>
      <c r="F926" s="2"/>
      <c r="G926" s="2"/>
      <c r="H926" s="4"/>
      <c r="I926" s="4"/>
      <c r="J926" s="4"/>
      <c r="K926" s="4"/>
      <c r="L926" s="5"/>
      <c r="M926" s="5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6.5" customHeight="1">
      <c r="A927" s="2"/>
      <c r="B927" s="2"/>
      <c r="C927" s="2"/>
      <c r="D927" s="2"/>
      <c r="E927" s="2"/>
      <c r="F927" s="2"/>
      <c r="G927" s="2"/>
      <c r="H927" s="4"/>
      <c r="I927" s="4"/>
      <c r="J927" s="4"/>
      <c r="K927" s="4"/>
      <c r="L927" s="5"/>
      <c r="M927" s="5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6.5" customHeight="1">
      <c r="A928" s="2"/>
      <c r="B928" s="2"/>
      <c r="C928" s="2"/>
      <c r="D928" s="2"/>
      <c r="E928" s="2"/>
      <c r="F928" s="2"/>
      <c r="G928" s="2"/>
      <c r="H928" s="4"/>
      <c r="I928" s="4"/>
      <c r="J928" s="4"/>
      <c r="K928" s="4"/>
      <c r="L928" s="5"/>
      <c r="M928" s="5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6.5" customHeight="1">
      <c r="A929" s="2"/>
      <c r="B929" s="2"/>
      <c r="C929" s="2"/>
      <c r="D929" s="2"/>
      <c r="E929" s="2"/>
      <c r="F929" s="2"/>
      <c r="G929" s="2"/>
      <c r="H929" s="4"/>
      <c r="I929" s="4"/>
      <c r="J929" s="4"/>
      <c r="K929" s="4"/>
      <c r="L929" s="5"/>
      <c r="M929" s="5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6.5" customHeight="1">
      <c r="A930" s="2"/>
      <c r="B930" s="2"/>
      <c r="C930" s="2"/>
      <c r="D930" s="2"/>
      <c r="E930" s="2"/>
      <c r="F930" s="2"/>
      <c r="G930" s="2"/>
      <c r="H930" s="4"/>
      <c r="I930" s="4"/>
      <c r="J930" s="4"/>
      <c r="K930" s="4"/>
      <c r="L930" s="5"/>
      <c r="M930" s="5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6.5" customHeight="1">
      <c r="A931" s="2"/>
      <c r="B931" s="2"/>
      <c r="C931" s="2"/>
      <c r="D931" s="2"/>
      <c r="E931" s="2"/>
      <c r="F931" s="2"/>
      <c r="G931" s="2"/>
      <c r="H931" s="4"/>
      <c r="I931" s="4"/>
      <c r="J931" s="4"/>
      <c r="K931" s="4"/>
      <c r="L931" s="5"/>
      <c r="M931" s="5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6.5" customHeight="1">
      <c r="A932" s="2"/>
      <c r="B932" s="2"/>
      <c r="C932" s="2"/>
      <c r="D932" s="2"/>
      <c r="E932" s="2"/>
      <c r="F932" s="2"/>
      <c r="G932" s="2"/>
      <c r="H932" s="4"/>
      <c r="I932" s="4"/>
      <c r="J932" s="4"/>
      <c r="K932" s="4"/>
      <c r="L932" s="5"/>
      <c r="M932" s="5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6.5" customHeight="1">
      <c r="A933" s="2"/>
      <c r="B933" s="2"/>
      <c r="C933" s="2"/>
      <c r="D933" s="2"/>
      <c r="E933" s="2"/>
      <c r="F933" s="2"/>
      <c r="G933" s="2"/>
      <c r="H933" s="4"/>
      <c r="I933" s="4"/>
      <c r="J933" s="4"/>
      <c r="K933" s="4"/>
      <c r="L933" s="5"/>
      <c r="M933" s="5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6.5" customHeight="1">
      <c r="A934" s="2"/>
      <c r="B934" s="2"/>
      <c r="C934" s="2"/>
      <c r="D934" s="2"/>
      <c r="E934" s="2"/>
      <c r="F934" s="2"/>
      <c r="G934" s="2"/>
      <c r="H934" s="4"/>
      <c r="I934" s="4"/>
      <c r="J934" s="4"/>
      <c r="K934" s="4"/>
      <c r="L934" s="5"/>
      <c r="M934" s="5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6.5" customHeight="1">
      <c r="A935" s="2"/>
      <c r="B935" s="2"/>
      <c r="C935" s="2"/>
      <c r="D935" s="2"/>
      <c r="E935" s="2"/>
      <c r="F935" s="2"/>
      <c r="G935" s="2"/>
      <c r="H935" s="4"/>
      <c r="I935" s="4"/>
      <c r="J935" s="4"/>
      <c r="K935" s="4"/>
      <c r="L935" s="5"/>
      <c r="M935" s="5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6.5" customHeight="1">
      <c r="A936" s="2"/>
      <c r="B936" s="2"/>
      <c r="C936" s="2"/>
      <c r="D936" s="2"/>
      <c r="E936" s="2"/>
      <c r="F936" s="2"/>
      <c r="G936" s="2"/>
      <c r="H936" s="4"/>
      <c r="I936" s="4"/>
      <c r="J936" s="4"/>
      <c r="K936" s="4"/>
      <c r="L936" s="5"/>
      <c r="M936" s="5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6.5" customHeight="1">
      <c r="A937" s="2"/>
      <c r="B937" s="2"/>
      <c r="C937" s="2"/>
      <c r="D937" s="2"/>
      <c r="E937" s="2"/>
      <c r="F937" s="2"/>
      <c r="G937" s="2"/>
      <c r="H937" s="4"/>
      <c r="I937" s="4"/>
      <c r="J937" s="4"/>
      <c r="K937" s="4"/>
      <c r="L937" s="5"/>
      <c r="M937" s="5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6.5" customHeight="1">
      <c r="A938" s="2"/>
      <c r="B938" s="2"/>
      <c r="C938" s="2"/>
      <c r="D938" s="2"/>
      <c r="E938" s="2"/>
      <c r="F938" s="2"/>
      <c r="G938" s="2"/>
      <c r="H938" s="4"/>
      <c r="I938" s="4"/>
      <c r="J938" s="4"/>
      <c r="K938" s="4"/>
      <c r="L938" s="5"/>
      <c r="M938" s="5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6.5" customHeight="1">
      <c r="A939" s="2"/>
      <c r="B939" s="2"/>
      <c r="C939" s="2"/>
      <c r="D939" s="2"/>
      <c r="E939" s="2"/>
      <c r="F939" s="2"/>
      <c r="G939" s="2"/>
      <c r="H939" s="4"/>
      <c r="I939" s="4"/>
      <c r="J939" s="4"/>
      <c r="K939" s="4"/>
      <c r="L939" s="5"/>
      <c r="M939" s="5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6.5" customHeight="1">
      <c r="A940" s="2"/>
      <c r="B940" s="2"/>
      <c r="C940" s="2"/>
      <c r="D940" s="2"/>
      <c r="E940" s="2"/>
      <c r="F940" s="2"/>
      <c r="G940" s="2"/>
      <c r="H940" s="4"/>
      <c r="I940" s="4"/>
      <c r="J940" s="4"/>
      <c r="K940" s="4"/>
      <c r="L940" s="5"/>
      <c r="M940" s="5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6.5" customHeight="1">
      <c r="A941" s="2"/>
      <c r="B941" s="2"/>
      <c r="C941" s="2"/>
      <c r="D941" s="2"/>
      <c r="E941" s="2"/>
      <c r="F941" s="2"/>
      <c r="G941" s="2"/>
      <c r="H941" s="4"/>
      <c r="I941" s="4"/>
      <c r="J941" s="4"/>
      <c r="K941" s="4"/>
      <c r="L941" s="5"/>
      <c r="M941" s="5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6.5" customHeight="1">
      <c r="A942" s="2"/>
      <c r="B942" s="2"/>
      <c r="C942" s="2"/>
      <c r="D942" s="2"/>
      <c r="E942" s="2"/>
      <c r="F942" s="2"/>
      <c r="G942" s="2"/>
      <c r="H942" s="4"/>
      <c r="I942" s="4"/>
      <c r="J942" s="4"/>
      <c r="K942" s="4"/>
      <c r="L942" s="5"/>
      <c r="M942" s="5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6.5" customHeight="1">
      <c r="A943" s="2"/>
      <c r="B943" s="2"/>
      <c r="C943" s="2"/>
      <c r="D943" s="2"/>
      <c r="E943" s="2"/>
      <c r="F943" s="2"/>
      <c r="G943" s="2"/>
      <c r="H943" s="4"/>
      <c r="I943" s="4"/>
      <c r="J943" s="4"/>
      <c r="K943" s="4"/>
      <c r="L943" s="5"/>
      <c r="M943" s="5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6.5" customHeight="1">
      <c r="A944" s="2"/>
      <c r="B944" s="2"/>
      <c r="C944" s="2"/>
      <c r="D944" s="2"/>
      <c r="E944" s="2"/>
      <c r="F944" s="2"/>
      <c r="G944" s="2"/>
      <c r="H944" s="4"/>
      <c r="I944" s="4"/>
      <c r="J944" s="4"/>
      <c r="K944" s="4"/>
      <c r="L944" s="5"/>
      <c r="M944" s="5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6.5" customHeight="1">
      <c r="A945" s="2"/>
      <c r="B945" s="2"/>
      <c r="C945" s="2"/>
      <c r="D945" s="2"/>
      <c r="E945" s="2"/>
      <c r="F945" s="2"/>
      <c r="G945" s="2"/>
      <c r="H945" s="4"/>
      <c r="I945" s="4"/>
      <c r="J945" s="4"/>
      <c r="K945" s="4"/>
      <c r="L945" s="5"/>
      <c r="M945" s="5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6.5" customHeight="1">
      <c r="A946" s="2"/>
      <c r="B946" s="2"/>
      <c r="C946" s="2"/>
      <c r="D946" s="2"/>
      <c r="E946" s="2"/>
      <c r="F946" s="2"/>
      <c r="G946" s="2"/>
      <c r="H946" s="4"/>
      <c r="I946" s="4"/>
      <c r="J946" s="4"/>
      <c r="K946" s="4"/>
      <c r="L946" s="5"/>
      <c r="M946" s="5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6.5" customHeight="1">
      <c r="A947" s="2"/>
      <c r="B947" s="2"/>
      <c r="C947" s="2"/>
      <c r="D947" s="2"/>
      <c r="E947" s="2"/>
      <c r="F947" s="2"/>
      <c r="G947" s="2"/>
      <c r="H947" s="4"/>
      <c r="I947" s="4"/>
      <c r="J947" s="4"/>
      <c r="K947" s="4"/>
      <c r="L947" s="5"/>
      <c r="M947" s="5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6.5" customHeight="1">
      <c r="A948" s="2"/>
      <c r="B948" s="2"/>
      <c r="C948" s="2"/>
      <c r="D948" s="2"/>
      <c r="E948" s="2"/>
      <c r="F948" s="2"/>
      <c r="G948" s="2"/>
      <c r="H948" s="4"/>
      <c r="I948" s="4"/>
      <c r="J948" s="4"/>
      <c r="K948" s="4"/>
      <c r="L948" s="5"/>
      <c r="M948" s="5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6.5" customHeight="1">
      <c r="A949" s="2"/>
      <c r="B949" s="2"/>
      <c r="C949" s="2"/>
      <c r="D949" s="2"/>
      <c r="E949" s="2"/>
      <c r="F949" s="2"/>
      <c r="G949" s="2"/>
      <c r="H949" s="4"/>
      <c r="I949" s="4"/>
      <c r="J949" s="4"/>
      <c r="K949" s="4"/>
      <c r="L949" s="5"/>
      <c r="M949" s="5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6.5" customHeight="1">
      <c r="A950" s="2"/>
      <c r="B950" s="2"/>
      <c r="C950" s="2"/>
      <c r="D950" s="2"/>
      <c r="E950" s="2"/>
      <c r="F950" s="2"/>
      <c r="G950" s="2"/>
      <c r="H950" s="4"/>
      <c r="I950" s="4"/>
      <c r="J950" s="4"/>
      <c r="K950" s="4"/>
      <c r="L950" s="5"/>
      <c r="M950" s="5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6.5" customHeight="1">
      <c r="A951" s="2"/>
      <c r="B951" s="2"/>
      <c r="C951" s="2"/>
      <c r="D951" s="2"/>
      <c r="E951" s="2"/>
      <c r="F951" s="2"/>
      <c r="G951" s="2"/>
      <c r="H951" s="4"/>
      <c r="I951" s="4"/>
      <c r="J951" s="4"/>
      <c r="K951" s="4"/>
      <c r="L951" s="5"/>
      <c r="M951" s="5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6.5" customHeight="1">
      <c r="A952" s="2"/>
      <c r="B952" s="2"/>
      <c r="C952" s="2"/>
      <c r="D952" s="2"/>
      <c r="E952" s="2"/>
      <c r="F952" s="2"/>
      <c r="G952" s="2"/>
      <c r="H952" s="4"/>
      <c r="I952" s="4"/>
      <c r="J952" s="4"/>
      <c r="K952" s="4"/>
      <c r="L952" s="5"/>
      <c r="M952" s="5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6.5" customHeight="1">
      <c r="A953" s="2"/>
      <c r="B953" s="2"/>
      <c r="C953" s="2"/>
      <c r="D953" s="2"/>
      <c r="E953" s="2"/>
      <c r="F953" s="2"/>
      <c r="G953" s="2"/>
      <c r="H953" s="4"/>
      <c r="I953" s="4"/>
      <c r="J953" s="4"/>
      <c r="K953" s="4"/>
      <c r="L953" s="5"/>
      <c r="M953" s="5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6.5" customHeight="1">
      <c r="A954" s="2"/>
      <c r="B954" s="2"/>
      <c r="C954" s="2"/>
      <c r="D954" s="2"/>
      <c r="E954" s="2"/>
      <c r="F954" s="2"/>
      <c r="G954" s="2"/>
      <c r="H954" s="4"/>
      <c r="I954" s="4"/>
      <c r="J954" s="4"/>
      <c r="K954" s="4"/>
      <c r="L954" s="5"/>
      <c r="M954" s="5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6.5" customHeight="1">
      <c r="A955" s="2"/>
      <c r="B955" s="2"/>
      <c r="C955" s="2"/>
      <c r="D955" s="2"/>
      <c r="E955" s="2"/>
      <c r="F955" s="2"/>
      <c r="G955" s="2"/>
      <c r="H955" s="4"/>
      <c r="I955" s="4"/>
      <c r="J955" s="4"/>
      <c r="K955" s="4"/>
      <c r="L955" s="5"/>
      <c r="M955" s="5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6.5" customHeight="1">
      <c r="A956" s="2"/>
      <c r="B956" s="2"/>
      <c r="C956" s="2"/>
      <c r="D956" s="2"/>
      <c r="E956" s="2"/>
      <c r="F956" s="2"/>
      <c r="G956" s="2"/>
      <c r="H956" s="4"/>
      <c r="I956" s="4"/>
      <c r="J956" s="4"/>
      <c r="K956" s="4"/>
      <c r="L956" s="5"/>
      <c r="M956" s="5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6.5" customHeight="1">
      <c r="A957" s="2"/>
      <c r="B957" s="2"/>
      <c r="C957" s="2"/>
      <c r="D957" s="2"/>
      <c r="E957" s="2"/>
      <c r="F957" s="2"/>
      <c r="G957" s="2"/>
      <c r="H957" s="4"/>
      <c r="I957" s="4"/>
      <c r="J957" s="4"/>
      <c r="K957" s="4"/>
      <c r="L957" s="5"/>
      <c r="M957" s="5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6.5" customHeight="1">
      <c r="A958" s="2"/>
      <c r="B958" s="2"/>
      <c r="C958" s="2"/>
      <c r="D958" s="2"/>
      <c r="E958" s="2"/>
      <c r="F958" s="2"/>
      <c r="G958" s="2"/>
      <c r="H958" s="4"/>
      <c r="I958" s="4"/>
      <c r="J958" s="4"/>
      <c r="K958" s="4"/>
      <c r="L958" s="5"/>
      <c r="M958" s="5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6.5" customHeight="1">
      <c r="A959" s="2"/>
      <c r="B959" s="2"/>
      <c r="C959" s="2"/>
      <c r="D959" s="2"/>
      <c r="E959" s="2"/>
      <c r="F959" s="2"/>
      <c r="G959" s="2"/>
      <c r="H959" s="4"/>
      <c r="I959" s="4"/>
      <c r="J959" s="4"/>
      <c r="K959" s="4"/>
      <c r="L959" s="5"/>
      <c r="M959" s="5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6.5" customHeight="1">
      <c r="A960" s="2"/>
      <c r="B960" s="2"/>
      <c r="C960" s="2"/>
      <c r="D960" s="2"/>
      <c r="E960" s="2"/>
      <c r="F960" s="2"/>
      <c r="G960" s="2"/>
      <c r="H960" s="4"/>
      <c r="I960" s="4"/>
      <c r="J960" s="4"/>
      <c r="K960" s="4"/>
      <c r="L960" s="5"/>
      <c r="M960" s="5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6.5" customHeight="1">
      <c r="A961" s="2"/>
      <c r="B961" s="2"/>
      <c r="C961" s="2"/>
      <c r="D961" s="2"/>
      <c r="E961" s="2"/>
      <c r="F961" s="2"/>
      <c r="G961" s="2"/>
      <c r="H961" s="4"/>
      <c r="I961" s="4"/>
      <c r="J961" s="4"/>
      <c r="K961" s="4"/>
      <c r="L961" s="5"/>
      <c r="M961" s="5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6.5" customHeight="1">
      <c r="A962" s="2"/>
      <c r="B962" s="2"/>
      <c r="C962" s="2"/>
      <c r="D962" s="2"/>
      <c r="E962" s="2"/>
      <c r="F962" s="2"/>
      <c r="G962" s="2"/>
      <c r="H962" s="4"/>
      <c r="I962" s="4"/>
      <c r="J962" s="4"/>
      <c r="K962" s="4"/>
      <c r="L962" s="5"/>
      <c r="M962" s="5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6.5" customHeight="1">
      <c r="A963" s="2"/>
      <c r="B963" s="2"/>
      <c r="C963" s="2"/>
      <c r="D963" s="2"/>
      <c r="E963" s="2"/>
      <c r="F963" s="2"/>
      <c r="G963" s="2"/>
      <c r="H963" s="4"/>
      <c r="I963" s="4"/>
      <c r="J963" s="4"/>
      <c r="K963" s="4"/>
      <c r="L963" s="5"/>
      <c r="M963" s="5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6.5" customHeight="1">
      <c r="A964" s="2"/>
      <c r="B964" s="2"/>
      <c r="C964" s="2"/>
      <c r="D964" s="2"/>
      <c r="E964" s="2"/>
      <c r="F964" s="2"/>
      <c r="G964" s="2"/>
      <c r="H964" s="4"/>
      <c r="I964" s="4"/>
      <c r="J964" s="4"/>
      <c r="K964" s="4"/>
      <c r="L964" s="5"/>
      <c r="M964" s="5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6.5" customHeight="1">
      <c r="A965" s="2"/>
      <c r="B965" s="2"/>
      <c r="C965" s="2"/>
      <c r="D965" s="2"/>
      <c r="E965" s="2"/>
      <c r="F965" s="2"/>
      <c r="G965" s="2"/>
      <c r="H965" s="4"/>
      <c r="I965" s="4"/>
      <c r="J965" s="4"/>
      <c r="K965" s="4"/>
      <c r="L965" s="5"/>
      <c r="M965" s="5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6.5" customHeight="1">
      <c r="A966" s="2"/>
      <c r="B966" s="2"/>
      <c r="C966" s="2"/>
      <c r="D966" s="2"/>
      <c r="E966" s="2"/>
      <c r="F966" s="2"/>
      <c r="G966" s="2"/>
      <c r="H966" s="4"/>
      <c r="I966" s="4"/>
      <c r="J966" s="4"/>
      <c r="K966" s="4"/>
      <c r="L966" s="5"/>
      <c r="M966" s="5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6.5" customHeight="1">
      <c r="A967" s="2"/>
      <c r="B967" s="2"/>
      <c r="C967" s="2"/>
      <c r="D967" s="2"/>
      <c r="E967" s="2"/>
      <c r="F967" s="2"/>
      <c r="G967" s="2"/>
      <c r="H967" s="4"/>
      <c r="I967" s="4"/>
      <c r="J967" s="4"/>
      <c r="K967" s="4"/>
      <c r="L967" s="5"/>
      <c r="M967" s="5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6.5" customHeight="1">
      <c r="A968" s="2"/>
      <c r="B968" s="2"/>
      <c r="C968" s="2"/>
      <c r="D968" s="2"/>
      <c r="E968" s="2"/>
      <c r="F968" s="2"/>
      <c r="G968" s="2"/>
      <c r="H968" s="4"/>
      <c r="I968" s="4"/>
      <c r="J968" s="4"/>
      <c r="K968" s="4"/>
      <c r="L968" s="5"/>
      <c r="M968" s="5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6.5" customHeight="1">
      <c r="A969" s="2"/>
      <c r="B969" s="2"/>
      <c r="C969" s="2"/>
      <c r="D969" s="2"/>
      <c r="E969" s="2"/>
      <c r="F969" s="2"/>
      <c r="G969" s="2"/>
      <c r="H969" s="4"/>
      <c r="I969" s="4"/>
      <c r="J969" s="4"/>
      <c r="K969" s="4"/>
      <c r="L969" s="5"/>
      <c r="M969" s="5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6.5" customHeight="1">
      <c r="A970" s="2"/>
      <c r="B970" s="2"/>
      <c r="C970" s="2"/>
      <c r="D970" s="2"/>
      <c r="E970" s="2"/>
      <c r="F970" s="2"/>
      <c r="G970" s="2"/>
      <c r="H970" s="4"/>
      <c r="I970" s="4"/>
      <c r="J970" s="4"/>
      <c r="K970" s="4"/>
      <c r="L970" s="5"/>
      <c r="M970" s="5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6.5" customHeight="1">
      <c r="A971" s="2"/>
      <c r="B971" s="2"/>
      <c r="C971" s="2"/>
      <c r="D971" s="2"/>
      <c r="E971" s="2"/>
      <c r="F971" s="2"/>
      <c r="G971" s="2"/>
      <c r="H971" s="4"/>
      <c r="I971" s="4"/>
      <c r="J971" s="4"/>
      <c r="K971" s="4"/>
      <c r="L971" s="5"/>
      <c r="M971" s="5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6.5" customHeight="1">
      <c r="A972" s="2"/>
      <c r="B972" s="2"/>
      <c r="C972" s="2"/>
      <c r="D972" s="2"/>
      <c r="E972" s="2"/>
      <c r="F972" s="2"/>
      <c r="G972" s="2"/>
      <c r="H972" s="4"/>
      <c r="I972" s="4"/>
      <c r="J972" s="4"/>
      <c r="K972" s="4"/>
      <c r="L972" s="5"/>
      <c r="M972" s="5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6.5" customHeight="1">
      <c r="A973" s="2"/>
      <c r="B973" s="2"/>
      <c r="C973" s="2"/>
      <c r="D973" s="2"/>
      <c r="E973" s="2"/>
      <c r="F973" s="2"/>
      <c r="G973" s="2"/>
      <c r="H973" s="4"/>
      <c r="I973" s="4"/>
      <c r="J973" s="4"/>
      <c r="K973" s="4"/>
      <c r="L973" s="5"/>
      <c r="M973" s="5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6.5" customHeight="1">
      <c r="A974" s="2"/>
      <c r="B974" s="2"/>
      <c r="C974" s="2"/>
      <c r="D974" s="2"/>
      <c r="E974" s="2"/>
      <c r="F974" s="2"/>
      <c r="G974" s="2"/>
      <c r="H974" s="4"/>
      <c r="I974" s="4"/>
      <c r="J974" s="4"/>
      <c r="K974" s="4"/>
      <c r="L974" s="5"/>
      <c r="M974" s="5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6.5" customHeight="1">
      <c r="A975" s="2"/>
      <c r="B975" s="2"/>
      <c r="C975" s="2"/>
      <c r="D975" s="2"/>
      <c r="E975" s="2"/>
      <c r="F975" s="2"/>
      <c r="G975" s="2"/>
      <c r="H975" s="4"/>
      <c r="I975" s="4"/>
      <c r="J975" s="4"/>
      <c r="K975" s="4"/>
      <c r="L975" s="5"/>
      <c r="M975" s="5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6.5" customHeight="1">
      <c r="A976" s="2"/>
      <c r="B976" s="2"/>
      <c r="C976" s="2"/>
      <c r="D976" s="2"/>
      <c r="E976" s="2"/>
      <c r="F976" s="2"/>
      <c r="G976" s="2"/>
      <c r="H976" s="4"/>
      <c r="I976" s="4"/>
      <c r="J976" s="4"/>
      <c r="K976" s="4"/>
      <c r="L976" s="5"/>
      <c r="M976" s="5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6.5" customHeight="1">
      <c r="A977" s="2"/>
      <c r="B977" s="2"/>
      <c r="C977" s="2"/>
      <c r="D977" s="2"/>
      <c r="E977" s="2"/>
      <c r="F977" s="2"/>
      <c r="G977" s="2"/>
      <c r="H977" s="4"/>
      <c r="I977" s="4"/>
      <c r="J977" s="4"/>
      <c r="K977" s="4"/>
      <c r="L977" s="5"/>
      <c r="M977" s="5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6.5" customHeight="1">
      <c r="A978" s="2"/>
      <c r="B978" s="2"/>
      <c r="C978" s="2"/>
      <c r="D978" s="2"/>
      <c r="E978" s="2"/>
      <c r="F978" s="2"/>
      <c r="G978" s="2"/>
      <c r="H978" s="4"/>
      <c r="I978" s="4"/>
      <c r="J978" s="4"/>
      <c r="K978" s="4"/>
      <c r="L978" s="5"/>
      <c r="M978" s="5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6.5" customHeight="1">
      <c r="A979" s="2"/>
      <c r="B979" s="2"/>
      <c r="C979" s="2"/>
      <c r="D979" s="2"/>
      <c r="E979" s="2"/>
      <c r="F979" s="2"/>
      <c r="G979" s="2"/>
      <c r="H979" s="4"/>
      <c r="I979" s="4"/>
      <c r="J979" s="4"/>
      <c r="K979" s="4"/>
      <c r="L979" s="5"/>
      <c r="M979" s="5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6.5" customHeight="1">
      <c r="A980" s="2"/>
      <c r="B980" s="2"/>
      <c r="C980" s="2"/>
      <c r="D980" s="2"/>
      <c r="E980" s="2"/>
      <c r="F980" s="2"/>
      <c r="G980" s="2"/>
      <c r="H980" s="4"/>
      <c r="I980" s="4"/>
      <c r="J980" s="4"/>
      <c r="K980" s="4"/>
      <c r="L980" s="5"/>
      <c r="M980" s="5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6.5" customHeight="1">
      <c r="A981" s="2"/>
      <c r="B981" s="2"/>
      <c r="C981" s="2"/>
      <c r="D981" s="2"/>
      <c r="E981" s="2"/>
      <c r="F981" s="2"/>
      <c r="G981" s="2"/>
      <c r="H981" s="4"/>
      <c r="I981" s="4"/>
      <c r="J981" s="4"/>
      <c r="K981" s="4"/>
      <c r="L981" s="5"/>
      <c r="M981" s="5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6.5" customHeight="1">
      <c r="A982" s="2"/>
      <c r="B982" s="2"/>
      <c r="C982" s="2"/>
      <c r="D982" s="2"/>
      <c r="E982" s="2"/>
      <c r="F982" s="2"/>
      <c r="G982" s="2"/>
      <c r="H982" s="4"/>
      <c r="I982" s="4"/>
      <c r="J982" s="4"/>
      <c r="K982" s="4"/>
      <c r="L982" s="5"/>
      <c r="M982" s="5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6.5" customHeight="1">
      <c r="A983" s="2"/>
      <c r="B983" s="2"/>
      <c r="C983" s="2"/>
      <c r="D983" s="2"/>
      <c r="E983" s="2"/>
      <c r="F983" s="2"/>
      <c r="G983" s="2"/>
      <c r="H983" s="4"/>
      <c r="I983" s="4"/>
      <c r="J983" s="4"/>
      <c r="K983" s="4"/>
      <c r="L983" s="5"/>
      <c r="M983" s="5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6.5" customHeight="1">
      <c r="A984" s="2"/>
      <c r="B984" s="2"/>
      <c r="C984" s="2"/>
      <c r="D984" s="2"/>
      <c r="E984" s="2"/>
      <c r="F984" s="2"/>
      <c r="G984" s="2"/>
      <c r="H984" s="4"/>
      <c r="I984" s="4"/>
      <c r="J984" s="4"/>
      <c r="K984" s="4"/>
      <c r="L984" s="5"/>
      <c r="M984" s="5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6.5" customHeight="1">
      <c r="A985" s="2"/>
      <c r="B985" s="2"/>
      <c r="C985" s="2"/>
      <c r="D985" s="2"/>
      <c r="E985" s="2"/>
      <c r="F985" s="2"/>
      <c r="G985" s="2"/>
      <c r="H985" s="4"/>
      <c r="I985" s="4"/>
      <c r="J985" s="4"/>
      <c r="K985" s="4"/>
      <c r="L985" s="5"/>
      <c r="M985" s="5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6.5" customHeight="1">
      <c r="A986" s="2"/>
      <c r="B986" s="2"/>
      <c r="C986" s="2"/>
      <c r="D986" s="2"/>
      <c r="E986" s="2"/>
      <c r="F986" s="2"/>
      <c r="G986" s="2"/>
      <c r="H986" s="4"/>
      <c r="I986" s="4"/>
      <c r="J986" s="4"/>
      <c r="K986" s="4"/>
      <c r="L986" s="5"/>
      <c r="M986" s="5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6.5" customHeight="1">
      <c r="A987" s="2"/>
      <c r="B987" s="2"/>
      <c r="C987" s="2"/>
      <c r="D987" s="2"/>
      <c r="E987" s="2"/>
      <c r="F987" s="2"/>
      <c r="G987" s="2"/>
      <c r="H987" s="4"/>
      <c r="I987" s="4"/>
      <c r="J987" s="4"/>
      <c r="K987" s="4"/>
      <c r="L987" s="5"/>
      <c r="M987" s="5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6.5" customHeight="1">
      <c r="A988" s="2"/>
      <c r="B988" s="2"/>
      <c r="C988" s="2"/>
      <c r="D988" s="2"/>
      <c r="E988" s="2"/>
      <c r="F988" s="2"/>
      <c r="G988" s="2"/>
      <c r="H988" s="4"/>
      <c r="I988" s="4"/>
      <c r="J988" s="4"/>
      <c r="K988" s="4"/>
      <c r="L988" s="5"/>
      <c r="M988" s="5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6.5" customHeight="1">
      <c r="A989" s="2"/>
      <c r="B989" s="2"/>
      <c r="C989" s="2"/>
      <c r="D989" s="2"/>
      <c r="E989" s="2"/>
      <c r="F989" s="2"/>
      <c r="G989" s="2"/>
      <c r="H989" s="4"/>
      <c r="I989" s="4"/>
      <c r="J989" s="4"/>
      <c r="K989" s="4"/>
      <c r="L989" s="5"/>
      <c r="M989" s="5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6.5" customHeight="1">
      <c r="A990" s="2"/>
      <c r="B990" s="2"/>
      <c r="C990" s="2"/>
      <c r="D990" s="2"/>
      <c r="E990" s="2"/>
      <c r="F990" s="2"/>
      <c r="G990" s="2"/>
      <c r="H990" s="4"/>
      <c r="I990" s="4"/>
      <c r="J990" s="4"/>
      <c r="K990" s="4"/>
      <c r="L990" s="5"/>
      <c r="M990" s="5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6.5" customHeight="1">
      <c r="A991" s="2"/>
      <c r="B991" s="2"/>
      <c r="C991" s="2"/>
      <c r="D991" s="2"/>
      <c r="E991" s="2"/>
      <c r="F991" s="2"/>
      <c r="G991" s="2"/>
      <c r="H991" s="4"/>
      <c r="I991" s="4"/>
      <c r="J991" s="4"/>
      <c r="K991" s="4"/>
      <c r="L991" s="5"/>
      <c r="M991" s="5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6.5" customHeight="1">
      <c r="A992" s="2"/>
      <c r="B992" s="2"/>
      <c r="C992" s="2"/>
      <c r="D992" s="2"/>
      <c r="E992" s="2"/>
      <c r="F992" s="2"/>
      <c r="G992" s="2"/>
      <c r="H992" s="4"/>
      <c r="I992" s="4"/>
      <c r="J992" s="4"/>
      <c r="K992" s="4"/>
      <c r="L992" s="5"/>
      <c r="M992" s="5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6.5" customHeight="1">
      <c r="A993" s="2"/>
      <c r="B993" s="2"/>
      <c r="C993" s="2"/>
      <c r="D993" s="2"/>
      <c r="E993" s="2"/>
      <c r="F993" s="2"/>
      <c r="G993" s="2"/>
      <c r="H993" s="4"/>
      <c r="I993" s="4"/>
      <c r="J993" s="4"/>
      <c r="K993" s="4"/>
      <c r="L993" s="5"/>
      <c r="M993" s="5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6.5" customHeight="1">
      <c r="A994" s="2"/>
      <c r="B994" s="2"/>
      <c r="C994" s="2"/>
      <c r="D994" s="2"/>
      <c r="E994" s="2"/>
      <c r="F994" s="2"/>
      <c r="G994" s="2"/>
      <c r="H994" s="4"/>
      <c r="I994" s="4"/>
      <c r="J994" s="4"/>
      <c r="K994" s="4"/>
      <c r="L994" s="5"/>
      <c r="M994" s="5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6.5" customHeight="1">
      <c r="A995" s="2"/>
      <c r="B995" s="2"/>
      <c r="C995" s="2"/>
      <c r="D995" s="2"/>
      <c r="E995" s="2"/>
      <c r="F995" s="2"/>
      <c r="G995" s="2"/>
      <c r="H995" s="4"/>
      <c r="I995" s="4"/>
      <c r="J995" s="4"/>
      <c r="K995" s="4"/>
      <c r="L995" s="5"/>
      <c r="M995" s="5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6.5" customHeight="1">
      <c r="A996" s="2"/>
      <c r="B996" s="2"/>
      <c r="C996" s="2"/>
      <c r="D996" s="2"/>
      <c r="E996" s="2"/>
      <c r="F996" s="2"/>
      <c r="G996" s="2"/>
      <c r="H996" s="4"/>
      <c r="I996" s="4"/>
      <c r="J996" s="4"/>
      <c r="K996" s="4"/>
      <c r="L996" s="5"/>
      <c r="M996" s="5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6.5" customHeight="1">
      <c r="A997" s="2"/>
      <c r="B997" s="2"/>
      <c r="C997" s="2"/>
      <c r="D997" s="2"/>
      <c r="E997" s="2"/>
      <c r="F997" s="2"/>
      <c r="G997" s="2"/>
      <c r="H997" s="4"/>
      <c r="I997" s="4"/>
      <c r="J997" s="4"/>
      <c r="K997" s="4"/>
      <c r="L997" s="5"/>
      <c r="M997" s="5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6.5" customHeight="1">
      <c r="A998" s="2"/>
      <c r="B998" s="2"/>
      <c r="C998" s="2"/>
      <c r="D998" s="2"/>
      <c r="E998" s="2"/>
      <c r="F998" s="2"/>
      <c r="G998" s="2"/>
      <c r="H998" s="4"/>
      <c r="I998" s="4"/>
      <c r="J998" s="4"/>
      <c r="K998" s="4"/>
      <c r="L998" s="5"/>
      <c r="M998" s="5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16.5" customHeight="1">
      <c r="A999" s="2"/>
      <c r="B999" s="2"/>
      <c r="C999" s="2"/>
      <c r="D999" s="2"/>
      <c r="E999" s="2"/>
      <c r="F999" s="2"/>
      <c r="G999" s="2"/>
      <c r="H999" s="4"/>
      <c r="I999" s="4"/>
      <c r="J999" s="4"/>
      <c r="K999" s="4"/>
      <c r="L999" s="5"/>
      <c r="M999" s="5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16.5" customHeight="1">
      <c r="A1000" s="2"/>
      <c r="B1000" s="2"/>
      <c r="C1000" s="2"/>
      <c r="D1000" s="2"/>
      <c r="E1000" s="2"/>
      <c r="F1000" s="2"/>
      <c r="G1000" s="2"/>
      <c r="H1000" s="4"/>
      <c r="I1000" s="4"/>
      <c r="J1000" s="4"/>
      <c r="K1000" s="4"/>
      <c r="L1000" s="5"/>
      <c r="M1000" s="5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hyperlinks>
    <hyperlink r:id="rId1" ref="AD2"/>
    <hyperlink r:id="rId2" ref="AE3"/>
    <hyperlink r:id="rId3" ref="AE4"/>
    <hyperlink r:id="rId4" ref="AD5"/>
    <hyperlink r:id="rId5" ref="AE5"/>
    <hyperlink r:id="rId6" ref="AE6"/>
    <hyperlink r:id="rId7" ref="AE7"/>
    <hyperlink r:id="rId8" ref="AE8"/>
    <hyperlink r:id="rId9" ref="AE9"/>
    <hyperlink r:id="rId10" ref="AE10"/>
    <hyperlink r:id="rId11" ref="AD12"/>
    <hyperlink r:id="rId12" ref="AE13"/>
    <hyperlink r:id="rId13" ref="AE14"/>
    <hyperlink r:id="rId14" ref="AD15"/>
    <hyperlink r:id="rId15" ref="AE15"/>
    <hyperlink r:id="rId16" ref="AD16"/>
    <hyperlink r:id="rId17" ref="AD17"/>
    <hyperlink r:id="rId18" ref="AE17"/>
    <hyperlink r:id="rId19" ref="AD18"/>
    <hyperlink r:id="rId20" ref="AE18"/>
    <hyperlink r:id="rId21" ref="AD19"/>
    <hyperlink r:id="rId22" ref="AE19"/>
    <hyperlink r:id="rId23" ref="AD20"/>
    <hyperlink r:id="rId24" ref="AD21"/>
    <hyperlink r:id="rId25" ref="AE21"/>
    <hyperlink r:id="rId26" ref="AD22"/>
    <hyperlink r:id="rId27" ref="AE22"/>
    <hyperlink r:id="rId28" ref="AD23"/>
    <hyperlink r:id="rId29" ref="AD24"/>
    <hyperlink r:id="rId30" ref="AE24"/>
    <hyperlink r:id="rId31" ref="AD25"/>
    <hyperlink r:id="rId32" ref="AE25"/>
    <hyperlink r:id="rId33" ref="AD26"/>
    <hyperlink r:id="rId34" ref="AE26"/>
    <hyperlink r:id="rId35" ref="AD30"/>
    <hyperlink r:id="rId36" ref="AE30"/>
    <hyperlink r:id="rId37" ref="AE31"/>
    <hyperlink r:id="rId38" ref="AE32"/>
    <hyperlink r:id="rId39" ref="AE33"/>
    <hyperlink r:id="rId40" ref="AD34"/>
    <hyperlink r:id="rId41" ref="AE34"/>
    <hyperlink r:id="rId42" ref="AD35"/>
    <hyperlink r:id="rId43" ref="AE35"/>
    <hyperlink r:id="rId44" ref="AD36"/>
    <hyperlink r:id="rId45" ref="AE36"/>
    <hyperlink r:id="rId46" ref="AD37"/>
    <hyperlink r:id="rId47" ref="AE37"/>
    <hyperlink r:id="rId48" ref="AD38"/>
    <hyperlink r:id="rId49" ref="AE38"/>
    <hyperlink r:id="rId50" ref="AD39"/>
    <hyperlink r:id="rId51" ref="AE39"/>
    <hyperlink r:id="rId52" ref="AD40"/>
    <hyperlink r:id="rId53" ref="AD41"/>
    <hyperlink r:id="rId54" ref="AE41"/>
    <hyperlink r:id="rId55" ref="AE42"/>
    <hyperlink r:id="rId56" ref="AE43"/>
    <hyperlink r:id="rId57" ref="AD44"/>
    <hyperlink r:id="rId58" ref="AE44"/>
    <hyperlink r:id="rId59" ref="AD45"/>
    <hyperlink r:id="rId60" ref="AE46"/>
    <hyperlink r:id="rId61" ref="AE47"/>
    <hyperlink r:id="rId62" ref="AE48"/>
    <hyperlink r:id="rId63" ref="AE49"/>
    <hyperlink r:id="rId64" ref="AD50"/>
    <hyperlink r:id="rId65" ref="AE50"/>
    <hyperlink r:id="rId66" ref="AD51"/>
    <hyperlink r:id="rId67" ref="AE51"/>
    <hyperlink r:id="rId68" ref="AE52"/>
    <hyperlink r:id="rId69" ref="AE53"/>
    <hyperlink r:id="rId70" ref="AD54"/>
    <hyperlink r:id="rId71" ref="AE54"/>
    <hyperlink r:id="rId72" ref="AD55"/>
    <hyperlink r:id="rId73" ref="AE55"/>
    <hyperlink r:id="rId74" ref="AD56"/>
    <hyperlink r:id="rId75" ref="AE56"/>
    <hyperlink r:id="rId76" ref="AE57"/>
    <hyperlink r:id="rId77" ref="AD58"/>
    <hyperlink r:id="rId78" ref="AE58"/>
    <hyperlink r:id="rId79" ref="AE59"/>
    <hyperlink r:id="rId80" ref="AD60"/>
    <hyperlink r:id="rId81" ref="AE60"/>
    <hyperlink r:id="rId82" ref="AD61"/>
    <hyperlink r:id="rId83" ref="AE61"/>
    <hyperlink r:id="rId84" ref="AD62"/>
    <hyperlink r:id="rId85" ref="AE62"/>
    <hyperlink r:id="rId86" ref="AD63"/>
    <hyperlink r:id="rId87" ref="AE63"/>
    <hyperlink r:id="rId88" ref="AD64"/>
    <hyperlink r:id="rId89" ref="AE64"/>
    <hyperlink r:id="rId90" ref="AD65"/>
    <hyperlink r:id="rId91" ref="AE65"/>
    <hyperlink r:id="rId92" ref="AE66"/>
    <hyperlink r:id="rId93" ref="AE67"/>
    <hyperlink r:id="rId94" ref="AE68"/>
    <hyperlink r:id="rId95" ref="AE69"/>
    <hyperlink r:id="rId96" ref="AE70"/>
    <hyperlink r:id="rId97" ref="AD71"/>
    <hyperlink r:id="rId98" ref="AE71"/>
    <hyperlink r:id="rId99" ref="AE72"/>
    <hyperlink r:id="rId100" ref="AE73"/>
    <hyperlink r:id="rId101" ref="AE74"/>
    <hyperlink r:id="rId102" ref="AE75"/>
    <hyperlink r:id="rId103" ref="AE76"/>
    <hyperlink r:id="rId104" ref="AE77"/>
    <hyperlink r:id="rId105" ref="AE78"/>
    <hyperlink r:id="rId106" ref="AE79"/>
    <hyperlink r:id="rId107" ref="AD80"/>
    <hyperlink r:id="rId108" ref="AE81"/>
    <hyperlink r:id="rId109" ref="AE82"/>
    <hyperlink r:id="rId110" ref="AE83"/>
    <hyperlink r:id="rId111" ref="AE84"/>
    <hyperlink r:id="rId112" ref="AD85"/>
    <hyperlink r:id="rId113" ref="AE85"/>
    <hyperlink r:id="rId114" ref="AE86"/>
    <hyperlink r:id="rId115" ref="AE87"/>
    <hyperlink r:id="rId116" ref="AE89"/>
    <hyperlink r:id="rId117" ref="AE90"/>
    <hyperlink r:id="rId118" ref="AE91"/>
    <hyperlink r:id="rId119" ref="AE92"/>
    <hyperlink r:id="rId120" ref="AE93"/>
    <hyperlink r:id="rId121" ref="AE94"/>
    <hyperlink r:id="rId122" ref="AE95"/>
    <hyperlink r:id="rId123" ref="AE96"/>
    <hyperlink r:id="rId124" ref="AE97"/>
    <hyperlink r:id="rId125" ref="AD98"/>
    <hyperlink r:id="rId126" ref="AE98"/>
    <hyperlink r:id="rId127" ref="AE100"/>
    <hyperlink r:id="rId128" ref="AE101"/>
    <hyperlink r:id="rId129" ref="AE102"/>
    <hyperlink r:id="rId130" ref="AE103"/>
    <hyperlink r:id="rId131" ref="AE104"/>
    <hyperlink r:id="rId132" ref="AE105"/>
    <hyperlink r:id="rId133" ref="AE106"/>
    <hyperlink r:id="rId134" ref="AE107"/>
    <hyperlink r:id="rId135" ref="AE108"/>
    <hyperlink r:id="rId136" ref="AE109"/>
    <hyperlink r:id="rId137" ref="AE110"/>
    <hyperlink r:id="rId138" ref="AE111"/>
    <hyperlink r:id="rId139" ref="AE112"/>
    <hyperlink r:id="rId140" ref="AE113"/>
    <hyperlink r:id="rId141" ref="AE114"/>
    <hyperlink r:id="rId142" ref="AE115"/>
    <hyperlink r:id="rId143" ref="AE116"/>
    <hyperlink r:id="rId144" ref="AE117"/>
    <hyperlink r:id="rId145" ref="AE118"/>
    <hyperlink r:id="rId146" ref="AE119"/>
    <hyperlink r:id="rId147" ref="AE121"/>
    <hyperlink r:id="rId148" ref="AE122"/>
    <hyperlink r:id="rId149" ref="AE123"/>
    <hyperlink r:id="rId150" ref="AE124"/>
    <hyperlink r:id="rId151" ref="AE125"/>
    <hyperlink r:id="rId152" ref="AE126"/>
    <hyperlink r:id="rId153" ref="AE127"/>
    <hyperlink r:id="rId154" ref="AE128"/>
    <hyperlink r:id="rId155" ref="AE129"/>
    <hyperlink r:id="rId156" ref="AE130"/>
    <hyperlink r:id="rId157" ref="AE131"/>
    <hyperlink r:id="rId158" ref="AE132"/>
    <hyperlink r:id="rId159" ref="AE133"/>
    <hyperlink r:id="rId160" ref="AE134"/>
    <hyperlink r:id="rId161" ref="AE135"/>
    <hyperlink r:id="rId162" ref="AE136"/>
    <hyperlink r:id="rId163" ref="AE137"/>
    <hyperlink r:id="rId164" ref="AE138"/>
    <hyperlink r:id="rId165" ref="AE139"/>
    <hyperlink r:id="rId166" ref="AE140"/>
    <hyperlink r:id="rId167" ref="AE141"/>
    <hyperlink r:id="rId168" ref="AE142"/>
    <hyperlink r:id="rId169" ref="AE143"/>
    <hyperlink r:id="rId170" ref="AE144"/>
    <hyperlink r:id="rId171" ref="AE145"/>
    <hyperlink r:id="rId172" ref="AE146"/>
    <hyperlink r:id="rId173" ref="AE147"/>
    <hyperlink r:id="rId174" ref="AE148"/>
    <hyperlink r:id="rId175" ref="AE149"/>
    <hyperlink r:id="rId176" ref="AE150"/>
    <hyperlink r:id="rId177" ref="AE151"/>
    <hyperlink r:id="rId178" ref="AE152"/>
    <hyperlink r:id="rId179" ref="AE153"/>
    <hyperlink r:id="rId180" ref="AE154"/>
    <hyperlink r:id="rId181" ref="AE155"/>
    <hyperlink r:id="rId182" ref="AE156"/>
    <hyperlink r:id="rId183" ref="AE159"/>
    <hyperlink r:id="rId184" ref="AE160"/>
    <hyperlink r:id="rId185" ref="AE162"/>
    <hyperlink r:id="rId186" ref="AE163"/>
    <hyperlink r:id="rId187" ref="AE164"/>
    <hyperlink r:id="rId188" ref="AE165"/>
    <hyperlink r:id="rId189" ref="AE166"/>
    <hyperlink r:id="rId190" ref="AE167"/>
    <hyperlink r:id="rId191" ref="AE168"/>
    <hyperlink r:id="rId192" ref="AE170"/>
    <hyperlink r:id="rId193" ref="AE171"/>
    <hyperlink r:id="rId194" ref="AE172"/>
    <hyperlink r:id="rId195" ref="AE173"/>
    <hyperlink r:id="rId196" ref="AE174"/>
    <hyperlink r:id="rId197" ref="AE175"/>
    <hyperlink r:id="rId198" ref="AE176"/>
    <hyperlink r:id="rId199" ref="AE177"/>
    <hyperlink r:id="rId200" ref="AE178"/>
    <hyperlink r:id="rId201" ref="AE179"/>
    <hyperlink r:id="rId202" ref="AE180"/>
    <hyperlink r:id="rId203" ref="AE181"/>
    <hyperlink r:id="rId204" ref="AE182"/>
    <hyperlink r:id="rId205" ref="AE183"/>
    <hyperlink r:id="rId206" ref="AE184"/>
    <hyperlink r:id="rId207" ref="AE185"/>
    <hyperlink r:id="rId208" ref="AE186"/>
    <hyperlink r:id="rId209" ref="AE187"/>
    <hyperlink r:id="rId210" ref="AE188"/>
    <hyperlink r:id="rId211" ref="AE189"/>
    <hyperlink r:id="rId212" ref="AE190"/>
    <hyperlink r:id="rId213" ref="AE191"/>
    <hyperlink r:id="rId214" ref="AE193"/>
    <hyperlink r:id="rId215" ref="AE194"/>
    <hyperlink r:id="rId216" ref="AE196"/>
    <hyperlink r:id="rId217" ref="AE197"/>
    <hyperlink r:id="rId218" ref="AE198"/>
    <hyperlink r:id="rId219" ref="AE199"/>
    <hyperlink r:id="rId220" ref="AE202"/>
    <hyperlink r:id="rId221" ref="AE203"/>
    <hyperlink r:id="rId222" ref="AE204"/>
    <hyperlink r:id="rId223" ref="AE205"/>
    <hyperlink r:id="rId224" ref="AE206"/>
    <hyperlink r:id="rId225" ref="AE207"/>
    <hyperlink r:id="rId226" ref="AE209"/>
    <hyperlink r:id="rId227" ref="AE210"/>
    <hyperlink r:id="rId228" ref="AE211"/>
    <hyperlink r:id="rId229" ref="AE212"/>
    <hyperlink r:id="rId230" ref="AE213"/>
    <hyperlink r:id="rId231" ref="AE214"/>
    <hyperlink r:id="rId232" ref="AE215"/>
    <hyperlink r:id="rId233" ref="AE217"/>
    <hyperlink r:id="rId234" ref="AE218"/>
    <hyperlink r:id="rId235" ref="AE219"/>
    <hyperlink r:id="rId236" ref="AE220"/>
    <hyperlink r:id="rId237" ref="AE221"/>
    <hyperlink r:id="rId238" ref="AE222"/>
    <hyperlink r:id="rId239" ref="AE223"/>
    <hyperlink r:id="rId240" ref="AE224"/>
    <hyperlink r:id="rId241" ref="AE225"/>
    <hyperlink r:id="rId242" ref="AE226"/>
    <hyperlink r:id="rId243" ref="AE227"/>
    <hyperlink r:id="rId244" ref="AD228"/>
    <hyperlink r:id="rId245" ref="AE229"/>
    <hyperlink r:id="rId246" ref="AE230"/>
    <hyperlink r:id="rId247" ref="AE231"/>
    <hyperlink r:id="rId248" ref="AE232"/>
    <hyperlink r:id="rId249" ref="AE233"/>
    <hyperlink r:id="rId250" ref="AE234"/>
    <hyperlink r:id="rId251" ref="AE235"/>
    <hyperlink r:id="rId252" ref="AE236"/>
    <hyperlink r:id="rId253" ref="AE237"/>
    <hyperlink r:id="rId254" ref="AE238"/>
    <hyperlink r:id="rId255" ref="AE239"/>
    <hyperlink r:id="rId256" ref="AE241"/>
    <hyperlink r:id="rId257" ref="AE242"/>
    <hyperlink r:id="rId258" ref="AE243"/>
    <hyperlink r:id="rId259" ref="AE244"/>
    <hyperlink r:id="rId260" ref="AE245"/>
    <hyperlink r:id="rId261" ref="AE246"/>
    <hyperlink r:id="rId262" ref="AE247"/>
    <hyperlink r:id="rId263" ref="AE248"/>
    <hyperlink r:id="rId264" ref="AE250"/>
    <hyperlink r:id="rId265" ref="AE252"/>
    <hyperlink r:id="rId266" ref="AD253"/>
    <hyperlink r:id="rId267" ref="AE253"/>
    <hyperlink r:id="rId268" ref="AE254"/>
    <hyperlink r:id="rId269" ref="AE255"/>
    <hyperlink r:id="rId270" ref="AE256"/>
    <hyperlink r:id="rId271" ref="AE257"/>
    <hyperlink r:id="rId272" ref="AE258"/>
    <hyperlink r:id="rId273" ref="AE259"/>
    <hyperlink r:id="rId274" ref="AE260"/>
    <hyperlink r:id="rId275" ref="AE261"/>
    <hyperlink r:id="rId276" ref="AE262"/>
    <hyperlink r:id="rId277" ref="AE263"/>
    <hyperlink r:id="rId278" ref="AE264"/>
    <hyperlink r:id="rId279" ref="AE266"/>
    <hyperlink r:id="rId280" ref="AE267"/>
    <hyperlink r:id="rId281" ref="AE268"/>
    <hyperlink r:id="rId282" ref="AE269"/>
    <hyperlink r:id="rId283" ref="AE270"/>
    <hyperlink r:id="rId284" ref="AE271"/>
    <hyperlink r:id="rId285" ref="AE272"/>
    <hyperlink r:id="rId286" ref="AE273"/>
    <hyperlink r:id="rId287" ref="AE274"/>
    <hyperlink r:id="rId288" ref="AD275"/>
    <hyperlink r:id="rId289" ref="AE275"/>
    <hyperlink r:id="rId290" ref="AE276"/>
    <hyperlink r:id="rId291" ref="AE277"/>
    <hyperlink r:id="rId292" ref="AE278"/>
    <hyperlink r:id="rId293" ref="AE279"/>
    <hyperlink r:id="rId294" ref="AE280"/>
    <hyperlink r:id="rId295" ref="AE281"/>
    <hyperlink r:id="rId296" ref="AE282"/>
    <hyperlink r:id="rId297" ref="AD283"/>
    <hyperlink r:id="rId298" ref="AE283"/>
    <hyperlink r:id="rId299" ref="AE284"/>
    <hyperlink r:id="rId300" ref="AE285"/>
    <hyperlink r:id="rId301" ref="AE286"/>
    <hyperlink r:id="rId302" ref="AE287"/>
    <hyperlink r:id="rId303" ref="AE289"/>
    <hyperlink r:id="rId304" ref="AE291"/>
    <hyperlink r:id="rId305" ref="AE292"/>
    <hyperlink r:id="rId306" ref="AE293"/>
    <hyperlink r:id="rId307" ref="AE294"/>
    <hyperlink r:id="rId308" ref="AE295"/>
    <hyperlink r:id="rId309" ref="AE296"/>
    <hyperlink r:id="rId310" ref="AE297"/>
    <hyperlink r:id="rId311" ref="AE298"/>
    <hyperlink r:id="rId312" ref="AE301"/>
    <hyperlink r:id="rId313" ref="AE302"/>
    <hyperlink r:id="rId314" ref="AE303"/>
    <hyperlink r:id="rId315" ref="AE304"/>
    <hyperlink r:id="rId316" ref="AE305"/>
    <hyperlink r:id="rId317" ref="AE306"/>
    <hyperlink r:id="rId318" ref="AD307"/>
    <hyperlink r:id="rId319" ref="AE307"/>
    <hyperlink r:id="rId320" ref="AE308"/>
    <hyperlink r:id="rId321" ref="AE309"/>
    <hyperlink r:id="rId322" ref="AE311"/>
    <hyperlink r:id="rId323" ref="AD312"/>
    <hyperlink r:id="rId324" ref="AE312"/>
    <hyperlink r:id="rId325" ref="AE313"/>
    <hyperlink r:id="rId326" ref="AE314"/>
    <hyperlink r:id="rId327" ref="AE315"/>
    <hyperlink r:id="rId328" ref="AE316"/>
    <hyperlink r:id="rId329" ref="AE317"/>
    <hyperlink r:id="rId330" ref="AE318"/>
    <hyperlink r:id="rId331" ref="AE319"/>
    <hyperlink r:id="rId332" ref="AE320"/>
    <hyperlink r:id="rId333" ref="AE321"/>
    <hyperlink r:id="rId334" ref="AE322"/>
    <hyperlink r:id="rId335" ref="AE323"/>
    <hyperlink r:id="rId336" ref="AE324"/>
    <hyperlink r:id="rId337" ref="AE325"/>
    <hyperlink r:id="rId338" ref="AE326"/>
    <hyperlink r:id="rId339" ref="AE327"/>
    <hyperlink r:id="rId340" ref="AE328"/>
    <hyperlink r:id="rId341" ref="AE329"/>
    <hyperlink r:id="rId342" ref="AE330"/>
    <hyperlink r:id="rId343" ref="AE331"/>
    <hyperlink r:id="rId344" ref="AE333"/>
    <hyperlink r:id="rId345" ref="AE336"/>
    <hyperlink r:id="rId346" ref="AE339"/>
    <hyperlink r:id="rId347" ref="AE340"/>
    <hyperlink r:id="rId348" ref="AE342"/>
    <hyperlink r:id="rId349" ref="AE343"/>
    <hyperlink r:id="rId350" ref="AE344"/>
    <hyperlink r:id="rId351" ref="AE345"/>
    <hyperlink r:id="rId352" ref="AE346"/>
    <hyperlink r:id="rId353" ref="AE347"/>
    <hyperlink r:id="rId354" ref="AE348"/>
    <hyperlink r:id="rId355" ref="AE349"/>
    <hyperlink r:id="rId356" ref="AD350"/>
    <hyperlink r:id="rId357" ref="AE350"/>
    <hyperlink r:id="rId358" ref="AE354"/>
    <hyperlink r:id="rId359" ref="AE356"/>
    <hyperlink r:id="rId360" ref="AE357"/>
    <hyperlink r:id="rId361" ref="AE358"/>
    <hyperlink r:id="rId362" ref="AE359"/>
    <hyperlink r:id="rId363" ref="AE360"/>
    <hyperlink r:id="rId364" ref="AD362"/>
    <hyperlink r:id="rId365" ref="AE362"/>
    <hyperlink r:id="rId366" ref="AD363"/>
    <hyperlink r:id="rId367" ref="AE363"/>
    <hyperlink r:id="rId368" ref="AE364"/>
    <hyperlink r:id="rId369" ref="AD365"/>
    <hyperlink r:id="rId370" ref="AE365"/>
    <hyperlink r:id="rId371" ref="AD366"/>
    <hyperlink r:id="rId372" ref="AE366"/>
    <hyperlink r:id="rId373" ref="AD367"/>
    <hyperlink r:id="rId374" ref="AE367"/>
    <hyperlink r:id="rId375" ref="AD368"/>
    <hyperlink r:id="rId376" ref="AE368"/>
    <hyperlink r:id="rId377" ref="AD369"/>
    <hyperlink r:id="rId378" ref="AE369"/>
    <hyperlink r:id="rId379" ref="AD370"/>
    <hyperlink r:id="rId380" ref="AE370"/>
    <hyperlink r:id="rId381" ref="AD371"/>
    <hyperlink r:id="rId382" ref="AE371"/>
    <hyperlink r:id="rId383" ref="AD372"/>
    <hyperlink r:id="rId384" ref="AE372"/>
    <hyperlink r:id="rId385" ref="AD373"/>
    <hyperlink r:id="rId386" ref="AD374"/>
    <hyperlink r:id="rId387" ref="AE374"/>
    <hyperlink r:id="rId388" ref="AD375"/>
    <hyperlink r:id="rId389" ref="AE375"/>
    <hyperlink r:id="rId390" ref="AD376"/>
    <hyperlink r:id="rId391" ref="AE376"/>
    <hyperlink r:id="rId392" ref="AD377"/>
    <hyperlink r:id="rId393" ref="AE377"/>
    <hyperlink r:id="rId394" ref="AE378"/>
    <hyperlink r:id="rId395" ref="AD379"/>
    <hyperlink r:id="rId396" ref="AE379"/>
    <hyperlink r:id="rId397" ref="AD380"/>
    <hyperlink r:id="rId398" ref="AD381"/>
    <hyperlink r:id="rId399" ref="AE381"/>
    <hyperlink r:id="rId400" ref="AE382"/>
    <hyperlink r:id="rId401" ref="AD383"/>
    <hyperlink r:id="rId402" ref="AD384"/>
    <hyperlink r:id="rId403" ref="AE384"/>
    <hyperlink r:id="rId404" ref="AE385"/>
    <hyperlink r:id="rId405" ref="AD386"/>
    <hyperlink r:id="rId406" ref="AE386"/>
    <hyperlink r:id="rId407" ref="AE387"/>
    <hyperlink r:id="rId408" ref="AE388"/>
    <hyperlink r:id="rId409" ref="AD389"/>
    <hyperlink r:id="rId410" ref="AE389"/>
    <hyperlink r:id="rId411" ref="AD390"/>
    <hyperlink r:id="rId412" ref="AE390"/>
    <hyperlink r:id="rId413" ref="AD391"/>
    <hyperlink r:id="rId414" ref="AE391"/>
    <hyperlink r:id="rId415" ref="AD392"/>
    <hyperlink r:id="rId416" ref="AE392"/>
    <hyperlink r:id="rId417" ref="AD393"/>
    <hyperlink r:id="rId418" ref="AE393"/>
    <hyperlink r:id="rId419" ref="AE394"/>
    <hyperlink r:id="rId420" ref="AD395"/>
    <hyperlink r:id="rId421" ref="AE395"/>
    <hyperlink r:id="rId422" ref="AD396"/>
    <hyperlink r:id="rId423" ref="AE396"/>
    <hyperlink r:id="rId424" ref="AD397"/>
    <hyperlink r:id="rId425" ref="AE397"/>
    <hyperlink r:id="rId426" ref="AE398"/>
    <hyperlink r:id="rId427" ref="AE399"/>
    <hyperlink r:id="rId428" ref="AE400"/>
    <hyperlink r:id="rId429" ref="AE401"/>
    <hyperlink r:id="rId430" ref="AE402"/>
    <hyperlink r:id="rId431" ref="AD403"/>
    <hyperlink r:id="rId432" ref="AE403"/>
    <hyperlink r:id="rId433" ref="AD404"/>
    <hyperlink r:id="rId434" ref="AE404"/>
    <hyperlink r:id="rId435" ref="AD405"/>
    <hyperlink r:id="rId436" ref="AE406"/>
    <hyperlink r:id="rId437" ref="AD407"/>
    <hyperlink r:id="rId438" ref="AE407"/>
    <hyperlink r:id="rId439" ref="AD408"/>
    <hyperlink r:id="rId440" ref="AE408"/>
    <hyperlink r:id="rId441" ref="AD409"/>
    <hyperlink r:id="rId442" ref="AE409"/>
    <hyperlink r:id="rId443" ref="AE410"/>
    <hyperlink r:id="rId444" ref="AD411"/>
    <hyperlink r:id="rId445" ref="AE411"/>
    <hyperlink r:id="rId446" ref="AD412"/>
    <hyperlink r:id="rId447" ref="AE412"/>
    <hyperlink r:id="rId448" ref="AD413"/>
    <hyperlink r:id="rId449" ref="AE413"/>
    <hyperlink r:id="rId450" ref="AD414"/>
    <hyperlink r:id="rId451" ref="AE414"/>
    <hyperlink r:id="rId452" ref="AE415"/>
    <hyperlink r:id="rId453" ref="AD416"/>
    <hyperlink r:id="rId454" ref="AE417"/>
    <hyperlink r:id="rId455" ref="AE418"/>
    <hyperlink r:id="rId456" ref="AE419"/>
    <hyperlink r:id="rId457" ref="AE420"/>
    <hyperlink r:id="rId458" ref="AE421"/>
    <hyperlink r:id="rId459" ref="AE422"/>
    <hyperlink r:id="rId460" ref="AD423"/>
    <hyperlink r:id="rId461" ref="AE423"/>
    <hyperlink r:id="rId462" ref="AE424"/>
    <hyperlink r:id="rId463" ref="AD425"/>
    <hyperlink r:id="rId464" ref="AE425"/>
    <hyperlink r:id="rId465" ref="AD426"/>
    <hyperlink r:id="rId466" ref="AE426"/>
    <hyperlink r:id="rId467" ref="AD427"/>
    <hyperlink r:id="rId468" ref="AD428"/>
    <hyperlink r:id="rId469" ref="AE428"/>
    <hyperlink r:id="rId470" ref="AE429"/>
    <hyperlink r:id="rId471" ref="AE430"/>
    <hyperlink r:id="rId472" ref="AD431"/>
    <hyperlink r:id="rId473" ref="AD432"/>
    <hyperlink r:id="rId474" ref="AE432"/>
    <hyperlink r:id="rId475" ref="AD433"/>
    <hyperlink r:id="rId476" ref="AE433"/>
    <hyperlink r:id="rId477" ref="AD434"/>
    <hyperlink r:id="rId478" ref="AE434"/>
    <hyperlink r:id="rId479" ref="AD435"/>
    <hyperlink r:id="rId480" ref="AE435"/>
    <hyperlink r:id="rId481" ref="AD436"/>
    <hyperlink r:id="rId482" ref="AE436"/>
    <hyperlink r:id="rId483" ref="AD437"/>
    <hyperlink r:id="rId484" ref="AE437"/>
    <hyperlink r:id="rId485" ref="AD438"/>
    <hyperlink r:id="rId486" ref="AE438"/>
    <hyperlink r:id="rId487" ref="AD439"/>
    <hyperlink r:id="rId488" ref="AE439"/>
    <hyperlink r:id="rId489" ref="AD440"/>
    <hyperlink r:id="rId490" ref="AE440"/>
    <hyperlink r:id="rId491" ref="AD441"/>
    <hyperlink r:id="rId492" ref="AE441"/>
    <hyperlink r:id="rId493" ref="AD442"/>
    <hyperlink r:id="rId494" ref="AE442"/>
    <hyperlink r:id="rId495" ref="AD443"/>
    <hyperlink r:id="rId496" ref="AE443"/>
    <hyperlink r:id="rId497" ref="AD444"/>
    <hyperlink r:id="rId498" ref="AE444"/>
    <hyperlink r:id="rId499" ref="AD445"/>
    <hyperlink r:id="rId500" ref="AE446"/>
    <hyperlink r:id="rId501" ref="AD447"/>
    <hyperlink r:id="rId502" ref="AE447"/>
    <hyperlink r:id="rId503" ref="AE448"/>
    <hyperlink r:id="rId504" ref="AD449"/>
    <hyperlink r:id="rId505" ref="AE449"/>
    <hyperlink r:id="rId506" ref="AD450"/>
    <hyperlink r:id="rId507" ref="AE450"/>
    <hyperlink r:id="rId508" ref="AD451"/>
    <hyperlink r:id="rId509" ref="AE451"/>
    <hyperlink r:id="rId510" ref="AD452"/>
    <hyperlink r:id="rId511" ref="AE452"/>
    <hyperlink r:id="rId512" ref="AD453"/>
    <hyperlink r:id="rId513" ref="AE453"/>
    <hyperlink r:id="rId514" ref="AE454"/>
    <hyperlink r:id="rId515" ref="AE455"/>
    <hyperlink r:id="rId516" ref="AD456"/>
    <hyperlink r:id="rId517" ref="AE456"/>
    <hyperlink r:id="rId518" ref="AD457"/>
    <hyperlink r:id="rId519" ref="AE457"/>
    <hyperlink r:id="rId520" ref="AD458"/>
    <hyperlink r:id="rId521" ref="AE458"/>
    <hyperlink r:id="rId522" ref="AD459"/>
    <hyperlink r:id="rId523" ref="AE459"/>
    <hyperlink r:id="rId524" ref="AD460"/>
    <hyperlink r:id="rId525" ref="AD461"/>
    <hyperlink r:id="rId526" ref="AE462"/>
    <hyperlink r:id="rId527" ref="AE463"/>
    <hyperlink r:id="rId528" ref="AD464"/>
    <hyperlink r:id="rId529" ref="AE464"/>
    <hyperlink r:id="rId530" ref="AD465"/>
    <hyperlink r:id="rId531" ref="AE465"/>
    <hyperlink r:id="rId532" ref="AD466"/>
    <hyperlink r:id="rId533" ref="AE466"/>
    <hyperlink r:id="rId534" ref="AD467"/>
    <hyperlink r:id="rId535" ref="AE467"/>
    <hyperlink r:id="rId536" ref="AD468"/>
    <hyperlink r:id="rId537" ref="AD469"/>
    <hyperlink r:id="rId538" ref="AE469"/>
    <hyperlink r:id="rId539" ref="AE470"/>
    <hyperlink r:id="rId540" ref="AE471"/>
    <hyperlink r:id="rId541" ref="AD472"/>
    <hyperlink r:id="rId542" ref="AE472"/>
    <hyperlink r:id="rId543" ref="AE473"/>
    <hyperlink r:id="rId544" ref="AE474"/>
    <hyperlink r:id="rId545" ref="AE475"/>
    <hyperlink r:id="rId546" ref="AE476"/>
    <hyperlink r:id="rId547" ref="AD477"/>
    <hyperlink r:id="rId548" ref="AE477"/>
    <hyperlink r:id="rId549" ref="AD478"/>
    <hyperlink r:id="rId550" ref="AE478"/>
    <hyperlink r:id="rId551" ref="AD479"/>
    <hyperlink r:id="rId552" ref="AE479"/>
    <hyperlink r:id="rId553" ref="AD480"/>
    <hyperlink r:id="rId554" ref="AE480"/>
    <hyperlink r:id="rId555" ref="AD481"/>
    <hyperlink r:id="rId556" ref="AE481"/>
    <hyperlink r:id="rId557" ref="AE482"/>
    <hyperlink r:id="rId558" ref="AE483"/>
    <hyperlink r:id="rId559" ref="AD484"/>
    <hyperlink r:id="rId560" ref="AD485"/>
    <hyperlink r:id="rId561" ref="AE485"/>
    <hyperlink r:id="rId562" ref="AD486"/>
    <hyperlink r:id="rId563" ref="AD487"/>
    <hyperlink r:id="rId564" ref="AE487"/>
    <hyperlink r:id="rId565" ref="AD488"/>
    <hyperlink r:id="rId566" ref="AE488"/>
    <hyperlink r:id="rId567" ref="AD489"/>
    <hyperlink r:id="rId568" ref="AE489"/>
    <hyperlink r:id="rId569" ref="AD490"/>
    <hyperlink r:id="rId570" ref="AE490"/>
    <hyperlink r:id="rId571" ref="AD491"/>
    <hyperlink r:id="rId572" ref="AE491"/>
    <hyperlink r:id="rId573" ref="AD492"/>
    <hyperlink r:id="rId574" ref="AE492"/>
    <hyperlink r:id="rId575" ref="AE493"/>
    <hyperlink r:id="rId576" ref="AD494"/>
    <hyperlink r:id="rId577" ref="AE494"/>
    <hyperlink r:id="rId578" ref="AE495"/>
    <hyperlink r:id="rId579" ref="AD496"/>
    <hyperlink r:id="rId580" ref="AE496"/>
    <hyperlink r:id="rId581" ref="AD497"/>
    <hyperlink r:id="rId582" ref="AE497"/>
    <hyperlink r:id="rId583" ref="AD498"/>
    <hyperlink r:id="rId584" ref="AE498"/>
    <hyperlink r:id="rId585" ref="AD499"/>
    <hyperlink r:id="rId586" ref="AE499"/>
    <hyperlink r:id="rId587" ref="AE500"/>
    <hyperlink r:id="rId588" ref="AE501"/>
    <hyperlink r:id="rId589" ref="AE502"/>
    <hyperlink r:id="rId590" ref="AE503"/>
    <hyperlink r:id="rId591" ref="AE504"/>
    <hyperlink r:id="rId592" ref="AD505"/>
    <hyperlink r:id="rId593" ref="AE505"/>
    <hyperlink r:id="rId594" ref="AE506"/>
    <hyperlink r:id="rId595" ref="AD507"/>
    <hyperlink r:id="rId596" ref="AE507"/>
    <hyperlink r:id="rId597" ref="AD508"/>
    <hyperlink r:id="rId598" ref="AE508"/>
    <hyperlink r:id="rId599" ref="AD509"/>
    <hyperlink r:id="rId600" ref="AE509"/>
    <hyperlink r:id="rId601" ref="AD510"/>
    <hyperlink r:id="rId602" ref="AE510"/>
    <hyperlink r:id="rId603" ref="AD511"/>
    <hyperlink r:id="rId604" ref="AD512"/>
    <hyperlink r:id="rId605" ref="AE512"/>
    <hyperlink r:id="rId606" ref="AD513"/>
    <hyperlink r:id="rId607" ref="AE513"/>
    <hyperlink r:id="rId608" ref="AD514"/>
    <hyperlink r:id="rId609" ref="AE514"/>
    <hyperlink r:id="rId610" ref="AD515"/>
    <hyperlink r:id="rId611" ref="AE515"/>
    <hyperlink r:id="rId612" ref="AD516"/>
    <hyperlink r:id="rId613" ref="AE516"/>
    <hyperlink r:id="rId614" ref="AD517"/>
    <hyperlink r:id="rId615" ref="AE517"/>
    <hyperlink r:id="rId616" ref="AD518"/>
    <hyperlink r:id="rId617" ref="AE518"/>
    <hyperlink r:id="rId618" ref="AD519"/>
    <hyperlink r:id="rId619" ref="AE519"/>
    <hyperlink r:id="rId620" ref="AD520"/>
    <hyperlink r:id="rId621" ref="AE520"/>
    <hyperlink r:id="rId622" ref="AD521"/>
    <hyperlink r:id="rId623" ref="AE521"/>
    <hyperlink r:id="rId624" ref="AD522"/>
    <hyperlink r:id="rId625" ref="AE522"/>
    <hyperlink r:id="rId626" ref="AD523"/>
    <hyperlink r:id="rId627" ref="AE523"/>
    <hyperlink r:id="rId628" location="?jhi" ref="AD524"/>
    <hyperlink r:id="rId629" ref="AE524"/>
    <hyperlink r:id="rId630" ref="AD525"/>
    <hyperlink r:id="rId631" ref="AE525"/>
    <hyperlink r:id="rId632" ref="AD526"/>
    <hyperlink r:id="rId633" ref="AD527"/>
    <hyperlink r:id="rId634" ref="AD528"/>
    <hyperlink r:id="rId635" ref="AE528"/>
    <hyperlink r:id="rId636" ref="AD529"/>
    <hyperlink r:id="rId637" ref="AD530"/>
    <hyperlink r:id="rId638" ref="AD531"/>
    <hyperlink r:id="rId639" ref="AE531"/>
    <hyperlink r:id="rId640" ref="AE532"/>
    <hyperlink r:id="rId641" ref="AD533"/>
    <hyperlink r:id="rId642" ref="AE533"/>
    <hyperlink r:id="rId643" ref="AE534"/>
    <hyperlink r:id="rId644" ref="AD535"/>
    <hyperlink r:id="rId645" ref="AE535"/>
    <hyperlink r:id="rId646" ref="AD536"/>
    <hyperlink r:id="rId647" ref="AE536"/>
    <hyperlink r:id="rId648" ref="AD537"/>
    <hyperlink r:id="rId649" ref="AE537"/>
    <hyperlink r:id="rId650" ref="AD538"/>
    <hyperlink r:id="rId651" ref="AE538"/>
    <hyperlink r:id="rId652" ref="AD539"/>
    <hyperlink r:id="rId653" ref="AE540"/>
    <hyperlink r:id="rId654" ref="AE541"/>
    <hyperlink r:id="rId655" ref="AE542"/>
    <hyperlink r:id="rId656" ref="AE543"/>
    <hyperlink r:id="rId657" ref="AD544"/>
    <hyperlink r:id="rId658" ref="AE545"/>
    <hyperlink r:id="rId659" ref="AD546"/>
    <hyperlink r:id="rId660" ref="AE546"/>
    <hyperlink r:id="rId661" ref="AD547"/>
    <hyperlink r:id="rId662" ref="AE547"/>
    <hyperlink r:id="rId663" ref="AE548"/>
    <hyperlink r:id="rId664" ref="AE549"/>
    <hyperlink r:id="rId665" ref="AE550"/>
    <hyperlink r:id="rId666" ref="AE551"/>
    <hyperlink r:id="rId667" ref="AE552"/>
    <hyperlink r:id="rId668" ref="AE553"/>
    <hyperlink r:id="rId669" ref="AE554"/>
    <hyperlink r:id="rId670" ref="AE555"/>
    <hyperlink r:id="rId671" ref="AE556"/>
    <hyperlink r:id="rId672" ref="AE557"/>
    <hyperlink r:id="rId673" ref="AE558"/>
    <hyperlink r:id="rId674" ref="AD559"/>
    <hyperlink r:id="rId675" ref="AD560"/>
    <hyperlink r:id="rId676" ref="AE560"/>
    <hyperlink r:id="rId677" ref="AE561"/>
    <hyperlink r:id="rId678" ref="AE562"/>
    <hyperlink r:id="rId679" ref="AE563"/>
    <hyperlink r:id="rId680" ref="AD564"/>
    <hyperlink r:id="rId681" ref="AE564"/>
    <hyperlink r:id="rId682" ref="AD565"/>
    <hyperlink r:id="rId683" ref="AD566"/>
    <hyperlink r:id="rId684" ref="AE566"/>
    <hyperlink r:id="rId685" ref="AD567"/>
    <hyperlink r:id="rId686" ref="AE567"/>
    <hyperlink r:id="rId687" ref="AE568"/>
    <hyperlink r:id="rId688" ref="AE569"/>
    <hyperlink r:id="rId689" ref="AE570"/>
    <hyperlink r:id="rId690" ref="AE571"/>
    <hyperlink r:id="rId691" ref="AE572"/>
    <hyperlink r:id="rId692" ref="AD573"/>
    <hyperlink r:id="rId693" ref="AD574"/>
    <hyperlink r:id="rId694" ref="AE575"/>
    <hyperlink r:id="rId695" ref="AD576"/>
    <hyperlink r:id="rId696" ref="AE576"/>
    <hyperlink r:id="rId697" ref="AD577"/>
    <hyperlink r:id="rId698" ref="AE577"/>
    <hyperlink r:id="rId699" ref="AD578"/>
    <hyperlink r:id="rId700" ref="AE578"/>
    <hyperlink r:id="rId701" ref="AE579"/>
    <hyperlink r:id="rId702" ref="AD580"/>
    <hyperlink r:id="rId703" ref="AE580"/>
    <hyperlink r:id="rId704" ref="AD581"/>
    <hyperlink r:id="rId705" ref="AE582"/>
    <hyperlink r:id="rId706" ref="AE583"/>
    <hyperlink r:id="rId707" ref="AE584"/>
    <hyperlink r:id="rId708" ref="AE585"/>
    <hyperlink r:id="rId709" ref="AD586"/>
    <hyperlink r:id="rId710" ref="AE586"/>
    <hyperlink r:id="rId711" ref="AD587"/>
    <hyperlink r:id="rId712" ref="AE587"/>
    <hyperlink r:id="rId713" ref="AE588"/>
    <hyperlink r:id="rId714" ref="AD589"/>
    <hyperlink r:id="rId715" ref="AE589"/>
    <hyperlink r:id="rId716" ref="AE590"/>
    <hyperlink r:id="rId717" ref="AE591"/>
    <hyperlink r:id="rId718" ref="AD592"/>
    <hyperlink r:id="rId719" ref="AE592"/>
    <hyperlink r:id="rId720" ref="AE593"/>
    <hyperlink r:id="rId721" ref="AE594"/>
    <hyperlink r:id="rId722" ref="AD595"/>
    <hyperlink r:id="rId723" ref="AE595"/>
    <hyperlink r:id="rId724" ref="AD596"/>
    <hyperlink r:id="rId725" ref="AE596"/>
    <hyperlink r:id="rId726" ref="AD597"/>
    <hyperlink r:id="rId727" ref="AE597"/>
    <hyperlink r:id="rId728" ref="AD598"/>
    <hyperlink r:id="rId729" ref="AE598"/>
    <hyperlink r:id="rId730" ref="AD599"/>
    <hyperlink r:id="rId731" ref="AE599"/>
    <hyperlink r:id="rId732" ref="AD600"/>
    <hyperlink r:id="rId733" ref="AE600"/>
    <hyperlink r:id="rId734" ref="AD601"/>
    <hyperlink r:id="rId735" ref="AE601"/>
    <hyperlink r:id="rId736" ref="AE602"/>
    <hyperlink r:id="rId737" ref="AE603"/>
    <hyperlink r:id="rId738" ref="AE604"/>
    <hyperlink r:id="rId739" ref="AE605"/>
    <hyperlink r:id="rId740" ref="AE606"/>
    <hyperlink r:id="rId741" ref="AE607"/>
    <hyperlink r:id="rId742" ref="AE608"/>
    <hyperlink r:id="rId743" ref="AE609"/>
    <hyperlink r:id="rId744" ref="AE610"/>
    <hyperlink r:id="rId745" ref="AD611"/>
    <hyperlink r:id="rId746" ref="AD612"/>
    <hyperlink r:id="rId747" ref="AE612"/>
    <hyperlink r:id="rId748" ref="AE613"/>
    <hyperlink r:id="rId749" ref="AD614"/>
    <hyperlink r:id="rId750" ref="AE614"/>
    <hyperlink r:id="rId751" ref="AD615"/>
    <hyperlink r:id="rId752" ref="AE615"/>
    <hyperlink r:id="rId753" ref="AE616"/>
    <hyperlink r:id="rId754" ref="AE617"/>
    <hyperlink r:id="rId755" ref="AE618"/>
    <hyperlink r:id="rId756" ref="AD619"/>
    <hyperlink r:id="rId757" ref="AE619"/>
    <hyperlink r:id="rId758" ref="AE620"/>
    <hyperlink r:id="rId759" ref="AD621"/>
    <hyperlink r:id="rId760" ref="AD622"/>
    <hyperlink r:id="rId761" ref="AE622"/>
    <hyperlink r:id="rId762" ref="AE623"/>
    <hyperlink r:id="rId763" ref="AE624"/>
    <hyperlink r:id="rId764" ref="AE625"/>
    <hyperlink r:id="rId765" ref="AE626"/>
    <hyperlink r:id="rId766" ref="AD627"/>
    <hyperlink r:id="rId767" ref="AD628"/>
    <hyperlink r:id="rId768" ref="AE628"/>
    <hyperlink r:id="rId769" ref="AE629"/>
    <hyperlink r:id="rId770" ref="AD630"/>
    <hyperlink r:id="rId771" ref="AE630"/>
    <hyperlink r:id="rId772" ref="AD631"/>
    <hyperlink r:id="rId773" ref="AE631"/>
    <hyperlink r:id="rId774" ref="AE632"/>
    <hyperlink r:id="rId775" ref="AE633"/>
    <hyperlink r:id="rId776" ref="AE634"/>
    <hyperlink r:id="rId777" ref="AE635"/>
    <hyperlink r:id="rId778" ref="AE636"/>
    <hyperlink r:id="rId779" ref="AE637"/>
    <hyperlink r:id="rId780" ref="AD638"/>
    <hyperlink r:id="rId781" ref="AD639"/>
    <hyperlink r:id="rId782" ref="AE639"/>
    <hyperlink r:id="rId783" ref="AD640"/>
    <hyperlink r:id="rId784" ref="AE640"/>
    <hyperlink r:id="rId785" ref="AD641"/>
    <hyperlink r:id="rId786" ref="AE641"/>
    <hyperlink r:id="rId787" ref="AD642"/>
    <hyperlink r:id="rId788" ref="AE642"/>
    <hyperlink r:id="rId789" ref="AE643"/>
    <hyperlink r:id="rId790" ref="AD644"/>
    <hyperlink r:id="rId791" ref="AE645"/>
    <hyperlink r:id="rId792" ref="AE646"/>
    <hyperlink r:id="rId793" ref="AE647"/>
    <hyperlink r:id="rId794" ref="AE648"/>
    <hyperlink r:id="rId795" ref="AD649"/>
    <hyperlink r:id="rId796" ref="AE649"/>
    <hyperlink r:id="rId797" ref="AD650"/>
    <hyperlink r:id="rId798" ref="AD651"/>
    <hyperlink r:id="rId799" ref="AE652"/>
    <hyperlink r:id="rId800" ref="AE653"/>
    <hyperlink r:id="rId801" ref="AE655"/>
    <hyperlink r:id="rId802" ref="AD656"/>
    <hyperlink r:id="rId803" ref="AE656"/>
    <hyperlink r:id="rId804" ref="AE657"/>
    <hyperlink r:id="rId805" ref="AE658"/>
    <hyperlink r:id="rId806" ref="AE659"/>
    <hyperlink r:id="rId807" ref="AE660"/>
    <hyperlink r:id="rId808" ref="AE661"/>
    <hyperlink r:id="rId809" ref="AE662"/>
    <hyperlink r:id="rId810" ref="AD663"/>
    <hyperlink r:id="rId811" ref="AE664"/>
    <hyperlink r:id="rId812" ref="AE665"/>
    <hyperlink r:id="rId813" location="advertiser" ref="AD666"/>
    <hyperlink r:id="rId814" ref="AE666"/>
    <hyperlink r:id="rId815" ref="AE667"/>
    <hyperlink r:id="rId816" ref="AE668"/>
    <hyperlink r:id="rId817" ref="AE669"/>
    <hyperlink r:id="rId818" ref="AE670"/>
    <hyperlink r:id="rId819" ref="AE671"/>
    <hyperlink r:id="rId820" ref="AD672"/>
    <hyperlink r:id="rId821" ref="AE672"/>
    <hyperlink r:id="rId822" ref="AD673"/>
    <hyperlink r:id="rId823" ref="AE674"/>
    <hyperlink r:id="rId824" ref="AD675"/>
    <hyperlink r:id="rId825" ref="AE675"/>
    <hyperlink r:id="rId826" ref="AD676"/>
    <hyperlink r:id="rId827" ref="AE676"/>
    <hyperlink r:id="rId828" ref="AD677"/>
    <hyperlink r:id="rId829" ref="AE677"/>
    <hyperlink r:id="rId830" ref="AE678"/>
    <hyperlink r:id="rId831" ref="AD679"/>
    <hyperlink r:id="rId832" ref="AE679"/>
    <hyperlink r:id="rId833" ref="AD680"/>
    <hyperlink r:id="rId834" ref="AE680"/>
    <hyperlink r:id="rId835" ref="AD681"/>
    <hyperlink r:id="rId836" ref="AE681"/>
    <hyperlink r:id="rId837" ref="AD682"/>
    <hyperlink r:id="rId838" ref="AE682"/>
    <hyperlink r:id="rId839" ref="AD683"/>
    <hyperlink r:id="rId840" ref="AE683"/>
    <hyperlink r:id="rId841" ref="AE684"/>
    <hyperlink r:id="rId842" ref="AE685"/>
    <hyperlink r:id="rId843" ref="AE686"/>
    <hyperlink r:id="rId844" ref="AD687"/>
    <hyperlink r:id="rId845" ref="AD688"/>
    <hyperlink r:id="rId846" ref="AE688"/>
    <hyperlink r:id="rId847" ref="AD689"/>
    <hyperlink r:id="rId848" ref="AE689"/>
    <hyperlink r:id="rId849" ref="AD690"/>
    <hyperlink r:id="rId850" ref="AE690"/>
    <hyperlink r:id="rId851" ref="AD691"/>
    <hyperlink r:id="rId852" ref="AE691"/>
    <hyperlink r:id="rId853" ref="AD692"/>
    <hyperlink r:id="rId854" ref="AE692"/>
    <hyperlink r:id="rId855" ref="AE693"/>
    <hyperlink r:id="rId856" ref="AE694"/>
    <hyperlink r:id="rId857" ref="AD695"/>
    <hyperlink r:id="rId858" ref="AE695"/>
    <hyperlink r:id="rId859" ref="AD696"/>
    <hyperlink r:id="rId860" ref="AE696"/>
    <hyperlink r:id="rId861" ref="AD697"/>
    <hyperlink r:id="rId862" ref="AE697"/>
    <hyperlink r:id="rId863" ref="AE698"/>
    <hyperlink r:id="rId864" ref="AE699"/>
    <hyperlink r:id="rId865" ref="AD700"/>
    <hyperlink r:id="rId866" ref="AE701"/>
    <hyperlink r:id="rId867" ref="AE702"/>
    <hyperlink r:id="rId868" ref="AD703"/>
    <hyperlink r:id="rId869" ref="AE703"/>
    <hyperlink r:id="rId870" ref="AD704"/>
    <hyperlink r:id="rId871" ref="AE704"/>
    <hyperlink r:id="rId872" ref="AE705"/>
    <hyperlink r:id="rId873" ref="AE706"/>
    <hyperlink r:id="rId874" ref="AE707"/>
    <hyperlink r:id="rId875" ref="AE708"/>
    <hyperlink r:id="rId876" ref="AD709"/>
    <hyperlink r:id="rId877" ref="AE709"/>
    <hyperlink r:id="rId878" ref="AE710"/>
    <hyperlink r:id="rId879" ref="AD711"/>
    <hyperlink r:id="rId880" ref="AE711"/>
    <hyperlink r:id="rId881" ref="AD712"/>
    <hyperlink r:id="rId882" ref="AE712"/>
    <hyperlink r:id="rId883" ref="AD713"/>
    <hyperlink r:id="rId884" ref="AD714"/>
    <hyperlink r:id="rId885" ref="AE714"/>
    <hyperlink r:id="rId886" ref="AD715"/>
    <hyperlink r:id="rId887" ref="AE715"/>
    <hyperlink r:id="rId888" ref="AD716"/>
    <hyperlink r:id="rId889" ref="AE716"/>
    <hyperlink r:id="rId890" ref="AD717"/>
    <hyperlink r:id="rId891" ref="AE717"/>
    <hyperlink r:id="rId892" ref="AE718"/>
    <hyperlink r:id="rId893" ref="AD719"/>
    <hyperlink r:id="rId894" ref="AE719"/>
    <hyperlink r:id="rId895" ref="AD720"/>
    <hyperlink r:id="rId896" ref="AE720"/>
    <hyperlink r:id="rId897" ref="AD721"/>
    <hyperlink r:id="rId898" ref="AE721"/>
    <hyperlink r:id="rId899" ref="AD722"/>
    <hyperlink r:id="rId900" ref="AE722"/>
    <hyperlink r:id="rId901" ref="AD723"/>
    <hyperlink r:id="rId902" ref="AE723"/>
    <hyperlink r:id="rId903" ref="AD724"/>
    <hyperlink r:id="rId904" ref="AE724"/>
    <hyperlink r:id="rId905" ref="AD725"/>
    <hyperlink r:id="rId906" ref="AE725"/>
    <hyperlink r:id="rId907" ref="AD726"/>
    <hyperlink r:id="rId908" ref="AE726"/>
    <hyperlink r:id="rId909" ref="AD727"/>
    <hyperlink r:id="rId910" ref="AE727"/>
    <hyperlink r:id="rId911" ref="AE728"/>
    <hyperlink r:id="rId912" ref="AD729"/>
    <hyperlink r:id="rId913" ref="AE729"/>
    <hyperlink r:id="rId914" ref="AD730"/>
    <hyperlink r:id="rId915" ref="AE731"/>
    <hyperlink r:id="rId916" ref="AE732"/>
    <hyperlink r:id="rId917" ref="AE733"/>
    <hyperlink r:id="rId918" ref="AE734"/>
    <hyperlink r:id="rId919" ref="AE735"/>
    <hyperlink r:id="rId920" ref="AE736"/>
    <hyperlink r:id="rId921" ref="AE737"/>
    <hyperlink r:id="rId922" ref="AD738"/>
    <hyperlink r:id="rId923" ref="AE739"/>
    <hyperlink r:id="rId924" ref="AD740"/>
    <hyperlink r:id="rId925" ref="AE740"/>
    <hyperlink r:id="rId926" ref="AD741"/>
    <hyperlink r:id="rId927" ref="AE741"/>
    <hyperlink r:id="rId928" ref="AD742"/>
    <hyperlink r:id="rId929" ref="AE742"/>
    <hyperlink r:id="rId930" ref="AD743"/>
    <hyperlink r:id="rId931" ref="AE743"/>
    <hyperlink r:id="rId932" ref="AD744"/>
    <hyperlink r:id="rId933" ref="AE744"/>
    <hyperlink r:id="rId934" ref="AD745"/>
    <hyperlink r:id="rId935" ref="AE745"/>
    <hyperlink r:id="rId936" ref="AD746"/>
    <hyperlink r:id="rId937" ref="AE746"/>
    <hyperlink r:id="rId938" ref="AD747"/>
    <hyperlink r:id="rId939" ref="AE747"/>
    <hyperlink r:id="rId940" ref="AD748"/>
    <hyperlink r:id="rId941" ref="AE748"/>
    <hyperlink r:id="rId942" ref="AD749"/>
    <hyperlink r:id="rId943" ref="AE749"/>
    <hyperlink r:id="rId944" ref="AD750"/>
    <hyperlink r:id="rId945" ref="AE750"/>
    <hyperlink r:id="rId946" ref="AE751"/>
    <hyperlink r:id="rId947" ref="AD752"/>
    <hyperlink r:id="rId948" ref="AD753"/>
    <hyperlink r:id="rId949" ref="AE753"/>
    <hyperlink r:id="rId950" ref="AE754"/>
    <hyperlink r:id="rId951" ref="AD755"/>
    <hyperlink r:id="rId952" ref="AD756"/>
    <hyperlink r:id="rId953" ref="AE756"/>
    <hyperlink r:id="rId954" ref="AD757"/>
    <hyperlink r:id="rId955" ref="AE757"/>
    <hyperlink r:id="rId956" ref="AD758"/>
    <hyperlink r:id="rId957" ref="AE759"/>
    <hyperlink r:id="rId958" ref="AD760"/>
    <hyperlink r:id="rId959" ref="AE760"/>
    <hyperlink r:id="rId960" ref="AD761"/>
    <hyperlink r:id="rId961" ref="AE761"/>
    <hyperlink r:id="rId962" ref="AD762"/>
    <hyperlink r:id="rId963" ref="AE762"/>
    <hyperlink r:id="rId964" ref="AD763"/>
    <hyperlink r:id="rId965" ref="AE763"/>
    <hyperlink r:id="rId966" ref="AE765"/>
    <hyperlink r:id="rId967" ref="AD766"/>
    <hyperlink r:id="rId968" ref="AE766"/>
    <hyperlink r:id="rId969" ref="AD767"/>
    <hyperlink r:id="rId970" ref="AE767"/>
    <hyperlink r:id="rId971" ref="AD768"/>
    <hyperlink r:id="rId972" ref="AE768"/>
    <hyperlink r:id="rId973" ref="AE769"/>
    <hyperlink r:id="rId974" ref="AE770"/>
    <hyperlink r:id="rId975" ref="AE771"/>
    <hyperlink r:id="rId976" ref="AE772"/>
    <hyperlink r:id="rId977" ref="AE773"/>
    <hyperlink r:id="rId978" ref="AE774"/>
    <hyperlink r:id="rId979" ref="AD775"/>
    <hyperlink r:id="rId980" ref="AE775"/>
    <hyperlink r:id="rId981" ref="AD776"/>
    <hyperlink r:id="rId982" ref="AE776"/>
    <hyperlink r:id="rId983" ref="AD777"/>
    <hyperlink r:id="rId984" ref="AE777"/>
    <hyperlink r:id="rId985" ref="AE778"/>
    <hyperlink r:id="rId986" ref="AD779"/>
    <hyperlink r:id="rId987" ref="AD780"/>
    <hyperlink r:id="rId988" ref="AE780"/>
    <hyperlink r:id="rId989" ref="AD781"/>
    <hyperlink r:id="rId990" ref="AE781"/>
    <hyperlink r:id="rId991" ref="AD782"/>
    <hyperlink r:id="rId992" ref="AE782"/>
    <hyperlink r:id="rId993" ref="AD783"/>
    <hyperlink r:id="rId994" ref="AE783"/>
    <hyperlink r:id="rId995" ref="AD784"/>
    <hyperlink r:id="rId996" ref="AE784"/>
    <hyperlink r:id="rId997" ref="AE786"/>
    <hyperlink r:id="rId998" ref="AE787"/>
    <hyperlink r:id="rId999" ref="AE788"/>
    <hyperlink r:id="rId1000" ref="AD789"/>
    <hyperlink r:id="rId1001" ref="AE789"/>
    <hyperlink r:id="rId1002" ref="AD790"/>
    <hyperlink r:id="rId1003" ref="AE790"/>
    <hyperlink r:id="rId1004" ref="AD791"/>
    <hyperlink r:id="rId1005" ref="AE791"/>
    <hyperlink r:id="rId1006" ref="AD792"/>
    <hyperlink r:id="rId1007" ref="AE792"/>
    <hyperlink r:id="rId1008" ref="AE793"/>
    <hyperlink r:id="rId1009" ref="AE794"/>
    <hyperlink r:id="rId1010" ref="AE795"/>
    <hyperlink r:id="rId1011" ref="AE796"/>
    <hyperlink r:id="rId1012" ref="AE797"/>
    <hyperlink r:id="rId1013" ref="AE798"/>
    <hyperlink r:id="rId1014" ref="AD799"/>
    <hyperlink r:id="rId1015" ref="AE799"/>
    <hyperlink r:id="rId1016" ref="AE800"/>
    <hyperlink r:id="rId1017" ref="AE801"/>
    <hyperlink r:id="rId1018" ref="AE802"/>
    <hyperlink r:id="rId1019" ref="AE803"/>
    <hyperlink r:id="rId1020" ref="AE804"/>
    <hyperlink r:id="rId1021" ref="AE806"/>
    <hyperlink r:id="rId1022" ref="AE807"/>
    <hyperlink r:id="rId1023" ref="AE808"/>
    <hyperlink r:id="rId1024" ref="AD809"/>
    <hyperlink r:id="rId1025" ref="AE809"/>
    <hyperlink r:id="rId1026" ref="AD810"/>
    <hyperlink r:id="rId1027" ref="AE810"/>
    <hyperlink r:id="rId1028" ref="AE811"/>
    <hyperlink r:id="rId1029" ref="AD812"/>
    <hyperlink r:id="rId1030" ref="AE813"/>
    <hyperlink r:id="rId1031" ref="AE814"/>
    <hyperlink r:id="rId1032" ref="AE815"/>
    <hyperlink r:id="rId1033" ref="AE816"/>
    <hyperlink r:id="rId1034" ref="AE817"/>
    <hyperlink r:id="rId1035" ref="AD818"/>
    <hyperlink r:id="rId1036" ref="AD819"/>
    <hyperlink r:id="rId1037" ref="AE820"/>
    <hyperlink r:id="rId1038" ref="AE821"/>
    <hyperlink r:id="rId1039" ref="AD822"/>
    <hyperlink r:id="rId1040" ref="AE822"/>
    <hyperlink r:id="rId1041" ref="AD823"/>
    <hyperlink r:id="rId1042" ref="AE823"/>
    <hyperlink r:id="rId1043" ref="AE824"/>
    <hyperlink r:id="rId1044" ref="AE825"/>
    <hyperlink r:id="rId1045" ref="AE826"/>
    <hyperlink r:id="rId1046" ref="AE827"/>
    <hyperlink r:id="rId1047" ref="AE828"/>
    <hyperlink r:id="rId1048" ref="AE829"/>
    <hyperlink r:id="rId1049" ref="AE830"/>
    <hyperlink r:id="rId1050" ref="AE831"/>
    <hyperlink r:id="rId1051" ref="AE832"/>
    <hyperlink r:id="rId1052" ref="AE833"/>
    <hyperlink r:id="rId1053" ref="AE834"/>
    <hyperlink r:id="rId1054" ref="AE835"/>
    <hyperlink r:id="rId1055" ref="AD836"/>
    <hyperlink r:id="rId1056" ref="AE837"/>
    <hyperlink r:id="rId1057" ref="AE838"/>
    <hyperlink r:id="rId1058" ref="AE839"/>
    <hyperlink r:id="rId1059" ref="AE840"/>
    <hyperlink r:id="rId1060" ref="AE841"/>
    <hyperlink r:id="rId1061" ref="AE843"/>
    <hyperlink r:id="rId1062" ref="AE844"/>
    <hyperlink r:id="rId1063" ref="AE845"/>
    <hyperlink r:id="rId1064" ref="AE846"/>
    <hyperlink r:id="rId1065" ref="AE849"/>
    <hyperlink r:id="rId1066" ref="AE851"/>
    <hyperlink r:id="rId1067" ref="AE853"/>
    <hyperlink r:id="rId1068" ref="AE854"/>
    <hyperlink r:id="rId1069" ref="AE858"/>
    <hyperlink r:id="rId1070" ref="AE862"/>
    <hyperlink r:id="rId1071" ref="AD863"/>
    <hyperlink r:id="rId1072" ref="AE863"/>
    <hyperlink r:id="rId1073" ref="AE864"/>
    <hyperlink r:id="rId1074" ref="AE867"/>
  </hyperlinks>
  <drawing r:id="rId10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327</v>
      </c>
      <c r="I1" s="7" t="s">
        <v>328</v>
      </c>
      <c r="J1" s="7" t="s">
        <v>329</v>
      </c>
      <c r="K1" s="7" t="s">
        <v>330</v>
      </c>
      <c r="L1" s="7" t="s">
        <v>331</v>
      </c>
      <c r="M1" s="7" t="s">
        <v>332</v>
      </c>
      <c r="N1" s="7" t="s">
        <v>333</v>
      </c>
      <c r="O1" s="7" t="s">
        <v>334</v>
      </c>
      <c r="P1" s="7" t="s">
        <v>335</v>
      </c>
      <c r="Q1" s="7" t="s">
        <v>336</v>
      </c>
      <c r="R1" s="7" t="s">
        <v>337</v>
      </c>
      <c r="S1" s="7" t="s">
        <v>338</v>
      </c>
      <c r="T1" s="7" t="s">
        <v>339</v>
      </c>
      <c r="U1" s="7" t="s">
        <v>340</v>
      </c>
      <c r="V1" s="7" t="s">
        <v>341</v>
      </c>
      <c r="W1" s="7" t="s">
        <v>342</v>
      </c>
      <c r="X1" s="7" t="s">
        <v>343</v>
      </c>
      <c r="Y1" s="7" t="s">
        <v>344</v>
      </c>
      <c r="Z1" s="7" t="s">
        <v>345</v>
      </c>
      <c r="AA1" s="7" t="s">
        <v>346</v>
      </c>
      <c r="AB1" s="7" t="s">
        <v>347</v>
      </c>
      <c r="AC1" s="7" t="s">
        <v>348</v>
      </c>
      <c r="AD1" s="7" t="s">
        <v>349</v>
      </c>
      <c r="AE1" s="7" t="s">
        <v>350</v>
      </c>
    </row>
    <row r="2">
      <c r="A2" s="7" t="s">
        <v>351</v>
      </c>
      <c r="B2" s="7" t="s">
        <v>352</v>
      </c>
      <c r="C2" s="8">
        <v>45959.0</v>
      </c>
      <c r="D2" s="8">
        <v>46203.0</v>
      </c>
      <c r="E2" s="7" t="s">
        <v>353</v>
      </c>
      <c r="F2" s="7" t="s">
        <v>354</v>
      </c>
      <c r="G2" s="7" t="s">
        <v>355</v>
      </c>
      <c r="H2" s="9">
        <v>2.01273767E8</v>
      </c>
      <c r="I2" s="9">
        <v>2.1618564E7</v>
      </c>
      <c r="J2" s="9">
        <v>2637230.0</v>
      </c>
      <c r="K2" s="9">
        <v>9405671.0</v>
      </c>
      <c r="L2" s="10">
        <v>1.2114669968787979</v>
      </c>
      <c r="M2" s="9">
        <v>21.399192784863516</v>
      </c>
      <c r="N2" s="9">
        <v>858783.0</v>
      </c>
      <c r="O2" s="9">
        <v>844304.0</v>
      </c>
      <c r="P2" s="9">
        <v>285060.0</v>
      </c>
      <c r="Q2" s="9">
        <v>8156.0</v>
      </c>
      <c r="R2" s="9">
        <v>4476.0</v>
      </c>
      <c r="S2" s="9">
        <v>4476.0</v>
      </c>
      <c r="T2" s="9">
        <v>1117.0</v>
      </c>
      <c r="U2" s="9">
        <v>854.0</v>
      </c>
      <c r="V2" s="9">
        <v>0.0</v>
      </c>
      <c r="W2" s="9">
        <v>0.0</v>
      </c>
      <c r="X2" s="9">
        <v>0.0</v>
      </c>
      <c r="Y2" s="9">
        <v>0.0</v>
      </c>
      <c r="Z2" s="9">
        <v>0.0</v>
      </c>
      <c r="AA2" s="9">
        <v>0.0</v>
      </c>
      <c r="AB2" s="9">
        <v>0.0</v>
      </c>
      <c r="AC2" s="9">
        <v>0.0</v>
      </c>
      <c r="AD2" s="11" t="s">
        <v>7</v>
      </c>
      <c r="AE2" s="9"/>
    </row>
    <row r="3">
      <c r="A3" s="7" t="s">
        <v>356</v>
      </c>
      <c r="B3" s="7" t="s">
        <v>357</v>
      </c>
      <c r="C3" s="8">
        <v>46052.0</v>
      </c>
      <c r="D3" s="8">
        <v>46178.0</v>
      </c>
      <c r="E3" s="7" t="s">
        <v>358</v>
      </c>
      <c r="F3" s="7" t="s">
        <v>359</v>
      </c>
      <c r="G3" s="7" t="s">
        <v>355</v>
      </c>
      <c r="H3" s="9">
        <v>0.0</v>
      </c>
      <c r="I3" s="9">
        <v>0.0</v>
      </c>
      <c r="J3" s="9">
        <v>0.0</v>
      </c>
      <c r="K3" s="9">
        <v>0.0</v>
      </c>
      <c r="L3" s="10">
        <v>0.0</v>
      </c>
      <c r="M3" s="9">
        <v>0.0</v>
      </c>
      <c r="N3" s="9">
        <v>21556.0</v>
      </c>
      <c r="O3" s="9">
        <v>21228.0</v>
      </c>
      <c r="P3" s="9">
        <v>7666.0</v>
      </c>
      <c r="Q3" s="9">
        <v>393.0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  <c r="AB3" s="9">
        <v>0.0</v>
      </c>
      <c r="AC3" s="9">
        <v>0.0</v>
      </c>
      <c r="AD3" s="9"/>
      <c r="AE3" s="9" t="s">
        <v>9</v>
      </c>
    </row>
    <row r="4">
      <c r="A4" s="7" t="s">
        <v>360</v>
      </c>
      <c r="B4" s="7" t="s">
        <v>361</v>
      </c>
      <c r="C4" s="8">
        <v>46031.0</v>
      </c>
      <c r="D4" s="8">
        <v>46136.0</v>
      </c>
      <c r="E4" s="7" t="s">
        <v>358</v>
      </c>
      <c r="F4" s="7" t="s">
        <v>359</v>
      </c>
      <c r="G4" s="7" t="s">
        <v>355</v>
      </c>
      <c r="H4" s="9">
        <v>0.0</v>
      </c>
      <c r="I4" s="9">
        <v>0.0</v>
      </c>
      <c r="J4" s="9">
        <v>0.0</v>
      </c>
      <c r="K4" s="9">
        <v>0.0</v>
      </c>
      <c r="L4" s="10">
        <v>0.0</v>
      </c>
      <c r="M4" s="9">
        <v>0.0</v>
      </c>
      <c r="N4" s="9">
        <v>648150.0</v>
      </c>
      <c r="O4" s="9">
        <v>634433.0</v>
      </c>
      <c r="P4" s="9">
        <v>181275.0</v>
      </c>
      <c r="Q4" s="9">
        <v>1540.0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  <c r="AB4" s="9">
        <v>0.0</v>
      </c>
      <c r="AC4" s="9">
        <v>0.0</v>
      </c>
      <c r="AD4" s="9"/>
      <c r="AE4" s="9" t="s">
        <v>9</v>
      </c>
    </row>
    <row r="5">
      <c r="A5" s="7" t="s">
        <v>362</v>
      </c>
      <c r="B5" s="7" t="s">
        <v>363</v>
      </c>
      <c r="C5" s="8">
        <v>45936.0</v>
      </c>
      <c r="D5" s="8">
        <v>46081.0</v>
      </c>
      <c r="E5" s="7" t="s">
        <v>364</v>
      </c>
      <c r="F5" s="7" t="s">
        <v>365</v>
      </c>
      <c r="G5" s="7" t="s">
        <v>355</v>
      </c>
      <c r="H5" s="9">
        <v>1.20265231E8</v>
      </c>
      <c r="I5" s="9">
        <v>1.4353067E7</v>
      </c>
      <c r="J5" s="9">
        <v>530499.0</v>
      </c>
      <c r="K5" s="9">
        <v>6681997.0</v>
      </c>
      <c r="L5" s="10">
        <v>0.9273354956609529</v>
      </c>
      <c r="M5" s="9">
        <v>17.99839643747221</v>
      </c>
      <c r="N5" s="9">
        <v>2962736.0</v>
      </c>
      <c r="O5" s="9">
        <v>3124082.0</v>
      </c>
      <c r="P5" s="9">
        <v>1008617.0</v>
      </c>
      <c r="Q5" s="9">
        <v>19835.0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16505.0</v>
      </c>
      <c r="AB5" s="9">
        <v>15794.0</v>
      </c>
      <c r="AC5" s="9">
        <v>82.0</v>
      </c>
      <c r="AD5" s="11" t="s">
        <v>10</v>
      </c>
      <c r="AE5" s="9" t="s">
        <v>9</v>
      </c>
    </row>
    <row r="6">
      <c r="A6" s="7" t="s">
        <v>366</v>
      </c>
      <c r="B6" s="7" t="s">
        <v>367</v>
      </c>
      <c r="C6" s="8">
        <v>46031.0</v>
      </c>
      <c r="D6" s="8">
        <v>46223.0</v>
      </c>
      <c r="E6" s="7" t="s">
        <v>358</v>
      </c>
      <c r="F6" s="7" t="s">
        <v>359</v>
      </c>
      <c r="G6" s="7" t="s">
        <v>355</v>
      </c>
      <c r="H6" s="9">
        <v>0.0</v>
      </c>
      <c r="I6" s="9">
        <v>0.0</v>
      </c>
      <c r="J6" s="9">
        <v>0.0</v>
      </c>
      <c r="K6" s="9">
        <v>0.0</v>
      </c>
      <c r="L6" s="10">
        <v>0.0</v>
      </c>
      <c r="M6" s="9">
        <v>0.0</v>
      </c>
      <c r="N6" s="9">
        <v>69878.0</v>
      </c>
      <c r="O6" s="9">
        <v>68815.0</v>
      </c>
      <c r="P6" s="9">
        <v>23523.0</v>
      </c>
      <c r="Q6" s="9">
        <v>1379.0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/>
      <c r="AE6" s="9" t="s">
        <v>9</v>
      </c>
    </row>
    <row r="7">
      <c r="A7" s="7" t="s">
        <v>368</v>
      </c>
      <c r="B7" s="7" t="s">
        <v>369</v>
      </c>
      <c r="C7" s="8">
        <v>46031.0</v>
      </c>
      <c r="D7" s="8">
        <v>46223.0</v>
      </c>
      <c r="E7" s="7" t="s">
        <v>358</v>
      </c>
      <c r="F7" s="7" t="s">
        <v>359</v>
      </c>
      <c r="G7" s="7" t="s">
        <v>355</v>
      </c>
      <c r="H7" s="9">
        <v>0.0</v>
      </c>
      <c r="I7" s="9">
        <v>0.0</v>
      </c>
      <c r="J7" s="9">
        <v>0.0</v>
      </c>
      <c r="K7" s="9">
        <v>0.0</v>
      </c>
      <c r="L7" s="10">
        <v>0.0</v>
      </c>
      <c r="M7" s="9">
        <v>0.0</v>
      </c>
      <c r="N7" s="9">
        <v>15590.0</v>
      </c>
      <c r="O7" s="9">
        <v>15371.0</v>
      </c>
      <c r="P7" s="9">
        <v>5329.0</v>
      </c>
      <c r="Q7" s="9">
        <v>415.0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  <c r="AB7" s="9">
        <v>0.0</v>
      </c>
      <c r="AC7" s="9">
        <v>0.0</v>
      </c>
      <c r="AD7" s="9"/>
      <c r="AE7" s="9" t="s">
        <v>9</v>
      </c>
    </row>
    <row r="8">
      <c r="A8" s="7" t="s">
        <v>370</v>
      </c>
      <c r="B8" s="7" t="s">
        <v>371</v>
      </c>
      <c r="C8" s="8">
        <v>46038.0</v>
      </c>
      <c r="D8" s="8">
        <v>46223.0</v>
      </c>
      <c r="E8" s="7" t="s">
        <v>358</v>
      </c>
      <c r="F8" s="7" t="s">
        <v>359</v>
      </c>
      <c r="G8" s="7" t="s">
        <v>355</v>
      </c>
      <c r="H8" s="9">
        <v>0.0</v>
      </c>
      <c r="I8" s="9">
        <v>0.0</v>
      </c>
      <c r="J8" s="9">
        <v>0.0</v>
      </c>
      <c r="K8" s="9">
        <v>0.0</v>
      </c>
      <c r="L8" s="10">
        <v>0.0</v>
      </c>
      <c r="M8" s="9">
        <v>0.0</v>
      </c>
      <c r="N8" s="9">
        <v>18528.0</v>
      </c>
      <c r="O8" s="9">
        <v>18309.0</v>
      </c>
      <c r="P8" s="9">
        <v>6404.0</v>
      </c>
      <c r="Q8" s="9">
        <v>426.0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/>
      <c r="AE8" s="9" t="s">
        <v>9</v>
      </c>
    </row>
    <row r="9">
      <c r="A9" s="7" t="s">
        <v>372</v>
      </c>
      <c r="B9" s="7" t="s">
        <v>373</v>
      </c>
      <c r="C9" s="8">
        <v>46071.0</v>
      </c>
      <c r="D9" s="8">
        <v>46220.0</v>
      </c>
      <c r="E9" s="7" t="s">
        <v>358</v>
      </c>
      <c r="F9" s="7" t="s">
        <v>359</v>
      </c>
      <c r="G9" s="7" t="s">
        <v>355</v>
      </c>
      <c r="H9" s="9">
        <v>0.0</v>
      </c>
      <c r="I9" s="9">
        <v>0.0</v>
      </c>
      <c r="J9" s="9">
        <v>0.0</v>
      </c>
      <c r="K9" s="9">
        <v>0.0</v>
      </c>
      <c r="L9" s="10">
        <v>0.0</v>
      </c>
      <c r="M9" s="9">
        <v>0.0</v>
      </c>
      <c r="N9" s="9">
        <v>444872.0</v>
      </c>
      <c r="O9" s="9">
        <v>439325.0</v>
      </c>
      <c r="P9" s="9">
        <v>133653.0</v>
      </c>
      <c r="Q9" s="9">
        <v>3043.0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/>
      <c r="AE9" s="9" t="s">
        <v>9</v>
      </c>
    </row>
    <row r="10">
      <c r="A10" s="7" t="s">
        <v>374</v>
      </c>
      <c r="B10" s="7" t="s">
        <v>375</v>
      </c>
      <c r="C10" s="8">
        <v>46035.0</v>
      </c>
      <c r="D10" s="8">
        <v>46216.0</v>
      </c>
      <c r="E10" s="7" t="s">
        <v>358</v>
      </c>
      <c r="F10" s="7" t="s">
        <v>359</v>
      </c>
      <c r="G10" s="7" t="s">
        <v>355</v>
      </c>
      <c r="H10" s="9">
        <v>0.0</v>
      </c>
      <c r="I10" s="9">
        <v>0.0</v>
      </c>
      <c r="J10" s="9">
        <v>0.0</v>
      </c>
      <c r="K10" s="9">
        <v>0.0</v>
      </c>
      <c r="L10" s="10">
        <v>0.0</v>
      </c>
      <c r="M10" s="9">
        <v>0.0</v>
      </c>
      <c r="N10" s="9">
        <v>145204.0</v>
      </c>
      <c r="O10" s="9">
        <v>141927.0</v>
      </c>
      <c r="P10" s="9">
        <v>46936.0</v>
      </c>
      <c r="Q10" s="9">
        <v>2044.0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/>
      <c r="AE10" s="9" t="s">
        <v>9</v>
      </c>
    </row>
    <row r="11">
      <c r="A11" s="7" t="s">
        <v>376</v>
      </c>
      <c r="B11" s="7" t="s">
        <v>377</v>
      </c>
      <c r="C11" s="8">
        <v>46013.0</v>
      </c>
      <c r="D11" s="8">
        <v>46027.0</v>
      </c>
      <c r="E11" s="7" t="s">
        <v>353</v>
      </c>
      <c r="F11" s="7" t="s">
        <v>378</v>
      </c>
      <c r="G11" s="7" t="s">
        <v>355</v>
      </c>
      <c r="H11" s="9">
        <v>5541119.0</v>
      </c>
      <c r="I11" s="9">
        <v>634751.0</v>
      </c>
      <c r="J11" s="9">
        <v>14536.0</v>
      </c>
      <c r="K11" s="9">
        <v>0.0</v>
      </c>
      <c r="L11" s="10">
        <v>0.0</v>
      </c>
      <c r="M11" s="9">
        <v>0.0</v>
      </c>
      <c r="N11" s="9">
        <v>81077.0</v>
      </c>
      <c r="O11" s="9">
        <v>79591.0</v>
      </c>
      <c r="P11" s="9">
        <v>31217.0</v>
      </c>
      <c r="Q11" s="9">
        <v>1060.0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/>
      <c r="AE11" s="9"/>
    </row>
    <row r="12">
      <c r="A12" s="7" t="s">
        <v>379</v>
      </c>
      <c r="B12" s="7" t="s">
        <v>380</v>
      </c>
      <c r="C12" s="8">
        <v>45952.0</v>
      </c>
      <c r="D12" s="8">
        <v>46073.0</v>
      </c>
      <c r="E12" s="7" t="s">
        <v>353</v>
      </c>
      <c r="F12" s="7" t="s">
        <v>354</v>
      </c>
      <c r="G12" s="7" t="s">
        <v>355</v>
      </c>
      <c r="H12" s="9">
        <v>2.4528982E7</v>
      </c>
      <c r="I12" s="9">
        <v>0.0</v>
      </c>
      <c r="J12" s="9">
        <v>555619.0</v>
      </c>
      <c r="K12" s="9">
        <v>1745904.0</v>
      </c>
      <c r="L12" s="10">
        <v>1.3171445852692931</v>
      </c>
      <c r="M12" s="9">
        <v>14.049444872112097</v>
      </c>
      <c r="N12" s="9">
        <v>132413.0</v>
      </c>
      <c r="O12" s="9">
        <v>130535.0</v>
      </c>
      <c r="P12" s="9">
        <v>87400.0</v>
      </c>
      <c r="Q12" s="9">
        <v>8263.0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  <c r="AB12" s="9">
        <v>0.0</v>
      </c>
      <c r="AC12" s="9">
        <v>0.0</v>
      </c>
      <c r="AD12" s="11" t="s">
        <v>11</v>
      </c>
      <c r="AE12" s="9"/>
    </row>
    <row r="13">
      <c r="A13" s="7" t="s">
        <v>381</v>
      </c>
      <c r="B13" s="7" t="s">
        <v>382</v>
      </c>
      <c r="C13" s="8">
        <v>46028.0</v>
      </c>
      <c r="D13" s="8">
        <v>46099.0</v>
      </c>
      <c r="E13" s="7" t="s">
        <v>358</v>
      </c>
      <c r="F13" s="7" t="s">
        <v>359</v>
      </c>
      <c r="G13" s="7" t="s">
        <v>355</v>
      </c>
      <c r="H13" s="9">
        <v>0.0</v>
      </c>
      <c r="I13" s="9">
        <v>0.0</v>
      </c>
      <c r="J13" s="9">
        <v>0.0</v>
      </c>
      <c r="K13" s="9">
        <v>0.0</v>
      </c>
      <c r="L13" s="10">
        <v>0.0</v>
      </c>
      <c r="M13" s="9">
        <v>0.0</v>
      </c>
      <c r="N13" s="9">
        <v>923.0</v>
      </c>
      <c r="O13" s="9">
        <v>898.0</v>
      </c>
      <c r="P13" s="9">
        <v>294.0</v>
      </c>
      <c r="Q13" s="9">
        <v>38.0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  <c r="AB13" s="9">
        <v>0.0</v>
      </c>
      <c r="AC13" s="9">
        <v>0.0</v>
      </c>
      <c r="AD13" s="9"/>
      <c r="AE13" s="9" t="s">
        <v>9</v>
      </c>
    </row>
    <row r="14">
      <c r="A14" s="7" t="s">
        <v>383</v>
      </c>
      <c r="B14" s="7" t="s">
        <v>384</v>
      </c>
      <c r="C14" s="8">
        <v>46050.0</v>
      </c>
      <c r="D14" s="8">
        <v>46066.0</v>
      </c>
      <c r="E14" s="7" t="s">
        <v>353</v>
      </c>
      <c r="F14" s="7" t="s">
        <v>378</v>
      </c>
      <c r="G14" s="7" t="s">
        <v>355</v>
      </c>
      <c r="H14" s="9">
        <v>3945078.0</v>
      </c>
      <c r="I14" s="9">
        <v>0.0</v>
      </c>
      <c r="J14" s="9">
        <v>9197.0</v>
      </c>
      <c r="K14" s="9">
        <v>1208470.0</v>
      </c>
      <c r="L14" s="10">
        <v>1.0665105463933735</v>
      </c>
      <c r="M14" s="9">
        <v>3.264522909133036</v>
      </c>
      <c r="N14" s="9">
        <v>100614.0</v>
      </c>
      <c r="O14" s="9">
        <v>99157.0</v>
      </c>
      <c r="P14" s="9">
        <v>42370.0</v>
      </c>
      <c r="Q14" s="9">
        <v>787.0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/>
      <c r="AE14" s="9" t="s">
        <v>9</v>
      </c>
    </row>
    <row r="15">
      <c r="A15" s="7" t="s">
        <v>385</v>
      </c>
      <c r="B15" s="7" t="s">
        <v>386</v>
      </c>
      <c r="C15" s="8">
        <v>46020.0</v>
      </c>
      <c r="D15" s="8">
        <v>46174.0</v>
      </c>
      <c r="E15" s="7" t="s">
        <v>358</v>
      </c>
      <c r="F15" s="7" t="s">
        <v>387</v>
      </c>
      <c r="G15" s="7" t="s">
        <v>355</v>
      </c>
      <c r="H15" s="9">
        <v>2352745.0</v>
      </c>
      <c r="I15" s="9">
        <v>0.0</v>
      </c>
      <c r="J15" s="9">
        <v>7138.0</v>
      </c>
      <c r="K15" s="9">
        <v>1084144.0</v>
      </c>
      <c r="L15" s="10">
        <v>1.9502769004855443</v>
      </c>
      <c r="M15" s="9">
        <v>2.170140682418572</v>
      </c>
      <c r="N15" s="9">
        <v>1136573.0</v>
      </c>
      <c r="O15" s="9">
        <v>1111059.0</v>
      </c>
      <c r="P15" s="9">
        <v>368628.0</v>
      </c>
      <c r="Q15" s="9">
        <v>9109.0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11" t="s">
        <v>12</v>
      </c>
      <c r="AE15" s="9" t="s">
        <v>9</v>
      </c>
    </row>
    <row r="16">
      <c r="A16" s="7" t="s">
        <v>388</v>
      </c>
      <c r="B16" s="7" t="s">
        <v>389</v>
      </c>
      <c r="C16" s="8">
        <v>45992.0</v>
      </c>
      <c r="D16" s="8">
        <v>46068.0</v>
      </c>
      <c r="E16" s="7" t="s">
        <v>353</v>
      </c>
      <c r="F16" s="7" t="s">
        <v>378</v>
      </c>
      <c r="G16" s="7" t="s">
        <v>355</v>
      </c>
      <c r="H16" s="9">
        <v>6.3685126E7</v>
      </c>
      <c r="I16" s="9">
        <v>1.1819633E7</v>
      </c>
      <c r="J16" s="9">
        <v>218716.0</v>
      </c>
      <c r="K16" s="9">
        <v>2510514.0</v>
      </c>
      <c r="L16" s="10">
        <v>2.9775759067665026</v>
      </c>
      <c r="M16" s="9">
        <v>25.367365408039948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44842.0</v>
      </c>
      <c r="AB16" s="9">
        <v>43029.0</v>
      </c>
      <c r="AC16" s="9">
        <v>724.0</v>
      </c>
      <c r="AD16" s="11" t="s">
        <v>13</v>
      </c>
      <c r="AE16" s="9"/>
    </row>
    <row r="17">
      <c r="A17" s="7" t="s">
        <v>390</v>
      </c>
      <c r="B17" s="7" t="s">
        <v>391</v>
      </c>
      <c r="C17" s="8">
        <v>45981.0</v>
      </c>
      <c r="D17" s="8">
        <v>46037.0</v>
      </c>
      <c r="E17" s="7" t="s">
        <v>364</v>
      </c>
      <c r="F17" s="7" t="s">
        <v>365</v>
      </c>
      <c r="G17" s="7" t="s">
        <v>355</v>
      </c>
      <c r="H17" s="9">
        <v>5.6510666E7</v>
      </c>
      <c r="I17" s="9">
        <v>1.3306488E7</v>
      </c>
      <c r="J17" s="9">
        <v>109062.0</v>
      </c>
      <c r="K17" s="9">
        <v>2996348.0</v>
      </c>
      <c r="L17" s="10">
        <v>1.9993094927558481</v>
      </c>
      <c r="M17" s="9">
        <v>18.859847387553113</v>
      </c>
      <c r="N17" s="9">
        <v>448806.0</v>
      </c>
      <c r="O17" s="9">
        <v>441370.0</v>
      </c>
      <c r="P17" s="9">
        <v>157871.0</v>
      </c>
      <c r="Q17" s="9">
        <v>1073.0</v>
      </c>
      <c r="R17" s="9">
        <v>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9">
        <v>0.0</v>
      </c>
      <c r="Y17" s="9">
        <v>0.0</v>
      </c>
      <c r="Z17" s="9">
        <v>0.0</v>
      </c>
      <c r="AA17" s="9">
        <v>0.0</v>
      </c>
      <c r="AB17" s="9">
        <v>0.0</v>
      </c>
      <c r="AC17" s="9">
        <v>0.0</v>
      </c>
      <c r="AD17" s="11" t="s">
        <v>14</v>
      </c>
      <c r="AE17" s="9" t="s">
        <v>9</v>
      </c>
    </row>
    <row r="18">
      <c r="A18" s="7" t="s">
        <v>392</v>
      </c>
      <c r="B18" s="7" t="s">
        <v>393</v>
      </c>
      <c r="C18" s="8">
        <v>45996.0</v>
      </c>
      <c r="D18" s="8">
        <v>46081.0</v>
      </c>
      <c r="E18" s="7" t="s">
        <v>353</v>
      </c>
      <c r="F18" s="7" t="s">
        <v>378</v>
      </c>
      <c r="G18" s="7" t="s">
        <v>355</v>
      </c>
      <c r="H18" s="9">
        <v>4.4318251E7</v>
      </c>
      <c r="I18" s="9">
        <v>7628858.0</v>
      </c>
      <c r="J18" s="9">
        <v>207888.0</v>
      </c>
      <c r="K18" s="9">
        <v>3270088.0</v>
      </c>
      <c r="L18" s="10">
        <v>3.1020116278216365</v>
      </c>
      <c r="M18" s="9">
        <v>13.552617238435174</v>
      </c>
      <c r="N18" s="9">
        <v>393084.0</v>
      </c>
      <c r="O18" s="9">
        <v>386497.0</v>
      </c>
      <c r="P18" s="9">
        <v>128673.0</v>
      </c>
      <c r="Q18" s="9">
        <v>1026.0</v>
      </c>
      <c r="R18" s="9">
        <v>0.0</v>
      </c>
      <c r="S18" s="9">
        <v>0.0</v>
      </c>
      <c r="T18" s="9">
        <v>0.0</v>
      </c>
      <c r="U18" s="9">
        <v>0.0</v>
      </c>
      <c r="V18" s="9">
        <v>60114.0</v>
      </c>
      <c r="W18" s="9">
        <v>60114.0</v>
      </c>
      <c r="X18" s="9">
        <v>50294.0</v>
      </c>
      <c r="Y18" s="9">
        <v>14803.0</v>
      </c>
      <c r="Z18" s="9">
        <v>0.0</v>
      </c>
      <c r="AA18" s="9">
        <v>44261.0</v>
      </c>
      <c r="AB18" s="9">
        <v>42094.0</v>
      </c>
      <c r="AC18" s="9">
        <v>432.0</v>
      </c>
      <c r="AD18" s="11" t="s">
        <v>15</v>
      </c>
      <c r="AE18" s="9" t="s">
        <v>9</v>
      </c>
    </row>
    <row r="19">
      <c r="A19" s="7" t="s">
        <v>394</v>
      </c>
      <c r="B19" s="7" t="s">
        <v>395</v>
      </c>
      <c r="C19" s="8">
        <v>46009.0</v>
      </c>
      <c r="D19" s="8">
        <v>46081.0</v>
      </c>
      <c r="E19" s="7" t="s">
        <v>353</v>
      </c>
      <c r="F19" s="7" t="s">
        <v>378</v>
      </c>
      <c r="G19" s="7" t="s">
        <v>355</v>
      </c>
      <c r="H19" s="9">
        <v>3.779245E7</v>
      </c>
      <c r="I19" s="9">
        <v>5153493.0</v>
      </c>
      <c r="J19" s="9">
        <v>136800.0</v>
      </c>
      <c r="K19" s="9">
        <v>1979868.0</v>
      </c>
      <c r="L19" s="10">
        <v>3.427690633921049</v>
      </c>
      <c r="M19" s="9">
        <v>19.088368517497127</v>
      </c>
      <c r="N19" s="9">
        <v>202759.0</v>
      </c>
      <c r="O19" s="9">
        <v>198265.0</v>
      </c>
      <c r="P19" s="9">
        <v>46872.0</v>
      </c>
      <c r="Q19" s="9">
        <v>167.0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11" t="s">
        <v>16</v>
      </c>
      <c r="AE19" s="9" t="s">
        <v>9</v>
      </c>
    </row>
    <row r="20">
      <c r="A20" s="7" t="s">
        <v>396</v>
      </c>
      <c r="B20" s="7" t="s">
        <v>397</v>
      </c>
      <c r="C20" s="8">
        <v>46020.0</v>
      </c>
      <c r="D20" s="8">
        <v>46058.0</v>
      </c>
      <c r="E20" s="7" t="s">
        <v>353</v>
      </c>
      <c r="F20" s="7" t="s">
        <v>378</v>
      </c>
      <c r="G20" s="7" t="s">
        <v>355</v>
      </c>
      <c r="H20" s="9">
        <v>6328947.0</v>
      </c>
      <c r="I20" s="9">
        <v>0.0</v>
      </c>
      <c r="J20" s="9">
        <v>50769.0</v>
      </c>
      <c r="K20" s="9">
        <v>2394484.0</v>
      </c>
      <c r="L20" s="10">
        <v>1.3164297610675202</v>
      </c>
      <c r="M20" s="9">
        <v>2.643136057705961</v>
      </c>
      <c r="N20" s="9">
        <v>246623.0</v>
      </c>
      <c r="O20" s="9">
        <v>243978.0</v>
      </c>
      <c r="P20" s="9">
        <v>116854.0</v>
      </c>
      <c r="Q20" s="9">
        <v>114.0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62485.0</v>
      </c>
      <c r="AB20" s="9">
        <v>59237.0</v>
      </c>
      <c r="AC20" s="9">
        <v>372.0</v>
      </c>
      <c r="AD20" s="11" t="s">
        <v>12</v>
      </c>
      <c r="AE20" s="9"/>
    </row>
    <row r="21">
      <c r="A21" s="7" t="s">
        <v>398</v>
      </c>
      <c r="B21" s="7" t="s">
        <v>399</v>
      </c>
      <c r="C21" s="8">
        <v>46008.0</v>
      </c>
      <c r="D21" s="8">
        <v>46068.0</v>
      </c>
      <c r="E21" s="7" t="s">
        <v>353</v>
      </c>
      <c r="F21" s="7" t="s">
        <v>378</v>
      </c>
      <c r="G21" s="7" t="s">
        <v>355</v>
      </c>
      <c r="H21" s="9">
        <v>3.8197009E7</v>
      </c>
      <c r="I21" s="9">
        <v>0.0</v>
      </c>
      <c r="J21" s="9">
        <v>552532.0</v>
      </c>
      <c r="K21" s="9">
        <v>1566896.0</v>
      </c>
      <c r="L21" s="10">
        <v>3.622640558148084</v>
      </c>
      <c r="M21" s="9">
        <v>24.37750112323983</v>
      </c>
      <c r="N21" s="9">
        <v>907590.0</v>
      </c>
      <c r="O21" s="9">
        <v>862876.0</v>
      </c>
      <c r="P21" s="9">
        <v>284653.0</v>
      </c>
      <c r="Q21" s="9">
        <v>624.0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11" t="s">
        <v>17</v>
      </c>
      <c r="AE21" s="9" t="s">
        <v>9</v>
      </c>
    </row>
    <row r="22">
      <c r="A22" s="7" t="s">
        <v>400</v>
      </c>
      <c r="B22" s="7" t="s">
        <v>401</v>
      </c>
      <c r="C22" s="8">
        <v>46010.0</v>
      </c>
      <c r="D22" s="8">
        <v>46068.0</v>
      </c>
      <c r="E22" s="7" t="s">
        <v>353</v>
      </c>
      <c r="F22" s="7" t="s">
        <v>378</v>
      </c>
      <c r="G22" s="7" t="s">
        <v>355</v>
      </c>
      <c r="H22" s="9">
        <v>2.826148E7</v>
      </c>
      <c r="I22" s="9">
        <v>5404995.0</v>
      </c>
      <c r="J22" s="9">
        <v>94248.0</v>
      </c>
      <c r="K22" s="9">
        <v>1318610.0</v>
      </c>
      <c r="L22" s="10">
        <v>2.642122386452401</v>
      </c>
      <c r="M22" s="9">
        <v>21.432781489598895</v>
      </c>
      <c r="N22" s="9">
        <v>348034.0</v>
      </c>
      <c r="O22" s="9">
        <v>344435.0</v>
      </c>
      <c r="P22" s="9">
        <v>178103.0</v>
      </c>
      <c r="Q22" s="9">
        <v>356.0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9">
        <v>0.0</v>
      </c>
      <c r="AA22" s="9">
        <v>0.0</v>
      </c>
      <c r="AB22" s="9">
        <v>0.0</v>
      </c>
      <c r="AC22" s="9">
        <v>0.0</v>
      </c>
      <c r="AD22" s="11" t="s">
        <v>18</v>
      </c>
      <c r="AE22" s="9" t="s">
        <v>9</v>
      </c>
    </row>
    <row r="23">
      <c r="A23" s="7" t="s">
        <v>402</v>
      </c>
      <c r="B23" s="7" t="s">
        <v>403</v>
      </c>
      <c r="C23" s="8">
        <v>45994.0</v>
      </c>
      <c r="D23" s="8">
        <v>46053.0</v>
      </c>
      <c r="E23" s="7" t="s">
        <v>404</v>
      </c>
      <c r="F23" s="7" t="s">
        <v>405</v>
      </c>
      <c r="G23" s="7" t="s">
        <v>355</v>
      </c>
      <c r="H23" s="9">
        <v>7.5245249E7</v>
      </c>
      <c r="I23" s="9">
        <v>1.3466546E7</v>
      </c>
      <c r="J23" s="9">
        <v>799082.0</v>
      </c>
      <c r="K23" s="9">
        <v>7843297.0</v>
      </c>
      <c r="L23" s="10">
        <v>1.9541975778808325</v>
      </c>
      <c r="M23" s="9">
        <v>9.593573850384603</v>
      </c>
      <c r="N23" s="9">
        <v>657996.0</v>
      </c>
      <c r="O23" s="9">
        <v>645327.0</v>
      </c>
      <c r="P23" s="9">
        <v>198939.0</v>
      </c>
      <c r="Q23" s="9">
        <v>10076.0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0.0</v>
      </c>
      <c r="AA23" s="9">
        <v>0.0</v>
      </c>
      <c r="AB23" s="9">
        <v>0.0</v>
      </c>
      <c r="AC23" s="9">
        <v>0.0</v>
      </c>
      <c r="AD23" s="11" t="s">
        <v>19</v>
      </c>
      <c r="AE23" s="9"/>
    </row>
    <row r="24">
      <c r="A24" s="7" t="s">
        <v>406</v>
      </c>
      <c r="B24" s="7" t="s">
        <v>407</v>
      </c>
      <c r="C24" s="8">
        <v>46040.0</v>
      </c>
      <c r="D24" s="8">
        <v>46053.0</v>
      </c>
      <c r="E24" s="7" t="s">
        <v>358</v>
      </c>
      <c r="F24" s="7" t="s">
        <v>365</v>
      </c>
      <c r="G24" s="7" t="s">
        <v>355</v>
      </c>
      <c r="H24" s="9">
        <v>656152.0</v>
      </c>
      <c r="I24" s="9">
        <v>0.0</v>
      </c>
      <c r="J24" s="9">
        <v>4677.0</v>
      </c>
      <c r="K24" s="9">
        <v>293307.0</v>
      </c>
      <c r="L24" s="10">
        <v>2.237082647192191</v>
      </c>
      <c r="M24" s="9">
        <v>2.237082647192191</v>
      </c>
      <c r="N24" s="9">
        <v>34125.0</v>
      </c>
      <c r="O24" s="9">
        <v>33543.0</v>
      </c>
      <c r="P24" s="9">
        <v>11623.0</v>
      </c>
      <c r="Q24" s="9">
        <v>221.0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11" t="s">
        <v>20</v>
      </c>
      <c r="AE24" s="9" t="s">
        <v>9</v>
      </c>
    </row>
    <row r="25">
      <c r="A25" s="7" t="s">
        <v>408</v>
      </c>
      <c r="B25" s="7" t="s">
        <v>409</v>
      </c>
      <c r="C25" s="8">
        <v>46006.0</v>
      </c>
      <c r="D25" s="8">
        <v>46265.0</v>
      </c>
      <c r="E25" s="7" t="s">
        <v>353</v>
      </c>
      <c r="F25" s="7" t="s">
        <v>354</v>
      </c>
      <c r="G25" s="7" t="s">
        <v>410</v>
      </c>
      <c r="H25" s="9">
        <v>3.7630874E7</v>
      </c>
      <c r="I25" s="9">
        <v>2298580.0</v>
      </c>
      <c r="J25" s="9">
        <v>197893.0</v>
      </c>
      <c r="K25" s="9">
        <v>845956.0</v>
      </c>
      <c r="L25" s="10">
        <v>2.745192421355248</v>
      </c>
      <c r="M25" s="9">
        <v>44.48325208403274</v>
      </c>
      <c r="N25" s="9">
        <v>390326.0</v>
      </c>
      <c r="O25" s="9">
        <v>382880.0</v>
      </c>
      <c r="P25" s="9">
        <v>132608.0</v>
      </c>
      <c r="Q25" s="9">
        <v>2847.0</v>
      </c>
      <c r="R25" s="9">
        <v>2471.0</v>
      </c>
      <c r="S25" s="9">
        <v>2471.0</v>
      </c>
      <c r="T25" s="9">
        <v>938.0</v>
      </c>
      <c r="U25" s="9">
        <v>695.0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11" t="s">
        <v>21</v>
      </c>
      <c r="AE25" s="9" t="s">
        <v>9</v>
      </c>
    </row>
    <row r="26">
      <c r="A26" s="7" t="s">
        <v>411</v>
      </c>
      <c r="B26" s="7" t="s">
        <v>412</v>
      </c>
      <c r="C26" s="8">
        <v>46009.0</v>
      </c>
      <c r="D26" s="8">
        <v>46035.0</v>
      </c>
      <c r="E26" s="7" t="s">
        <v>353</v>
      </c>
      <c r="F26" s="7" t="s">
        <v>413</v>
      </c>
      <c r="G26" s="7" t="s">
        <v>355</v>
      </c>
      <c r="H26" s="9">
        <v>5648733.0</v>
      </c>
      <c r="I26" s="9">
        <v>908168.0</v>
      </c>
      <c r="J26" s="9">
        <v>31911.0</v>
      </c>
      <c r="K26" s="9">
        <v>345688.0</v>
      </c>
      <c r="L26" s="10">
        <v>1.5532705792506538</v>
      </c>
      <c r="M26" s="9">
        <v>16.340552752771284</v>
      </c>
      <c r="N26" s="9">
        <v>82291.0</v>
      </c>
      <c r="O26" s="9">
        <v>80644.0</v>
      </c>
      <c r="P26" s="9">
        <v>34390.0</v>
      </c>
      <c r="Q26" s="9">
        <v>427.0</v>
      </c>
      <c r="R26" s="9">
        <v>41000.0</v>
      </c>
      <c r="S26" s="9">
        <v>38657.0</v>
      </c>
      <c r="T26" s="9">
        <v>7137.0</v>
      </c>
      <c r="U26" s="9">
        <v>4305.0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11" t="s">
        <v>22</v>
      </c>
      <c r="AE26" s="9" t="s">
        <v>9</v>
      </c>
    </row>
    <row r="27">
      <c r="A27" s="7" t="s">
        <v>414</v>
      </c>
      <c r="B27" s="7" t="s">
        <v>415</v>
      </c>
      <c r="C27" s="8">
        <v>46013.0</v>
      </c>
      <c r="D27" s="8">
        <v>46024.0</v>
      </c>
      <c r="E27" s="7" t="s">
        <v>416</v>
      </c>
      <c r="F27" s="7" t="s">
        <v>417</v>
      </c>
      <c r="G27" s="7" t="s">
        <v>355</v>
      </c>
      <c r="H27" s="9">
        <v>1.4229634E7</v>
      </c>
      <c r="I27" s="9">
        <v>322142.0</v>
      </c>
      <c r="J27" s="9">
        <v>29184.0</v>
      </c>
      <c r="K27" s="9">
        <v>0.0</v>
      </c>
      <c r="L27" s="10">
        <v>0.0</v>
      </c>
      <c r="M27" s="9">
        <v>0.0</v>
      </c>
      <c r="N27" s="9">
        <v>30540.0</v>
      </c>
      <c r="O27" s="9">
        <v>30402.0</v>
      </c>
      <c r="P27" s="9">
        <v>9314.0</v>
      </c>
      <c r="Q27" s="9">
        <v>336.0</v>
      </c>
      <c r="R27" s="9">
        <v>0.0</v>
      </c>
      <c r="S27" s="9">
        <v>0.0</v>
      </c>
      <c r="T27" s="9">
        <v>0.0</v>
      </c>
      <c r="U27" s="9">
        <v>0.0</v>
      </c>
      <c r="V27" s="9">
        <v>20067.047</v>
      </c>
      <c r="W27" s="9">
        <v>20067.047</v>
      </c>
      <c r="X27" s="9">
        <v>18323.305</v>
      </c>
      <c r="Y27" s="9">
        <v>7084.077</v>
      </c>
      <c r="Z27" s="9">
        <v>180.0</v>
      </c>
      <c r="AA27" s="9">
        <v>0.0</v>
      </c>
      <c r="AB27" s="9">
        <v>0.0</v>
      </c>
      <c r="AC27" s="9">
        <v>0.0</v>
      </c>
      <c r="AD27" s="9"/>
      <c r="AE27" s="9"/>
    </row>
    <row r="28">
      <c r="A28" s="7" t="s">
        <v>418</v>
      </c>
      <c r="B28" s="7" t="s">
        <v>419</v>
      </c>
      <c r="C28" s="8">
        <v>46014.0</v>
      </c>
      <c r="D28" s="8">
        <v>46025.0</v>
      </c>
      <c r="E28" s="7" t="s">
        <v>416</v>
      </c>
      <c r="F28" s="7" t="s">
        <v>417</v>
      </c>
      <c r="G28" s="7" t="s">
        <v>355</v>
      </c>
      <c r="H28" s="9">
        <v>1782381.0</v>
      </c>
      <c r="I28" s="9">
        <v>139137.0</v>
      </c>
      <c r="J28" s="9">
        <v>7011.0</v>
      </c>
      <c r="K28" s="9">
        <v>0.0</v>
      </c>
      <c r="L28" s="10">
        <v>0.0</v>
      </c>
      <c r="M28" s="9">
        <v>0.0</v>
      </c>
      <c r="N28" s="9">
        <v>24878.0</v>
      </c>
      <c r="O28" s="9">
        <v>24515.0</v>
      </c>
      <c r="P28" s="9">
        <v>6879.0</v>
      </c>
      <c r="Q28" s="9">
        <v>163.0</v>
      </c>
      <c r="R28" s="9">
        <v>6770.0</v>
      </c>
      <c r="S28" s="9">
        <v>6769.0</v>
      </c>
      <c r="T28" s="9">
        <v>1751.0</v>
      </c>
      <c r="U28" s="9">
        <v>1295.0</v>
      </c>
      <c r="V28" s="9">
        <v>26545.519</v>
      </c>
      <c r="W28" s="9">
        <v>26545.519</v>
      </c>
      <c r="X28" s="9">
        <v>23902.879</v>
      </c>
      <c r="Y28" s="9">
        <v>10339.329</v>
      </c>
      <c r="Z28" s="9">
        <v>126.0</v>
      </c>
      <c r="AA28" s="9">
        <v>0.0</v>
      </c>
      <c r="AB28" s="9">
        <v>0.0</v>
      </c>
      <c r="AC28" s="9">
        <v>0.0</v>
      </c>
      <c r="AD28" s="9"/>
      <c r="AE28" s="9"/>
    </row>
    <row r="29">
      <c r="A29" s="7" t="s">
        <v>420</v>
      </c>
      <c r="B29" s="7" t="s">
        <v>421</v>
      </c>
      <c r="C29" s="8">
        <v>46014.0</v>
      </c>
      <c r="D29" s="8">
        <v>46023.0</v>
      </c>
      <c r="E29" s="7" t="s">
        <v>353</v>
      </c>
      <c r="F29" s="7" t="s">
        <v>417</v>
      </c>
      <c r="G29" s="7" t="s">
        <v>355</v>
      </c>
      <c r="H29" s="9">
        <v>113032.0</v>
      </c>
      <c r="I29" s="9">
        <v>0.0</v>
      </c>
      <c r="J29" s="9">
        <v>5003.0</v>
      </c>
      <c r="K29" s="9">
        <v>0.0</v>
      </c>
      <c r="L29" s="10">
        <v>0.0</v>
      </c>
      <c r="M29" s="9">
        <v>0.0</v>
      </c>
      <c r="N29" s="9">
        <v>497431.0</v>
      </c>
      <c r="O29" s="9">
        <v>490986.0</v>
      </c>
      <c r="P29" s="9">
        <v>208233.0</v>
      </c>
      <c r="Q29" s="9">
        <v>1469.0</v>
      </c>
      <c r="R29" s="9">
        <v>12000.0</v>
      </c>
      <c r="S29" s="9">
        <v>11037.0</v>
      </c>
      <c r="T29" s="9">
        <v>2752.0</v>
      </c>
      <c r="U29" s="9">
        <v>2052.0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/>
      <c r="AE29" s="9"/>
    </row>
    <row r="30">
      <c r="A30" s="7" t="s">
        <v>422</v>
      </c>
      <c r="B30" s="7" t="s">
        <v>423</v>
      </c>
      <c r="C30" s="8">
        <v>46029.0</v>
      </c>
      <c r="D30" s="8">
        <v>46081.0</v>
      </c>
      <c r="E30" s="7" t="s">
        <v>404</v>
      </c>
      <c r="F30" s="7" t="s">
        <v>405</v>
      </c>
      <c r="G30" s="7" t="s">
        <v>355</v>
      </c>
      <c r="H30" s="9">
        <v>3.2919907E7</v>
      </c>
      <c r="I30" s="9">
        <v>2721109.0</v>
      </c>
      <c r="J30" s="9">
        <v>164357.0</v>
      </c>
      <c r="K30" s="9">
        <v>3975434.0</v>
      </c>
      <c r="L30" s="10">
        <v>2.6766624725753214</v>
      </c>
      <c r="M30" s="9">
        <v>8.280833488871906</v>
      </c>
      <c r="N30" s="9">
        <v>306526.0</v>
      </c>
      <c r="O30" s="9">
        <v>303199.0</v>
      </c>
      <c r="P30" s="9">
        <v>151566.0</v>
      </c>
      <c r="Q30" s="9">
        <v>7233.0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11" t="s">
        <v>23</v>
      </c>
      <c r="AE30" s="9" t="s">
        <v>9</v>
      </c>
    </row>
    <row r="31">
      <c r="A31" s="7" t="s">
        <v>424</v>
      </c>
      <c r="B31" s="7" t="s">
        <v>425</v>
      </c>
      <c r="C31" s="8">
        <v>46163.0</v>
      </c>
      <c r="D31" s="8">
        <v>46190.0</v>
      </c>
      <c r="E31" s="7" t="s">
        <v>358</v>
      </c>
      <c r="F31" s="7" t="s">
        <v>359</v>
      </c>
      <c r="G31" s="7" t="s">
        <v>355</v>
      </c>
      <c r="H31" s="9">
        <v>0.0</v>
      </c>
      <c r="I31" s="9">
        <v>0.0</v>
      </c>
      <c r="J31" s="9">
        <v>0.0</v>
      </c>
      <c r="K31" s="9">
        <v>0.0</v>
      </c>
      <c r="L31" s="10">
        <v>0.0</v>
      </c>
      <c r="M31" s="9">
        <v>0.0</v>
      </c>
      <c r="N31" s="9">
        <v>21456.0</v>
      </c>
      <c r="O31" s="9">
        <v>21233.0</v>
      </c>
      <c r="P31" s="9">
        <v>7139.0</v>
      </c>
      <c r="Q31" s="9">
        <v>191.0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9">
        <v>0.0</v>
      </c>
      <c r="AD31" s="9"/>
      <c r="AE31" s="9" t="s">
        <v>9</v>
      </c>
    </row>
    <row r="32">
      <c r="A32" s="7" t="s">
        <v>426</v>
      </c>
      <c r="B32" s="7" t="s">
        <v>427</v>
      </c>
      <c r="C32" s="8">
        <v>46030.0</v>
      </c>
      <c r="D32" s="8">
        <v>46030.0</v>
      </c>
      <c r="E32" s="7" t="s">
        <v>353</v>
      </c>
      <c r="F32" s="7" t="s">
        <v>378</v>
      </c>
      <c r="G32" s="7" t="s">
        <v>355</v>
      </c>
      <c r="H32" s="9">
        <v>0.0</v>
      </c>
      <c r="I32" s="9">
        <v>0.0</v>
      </c>
      <c r="J32" s="9">
        <v>0.0</v>
      </c>
      <c r="K32" s="9">
        <v>0.0</v>
      </c>
      <c r="L32" s="10">
        <v>0.0</v>
      </c>
      <c r="M32" s="9">
        <v>0.0</v>
      </c>
      <c r="N32" s="9">
        <v>3471.0</v>
      </c>
      <c r="O32" s="9">
        <v>3443.0</v>
      </c>
      <c r="P32" s="9">
        <v>1477.0</v>
      </c>
      <c r="Q32" s="9">
        <v>169.0</v>
      </c>
      <c r="R32" s="9">
        <v>0.0</v>
      </c>
      <c r="S32" s="9">
        <v>0.0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A32" s="9">
        <v>0.0</v>
      </c>
      <c r="AB32" s="9">
        <v>0.0</v>
      </c>
      <c r="AC32" s="9">
        <v>0.0</v>
      </c>
      <c r="AD32" s="9"/>
      <c r="AE32" s="9" t="s">
        <v>9</v>
      </c>
    </row>
    <row r="33">
      <c r="A33" s="7" t="s">
        <v>428</v>
      </c>
      <c r="B33" s="7" t="s">
        <v>429</v>
      </c>
      <c r="C33" s="8">
        <v>46029.0</v>
      </c>
      <c r="D33" s="8">
        <v>46029.0</v>
      </c>
      <c r="E33" s="7" t="s">
        <v>416</v>
      </c>
      <c r="F33" s="7" t="s">
        <v>430</v>
      </c>
      <c r="G33" s="7" t="s">
        <v>355</v>
      </c>
      <c r="H33" s="9">
        <v>0.0</v>
      </c>
      <c r="I33" s="9">
        <v>0.0</v>
      </c>
      <c r="J33" s="9">
        <v>0.0</v>
      </c>
      <c r="K33" s="9">
        <v>0.0</v>
      </c>
      <c r="L33" s="10">
        <v>0.0</v>
      </c>
      <c r="M33" s="9">
        <v>0.0</v>
      </c>
      <c r="N33" s="9">
        <v>26990.0</v>
      </c>
      <c r="O33" s="9">
        <v>26313.0</v>
      </c>
      <c r="P33" s="9">
        <v>4518.0</v>
      </c>
      <c r="Q33" s="9">
        <v>419.0</v>
      </c>
      <c r="R33" s="9">
        <v>0.0</v>
      </c>
      <c r="S33" s="9">
        <v>0.0</v>
      </c>
      <c r="T33" s="9">
        <v>0.0</v>
      </c>
      <c r="U33" s="9">
        <v>0.0</v>
      </c>
      <c r="V33" s="9">
        <v>0.0</v>
      </c>
      <c r="W33" s="9">
        <v>0.0</v>
      </c>
      <c r="X33" s="9">
        <v>0.0</v>
      </c>
      <c r="Y33" s="9">
        <v>0.0</v>
      </c>
      <c r="Z33" s="9">
        <v>0.0</v>
      </c>
      <c r="AA33" s="9">
        <v>0.0</v>
      </c>
      <c r="AB33" s="9">
        <v>0.0</v>
      </c>
      <c r="AC33" s="9">
        <v>0.0</v>
      </c>
      <c r="AD33" s="9"/>
      <c r="AE33" s="9" t="s">
        <v>9</v>
      </c>
    </row>
    <row r="34">
      <c r="A34" s="7" t="s">
        <v>431</v>
      </c>
      <c r="B34" s="7" t="s">
        <v>432</v>
      </c>
      <c r="C34" s="8">
        <v>46035.0</v>
      </c>
      <c r="D34" s="8">
        <v>46071.0</v>
      </c>
      <c r="E34" s="7" t="s">
        <v>404</v>
      </c>
      <c r="F34" s="7" t="s">
        <v>405</v>
      </c>
      <c r="G34" s="7" t="s">
        <v>355</v>
      </c>
      <c r="H34" s="9">
        <v>3.1715868E7</v>
      </c>
      <c r="I34" s="9">
        <v>6079572.0</v>
      </c>
      <c r="J34" s="9">
        <v>33441.0</v>
      </c>
      <c r="K34" s="9">
        <v>103786.0</v>
      </c>
      <c r="L34" s="10">
        <v>81.18254870599118</v>
      </c>
      <c r="M34" s="9">
        <v>305.589077524907</v>
      </c>
      <c r="N34" s="9">
        <v>231781.0</v>
      </c>
      <c r="O34" s="9">
        <v>227305.0</v>
      </c>
      <c r="P34" s="9">
        <v>76967.0</v>
      </c>
      <c r="Q34" s="9">
        <v>3329.0</v>
      </c>
      <c r="R34" s="9">
        <v>0.0</v>
      </c>
      <c r="S34" s="9">
        <v>0.0</v>
      </c>
      <c r="T34" s="9">
        <v>0.0</v>
      </c>
      <c r="U34" s="9">
        <v>0.0</v>
      </c>
      <c r="V34" s="9">
        <v>0.0</v>
      </c>
      <c r="W34" s="9">
        <v>0.0</v>
      </c>
      <c r="X34" s="9">
        <v>0.0</v>
      </c>
      <c r="Y34" s="9">
        <v>0.0</v>
      </c>
      <c r="Z34" s="9">
        <v>0.0</v>
      </c>
      <c r="AA34" s="9">
        <v>0.0</v>
      </c>
      <c r="AB34" s="9">
        <v>0.0</v>
      </c>
      <c r="AC34" s="9">
        <v>0.0</v>
      </c>
      <c r="AD34" s="11" t="s">
        <v>24</v>
      </c>
      <c r="AE34" s="9" t="s">
        <v>9</v>
      </c>
    </row>
    <row r="35">
      <c r="A35" s="7" t="s">
        <v>433</v>
      </c>
      <c r="B35" s="7" t="s">
        <v>434</v>
      </c>
      <c r="C35" s="8">
        <v>46031.0</v>
      </c>
      <c r="D35" s="8">
        <v>46039.0</v>
      </c>
      <c r="E35" s="7" t="s">
        <v>404</v>
      </c>
      <c r="F35" s="7" t="s">
        <v>405</v>
      </c>
      <c r="G35" s="7" t="s">
        <v>355</v>
      </c>
      <c r="H35" s="9">
        <v>1.2944042E7</v>
      </c>
      <c r="I35" s="9">
        <v>2874187.0</v>
      </c>
      <c r="J35" s="9">
        <v>12481.0</v>
      </c>
      <c r="K35" s="9">
        <v>29161.0</v>
      </c>
      <c r="L35" s="10">
        <v>137.44429203388086</v>
      </c>
      <c r="M35" s="9">
        <v>443.88196563903847</v>
      </c>
      <c r="N35" s="9">
        <v>175380.0</v>
      </c>
      <c r="O35" s="9">
        <v>172038.0</v>
      </c>
      <c r="P35" s="9">
        <v>58466.0</v>
      </c>
      <c r="Q35" s="9">
        <v>3201.0</v>
      </c>
      <c r="R35" s="9">
        <v>0.0</v>
      </c>
      <c r="S35" s="9">
        <v>0.0</v>
      </c>
      <c r="T35" s="9">
        <v>0.0</v>
      </c>
      <c r="U35" s="9">
        <v>0.0</v>
      </c>
      <c r="V35" s="9">
        <v>0.0</v>
      </c>
      <c r="W35" s="9">
        <v>0.0</v>
      </c>
      <c r="X35" s="9">
        <v>0.0</v>
      </c>
      <c r="Y35" s="9">
        <v>0.0</v>
      </c>
      <c r="Z35" s="9">
        <v>0.0</v>
      </c>
      <c r="AA35" s="9">
        <v>0.0</v>
      </c>
      <c r="AB35" s="9">
        <v>0.0</v>
      </c>
      <c r="AC35" s="9">
        <v>0.0</v>
      </c>
      <c r="AD35" s="11" t="s">
        <v>25</v>
      </c>
      <c r="AE35" s="9" t="s">
        <v>9</v>
      </c>
    </row>
    <row r="36">
      <c r="A36" s="7" t="s">
        <v>435</v>
      </c>
      <c r="B36" s="7" t="s">
        <v>436</v>
      </c>
      <c r="C36" s="8">
        <v>46041.0</v>
      </c>
      <c r="D36" s="8">
        <v>46062.0</v>
      </c>
      <c r="E36" s="7" t="s">
        <v>404</v>
      </c>
      <c r="F36" s="7" t="s">
        <v>405</v>
      </c>
      <c r="G36" s="7" t="s">
        <v>355</v>
      </c>
      <c r="H36" s="9">
        <v>1.8780836E7</v>
      </c>
      <c r="I36" s="9">
        <v>4407686.0</v>
      </c>
      <c r="J36" s="9">
        <v>26564.0</v>
      </c>
      <c r="K36" s="9">
        <v>2036212.0</v>
      </c>
      <c r="L36" s="10">
        <v>2.9967616338573784</v>
      </c>
      <c r="M36" s="9">
        <v>9.22341877957698</v>
      </c>
      <c r="N36" s="9">
        <v>107518.0</v>
      </c>
      <c r="O36" s="9">
        <v>86557.0</v>
      </c>
      <c r="P36" s="9">
        <v>31980.0</v>
      </c>
      <c r="Q36" s="9">
        <v>2402.0</v>
      </c>
      <c r="R36" s="9">
        <v>6925.0</v>
      </c>
      <c r="S36" s="9">
        <v>6908.0</v>
      </c>
      <c r="T36" s="9">
        <v>1374.0</v>
      </c>
      <c r="U36" s="9">
        <v>1022.0</v>
      </c>
      <c r="V36" s="9">
        <v>0.0</v>
      </c>
      <c r="W36" s="9">
        <v>0.0</v>
      </c>
      <c r="X36" s="9">
        <v>0.0</v>
      </c>
      <c r="Y36" s="9">
        <v>0.0</v>
      </c>
      <c r="Z36" s="9">
        <v>0.0</v>
      </c>
      <c r="AA36" s="9">
        <v>0.0</v>
      </c>
      <c r="AB36" s="9">
        <v>0.0</v>
      </c>
      <c r="AC36" s="9">
        <v>0.0</v>
      </c>
      <c r="AD36" s="11" t="s">
        <v>26</v>
      </c>
      <c r="AE36" s="9" t="s">
        <v>9</v>
      </c>
    </row>
    <row r="37">
      <c r="A37" s="7" t="s">
        <v>437</v>
      </c>
      <c r="B37" s="7" t="s">
        <v>438</v>
      </c>
      <c r="C37" s="8">
        <v>46038.0</v>
      </c>
      <c r="D37" s="8">
        <v>46073.0</v>
      </c>
      <c r="E37" s="7" t="s">
        <v>404</v>
      </c>
      <c r="F37" s="7" t="s">
        <v>405</v>
      </c>
      <c r="G37" s="7" t="s">
        <v>355</v>
      </c>
      <c r="H37" s="9">
        <v>1.8930747E7</v>
      </c>
      <c r="I37" s="9">
        <v>5099312.0</v>
      </c>
      <c r="J37" s="9">
        <v>20844.0</v>
      </c>
      <c r="K37" s="9">
        <v>1292752.0</v>
      </c>
      <c r="L37" s="10">
        <v>5.52835423963761</v>
      </c>
      <c r="M37" s="9">
        <v>14.643757658081364</v>
      </c>
      <c r="N37" s="9">
        <v>710718.0</v>
      </c>
      <c r="O37" s="9">
        <v>674580.0</v>
      </c>
      <c r="P37" s="9">
        <v>197102.0</v>
      </c>
      <c r="Q37" s="9">
        <v>16421.0</v>
      </c>
      <c r="R37" s="9">
        <v>0.0</v>
      </c>
      <c r="S37" s="9">
        <v>0.0</v>
      </c>
      <c r="T37" s="9">
        <v>0.0</v>
      </c>
      <c r="U37" s="9">
        <v>0.0</v>
      </c>
      <c r="V37" s="9">
        <v>0.0</v>
      </c>
      <c r="W37" s="9">
        <v>0.0</v>
      </c>
      <c r="X37" s="9">
        <v>0.0</v>
      </c>
      <c r="Y37" s="9">
        <v>0.0</v>
      </c>
      <c r="Z37" s="9">
        <v>0.0</v>
      </c>
      <c r="AA37" s="9">
        <v>0.0</v>
      </c>
      <c r="AB37" s="9">
        <v>0.0</v>
      </c>
      <c r="AC37" s="9">
        <v>0.0</v>
      </c>
      <c r="AD37" s="11" t="s">
        <v>27</v>
      </c>
      <c r="AE37" s="9" t="s">
        <v>9</v>
      </c>
    </row>
    <row r="38">
      <c r="A38" s="7" t="s">
        <v>439</v>
      </c>
      <c r="B38" s="7" t="s">
        <v>440</v>
      </c>
      <c r="C38" s="8">
        <v>46028.0</v>
      </c>
      <c r="D38" s="8">
        <v>46042.0</v>
      </c>
      <c r="E38" s="7" t="s">
        <v>364</v>
      </c>
      <c r="F38" s="7" t="s">
        <v>365</v>
      </c>
      <c r="G38" s="7" t="s">
        <v>355</v>
      </c>
      <c r="H38" s="9">
        <v>665162.0</v>
      </c>
      <c r="I38" s="9">
        <v>3616.0</v>
      </c>
      <c r="J38" s="9">
        <v>2743.0</v>
      </c>
      <c r="K38" s="9">
        <v>355350.0</v>
      </c>
      <c r="L38" s="10">
        <v>1.871850288448009</v>
      </c>
      <c r="M38" s="9">
        <v>1.871850288448009</v>
      </c>
      <c r="N38" s="9">
        <v>90056.0</v>
      </c>
      <c r="O38" s="9">
        <v>88895.0</v>
      </c>
      <c r="P38" s="9">
        <v>43812.0</v>
      </c>
      <c r="Q38" s="9">
        <v>2567.0</v>
      </c>
      <c r="R38" s="9">
        <v>0.0</v>
      </c>
      <c r="S38" s="9">
        <v>0.0</v>
      </c>
      <c r="T38" s="9">
        <v>0.0</v>
      </c>
      <c r="U38" s="9">
        <v>0.0</v>
      </c>
      <c r="V38" s="9">
        <v>0.0</v>
      </c>
      <c r="W38" s="9">
        <v>0.0</v>
      </c>
      <c r="X38" s="9">
        <v>0.0</v>
      </c>
      <c r="Y38" s="9">
        <v>0.0</v>
      </c>
      <c r="Z38" s="9">
        <v>0.0</v>
      </c>
      <c r="AA38" s="9">
        <v>0.0</v>
      </c>
      <c r="AB38" s="9">
        <v>0.0</v>
      </c>
      <c r="AC38" s="9">
        <v>0.0</v>
      </c>
      <c r="AD38" s="11" t="s">
        <v>28</v>
      </c>
      <c r="AE38" s="9" t="s">
        <v>9</v>
      </c>
    </row>
    <row r="39">
      <c r="A39" s="7" t="s">
        <v>441</v>
      </c>
      <c r="B39" s="7" t="s">
        <v>442</v>
      </c>
      <c r="C39" s="8">
        <v>46035.0</v>
      </c>
      <c r="D39" s="8">
        <v>46053.0</v>
      </c>
      <c r="E39" s="7" t="s">
        <v>364</v>
      </c>
      <c r="F39" s="7" t="s">
        <v>365</v>
      </c>
      <c r="G39" s="7" t="s">
        <v>355</v>
      </c>
      <c r="H39" s="9">
        <v>3270390.0</v>
      </c>
      <c r="I39" s="9">
        <v>0.0</v>
      </c>
      <c r="J39" s="9">
        <v>47102.0</v>
      </c>
      <c r="K39" s="9">
        <v>469739.0</v>
      </c>
      <c r="L39" s="10">
        <v>2.068197445815655</v>
      </c>
      <c r="M39" s="9">
        <v>6.962142806963016</v>
      </c>
      <c r="N39" s="9">
        <v>56667.0</v>
      </c>
      <c r="O39" s="9">
        <v>55627.0</v>
      </c>
      <c r="P39" s="9">
        <v>19152.0</v>
      </c>
      <c r="Q39" s="9">
        <v>1989.0</v>
      </c>
      <c r="R39" s="9">
        <v>0.0</v>
      </c>
      <c r="S39" s="9">
        <v>0.0</v>
      </c>
      <c r="T39" s="9">
        <v>0.0</v>
      </c>
      <c r="U39" s="9">
        <v>0.0</v>
      </c>
      <c r="V39" s="9">
        <v>0.0</v>
      </c>
      <c r="W39" s="9">
        <v>0.0</v>
      </c>
      <c r="X39" s="9">
        <v>0.0</v>
      </c>
      <c r="Y39" s="9">
        <v>0.0</v>
      </c>
      <c r="Z39" s="9">
        <v>0.0</v>
      </c>
      <c r="AA39" s="9">
        <v>0.0</v>
      </c>
      <c r="AB39" s="9">
        <v>0.0</v>
      </c>
      <c r="AC39" s="9">
        <v>0.0</v>
      </c>
      <c r="AD39" s="11" t="s">
        <v>29</v>
      </c>
      <c r="AE39" s="9" t="s">
        <v>9</v>
      </c>
    </row>
    <row r="40">
      <c r="A40" s="7" t="s">
        <v>443</v>
      </c>
      <c r="B40" s="7" t="s">
        <v>444</v>
      </c>
      <c r="C40" s="8">
        <v>46027.0</v>
      </c>
      <c r="D40" s="8">
        <v>46035.0</v>
      </c>
      <c r="E40" s="7" t="s">
        <v>353</v>
      </c>
      <c r="F40" s="7" t="s">
        <v>445</v>
      </c>
      <c r="G40" s="7" t="s">
        <v>355</v>
      </c>
      <c r="H40" s="9">
        <v>8154163.0</v>
      </c>
      <c r="I40" s="9">
        <v>0.0</v>
      </c>
      <c r="J40" s="9">
        <v>49108.0</v>
      </c>
      <c r="K40" s="9">
        <v>682062.0</v>
      </c>
      <c r="L40" s="10">
        <v>1.5975703088575526</v>
      </c>
      <c r="M40" s="9">
        <v>11.955163900056007</v>
      </c>
      <c r="N40" s="9">
        <v>236590.0</v>
      </c>
      <c r="O40" s="9">
        <v>233694.0</v>
      </c>
      <c r="P40" s="9">
        <v>54587.0</v>
      </c>
      <c r="Q40" s="9">
        <v>2742.0</v>
      </c>
      <c r="R40" s="9">
        <v>0.0</v>
      </c>
      <c r="S40" s="9">
        <v>0.0</v>
      </c>
      <c r="T40" s="9">
        <v>0.0</v>
      </c>
      <c r="U40" s="9">
        <v>0.0</v>
      </c>
      <c r="V40" s="9">
        <v>0.0</v>
      </c>
      <c r="W40" s="9">
        <v>0.0</v>
      </c>
      <c r="X40" s="9">
        <v>0.0</v>
      </c>
      <c r="Y40" s="9">
        <v>0.0</v>
      </c>
      <c r="Z40" s="9">
        <v>0.0</v>
      </c>
      <c r="AA40" s="9">
        <v>0.0</v>
      </c>
      <c r="AB40" s="9">
        <v>0.0</v>
      </c>
      <c r="AC40" s="9">
        <v>0.0</v>
      </c>
      <c r="AD40" s="11" t="s">
        <v>30</v>
      </c>
      <c r="AE40" s="9"/>
    </row>
    <row r="41">
      <c r="A41" s="7" t="s">
        <v>446</v>
      </c>
      <c r="B41" s="7" t="s">
        <v>447</v>
      </c>
      <c r="C41" s="8">
        <v>46021.0</v>
      </c>
      <c r="D41" s="8">
        <v>46034.0</v>
      </c>
      <c r="E41" s="7" t="s">
        <v>364</v>
      </c>
      <c r="F41" s="7" t="s">
        <v>365</v>
      </c>
      <c r="G41" s="7" t="s">
        <v>355</v>
      </c>
      <c r="H41" s="9">
        <v>210936.0</v>
      </c>
      <c r="I41" s="9">
        <v>0.0</v>
      </c>
      <c r="J41" s="9">
        <v>31.0</v>
      </c>
      <c r="K41" s="9">
        <v>140179.0</v>
      </c>
      <c r="L41" s="10">
        <v>1.1381590680487093</v>
      </c>
      <c r="M41" s="9">
        <v>1.5047617688812163</v>
      </c>
      <c r="N41" s="9">
        <v>80433.0</v>
      </c>
      <c r="O41" s="9">
        <v>79263.0</v>
      </c>
      <c r="P41" s="9">
        <v>31500.0</v>
      </c>
      <c r="Q41" s="9">
        <v>336.0</v>
      </c>
      <c r="R41" s="9">
        <v>0.0</v>
      </c>
      <c r="S41" s="9">
        <v>0.0</v>
      </c>
      <c r="T41" s="9">
        <v>0.0</v>
      </c>
      <c r="U41" s="9">
        <v>0.0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A41" s="9">
        <v>0.0</v>
      </c>
      <c r="AB41" s="9">
        <v>0.0</v>
      </c>
      <c r="AC41" s="9">
        <v>0.0</v>
      </c>
      <c r="AD41" s="11" t="s">
        <v>31</v>
      </c>
      <c r="AE41" s="9" t="s">
        <v>9</v>
      </c>
    </row>
    <row r="42">
      <c r="A42" s="7" t="s">
        <v>448</v>
      </c>
      <c r="B42" s="7" t="s">
        <v>449</v>
      </c>
      <c r="C42" s="8">
        <v>46034.0</v>
      </c>
      <c r="D42" s="8">
        <v>46034.0</v>
      </c>
      <c r="E42" s="7" t="s">
        <v>416</v>
      </c>
      <c r="F42" s="7" t="s">
        <v>430</v>
      </c>
      <c r="G42" s="7" t="s">
        <v>355</v>
      </c>
      <c r="H42" s="9">
        <v>0.0</v>
      </c>
      <c r="I42" s="9">
        <v>0.0</v>
      </c>
      <c r="J42" s="9">
        <v>0.0</v>
      </c>
      <c r="K42" s="9">
        <v>0.0</v>
      </c>
      <c r="L42" s="10">
        <v>0.0</v>
      </c>
      <c r="M42" s="9">
        <v>0.0</v>
      </c>
      <c r="N42" s="9">
        <v>19382.0</v>
      </c>
      <c r="O42" s="9">
        <v>19018.0</v>
      </c>
      <c r="P42" s="9">
        <v>6067.0</v>
      </c>
      <c r="Q42" s="9">
        <v>215.0</v>
      </c>
      <c r="R42" s="9">
        <v>0.0</v>
      </c>
      <c r="S42" s="9">
        <v>0.0</v>
      </c>
      <c r="T42" s="9">
        <v>0.0</v>
      </c>
      <c r="U42" s="9">
        <v>0.0</v>
      </c>
      <c r="V42" s="9">
        <v>0.0</v>
      </c>
      <c r="W42" s="9">
        <v>0.0</v>
      </c>
      <c r="X42" s="9">
        <v>0.0</v>
      </c>
      <c r="Y42" s="9">
        <v>0.0</v>
      </c>
      <c r="Z42" s="9">
        <v>0.0</v>
      </c>
      <c r="AA42" s="9">
        <v>0.0</v>
      </c>
      <c r="AB42" s="9">
        <v>0.0</v>
      </c>
      <c r="AC42" s="9">
        <v>0.0</v>
      </c>
      <c r="AD42" s="9"/>
      <c r="AE42" s="9" t="s">
        <v>9</v>
      </c>
    </row>
    <row r="43">
      <c r="A43" s="7" t="s">
        <v>450</v>
      </c>
      <c r="B43" s="7" t="s">
        <v>451</v>
      </c>
      <c r="C43" s="8">
        <v>46031.0</v>
      </c>
      <c r="D43" s="8">
        <v>46031.0</v>
      </c>
      <c r="E43" s="7" t="s">
        <v>416</v>
      </c>
      <c r="F43" s="7" t="s">
        <v>430</v>
      </c>
      <c r="G43" s="7" t="s">
        <v>355</v>
      </c>
      <c r="H43" s="9">
        <v>0.0</v>
      </c>
      <c r="I43" s="9">
        <v>0.0</v>
      </c>
      <c r="J43" s="9">
        <v>0.0</v>
      </c>
      <c r="K43" s="9">
        <v>0.0</v>
      </c>
      <c r="L43" s="10">
        <v>0.0</v>
      </c>
      <c r="M43" s="9">
        <v>0.0</v>
      </c>
      <c r="N43" s="9">
        <v>22406.0</v>
      </c>
      <c r="O43" s="9">
        <v>21763.0</v>
      </c>
      <c r="P43" s="9">
        <v>2883.0</v>
      </c>
      <c r="Q43" s="9">
        <v>56.0</v>
      </c>
      <c r="R43" s="9">
        <v>0.0</v>
      </c>
      <c r="S43" s="9">
        <v>0.0</v>
      </c>
      <c r="T43" s="9">
        <v>0.0</v>
      </c>
      <c r="U43" s="9">
        <v>0.0</v>
      </c>
      <c r="V43" s="9">
        <v>0.0</v>
      </c>
      <c r="W43" s="9">
        <v>0.0</v>
      </c>
      <c r="X43" s="9">
        <v>0.0</v>
      </c>
      <c r="Y43" s="9">
        <v>0.0</v>
      </c>
      <c r="Z43" s="9">
        <v>0.0</v>
      </c>
      <c r="AA43" s="9">
        <v>0.0</v>
      </c>
      <c r="AB43" s="9">
        <v>0.0</v>
      </c>
      <c r="AC43" s="9">
        <v>0.0</v>
      </c>
      <c r="AD43" s="9"/>
      <c r="AE43" s="9" t="s">
        <v>9</v>
      </c>
    </row>
    <row r="44">
      <c r="A44" s="7" t="s">
        <v>452</v>
      </c>
      <c r="B44" s="7" t="s">
        <v>453</v>
      </c>
      <c r="C44" s="8">
        <v>46024.0</v>
      </c>
      <c r="D44" s="8">
        <v>46052.0</v>
      </c>
      <c r="E44" s="7" t="s">
        <v>416</v>
      </c>
      <c r="F44" s="7" t="s">
        <v>417</v>
      </c>
      <c r="G44" s="7" t="s">
        <v>355</v>
      </c>
      <c r="H44" s="9">
        <v>1331244.0</v>
      </c>
      <c r="I44" s="9">
        <v>773019.0</v>
      </c>
      <c r="J44" s="9">
        <v>4155.0</v>
      </c>
      <c r="K44" s="9">
        <v>79990.0</v>
      </c>
      <c r="L44" s="10">
        <v>4.04008001000125</v>
      </c>
      <c r="M44" s="9">
        <v>16.6426303287911</v>
      </c>
      <c r="N44" s="9">
        <v>22300.0</v>
      </c>
      <c r="O44" s="9">
        <v>21947.0</v>
      </c>
      <c r="P44" s="9">
        <v>5124.0</v>
      </c>
      <c r="Q44" s="9">
        <v>185.0</v>
      </c>
      <c r="R44" s="9">
        <v>10319.0</v>
      </c>
      <c r="S44" s="9">
        <v>9805.0</v>
      </c>
      <c r="T44" s="9">
        <v>2224.0</v>
      </c>
      <c r="U44" s="9">
        <v>1648.0</v>
      </c>
      <c r="V44" s="9">
        <v>12049.0</v>
      </c>
      <c r="W44" s="9">
        <v>12049.0</v>
      </c>
      <c r="X44" s="9">
        <v>11592.0</v>
      </c>
      <c r="Y44" s="9">
        <v>4731.0</v>
      </c>
      <c r="Z44" s="9">
        <v>49.0</v>
      </c>
      <c r="AA44" s="9">
        <v>0.0</v>
      </c>
      <c r="AB44" s="9">
        <v>0.0</v>
      </c>
      <c r="AC44" s="9">
        <v>0.0</v>
      </c>
      <c r="AD44" s="11" t="s">
        <v>32</v>
      </c>
      <c r="AE44" s="9" t="s">
        <v>9</v>
      </c>
    </row>
    <row r="45">
      <c r="A45" s="7" t="s">
        <v>454</v>
      </c>
      <c r="B45" s="7" t="s">
        <v>455</v>
      </c>
      <c r="C45" s="8">
        <v>46027.0</v>
      </c>
      <c r="D45" s="8">
        <v>46057.0</v>
      </c>
      <c r="E45" s="7" t="s">
        <v>416</v>
      </c>
      <c r="F45" s="7" t="s">
        <v>430</v>
      </c>
      <c r="G45" s="7" t="s">
        <v>355</v>
      </c>
      <c r="H45" s="9">
        <v>2493536.0</v>
      </c>
      <c r="I45" s="9">
        <v>0.0</v>
      </c>
      <c r="J45" s="9">
        <v>1632.0</v>
      </c>
      <c r="K45" s="9">
        <v>655062.0</v>
      </c>
      <c r="L45" s="10">
        <v>3.806564874775212</v>
      </c>
      <c r="M45" s="9">
        <v>3.806564874775212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0.0</v>
      </c>
      <c r="Z45" s="9">
        <v>0.0</v>
      </c>
      <c r="AA45" s="9">
        <v>0.0</v>
      </c>
      <c r="AB45" s="9">
        <v>0.0</v>
      </c>
      <c r="AC45" s="9">
        <v>0.0</v>
      </c>
      <c r="AD45" s="11" t="s">
        <v>33</v>
      </c>
      <c r="AE45" s="9"/>
    </row>
    <row r="46">
      <c r="A46" s="7" t="s">
        <v>456</v>
      </c>
      <c r="B46" s="7" t="s">
        <v>457</v>
      </c>
      <c r="C46" s="8">
        <v>46043.0</v>
      </c>
      <c r="D46" s="8">
        <v>46049.0</v>
      </c>
      <c r="E46" s="7" t="s">
        <v>416</v>
      </c>
      <c r="F46" s="7" t="s">
        <v>430</v>
      </c>
      <c r="G46" s="7" t="s">
        <v>355</v>
      </c>
      <c r="H46" s="9">
        <v>0.0</v>
      </c>
      <c r="I46" s="9">
        <v>0.0</v>
      </c>
      <c r="J46" s="9">
        <v>0.0</v>
      </c>
      <c r="K46" s="9">
        <v>0.0</v>
      </c>
      <c r="L46" s="10">
        <v>0.0</v>
      </c>
      <c r="M46" s="9">
        <v>0.0</v>
      </c>
      <c r="N46" s="9">
        <v>65448.0</v>
      </c>
      <c r="O46" s="9">
        <v>64031.0</v>
      </c>
      <c r="P46" s="9">
        <v>15667.0</v>
      </c>
      <c r="Q46" s="9">
        <v>168.0</v>
      </c>
      <c r="R46" s="9">
        <v>0.0</v>
      </c>
      <c r="S46" s="9">
        <v>0.0</v>
      </c>
      <c r="T46" s="9">
        <v>0.0</v>
      </c>
      <c r="U46" s="9">
        <v>0.0</v>
      </c>
      <c r="V46" s="9">
        <v>0.0</v>
      </c>
      <c r="W46" s="9">
        <v>0.0</v>
      </c>
      <c r="X46" s="9">
        <v>0.0</v>
      </c>
      <c r="Y46" s="9">
        <v>0.0</v>
      </c>
      <c r="Z46" s="9">
        <v>0.0</v>
      </c>
      <c r="AA46" s="9">
        <v>0.0</v>
      </c>
      <c r="AB46" s="9">
        <v>0.0</v>
      </c>
      <c r="AC46" s="9">
        <v>0.0</v>
      </c>
      <c r="AD46" s="9"/>
      <c r="AE46" s="9" t="s">
        <v>9</v>
      </c>
    </row>
    <row r="47">
      <c r="A47" s="7" t="s">
        <v>458</v>
      </c>
      <c r="B47" s="7" t="s">
        <v>459</v>
      </c>
      <c r="C47" s="8">
        <v>46038.0</v>
      </c>
      <c r="D47" s="8">
        <v>46038.0</v>
      </c>
      <c r="E47" s="7" t="s">
        <v>416</v>
      </c>
      <c r="F47" s="7" t="s">
        <v>430</v>
      </c>
      <c r="G47" s="7" t="s">
        <v>355</v>
      </c>
      <c r="H47" s="9">
        <v>0.0</v>
      </c>
      <c r="I47" s="9">
        <v>0.0</v>
      </c>
      <c r="J47" s="9">
        <v>0.0</v>
      </c>
      <c r="K47" s="9">
        <v>0.0</v>
      </c>
      <c r="L47" s="10">
        <v>0.0</v>
      </c>
      <c r="M47" s="9">
        <v>0.0</v>
      </c>
      <c r="N47" s="9">
        <v>33944.0</v>
      </c>
      <c r="O47" s="9">
        <v>33452.0</v>
      </c>
      <c r="P47" s="9">
        <v>13502.0</v>
      </c>
      <c r="Q47" s="9">
        <v>579.0</v>
      </c>
      <c r="R47" s="9">
        <v>0.0</v>
      </c>
      <c r="S47" s="9">
        <v>0.0</v>
      </c>
      <c r="T47" s="9">
        <v>0.0</v>
      </c>
      <c r="U47" s="9">
        <v>0.0</v>
      </c>
      <c r="V47" s="9">
        <v>0.0</v>
      </c>
      <c r="W47" s="9">
        <v>0.0</v>
      </c>
      <c r="X47" s="9">
        <v>0.0</v>
      </c>
      <c r="Y47" s="9">
        <v>0.0</v>
      </c>
      <c r="Z47" s="9">
        <v>0.0</v>
      </c>
      <c r="AA47" s="9">
        <v>0.0</v>
      </c>
      <c r="AB47" s="9">
        <v>0.0</v>
      </c>
      <c r="AC47" s="9">
        <v>0.0</v>
      </c>
      <c r="AD47" s="9"/>
      <c r="AE47" s="9" t="s">
        <v>9</v>
      </c>
    </row>
    <row r="48">
      <c r="A48" s="7" t="s">
        <v>460</v>
      </c>
      <c r="B48" s="7" t="s">
        <v>461</v>
      </c>
      <c r="C48" s="8">
        <v>46035.0</v>
      </c>
      <c r="D48" s="8">
        <v>46035.0</v>
      </c>
      <c r="E48" s="7" t="s">
        <v>416</v>
      </c>
      <c r="F48" s="7" t="s">
        <v>430</v>
      </c>
      <c r="G48" s="7" t="s">
        <v>355</v>
      </c>
      <c r="H48" s="9">
        <v>0.0</v>
      </c>
      <c r="I48" s="9">
        <v>0.0</v>
      </c>
      <c r="J48" s="9">
        <v>0.0</v>
      </c>
      <c r="K48" s="9">
        <v>0.0</v>
      </c>
      <c r="L48" s="10">
        <v>0.0</v>
      </c>
      <c r="M48" s="9">
        <v>0.0</v>
      </c>
      <c r="N48" s="9">
        <v>25908.0</v>
      </c>
      <c r="O48" s="9">
        <v>25161.0</v>
      </c>
      <c r="P48" s="9">
        <v>3454.0</v>
      </c>
      <c r="Q48" s="9">
        <v>147.0</v>
      </c>
      <c r="R48" s="9">
        <v>0.0</v>
      </c>
      <c r="S48" s="9">
        <v>0.0</v>
      </c>
      <c r="T48" s="9">
        <v>0.0</v>
      </c>
      <c r="U48" s="9">
        <v>0.0</v>
      </c>
      <c r="V48" s="9">
        <v>0.0</v>
      </c>
      <c r="W48" s="9">
        <v>0.0</v>
      </c>
      <c r="X48" s="9">
        <v>0.0</v>
      </c>
      <c r="Y48" s="9">
        <v>0.0</v>
      </c>
      <c r="Z48" s="9">
        <v>0.0</v>
      </c>
      <c r="AA48" s="9">
        <v>0.0</v>
      </c>
      <c r="AB48" s="9">
        <v>0.0</v>
      </c>
      <c r="AC48" s="9">
        <v>0.0</v>
      </c>
      <c r="AD48" s="9"/>
      <c r="AE48" s="9" t="s">
        <v>9</v>
      </c>
    </row>
    <row r="49">
      <c r="A49" s="7" t="s">
        <v>462</v>
      </c>
      <c r="B49" s="7" t="s">
        <v>463</v>
      </c>
      <c r="C49" s="8">
        <v>46036.0</v>
      </c>
      <c r="D49" s="8">
        <v>46036.0</v>
      </c>
      <c r="E49" s="7" t="s">
        <v>416</v>
      </c>
      <c r="F49" s="7" t="s">
        <v>430</v>
      </c>
      <c r="G49" s="7" t="s">
        <v>355</v>
      </c>
      <c r="H49" s="9">
        <v>0.0</v>
      </c>
      <c r="I49" s="9">
        <v>0.0</v>
      </c>
      <c r="J49" s="9">
        <v>0.0</v>
      </c>
      <c r="K49" s="9">
        <v>0.0</v>
      </c>
      <c r="L49" s="10">
        <v>0.0</v>
      </c>
      <c r="M49" s="9">
        <v>0.0</v>
      </c>
      <c r="N49" s="9">
        <v>36289.0</v>
      </c>
      <c r="O49" s="9">
        <v>35904.0</v>
      </c>
      <c r="P49" s="9">
        <v>19164.0</v>
      </c>
      <c r="Q49" s="9">
        <v>240.0</v>
      </c>
      <c r="R49" s="9">
        <v>0.0</v>
      </c>
      <c r="S49" s="9">
        <v>0.0</v>
      </c>
      <c r="T49" s="9">
        <v>0.0</v>
      </c>
      <c r="U49" s="9">
        <v>0.0</v>
      </c>
      <c r="V49" s="9">
        <v>0.0</v>
      </c>
      <c r="W49" s="9">
        <v>0.0</v>
      </c>
      <c r="X49" s="9">
        <v>0.0</v>
      </c>
      <c r="Y49" s="9">
        <v>0.0</v>
      </c>
      <c r="Z49" s="9">
        <v>0.0</v>
      </c>
      <c r="AA49" s="9">
        <v>0.0</v>
      </c>
      <c r="AB49" s="9">
        <v>0.0</v>
      </c>
      <c r="AC49" s="9">
        <v>0.0</v>
      </c>
      <c r="AD49" s="9"/>
      <c r="AE49" s="9" t="s">
        <v>9</v>
      </c>
    </row>
    <row r="50">
      <c r="A50" s="7" t="s">
        <v>464</v>
      </c>
      <c r="B50" s="7" t="s">
        <v>465</v>
      </c>
      <c r="C50" s="8">
        <v>46029.0</v>
      </c>
      <c r="D50" s="8">
        <v>46044.0</v>
      </c>
      <c r="E50" s="7" t="s">
        <v>358</v>
      </c>
      <c r="F50" s="7" t="s">
        <v>466</v>
      </c>
      <c r="G50" s="7" t="s">
        <v>355</v>
      </c>
      <c r="H50" s="9">
        <v>1958412.0</v>
      </c>
      <c r="I50" s="9">
        <v>1314287.0</v>
      </c>
      <c r="J50" s="9">
        <v>1288.0</v>
      </c>
      <c r="K50" s="9">
        <v>208110.0</v>
      </c>
      <c r="L50" s="10">
        <v>1.7622507327855461</v>
      </c>
      <c r="M50" s="9">
        <v>9.410465619143721</v>
      </c>
      <c r="N50" s="9">
        <v>126455.0</v>
      </c>
      <c r="O50" s="9">
        <v>124209.0</v>
      </c>
      <c r="P50" s="9">
        <v>32515.0</v>
      </c>
      <c r="Q50" s="9">
        <v>1193.0</v>
      </c>
      <c r="R50" s="9">
        <v>0.0</v>
      </c>
      <c r="S50" s="9">
        <v>0.0</v>
      </c>
      <c r="T50" s="9">
        <v>0.0</v>
      </c>
      <c r="U50" s="9">
        <v>0.0</v>
      </c>
      <c r="V50" s="9">
        <v>0.0</v>
      </c>
      <c r="W50" s="9">
        <v>0.0</v>
      </c>
      <c r="X50" s="9">
        <v>0.0</v>
      </c>
      <c r="Y50" s="9">
        <v>0.0</v>
      </c>
      <c r="Z50" s="9">
        <v>0.0</v>
      </c>
      <c r="AA50" s="9">
        <v>0.0</v>
      </c>
      <c r="AB50" s="9">
        <v>0.0</v>
      </c>
      <c r="AC50" s="9">
        <v>0.0</v>
      </c>
      <c r="AD50" s="11" t="s">
        <v>34</v>
      </c>
      <c r="AE50" s="9" t="s">
        <v>9</v>
      </c>
    </row>
    <row r="51">
      <c r="A51" s="7" t="s">
        <v>467</v>
      </c>
      <c r="B51" s="7" t="s">
        <v>468</v>
      </c>
      <c r="C51" s="8">
        <v>46030.0</v>
      </c>
      <c r="D51" s="8">
        <v>46045.0</v>
      </c>
      <c r="E51" s="7" t="s">
        <v>358</v>
      </c>
      <c r="F51" s="7" t="s">
        <v>466</v>
      </c>
      <c r="G51" s="7" t="s">
        <v>355</v>
      </c>
      <c r="H51" s="9">
        <v>2545129.0</v>
      </c>
      <c r="I51" s="9">
        <v>1397894.0</v>
      </c>
      <c r="J51" s="9">
        <v>2481.0</v>
      </c>
      <c r="K51" s="9">
        <v>550772.0</v>
      </c>
      <c r="L51" s="10">
        <v>1.8618212254798718</v>
      </c>
      <c r="M51" s="9">
        <v>4.621021039559019</v>
      </c>
      <c r="N51" s="9">
        <v>199955.0</v>
      </c>
      <c r="O51" s="9">
        <v>196224.0</v>
      </c>
      <c r="P51" s="9">
        <v>45064.0</v>
      </c>
      <c r="Q51" s="9">
        <v>964.0</v>
      </c>
      <c r="R51" s="9">
        <v>0.0</v>
      </c>
      <c r="S51" s="9">
        <v>0.0</v>
      </c>
      <c r="T51" s="9">
        <v>0.0</v>
      </c>
      <c r="U51" s="9">
        <v>0.0</v>
      </c>
      <c r="V51" s="9">
        <v>0.0</v>
      </c>
      <c r="W51" s="9">
        <v>0.0</v>
      </c>
      <c r="X51" s="9">
        <v>0.0</v>
      </c>
      <c r="Y51" s="9">
        <v>0.0</v>
      </c>
      <c r="Z51" s="9">
        <v>0.0</v>
      </c>
      <c r="AA51" s="9">
        <v>0.0</v>
      </c>
      <c r="AB51" s="9">
        <v>0.0</v>
      </c>
      <c r="AC51" s="9">
        <v>0.0</v>
      </c>
      <c r="AD51" s="11" t="s">
        <v>35</v>
      </c>
      <c r="AE51" s="9" t="s">
        <v>9</v>
      </c>
    </row>
    <row r="52">
      <c r="A52" s="7" t="s">
        <v>469</v>
      </c>
      <c r="B52" s="7" t="s">
        <v>470</v>
      </c>
      <c r="C52" s="8">
        <v>46057.0</v>
      </c>
      <c r="D52" s="8">
        <v>46080.0</v>
      </c>
      <c r="E52" s="7" t="s">
        <v>404</v>
      </c>
      <c r="F52" s="7" t="s">
        <v>405</v>
      </c>
      <c r="G52" s="7" t="s">
        <v>355</v>
      </c>
      <c r="H52" s="9">
        <v>1.0431799E7</v>
      </c>
      <c r="I52" s="9">
        <v>0.0</v>
      </c>
      <c r="J52" s="9">
        <v>45286.0</v>
      </c>
      <c r="K52" s="9">
        <v>297850.0</v>
      </c>
      <c r="L52" s="10">
        <v>8.686657713614235</v>
      </c>
      <c r="M52" s="9">
        <v>35.02366627497062</v>
      </c>
      <c r="N52" s="9">
        <v>165205.0</v>
      </c>
      <c r="O52" s="9">
        <v>161928.0</v>
      </c>
      <c r="P52" s="9">
        <v>45115.0</v>
      </c>
      <c r="Q52" s="9">
        <v>4265.0</v>
      </c>
      <c r="R52" s="9">
        <v>0.0</v>
      </c>
      <c r="S52" s="9">
        <v>0.0</v>
      </c>
      <c r="T52" s="9">
        <v>0.0</v>
      </c>
      <c r="U52" s="9">
        <v>0.0</v>
      </c>
      <c r="V52" s="9">
        <v>0.0</v>
      </c>
      <c r="W52" s="9">
        <v>0.0</v>
      </c>
      <c r="X52" s="9">
        <v>0.0</v>
      </c>
      <c r="Y52" s="9">
        <v>0.0</v>
      </c>
      <c r="Z52" s="9">
        <v>0.0</v>
      </c>
      <c r="AA52" s="9">
        <v>0.0</v>
      </c>
      <c r="AB52" s="9">
        <v>0.0</v>
      </c>
      <c r="AC52" s="9">
        <v>0.0</v>
      </c>
      <c r="AD52" s="9"/>
      <c r="AE52" s="9" t="s">
        <v>9</v>
      </c>
    </row>
    <row r="53">
      <c r="A53" s="7" t="s">
        <v>471</v>
      </c>
      <c r="B53" s="7" t="s">
        <v>472</v>
      </c>
      <c r="C53" s="8">
        <v>46031.0</v>
      </c>
      <c r="D53" s="8">
        <v>46031.0</v>
      </c>
      <c r="E53" s="7" t="s">
        <v>473</v>
      </c>
      <c r="F53" s="7" t="s">
        <v>474</v>
      </c>
      <c r="G53" s="7" t="s">
        <v>355</v>
      </c>
      <c r="H53" s="9">
        <v>0.0</v>
      </c>
      <c r="I53" s="9">
        <v>0.0</v>
      </c>
      <c r="J53" s="9">
        <v>0.0</v>
      </c>
      <c r="K53" s="9">
        <v>0.0</v>
      </c>
      <c r="L53" s="10">
        <v>0.0</v>
      </c>
      <c r="M53" s="9">
        <v>0.0</v>
      </c>
      <c r="N53" s="9">
        <v>575.0</v>
      </c>
      <c r="O53" s="9">
        <v>552.0</v>
      </c>
      <c r="P53" s="9">
        <v>217.0</v>
      </c>
      <c r="Q53" s="9">
        <v>52.0</v>
      </c>
      <c r="R53" s="9">
        <v>0.0</v>
      </c>
      <c r="S53" s="9">
        <v>0.0</v>
      </c>
      <c r="T53" s="9">
        <v>0.0</v>
      </c>
      <c r="U53" s="9">
        <v>0.0</v>
      </c>
      <c r="V53" s="9">
        <v>0.0</v>
      </c>
      <c r="W53" s="9">
        <v>0.0</v>
      </c>
      <c r="X53" s="9">
        <v>0.0</v>
      </c>
      <c r="Y53" s="9">
        <v>0.0</v>
      </c>
      <c r="Z53" s="9">
        <v>0.0</v>
      </c>
      <c r="AA53" s="9">
        <v>0.0</v>
      </c>
      <c r="AB53" s="9">
        <v>0.0</v>
      </c>
      <c r="AC53" s="9">
        <v>0.0</v>
      </c>
      <c r="AD53" s="9"/>
      <c r="AE53" s="9" t="s">
        <v>9</v>
      </c>
    </row>
    <row r="54">
      <c r="A54" s="7" t="s">
        <v>475</v>
      </c>
      <c r="B54" s="7" t="s">
        <v>476</v>
      </c>
      <c r="C54" s="8">
        <v>46036.0</v>
      </c>
      <c r="D54" s="8">
        <v>46056.0</v>
      </c>
      <c r="E54" s="7" t="s">
        <v>364</v>
      </c>
      <c r="F54" s="7" t="s">
        <v>365</v>
      </c>
      <c r="G54" s="7" t="s">
        <v>355</v>
      </c>
      <c r="H54" s="9">
        <v>4636754.0</v>
      </c>
      <c r="I54" s="9">
        <v>23533.0</v>
      </c>
      <c r="J54" s="9">
        <v>13640.0</v>
      </c>
      <c r="K54" s="9">
        <v>484653.0</v>
      </c>
      <c r="L54" s="10">
        <v>1.4793739025653405</v>
      </c>
      <c r="M54" s="9">
        <v>9.567162485324552</v>
      </c>
      <c r="N54" s="9">
        <v>71838.0</v>
      </c>
      <c r="O54" s="9">
        <v>70767.0</v>
      </c>
      <c r="P54" s="9">
        <v>28370.0</v>
      </c>
      <c r="Q54" s="9">
        <v>747.0</v>
      </c>
      <c r="R54" s="9">
        <v>0.0</v>
      </c>
      <c r="S54" s="9">
        <v>0.0</v>
      </c>
      <c r="T54" s="9">
        <v>0.0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A54" s="9">
        <v>0.0</v>
      </c>
      <c r="AB54" s="9">
        <v>0.0</v>
      </c>
      <c r="AC54" s="9">
        <v>0.0</v>
      </c>
      <c r="AD54" s="11" t="s">
        <v>36</v>
      </c>
      <c r="AE54" s="9" t="s">
        <v>9</v>
      </c>
    </row>
    <row r="55">
      <c r="A55" s="7" t="s">
        <v>477</v>
      </c>
      <c r="B55" s="7" t="s">
        <v>478</v>
      </c>
      <c r="C55" s="8">
        <v>46031.0</v>
      </c>
      <c r="D55" s="8">
        <v>46053.0</v>
      </c>
      <c r="E55" s="7" t="s">
        <v>416</v>
      </c>
      <c r="F55" s="7" t="s">
        <v>417</v>
      </c>
      <c r="G55" s="7" t="s">
        <v>355</v>
      </c>
      <c r="H55" s="9">
        <v>2758449.0</v>
      </c>
      <c r="I55" s="9">
        <v>903317.0</v>
      </c>
      <c r="J55" s="9">
        <v>4118.0</v>
      </c>
      <c r="K55" s="9">
        <v>31114.0</v>
      </c>
      <c r="L55" s="10">
        <v>2.890949411840329</v>
      </c>
      <c r="M55" s="9">
        <v>88.65619978144886</v>
      </c>
      <c r="N55" s="9">
        <v>2567.0</v>
      </c>
      <c r="O55" s="9">
        <v>2526.0</v>
      </c>
      <c r="P55" s="9">
        <v>990.0</v>
      </c>
      <c r="Q55" s="9">
        <v>81.0</v>
      </c>
      <c r="R55" s="9">
        <v>0.0</v>
      </c>
      <c r="S55" s="9">
        <v>0.0</v>
      </c>
      <c r="T55" s="9">
        <v>0.0</v>
      </c>
      <c r="U55" s="9">
        <v>0.0</v>
      </c>
      <c r="V55" s="9">
        <v>0.0</v>
      </c>
      <c r="W55" s="9">
        <v>0.0</v>
      </c>
      <c r="X55" s="9">
        <v>0.0</v>
      </c>
      <c r="Y55" s="9">
        <v>0.0</v>
      </c>
      <c r="Z55" s="9">
        <v>0.0</v>
      </c>
      <c r="AA55" s="9">
        <v>0.0</v>
      </c>
      <c r="AB55" s="9">
        <v>0.0</v>
      </c>
      <c r="AC55" s="9">
        <v>0.0</v>
      </c>
      <c r="AD55" s="11" t="s">
        <v>37</v>
      </c>
      <c r="AE55" s="9" t="s">
        <v>9</v>
      </c>
    </row>
    <row r="56">
      <c r="A56" s="7" t="s">
        <v>479</v>
      </c>
      <c r="B56" s="7" t="s">
        <v>480</v>
      </c>
      <c r="C56" s="8">
        <v>46041.0</v>
      </c>
      <c r="D56" s="8">
        <v>46066.0</v>
      </c>
      <c r="E56" s="7" t="s">
        <v>404</v>
      </c>
      <c r="F56" s="7" t="s">
        <v>405</v>
      </c>
      <c r="G56" s="7" t="s">
        <v>355</v>
      </c>
      <c r="H56" s="9">
        <v>7612586.0</v>
      </c>
      <c r="I56" s="9">
        <v>230619.0</v>
      </c>
      <c r="J56" s="9">
        <v>9111.0</v>
      </c>
      <c r="K56" s="9"/>
      <c r="L56" s="10">
        <v>0.0</v>
      </c>
      <c r="M56" s="9">
        <v>0.0</v>
      </c>
      <c r="N56" s="9">
        <v>243518.0</v>
      </c>
      <c r="O56" s="9">
        <v>238203.0</v>
      </c>
      <c r="P56" s="9">
        <v>60526.0</v>
      </c>
      <c r="Q56" s="9">
        <v>2710.0</v>
      </c>
      <c r="R56" s="9">
        <v>0.0</v>
      </c>
      <c r="S56" s="9">
        <v>0.0</v>
      </c>
      <c r="T56" s="9">
        <v>0.0</v>
      </c>
      <c r="U56" s="9">
        <v>0.0</v>
      </c>
      <c r="V56" s="9">
        <v>0.0</v>
      </c>
      <c r="W56" s="9">
        <v>0.0</v>
      </c>
      <c r="X56" s="9">
        <v>0.0</v>
      </c>
      <c r="Y56" s="9">
        <v>0.0</v>
      </c>
      <c r="Z56" s="9">
        <v>0.0</v>
      </c>
      <c r="AA56" s="9">
        <v>0.0</v>
      </c>
      <c r="AB56" s="9">
        <v>0.0</v>
      </c>
      <c r="AC56" s="9">
        <v>0.0</v>
      </c>
      <c r="AD56" s="11" t="s">
        <v>38</v>
      </c>
      <c r="AE56" s="9" t="s">
        <v>9</v>
      </c>
    </row>
    <row r="57">
      <c r="A57" s="7" t="s">
        <v>481</v>
      </c>
      <c r="B57" s="7" t="s">
        <v>482</v>
      </c>
      <c r="C57" s="8">
        <v>46050.0</v>
      </c>
      <c r="D57" s="8">
        <v>46053.0</v>
      </c>
      <c r="E57" s="7" t="s">
        <v>404</v>
      </c>
      <c r="F57" s="7" t="s">
        <v>405</v>
      </c>
      <c r="G57" s="7" t="s">
        <v>355</v>
      </c>
      <c r="H57" s="9">
        <v>1.3260814E7</v>
      </c>
      <c r="I57" s="9">
        <v>1700132.0</v>
      </c>
      <c r="J57" s="9">
        <v>13721.0</v>
      </c>
      <c r="K57" s="9">
        <v>176068.0</v>
      </c>
      <c r="L57" s="10">
        <v>40.10844105686439</v>
      </c>
      <c r="M57" s="9">
        <v>75.31643455937478</v>
      </c>
      <c r="N57" s="9">
        <v>191896.0</v>
      </c>
      <c r="O57" s="9">
        <v>188174.0</v>
      </c>
      <c r="P57" s="9">
        <v>63834.0</v>
      </c>
      <c r="Q57" s="9">
        <v>1357.0</v>
      </c>
      <c r="R57" s="9">
        <v>0.0</v>
      </c>
      <c r="S57" s="9">
        <v>0.0</v>
      </c>
      <c r="T57" s="9">
        <v>0.0</v>
      </c>
      <c r="U57" s="9">
        <v>0.0</v>
      </c>
      <c r="V57" s="9">
        <v>0.0</v>
      </c>
      <c r="W57" s="9">
        <v>0.0</v>
      </c>
      <c r="X57" s="9">
        <v>0.0</v>
      </c>
      <c r="Y57" s="9">
        <v>0.0</v>
      </c>
      <c r="Z57" s="9">
        <v>0.0</v>
      </c>
      <c r="AA57" s="9">
        <v>0.0</v>
      </c>
      <c r="AB57" s="9">
        <v>0.0</v>
      </c>
      <c r="AC57" s="9">
        <v>0.0</v>
      </c>
      <c r="AD57" s="9"/>
      <c r="AE57" s="9" t="s">
        <v>9</v>
      </c>
    </row>
    <row r="58">
      <c r="A58" s="7" t="s">
        <v>483</v>
      </c>
      <c r="B58" s="7" t="s">
        <v>484</v>
      </c>
      <c r="C58" s="8">
        <v>46031.0</v>
      </c>
      <c r="D58" s="8">
        <v>46045.0</v>
      </c>
      <c r="E58" s="7" t="s">
        <v>364</v>
      </c>
      <c r="F58" s="7" t="s">
        <v>365</v>
      </c>
      <c r="G58" s="7" t="s">
        <v>355</v>
      </c>
      <c r="H58" s="9">
        <v>2008143.0</v>
      </c>
      <c r="I58" s="9">
        <v>0.0</v>
      </c>
      <c r="J58" s="9">
        <v>2313.0</v>
      </c>
      <c r="K58" s="9">
        <v>138774.0</v>
      </c>
      <c r="L58" s="10">
        <v>1.987829132258204</v>
      </c>
      <c r="M58" s="9">
        <v>14.470599680055342</v>
      </c>
      <c r="N58" s="9">
        <v>69307.0</v>
      </c>
      <c r="O58" s="9">
        <v>68518.0</v>
      </c>
      <c r="P58" s="9">
        <v>27095.0</v>
      </c>
      <c r="Q58" s="9">
        <v>193.0</v>
      </c>
      <c r="R58" s="9">
        <v>0.0</v>
      </c>
      <c r="S58" s="9">
        <v>0.0</v>
      </c>
      <c r="T58" s="9">
        <v>0.0</v>
      </c>
      <c r="U58" s="9">
        <v>0.0</v>
      </c>
      <c r="V58" s="9">
        <v>0.0</v>
      </c>
      <c r="W58" s="9">
        <v>0.0</v>
      </c>
      <c r="X58" s="9">
        <v>0.0</v>
      </c>
      <c r="Y58" s="9">
        <v>0.0</v>
      </c>
      <c r="Z58" s="9">
        <v>0.0</v>
      </c>
      <c r="AA58" s="9">
        <v>0.0</v>
      </c>
      <c r="AB58" s="9">
        <v>0.0</v>
      </c>
      <c r="AC58" s="9">
        <v>0.0</v>
      </c>
      <c r="AD58" s="11" t="s">
        <v>39</v>
      </c>
      <c r="AE58" s="9" t="s">
        <v>9</v>
      </c>
    </row>
    <row r="59">
      <c r="A59" s="7" t="s">
        <v>485</v>
      </c>
      <c r="B59" s="7" t="s">
        <v>486</v>
      </c>
      <c r="C59" s="8">
        <v>46049.0</v>
      </c>
      <c r="D59" s="8">
        <v>46050.0</v>
      </c>
      <c r="E59" s="7" t="s">
        <v>416</v>
      </c>
      <c r="F59" s="7" t="s">
        <v>430</v>
      </c>
      <c r="G59" s="7" t="s">
        <v>355</v>
      </c>
      <c r="H59" s="9">
        <v>0.0</v>
      </c>
      <c r="I59" s="9">
        <v>0.0</v>
      </c>
      <c r="J59" s="9">
        <v>0.0</v>
      </c>
      <c r="K59" s="9">
        <v>0.0</v>
      </c>
      <c r="L59" s="10">
        <v>0.0</v>
      </c>
      <c r="M59" s="9">
        <v>0.0</v>
      </c>
      <c r="N59" s="9">
        <v>84765.0</v>
      </c>
      <c r="O59" s="9">
        <v>83136.0</v>
      </c>
      <c r="P59" s="9">
        <v>30285.0</v>
      </c>
      <c r="Q59" s="9">
        <v>289.0</v>
      </c>
      <c r="R59" s="9">
        <v>0.0</v>
      </c>
      <c r="S59" s="9">
        <v>0.0</v>
      </c>
      <c r="T59" s="9">
        <v>0.0</v>
      </c>
      <c r="U59" s="9">
        <v>0.0</v>
      </c>
      <c r="V59" s="9">
        <v>0.0</v>
      </c>
      <c r="W59" s="9">
        <v>0.0</v>
      </c>
      <c r="X59" s="9">
        <v>0.0</v>
      </c>
      <c r="Y59" s="9">
        <v>0.0</v>
      </c>
      <c r="Z59" s="9">
        <v>0.0</v>
      </c>
      <c r="AA59" s="9">
        <v>0.0</v>
      </c>
      <c r="AB59" s="9">
        <v>0.0</v>
      </c>
      <c r="AC59" s="9">
        <v>0.0</v>
      </c>
      <c r="AD59" s="9"/>
      <c r="AE59" s="9" t="s">
        <v>9</v>
      </c>
    </row>
    <row r="60">
      <c r="A60" s="7" t="s">
        <v>487</v>
      </c>
      <c r="B60" s="7" t="s">
        <v>488</v>
      </c>
      <c r="C60" s="8">
        <v>46031.0</v>
      </c>
      <c r="D60" s="8">
        <v>46045.0</v>
      </c>
      <c r="E60" s="7" t="s">
        <v>364</v>
      </c>
      <c r="F60" s="7" t="s">
        <v>365</v>
      </c>
      <c r="G60" s="7" t="s">
        <v>355</v>
      </c>
      <c r="H60" s="9">
        <v>270415.0</v>
      </c>
      <c r="I60" s="9">
        <v>0.0</v>
      </c>
      <c r="J60" s="9">
        <v>11.0</v>
      </c>
      <c r="K60" s="9">
        <v>270165.0</v>
      </c>
      <c r="L60" s="10">
        <v>1.0009253604278867</v>
      </c>
      <c r="M60" s="9">
        <v>1.0009253604278867</v>
      </c>
      <c r="N60" s="9">
        <v>133380.0</v>
      </c>
      <c r="O60" s="9">
        <v>131124.0</v>
      </c>
      <c r="P60" s="9">
        <v>51525.0</v>
      </c>
      <c r="Q60" s="9">
        <v>206.0</v>
      </c>
      <c r="R60" s="9">
        <v>0.0</v>
      </c>
      <c r="S60" s="9">
        <v>0.0</v>
      </c>
      <c r="T60" s="9">
        <v>0.0</v>
      </c>
      <c r="U60" s="9">
        <v>0.0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A60" s="9">
        <v>0.0</v>
      </c>
      <c r="AB60" s="9">
        <v>0.0</v>
      </c>
      <c r="AC60" s="9">
        <v>0.0</v>
      </c>
      <c r="AD60" s="11" t="s">
        <v>40</v>
      </c>
      <c r="AE60" s="9" t="s">
        <v>9</v>
      </c>
    </row>
    <row r="61">
      <c r="A61" s="7" t="s">
        <v>489</v>
      </c>
      <c r="B61" s="7" t="s">
        <v>490</v>
      </c>
      <c r="C61" s="8">
        <v>46035.0</v>
      </c>
      <c r="D61" s="8">
        <v>46049.0</v>
      </c>
      <c r="E61" s="7" t="s">
        <v>364</v>
      </c>
      <c r="F61" s="7" t="s">
        <v>365</v>
      </c>
      <c r="G61" s="7" t="s">
        <v>355</v>
      </c>
      <c r="H61" s="9">
        <v>5445044.0</v>
      </c>
      <c r="I61" s="9">
        <v>1315669.0</v>
      </c>
      <c r="J61" s="9">
        <v>12536.0</v>
      </c>
      <c r="K61" s="9">
        <v>24740.0</v>
      </c>
      <c r="L61" s="10">
        <v>1.1219482619240098</v>
      </c>
      <c r="M61" s="9">
        <v>220.0907033144705</v>
      </c>
      <c r="N61" s="9">
        <v>26442.0</v>
      </c>
      <c r="O61" s="9">
        <v>26188.0</v>
      </c>
      <c r="P61" s="9">
        <v>12713.0</v>
      </c>
      <c r="Q61" s="9">
        <v>753.0</v>
      </c>
      <c r="R61" s="9">
        <v>0.0</v>
      </c>
      <c r="S61" s="9">
        <v>0.0</v>
      </c>
      <c r="T61" s="9">
        <v>0.0</v>
      </c>
      <c r="U61" s="9">
        <v>0.0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A61" s="9">
        <v>0.0</v>
      </c>
      <c r="AB61" s="9">
        <v>0.0</v>
      </c>
      <c r="AC61" s="9">
        <v>0.0</v>
      </c>
      <c r="AD61" s="11" t="s">
        <v>41</v>
      </c>
      <c r="AE61" s="9" t="s">
        <v>9</v>
      </c>
    </row>
    <row r="62">
      <c r="A62" s="7" t="s">
        <v>491</v>
      </c>
      <c r="B62" s="7" t="s">
        <v>492</v>
      </c>
      <c r="C62" s="8">
        <v>46035.0</v>
      </c>
      <c r="D62" s="8">
        <v>46036.0</v>
      </c>
      <c r="E62" s="7" t="s">
        <v>364</v>
      </c>
      <c r="F62" s="7" t="s">
        <v>365</v>
      </c>
      <c r="G62" s="7" t="s">
        <v>355</v>
      </c>
      <c r="H62" s="9">
        <v>428813.0</v>
      </c>
      <c r="I62" s="9">
        <v>0.0</v>
      </c>
      <c r="J62" s="9">
        <v>704.0</v>
      </c>
      <c r="K62" s="9">
        <v>427850.0</v>
      </c>
      <c r="L62" s="10">
        <v>1.0022507888278602</v>
      </c>
      <c r="M62" s="9">
        <v>1.0022507888278602</v>
      </c>
      <c r="N62" s="9">
        <v>61921.0</v>
      </c>
      <c r="O62" s="9">
        <v>61010.0</v>
      </c>
      <c r="P62" s="9">
        <v>27996.0</v>
      </c>
      <c r="Q62" s="9">
        <v>209.0</v>
      </c>
      <c r="R62" s="9">
        <v>0.0</v>
      </c>
      <c r="S62" s="9">
        <v>0.0</v>
      </c>
      <c r="T62" s="9">
        <v>0.0</v>
      </c>
      <c r="U62" s="9">
        <v>0.0</v>
      </c>
      <c r="V62" s="9">
        <v>0.0</v>
      </c>
      <c r="W62" s="9">
        <v>0.0</v>
      </c>
      <c r="X62" s="9">
        <v>0.0</v>
      </c>
      <c r="Y62" s="9">
        <v>0.0</v>
      </c>
      <c r="Z62" s="9">
        <v>0.0</v>
      </c>
      <c r="AA62" s="9">
        <v>0.0</v>
      </c>
      <c r="AB62" s="9">
        <v>0.0</v>
      </c>
      <c r="AC62" s="9">
        <v>0.0</v>
      </c>
      <c r="AD62" s="11" t="s">
        <v>42</v>
      </c>
      <c r="AE62" s="9" t="s">
        <v>9</v>
      </c>
    </row>
    <row r="63">
      <c r="A63" s="7" t="s">
        <v>493</v>
      </c>
      <c r="B63" s="7" t="s">
        <v>494</v>
      </c>
      <c r="C63" s="8">
        <v>46041.0</v>
      </c>
      <c r="D63" s="8">
        <v>46055.0</v>
      </c>
      <c r="E63" s="7" t="s">
        <v>364</v>
      </c>
      <c r="F63" s="7" t="s">
        <v>365</v>
      </c>
      <c r="G63" s="7" t="s">
        <v>355</v>
      </c>
      <c r="H63" s="9">
        <v>3771995.0</v>
      </c>
      <c r="I63" s="9">
        <v>0.0</v>
      </c>
      <c r="J63" s="9">
        <v>17133.0</v>
      </c>
      <c r="K63" s="9">
        <v>1236622.0</v>
      </c>
      <c r="L63" s="10">
        <v>0.48297296991319905</v>
      </c>
      <c r="M63" s="9">
        <v>3.0502408981887754</v>
      </c>
      <c r="N63" s="9">
        <v>99866.0</v>
      </c>
      <c r="O63" s="9">
        <v>97981.0</v>
      </c>
      <c r="P63" s="9">
        <v>38813.0</v>
      </c>
      <c r="Q63" s="9">
        <v>4158.0</v>
      </c>
      <c r="R63" s="9">
        <v>0.0</v>
      </c>
      <c r="S63" s="9">
        <v>0.0</v>
      </c>
      <c r="T63" s="9">
        <v>0.0</v>
      </c>
      <c r="U63" s="9">
        <v>0.0</v>
      </c>
      <c r="V63" s="9">
        <v>0.0</v>
      </c>
      <c r="W63" s="9">
        <v>0.0</v>
      </c>
      <c r="X63" s="9">
        <v>0.0</v>
      </c>
      <c r="Y63" s="9">
        <v>0.0</v>
      </c>
      <c r="Z63" s="9">
        <v>0.0</v>
      </c>
      <c r="AA63" s="9">
        <v>0.0</v>
      </c>
      <c r="AB63" s="9">
        <v>0.0</v>
      </c>
      <c r="AC63" s="9">
        <v>0.0</v>
      </c>
      <c r="AD63" s="11" t="s">
        <v>43</v>
      </c>
      <c r="AE63" s="9" t="s">
        <v>9</v>
      </c>
    </row>
    <row r="64">
      <c r="A64" s="7" t="s">
        <v>495</v>
      </c>
      <c r="B64" s="7" t="s">
        <v>496</v>
      </c>
      <c r="C64" s="8">
        <v>46038.0</v>
      </c>
      <c r="D64" s="8">
        <v>46055.0</v>
      </c>
      <c r="E64" s="7" t="s">
        <v>358</v>
      </c>
      <c r="F64" s="7" t="s">
        <v>466</v>
      </c>
      <c r="G64" s="7" t="s">
        <v>355</v>
      </c>
      <c r="H64" s="9">
        <v>4108318.0</v>
      </c>
      <c r="I64" s="9">
        <v>362022.0</v>
      </c>
      <c r="J64" s="9">
        <v>22820.0</v>
      </c>
      <c r="K64" s="9">
        <v>324234.0</v>
      </c>
      <c r="L64" s="10">
        <v>2.4565375623777888</v>
      </c>
      <c r="M64" s="9">
        <v>12.670842663014984</v>
      </c>
      <c r="N64" s="9">
        <v>79361.0</v>
      </c>
      <c r="O64" s="9">
        <v>78087.0</v>
      </c>
      <c r="P64" s="9">
        <v>22745.0</v>
      </c>
      <c r="Q64" s="9">
        <v>87.0</v>
      </c>
      <c r="R64" s="9">
        <v>0.0</v>
      </c>
      <c r="S64" s="9">
        <v>0.0</v>
      </c>
      <c r="T64" s="9">
        <v>0.0</v>
      </c>
      <c r="U64" s="9">
        <v>0.0</v>
      </c>
      <c r="V64" s="9">
        <v>0.0</v>
      </c>
      <c r="W64" s="9">
        <v>0.0</v>
      </c>
      <c r="X64" s="9">
        <v>0.0</v>
      </c>
      <c r="Y64" s="9">
        <v>0.0</v>
      </c>
      <c r="Z64" s="9">
        <v>0.0</v>
      </c>
      <c r="AA64" s="9">
        <v>0.0</v>
      </c>
      <c r="AB64" s="9">
        <v>0.0</v>
      </c>
      <c r="AC64" s="9">
        <v>0.0</v>
      </c>
      <c r="AD64" s="11" t="s">
        <v>44</v>
      </c>
      <c r="AE64" s="9" t="s">
        <v>9</v>
      </c>
    </row>
    <row r="65">
      <c r="A65" s="7" t="s">
        <v>497</v>
      </c>
      <c r="B65" s="7" t="s">
        <v>498</v>
      </c>
      <c r="C65" s="8">
        <v>46043.0</v>
      </c>
      <c r="D65" s="8">
        <v>46081.0</v>
      </c>
      <c r="E65" s="7" t="s">
        <v>404</v>
      </c>
      <c r="F65" s="7" t="s">
        <v>405</v>
      </c>
      <c r="G65" s="7" t="s">
        <v>355</v>
      </c>
      <c r="H65" s="9">
        <v>1.9987991E7</v>
      </c>
      <c r="I65" s="9">
        <v>4636267.0</v>
      </c>
      <c r="J65" s="9">
        <v>26588.0</v>
      </c>
      <c r="K65" s="9">
        <v>467329.0</v>
      </c>
      <c r="L65" s="10">
        <v>6.596147467843853</v>
      </c>
      <c r="M65" s="9">
        <v>42.770705434501174</v>
      </c>
      <c r="N65" s="9">
        <v>131580.0</v>
      </c>
      <c r="O65" s="9">
        <v>130254.0</v>
      </c>
      <c r="P65" s="9">
        <v>67844.0</v>
      </c>
      <c r="Q65" s="9">
        <v>3426.0</v>
      </c>
      <c r="R65" s="9">
        <v>0.0</v>
      </c>
      <c r="S65" s="9">
        <v>0.0</v>
      </c>
      <c r="T65" s="9">
        <v>0.0</v>
      </c>
      <c r="U65" s="9">
        <v>0.0</v>
      </c>
      <c r="V65" s="9">
        <v>0.0</v>
      </c>
      <c r="W65" s="9">
        <v>0.0</v>
      </c>
      <c r="X65" s="9">
        <v>0.0</v>
      </c>
      <c r="Y65" s="9">
        <v>0.0</v>
      </c>
      <c r="Z65" s="9">
        <v>0.0</v>
      </c>
      <c r="AA65" s="9">
        <v>0.0</v>
      </c>
      <c r="AB65" s="9">
        <v>0.0</v>
      </c>
      <c r="AC65" s="9">
        <v>0.0</v>
      </c>
      <c r="AD65" s="11" t="s">
        <v>45</v>
      </c>
      <c r="AE65" s="9" t="s">
        <v>9</v>
      </c>
    </row>
    <row r="66">
      <c r="A66" s="7" t="s">
        <v>499</v>
      </c>
      <c r="B66" s="7" t="s">
        <v>500</v>
      </c>
      <c r="C66" s="8">
        <v>46041.0</v>
      </c>
      <c r="D66" s="8">
        <v>46041.0</v>
      </c>
      <c r="E66" s="7" t="s">
        <v>416</v>
      </c>
      <c r="F66" s="7" t="s">
        <v>430</v>
      </c>
      <c r="G66" s="7" t="s">
        <v>355</v>
      </c>
      <c r="H66" s="9">
        <v>0.0</v>
      </c>
      <c r="I66" s="9">
        <v>0.0</v>
      </c>
      <c r="J66" s="9">
        <v>0.0</v>
      </c>
      <c r="K66" s="9">
        <v>0.0</v>
      </c>
      <c r="L66" s="10">
        <v>0.0</v>
      </c>
      <c r="M66" s="9">
        <v>0.0</v>
      </c>
      <c r="N66" s="9">
        <v>13427.0</v>
      </c>
      <c r="O66" s="9">
        <v>13123.0</v>
      </c>
      <c r="P66" s="9">
        <v>2286.0</v>
      </c>
      <c r="Q66" s="9">
        <v>83.0</v>
      </c>
      <c r="R66" s="9">
        <v>0.0</v>
      </c>
      <c r="S66" s="9">
        <v>0.0</v>
      </c>
      <c r="T66" s="9">
        <v>0.0</v>
      </c>
      <c r="U66" s="9">
        <v>0.0</v>
      </c>
      <c r="V66" s="9">
        <v>0.0</v>
      </c>
      <c r="W66" s="9">
        <v>0.0</v>
      </c>
      <c r="X66" s="9">
        <v>0.0</v>
      </c>
      <c r="Y66" s="9">
        <v>0.0</v>
      </c>
      <c r="Z66" s="9">
        <v>0.0</v>
      </c>
      <c r="AA66" s="9">
        <v>0.0</v>
      </c>
      <c r="AB66" s="9">
        <v>0.0</v>
      </c>
      <c r="AC66" s="9">
        <v>0.0</v>
      </c>
      <c r="AD66" s="9"/>
      <c r="AE66" s="9" t="s">
        <v>9</v>
      </c>
    </row>
    <row r="67">
      <c r="A67" s="7" t="s">
        <v>501</v>
      </c>
      <c r="B67" s="7" t="s">
        <v>502</v>
      </c>
      <c r="C67" s="8">
        <v>46205.0</v>
      </c>
      <c r="D67" s="8">
        <v>46265.0</v>
      </c>
      <c r="E67" s="7" t="s">
        <v>503</v>
      </c>
      <c r="F67" s="7" t="s">
        <v>504</v>
      </c>
      <c r="G67" s="7" t="s">
        <v>410</v>
      </c>
      <c r="H67" s="9">
        <v>2.1389768E7</v>
      </c>
      <c r="I67" s="9">
        <v>5608558.0</v>
      </c>
      <c r="J67" s="9">
        <v>290709.0</v>
      </c>
      <c r="K67" s="9">
        <v>1151860.0</v>
      </c>
      <c r="L67" s="10">
        <v>3.6945210355425138</v>
      </c>
      <c r="M67" s="9">
        <v>18.56976368655913</v>
      </c>
      <c r="N67" s="9">
        <v>561058.0</v>
      </c>
      <c r="O67" s="9">
        <v>553314.0</v>
      </c>
      <c r="P67" s="9">
        <v>168616.0</v>
      </c>
      <c r="Q67" s="9">
        <v>10926.0</v>
      </c>
      <c r="R67" s="9">
        <v>0.0</v>
      </c>
      <c r="S67" s="9">
        <v>0.0</v>
      </c>
      <c r="T67" s="9">
        <v>0.0</v>
      </c>
      <c r="U67" s="9">
        <v>0.0</v>
      </c>
      <c r="V67" s="9">
        <v>0.0</v>
      </c>
      <c r="W67" s="9">
        <v>0.0</v>
      </c>
      <c r="X67" s="9">
        <v>0.0</v>
      </c>
      <c r="Y67" s="9">
        <v>0.0</v>
      </c>
      <c r="Z67" s="9">
        <v>0.0</v>
      </c>
      <c r="AA67" s="9">
        <v>0.0</v>
      </c>
      <c r="AB67" s="9">
        <v>0.0</v>
      </c>
      <c r="AC67" s="9">
        <v>0.0</v>
      </c>
      <c r="AD67" s="9"/>
      <c r="AE67" s="9" t="s">
        <v>9</v>
      </c>
    </row>
    <row r="68">
      <c r="A68" s="7" t="s">
        <v>505</v>
      </c>
      <c r="B68" s="7" t="s">
        <v>506</v>
      </c>
      <c r="C68" s="8">
        <v>46083.0</v>
      </c>
      <c r="D68" s="8">
        <v>46112.0</v>
      </c>
      <c r="E68" s="7" t="s">
        <v>358</v>
      </c>
      <c r="F68" s="7" t="s">
        <v>365</v>
      </c>
      <c r="G68" s="7" t="s">
        <v>355</v>
      </c>
      <c r="H68" s="9">
        <v>381747.0</v>
      </c>
      <c r="I68" s="9">
        <v>0.0</v>
      </c>
      <c r="J68" s="9">
        <v>6705.0</v>
      </c>
      <c r="K68" s="9">
        <v>78939.0</v>
      </c>
      <c r="L68" s="10">
        <v>1.8810220550044972</v>
      </c>
      <c r="M68" s="9">
        <v>4.835974613309011</v>
      </c>
      <c r="N68" s="9">
        <v>10370.0</v>
      </c>
      <c r="O68" s="9">
        <v>10174.0</v>
      </c>
      <c r="P68" s="9">
        <v>2757.0</v>
      </c>
      <c r="Q68" s="9">
        <v>178.0</v>
      </c>
      <c r="R68" s="9">
        <v>0.0</v>
      </c>
      <c r="S68" s="9">
        <v>0.0</v>
      </c>
      <c r="T68" s="9">
        <v>0.0</v>
      </c>
      <c r="U68" s="9">
        <v>0.0</v>
      </c>
      <c r="V68" s="9">
        <v>0.0</v>
      </c>
      <c r="W68" s="9">
        <v>0.0</v>
      </c>
      <c r="X68" s="9">
        <v>0.0</v>
      </c>
      <c r="Y68" s="9">
        <v>0.0</v>
      </c>
      <c r="Z68" s="9">
        <v>0.0</v>
      </c>
      <c r="AA68" s="9">
        <v>0.0</v>
      </c>
      <c r="AB68" s="9">
        <v>0.0</v>
      </c>
      <c r="AC68" s="9">
        <v>0.0</v>
      </c>
      <c r="AD68" s="9"/>
      <c r="AE68" s="9" t="s">
        <v>9</v>
      </c>
    </row>
    <row r="69">
      <c r="A69" s="7" t="s">
        <v>507</v>
      </c>
      <c r="B69" s="7" t="s">
        <v>508</v>
      </c>
      <c r="C69" s="8">
        <v>46037.0</v>
      </c>
      <c r="D69" s="8">
        <v>46037.0</v>
      </c>
      <c r="E69" s="7" t="s">
        <v>473</v>
      </c>
      <c r="F69" s="7" t="s">
        <v>474</v>
      </c>
      <c r="G69" s="7" t="s">
        <v>355</v>
      </c>
      <c r="H69" s="9">
        <v>0.0</v>
      </c>
      <c r="I69" s="9">
        <v>0.0</v>
      </c>
      <c r="J69" s="9">
        <v>0.0</v>
      </c>
      <c r="K69" s="9">
        <v>0.0</v>
      </c>
      <c r="L69" s="10">
        <v>0.0</v>
      </c>
      <c r="M69" s="9">
        <v>0.0</v>
      </c>
      <c r="N69" s="9">
        <v>311.0</v>
      </c>
      <c r="O69" s="9">
        <v>305.0</v>
      </c>
      <c r="P69" s="9">
        <v>146.0</v>
      </c>
      <c r="Q69" s="9">
        <v>17.0</v>
      </c>
      <c r="R69" s="9">
        <v>0.0</v>
      </c>
      <c r="S69" s="9">
        <v>0.0</v>
      </c>
      <c r="T69" s="9">
        <v>0.0</v>
      </c>
      <c r="U69" s="9">
        <v>0.0</v>
      </c>
      <c r="V69" s="9">
        <v>0.0</v>
      </c>
      <c r="W69" s="9">
        <v>0.0</v>
      </c>
      <c r="X69" s="9">
        <v>0.0</v>
      </c>
      <c r="Y69" s="9">
        <v>0.0</v>
      </c>
      <c r="Z69" s="9">
        <v>0.0</v>
      </c>
      <c r="AA69" s="9">
        <v>0.0</v>
      </c>
      <c r="AB69" s="9">
        <v>0.0</v>
      </c>
      <c r="AC69" s="9">
        <v>0.0</v>
      </c>
      <c r="AD69" s="9"/>
      <c r="AE69" s="9" t="s">
        <v>9</v>
      </c>
    </row>
    <row r="70">
      <c r="A70" s="7" t="s">
        <v>509</v>
      </c>
      <c r="B70" s="7" t="s">
        <v>510</v>
      </c>
      <c r="C70" s="8">
        <v>46042.0</v>
      </c>
      <c r="D70" s="8">
        <v>46205.0</v>
      </c>
      <c r="E70" s="7" t="s">
        <v>358</v>
      </c>
      <c r="F70" s="7" t="s">
        <v>365</v>
      </c>
      <c r="G70" s="7" t="s">
        <v>355</v>
      </c>
      <c r="H70" s="9">
        <v>0.0</v>
      </c>
      <c r="I70" s="9">
        <v>0.0</v>
      </c>
      <c r="J70" s="9">
        <v>0.0</v>
      </c>
      <c r="K70" s="9">
        <v>0.0</v>
      </c>
      <c r="L70" s="10">
        <v>0.0</v>
      </c>
      <c r="M70" s="9">
        <v>0.0</v>
      </c>
      <c r="N70" s="9">
        <v>236790.0</v>
      </c>
      <c r="O70" s="9">
        <v>236474.0</v>
      </c>
      <c r="P70" s="9">
        <v>96019.0</v>
      </c>
      <c r="Q70" s="9">
        <v>18061.0</v>
      </c>
      <c r="R70" s="9">
        <v>0.0</v>
      </c>
      <c r="S70" s="9">
        <v>0.0</v>
      </c>
      <c r="T70" s="9">
        <v>0.0</v>
      </c>
      <c r="U70" s="9">
        <v>0.0</v>
      </c>
      <c r="V70" s="9">
        <v>0.0</v>
      </c>
      <c r="W70" s="9">
        <v>0.0</v>
      </c>
      <c r="X70" s="9">
        <v>0.0</v>
      </c>
      <c r="Y70" s="9">
        <v>0.0</v>
      </c>
      <c r="Z70" s="9">
        <v>0.0</v>
      </c>
      <c r="AA70" s="9">
        <v>0.0</v>
      </c>
      <c r="AB70" s="9">
        <v>0.0</v>
      </c>
      <c r="AC70" s="9">
        <v>0.0</v>
      </c>
      <c r="AD70" s="9"/>
      <c r="AE70" s="9" t="s">
        <v>9</v>
      </c>
    </row>
    <row r="71">
      <c r="A71" s="7" t="s">
        <v>511</v>
      </c>
      <c r="B71" s="7" t="s">
        <v>512</v>
      </c>
      <c r="C71" s="8">
        <v>46038.0</v>
      </c>
      <c r="D71" s="8">
        <v>46056.0</v>
      </c>
      <c r="E71" s="7" t="s">
        <v>358</v>
      </c>
      <c r="F71" s="7" t="s">
        <v>466</v>
      </c>
      <c r="G71" s="7" t="s">
        <v>355</v>
      </c>
      <c r="H71" s="9">
        <v>1143474.0</v>
      </c>
      <c r="I71" s="9">
        <v>145591.0</v>
      </c>
      <c r="J71" s="9">
        <v>2412.0</v>
      </c>
      <c r="K71" s="9">
        <v>355943.0</v>
      </c>
      <c r="L71" s="10">
        <v>2.8286888631044858</v>
      </c>
      <c r="M71" s="9">
        <v>3.2125199821319708</v>
      </c>
      <c r="N71" s="9">
        <v>179393.0</v>
      </c>
      <c r="O71" s="9">
        <v>176101.0</v>
      </c>
      <c r="P71" s="9">
        <v>42189.0</v>
      </c>
      <c r="Q71" s="9">
        <v>823.0</v>
      </c>
      <c r="R71" s="9">
        <v>0.0</v>
      </c>
      <c r="S71" s="9">
        <v>0.0</v>
      </c>
      <c r="T71" s="9">
        <v>0.0</v>
      </c>
      <c r="U71" s="9">
        <v>0.0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9">
        <v>0.0</v>
      </c>
      <c r="AD71" s="11" t="s">
        <v>46</v>
      </c>
      <c r="AE71" s="9" t="s">
        <v>9</v>
      </c>
    </row>
    <row r="72">
      <c r="A72" s="7" t="s">
        <v>513</v>
      </c>
      <c r="B72" s="7" t="s">
        <v>514</v>
      </c>
      <c r="C72" s="8">
        <v>46049.0</v>
      </c>
      <c r="D72" s="8">
        <v>46049.0</v>
      </c>
      <c r="E72" s="7" t="s">
        <v>353</v>
      </c>
      <c r="F72" s="7" t="s">
        <v>413</v>
      </c>
      <c r="G72" s="7" t="s">
        <v>355</v>
      </c>
      <c r="H72" s="9">
        <v>0.0</v>
      </c>
      <c r="I72" s="9">
        <v>0.0</v>
      </c>
      <c r="J72" s="9">
        <v>0.0</v>
      </c>
      <c r="K72" s="9">
        <v>0.0</v>
      </c>
      <c r="L72" s="10">
        <v>0.0</v>
      </c>
      <c r="M72" s="9">
        <v>0.0</v>
      </c>
      <c r="N72" s="9">
        <v>82441.0</v>
      </c>
      <c r="O72" s="9">
        <v>80581.0</v>
      </c>
      <c r="P72" s="9">
        <v>22327.0</v>
      </c>
      <c r="Q72" s="9">
        <v>5566.0</v>
      </c>
      <c r="R72" s="9">
        <v>0.0</v>
      </c>
      <c r="S72" s="9">
        <v>0.0</v>
      </c>
      <c r="T72" s="9">
        <v>0.0</v>
      </c>
      <c r="U72" s="9">
        <v>0.0</v>
      </c>
      <c r="V72" s="9">
        <v>0.0</v>
      </c>
      <c r="W72" s="9">
        <v>0.0</v>
      </c>
      <c r="X72" s="9">
        <v>0.0</v>
      </c>
      <c r="Y72" s="9">
        <v>0.0</v>
      </c>
      <c r="Z72" s="9">
        <v>0.0</v>
      </c>
      <c r="AA72" s="9">
        <v>0.0</v>
      </c>
      <c r="AB72" s="9">
        <v>0.0</v>
      </c>
      <c r="AC72" s="9">
        <v>0.0</v>
      </c>
      <c r="AD72" s="9"/>
      <c r="AE72" s="9" t="s">
        <v>9</v>
      </c>
    </row>
    <row r="73">
      <c r="A73" s="7" t="s">
        <v>515</v>
      </c>
      <c r="B73" s="7" t="s">
        <v>516</v>
      </c>
      <c r="C73" s="8">
        <v>46051.0</v>
      </c>
      <c r="D73" s="8">
        <v>46051.0</v>
      </c>
      <c r="E73" s="7" t="s">
        <v>358</v>
      </c>
      <c r="F73" s="7" t="s">
        <v>387</v>
      </c>
      <c r="G73" s="7" t="s">
        <v>355</v>
      </c>
      <c r="H73" s="9">
        <v>0.0</v>
      </c>
      <c r="I73" s="9">
        <v>0.0</v>
      </c>
      <c r="J73" s="9">
        <v>0.0</v>
      </c>
      <c r="K73" s="9">
        <v>0.0</v>
      </c>
      <c r="L73" s="10">
        <v>0.0</v>
      </c>
      <c r="M73" s="9">
        <v>0.0</v>
      </c>
      <c r="N73" s="9">
        <v>15253.0</v>
      </c>
      <c r="O73" s="9">
        <v>14992.0</v>
      </c>
      <c r="P73" s="9">
        <v>5465.0</v>
      </c>
      <c r="Q73" s="9">
        <v>252.0</v>
      </c>
      <c r="R73" s="9">
        <v>0.0</v>
      </c>
      <c r="S73" s="9">
        <v>0.0</v>
      </c>
      <c r="T73" s="9">
        <v>0.0</v>
      </c>
      <c r="U73" s="9">
        <v>0.0</v>
      </c>
      <c r="V73" s="9">
        <v>0.0</v>
      </c>
      <c r="W73" s="9">
        <v>0.0</v>
      </c>
      <c r="X73" s="9">
        <v>0.0</v>
      </c>
      <c r="Y73" s="9">
        <v>0.0</v>
      </c>
      <c r="Z73" s="9">
        <v>0.0</v>
      </c>
      <c r="AA73" s="9">
        <v>0.0</v>
      </c>
      <c r="AB73" s="9">
        <v>0.0</v>
      </c>
      <c r="AC73" s="9">
        <v>0.0</v>
      </c>
      <c r="AD73" s="9"/>
      <c r="AE73" s="9" t="s">
        <v>9</v>
      </c>
    </row>
    <row r="74">
      <c r="A74" s="7" t="s">
        <v>517</v>
      </c>
      <c r="B74" s="7" t="s">
        <v>518</v>
      </c>
      <c r="C74" s="8">
        <v>46052.0</v>
      </c>
      <c r="D74" s="8">
        <v>46052.0</v>
      </c>
      <c r="E74" s="7" t="s">
        <v>358</v>
      </c>
      <c r="F74" s="7" t="s">
        <v>387</v>
      </c>
      <c r="G74" s="7" t="s">
        <v>355</v>
      </c>
      <c r="H74" s="9">
        <v>0.0</v>
      </c>
      <c r="I74" s="9">
        <v>0.0</v>
      </c>
      <c r="J74" s="9">
        <v>0.0</v>
      </c>
      <c r="K74" s="9">
        <v>0.0</v>
      </c>
      <c r="L74" s="10">
        <v>0.0</v>
      </c>
      <c r="M74" s="9">
        <v>0.0</v>
      </c>
      <c r="N74" s="9">
        <v>30581.0</v>
      </c>
      <c r="O74" s="9">
        <v>30053.0</v>
      </c>
      <c r="P74" s="9">
        <v>10808.0</v>
      </c>
      <c r="Q74" s="9">
        <v>399.0</v>
      </c>
      <c r="R74" s="9">
        <v>0.0</v>
      </c>
      <c r="S74" s="9">
        <v>0.0</v>
      </c>
      <c r="T74" s="9">
        <v>0.0</v>
      </c>
      <c r="U74" s="9">
        <v>0.0</v>
      </c>
      <c r="V74" s="9">
        <v>0.0</v>
      </c>
      <c r="W74" s="9">
        <v>0.0</v>
      </c>
      <c r="X74" s="9">
        <v>0.0</v>
      </c>
      <c r="Y74" s="9">
        <v>0.0</v>
      </c>
      <c r="Z74" s="9">
        <v>0.0</v>
      </c>
      <c r="AA74" s="9">
        <v>0.0</v>
      </c>
      <c r="AB74" s="9">
        <v>0.0</v>
      </c>
      <c r="AC74" s="9">
        <v>0.0</v>
      </c>
      <c r="AD74" s="9"/>
      <c r="AE74" s="9" t="s">
        <v>9</v>
      </c>
    </row>
    <row r="75">
      <c r="A75" s="7" t="s">
        <v>519</v>
      </c>
      <c r="B75" s="7" t="s">
        <v>520</v>
      </c>
      <c r="C75" s="8">
        <v>46055.0</v>
      </c>
      <c r="D75" s="8">
        <v>46055.0</v>
      </c>
      <c r="E75" s="7" t="s">
        <v>358</v>
      </c>
      <c r="F75" s="7" t="s">
        <v>387</v>
      </c>
      <c r="G75" s="7" t="s">
        <v>355</v>
      </c>
      <c r="H75" s="9">
        <v>0.0</v>
      </c>
      <c r="I75" s="9">
        <v>0.0</v>
      </c>
      <c r="J75" s="9">
        <v>0.0</v>
      </c>
      <c r="K75" s="9">
        <v>0.0</v>
      </c>
      <c r="L75" s="10">
        <v>0.0</v>
      </c>
      <c r="M75" s="9">
        <v>0.0</v>
      </c>
      <c r="N75" s="9">
        <v>10310.0</v>
      </c>
      <c r="O75" s="9">
        <v>10090.0</v>
      </c>
      <c r="P75" s="9">
        <v>2994.0</v>
      </c>
      <c r="Q75" s="9">
        <v>170.0</v>
      </c>
      <c r="R75" s="9">
        <v>0.0</v>
      </c>
      <c r="S75" s="9">
        <v>0.0</v>
      </c>
      <c r="T75" s="9">
        <v>0.0</v>
      </c>
      <c r="U75" s="9">
        <v>0.0</v>
      </c>
      <c r="V75" s="9">
        <v>0.0</v>
      </c>
      <c r="W75" s="9">
        <v>0.0</v>
      </c>
      <c r="X75" s="9">
        <v>0.0</v>
      </c>
      <c r="Y75" s="9">
        <v>0.0</v>
      </c>
      <c r="Z75" s="9">
        <v>0.0</v>
      </c>
      <c r="AA75" s="9">
        <v>0.0</v>
      </c>
      <c r="AB75" s="9">
        <v>0.0</v>
      </c>
      <c r="AC75" s="9">
        <v>0.0</v>
      </c>
      <c r="AD75" s="9"/>
      <c r="AE75" s="9" t="s">
        <v>9</v>
      </c>
    </row>
    <row r="76">
      <c r="A76" s="7" t="s">
        <v>521</v>
      </c>
      <c r="B76" s="7" t="s">
        <v>522</v>
      </c>
      <c r="C76" s="8">
        <v>46062.0</v>
      </c>
      <c r="D76" s="8">
        <v>46062.0</v>
      </c>
      <c r="E76" s="7" t="s">
        <v>358</v>
      </c>
      <c r="F76" s="7" t="s">
        <v>387</v>
      </c>
      <c r="G76" s="7" t="s">
        <v>355</v>
      </c>
      <c r="H76" s="9">
        <v>0.0</v>
      </c>
      <c r="I76" s="9">
        <v>0.0</v>
      </c>
      <c r="J76" s="9">
        <v>0.0</v>
      </c>
      <c r="K76" s="9">
        <v>0.0</v>
      </c>
      <c r="L76" s="10">
        <v>0.0</v>
      </c>
      <c r="M76" s="9">
        <v>0.0</v>
      </c>
      <c r="N76" s="9">
        <v>10019.0</v>
      </c>
      <c r="O76" s="9">
        <v>9829.0</v>
      </c>
      <c r="P76" s="9">
        <v>4405.0</v>
      </c>
      <c r="Q76" s="9">
        <v>210.0</v>
      </c>
      <c r="R76" s="9">
        <v>0.0</v>
      </c>
      <c r="S76" s="9">
        <v>0.0</v>
      </c>
      <c r="T76" s="9">
        <v>0.0</v>
      </c>
      <c r="U76" s="9">
        <v>0.0</v>
      </c>
      <c r="V76" s="9">
        <v>0.0</v>
      </c>
      <c r="W76" s="9">
        <v>0.0</v>
      </c>
      <c r="X76" s="9">
        <v>0.0</v>
      </c>
      <c r="Y76" s="9">
        <v>0.0</v>
      </c>
      <c r="Z76" s="9">
        <v>0.0</v>
      </c>
      <c r="AA76" s="9">
        <v>0.0</v>
      </c>
      <c r="AB76" s="9">
        <v>0.0</v>
      </c>
      <c r="AC76" s="9">
        <v>0.0</v>
      </c>
      <c r="AD76" s="9"/>
      <c r="AE76" s="9" t="s">
        <v>9</v>
      </c>
    </row>
    <row r="77">
      <c r="A77" s="7" t="s">
        <v>523</v>
      </c>
      <c r="B77" s="7" t="s">
        <v>524</v>
      </c>
      <c r="C77" s="8">
        <v>46062.0</v>
      </c>
      <c r="D77" s="8">
        <v>46062.0</v>
      </c>
      <c r="E77" s="7" t="s">
        <v>358</v>
      </c>
      <c r="F77" s="7" t="s">
        <v>387</v>
      </c>
      <c r="G77" s="7" t="s">
        <v>355</v>
      </c>
      <c r="H77" s="9">
        <v>0.0</v>
      </c>
      <c r="I77" s="9">
        <v>0.0</v>
      </c>
      <c r="J77" s="9">
        <v>0.0</v>
      </c>
      <c r="K77" s="9">
        <v>0.0</v>
      </c>
      <c r="L77" s="10">
        <v>0.0</v>
      </c>
      <c r="M77" s="9">
        <v>0.0</v>
      </c>
      <c r="N77" s="9">
        <v>9931.0</v>
      </c>
      <c r="O77" s="9">
        <v>9762.0</v>
      </c>
      <c r="P77" s="9">
        <v>3403.0</v>
      </c>
      <c r="Q77" s="9">
        <v>223.0</v>
      </c>
      <c r="R77" s="9">
        <v>0.0</v>
      </c>
      <c r="S77" s="9">
        <v>0.0</v>
      </c>
      <c r="T77" s="9">
        <v>0.0</v>
      </c>
      <c r="U77" s="9">
        <v>0.0</v>
      </c>
      <c r="V77" s="9">
        <v>0.0</v>
      </c>
      <c r="W77" s="9">
        <v>0.0</v>
      </c>
      <c r="X77" s="9">
        <v>0.0</v>
      </c>
      <c r="Y77" s="9">
        <v>0.0</v>
      </c>
      <c r="Z77" s="9">
        <v>0.0</v>
      </c>
      <c r="AA77" s="9">
        <v>0.0</v>
      </c>
      <c r="AB77" s="9">
        <v>0.0</v>
      </c>
      <c r="AC77" s="9">
        <v>0.0</v>
      </c>
      <c r="AD77" s="9"/>
      <c r="AE77" s="9" t="s">
        <v>9</v>
      </c>
    </row>
    <row r="78">
      <c r="A78" s="7" t="s">
        <v>525</v>
      </c>
      <c r="B78" s="7" t="s">
        <v>526</v>
      </c>
      <c r="C78" s="8">
        <v>46063.0</v>
      </c>
      <c r="D78" s="8">
        <v>46063.0</v>
      </c>
      <c r="E78" s="7" t="s">
        <v>358</v>
      </c>
      <c r="F78" s="7" t="s">
        <v>387</v>
      </c>
      <c r="G78" s="7" t="s">
        <v>355</v>
      </c>
      <c r="H78" s="9">
        <v>0.0</v>
      </c>
      <c r="I78" s="9">
        <v>0.0</v>
      </c>
      <c r="J78" s="9">
        <v>0.0</v>
      </c>
      <c r="K78" s="9">
        <v>0.0</v>
      </c>
      <c r="L78" s="10">
        <v>0.0</v>
      </c>
      <c r="M78" s="9">
        <v>0.0</v>
      </c>
      <c r="N78" s="9">
        <v>19496.0</v>
      </c>
      <c r="O78" s="9">
        <v>19166.0</v>
      </c>
      <c r="P78" s="9">
        <v>6746.0</v>
      </c>
      <c r="Q78" s="9">
        <v>239.0</v>
      </c>
      <c r="R78" s="9">
        <v>0.0</v>
      </c>
      <c r="S78" s="9">
        <v>0.0</v>
      </c>
      <c r="T78" s="9">
        <v>0.0</v>
      </c>
      <c r="U78" s="9">
        <v>0.0</v>
      </c>
      <c r="V78" s="9">
        <v>0.0</v>
      </c>
      <c r="W78" s="9">
        <v>0.0</v>
      </c>
      <c r="X78" s="9">
        <v>0.0</v>
      </c>
      <c r="Y78" s="9">
        <v>0.0</v>
      </c>
      <c r="Z78" s="9">
        <v>0.0</v>
      </c>
      <c r="AA78" s="9">
        <v>0.0</v>
      </c>
      <c r="AB78" s="9">
        <v>0.0</v>
      </c>
      <c r="AC78" s="9">
        <v>0.0</v>
      </c>
      <c r="AD78" s="9"/>
      <c r="AE78" s="9" t="s">
        <v>9</v>
      </c>
    </row>
    <row r="79">
      <c r="A79" s="7" t="s">
        <v>527</v>
      </c>
      <c r="B79" s="7" t="s">
        <v>528</v>
      </c>
      <c r="C79" s="8">
        <v>46067.0</v>
      </c>
      <c r="D79" s="8">
        <v>46067.0</v>
      </c>
      <c r="E79" s="7" t="s">
        <v>358</v>
      </c>
      <c r="F79" s="7" t="s">
        <v>387</v>
      </c>
      <c r="G79" s="7" t="s">
        <v>355</v>
      </c>
      <c r="H79" s="9">
        <v>0.0</v>
      </c>
      <c r="I79" s="9">
        <v>0.0</v>
      </c>
      <c r="J79" s="9">
        <v>0.0</v>
      </c>
      <c r="K79" s="9">
        <v>0.0</v>
      </c>
      <c r="L79" s="10">
        <v>0.0</v>
      </c>
      <c r="M79" s="9">
        <v>0.0</v>
      </c>
      <c r="N79" s="9">
        <v>11830.0</v>
      </c>
      <c r="O79" s="9">
        <v>11398.0</v>
      </c>
      <c r="P79" s="9">
        <v>4126.0</v>
      </c>
      <c r="Q79" s="9">
        <v>15.0</v>
      </c>
      <c r="R79" s="9">
        <v>0.0</v>
      </c>
      <c r="S79" s="9">
        <v>0.0</v>
      </c>
      <c r="T79" s="9">
        <v>0.0</v>
      </c>
      <c r="U79" s="9">
        <v>0.0</v>
      </c>
      <c r="V79" s="9">
        <v>0.0</v>
      </c>
      <c r="W79" s="9">
        <v>0.0</v>
      </c>
      <c r="X79" s="9">
        <v>0.0</v>
      </c>
      <c r="Y79" s="9">
        <v>0.0</v>
      </c>
      <c r="Z79" s="9">
        <v>0.0</v>
      </c>
      <c r="AA79" s="9">
        <v>0.0</v>
      </c>
      <c r="AB79" s="9">
        <v>0.0</v>
      </c>
      <c r="AC79" s="9">
        <v>0.0</v>
      </c>
      <c r="AD79" s="9"/>
      <c r="AE79" s="9" t="s">
        <v>9</v>
      </c>
    </row>
    <row r="80">
      <c r="A80" s="7" t="s">
        <v>529</v>
      </c>
      <c r="B80" s="7" t="s">
        <v>530</v>
      </c>
      <c r="C80" s="8">
        <v>46071.0</v>
      </c>
      <c r="D80" s="8">
        <v>46265.0</v>
      </c>
      <c r="E80" s="7" t="s">
        <v>358</v>
      </c>
      <c r="F80" s="7" t="s">
        <v>387</v>
      </c>
      <c r="G80" s="7" t="s">
        <v>410</v>
      </c>
      <c r="H80" s="9">
        <v>7822741.0</v>
      </c>
      <c r="I80" s="9">
        <v>0.0</v>
      </c>
      <c r="J80" s="9">
        <v>27788.0</v>
      </c>
      <c r="K80" s="9">
        <v>1977609.0</v>
      </c>
      <c r="L80" s="10">
        <v>3.955656047277293</v>
      </c>
      <c r="M80" s="9">
        <v>3.955656047277293</v>
      </c>
      <c r="N80" s="9">
        <v>0.0</v>
      </c>
      <c r="O80" s="9">
        <v>0.0</v>
      </c>
      <c r="P80" s="9">
        <v>0.0</v>
      </c>
      <c r="Q80" s="9">
        <v>0.0</v>
      </c>
      <c r="R80" s="9">
        <v>0.0</v>
      </c>
      <c r="S80" s="9">
        <v>0.0</v>
      </c>
      <c r="T80" s="9">
        <v>0.0</v>
      </c>
      <c r="U80" s="9">
        <v>0.0</v>
      </c>
      <c r="V80" s="9">
        <v>0.0</v>
      </c>
      <c r="W80" s="9">
        <v>0.0</v>
      </c>
      <c r="X80" s="9">
        <v>0.0</v>
      </c>
      <c r="Y80" s="9">
        <v>0.0</v>
      </c>
      <c r="Z80" s="9">
        <v>0.0</v>
      </c>
      <c r="AA80" s="9">
        <v>0.0</v>
      </c>
      <c r="AB80" s="9">
        <v>0.0</v>
      </c>
      <c r="AC80" s="9">
        <v>0.0</v>
      </c>
      <c r="AD80" s="11" t="s">
        <v>47</v>
      </c>
      <c r="AE80" s="9"/>
    </row>
    <row r="81">
      <c r="A81" s="7" t="s">
        <v>531</v>
      </c>
      <c r="B81" s="7" t="s">
        <v>532</v>
      </c>
      <c r="C81" s="8">
        <v>46077.0</v>
      </c>
      <c r="D81" s="8">
        <v>46077.0</v>
      </c>
      <c r="E81" s="7" t="s">
        <v>358</v>
      </c>
      <c r="F81" s="7" t="s">
        <v>387</v>
      </c>
      <c r="G81" s="7" t="s">
        <v>355</v>
      </c>
      <c r="H81" s="9">
        <v>0.0</v>
      </c>
      <c r="I81" s="9">
        <v>0.0</v>
      </c>
      <c r="J81" s="9">
        <v>0.0</v>
      </c>
      <c r="K81" s="9">
        <v>0.0</v>
      </c>
      <c r="L81" s="10">
        <v>0.0</v>
      </c>
      <c r="M81" s="9">
        <v>0.0</v>
      </c>
      <c r="N81" s="9">
        <v>33785.0</v>
      </c>
      <c r="O81" s="9">
        <v>33409.0</v>
      </c>
      <c r="P81" s="9">
        <v>13633.0</v>
      </c>
      <c r="Q81" s="9">
        <v>347.0</v>
      </c>
      <c r="R81" s="9">
        <v>0.0</v>
      </c>
      <c r="S81" s="9">
        <v>0.0</v>
      </c>
      <c r="T81" s="9">
        <v>0.0</v>
      </c>
      <c r="U81" s="9">
        <v>0.0</v>
      </c>
      <c r="V81" s="9">
        <v>0.0</v>
      </c>
      <c r="W81" s="9">
        <v>0.0</v>
      </c>
      <c r="X81" s="9">
        <v>0.0</v>
      </c>
      <c r="Y81" s="9">
        <v>0.0</v>
      </c>
      <c r="Z81" s="9">
        <v>0.0</v>
      </c>
      <c r="AA81" s="9">
        <v>0.0</v>
      </c>
      <c r="AB81" s="9">
        <v>0.0</v>
      </c>
      <c r="AC81" s="9">
        <v>0.0</v>
      </c>
      <c r="AD81" s="9"/>
      <c r="AE81" s="9" t="s">
        <v>9</v>
      </c>
    </row>
    <row r="82">
      <c r="A82" s="7" t="s">
        <v>533</v>
      </c>
      <c r="B82" s="7" t="s">
        <v>534</v>
      </c>
      <c r="C82" s="8">
        <v>46063.0</v>
      </c>
      <c r="D82" s="8">
        <v>46112.0</v>
      </c>
      <c r="E82" s="7" t="s">
        <v>358</v>
      </c>
      <c r="F82" s="7" t="s">
        <v>359</v>
      </c>
      <c r="G82" s="7" t="s">
        <v>355</v>
      </c>
      <c r="H82" s="9">
        <v>1.1971276E7</v>
      </c>
      <c r="I82" s="9">
        <v>4057311.0</v>
      </c>
      <c r="J82" s="9">
        <v>70881.0</v>
      </c>
      <c r="K82" s="9">
        <v>25626.0</v>
      </c>
      <c r="L82" s="10">
        <v>169.10965425739482</v>
      </c>
      <c r="M82" s="9">
        <v>467.15351596035276</v>
      </c>
      <c r="N82" s="9">
        <v>103961.0</v>
      </c>
      <c r="O82" s="9">
        <v>103286.0</v>
      </c>
      <c r="P82" s="9">
        <v>52535.0</v>
      </c>
      <c r="Q82" s="9">
        <v>360.0</v>
      </c>
      <c r="R82" s="9">
        <v>0.0</v>
      </c>
      <c r="S82" s="9">
        <v>0.0</v>
      </c>
      <c r="T82" s="9">
        <v>0.0</v>
      </c>
      <c r="U82" s="9">
        <v>0.0</v>
      </c>
      <c r="V82" s="9">
        <v>0.0</v>
      </c>
      <c r="W82" s="9">
        <v>0.0</v>
      </c>
      <c r="X82" s="9">
        <v>0.0</v>
      </c>
      <c r="Y82" s="9">
        <v>0.0</v>
      </c>
      <c r="Z82" s="9">
        <v>0.0</v>
      </c>
      <c r="AA82" s="9">
        <v>0.0</v>
      </c>
      <c r="AB82" s="9">
        <v>0.0</v>
      </c>
      <c r="AC82" s="9">
        <v>0.0</v>
      </c>
      <c r="AD82" s="9"/>
      <c r="AE82" s="9" t="s">
        <v>9</v>
      </c>
    </row>
    <row r="83">
      <c r="A83" s="7" t="s">
        <v>535</v>
      </c>
      <c r="B83" s="7" t="s">
        <v>536</v>
      </c>
      <c r="C83" s="8">
        <v>46063.0</v>
      </c>
      <c r="D83" s="8">
        <v>46112.0</v>
      </c>
      <c r="E83" s="7" t="s">
        <v>358</v>
      </c>
      <c r="F83" s="7" t="s">
        <v>359</v>
      </c>
      <c r="G83" s="7" t="s">
        <v>355</v>
      </c>
      <c r="H83" s="9">
        <v>6958541.0</v>
      </c>
      <c r="I83" s="9">
        <v>0.0</v>
      </c>
      <c r="J83" s="9">
        <v>54847.0</v>
      </c>
      <c r="K83" s="9">
        <v>421569.0</v>
      </c>
      <c r="L83" s="10">
        <v>6.548614817503185</v>
      </c>
      <c r="M83" s="9">
        <v>16.50629197118384</v>
      </c>
      <c r="N83" s="9">
        <v>87630.0</v>
      </c>
      <c r="O83" s="9">
        <v>86596.0</v>
      </c>
      <c r="P83" s="9">
        <v>33826.0</v>
      </c>
      <c r="Q83" s="9">
        <v>192.0</v>
      </c>
      <c r="R83" s="9">
        <v>0.0</v>
      </c>
      <c r="S83" s="9">
        <v>0.0</v>
      </c>
      <c r="T83" s="9">
        <v>0.0</v>
      </c>
      <c r="U83" s="9">
        <v>0.0</v>
      </c>
      <c r="V83" s="9">
        <v>0.0</v>
      </c>
      <c r="W83" s="9">
        <v>0.0</v>
      </c>
      <c r="X83" s="9">
        <v>0.0</v>
      </c>
      <c r="Y83" s="9">
        <v>0.0</v>
      </c>
      <c r="Z83" s="9">
        <v>0.0</v>
      </c>
      <c r="AA83" s="9">
        <v>0.0</v>
      </c>
      <c r="AB83" s="9">
        <v>0.0</v>
      </c>
      <c r="AC83" s="9">
        <v>0.0</v>
      </c>
      <c r="AD83" s="9"/>
      <c r="AE83" s="9" t="s">
        <v>9</v>
      </c>
    </row>
    <row r="84">
      <c r="A84" s="7" t="s">
        <v>537</v>
      </c>
      <c r="B84" s="7" t="s">
        <v>538</v>
      </c>
      <c r="C84" s="8">
        <v>46064.0</v>
      </c>
      <c r="D84" s="8">
        <v>46112.0</v>
      </c>
      <c r="E84" s="7" t="s">
        <v>358</v>
      </c>
      <c r="F84" s="7" t="s">
        <v>359</v>
      </c>
      <c r="G84" s="7" t="s">
        <v>355</v>
      </c>
      <c r="H84" s="9">
        <v>9961877.0</v>
      </c>
      <c r="I84" s="9">
        <v>0.0</v>
      </c>
      <c r="J84" s="9">
        <v>64850.0</v>
      </c>
      <c r="K84" s="9">
        <v>317029.0</v>
      </c>
      <c r="L84" s="10">
        <v>17.05584347173287</v>
      </c>
      <c r="M84" s="9">
        <v>31.422604872109492</v>
      </c>
      <c r="N84" s="9">
        <v>181226.0</v>
      </c>
      <c r="O84" s="9">
        <v>180694.0</v>
      </c>
      <c r="P84" s="9">
        <v>113730.0</v>
      </c>
      <c r="Q84" s="9">
        <v>1220.0</v>
      </c>
      <c r="R84" s="9">
        <v>0.0</v>
      </c>
      <c r="S84" s="9">
        <v>0.0</v>
      </c>
      <c r="T84" s="9">
        <v>0.0</v>
      </c>
      <c r="U84" s="9">
        <v>0.0</v>
      </c>
      <c r="V84" s="9">
        <v>0.0</v>
      </c>
      <c r="W84" s="9">
        <v>0.0</v>
      </c>
      <c r="X84" s="9">
        <v>0.0</v>
      </c>
      <c r="Y84" s="9">
        <v>0.0</v>
      </c>
      <c r="Z84" s="9">
        <v>0.0</v>
      </c>
      <c r="AA84" s="9">
        <v>0.0</v>
      </c>
      <c r="AB84" s="9">
        <v>0.0</v>
      </c>
      <c r="AC84" s="9">
        <v>0.0</v>
      </c>
      <c r="AD84" s="9"/>
      <c r="AE84" s="9" t="s">
        <v>9</v>
      </c>
    </row>
    <row r="85">
      <c r="A85" s="7" t="s">
        <v>539</v>
      </c>
      <c r="B85" s="7" t="s">
        <v>540</v>
      </c>
      <c r="C85" s="8">
        <v>46045.0</v>
      </c>
      <c r="D85" s="8">
        <v>46067.0</v>
      </c>
      <c r="E85" s="7" t="s">
        <v>416</v>
      </c>
      <c r="F85" s="7" t="s">
        <v>417</v>
      </c>
      <c r="G85" s="7" t="s">
        <v>355</v>
      </c>
      <c r="H85" s="9">
        <v>2825033.0</v>
      </c>
      <c r="I85" s="9">
        <v>1642319.0</v>
      </c>
      <c r="J85" s="9">
        <v>6937.0</v>
      </c>
      <c r="K85" s="9">
        <v>75466.0</v>
      </c>
      <c r="L85" s="10">
        <v>3.4477778072244454</v>
      </c>
      <c r="M85" s="9">
        <v>37.434513555773464</v>
      </c>
      <c r="N85" s="9">
        <v>118035.0</v>
      </c>
      <c r="O85" s="9">
        <v>115928.0</v>
      </c>
      <c r="P85" s="9">
        <v>20333.0</v>
      </c>
      <c r="Q85" s="9">
        <v>873.0</v>
      </c>
      <c r="R85" s="9">
        <v>9405.0</v>
      </c>
      <c r="S85" s="9">
        <v>7521.0</v>
      </c>
      <c r="T85" s="9">
        <v>1735.0</v>
      </c>
      <c r="U85" s="9">
        <v>1312.0</v>
      </c>
      <c r="V85" s="9">
        <v>32361.0</v>
      </c>
      <c r="W85" s="9">
        <v>32361.0</v>
      </c>
      <c r="X85" s="9">
        <v>25759.0</v>
      </c>
      <c r="Y85" s="9">
        <v>10328.0</v>
      </c>
      <c r="Z85" s="9">
        <v>108.0</v>
      </c>
      <c r="AA85" s="9">
        <v>0.0</v>
      </c>
      <c r="AB85" s="9">
        <v>0.0</v>
      </c>
      <c r="AC85" s="9">
        <v>0.0</v>
      </c>
      <c r="AD85" s="11" t="s">
        <v>48</v>
      </c>
      <c r="AE85" s="9" t="s">
        <v>9</v>
      </c>
    </row>
    <row r="86">
      <c r="A86" s="7" t="s">
        <v>541</v>
      </c>
      <c r="B86" s="7" t="s">
        <v>542</v>
      </c>
      <c r="C86" s="8">
        <v>46048.0</v>
      </c>
      <c r="D86" s="8">
        <v>46073.0</v>
      </c>
      <c r="E86" s="7" t="s">
        <v>416</v>
      </c>
      <c r="F86" s="7" t="s">
        <v>417</v>
      </c>
      <c r="G86" s="7" t="s">
        <v>355</v>
      </c>
      <c r="H86" s="9">
        <v>124669.0</v>
      </c>
      <c r="I86" s="9">
        <v>3423.0</v>
      </c>
      <c r="J86" s="9">
        <v>1975.0</v>
      </c>
      <c r="K86" s="9">
        <v>17945.0</v>
      </c>
      <c r="L86" s="10">
        <v>2.4849261632766786</v>
      </c>
      <c r="M86" s="9">
        <v>6.947283365840067</v>
      </c>
      <c r="N86" s="9">
        <v>6610.0</v>
      </c>
      <c r="O86" s="9">
        <v>6518.0</v>
      </c>
      <c r="P86" s="9">
        <v>1169.0</v>
      </c>
      <c r="Q86" s="9">
        <v>169.0</v>
      </c>
      <c r="R86" s="9">
        <v>0.0</v>
      </c>
      <c r="S86" s="9">
        <v>0.0</v>
      </c>
      <c r="T86" s="9">
        <v>0.0</v>
      </c>
      <c r="U86" s="9">
        <v>0.0</v>
      </c>
      <c r="V86" s="9">
        <v>0.0</v>
      </c>
      <c r="W86" s="9">
        <v>0.0</v>
      </c>
      <c r="X86" s="9">
        <v>0.0</v>
      </c>
      <c r="Y86" s="9">
        <v>0.0</v>
      </c>
      <c r="Z86" s="9">
        <v>0.0</v>
      </c>
      <c r="AA86" s="9">
        <v>0.0</v>
      </c>
      <c r="AB86" s="9">
        <v>0.0</v>
      </c>
      <c r="AC86" s="9">
        <v>0.0</v>
      </c>
      <c r="AD86" s="9"/>
      <c r="AE86" s="9" t="s">
        <v>9</v>
      </c>
    </row>
    <row r="87">
      <c r="A87" s="7" t="s">
        <v>543</v>
      </c>
      <c r="B87" s="7" t="s">
        <v>544</v>
      </c>
      <c r="C87" s="8">
        <v>46055.0</v>
      </c>
      <c r="D87" s="8">
        <v>46055.0</v>
      </c>
      <c r="E87" s="7" t="s">
        <v>416</v>
      </c>
      <c r="F87" s="7" t="s">
        <v>430</v>
      </c>
      <c r="G87" s="7" t="s">
        <v>355</v>
      </c>
      <c r="H87" s="9">
        <v>0.0</v>
      </c>
      <c r="I87" s="9">
        <v>0.0</v>
      </c>
      <c r="J87" s="9">
        <v>0.0</v>
      </c>
      <c r="K87" s="9">
        <v>0.0</v>
      </c>
      <c r="L87" s="10">
        <v>0.0</v>
      </c>
      <c r="M87" s="9">
        <v>0.0</v>
      </c>
      <c r="N87" s="9">
        <v>31878.0</v>
      </c>
      <c r="O87" s="9">
        <v>31183.0</v>
      </c>
      <c r="P87" s="9">
        <v>5171.0</v>
      </c>
      <c r="Q87" s="9">
        <v>112.0</v>
      </c>
      <c r="R87" s="9">
        <v>0.0</v>
      </c>
      <c r="S87" s="9">
        <v>0.0</v>
      </c>
      <c r="T87" s="9">
        <v>0.0</v>
      </c>
      <c r="U87" s="9">
        <v>0.0</v>
      </c>
      <c r="V87" s="9">
        <v>0.0</v>
      </c>
      <c r="W87" s="9">
        <v>0.0</v>
      </c>
      <c r="X87" s="9">
        <v>0.0</v>
      </c>
      <c r="Y87" s="9">
        <v>0.0</v>
      </c>
      <c r="Z87" s="9">
        <v>0.0</v>
      </c>
      <c r="AA87" s="9">
        <v>0.0</v>
      </c>
      <c r="AB87" s="9">
        <v>0.0</v>
      </c>
      <c r="AC87" s="9">
        <v>0.0</v>
      </c>
      <c r="AD87" s="9"/>
      <c r="AE87" s="9" t="s">
        <v>9</v>
      </c>
    </row>
    <row r="88">
      <c r="A88" s="7" t="s">
        <v>545</v>
      </c>
      <c r="B88" s="7" t="s">
        <v>546</v>
      </c>
      <c r="C88" s="8">
        <v>46087.0</v>
      </c>
      <c r="D88" s="8">
        <v>46112.0</v>
      </c>
      <c r="E88" s="7" t="s">
        <v>404</v>
      </c>
      <c r="F88" s="7" t="s">
        <v>405</v>
      </c>
      <c r="G88" s="7" t="s">
        <v>355</v>
      </c>
      <c r="H88" s="9">
        <v>2.638707E7</v>
      </c>
      <c r="I88" s="9">
        <v>1127725.0</v>
      </c>
      <c r="J88" s="9">
        <v>16601.0</v>
      </c>
      <c r="K88" s="9">
        <v>672600.0</v>
      </c>
      <c r="L88" s="10">
        <v>18.517805530776094</v>
      </c>
      <c r="M88" s="9">
        <v>39.2314451382694</v>
      </c>
      <c r="N88" s="9">
        <v>0.0</v>
      </c>
      <c r="O88" s="9">
        <v>0.0</v>
      </c>
      <c r="P88" s="9">
        <v>0.0</v>
      </c>
      <c r="Q88" s="9">
        <v>0.0</v>
      </c>
      <c r="R88" s="9">
        <v>0.0</v>
      </c>
      <c r="S88" s="9">
        <v>0.0</v>
      </c>
      <c r="T88" s="9">
        <v>0.0</v>
      </c>
      <c r="U88" s="9">
        <v>0.0</v>
      </c>
      <c r="V88" s="9">
        <v>0.0</v>
      </c>
      <c r="W88" s="9">
        <v>0.0</v>
      </c>
      <c r="X88" s="9">
        <v>0.0</v>
      </c>
      <c r="Y88" s="9">
        <v>0.0</v>
      </c>
      <c r="Z88" s="9">
        <v>0.0</v>
      </c>
      <c r="AA88" s="9">
        <v>0.0</v>
      </c>
      <c r="AB88" s="9">
        <v>0.0</v>
      </c>
      <c r="AC88" s="9">
        <v>0.0</v>
      </c>
      <c r="AD88" s="9"/>
      <c r="AE88" s="9"/>
    </row>
    <row r="89">
      <c r="A89" s="7" t="s">
        <v>547</v>
      </c>
      <c r="B89" s="7" t="s">
        <v>548</v>
      </c>
      <c r="C89" s="8">
        <v>46051.0</v>
      </c>
      <c r="D89" s="8">
        <v>46051.0</v>
      </c>
      <c r="E89" s="7" t="s">
        <v>416</v>
      </c>
      <c r="F89" s="7" t="s">
        <v>430</v>
      </c>
      <c r="G89" s="7" t="s">
        <v>355</v>
      </c>
      <c r="H89" s="9">
        <v>0.0</v>
      </c>
      <c r="I89" s="9">
        <v>0.0</v>
      </c>
      <c r="J89" s="9">
        <v>0.0</v>
      </c>
      <c r="K89" s="9">
        <v>0.0</v>
      </c>
      <c r="L89" s="10">
        <v>0.0</v>
      </c>
      <c r="M89" s="9">
        <v>0.0</v>
      </c>
      <c r="N89" s="9">
        <v>57099.0</v>
      </c>
      <c r="O89" s="9">
        <v>56035.0</v>
      </c>
      <c r="P89" s="9">
        <v>16960.0</v>
      </c>
      <c r="Q89" s="9">
        <v>393.0</v>
      </c>
      <c r="R89" s="9">
        <v>0.0</v>
      </c>
      <c r="S89" s="9">
        <v>0.0</v>
      </c>
      <c r="T89" s="9">
        <v>0.0</v>
      </c>
      <c r="U89" s="9">
        <v>0.0</v>
      </c>
      <c r="V89" s="9">
        <v>0.0</v>
      </c>
      <c r="W89" s="9">
        <v>0.0</v>
      </c>
      <c r="X89" s="9">
        <v>0.0</v>
      </c>
      <c r="Y89" s="9">
        <v>0.0</v>
      </c>
      <c r="Z89" s="9">
        <v>0.0</v>
      </c>
      <c r="AA89" s="9">
        <v>0.0</v>
      </c>
      <c r="AB89" s="9">
        <v>0.0</v>
      </c>
      <c r="AC89" s="9">
        <v>0.0</v>
      </c>
      <c r="AD89" s="9"/>
      <c r="AE89" s="9" t="s">
        <v>9</v>
      </c>
    </row>
    <row r="90">
      <c r="A90" s="7" t="s">
        <v>549</v>
      </c>
      <c r="B90" s="7" t="s">
        <v>550</v>
      </c>
      <c r="C90" s="8">
        <v>46050.0</v>
      </c>
      <c r="D90" s="8">
        <v>46050.0</v>
      </c>
      <c r="E90" s="7" t="s">
        <v>416</v>
      </c>
      <c r="F90" s="7" t="s">
        <v>430</v>
      </c>
      <c r="G90" s="7" t="s">
        <v>355</v>
      </c>
      <c r="H90" s="9">
        <v>0.0</v>
      </c>
      <c r="I90" s="9">
        <v>0.0</v>
      </c>
      <c r="J90" s="9">
        <v>0.0</v>
      </c>
      <c r="K90" s="9">
        <v>0.0</v>
      </c>
      <c r="L90" s="10">
        <v>0.0</v>
      </c>
      <c r="M90" s="9">
        <v>0.0</v>
      </c>
      <c r="N90" s="9">
        <v>34666.0</v>
      </c>
      <c r="O90" s="9">
        <v>33494.0</v>
      </c>
      <c r="P90" s="9">
        <v>5167.0</v>
      </c>
      <c r="Q90" s="9">
        <v>97.0</v>
      </c>
      <c r="R90" s="9">
        <v>0.0</v>
      </c>
      <c r="S90" s="9">
        <v>0.0</v>
      </c>
      <c r="T90" s="9">
        <v>0.0</v>
      </c>
      <c r="U90" s="9">
        <v>0.0</v>
      </c>
      <c r="V90" s="9">
        <v>0.0</v>
      </c>
      <c r="W90" s="9">
        <v>0.0</v>
      </c>
      <c r="X90" s="9">
        <v>0.0</v>
      </c>
      <c r="Y90" s="9">
        <v>0.0</v>
      </c>
      <c r="Z90" s="9">
        <v>0.0</v>
      </c>
      <c r="AA90" s="9">
        <v>0.0</v>
      </c>
      <c r="AB90" s="9">
        <v>0.0</v>
      </c>
      <c r="AC90" s="9">
        <v>0.0</v>
      </c>
      <c r="AD90" s="9"/>
      <c r="AE90" s="9" t="s">
        <v>9</v>
      </c>
    </row>
    <row r="91">
      <c r="A91" s="7" t="s">
        <v>551</v>
      </c>
      <c r="B91" s="7" t="s">
        <v>552</v>
      </c>
      <c r="C91" s="8">
        <v>46051.0</v>
      </c>
      <c r="D91" s="8">
        <v>46051.0</v>
      </c>
      <c r="E91" s="7" t="s">
        <v>416</v>
      </c>
      <c r="F91" s="7" t="s">
        <v>430</v>
      </c>
      <c r="G91" s="7" t="s">
        <v>355</v>
      </c>
      <c r="H91" s="9">
        <v>0.0</v>
      </c>
      <c r="I91" s="9">
        <v>0.0</v>
      </c>
      <c r="J91" s="9">
        <v>0.0</v>
      </c>
      <c r="K91" s="9">
        <v>0.0</v>
      </c>
      <c r="L91" s="10">
        <v>0.0</v>
      </c>
      <c r="M91" s="9">
        <v>0.0</v>
      </c>
      <c r="N91" s="9">
        <v>49880.0</v>
      </c>
      <c r="O91" s="9">
        <v>48946.0</v>
      </c>
      <c r="P91" s="9">
        <v>15010.0</v>
      </c>
      <c r="Q91" s="9">
        <v>433.0</v>
      </c>
      <c r="R91" s="9">
        <v>0.0</v>
      </c>
      <c r="S91" s="9">
        <v>0.0</v>
      </c>
      <c r="T91" s="9">
        <v>0.0</v>
      </c>
      <c r="U91" s="9">
        <v>0.0</v>
      </c>
      <c r="V91" s="9">
        <v>0.0</v>
      </c>
      <c r="W91" s="9">
        <v>0.0</v>
      </c>
      <c r="X91" s="9">
        <v>0.0</v>
      </c>
      <c r="Y91" s="9">
        <v>0.0</v>
      </c>
      <c r="Z91" s="9">
        <v>0.0</v>
      </c>
      <c r="AA91" s="9">
        <v>0.0</v>
      </c>
      <c r="AB91" s="9">
        <v>0.0</v>
      </c>
      <c r="AC91" s="9">
        <v>0.0</v>
      </c>
      <c r="AD91" s="9"/>
      <c r="AE91" s="9" t="s">
        <v>9</v>
      </c>
    </row>
    <row r="92">
      <c r="A92" s="7" t="s">
        <v>553</v>
      </c>
      <c r="B92" s="7" t="s">
        <v>554</v>
      </c>
      <c r="C92" s="8">
        <v>46049.0</v>
      </c>
      <c r="D92" s="8">
        <v>46063.0</v>
      </c>
      <c r="E92" s="7" t="s">
        <v>364</v>
      </c>
      <c r="F92" s="7" t="s">
        <v>365</v>
      </c>
      <c r="G92" s="7" t="s">
        <v>355</v>
      </c>
      <c r="H92" s="9">
        <v>2133201.0</v>
      </c>
      <c r="I92" s="9">
        <v>0.0</v>
      </c>
      <c r="J92" s="9">
        <v>11726.0</v>
      </c>
      <c r="K92" s="9">
        <v>810555.0</v>
      </c>
      <c r="L92" s="10">
        <v>0.5683537822849776</v>
      </c>
      <c r="M92" s="9">
        <v>2.6317782260303124</v>
      </c>
      <c r="N92" s="9">
        <v>150038.0</v>
      </c>
      <c r="O92" s="9">
        <v>146815.0</v>
      </c>
      <c r="P92" s="9">
        <v>34417.0</v>
      </c>
      <c r="Q92" s="9">
        <v>972.0</v>
      </c>
      <c r="R92" s="9">
        <v>0.0</v>
      </c>
      <c r="S92" s="9">
        <v>0.0</v>
      </c>
      <c r="T92" s="9">
        <v>0.0</v>
      </c>
      <c r="U92" s="9">
        <v>0.0</v>
      </c>
      <c r="V92" s="9">
        <v>0.0</v>
      </c>
      <c r="W92" s="9">
        <v>0.0</v>
      </c>
      <c r="X92" s="9">
        <v>0.0</v>
      </c>
      <c r="Y92" s="9">
        <v>0.0</v>
      </c>
      <c r="Z92" s="9">
        <v>0.0</v>
      </c>
      <c r="AA92" s="9">
        <v>0.0</v>
      </c>
      <c r="AB92" s="9">
        <v>0.0</v>
      </c>
      <c r="AC92" s="9">
        <v>0.0</v>
      </c>
      <c r="AD92" s="9"/>
      <c r="AE92" s="9" t="s">
        <v>9</v>
      </c>
    </row>
    <row r="93">
      <c r="A93" s="7" t="s">
        <v>555</v>
      </c>
      <c r="B93" s="7" t="s">
        <v>556</v>
      </c>
      <c r="C93" s="8">
        <v>46048.0</v>
      </c>
      <c r="D93" s="8">
        <v>46062.0</v>
      </c>
      <c r="E93" s="7" t="s">
        <v>364</v>
      </c>
      <c r="F93" s="7" t="s">
        <v>365</v>
      </c>
      <c r="G93" s="7" t="s">
        <v>355</v>
      </c>
      <c r="H93" s="9">
        <v>194515.0</v>
      </c>
      <c r="I93" s="9">
        <v>0.0</v>
      </c>
      <c r="J93" s="9">
        <v>13.0</v>
      </c>
      <c r="K93" s="9">
        <v>137491.0</v>
      </c>
      <c r="L93" s="10">
        <v>1.4147471470859911</v>
      </c>
      <c r="M93" s="9">
        <v>1.4147471470859911</v>
      </c>
      <c r="N93" s="9">
        <v>22322.0</v>
      </c>
      <c r="O93" s="9">
        <v>21947.0</v>
      </c>
      <c r="P93" s="9">
        <v>8823.0</v>
      </c>
      <c r="Q93" s="9">
        <v>203.0</v>
      </c>
      <c r="R93" s="9">
        <v>0.0</v>
      </c>
      <c r="S93" s="9">
        <v>0.0</v>
      </c>
      <c r="T93" s="9">
        <v>0.0</v>
      </c>
      <c r="U93" s="9">
        <v>0.0</v>
      </c>
      <c r="V93" s="9">
        <v>0.0</v>
      </c>
      <c r="W93" s="9">
        <v>0.0</v>
      </c>
      <c r="X93" s="9">
        <v>0.0</v>
      </c>
      <c r="Y93" s="9">
        <v>0.0</v>
      </c>
      <c r="Z93" s="9">
        <v>0.0</v>
      </c>
      <c r="AA93" s="9">
        <v>0.0</v>
      </c>
      <c r="AB93" s="9">
        <v>0.0</v>
      </c>
      <c r="AC93" s="9">
        <v>0.0</v>
      </c>
      <c r="AD93" s="9"/>
      <c r="AE93" s="9" t="s">
        <v>9</v>
      </c>
    </row>
    <row r="94">
      <c r="A94" s="7" t="s">
        <v>557</v>
      </c>
      <c r="B94" s="7" t="s">
        <v>558</v>
      </c>
      <c r="C94" s="8">
        <v>46051.0</v>
      </c>
      <c r="D94" s="8">
        <v>46054.0</v>
      </c>
      <c r="E94" s="7" t="s">
        <v>364</v>
      </c>
      <c r="F94" s="7" t="s">
        <v>365</v>
      </c>
      <c r="G94" s="7" t="s">
        <v>355</v>
      </c>
      <c r="H94" s="9">
        <v>1038637.0</v>
      </c>
      <c r="I94" s="9">
        <v>0.0</v>
      </c>
      <c r="J94" s="9">
        <v>20.0</v>
      </c>
      <c r="K94" s="9">
        <v>635853.0</v>
      </c>
      <c r="L94" s="10">
        <v>1.6334545877742181</v>
      </c>
      <c r="M94" s="9">
        <v>1.6334545877742181</v>
      </c>
      <c r="N94" s="9">
        <v>218884.0</v>
      </c>
      <c r="O94" s="9">
        <v>215091.0</v>
      </c>
      <c r="P94" s="9">
        <v>68978.0</v>
      </c>
      <c r="Q94" s="9">
        <v>2643.0</v>
      </c>
      <c r="R94" s="9">
        <v>0.0</v>
      </c>
      <c r="S94" s="9">
        <v>0.0</v>
      </c>
      <c r="T94" s="9">
        <v>0.0</v>
      </c>
      <c r="U94" s="9">
        <v>0.0</v>
      </c>
      <c r="V94" s="9">
        <v>0.0</v>
      </c>
      <c r="W94" s="9">
        <v>0.0</v>
      </c>
      <c r="X94" s="9">
        <v>0.0</v>
      </c>
      <c r="Y94" s="9">
        <v>0.0</v>
      </c>
      <c r="Z94" s="9">
        <v>0.0</v>
      </c>
      <c r="AA94" s="9">
        <v>38263.0</v>
      </c>
      <c r="AB94" s="9">
        <v>35939.0</v>
      </c>
      <c r="AC94" s="9">
        <v>182.0</v>
      </c>
      <c r="AD94" s="9"/>
      <c r="AE94" s="9" t="s">
        <v>9</v>
      </c>
    </row>
    <row r="95">
      <c r="A95" s="7" t="s">
        <v>559</v>
      </c>
      <c r="B95" s="7" t="s">
        <v>560</v>
      </c>
      <c r="C95" s="8">
        <v>46049.0</v>
      </c>
      <c r="D95" s="8">
        <v>46049.0</v>
      </c>
      <c r="E95" s="7" t="s">
        <v>353</v>
      </c>
      <c r="F95" s="7" t="s">
        <v>378</v>
      </c>
      <c r="G95" s="7" t="s">
        <v>355</v>
      </c>
      <c r="H95" s="9">
        <v>0.0</v>
      </c>
      <c r="I95" s="9">
        <v>0.0</v>
      </c>
      <c r="J95" s="9">
        <v>0.0</v>
      </c>
      <c r="K95" s="9">
        <v>0.0</v>
      </c>
      <c r="L95" s="10">
        <v>0.0</v>
      </c>
      <c r="M95" s="9">
        <v>0.0</v>
      </c>
      <c r="N95" s="9">
        <v>7062.0</v>
      </c>
      <c r="O95" s="9">
        <v>7019.0</v>
      </c>
      <c r="P95" s="9">
        <v>2964.0</v>
      </c>
      <c r="Q95" s="9">
        <v>229.0</v>
      </c>
      <c r="R95" s="9">
        <v>0.0</v>
      </c>
      <c r="S95" s="9">
        <v>0.0</v>
      </c>
      <c r="T95" s="9">
        <v>0.0</v>
      </c>
      <c r="U95" s="9">
        <v>0.0</v>
      </c>
      <c r="V95" s="9">
        <v>0.0</v>
      </c>
      <c r="W95" s="9">
        <v>0.0</v>
      </c>
      <c r="X95" s="9">
        <v>0.0</v>
      </c>
      <c r="Y95" s="9">
        <v>0.0</v>
      </c>
      <c r="Z95" s="9">
        <v>0.0</v>
      </c>
      <c r="AA95" s="9">
        <v>0.0</v>
      </c>
      <c r="AB95" s="9">
        <v>0.0</v>
      </c>
      <c r="AC95" s="9">
        <v>0.0</v>
      </c>
      <c r="AD95" s="9"/>
      <c r="AE95" s="9" t="s">
        <v>9</v>
      </c>
    </row>
    <row r="96">
      <c r="A96" s="7" t="s">
        <v>561</v>
      </c>
      <c r="B96" s="7" t="s">
        <v>562</v>
      </c>
      <c r="C96" s="8">
        <v>46057.0</v>
      </c>
      <c r="D96" s="8">
        <v>46057.0</v>
      </c>
      <c r="E96" s="7" t="s">
        <v>416</v>
      </c>
      <c r="F96" s="7" t="s">
        <v>430</v>
      </c>
      <c r="G96" s="7" t="s">
        <v>355</v>
      </c>
      <c r="H96" s="9">
        <v>0.0</v>
      </c>
      <c r="I96" s="9">
        <v>0.0</v>
      </c>
      <c r="J96" s="9">
        <v>0.0</v>
      </c>
      <c r="K96" s="9">
        <v>0.0</v>
      </c>
      <c r="L96" s="10">
        <v>0.0</v>
      </c>
      <c r="M96" s="9">
        <v>0.0</v>
      </c>
      <c r="N96" s="9">
        <v>26962.0</v>
      </c>
      <c r="O96" s="9">
        <v>26396.0</v>
      </c>
      <c r="P96" s="9">
        <v>5693.0</v>
      </c>
      <c r="Q96" s="9">
        <v>547.0</v>
      </c>
      <c r="R96" s="9">
        <v>0.0</v>
      </c>
      <c r="S96" s="9">
        <v>0.0</v>
      </c>
      <c r="T96" s="9">
        <v>0.0</v>
      </c>
      <c r="U96" s="9">
        <v>0.0</v>
      </c>
      <c r="V96" s="9">
        <v>0.0</v>
      </c>
      <c r="W96" s="9">
        <v>0.0</v>
      </c>
      <c r="X96" s="9">
        <v>0.0</v>
      </c>
      <c r="Y96" s="9">
        <v>0.0</v>
      </c>
      <c r="Z96" s="9">
        <v>0.0</v>
      </c>
      <c r="AA96" s="9">
        <v>0.0</v>
      </c>
      <c r="AB96" s="9">
        <v>0.0</v>
      </c>
      <c r="AC96" s="9">
        <v>0.0</v>
      </c>
      <c r="AD96" s="9"/>
      <c r="AE96" s="9" t="s">
        <v>9</v>
      </c>
    </row>
    <row r="97">
      <c r="A97" s="7" t="s">
        <v>563</v>
      </c>
      <c r="B97" s="7" t="s">
        <v>564</v>
      </c>
      <c r="C97" s="8">
        <v>46150.0</v>
      </c>
      <c r="D97" s="8">
        <v>46150.0</v>
      </c>
      <c r="E97" s="7" t="s">
        <v>364</v>
      </c>
      <c r="F97" s="7" t="s">
        <v>365</v>
      </c>
      <c r="G97" s="7" t="s">
        <v>355</v>
      </c>
      <c r="H97" s="9">
        <v>0.0</v>
      </c>
      <c r="I97" s="9">
        <v>0.0</v>
      </c>
      <c r="J97" s="9">
        <v>0.0</v>
      </c>
      <c r="K97" s="9">
        <v>0.0</v>
      </c>
      <c r="L97" s="10">
        <v>0.0</v>
      </c>
      <c r="M97" s="9">
        <v>0.0</v>
      </c>
      <c r="N97" s="9">
        <v>155026.0</v>
      </c>
      <c r="O97" s="9">
        <v>153885.0</v>
      </c>
      <c r="P97" s="9">
        <v>67635.0</v>
      </c>
      <c r="Q97" s="9">
        <v>2686.0</v>
      </c>
      <c r="R97" s="9">
        <v>0.0</v>
      </c>
      <c r="S97" s="9">
        <v>0.0</v>
      </c>
      <c r="T97" s="9">
        <v>0.0</v>
      </c>
      <c r="U97" s="9">
        <v>0.0</v>
      </c>
      <c r="V97" s="9">
        <v>0.0</v>
      </c>
      <c r="W97" s="9">
        <v>0.0</v>
      </c>
      <c r="X97" s="9">
        <v>0.0</v>
      </c>
      <c r="Y97" s="9">
        <v>0.0</v>
      </c>
      <c r="Z97" s="9">
        <v>0.0</v>
      </c>
      <c r="AA97" s="9">
        <v>0.0</v>
      </c>
      <c r="AB97" s="9">
        <v>0.0</v>
      </c>
      <c r="AC97" s="9">
        <v>0.0</v>
      </c>
      <c r="AD97" s="9"/>
      <c r="AE97" s="9" t="s">
        <v>9</v>
      </c>
    </row>
    <row r="98">
      <c r="A98" s="7" t="s">
        <v>565</v>
      </c>
      <c r="B98" s="7" t="s">
        <v>566</v>
      </c>
      <c r="C98" s="8">
        <v>46049.0</v>
      </c>
      <c r="D98" s="8">
        <v>46167.0</v>
      </c>
      <c r="E98" s="7" t="s">
        <v>364</v>
      </c>
      <c r="F98" s="7" t="s">
        <v>365</v>
      </c>
      <c r="G98" s="7" t="s">
        <v>355</v>
      </c>
      <c r="H98" s="9">
        <v>1.0369425E7</v>
      </c>
      <c r="I98" s="9">
        <v>3848246.0</v>
      </c>
      <c r="J98" s="9">
        <v>31546.0</v>
      </c>
      <c r="K98" s="9">
        <v>316958.0</v>
      </c>
      <c r="L98" s="10">
        <v>2.681462528158305</v>
      </c>
      <c r="M98" s="9">
        <v>32.71545441351851</v>
      </c>
      <c r="N98" s="9">
        <v>399242.0</v>
      </c>
      <c r="O98" s="9">
        <v>394575.0</v>
      </c>
      <c r="P98" s="9">
        <v>134230.0</v>
      </c>
      <c r="Q98" s="9">
        <v>5084.0</v>
      </c>
      <c r="R98" s="9">
        <v>0.0</v>
      </c>
      <c r="S98" s="9">
        <v>0.0</v>
      </c>
      <c r="T98" s="9">
        <v>0.0</v>
      </c>
      <c r="U98" s="9">
        <v>0.0</v>
      </c>
      <c r="V98" s="9">
        <v>0.0</v>
      </c>
      <c r="W98" s="9">
        <v>0.0</v>
      </c>
      <c r="X98" s="9">
        <v>0.0</v>
      </c>
      <c r="Y98" s="9">
        <v>0.0</v>
      </c>
      <c r="Z98" s="9">
        <v>0.0</v>
      </c>
      <c r="AA98" s="9">
        <v>0.0</v>
      </c>
      <c r="AB98" s="9">
        <v>0.0</v>
      </c>
      <c r="AC98" s="9">
        <v>0.0</v>
      </c>
      <c r="AD98" s="11" t="s">
        <v>49</v>
      </c>
      <c r="AE98" s="9" t="s">
        <v>9</v>
      </c>
    </row>
    <row r="99">
      <c r="A99" s="7" t="s">
        <v>567</v>
      </c>
      <c r="B99" s="7" t="s">
        <v>568</v>
      </c>
      <c r="C99" s="8">
        <v>46049.0</v>
      </c>
      <c r="D99" s="8">
        <v>46066.0</v>
      </c>
      <c r="E99" s="7" t="s">
        <v>353</v>
      </c>
      <c r="F99" s="7" t="s">
        <v>378</v>
      </c>
      <c r="G99" s="7" t="s">
        <v>355</v>
      </c>
      <c r="H99" s="9">
        <v>1502590.0</v>
      </c>
      <c r="I99" s="9">
        <v>0.0</v>
      </c>
      <c r="J99" s="9">
        <v>2460.0</v>
      </c>
      <c r="K99" s="9">
        <v>1034589.0</v>
      </c>
      <c r="L99" s="10">
        <v>1.4523545098585042</v>
      </c>
      <c r="M99" s="9">
        <v>1.4523545098585042</v>
      </c>
      <c r="N99" s="9">
        <v>0.0</v>
      </c>
      <c r="O99" s="9">
        <v>0.0</v>
      </c>
      <c r="P99" s="9">
        <v>0.0</v>
      </c>
      <c r="Q99" s="9">
        <v>0.0</v>
      </c>
      <c r="R99" s="9">
        <v>0.0</v>
      </c>
      <c r="S99" s="9">
        <v>0.0</v>
      </c>
      <c r="T99" s="9">
        <v>0.0</v>
      </c>
      <c r="U99" s="9">
        <v>0.0</v>
      </c>
      <c r="V99" s="9">
        <v>0.0</v>
      </c>
      <c r="W99" s="9">
        <v>0.0</v>
      </c>
      <c r="X99" s="9">
        <v>0.0</v>
      </c>
      <c r="Y99" s="9">
        <v>0.0</v>
      </c>
      <c r="Z99" s="9">
        <v>0.0</v>
      </c>
      <c r="AA99" s="9">
        <v>0.0</v>
      </c>
      <c r="AB99" s="9">
        <v>0.0</v>
      </c>
      <c r="AC99" s="9">
        <v>0.0</v>
      </c>
      <c r="AD99" s="9"/>
      <c r="AE99" s="9"/>
    </row>
    <row r="100">
      <c r="A100" s="7" t="s">
        <v>569</v>
      </c>
      <c r="B100" s="7" t="s">
        <v>570</v>
      </c>
      <c r="C100" s="8">
        <v>46052.0</v>
      </c>
      <c r="D100" s="8">
        <v>46072.0</v>
      </c>
      <c r="E100" s="7" t="s">
        <v>364</v>
      </c>
      <c r="F100" s="7" t="s">
        <v>365</v>
      </c>
      <c r="G100" s="7" t="s">
        <v>355</v>
      </c>
      <c r="H100" s="9">
        <v>0.0</v>
      </c>
      <c r="I100" s="9">
        <v>0.0</v>
      </c>
      <c r="J100" s="9">
        <v>0.0</v>
      </c>
      <c r="K100" s="9">
        <v>0.0</v>
      </c>
      <c r="L100" s="10">
        <v>0.0</v>
      </c>
      <c r="M100" s="9">
        <v>0.0</v>
      </c>
      <c r="N100" s="9">
        <v>75358.0</v>
      </c>
      <c r="O100" s="9">
        <v>74094.0</v>
      </c>
      <c r="P100" s="9">
        <v>27113.0</v>
      </c>
      <c r="Q100" s="9">
        <v>1359.0</v>
      </c>
      <c r="R100" s="9">
        <v>0.0</v>
      </c>
      <c r="S100" s="9">
        <v>0.0</v>
      </c>
      <c r="T100" s="9">
        <v>0.0</v>
      </c>
      <c r="U100" s="9">
        <v>0.0</v>
      </c>
      <c r="V100" s="9">
        <v>0.0</v>
      </c>
      <c r="W100" s="9">
        <v>0.0</v>
      </c>
      <c r="X100" s="9">
        <v>0.0</v>
      </c>
      <c r="Y100" s="9">
        <v>0.0</v>
      </c>
      <c r="Z100" s="9">
        <v>0.0</v>
      </c>
      <c r="AA100" s="9">
        <v>65784.0</v>
      </c>
      <c r="AB100" s="9">
        <v>62454.0</v>
      </c>
      <c r="AC100" s="9">
        <v>987.0</v>
      </c>
      <c r="AD100" s="9"/>
      <c r="AE100" s="9" t="s">
        <v>9</v>
      </c>
    </row>
    <row r="101">
      <c r="A101" s="7" t="s">
        <v>571</v>
      </c>
      <c r="B101" s="7" t="s">
        <v>572</v>
      </c>
      <c r="C101" s="8">
        <v>46050.0</v>
      </c>
      <c r="D101" s="8">
        <v>46052.0</v>
      </c>
      <c r="E101" s="7" t="s">
        <v>364</v>
      </c>
      <c r="F101" s="7" t="s">
        <v>365</v>
      </c>
      <c r="G101" s="7" t="s">
        <v>355</v>
      </c>
      <c r="H101" s="9">
        <v>26589.0</v>
      </c>
      <c r="I101" s="9">
        <v>0.0</v>
      </c>
      <c r="J101" s="9">
        <v>2.0</v>
      </c>
      <c r="K101" s="9">
        <v>23011.0</v>
      </c>
      <c r="L101" s="10">
        <v>1.1554908522011211</v>
      </c>
      <c r="M101" s="9">
        <v>1.1554908522011211</v>
      </c>
      <c r="N101" s="9">
        <v>87752.0</v>
      </c>
      <c r="O101" s="9">
        <v>86121.0</v>
      </c>
      <c r="P101" s="9">
        <v>30858.0</v>
      </c>
      <c r="Q101" s="9">
        <v>133.0</v>
      </c>
      <c r="R101" s="9">
        <v>0.0</v>
      </c>
      <c r="S101" s="9">
        <v>0.0</v>
      </c>
      <c r="T101" s="9">
        <v>0.0</v>
      </c>
      <c r="U101" s="9">
        <v>0.0</v>
      </c>
      <c r="V101" s="9">
        <v>0.0</v>
      </c>
      <c r="W101" s="9">
        <v>0.0</v>
      </c>
      <c r="X101" s="9">
        <v>0.0</v>
      </c>
      <c r="Y101" s="9">
        <v>0.0</v>
      </c>
      <c r="Z101" s="9">
        <v>0.0</v>
      </c>
      <c r="AA101" s="9">
        <v>35230.0</v>
      </c>
      <c r="AB101" s="9">
        <v>32378.0</v>
      </c>
      <c r="AC101" s="9">
        <v>364.0</v>
      </c>
      <c r="AD101" s="9"/>
      <c r="AE101" s="9" t="s">
        <v>9</v>
      </c>
    </row>
    <row r="102">
      <c r="A102" s="7" t="s">
        <v>573</v>
      </c>
      <c r="B102" s="7" t="s">
        <v>574</v>
      </c>
      <c r="C102" s="8">
        <v>46062.0</v>
      </c>
      <c r="D102" s="8">
        <v>46158.0</v>
      </c>
      <c r="E102" s="7" t="s">
        <v>364</v>
      </c>
      <c r="F102" s="7" t="s">
        <v>365</v>
      </c>
      <c r="G102" s="7" t="s">
        <v>355</v>
      </c>
      <c r="H102" s="9">
        <v>421039.0</v>
      </c>
      <c r="I102" s="9">
        <v>0.0</v>
      </c>
      <c r="J102" s="9">
        <v>24.0</v>
      </c>
      <c r="K102" s="9">
        <v>134621.0</v>
      </c>
      <c r="L102" s="10">
        <v>3.12758782062234</v>
      </c>
      <c r="M102" s="9">
        <v>3.12758782062234</v>
      </c>
      <c r="N102" s="9">
        <v>71308.0</v>
      </c>
      <c r="O102" s="9">
        <v>70661.0</v>
      </c>
      <c r="P102" s="9">
        <v>27302.0</v>
      </c>
      <c r="Q102" s="9">
        <v>200.0</v>
      </c>
      <c r="R102" s="9">
        <v>0.0</v>
      </c>
      <c r="S102" s="9">
        <v>0.0</v>
      </c>
      <c r="T102" s="9">
        <v>0.0</v>
      </c>
      <c r="U102" s="9">
        <v>0.0</v>
      </c>
      <c r="V102" s="9">
        <v>0.0</v>
      </c>
      <c r="W102" s="9">
        <v>0.0</v>
      </c>
      <c r="X102" s="9">
        <v>0.0</v>
      </c>
      <c r="Y102" s="9">
        <v>0.0</v>
      </c>
      <c r="Z102" s="9">
        <v>0.0</v>
      </c>
      <c r="AA102" s="9">
        <v>0.0</v>
      </c>
      <c r="AB102" s="9">
        <v>0.0</v>
      </c>
      <c r="AC102" s="9">
        <v>0.0</v>
      </c>
      <c r="AD102" s="9"/>
      <c r="AE102" s="9" t="s">
        <v>9</v>
      </c>
    </row>
    <row r="103">
      <c r="A103" s="7" t="s">
        <v>575</v>
      </c>
      <c r="B103" s="7" t="s">
        <v>576</v>
      </c>
      <c r="C103" s="8">
        <v>46056.0</v>
      </c>
      <c r="D103" s="8">
        <v>46056.0</v>
      </c>
      <c r="E103" s="7" t="s">
        <v>416</v>
      </c>
      <c r="F103" s="7" t="s">
        <v>430</v>
      </c>
      <c r="G103" s="7" t="s">
        <v>355</v>
      </c>
      <c r="H103" s="9">
        <v>0.0</v>
      </c>
      <c r="I103" s="9">
        <v>0.0</v>
      </c>
      <c r="J103" s="9">
        <v>0.0</v>
      </c>
      <c r="K103" s="9">
        <v>0.0</v>
      </c>
      <c r="L103" s="10">
        <v>0.0</v>
      </c>
      <c r="M103" s="9">
        <v>0.0</v>
      </c>
      <c r="N103" s="9">
        <v>69825.0</v>
      </c>
      <c r="O103" s="9">
        <v>68319.0</v>
      </c>
      <c r="P103" s="9">
        <v>12604.0</v>
      </c>
      <c r="Q103" s="9">
        <v>977.0</v>
      </c>
      <c r="R103" s="9">
        <v>0.0</v>
      </c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0.0</v>
      </c>
      <c r="Y103" s="9">
        <v>0.0</v>
      </c>
      <c r="Z103" s="9">
        <v>0.0</v>
      </c>
      <c r="AA103" s="9">
        <v>0.0</v>
      </c>
      <c r="AB103" s="9">
        <v>0.0</v>
      </c>
      <c r="AC103" s="9">
        <v>0.0</v>
      </c>
      <c r="AD103" s="9"/>
      <c r="AE103" s="9" t="s">
        <v>9</v>
      </c>
    </row>
    <row r="104">
      <c r="A104" s="7" t="s">
        <v>577</v>
      </c>
      <c r="B104" s="7" t="s">
        <v>578</v>
      </c>
      <c r="C104" s="8">
        <v>46056.0</v>
      </c>
      <c r="D104" s="8">
        <v>46056.0</v>
      </c>
      <c r="E104" s="7" t="s">
        <v>416</v>
      </c>
      <c r="F104" s="7" t="s">
        <v>430</v>
      </c>
      <c r="G104" s="7" t="s">
        <v>355</v>
      </c>
      <c r="H104" s="9">
        <v>0.0</v>
      </c>
      <c r="I104" s="9">
        <v>0.0</v>
      </c>
      <c r="J104" s="9">
        <v>0.0</v>
      </c>
      <c r="K104" s="9">
        <v>0.0</v>
      </c>
      <c r="L104" s="10">
        <v>0.0</v>
      </c>
      <c r="M104" s="9">
        <v>0.0</v>
      </c>
      <c r="N104" s="9">
        <v>92020.0</v>
      </c>
      <c r="O104" s="9">
        <v>90328.0</v>
      </c>
      <c r="P104" s="9">
        <v>24881.0</v>
      </c>
      <c r="Q104" s="9">
        <v>459.0</v>
      </c>
      <c r="R104" s="9">
        <v>0.0</v>
      </c>
      <c r="S104" s="9">
        <v>0.0</v>
      </c>
      <c r="T104" s="9">
        <v>0.0</v>
      </c>
      <c r="U104" s="9">
        <v>0.0</v>
      </c>
      <c r="V104" s="9">
        <v>0.0</v>
      </c>
      <c r="W104" s="9">
        <v>0.0</v>
      </c>
      <c r="X104" s="9">
        <v>0.0</v>
      </c>
      <c r="Y104" s="9">
        <v>0.0</v>
      </c>
      <c r="Z104" s="9">
        <v>0.0</v>
      </c>
      <c r="AA104" s="9">
        <v>0.0</v>
      </c>
      <c r="AB104" s="9">
        <v>0.0</v>
      </c>
      <c r="AC104" s="9">
        <v>0.0</v>
      </c>
      <c r="AD104" s="9"/>
      <c r="AE104" s="9" t="s">
        <v>9</v>
      </c>
    </row>
    <row r="105">
      <c r="A105" s="7" t="s">
        <v>579</v>
      </c>
      <c r="B105" s="7" t="s">
        <v>580</v>
      </c>
      <c r="C105" s="8">
        <v>46055.0</v>
      </c>
      <c r="D105" s="8">
        <v>46055.0</v>
      </c>
      <c r="E105" s="7" t="s">
        <v>416</v>
      </c>
      <c r="F105" s="7" t="s">
        <v>430</v>
      </c>
      <c r="G105" s="7" t="s">
        <v>355</v>
      </c>
      <c r="H105" s="9">
        <v>0.0</v>
      </c>
      <c r="I105" s="9">
        <v>0.0</v>
      </c>
      <c r="J105" s="9">
        <v>0.0</v>
      </c>
      <c r="K105" s="9">
        <v>0.0</v>
      </c>
      <c r="L105" s="10">
        <v>0.0</v>
      </c>
      <c r="M105" s="9">
        <v>0.0</v>
      </c>
      <c r="N105" s="9">
        <v>56748.0</v>
      </c>
      <c r="O105" s="9">
        <v>55873.0</v>
      </c>
      <c r="P105" s="9">
        <v>15970.0</v>
      </c>
      <c r="Q105" s="9">
        <v>469.0</v>
      </c>
      <c r="R105" s="9">
        <v>0.0</v>
      </c>
      <c r="S105" s="9">
        <v>0.0</v>
      </c>
      <c r="T105" s="9">
        <v>0.0</v>
      </c>
      <c r="U105" s="9">
        <v>0.0</v>
      </c>
      <c r="V105" s="9">
        <v>0.0</v>
      </c>
      <c r="W105" s="9">
        <v>0.0</v>
      </c>
      <c r="X105" s="9">
        <v>0.0</v>
      </c>
      <c r="Y105" s="9">
        <v>0.0</v>
      </c>
      <c r="Z105" s="9">
        <v>0.0</v>
      </c>
      <c r="AA105" s="9">
        <v>0.0</v>
      </c>
      <c r="AB105" s="9">
        <v>0.0</v>
      </c>
      <c r="AC105" s="9">
        <v>0.0</v>
      </c>
      <c r="AD105" s="9"/>
      <c r="AE105" s="9" t="s">
        <v>9</v>
      </c>
    </row>
    <row r="106">
      <c r="A106" s="7" t="s">
        <v>581</v>
      </c>
      <c r="B106" s="7" t="s">
        <v>582</v>
      </c>
      <c r="C106" s="8">
        <v>46052.0</v>
      </c>
      <c r="D106" s="8">
        <v>46052.0</v>
      </c>
      <c r="E106" s="7" t="s">
        <v>416</v>
      </c>
      <c r="F106" s="7" t="s">
        <v>430</v>
      </c>
      <c r="G106" s="7" t="s">
        <v>355</v>
      </c>
      <c r="H106" s="9">
        <v>0.0</v>
      </c>
      <c r="I106" s="9">
        <v>0.0</v>
      </c>
      <c r="J106" s="9">
        <v>0.0</v>
      </c>
      <c r="K106" s="9">
        <v>0.0</v>
      </c>
      <c r="L106" s="10">
        <v>0.0</v>
      </c>
      <c r="M106" s="9">
        <v>0.0</v>
      </c>
      <c r="N106" s="9">
        <v>22101.0</v>
      </c>
      <c r="O106" s="9">
        <v>21495.0</v>
      </c>
      <c r="P106" s="9">
        <v>4375.0</v>
      </c>
      <c r="Q106" s="9">
        <v>220.0</v>
      </c>
      <c r="R106" s="9">
        <v>0.0</v>
      </c>
      <c r="S106" s="9">
        <v>0.0</v>
      </c>
      <c r="T106" s="9">
        <v>0.0</v>
      </c>
      <c r="U106" s="9">
        <v>0.0</v>
      </c>
      <c r="V106" s="9">
        <v>0.0</v>
      </c>
      <c r="W106" s="9">
        <v>0.0</v>
      </c>
      <c r="X106" s="9">
        <v>0.0</v>
      </c>
      <c r="Y106" s="9">
        <v>0.0</v>
      </c>
      <c r="Z106" s="9">
        <v>0.0</v>
      </c>
      <c r="AA106" s="9">
        <v>0.0</v>
      </c>
      <c r="AB106" s="9">
        <v>0.0</v>
      </c>
      <c r="AC106" s="9">
        <v>0.0</v>
      </c>
      <c r="AD106" s="9"/>
      <c r="AE106" s="9" t="s">
        <v>9</v>
      </c>
    </row>
    <row r="107">
      <c r="A107" s="7" t="s">
        <v>583</v>
      </c>
      <c r="B107" s="7" t="s">
        <v>584</v>
      </c>
      <c r="C107" s="8">
        <v>46034.0</v>
      </c>
      <c r="D107" s="8">
        <v>46034.0</v>
      </c>
      <c r="E107" s="7" t="s">
        <v>416</v>
      </c>
      <c r="F107" s="7" t="s">
        <v>430</v>
      </c>
      <c r="G107" s="7" t="s">
        <v>355</v>
      </c>
      <c r="H107" s="9">
        <v>0.0</v>
      </c>
      <c r="I107" s="9">
        <v>0.0</v>
      </c>
      <c r="J107" s="9">
        <v>0.0</v>
      </c>
      <c r="K107" s="9">
        <v>0.0</v>
      </c>
      <c r="L107" s="10">
        <v>0.0</v>
      </c>
      <c r="M107" s="9">
        <v>0.0</v>
      </c>
      <c r="N107" s="9">
        <v>36289.0</v>
      </c>
      <c r="O107" s="9">
        <v>35904.0</v>
      </c>
      <c r="P107" s="9">
        <v>19875.0</v>
      </c>
      <c r="Q107" s="9">
        <v>251.0</v>
      </c>
      <c r="R107" s="9">
        <v>0.0</v>
      </c>
      <c r="S107" s="9">
        <v>0.0</v>
      </c>
      <c r="T107" s="9">
        <v>0.0</v>
      </c>
      <c r="U107" s="9">
        <v>0.0</v>
      </c>
      <c r="V107" s="9">
        <v>0.0</v>
      </c>
      <c r="W107" s="9">
        <v>0.0</v>
      </c>
      <c r="X107" s="9">
        <v>0.0</v>
      </c>
      <c r="Y107" s="9">
        <v>0.0</v>
      </c>
      <c r="Z107" s="9">
        <v>0.0</v>
      </c>
      <c r="AA107" s="9">
        <v>0.0</v>
      </c>
      <c r="AB107" s="9">
        <v>0.0</v>
      </c>
      <c r="AC107" s="9">
        <v>0.0</v>
      </c>
      <c r="AD107" s="9"/>
      <c r="AE107" s="9" t="s">
        <v>9</v>
      </c>
    </row>
    <row r="108">
      <c r="A108" s="7" t="s">
        <v>585</v>
      </c>
      <c r="B108" s="7" t="s">
        <v>586</v>
      </c>
      <c r="C108" s="8">
        <v>46051.0</v>
      </c>
      <c r="D108" s="8">
        <v>46077.0</v>
      </c>
      <c r="E108" s="7" t="s">
        <v>358</v>
      </c>
      <c r="F108" s="7" t="s">
        <v>466</v>
      </c>
      <c r="G108" s="7" t="s">
        <v>355</v>
      </c>
      <c r="H108" s="9">
        <v>2830995.0</v>
      </c>
      <c r="I108" s="9">
        <v>1642223.0</v>
      </c>
      <c r="J108" s="9">
        <v>2194.0</v>
      </c>
      <c r="K108" s="9">
        <v>698997.0</v>
      </c>
      <c r="L108" s="10">
        <v>0.8593856625994103</v>
      </c>
      <c r="M108" s="9">
        <v>4.050081760007553</v>
      </c>
      <c r="N108" s="9">
        <v>183064.0</v>
      </c>
      <c r="O108" s="9">
        <v>179674.0</v>
      </c>
      <c r="P108" s="9">
        <v>44021.0</v>
      </c>
      <c r="Q108" s="9">
        <v>1019.0</v>
      </c>
      <c r="R108" s="9">
        <v>0.0</v>
      </c>
      <c r="S108" s="9">
        <v>0.0</v>
      </c>
      <c r="T108" s="9">
        <v>0.0</v>
      </c>
      <c r="U108" s="9">
        <v>0.0</v>
      </c>
      <c r="V108" s="9">
        <v>0.0</v>
      </c>
      <c r="W108" s="9">
        <v>0.0</v>
      </c>
      <c r="X108" s="9">
        <v>0.0</v>
      </c>
      <c r="Y108" s="9">
        <v>0.0</v>
      </c>
      <c r="Z108" s="9">
        <v>0.0</v>
      </c>
      <c r="AA108" s="9">
        <v>0.0</v>
      </c>
      <c r="AB108" s="9">
        <v>0.0</v>
      </c>
      <c r="AC108" s="9">
        <v>0.0</v>
      </c>
      <c r="AD108" s="9"/>
      <c r="AE108" s="9" t="s">
        <v>9</v>
      </c>
    </row>
    <row r="109">
      <c r="A109" s="7" t="s">
        <v>587</v>
      </c>
      <c r="B109" s="7" t="s">
        <v>588</v>
      </c>
      <c r="C109" s="8">
        <v>46058.0</v>
      </c>
      <c r="D109" s="8">
        <v>46058.0</v>
      </c>
      <c r="E109" s="7" t="s">
        <v>416</v>
      </c>
      <c r="F109" s="7" t="s">
        <v>430</v>
      </c>
      <c r="G109" s="7" t="s">
        <v>355</v>
      </c>
      <c r="H109" s="9">
        <v>0.0</v>
      </c>
      <c r="I109" s="9">
        <v>0.0</v>
      </c>
      <c r="J109" s="9">
        <v>0.0</v>
      </c>
      <c r="K109" s="9">
        <v>0.0</v>
      </c>
      <c r="L109" s="10">
        <v>0.0</v>
      </c>
      <c r="M109" s="9">
        <v>0.0</v>
      </c>
      <c r="N109" s="9">
        <v>32778.0</v>
      </c>
      <c r="O109" s="9">
        <v>32330.0</v>
      </c>
      <c r="P109" s="9">
        <v>12651.0</v>
      </c>
      <c r="Q109" s="9">
        <v>232.0</v>
      </c>
      <c r="R109" s="9">
        <v>0.0</v>
      </c>
      <c r="S109" s="9">
        <v>0.0</v>
      </c>
      <c r="T109" s="9">
        <v>0.0</v>
      </c>
      <c r="U109" s="9">
        <v>0.0</v>
      </c>
      <c r="V109" s="9">
        <v>0.0</v>
      </c>
      <c r="W109" s="9">
        <v>0.0</v>
      </c>
      <c r="X109" s="9">
        <v>0.0</v>
      </c>
      <c r="Y109" s="9">
        <v>0.0</v>
      </c>
      <c r="Z109" s="9">
        <v>0.0</v>
      </c>
      <c r="AA109" s="9">
        <v>0.0</v>
      </c>
      <c r="AB109" s="9">
        <v>0.0</v>
      </c>
      <c r="AC109" s="9">
        <v>0.0</v>
      </c>
      <c r="AD109" s="9"/>
      <c r="AE109" s="9" t="s">
        <v>9</v>
      </c>
    </row>
    <row r="110">
      <c r="A110" s="7" t="s">
        <v>589</v>
      </c>
      <c r="B110" s="7" t="s">
        <v>457</v>
      </c>
      <c r="C110" s="8">
        <v>46059.0</v>
      </c>
      <c r="D110" s="8">
        <v>46071.0</v>
      </c>
      <c r="E110" s="7" t="s">
        <v>416</v>
      </c>
      <c r="F110" s="7" t="s">
        <v>430</v>
      </c>
      <c r="G110" s="7" t="s">
        <v>355</v>
      </c>
      <c r="H110" s="9">
        <v>0.0</v>
      </c>
      <c r="I110" s="9">
        <v>0.0</v>
      </c>
      <c r="J110" s="9">
        <v>0.0</v>
      </c>
      <c r="K110" s="9">
        <v>0.0</v>
      </c>
      <c r="L110" s="10">
        <v>0.0</v>
      </c>
      <c r="M110" s="9">
        <v>0.0</v>
      </c>
      <c r="N110" s="9">
        <v>104615.0</v>
      </c>
      <c r="O110" s="9">
        <v>102933.0</v>
      </c>
      <c r="P110" s="9">
        <v>30388.0</v>
      </c>
      <c r="Q110" s="9">
        <v>319.0</v>
      </c>
      <c r="R110" s="9">
        <v>0.0</v>
      </c>
      <c r="S110" s="9">
        <v>0.0</v>
      </c>
      <c r="T110" s="9">
        <v>0.0</v>
      </c>
      <c r="U110" s="9">
        <v>0.0</v>
      </c>
      <c r="V110" s="9">
        <v>0.0</v>
      </c>
      <c r="W110" s="9">
        <v>0.0</v>
      </c>
      <c r="X110" s="9">
        <v>0.0</v>
      </c>
      <c r="Y110" s="9">
        <v>0.0</v>
      </c>
      <c r="Z110" s="9">
        <v>0.0</v>
      </c>
      <c r="AA110" s="9">
        <v>0.0</v>
      </c>
      <c r="AB110" s="9">
        <v>0.0</v>
      </c>
      <c r="AC110" s="9">
        <v>0.0</v>
      </c>
      <c r="AD110" s="9"/>
      <c r="AE110" s="9" t="s">
        <v>9</v>
      </c>
    </row>
    <row r="111">
      <c r="A111" s="7" t="s">
        <v>590</v>
      </c>
      <c r="B111" s="7" t="s">
        <v>591</v>
      </c>
      <c r="C111" s="8">
        <v>46052.0</v>
      </c>
      <c r="D111" s="8">
        <v>46112.0</v>
      </c>
      <c r="E111" s="7" t="s">
        <v>358</v>
      </c>
      <c r="F111" s="7" t="s">
        <v>466</v>
      </c>
      <c r="G111" s="7" t="s">
        <v>355</v>
      </c>
      <c r="H111" s="9">
        <v>4097834.0</v>
      </c>
      <c r="I111" s="9">
        <v>387787.0</v>
      </c>
      <c r="J111" s="9">
        <v>19770.0</v>
      </c>
      <c r="K111" s="9">
        <v>26089.0</v>
      </c>
      <c r="L111" s="10">
        <v>72.77703246579019</v>
      </c>
      <c r="M111" s="9">
        <v>157.07133274560158</v>
      </c>
      <c r="N111" s="9">
        <v>643239.0</v>
      </c>
      <c r="O111" s="9">
        <v>633200.0</v>
      </c>
      <c r="P111" s="9">
        <v>189538.0</v>
      </c>
      <c r="Q111" s="9">
        <v>1521.0</v>
      </c>
      <c r="R111" s="9">
        <v>0.0</v>
      </c>
      <c r="S111" s="9">
        <v>0.0</v>
      </c>
      <c r="T111" s="9">
        <v>0.0</v>
      </c>
      <c r="U111" s="9">
        <v>0.0</v>
      </c>
      <c r="V111" s="9">
        <v>0.0</v>
      </c>
      <c r="W111" s="9">
        <v>0.0</v>
      </c>
      <c r="X111" s="9">
        <v>0.0</v>
      </c>
      <c r="Y111" s="9">
        <v>0.0</v>
      </c>
      <c r="Z111" s="9">
        <v>0.0</v>
      </c>
      <c r="AA111" s="9">
        <v>0.0</v>
      </c>
      <c r="AB111" s="9">
        <v>0.0</v>
      </c>
      <c r="AC111" s="9">
        <v>0.0</v>
      </c>
      <c r="AD111" s="9"/>
      <c r="AE111" s="9" t="s">
        <v>9</v>
      </c>
    </row>
    <row r="112">
      <c r="A112" s="7" t="s">
        <v>592</v>
      </c>
      <c r="B112" s="7" t="s">
        <v>593</v>
      </c>
      <c r="C112" s="8">
        <v>46051.0</v>
      </c>
      <c r="D112" s="8">
        <v>46058.0</v>
      </c>
      <c r="E112" s="7" t="s">
        <v>416</v>
      </c>
      <c r="F112" s="7" t="s">
        <v>594</v>
      </c>
      <c r="G112" s="7" t="s">
        <v>355</v>
      </c>
      <c r="H112" s="9">
        <v>20296.0</v>
      </c>
      <c r="I112" s="9">
        <v>0.0</v>
      </c>
      <c r="J112" s="9">
        <v>96.0</v>
      </c>
      <c r="K112" s="9">
        <v>17955.0</v>
      </c>
      <c r="L112" s="10">
        <v>1.1303815093288778</v>
      </c>
      <c r="M112" s="9">
        <v>1.1303815093288778</v>
      </c>
      <c r="N112" s="9">
        <v>7406.0</v>
      </c>
      <c r="O112" s="9">
        <v>7270.0</v>
      </c>
      <c r="P112" s="9">
        <v>1318.0</v>
      </c>
      <c r="Q112" s="9">
        <v>74.0</v>
      </c>
      <c r="R112" s="9">
        <v>56.0</v>
      </c>
      <c r="S112" s="9">
        <v>56.0</v>
      </c>
      <c r="T112" s="9">
        <v>17.0</v>
      </c>
      <c r="U112" s="9">
        <v>16.0</v>
      </c>
      <c r="V112" s="9">
        <v>0.0</v>
      </c>
      <c r="W112" s="9">
        <v>0.0</v>
      </c>
      <c r="X112" s="9">
        <v>0.0</v>
      </c>
      <c r="Y112" s="9">
        <v>0.0</v>
      </c>
      <c r="Z112" s="9">
        <v>0.0</v>
      </c>
      <c r="AA112" s="9">
        <v>0.0</v>
      </c>
      <c r="AB112" s="9">
        <v>0.0</v>
      </c>
      <c r="AC112" s="9">
        <v>0.0</v>
      </c>
      <c r="AD112" s="9"/>
      <c r="AE112" s="9" t="s">
        <v>9</v>
      </c>
    </row>
    <row r="113">
      <c r="A113" s="7" t="s">
        <v>595</v>
      </c>
      <c r="B113" s="7" t="s">
        <v>596</v>
      </c>
      <c r="C113" s="8">
        <v>46055.0</v>
      </c>
      <c r="D113" s="8">
        <v>46062.0</v>
      </c>
      <c r="E113" s="7" t="s">
        <v>416</v>
      </c>
      <c r="F113" s="7" t="s">
        <v>594</v>
      </c>
      <c r="G113" s="7" t="s">
        <v>355</v>
      </c>
      <c r="H113" s="9">
        <v>32148.0</v>
      </c>
      <c r="I113" s="9">
        <v>0.0</v>
      </c>
      <c r="J113" s="9">
        <v>120.0</v>
      </c>
      <c r="K113" s="9">
        <v>20763.0</v>
      </c>
      <c r="L113" s="10">
        <v>1.5483311660164716</v>
      </c>
      <c r="M113" s="9">
        <v>1.5483311660164716</v>
      </c>
      <c r="N113" s="9">
        <v>8564.0</v>
      </c>
      <c r="O113" s="9">
        <v>8412.0</v>
      </c>
      <c r="P113" s="9">
        <v>2216.0</v>
      </c>
      <c r="Q113" s="9">
        <v>81.0</v>
      </c>
      <c r="R113" s="9">
        <v>51.0</v>
      </c>
      <c r="S113" s="9">
        <v>51.0</v>
      </c>
      <c r="T113" s="9">
        <v>20.0</v>
      </c>
      <c r="U113" s="9">
        <v>19.0</v>
      </c>
      <c r="V113" s="9">
        <v>0.0</v>
      </c>
      <c r="W113" s="9">
        <v>0.0</v>
      </c>
      <c r="X113" s="9">
        <v>0.0</v>
      </c>
      <c r="Y113" s="9">
        <v>0.0</v>
      </c>
      <c r="Z113" s="9">
        <v>0.0</v>
      </c>
      <c r="AA113" s="9">
        <v>0.0</v>
      </c>
      <c r="AB113" s="9">
        <v>0.0</v>
      </c>
      <c r="AC113" s="9">
        <v>0.0</v>
      </c>
      <c r="AD113" s="9"/>
      <c r="AE113" s="9" t="s">
        <v>9</v>
      </c>
    </row>
    <row r="114">
      <c r="A114" s="7" t="s">
        <v>597</v>
      </c>
      <c r="B114" s="7" t="s">
        <v>598</v>
      </c>
      <c r="C114" s="8">
        <v>46051.0</v>
      </c>
      <c r="D114" s="8">
        <v>46075.0</v>
      </c>
      <c r="E114" s="7" t="s">
        <v>416</v>
      </c>
      <c r="F114" s="7" t="s">
        <v>417</v>
      </c>
      <c r="G114" s="7" t="s">
        <v>355</v>
      </c>
      <c r="H114" s="9">
        <v>238128.0</v>
      </c>
      <c r="I114" s="9">
        <v>100224.0</v>
      </c>
      <c r="J114" s="9">
        <v>1291.0</v>
      </c>
      <c r="K114" s="9">
        <v>457936.0</v>
      </c>
      <c r="L114" s="10">
        <v>0.26342327312113484</v>
      </c>
      <c r="M114" s="9">
        <v>0.520002795150414</v>
      </c>
      <c r="N114" s="9">
        <v>49529.0</v>
      </c>
      <c r="O114" s="9">
        <v>48785.0</v>
      </c>
      <c r="P114" s="9">
        <v>13117.0</v>
      </c>
      <c r="Q114" s="9">
        <v>427.0</v>
      </c>
      <c r="R114" s="9">
        <v>11338.0</v>
      </c>
      <c r="S114" s="9">
        <v>11086.0</v>
      </c>
      <c r="T114" s="9">
        <v>2717.0</v>
      </c>
      <c r="U114" s="9">
        <v>2005.0</v>
      </c>
      <c r="V114" s="9">
        <v>42962.0</v>
      </c>
      <c r="W114" s="9">
        <v>42962.0</v>
      </c>
      <c r="X114" s="9">
        <v>34063.0</v>
      </c>
      <c r="Y114" s="9">
        <v>17710.0</v>
      </c>
      <c r="Z114" s="9">
        <v>113.0</v>
      </c>
      <c r="AA114" s="9">
        <v>0.0</v>
      </c>
      <c r="AB114" s="9">
        <v>0.0</v>
      </c>
      <c r="AC114" s="9">
        <v>0.0</v>
      </c>
      <c r="AD114" s="9"/>
      <c r="AE114" s="9" t="s">
        <v>9</v>
      </c>
    </row>
    <row r="115">
      <c r="A115" s="7" t="s">
        <v>599</v>
      </c>
      <c r="B115" s="7" t="s">
        <v>600</v>
      </c>
      <c r="C115" s="8">
        <v>46051.0</v>
      </c>
      <c r="D115" s="8">
        <v>46063.0</v>
      </c>
      <c r="E115" s="7" t="s">
        <v>416</v>
      </c>
      <c r="F115" s="7" t="s">
        <v>417</v>
      </c>
      <c r="G115" s="7" t="s">
        <v>355</v>
      </c>
      <c r="H115" s="9">
        <v>342995.0</v>
      </c>
      <c r="I115" s="9">
        <v>7102.0</v>
      </c>
      <c r="J115" s="9">
        <v>2246.0</v>
      </c>
      <c r="K115" s="9">
        <v>39417.0</v>
      </c>
      <c r="L115" s="10">
        <v>1.2497906994444021</v>
      </c>
      <c r="M115" s="9">
        <v>8.70170231118553</v>
      </c>
      <c r="N115" s="9">
        <v>33124.0</v>
      </c>
      <c r="O115" s="9">
        <v>32464.0</v>
      </c>
      <c r="P115" s="9">
        <v>5369.0</v>
      </c>
      <c r="Q115" s="9">
        <v>526.0</v>
      </c>
      <c r="R115" s="9">
        <v>8405.0</v>
      </c>
      <c r="S115" s="9">
        <v>8399.0</v>
      </c>
      <c r="T115" s="9">
        <v>1486.0</v>
      </c>
      <c r="U115" s="9">
        <v>1149.0</v>
      </c>
      <c r="V115" s="9">
        <v>9388.0</v>
      </c>
      <c r="W115" s="9">
        <v>9388.0</v>
      </c>
      <c r="X115" s="9">
        <v>8433.0</v>
      </c>
      <c r="Y115" s="9">
        <v>3769.0</v>
      </c>
      <c r="Z115" s="9">
        <v>99.0</v>
      </c>
      <c r="AA115" s="9">
        <v>0.0</v>
      </c>
      <c r="AB115" s="9">
        <v>0.0</v>
      </c>
      <c r="AC115" s="9">
        <v>0.0</v>
      </c>
      <c r="AD115" s="9"/>
      <c r="AE115" s="9" t="s">
        <v>9</v>
      </c>
    </row>
    <row r="116">
      <c r="A116" s="7" t="s">
        <v>601</v>
      </c>
      <c r="B116" s="7" t="s">
        <v>602</v>
      </c>
      <c r="C116" s="8">
        <v>46052.0</v>
      </c>
      <c r="D116" s="8">
        <v>46075.0</v>
      </c>
      <c r="E116" s="7" t="s">
        <v>416</v>
      </c>
      <c r="F116" s="7" t="s">
        <v>417</v>
      </c>
      <c r="G116" s="7" t="s">
        <v>355</v>
      </c>
      <c r="H116" s="9">
        <v>1124422.0</v>
      </c>
      <c r="I116" s="9">
        <v>883561.0</v>
      </c>
      <c r="J116" s="9">
        <v>2729.0</v>
      </c>
      <c r="K116" s="9">
        <v>21711.0</v>
      </c>
      <c r="L116" s="10">
        <v>2.8504444751508453</v>
      </c>
      <c r="M116" s="9">
        <v>51.79042881488646</v>
      </c>
      <c r="N116" s="9">
        <v>7310.0</v>
      </c>
      <c r="O116" s="9">
        <v>7143.0</v>
      </c>
      <c r="P116" s="9">
        <v>992.0</v>
      </c>
      <c r="Q116" s="9">
        <v>111.0</v>
      </c>
      <c r="R116" s="9">
        <v>0.0</v>
      </c>
      <c r="S116" s="9">
        <v>0.0</v>
      </c>
      <c r="T116" s="9">
        <v>0.0</v>
      </c>
      <c r="U116" s="9">
        <v>0.0</v>
      </c>
      <c r="V116" s="9">
        <v>0.0</v>
      </c>
      <c r="W116" s="9">
        <v>0.0</v>
      </c>
      <c r="X116" s="9">
        <v>0.0</v>
      </c>
      <c r="Y116" s="9">
        <v>0.0</v>
      </c>
      <c r="Z116" s="9">
        <v>0.0</v>
      </c>
      <c r="AA116" s="9">
        <v>0.0</v>
      </c>
      <c r="AB116" s="9">
        <v>0.0</v>
      </c>
      <c r="AC116" s="9">
        <v>0.0</v>
      </c>
      <c r="AD116" s="9"/>
      <c r="AE116" s="9" t="s">
        <v>9</v>
      </c>
    </row>
    <row r="117">
      <c r="A117" s="7" t="s">
        <v>603</v>
      </c>
      <c r="B117" s="7" t="s">
        <v>604</v>
      </c>
      <c r="C117" s="8">
        <v>46051.0</v>
      </c>
      <c r="D117" s="8">
        <v>46057.0</v>
      </c>
      <c r="E117" s="7" t="s">
        <v>416</v>
      </c>
      <c r="F117" s="7" t="s">
        <v>359</v>
      </c>
      <c r="G117" s="7" t="s">
        <v>355</v>
      </c>
      <c r="H117" s="9">
        <v>169634.0</v>
      </c>
      <c r="I117" s="9">
        <v>0.0</v>
      </c>
      <c r="J117" s="9">
        <v>885.0</v>
      </c>
      <c r="K117" s="9">
        <v>114439.0</v>
      </c>
      <c r="L117" s="10">
        <v>1.4823093525808508</v>
      </c>
      <c r="M117" s="9">
        <v>1.4823093525808508</v>
      </c>
      <c r="N117" s="9">
        <v>71603.0</v>
      </c>
      <c r="O117" s="9">
        <v>70384.0</v>
      </c>
      <c r="P117" s="9">
        <v>14594.0</v>
      </c>
      <c r="Q117" s="9">
        <v>432.0</v>
      </c>
      <c r="R117" s="9">
        <v>311.0</v>
      </c>
      <c r="S117" s="9">
        <v>311.0</v>
      </c>
      <c r="T117" s="9">
        <v>86.0</v>
      </c>
      <c r="U117" s="9">
        <v>81.0</v>
      </c>
      <c r="V117" s="9">
        <v>0.0</v>
      </c>
      <c r="W117" s="9">
        <v>0.0</v>
      </c>
      <c r="X117" s="9">
        <v>0.0</v>
      </c>
      <c r="Y117" s="9">
        <v>0.0</v>
      </c>
      <c r="Z117" s="9">
        <v>0.0</v>
      </c>
      <c r="AA117" s="9">
        <v>0.0</v>
      </c>
      <c r="AB117" s="9">
        <v>0.0</v>
      </c>
      <c r="AC117" s="9">
        <v>0.0</v>
      </c>
      <c r="AD117" s="9"/>
      <c r="AE117" s="9" t="s">
        <v>9</v>
      </c>
    </row>
    <row r="118">
      <c r="A118" s="7" t="s">
        <v>605</v>
      </c>
      <c r="B118" s="7" t="s">
        <v>606</v>
      </c>
      <c r="C118" s="8">
        <v>46057.0</v>
      </c>
      <c r="D118" s="8">
        <v>46057.0</v>
      </c>
      <c r="E118" s="7" t="s">
        <v>353</v>
      </c>
      <c r="F118" s="7" t="s">
        <v>378</v>
      </c>
      <c r="G118" s="7" t="s">
        <v>355</v>
      </c>
      <c r="H118" s="9">
        <v>0.0</v>
      </c>
      <c r="I118" s="9">
        <v>0.0</v>
      </c>
      <c r="J118" s="9">
        <v>0.0</v>
      </c>
      <c r="K118" s="9">
        <v>0.0</v>
      </c>
      <c r="L118" s="10">
        <v>0.0</v>
      </c>
      <c r="M118" s="9">
        <v>0.0</v>
      </c>
      <c r="N118" s="9">
        <v>2420.0</v>
      </c>
      <c r="O118" s="9">
        <v>2403.0</v>
      </c>
      <c r="P118" s="9">
        <v>972.0</v>
      </c>
      <c r="Q118" s="9">
        <v>121.0</v>
      </c>
      <c r="R118" s="9">
        <v>0.0</v>
      </c>
      <c r="S118" s="9">
        <v>0.0</v>
      </c>
      <c r="T118" s="9">
        <v>0.0</v>
      </c>
      <c r="U118" s="9">
        <v>0.0</v>
      </c>
      <c r="V118" s="9">
        <v>0.0</v>
      </c>
      <c r="W118" s="9">
        <v>0.0</v>
      </c>
      <c r="X118" s="9">
        <v>0.0</v>
      </c>
      <c r="Y118" s="9">
        <v>0.0</v>
      </c>
      <c r="Z118" s="9">
        <v>0.0</v>
      </c>
      <c r="AA118" s="9">
        <v>0.0</v>
      </c>
      <c r="AB118" s="9">
        <v>0.0</v>
      </c>
      <c r="AC118" s="9">
        <v>0.0</v>
      </c>
      <c r="AD118" s="9"/>
      <c r="AE118" s="9" t="s">
        <v>9</v>
      </c>
    </row>
    <row r="119">
      <c r="A119" s="7" t="s">
        <v>607</v>
      </c>
      <c r="B119" s="7" t="s">
        <v>608</v>
      </c>
      <c r="C119" s="8">
        <v>46055.0</v>
      </c>
      <c r="D119" s="8">
        <v>46055.0</v>
      </c>
      <c r="E119" s="7" t="s">
        <v>353</v>
      </c>
      <c r="F119" s="7" t="s">
        <v>378</v>
      </c>
      <c r="G119" s="7" t="s">
        <v>355</v>
      </c>
      <c r="H119" s="9">
        <v>0.0</v>
      </c>
      <c r="I119" s="9">
        <v>0.0</v>
      </c>
      <c r="J119" s="9">
        <v>0.0</v>
      </c>
      <c r="K119" s="9">
        <v>0.0</v>
      </c>
      <c r="L119" s="10">
        <v>0.0</v>
      </c>
      <c r="M119" s="9">
        <v>0.0</v>
      </c>
      <c r="N119" s="9">
        <v>452.0</v>
      </c>
      <c r="O119" s="9">
        <v>451.0</v>
      </c>
      <c r="P119" s="9">
        <v>169.0</v>
      </c>
      <c r="Q119" s="9">
        <v>24.0</v>
      </c>
      <c r="R119" s="9">
        <v>0.0</v>
      </c>
      <c r="S119" s="9">
        <v>0.0</v>
      </c>
      <c r="T119" s="9">
        <v>0.0</v>
      </c>
      <c r="U119" s="9">
        <v>0.0</v>
      </c>
      <c r="V119" s="9">
        <v>0.0</v>
      </c>
      <c r="W119" s="9">
        <v>0.0</v>
      </c>
      <c r="X119" s="9">
        <v>0.0</v>
      </c>
      <c r="Y119" s="9">
        <v>0.0</v>
      </c>
      <c r="Z119" s="9">
        <v>0.0</v>
      </c>
      <c r="AA119" s="9">
        <v>0.0</v>
      </c>
      <c r="AB119" s="9">
        <v>0.0</v>
      </c>
      <c r="AC119" s="9">
        <v>0.0</v>
      </c>
      <c r="AD119" s="9"/>
      <c r="AE119" s="9" t="s">
        <v>9</v>
      </c>
    </row>
    <row r="120">
      <c r="A120" s="7" t="s">
        <v>609</v>
      </c>
      <c r="B120" s="7" t="s">
        <v>610</v>
      </c>
      <c r="C120" s="8">
        <v>46052.0</v>
      </c>
      <c r="D120" s="8">
        <v>46055.0</v>
      </c>
      <c r="E120" s="7" t="s">
        <v>364</v>
      </c>
      <c r="F120" s="7" t="s">
        <v>365</v>
      </c>
      <c r="G120" s="7" t="s">
        <v>355</v>
      </c>
      <c r="H120" s="9">
        <v>0.0</v>
      </c>
      <c r="I120" s="9">
        <v>0.0</v>
      </c>
      <c r="J120" s="9">
        <v>0.0</v>
      </c>
      <c r="K120" s="9">
        <v>21071.0</v>
      </c>
      <c r="L120" s="10">
        <v>0.0</v>
      </c>
      <c r="M120" s="9">
        <v>0.0</v>
      </c>
      <c r="N120" s="9">
        <v>0.0</v>
      </c>
      <c r="O120" s="9">
        <v>0.0</v>
      </c>
      <c r="P120" s="9">
        <v>0.0</v>
      </c>
      <c r="Q120" s="9">
        <v>0.0</v>
      </c>
      <c r="R120" s="9">
        <v>0.0</v>
      </c>
      <c r="S120" s="9">
        <v>0.0</v>
      </c>
      <c r="T120" s="9">
        <v>0.0</v>
      </c>
      <c r="U120" s="9">
        <v>0.0</v>
      </c>
      <c r="V120" s="9">
        <v>0.0</v>
      </c>
      <c r="W120" s="9">
        <v>0.0</v>
      </c>
      <c r="X120" s="9">
        <v>0.0</v>
      </c>
      <c r="Y120" s="9">
        <v>0.0</v>
      </c>
      <c r="Z120" s="9">
        <v>0.0</v>
      </c>
      <c r="AA120" s="9">
        <v>0.0</v>
      </c>
      <c r="AB120" s="9">
        <v>0.0</v>
      </c>
      <c r="AC120" s="9">
        <v>0.0</v>
      </c>
      <c r="AD120" s="9"/>
      <c r="AE120" s="9"/>
    </row>
    <row r="121">
      <c r="A121" s="7" t="s">
        <v>611</v>
      </c>
      <c r="B121" s="7" t="s">
        <v>612</v>
      </c>
      <c r="C121" s="8">
        <v>46062.0</v>
      </c>
      <c r="D121" s="8">
        <v>46062.0</v>
      </c>
      <c r="E121" s="7" t="s">
        <v>364</v>
      </c>
      <c r="F121" s="7" t="s">
        <v>365</v>
      </c>
      <c r="G121" s="7" t="s">
        <v>355</v>
      </c>
      <c r="H121" s="9">
        <v>0.0</v>
      </c>
      <c r="I121" s="9">
        <v>0.0</v>
      </c>
      <c r="J121" s="9">
        <v>0.0</v>
      </c>
      <c r="K121" s="9">
        <v>0.0</v>
      </c>
      <c r="L121" s="10">
        <v>0.0</v>
      </c>
      <c r="M121" s="9">
        <v>0.0</v>
      </c>
      <c r="N121" s="9">
        <v>131400.0</v>
      </c>
      <c r="O121" s="9">
        <v>129013.0</v>
      </c>
      <c r="P121" s="9">
        <v>46501.0</v>
      </c>
      <c r="Q121" s="9">
        <v>4711.0</v>
      </c>
      <c r="R121" s="9">
        <v>0.0</v>
      </c>
      <c r="S121" s="9">
        <v>0.0</v>
      </c>
      <c r="T121" s="9">
        <v>0.0</v>
      </c>
      <c r="U121" s="9">
        <v>0.0</v>
      </c>
      <c r="V121" s="9">
        <v>0.0</v>
      </c>
      <c r="W121" s="9">
        <v>0.0</v>
      </c>
      <c r="X121" s="9">
        <v>0.0</v>
      </c>
      <c r="Y121" s="9">
        <v>0.0</v>
      </c>
      <c r="Z121" s="9">
        <v>0.0</v>
      </c>
      <c r="AA121" s="9">
        <v>0.0</v>
      </c>
      <c r="AB121" s="9">
        <v>0.0</v>
      </c>
      <c r="AC121" s="9">
        <v>0.0</v>
      </c>
      <c r="AD121" s="9"/>
      <c r="AE121" s="9" t="s">
        <v>9</v>
      </c>
    </row>
    <row r="122">
      <c r="A122" s="7" t="s">
        <v>613</v>
      </c>
      <c r="B122" s="7" t="s">
        <v>614</v>
      </c>
      <c r="C122" s="8">
        <v>46055.0</v>
      </c>
      <c r="D122" s="8">
        <v>46062.0</v>
      </c>
      <c r="E122" s="7" t="s">
        <v>416</v>
      </c>
      <c r="F122" s="7" t="s">
        <v>466</v>
      </c>
      <c r="G122" s="7" t="s">
        <v>355</v>
      </c>
      <c r="H122" s="9">
        <v>123990.0</v>
      </c>
      <c r="I122" s="9">
        <v>0.0</v>
      </c>
      <c r="J122" s="9">
        <v>483.0</v>
      </c>
      <c r="K122" s="9">
        <v>82374.0</v>
      </c>
      <c r="L122" s="10">
        <v>1.5052079539660572</v>
      </c>
      <c r="M122" s="9">
        <v>1.5052079539660572</v>
      </c>
      <c r="N122" s="9">
        <v>38453.0</v>
      </c>
      <c r="O122" s="9">
        <v>37652.0</v>
      </c>
      <c r="P122" s="9">
        <v>7033.0</v>
      </c>
      <c r="Q122" s="9">
        <v>297.0</v>
      </c>
      <c r="R122" s="9">
        <v>170.0</v>
      </c>
      <c r="S122" s="9">
        <v>167.0</v>
      </c>
      <c r="T122" s="9">
        <v>48.0</v>
      </c>
      <c r="U122" s="9">
        <v>48.0</v>
      </c>
      <c r="V122" s="9">
        <v>0.0</v>
      </c>
      <c r="W122" s="9">
        <v>0.0</v>
      </c>
      <c r="X122" s="9">
        <v>0.0</v>
      </c>
      <c r="Y122" s="9">
        <v>0.0</v>
      </c>
      <c r="Z122" s="9">
        <v>0.0</v>
      </c>
      <c r="AA122" s="9">
        <v>0.0</v>
      </c>
      <c r="AB122" s="9">
        <v>0.0</v>
      </c>
      <c r="AC122" s="9">
        <v>0.0</v>
      </c>
      <c r="AD122" s="9"/>
      <c r="AE122" s="9" t="s">
        <v>9</v>
      </c>
    </row>
    <row r="123">
      <c r="A123" s="7" t="s">
        <v>615</v>
      </c>
      <c r="B123" s="7" t="s">
        <v>616</v>
      </c>
      <c r="C123" s="8">
        <v>46055.0</v>
      </c>
      <c r="D123" s="8">
        <v>46062.0</v>
      </c>
      <c r="E123" s="7" t="s">
        <v>416</v>
      </c>
      <c r="F123" s="7" t="s">
        <v>466</v>
      </c>
      <c r="G123" s="7" t="s">
        <v>355</v>
      </c>
      <c r="H123" s="9">
        <v>139884.0</v>
      </c>
      <c r="I123" s="9">
        <v>0.0</v>
      </c>
      <c r="J123" s="9">
        <v>431.0</v>
      </c>
      <c r="K123" s="9">
        <v>89771.0</v>
      </c>
      <c r="L123" s="10">
        <v>1.5582315001503826</v>
      </c>
      <c r="M123" s="9">
        <v>1.5582315001503826</v>
      </c>
      <c r="N123" s="9">
        <v>32963.0</v>
      </c>
      <c r="O123" s="9">
        <v>32316.0</v>
      </c>
      <c r="P123" s="9">
        <v>8627.0</v>
      </c>
      <c r="Q123" s="9">
        <v>240.0</v>
      </c>
      <c r="R123" s="9">
        <v>108.0</v>
      </c>
      <c r="S123" s="9">
        <v>108.0</v>
      </c>
      <c r="T123" s="9">
        <v>43.0</v>
      </c>
      <c r="U123" s="9">
        <v>40.0</v>
      </c>
      <c r="V123" s="9">
        <v>0.0</v>
      </c>
      <c r="W123" s="9">
        <v>0.0</v>
      </c>
      <c r="X123" s="9">
        <v>0.0</v>
      </c>
      <c r="Y123" s="9">
        <v>0.0</v>
      </c>
      <c r="Z123" s="9">
        <v>0.0</v>
      </c>
      <c r="AA123" s="9">
        <v>0.0</v>
      </c>
      <c r="AB123" s="9">
        <v>0.0</v>
      </c>
      <c r="AC123" s="9">
        <v>0.0</v>
      </c>
      <c r="AD123" s="9"/>
      <c r="AE123" s="9" t="s">
        <v>9</v>
      </c>
    </row>
    <row r="124">
      <c r="A124" s="7" t="s">
        <v>617</v>
      </c>
      <c r="B124" s="7" t="s">
        <v>618</v>
      </c>
      <c r="C124" s="8">
        <v>46052.0</v>
      </c>
      <c r="D124" s="8">
        <v>46062.0</v>
      </c>
      <c r="E124" s="7" t="s">
        <v>416</v>
      </c>
      <c r="F124" s="7" t="s">
        <v>466</v>
      </c>
      <c r="G124" s="7" t="s">
        <v>355</v>
      </c>
      <c r="H124" s="9">
        <v>114852.0</v>
      </c>
      <c r="I124" s="9">
        <v>0.0</v>
      </c>
      <c r="J124" s="9">
        <v>346.0</v>
      </c>
      <c r="K124" s="9">
        <v>90763.0</v>
      </c>
      <c r="L124" s="10">
        <v>1.2654055066491852</v>
      </c>
      <c r="M124" s="9">
        <v>1.2654055066491852</v>
      </c>
      <c r="N124" s="9">
        <v>53597.0</v>
      </c>
      <c r="O124" s="9">
        <v>52568.0</v>
      </c>
      <c r="P124" s="9">
        <v>15893.0</v>
      </c>
      <c r="Q124" s="9">
        <v>239.0</v>
      </c>
      <c r="R124" s="9">
        <v>128.0</v>
      </c>
      <c r="S124" s="9">
        <v>128.0</v>
      </c>
      <c r="T124" s="9">
        <v>28.0</v>
      </c>
      <c r="U124" s="9">
        <v>27.0</v>
      </c>
      <c r="V124" s="9">
        <v>0.0</v>
      </c>
      <c r="W124" s="9">
        <v>0.0</v>
      </c>
      <c r="X124" s="9">
        <v>0.0</v>
      </c>
      <c r="Y124" s="9">
        <v>0.0</v>
      </c>
      <c r="Z124" s="9">
        <v>0.0</v>
      </c>
      <c r="AA124" s="9">
        <v>0.0</v>
      </c>
      <c r="AB124" s="9">
        <v>0.0</v>
      </c>
      <c r="AC124" s="9">
        <v>0.0</v>
      </c>
      <c r="AD124" s="9"/>
      <c r="AE124" s="9" t="s">
        <v>9</v>
      </c>
    </row>
    <row r="125">
      <c r="A125" s="7" t="s">
        <v>619</v>
      </c>
      <c r="B125" s="7" t="s">
        <v>620</v>
      </c>
      <c r="C125" s="8">
        <v>46055.0</v>
      </c>
      <c r="D125" s="8">
        <v>46063.0</v>
      </c>
      <c r="E125" s="7" t="s">
        <v>416</v>
      </c>
      <c r="F125" s="7" t="s">
        <v>466</v>
      </c>
      <c r="G125" s="7" t="s">
        <v>355</v>
      </c>
      <c r="H125" s="9">
        <v>133662.0</v>
      </c>
      <c r="I125" s="9">
        <v>0.0</v>
      </c>
      <c r="J125" s="9">
        <v>175.0</v>
      </c>
      <c r="K125" s="9">
        <v>100262.0</v>
      </c>
      <c r="L125" s="10">
        <v>1.333127206718398</v>
      </c>
      <c r="M125" s="9">
        <v>1.333127206718398</v>
      </c>
      <c r="N125" s="9">
        <v>60537.0</v>
      </c>
      <c r="O125" s="9">
        <v>59252.0</v>
      </c>
      <c r="P125" s="9">
        <v>16439.0</v>
      </c>
      <c r="Q125" s="9">
        <v>348.0</v>
      </c>
      <c r="R125" s="9">
        <v>176.0</v>
      </c>
      <c r="S125" s="9">
        <v>176.0</v>
      </c>
      <c r="T125" s="9">
        <v>45.0</v>
      </c>
      <c r="U125" s="9">
        <v>42.0</v>
      </c>
      <c r="V125" s="9">
        <v>0.0</v>
      </c>
      <c r="W125" s="9">
        <v>0.0</v>
      </c>
      <c r="X125" s="9">
        <v>0.0</v>
      </c>
      <c r="Y125" s="9">
        <v>0.0</v>
      </c>
      <c r="Z125" s="9">
        <v>0.0</v>
      </c>
      <c r="AA125" s="9">
        <v>0.0</v>
      </c>
      <c r="AB125" s="9">
        <v>0.0</v>
      </c>
      <c r="AC125" s="9">
        <v>0.0</v>
      </c>
      <c r="AD125" s="9"/>
      <c r="AE125" s="9" t="s">
        <v>9</v>
      </c>
    </row>
    <row r="126">
      <c r="A126" s="7" t="s">
        <v>621</v>
      </c>
      <c r="B126" s="7" t="s">
        <v>622</v>
      </c>
      <c r="C126" s="8">
        <v>46066.0</v>
      </c>
      <c r="D126" s="8">
        <v>46080.0</v>
      </c>
      <c r="E126" s="7" t="s">
        <v>353</v>
      </c>
      <c r="F126" s="7" t="s">
        <v>354</v>
      </c>
      <c r="G126" s="7" t="s">
        <v>355</v>
      </c>
      <c r="H126" s="9">
        <v>814662.0</v>
      </c>
      <c r="I126" s="9">
        <v>27401.0</v>
      </c>
      <c r="J126" s="9">
        <v>41487.0</v>
      </c>
      <c r="K126" s="9">
        <v>64556.0</v>
      </c>
      <c r="L126" s="10">
        <v>1.3925429084825578</v>
      </c>
      <c r="M126" s="9">
        <v>12.619462172377471</v>
      </c>
      <c r="N126" s="9">
        <v>81118.0</v>
      </c>
      <c r="O126" s="9">
        <v>80173.0</v>
      </c>
      <c r="P126" s="9">
        <v>31927.0</v>
      </c>
      <c r="Q126" s="9">
        <v>4350.0</v>
      </c>
      <c r="R126" s="9">
        <v>0.0</v>
      </c>
      <c r="S126" s="9">
        <v>0.0</v>
      </c>
      <c r="T126" s="9">
        <v>0.0</v>
      </c>
      <c r="U126" s="9">
        <v>0.0</v>
      </c>
      <c r="V126" s="9">
        <v>0.0</v>
      </c>
      <c r="W126" s="9">
        <v>0.0</v>
      </c>
      <c r="X126" s="9">
        <v>0.0</v>
      </c>
      <c r="Y126" s="9">
        <v>0.0</v>
      </c>
      <c r="Z126" s="9">
        <v>0.0</v>
      </c>
      <c r="AA126" s="9">
        <v>0.0</v>
      </c>
      <c r="AB126" s="9">
        <v>0.0</v>
      </c>
      <c r="AC126" s="9">
        <v>0.0</v>
      </c>
      <c r="AD126" s="9"/>
      <c r="AE126" s="9" t="s">
        <v>9</v>
      </c>
    </row>
    <row r="127">
      <c r="A127" s="7" t="s">
        <v>623</v>
      </c>
      <c r="B127" s="7" t="s">
        <v>624</v>
      </c>
      <c r="C127" s="8">
        <v>46065.0</v>
      </c>
      <c r="D127" s="8">
        <v>46081.0</v>
      </c>
      <c r="E127" s="7" t="s">
        <v>353</v>
      </c>
      <c r="F127" s="7" t="s">
        <v>354</v>
      </c>
      <c r="G127" s="7" t="s">
        <v>355</v>
      </c>
      <c r="H127" s="9">
        <v>6188585.0</v>
      </c>
      <c r="I127" s="9">
        <v>0.0</v>
      </c>
      <c r="J127" s="9">
        <v>28131.0</v>
      </c>
      <c r="K127" s="9">
        <v>993671.0</v>
      </c>
      <c r="L127" s="10">
        <v>0.6052627076768871</v>
      </c>
      <c r="M127" s="9">
        <v>6.228002024815054</v>
      </c>
      <c r="N127" s="9">
        <v>154510.0</v>
      </c>
      <c r="O127" s="9">
        <v>151759.0</v>
      </c>
      <c r="P127" s="9">
        <v>60924.0</v>
      </c>
      <c r="Q127" s="9">
        <v>9206.0</v>
      </c>
      <c r="R127" s="9">
        <v>0.0</v>
      </c>
      <c r="S127" s="9">
        <v>0.0</v>
      </c>
      <c r="T127" s="9">
        <v>0.0</v>
      </c>
      <c r="U127" s="9">
        <v>0.0</v>
      </c>
      <c r="V127" s="9">
        <v>0.0</v>
      </c>
      <c r="W127" s="9">
        <v>0.0</v>
      </c>
      <c r="X127" s="9">
        <v>0.0</v>
      </c>
      <c r="Y127" s="9">
        <v>0.0</v>
      </c>
      <c r="Z127" s="9">
        <v>0.0</v>
      </c>
      <c r="AA127" s="9">
        <v>0.0</v>
      </c>
      <c r="AB127" s="9">
        <v>0.0</v>
      </c>
      <c r="AC127" s="9">
        <v>0.0</v>
      </c>
      <c r="AD127" s="9"/>
      <c r="AE127" s="9" t="s">
        <v>9</v>
      </c>
    </row>
    <row r="128">
      <c r="A128" s="7" t="s">
        <v>625</v>
      </c>
      <c r="B128" s="7" t="s">
        <v>626</v>
      </c>
      <c r="C128" s="8">
        <v>46065.0</v>
      </c>
      <c r="D128" s="8">
        <v>46085.0</v>
      </c>
      <c r="E128" s="7" t="s">
        <v>353</v>
      </c>
      <c r="F128" s="7" t="s">
        <v>354</v>
      </c>
      <c r="G128" s="7" t="s">
        <v>355</v>
      </c>
      <c r="H128" s="9">
        <v>6038368.0</v>
      </c>
      <c r="I128" s="9">
        <v>0.0</v>
      </c>
      <c r="J128" s="9">
        <v>43032.0</v>
      </c>
      <c r="K128" s="9">
        <v>82633.0</v>
      </c>
      <c r="L128" s="10">
        <v>29.55497198455823</v>
      </c>
      <c r="M128" s="9">
        <v>73.07453438698825</v>
      </c>
      <c r="N128" s="9">
        <v>69710.0</v>
      </c>
      <c r="O128" s="9">
        <v>67839.0</v>
      </c>
      <c r="P128" s="9">
        <v>23434.0</v>
      </c>
      <c r="Q128" s="9">
        <v>3982.0</v>
      </c>
      <c r="R128" s="9">
        <v>0.0</v>
      </c>
      <c r="S128" s="9">
        <v>0.0</v>
      </c>
      <c r="T128" s="9">
        <v>0.0</v>
      </c>
      <c r="U128" s="9">
        <v>0.0</v>
      </c>
      <c r="V128" s="9">
        <v>0.0</v>
      </c>
      <c r="W128" s="9">
        <v>0.0</v>
      </c>
      <c r="X128" s="9">
        <v>0.0</v>
      </c>
      <c r="Y128" s="9">
        <v>0.0</v>
      </c>
      <c r="Z128" s="9">
        <v>0.0</v>
      </c>
      <c r="AA128" s="9">
        <v>0.0</v>
      </c>
      <c r="AB128" s="9">
        <v>0.0</v>
      </c>
      <c r="AC128" s="9">
        <v>0.0</v>
      </c>
      <c r="AD128" s="9"/>
      <c r="AE128" s="9" t="s">
        <v>9</v>
      </c>
    </row>
    <row r="129">
      <c r="A129" s="7" t="s">
        <v>627</v>
      </c>
      <c r="B129" s="7" t="s">
        <v>628</v>
      </c>
      <c r="C129" s="8">
        <v>46058.0</v>
      </c>
      <c r="D129" s="8">
        <v>46060.0</v>
      </c>
      <c r="E129" s="7" t="s">
        <v>404</v>
      </c>
      <c r="F129" s="7" t="s">
        <v>405</v>
      </c>
      <c r="G129" s="7" t="s">
        <v>355</v>
      </c>
      <c r="H129" s="9">
        <v>4580746.0</v>
      </c>
      <c r="I129" s="9">
        <v>0.0</v>
      </c>
      <c r="J129" s="9">
        <v>9386.0</v>
      </c>
      <c r="K129" s="9">
        <v>795820.0</v>
      </c>
      <c r="L129" s="10">
        <v>0.9919416450956247</v>
      </c>
      <c r="M129" s="9">
        <v>5.7560076399185744</v>
      </c>
      <c r="N129" s="9">
        <v>97749.0</v>
      </c>
      <c r="O129" s="9">
        <v>96262.0</v>
      </c>
      <c r="P129" s="9">
        <v>40495.0</v>
      </c>
      <c r="Q129" s="9">
        <v>3965.0</v>
      </c>
      <c r="R129" s="9">
        <v>0.0</v>
      </c>
      <c r="S129" s="9">
        <v>0.0</v>
      </c>
      <c r="T129" s="9">
        <v>0.0</v>
      </c>
      <c r="U129" s="9">
        <v>0.0</v>
      </c>
      <c r="V129" s="9">
        <v>0.0</v>
      </c>
      <c r="W129" s="9">
        <v>0.0</v>
      </c>
      <c r="X129" s="9">
        <v>0.0</v>
      </c>
      <c r="Y129" s="9">
        <v>0.0</v>
      </c>
      <c r="Z129" s="9">
        <v>0.0</v>
      </c>
      <c r="AA129" s="9">
        <v>0.0</v>
      </c>
      <c r="AB129" s="9">
        <v>0.0</v>
      </c>
      <c r="AC129" s="9">
        <v>0.0</v>
      </c>
      <c r="AD129" s="9"/>
      <c r="AE129" s="9" t="s">
        <v>9</v>
      </c>
    </row>
    <row r="130">
      <c r="A130" s="7" t="s">
        <v>629</v>
      </c>
      <c r="B130" s="7" t="s">
        <v>630</v>
      </c>
      <c r="C130" s="8">
        <v>46064.0</v>
      </c>
      <c r="D130" s="8">
        <v>46065.0</v>
      </c>
      <c r="E130" s="7" t="s">
        <v>404</v>
      </c>
      <c r="F130" s="7" t="s">
        <v>405</v>
      </c>
      <c r="G130" s="7" t="s">
        <v>355</v>
      </c>
      <c r="H130" s="9">
        <v>6759890.0</v>
      </c>
      <c r="I130" s="9">
        <v>1875813.0</v>
      </c>
      <c r="J130" s="9">
        <v>6390.0</v>
      </c>
      <c r="K130" s="9">
        <v>1282165.0</v>
      </c>
      <c r="L130" s="10">
        <v>0.5958499881060549</v>
      </c>
      <c r="M130" s="9">
        <v>5.272246551730862</v>
      </c>
      <c r="N130" s="9">
        <v>66232.0</v>
      </c>
      <c r="O130" s="9">
        <v>65037.0</v>
      </c>
      <c r="P130" s="9">
        <v>23174.0</v>
      </c>
      <c r="Q130" s="9">
        <v>725.0</v>
      </c>
      <c r="R130" s="9">
        <v>0.0</v>
      </c>
      <c r="S130" s="9">
        <v>0.0</v>
      </c>
      <c r="T130" s="9">
        <v>0.0</v>
      </c>
      <c r="U130" s="9">
        <v>0.0</v>
      </c>
      <c r="V130" s="9">
        <v>0.0</v>
      </c>
      <c r="W130" s="9">
        <v>0.0</v>
      </c>
      <c r="X130" s="9">
        <v>0.0</v>
      </c>
      <c r="Y130" s="9">
        <v>0.0</v>
      </c>
      <c r="Z130" s="9">
        <v>0.0</v>
      </c>
      <c r="AA130" s="9">
        <v>0.0</v>
      </c>
      <c r="AB130" s="9">
        <v>0.0</v>
      </c>
      <c r="AC130" s="9">
        <v>0.0</v>
      </c>
      <c r="AD130" s="9"/>
      <c r="AE130" s="9" t="s">
        <v>9</v>
      </c>
    </row>
    <row r="131">
      <c r="A131" s="7" t="s">
        <v>631</v>
      </c>
      <c r="B131" s="7" t="s">
        <v>632</v>
      </c>
      <c r="C131" s="8">
        <v>46055.0</v>
      </c>
      <c r="D131" s="8">
        <v>46062.0</v>
      </c>
      <c r="E131" s="7" t="s">
        <v>416</v>
      </c>
      <c r="F131" s="7" t="s">
        <v>413</v>
      </c>
      <c r="G131" s="7" t="s">
        <v>355</v>
      </c>
      <c r="H131" s="9">
        <v>188003.0</v>
      </c>
      <c r="I131" s="9">
        <v>0.0</v>
      </c>
      <c r="J131" s="9">
        <v>707.0</v>
      </c>
      <c r="K131" s="9">
        <v>117960.0</v>
      </c>
      <c r="L131" s="10">
        <v>1.593786029162428</v>
      </c>
      <c r="M131" s="9">
        <v>1.593786029162428</v>
      </c>
      <c r="N131" s="9">
        <v>67263.0</v>
      </c>
      <c r="O131" s="9">
        <v>65865.0</v>
      </c>
      <c r="P131" s="9">
        <v>11448.0</v>
      </c>
      <c r="Q131" s="9">
        <v>253.0</v>
      </c>
      <c r="R131" s="9">
        <v>123.0</v>
      </c>
      <c r="S131" s="9">
        <v>122.0</v>
      </c>
      <c r="T131" s="9">
        <v>35.0</v>
      </c>
      <c r="U131" s="9">
        <v>33.0</v>
      </c>
      <c r="V131" s="9">
        <v>0.0</v>
      </c>
      <c r="W131" s="9">
        <v>0.0</v>
      </c>
      <c r="X131" s="9">
        <v>0.0</v>
      </c>
      <c r="Y131" s="9">
        <v>0.0</v>
      </c>
      <c r="Z131" s="9">
        <v>0.0</v>
      </c>
      <c r="AA131" s="9">
        <v>0.0</v>
      </c>
      <c r="AB131" s="9">
        <v>0.0</v>
      </c>
      <c r="AC131" s="9">
        <v>0.0</v>
      </c>
      <c r="AD131" s="9"/>
      <c r="AE131" s="9" t="s">
        <v>9</v>
      </c>
    </row>
    <row r="132">
      <c r="A132" s="7" t="s">
        <v>633</v>
      </c>
      <c r="B132" s="7" t="s">
        <v>634</v>
      </c>
      <c r="C132" s="8">
        <v>46063.0</v>
      </c>
      <c r="D132" s="8">
        <v>46063.0</v>
      </c>
      <c r="E132" s="7" t="s">
        <v>473</v>
      </c>
      <c r="F132" s="7" t="s">
        <v>474</v>
      </c>
      <c r="G132" s="7" t="s">
        <v>355</v>
      </c>
      <c r="H132" s="9">
        <v>0.0</v>
      </c>
      <c r="I132" s="9">
        <v>0.0</v>
      </c>
      <c r="J132" s="9">
        <v>0.0</v>
      </c>
      <c r="K132" s="9">
        <v>0.0</v>
      </c>
      <c r="L132" s="10">
        <v>0.0</v>
      </c>
      <c r="M132" s="9">
        <v>0.0</v>
      </c>
      <c r="N132" s="9">
        <v>348.0</v>
      </c>
      <c r="O132" s="9">
        <v>337.0</v>
      </c>
      <c r="P132" s="9">
        <v>163.0</v>
      </c>
      <c r="Q132" s="9">
        <v>66.0</v>
      </c>
      <c r="R132" s="9">
        <v>0.0</v>
      </c>
      <c r="S132" s="9">
        <v>0.0</v>
      </c>
      <c r="T132" s="9">
        <v>0.0</v>
      </c>
      <c r="U132" s="9">
        <v>0.0</v>
      </c>
      <c r="V132" s="9">
        <v>0.0</v>
      </c>
      <c r="W132" s="9">
        <v>0.0</v>
      </c>
      <c r="X132" s="9">
        <v>0.0</v>
      </c>
      <c r="Y132" s="9">
        <v>0.0</v>
      </c>
      <c r="Z132" s="9">
        <v>0.0</v>
      </c>
      <c r="AA132" s="9">
        <v>0.0</v>
      </c>
      <c r="AB132" s="9">
        <v>0.0</v>
      </c>
      <c r="AC132" s="9">
        <v>0.0</v>
      </c>
      <c r="AD132" s="9"/>
      <c r="AE132" s="9" t="s">
        <v>9</v>
      </c>
    </row>
    <row r="133">
      <c r="A133" s="7" t="s">
        <v>635</v>
      </c>
      <c r="B133" s="7" t="s">
        <v>636</v>
      </c>
      <c r="C133" s="8">
        <v>46035.0</v>
      </c>
      <c r="D133" s="8">
        <v>46064.0</v>
      </c>
      <c r="E133" s="7" t="s">
        <v>416</v>
      </c>
      <c r="F133" s="7" t="s">
        <v>430</v>
      </c>
      <c r="G133" s="7" t="s">
        <v>355</v>
      </c>
      <c r="H133" s="9">
        <v>0.0</v>
      </c>
      <c r="I133" s="9">
        <v>0.0</v>
      </c>
      <c r="J133" s="9">
        <v>0.0</v>
      </c>
      <c r="K133" s="9">
        <v>0.0</v>
      </c>
      <c r="L133" s="10">
        <v>0.0</v>
      </c>
      <c r="M133" s="9">
        <v>0.0</v>
      </c>
      <c r="N133" s="9">
        <v>41552.0</v>
      </c>
      <c r="O133" s="9">
        <v>38523.0</v>
      </c>
      <c r="P133" s="9">
        <v>10989.0</v>
      </c>
      <c r="Q133" s="9">
        <v>105.0</v>
      </c>
      <c r="R133" s="9">
        <v>0.0</v>
      </c>
      <c r="S133" s="9">
        <v>0.0</v>
      </c>
      <c r="T133" s="9">
        <v>0.0</v>
      </c>
      <c r="U133" s="9">
        <v>0.0</v>
      </c>
      <c r="V133" s="9">
        <v>0.0</v>
      </c>
      <c r="W133" s="9">
        <v>0.0</v>
      </c>
      <c r="X133" s="9">
        <v>0.0</v>
      </c>
      <c r="Y133" s="9">
        <v>0.0</v>
      </c>
      <c r="Z133" s="9">
        <v>0.0</v>
      </c>
      <c r="AA133" s="9">
        <v>0.0</v>
      </c>
      <c r="AB133" s="9">
        <v>0.0</v>
      </c>
      <c r="AC133" s="9">
        <v>0.0</v>
      </c>
      <c r="AD133" s="9"/>
      <c r="AE133" s="9" t="s">
        <v>9</v>
      </c>
    </row>
    <row r="134">
      <c r="A134" s="7" t="s">
        <v>637</v>
      </c>
      <c r="B134" s="7" t="s">
        <v>638</v>
      </c>
      <c r="C134" s="8">
        <v>46062.0</v>
      </c>
      <c r="D134" s="8">
        <v>46062.0</v>
      </c>
      <c r="E134" s="7" t="s">
        <v>416</v>
      </c>
      <c r="F134" s="7" t="s">
        <v>430</v>
      </c>
      <c r="G134" s="7" t="s">
        <v>355</v>
      </c>
      <c r="H134" s="9">
        <v>0.0</v>
      </c>
      <c r="I134" s="9">
        <v>0.0</v>
      </c>
      <c r="J134" s="9">
        <v>0.0</v>
      </c>
      <c r="K134" s="9">
        <v>0.0</v>
      </c>
      <c r="L134" s="10">
        <v>0.0</v>
      </c>
      <c r="M134" s="9">
        <v>0.0</v>
      </c>
      <c r="N134" s="9">
        <v>52237.0</v>
      </c>
      <c r="O134" s="9">
        <v>51225.0</v>
      </c>
      <c r="P134" s="9">
        <v>13345.0</v>
      </c>
      <c r="Q134" s="9">
        <v>309.0</v>
      </c>
      <c r="R134" s="9">
        <v>0.0</v>
      </c>
      <c r="S134" s="9">
        <v>0.0</v>
      </c>
      <c r="T134" s="9">
        <v>0.0</v>
      </c>
      <c r="U134" s="9">
        <v>0.0</v>
      </c>
      <c r="V134" s="9">
        <v>0.0</v>
      </c>
      <c r="W134" s="9">
        <v>0.0</v>
      </c>
      <c r="X134" s="9">
        <v>0.0</v>
      </c>
      <c r="Y134" s="9">
        <v>0.0</v>
      </c>
      <c r="Z134" s="9">
        <v>0.0</v>
      </c>
      <c r="AA134" s="9">
        <v>0.0</v>
      </c>
      <c r="AB134" s="9">
        <v>0.0</v>
      </c>
      <c r="AC134" s="9">
        <v>0.0</v>
      </c>
      <c r="AD134" s="9"/>
      <c r="AE134" s="9" t="s">
        <v>9</v>
      </c>
    </row>
    <row r="135">
      <c r="A135" s="7" t="s">
        <v>639</v>
      </c>
      <c r="B135" s="7" t="s">
        <v>640</v>
      </c>
      <c r="C135" s="8">
        <v>46058.0</v>
      </c>
      <c r="D135" s="8">
        <v>46061.0</v>
      </c>
      <c r="E135" s="7" t="s">
        <v>364</v>
      </c>
      <c r="F135" s="7" t="s">
        <v>365</v>
      </c>
      <c r="G135" s="7" t="s">
        <v>355</v>
      </c>
      <c r="H135" s="9">
        <v>284005.0</v>
      </c>
      <c r="I135" s="9">
        <v>0.0</v>
      </c>
      <c r="J135" s="9">
        <v>233.0</v>
      </c>
      <c r="K135" s="9">
        <v>205020.0</v>
      </c>
      <c r="L135" s="10">
        <v>1.3852550970637012</v>
      </c>
      <c r="M135" s="9">
        <v>1.3852550970637012</v>
      </c>
      <c r="N135" s="9">
        <v>90205.0</v>
      </c>
      <c r="O135" s="9">
        <v>88775.0</v>
      </c>
      <c r="P135" s="9">
        <v>31917.0</v>
      </c>
      <c r="Q135" s="9">
        <v>887.0</v>
      </c>
      <c r="R135" s="9">
        <v>0.0</v>
      </c>
      <c r="S135" s="9">
        <v>0.0</v>
      </c>
      <c r="T135" s="9">
        <v>0.0</v>
      </c>
      <c r="U135" s="9">
        <v>0.0</v>
      </c>
      <c r="V135" s="9">
        <v>0.0</v>
      </c>
      <c r="W135" s="9">
        <v>0.0</v>
      </c>
      <c r="X135" s="9">
        <v>0.0</v>
      </c>
      <c r="Y135" s="9">
        <v>0.0</v>
      </c>
      <c r="Z135" s="9">
        <v>0.0</v>
      </c>
      <c r="AA135" s="9">
        <v>0.0</v>
      </c>
      <c r="AB135" s="9">
        <v>0.0</v>
      </c>
      <c r="AC135" s="9">
        <v>0.0</v>
      </c>
      <c r="AD135" s="9"/>
      <c r="AE135" s="9" t="s">
        <v>9</v>
      </c>
    </row>
    <row r="136">
      <c r="A136" s="7" t="s">
        <v>641</v>
      </c>
      <c r="B136" s="7" t="s">
        <v>642</v>
      </c>
      <c r="C136" s="8">
        <v>46066.0</v>
      </c>
      <c r="D136" s="8">
        <v>46066.0</v>
      </c>
      <c r="E136" s="7" t="s">
        <v>364</v>
      </c>
      <c r="F136" s="7" t="s">
        <v>365</v>
      </c>
      <c r="G136" s="7" t="s">
        <v>355</v>
      </c>
      <c r="H136" s="9">
        <v>0.0</v>
      </c>
      <c r="I136" s="9">
        <v>0.0</v>
      </c>
      <c r="J136" s="9">
        <v>0.0</v>
      </c>
      <c r="K136" s="9">
        <v>0.0</v>
      </c>
      <c r="L136" s="10">
        <v>0.0</v>
      </c>
      <c r="M136" s="9">
        <v>0.0</v>
      </c>
      <c r="N136" s="9">
        <v>35564.0</v>
      </c>
      <c r="O136" s="9">
        <v>23841.0</v>
      </c>
      <c r="P136" s="9">
        <v>9799.0</v>
      </c>
      <c r="Q136" s="9">
        <v>990.0</v>
      </c>
      <c r="R136" s="9">
        <v>0.0</v>
      </c>
      <c r="S136" s="9">
        <v>0.0</v>
      </c>
      <c r="T136" s="9">
        <v>0.0</v>
      </c>
      <c r="U136" s="9">
        <v>0.0</v>
      </c>
      <c r="V136" s="9">
        <v>0.0</v>
      </c>
      <c r="W136" s="9">
        <v>0.0</v>
      </c>
      <c r="X136" s="9">
        <v>0.0</v>
      </c>
      <c r="Y136" s="9">
        <v>0.0</v>
      </c>
      <c r="Z136" s="9">
        <v>0.0</v>
      </c>
      <c r="AA136" s="9">
        <v>0.0</v>
      </c>
      <c r="AB136" s="9">
        <v>0.0</v>
      </c>
      <c r="AC136" s="9">
        <v>0.0</v>
      </c>
      <c r="AD136" s="9"/>
      <c r="AE136" s="9" t="s">
        <v>9</v>
      </c>
    </row>
    <row r="137">
      <c r="A137" s="7" t="s">
        <v>643</v>
      </c>
      <c r="B137" s="7" t="s">
        <v>644</v>
      </c>
      <c r="C137" s="8">
        <v>46059.0</v>
      </c>
      <c r="D137" s="8">
        <v>46073.0</v>
      </c>
      <c r="E137" s="7" t="s">
        <v>353</v>
      </c>
      <c r="F137" s="7" t="s">
        <v>378</v>
      </c>
      <c r="G137" s="7" t="s">
        <v>355</v>
      </c>
      <c r="H137" s="9">
        <v>5472203.0</v>
      </c>
      <c r="I137" s="9">
        <v>313360.0</v>
      </c>
      <c r="J137" s="9">
        <v>6389.0</v>
      </c>
      <c r="K137" s="9">
        <v>557979.0</v>
      </c>
      <c r="L137" s="10">
        <v>2.7565894056944797</v>
      </c>
      <c r="M137" s="9">
        <v>9.807184499775081</v>
      </c>
      <c r="N137" s="9">
        <v>168287.0</v>
      </c>
      <c r="O137" s="9">
        <v>165112.0</v>
      </c>
      <c r="P137" s="9">
        <v>32866.0</v>
      </c>
      <c r="Q137" s="9">
        <v>518.0</v>
      </c>
      <c r="R137" s="9">
        <v>0.0</v>
      </c>
      <c r="S137" s="9">
        <v>0.0</v>
      </c>
      <c r="T137" s="9">
        <v>0.0</v>
      </c>
      <c r="U137" s="9">
        <v>0.0</v>
      </c>
      <c r="V137" s="9">
        <v>0.0</v>
      </c>
      <c r="W137" s="9">
        <v>0.0</v>
      </c>
      <c r="X137" s="9">
        <v>0.0</v>
      </c>
      <c r="Y137" s="9">
        <v>0.0</v>
      </c>
      <c r="Z137" s="9">
        <v>0.0</v>
      </c>
      <c r="AA137" s="9">
        <v>0.0</v>
      </c>
      <c r="AB137" s="9">
        <v>0.0</v>
      </c>
      <c r="AC137" s="9">
        <v>0.0</v>
      </c>
      <c r="AD137" s="9"/>
      <c r="AE137" s="9" t="s">
        <v>9</v>
      </c>
    </row>
    <row r="138">
      <c r="A138" s="7" t="s">
        <v>645</v>
      </c>
      <c r="B138" s="7" t="s">
        <v>646</v>
      </c>
      <c r="C138" s="8">
        <v>46059.0</v>
      </c>
      <c r="D138" s="8">
        <v>46074.0</v>
      </c>
      <c r="E138" s="7" t="s">
        <v>364</v>
      </c>
      <c r="F138" s="7" t="s">
        <v>365</v>
      </c>
      <c r="G138" s="7" t="s">
        <v>355</v>
      </c>
      <c r="H138" s="9">
        <v>3149149.0</v>
      </c>
      <c r="I138" s="9">
        <v>0.0</v>
      </c>
      <c r="J138" s="9">
        <v>13882.0</v>
      </c>
      <c r="K138" s="9">
        <v>849495.0</v>
      </c>
      <c r="L138" s="10">
        <v>1.33726037233886</v>
      </c>
      <c r="M138" s="9">
        <v>3.7070836202685125</v>
      </c>
      <c r="N138" s="9">
        <v>146537.0</v>
      </c>
      <c r="O138" s="9">
        <v>144208.0</v>
      </c>
      <c r="P138" s="9">
        <v>58970.0</v>
      </c>
      <c r="Q138" s="9">
        <v>1222.0</v>
      </c>
      <c r="R138" s="9">
        <v>0.0</v>
      </c>
      <c r="S138" s="9">
        <v>0.0</v>
      </c>
      <c r="T138" s="9">
        <v>0.0</v>
      </c>
      <c r="U138" s="9">
        <v>0.0</v>
      </c>
      <c r="V138" s="9">
        <v>0.0</v>
      </c>
      <c r="W138" s="9">
        <v>0.0</v>
      </c>
      <c r="X138" s="9">
        <v>0.0</v>
      </c>
      <c r="Y138" s="9">
        <v>0.0</v>
      </c>
      <c r="Z138" s="9">
        <v>0.0</v>
      </c>
      <c r="AA138" s="9">
        <v>34459.0</v>
      </c>
      <c r="AB138" s="9">
        <v>32718.0</v>
      </c>
      <c r="AC138" s="9">
        <v>132.0</v>
      </c>
      <c r="AD138" s="9"/>
      <c r="AE138" s="9" t="s">
        <v>9</v>
      </c>
    </row>
    <row r="139">
      <c r="A139" s="7" t="s">
        <v>647</v>
      </c>
      <c r="B139" s="7" t="s">
        <v>648</v>
      </c>
      <c r="C139" s="8">
        <v>46063.0</v>
      </c>
      <c r="D139" s="8">
        <v>46077.0</v>
      </c>
      <c r="E139" s="7" t="s">
        <v>353</v>
      </c>
      <c r="F139" s="7" t="s">
        <v>378</v>
      </c>
      <c r="G139" s="7" t="s">
        <v>355</v>
      </c>
      <c r="H139" s="9">
        <v>3507352.0</v>
      </c>
      <c r="I139" s="9">
        <v>0.0</v>
      </c>
      <c r="J139" s="9">
        <v>10979.0</v>
      </c>
      <c r="K139" s="9">
        <v>42089.0</v>
      </c>
      <c r="L139" s="10">
        <v>24.26607902302264</v>
      </c>
      <c r="M139" s="9">
        <v>83.33179690655516</v>
      </c>
      <c r="N139" s="9">
        <v>84050.0</v>
      </c>
      <c r="O139" s="9">
        <v>82502.0</v>
      </c>
      <c r="P139" s="9">
        <v>32905.0</v>
      </c>
      <c r="Q139" s="9">
        <v>1404.0</v>
      </c>
      <c r="R139" s="9">
        <v>0.0</v>
      </c>
      <c r="S139" s="9">
        <v>0.0</v>
      </c>
      <c r="T139" s="9">
        <v>0.0</v>
      </c>
      <c r="U139" s="9">
        <v>0.0</v>
      </c>
      <c r="V139" s="9">
        <v>0.0</v>
      </c>
      <c r="W139" s="9">
        <v>0.0</v>
      </c>
      <c r="X139" s="9">
        <v>0.0</v>
      </c>
      <c r="Y139" s="9">
        <v>0.0</v>
      </c>
      <c r="Z139" s="9">
        <v>0.0</v>
      </c>
      <c r="AA139" s="9">
        <v>0.0</v>
      </c>
      <c r="AB139" s="9">
        <v>0.0</v>
      </c>
      <c r="AC139" s="9">
        <v>0.0</v>
      </c>
      <c r="AD139" s="9"/>
      <c r="AE139" s="9" t="s">
        <v>9</v>
      </c>
    </row>
    <row r="140">
      <c r="A140" s="7" t="s">
        <v>649</v>
      </c>
      <c r="B140" s="7" t="s">
        <v>650</v>
      </c>
      <c r="C140" s="8">
        <v>46063.0</v>
      </c>
      <c r="D140" s="8">
        <v>46069.0</v>
      </c>
      <c r="E140" s="7" t="s">
        <v>404</v>
      </c>
      <c r="F140" s="7" t="s">
        <v>405</v>
      </c>
      <c r="G140" s="7" t="s">
        <v>355</v>
      </c>
      <c r="H140" s="9">
        <v>1.1436556E7</v>
      </c>
      <c r="I140" s="9">
        <v>2539828.0</v>
      </c>
      <c r="J140" s="9">
        <v>14323.0</v>
      </c>
      <c r="K140" s="9">
        <v>677074.0</v>
      </c>
      <c r="L140" s="10">
        <v>3.8506588644668085</v>
      </c>
      <c r="M140" s="9">
        <v>16.891146314878434</v>
      </c>
      <c r="N140" s="9">
        <v>147633.0</v>
      </c>
      <c r="O140" s="9">
        <v>125246.0</v>
      </c>
      <c r="P140" s="9">
        <v>54292.0</v>
      </c>
      <c r="Q140" s="9">
        <v>1241.0</v>
      </c>
      <c r="R140" s="9">
        <v>0.0</v>
      </c>
      <c r="S140" s="9">
        <v>0.0</v>
      </c>
      <c r="T140" s="9">
        <v>0.0</v>
      </c>
      <c r="U140" s="9">
        <v>0.0</v>
      </c>
      <c r="V140" s="9">
        <v>0.0</v>
      </c>
      <c r="W140" s="9">
        <v>0.0</v>
      </c>
      <c r="X140" s="9">
        <v>0.0</v>
      </c>
      <c r="Y140" s="9">
        <v>0.0</v>
      </c>
      <c r="Z140" s="9">
        <v>0.0</v>
      </c>
      <c r="AA140" s="9">
        <v>0.0</v>
      </c>
      <c r="AB140" s="9">
        <v>0.0</v>
      </c>
      <c r="AC140" s="9">
        <v>0.0</v>
      </c>
      <c r="AD140" s="9"/>
      <c r="AE140" s="9" t="s">
        <v>9</v>
      </c>
    </row>
    <row r="141">
      <c r="A141" s="7" t="s">
        <v>651</v>
      </c>
      <c r="B141" s="7" t="s">
        <v>652</v>
      </c>
      <c r="C141" s="8">
        <v>46071.0</v>
      </c>
      <c r="D141" s="8">
        <v>46112.0</v>
      </c>
      <c r="E141" s="7" t="s">
        <v>353</v>
      </c>
      <c r="F141" s="7" t="s">
        <v>378</v>
      </c>
      <c r="G141" s="7" t="s">
        <v>355</v>
      </c>
      <c r="H141" s="9">
        <v>1.5567316E7</v>
      </c>
      <c r="I141" s="9">
        <v>0.0</v>
      </c>
      <c r="J141" s="9">
        <v>60689.0</v>
      </c>
      <c r="K141" s="9">
        <v>605267.0</v>
      </c>
      <c r="L141" s="10">
        <v>9.208993716822492</v>
      </c>
      <c r="M141" s="9">
        <v>25.719750126803543</v>
      </c>
      <c r="N141" s="9">
        <v>66779.0</v>
      </c>
      <c r="O141" s="9">
        <v>65841.0</v>
      </c>
      <c r="P141" s="9">
        <v>22134.0</v>
      </c>
      <c r="Q141" s="9">
        <v>981.0</v>
      </c>
      <c r="R141" s="9">
        <v>33627.0</v>
      </c>
      <c r="S141" s="9">
        <v>29173.0</v>
      </c>
      <c r="T141" s="9">
        <v>10753.0</v>
      </c>
      <c r="U141" s="9">
        <v>8191.0</v>
      </c>
      <c r="V141" s="9">
        <v>0.0</v>
      </c>
      <c r="W141" s="9">
        <v>0.0</v>
      </c>
      <c r="X141" s="9">
        <v>0.0</v>
      </c>
      <c r="Y141" s="9">
        <v>0.0</v>
      </c>
      <c r="Z141" s="9">
        <v>0.0</v>
      </c>
      <c r="AA141" s="9">
        <v>0.0</v>
      </c>
      <c r="AB141" s="9">
        <v>0.0</v>
      </c>
      <c r="AC141" s="9">
        <v>0.0</v>
      </c>
      <c r="AD141" s="9"/>
      <c r="AE141" s="9" t="s">
        <v>9</v>
      </c>
    </row>
    <row r="142">
      <c r="A142" s="7" t="s">
        <v>653</v>
      </c>
      <c r="B142" s="7" t="s">
        <v>654</v>
      </c>
      <c r="C142" s="8">
        <v>46059.0</v>
      </c>
      <c r="D142" s="8">
        <v>46074.0</v>
      </c>
      <c r="E142" s="7" t="s">
        <v>364</v>
      </c>
      <c r="F142" s="7" t="s">
        <v>365</v>
      </c>
      <c r="G142" s="7" t="s">
        <v>355</v>
      </c>
      <c r="H142" s="9">
        <v>0.0</v>
      </c>
      <c r="I142" s="9">
        <v>0.0</v>
      </c>
      <c r="J142" s="9">
        <v>0.0</v>
      </c>
      <c r="K142" s="9">
        <v>0.0</v>
      </c>
      <c r="L142" s="10">
        <v>0.0</v>
      </c>
      <c r="M142" s="9">
        <v>0.0</v>
      </c>
      <c r="N142" s="9">
        <v>201663.0</v>
      </c>
      <c r="O142" s="9">
        <v>198068.0</v>
      </c>
      <c r="P142" s="9">
        <v>58342.0</v>
      </c>
      <c r="Q142" s="9">
        <v>472.0</v>
      </c>
      <c r="R142" s="9">
        <v>0.0</v>
      </c>
      <c r="S142" s="9">
        <v>0.0</v>
      </c>
      <c r="T142" s="9">
        <v>0.0</v>
      </c>
      <c r="U142" s="9">
        <v>0.0</v>
      </c>
      <c r="V142" s="9">
        <v>0.0</v>
      </c>
      <c r="W142" s="9">
        <v>0.0</v>
      </c>
      <c r="X142" s="9">
        <v>0.0</v>
      </c>
      <c r="Y142" s="9">
        <v>0.0</v>
      </c>
      <c r="Z142" s="9">
        <v>0.0</v>
      </c>
      <c r="AA142" s="9">
        <v>0.0</v>
      </c>
      <c r="AB142" s="9">
        <v>0.0</v>
      </c>
      <c r="AC142" s="9">
        <v>0.0</v>
      </c>
      <c r="AD142" s="9"/>
      <c r="AE142" s="9" t="s">
        <v>9</v>
      </c>
    </row>
    <row r="143">
      <c r="A143" s="7" t="s">
        <v>655</v>
      </c>
      <c r="B143" s="7" t="s">
        <v>656</v>
      </c>
      <c r="C143" s="8">
        <v>46058.0</v>
      </c>
      <c r="D143" s="8">
        <v>46062.0</v>
      </c>
      <c r="E143" s="7" t="s">
        <v>416</v>
      </c>
      <c r="F143" s="7" t="s">
        <v>430</v>
      </c>
      <c r="G143" s="7" t="s">
        <v>355</v>
      </c>
      <c r="H143" s="9">
        <v>271547.0</v>
      </c>
      <c r="I143" s="9">
        <v>0.0</v>
      </c>
      <c r="J143" s="9">
        <v>1035.0</v>
      </c>
      <c r="K143" s="9">
        <v>176920.0</v>
      </c>
      <c r="L143" s="10">
        <v>1.5348575627402217</v>
      </c>
      <c r="M143" s="9">
        <v>1.5348575627402217</v>
      </c>
      <c r="N143" s="9">
        <v>19424.0</v>
      </c>
      <c r="O143" s="9">
        <v>18983.0</v>
      </c>
      <c r="P143" s="9">
        <v>3496.0</v>
      </c>
      <c r="Q143" s="9">
        <v>48.0</v>
      </c>
      <c r="R143" s="9">
        <v>132.0</v>
      </c>
      <c r="S143" s="9">
        <v>132.0</v>
      </c>
      <c r="T143" s="9">
        <v>31.0</v>
      </c>
      <c r="U143" s="9">
        <v>23.0</v>
      </c>
      <c r="V143" s="9">
        <v>0.0</v>
      </c>
      <c r="W143" s="9">
        <v>0.0</v>
      </c>
      <c r="X143" s="9">
        <v>0.0</v>
      </c>
      <c r="Y143" s="9">
        <v>0.0</v>
      </c>
      <c r="Z143" s="9">
        <v>0.0</v>
      </c>
      <c r="AA143" s="9">
        <v>0.0</v>
      </c>
      <c r="AB143" s="9">
        <v>0.0</v>
      </c>
      <c r="AC143" s="9">
        <v>0.0</v>
      </c>
      <c r="AD143" s="9"/>
      <c r="AE143" s="9" t="s">
        <v>9</v>
      </c>
    </row>
    <row r="144">
      <c r="A144" s="7" t="s">
        <v>657</v>
      </c>
      <c r="B144" s="7" t="s">
        <v>658</v>
      </c>
      <c r="C144" s="8">
        <v>46062.0</v>
      </c>
      <c r="D144" s="8">
        <v>46072.0</v>
      </c>
      <c r="E144" s="7" t="s">
        <v>416</v>
      </c>
      <c r="F144" s="7" t="s">
        <v>466</v>
      </c>
      <c r="G144" s="7" t="s">
        <v>355</v>
      </c>
      <c r="H144" s="9">
        <v>153248.0</v>
      </c>
      <c r="I144" s="9">
        <v>0.0</v>
      </c>
      <c r="J144" s="9">
        <v>685.0</v>
      </c>
      <c r="K144" s="9">
        <v>99126.0</v>
      </c>
      <c r="L144" s="10">
        <v>1.5459919698161935</v>
      </c>
      <c r="M144" s="9">
        <v>1.5459919698161935</v>
      </c>
      <c r="N144" s="9">
        <v>70271.0</v>
      </c>
      <c r="O144" s="9">
        <v>69019.0</v>
      </c>
      <c r="P144" s="9">
        <v>14777.0</v>
      </c>
      <c r="Q144" s="9">
        <v>248.0</v>
      </c>
      <c r="R144" s="9">
        <v>111.0</v>
      </c>
      <c r="S144" s="9">
        <v>111.0</v>
      </c>
      <c r="T144" s="9">
        <v>27.0</v>
      </c>
      <c r="U144" s="9">
        <v>26.0</v>
      </c>
      <c r="V144" s="9">
        <v>0.0</v>
      </c>
      <c r="W144" s="9">
        <v>0.0</v>
      </c>
      <c r="X144" s="9">
        <v>0.0</v>
      </c>
      <c r="Y144" s="9">
        <v>0.0</v>
      </c>
      <c r="Z144" s="9">
        <v>0.0</v>
      </c>
      <c r="AA144" s="9">
        <v>0.0</v>
      </c>
      <c r="AB144" s="9">
        <v>0.0</v>
      </c>
      <c r="AC144" s="9">
        <v>0.0</v>
      </c>
      <c r="AD144" s="9"/>
      <c r="AE144" s="9" t="s">
        <v>9</v>
      </c>
    </row>
    <row r="145">
      <c r="A145" s="7" t="s">
        <v>659</v>
      </c>
      <c r="B145" s="7" t="s">
        <v>660</v>
      </c>
      <c r="C145" s="8">
        <v>46062.0</v>
      </c>
      <c r="D145" s="8">
        <v>46072.0</v>
      </c>
      <c r="E145" s="7" t="s">
        <v>416</v>
      </c>
      <c r="F145" s="7" t="s">
        <v>466</v>
      </c>
      <c r="G145" s="7" t="s">
        <v>355</v>
      </c>
      <c r="H145" s="9">
        <v>333665.0</v>
      </c>
      <c r="I145" s="9">
        <v>0.0</v>
      </c>
      <c r="J145" s="9">
        <v>674.0</v>
      </c>
      <c r="K145" s="9">
        <v>230400.0</v>
      </c>
      <c r="L145" s="10">
        <v>1.4481987847222222</v>
      </c>
      <c r="M145" s="9">
        <v>1.4481987847222222</v>
      </c>
      <c r="N145" s="9">
        <v>65341.0</v>
      </c>
      <c r="O145" s="9">
        <v>64205.0</v>
      </c>
      <c r="P145" s="9">
        <v>11629.0</v>
      </c>
      <c r="Q145" s="9">
        <v>258.0</v>
      </c>
      <c r="R145" s="9">
        <v>98.0</v>
      </c>
      <c r="S145" s="9">
        <v>98.0</v>
      </c>
      <c r="T145" s="9">
        <v>29.0</v>
      </c>
      <c r="U145" s="9">
        <v>27.0</v>
      </c>
      <c r="V145" s="9">
        <v>0.0</v>
      </c>
      <c r="W145" s="9">
        <v>0.0</v>
      </c>
      <c r="X145" s="9">
        <v>0.0</v>
      </c>
      <c r="Y145" s="9">
        <v>0.0</v>
      </c>
      <c r="Z145" s="9">
        <v>0.0</v>
      </c>
      <c r="AA145" s="9">
        <v>0.0</v>
      </c>
      <c r="AB145" s="9">
        <v>0.0</v>
      </c>
      <c r="AC145" s="9">
        <v>0.0</v>
      </c>
      <c r="AD145" s="9"/>
      <c r="AE145" s="9" t="s">
        <v>9</v>
      </c>
    </row>
    <row r="146">
      <c r="A146" s="7" t="s">
        <v>661</v>
      </c>
      <c r="B146" s="7" t="s">
        <v>662</v>
      </c>
      <c r="C146" s="8">
        <v>46062.0</v>
      </c>
      <c r="D146" s="8">
        <v>46072.0</v>
      </c>
      <c r="E146" s="7" t="s">
        <v>416</v>
      </c>
      <c r="F146" s="7" t="s">
        <v>466</v>
      </c>
      <c r="G146" s="7" t="s">
        <v>355</v>
      </c>
      <c r="H146" s="9">
        <v>168738.0</v>
      </c>
      <c r="I146" s="9">
        <v>0.0</v>
      </c>
      <c r="J146" s="9">
        <v>525.0</v>
      </c>
      <c r="K146" s="9">
        <v>69021.0</v>
      </c>
      <c r="L146" s="10">
        <v>2.4447342113269874</v>
      </c>
      <c r="M146" s="9">
        <v>2.4447342113269874</v>
      </c>
      <c r="N146" s="9">
        <v>77332.0</v>
      </c>
      <c r="O146" s="9">
        <v>75865.0</v>
      </c>
      <c r="P146" s="9">
        <v>14601.0</v>
      </c>
      <c r="Q146" s="9">
        <v>295.0</v>
      </c>
      <c r="R146" s="9">
        <v>163.0</v>
      </c>
      <c r="S146" s="9">
        <v>163.0</v>
      </c>
      <c r="T146" s="9">
        <v>52.0</v>
      </c>
      <c r="U146" s="9">
        <v>49.0</v>
      </c>
      <c r="V146" s="9">
        <v>0.0</v>
      </c>
      <c r="W146" s="9">
        <v>0.0</v>
      </c>
      <c r="X146" s="9">
        <v>0.0</v>
      </c>
      <c r="Y146" s="9">
        <v>0.0</v>
      </c>
      <c r="Z146" s="9">
        <v>0.0</v>
      </c>
      <c r="AA146" s="9">
        <v>0.0</v>
      </c>
      <c r="AB146" s="9">
        <v>0.0</v>
      </c>
      <c r="AC146" s="9">
        <v>0.0</v>
      </c>
      <c r="AD146" s="9"/>
      <c r="AE146" s="9" t="s">
        <v>9</v>
      </c>
    </row>
    <row r="147">
      <c r="A147" s="7" t="s">
        <v>663</v>
      </c>
      <c r="B147" s="7" t="s">
        <v>664</v>
      </c>
      <c r="C147" s="8">
        <v>46062.0</v>
      </c>
      <c r="D147" s="8">
        <v>46066.0</v>
      </c>
      <c r="E147" s="7" t="s">
        <v>416</v>
      </c>
      <c r="F147" s="7" t="s">
        <v>466</v>
      </c>
      <c r="G147" s="7" t="s">
        <v>355</v>
      </c>
      <c r="H147" s="9">
        <v>177652.0</v>
      </c>
      <c r="I147" s="9">
        <v>0.0</v>
      </c>
      <c r="J147" s="9">
        <v>842.0</v>
      </c>
      <c r="K147" s="9">
        <v>113695.0</v>
      </c>
      <c r="L147" s="10">
        <v>1.5625313338317428</v>
      </c>
      <c r="M147" s="9">
        <v>1.5625313338317428</v>
      </c>
      <c r="N147" s="9">
        <v>76761.0</v>
      </c>
      <c r="O147" s="9">
        <v>75050.0</v>
      </c>
      <c r="P147" s="9">
        <v>11951.0</v>
      </c>
      <c r="Q147" s="9">
        <v>254.0</v>
      </c>
      <c r="R147" s="9">
        <v>160.0</v>
      </c>
      <c r="S147" s="9">
        <v>160.0</v>
      </c>
      <c r="T147" s="9">
        <v>35.0</v>
      </c>
      <c r="U147" s="9">
        <v>33.0</v>
      </c>
      <c r="V147" s="9">
        <v>0.0</v>
      </c>
      <c r="W147" s="9">
        <v>0.0</v>
      </c>
      <c r="X147" s="9">
        <v>0.0</v>
      </c>
      <c r="Y147" s="9">
        <v>0.0</v>
      </c>
      <c r="Z147" s="9">
        <v>0.0</v>
      </c>
      <c r="AA147" s="9">
        <v>0.0</v>
      </c>
      <c r="AB147" s="9">
        <v>0.0</v>
      </c>
      <c r="AC147" s="9">
        <v>0.0</v>
      </c>
      <c r="AD147" s="9"/>
      <c r="AE147" s="9" t="s">
        <v>9</v>
      </c>
    </row>
    <row r="148">
      <c r="A148" s="7" t="s">
        <v>665</v>
      </c>
      <c r="B148" s="7" t="s">
        <v>666</v>
      </c>
      <c r="C148" s="8">
        <v>46059.0</v>
      </c>
      <c r="D148" s="8">
        <v>46065.0</v>
      </c>
      <c r="E148" s="7" t="s">
        <v>416</v>
      </c>
      <c r="F148" s="7" t="s">
        <v>667</v>
      </c>
      <c r="G148" s="7" t="s">
        <v>355</v>
      </c>
      <c r="H148" s="9">
        <v>123423.0</v>
      </c>
      <c r="I148" s="9">
        <v>0.0</v>
      </c>
      <c r="J148" s="9">
        <v>452.0</v>
      </c>
      <c r="K148" s="9">
        <v>80174.0</v>
      </c>
      <c r="L148" s="10">
        <v>1.5394392196971587</v>
      </c>
      <c r="M148" s="9">
        <v>1.5394392196971587</v>
      </c>
      <c r="N148" s="9">
        <v>37390.0</v>
      </c>
      <c r="O148" s="9">
        <v>36747.0</v>
      </c>
      <c r="P148" s="9">
        <v>10191.0</v>
      </c>
      <c r="Q148" s="9">
        <v>174.0</v>
      </c>
      <c r="R148" s="9">
        <v>100.0</v>
      </c>
      <c r="S148" s="9">
        <v>100.0</v>
      </c>
      <c r="T148" s="9">
        <v>19.0</v>
      </c>
      <c r="U148" s="9">
        <v>18.0</v>
      </c>
      <c r="V148" s="9">
        <v>0.0</v>
      </c>
      <c r="W148" s="9">
        <v>0.0</v>
      </c>
      <c r="X148" s="9">
        <v>0.0</v>
      </c>
      <c r="Y148" s="9">
        <v>0.0</v>
      </c>
      <c r="Z148" s="9">
        <v>0.0</v>
      </c>
      <c r="AA148" s="9">
        <v>0.0</v>
      </c>
      <c r="AB148" s="9">
        <v>0.0</v>
      </c>
      <c r="AC148" s="9">
        <v>0.0</v>
      </c>
      <c r="AD148" s="9"/>
      <c r="AE148" s="9" t="s">
        <v>9</v>
      </c>
    </row>
    <row r="149">
      <c r="A149" s="7" t="s">
        <v>668</v>
      </c>
      <c r="B149" s="7" t="s">
        <v>669</v>
      </c>
      <c r="C149" s="8">
        <v>46058.0</v>
      </c>
      <c r="D149" s="8">
        <v>46081.0</v>
      </c>
      <c r="E149" s="7" t="s">
        <v>416</v>
      </c>
      <c r="F149" s="7" t="s">
        <v>417</v>
      </c>
      <c r="G149" s="7" t="s">
        <v>355</v>
      </c>
      <c r="H149" s="9">
        <v>513183.0</v>
      </c>
      <c r="I149" s="9">
        <v>220030.0</v>
      </c>
      <c r="J149" s="9">
        <v>4566.0</v>
      </c>
      <c r="K149" s="9">
        <v>25626.0</v>
      </c>
      <c r="L149" s="10">
        <v>4.684539139936002</v>
      </c>
      <c r="M149" s="9">
        <v>20.025872161086397</v>
      </c>
      <c r="N149" s="9">
        <v>28308.0</v>
      </c>
      <c r="O149" s="9">
        <v>27874.0</v>
      </c>
      <c r="P149" s="9">
        <v>7731.0</v>
      </c>
      <c r="Q149" s="9">
        <v>286.0</v>
      </c>
      <c r="R149" s="9">
        <v>7946.0</v>
      </c>
      <c r="S149" s="9">
        <v>7945.0</v>
      </c>
      <c r="T149" s="9">
        <v>1769.0</v>
      </c>
      <c r="U149" s="9">
        <v>1314.0</v>
      </c>
      <c r="V149" s="9">
        <v>16073.0</v>
      </c>
      <c r="W149" s="9">
        <v>16073.0</v>
      </c>
      <c r="X149" s="9">
        <v>14277.0</v>
      </c>
      <c r="Y149" s="9">
        <v>5609.0</v>
      </c>
      <c r="Z149" s="9">
        <v>81.0</v>
      </c>
      <c r="AA149" s="9">
        <v>0.0</v>
      </c>
      <c r="AB149" s="9">
        <v>0.0</v>
      </c>
      <c r="AC149" s="9">
        <v>0.0</v>
      </c>
      <c r="AD149" s="9"/>
      <c r="AE149" s="9" t="s">
        <v>9</v>
      </c>
    </row>
    <row r="150">
      <c r="A150" s="7" t="s">
        <v>670</v>
      </c>
      <c r="B150" s="7" t="s">
        <v>671</v>
      </c>
      <c r="C150" s="8">
        <v>46058.0</v>
      </c>
      <c r="D150" s="8">
        <v>46085.0</v>
      </c>
      <c r="E150" s="7" t="s">
        <v>416</v>
      </c>
      <c r="F150" s="7" t="s">
        <v>417</v>
      </c>
      <c r="G150" s="7" t="s">
        <v>355</v>
      </c>
      <c r="H150" s="9">
        <v>1700270.0</v>
      </c>
      <c r="I150" s="9">
        <v>371228.0</v>
      </c>
      <c r="J150" s="9">
        <v>7822.0</v>
      </c>
      <c r="K150" s="9">
        <v>42089.0</v>
      </c>
      <c r="L150" s="10">
        <v>5.173893416332058</v>
      </c>
      <c r="M150" s="9">
        <v>40.397015847371044</v>
      </c>
      <c r="N150" s="9">
        <v>15279.0</v>
      </c>
      <c r="O150" s="9">
        <v>14878.0</v>
      </c>
      <c r="P150" s="9">
        <v>2447.0</v>
      </c>
      <c r="Q150" s="9">
        <v>147.0</v>
      </c>
      <c r="R150" s="9">
        <v>7779.0</v>
      </c>
      <c r="S150" s="9">
        <v>6871.0</v>
      </c>
      <c r="T150" s="9">
        <v>1089.0</v>
      </c>
      <c r="U150" s="9">
        <v>793.0</v>
      </c>
      <c r="V150" s="9">
        <v>6193.0</v>
      </c>
      <c r="W150" s="9">
        <v>6193.0</v>
      </c>
      <c r="X150" s="9">
        <v>5485.0</v>
      </c>
      <c r="Y150" s="9">
        <v>2438.0</v>
      </c>
      <c r="Z150" s="9">
        <v>35.0</v>
      </c>
      <c r="AA150" s="9">
        <v>0.0</v>
      </c>
      <c r="AB150" s="9">
        <v>0.0</v>
      </c>
      <c r="AC150" s="9">
        <v>0.0</v>
      </c>
      <c r="AD150" s="9"/>
      <c r="AE150" s="9" t="s">
        <v>9</v>
      </c>
    </row>
    <row r="151">
      <c r="A151" s="7" t="s">
        <v>672</v>
      </c>
      <c r="B151" s="7" t="s">
        <v>673</v>
      </c>
      <c r="C151" s="8">
        <v>46058.0</v>
      </c>
      <c r="D151" s="8">
        <v>46062.0</v>
      </c>
      <c r="E151" s="7" t="s">
        <v>416</v>
      </c>
      <c r="F151" s="7" t="s">
        <v>387</v>
      </c>
      <c r="G151" s="7" t="s">
        <v>355</v>
      </c>
      <c r="H151" s="9">
        <v>427017.0</v>
      </c>
      <c r="I151" s="9">
        <v>0.0</v>
      </c>
      <c r="J151" s="9">
        <v>784.0</v>
      </c>
      <c r="K151" s="9">
        <v>274739.0</v>
      </c>
      <c r="L151" s="10">
        <v>1.5542642289591213</v>
      </c>
      <c r="M151" s="9">
        <v>1.5542642289591213</v>
      </c>
      <c r="N151" s="9">
        <v>65671.0</v>
      </c>
      <c r="O151" s="9">
        <v>64506.0</v>
      </c>
      <c r="P151" s="9">
        <v>12855.0</v>
      </c>
      <c r="Q151" s="9">
        <v>361.0</v>
      </c>
      <c r="R151" s="9">
        <v>193.0</v>
      </c>
      <c r="S151" s="9">
        <v>193.0</v>
      </c>
      <c r="T151" s="9">
        <v>52.0</v>
      </c>
      <c r="U151" s="9">
        <v>50.0</v>
      </c>
      <c r="V151" s="9">
        <v>0.0</v>
      </c>
      <c r="W151" s="9">
        <v>0.0</v>
      </c>
      <c r="X151" s="9">
        <v>0.0</v>
      </c>
      <c r="Y151" s="9">
        <v>0.0</v>
      </c>
      <c r="Z151" s="9">
        <v>0.0</v>
      </c>
      <c r="AA151" s="9">
        <v>0.0</v>
      </c>
      <c r="AB151" s="9">
        <v>0.0</v>
      </c>
      <c r="AC151" s="9">
        <v>0.0</v>
      </c>
      <c r="AD151" s="9"/>
      <c r="AE151" s="9" t="s">
        <v>9</v>
      </c>
    </row>
    <row r="152">
      <c r="A152" s="7" t="s">
        <v>674</v>
      </c>
      <c r="B152" s="7" t="s">
        <v>675</v>
      </c>
      <c r="C152" s="8">
        <v>46058.0</v>
      </c>
      <c r="D152" s="8">
        <v>46064.0</v>
      </c>
      <c r="E152" s="7" t="s">
        <v>416</v>
      </c>
      <c r="F152" s="7" t="s">
        <v>594</v>
      </c>
      <c r="G152" s="7" t="s">
        <v>355</v>
      </c>
      <c r="H152" s="9">
        <v>40099.0</v>
      </c>
      <c r="I152" s="9">
        <v>0.0</v>
      </c>
      <c r="J152" s="9">
        <v>178.0</v>
      </c>
      <c r="K152" s="9">
        <v>24074.0</v>
      </c>
      <c r="L152" s="10">
        <v>1.6656558943258286</v>
      </c>
      <c r="M152" s="9">
        <v>1.6656558943258286</v>
      </c>
      <c r="N152" s="9">
        <v>19330.0</v>
      </c>
      <c r="O152" s="9">
        <v>18885.0</v>
      </c>
      <c r="P152" s="9">
        <v>2781.0</v>
      </c>
      <c r="Q152" s="9">
        <v>112.0</v>
      </c>
      <c r="R152" s="9">
        <v>48.0</v>
      </c>
      <c r="S152" s="9">
        <v>48.0</v>
      </c>
      <c r="T152" s="9">
        <v>18.0</v>
      </c>
      <c r="U152" s="9">
        <v>17.0</v>
      </c>
      <c r="V152" s="9">
        <v>0.0</v>
      </c>
      <c r="W152" s="9">
        <v>0.0</v>
      </c>
      <c r="X152" s="9">
        <v>0.0</v>
      </c>
      <c r="Y152" s="9">
        <v>0.0</v>
      </c>
      <c r="Z152" s="9">
        <v>0.0</v>
      </c>
      <c r="AA152" s="9">
        <v>0.0</v>
      </c>
      <c r="AB152" s="9">
        <v>0.0</v>
      </c>
      <c r="AC152" s="9">
        <v>0.0</v>
      </c>
      <c r="AD152" s="9"/>
      <c r="AE152" s="9" t="s">
        <v>9</v>
      </c>
    </row>
    <row r="153">
      <c r="A153" s="7" t="s">
        <v>676</v>
      </c>
      <c r="B153" s="7" t="s">
        <v>677</v>
      </c>
      <c r="C153" s="8">
        <v>46059.0</v>
      </c>
      <c r="D153" s="8">
        <v>46065.0</v>
      </c>
      <c r="E153" s="7" t="s">
        <v>416</v>
      </c>
      <c r="F153" s="7" t="s">
        <v>594</v>
      </c>
      <c r="G153" s="7" t="s">
        <v>355</v>
      </c>
      <c r="H153" s="9">
        <v>58913.0</v>
      </c>
      <c r="I153" s="9">
        <v>0.0</v>
      </c>
      <c r="J153" s="9">
        <v>243.0</v>
      </c>
      <c r="K153" s="9">
        <v>37372.0</v>
      </c>
      <c r="L153" s="10">
        <v>1.5763940918334582</v>
      </c>
      <c r="M153" s="9">
        <v>1.5763940918334582</v>
      </c>
      <c r="N153" s="9">
        <v>16256.0</v>
      </c>
      <c r="O153" s="9">
        <v>15898.0</v>
      </c>
      <c r="P153" s="9">
        <v>2257.0</v>
      </c>
      <c r="Q153" s="9">
        <v>138.0</v>
      </c>
      <c r="R153" s="9">
        <v>79.0</v>
      </c>
      <c r="S153" s="9">
        <v>79.0</v>
      </c>
      <c r="T153" s="9">
        <v>18.0</v>
      </c>
      <c r="U153" s="9">
        <v>17.0</v>
      </c>
      <c r="V153" s="9">
        <v>0.0</v>
      </c>
      <c r="W153" s="9">
        <v>0.0</v>
      </c>
      <c r="X153" s="9">
        <v>0.0</v>
      </c>
      <c r="Y153" s="9">
        <v>0.0</v>
      </c>
      <c r="Z153" s="9">
        <v>0.0</v>
      </c>
      <c r="AA153" s="9">
        <v>0.0</v>
      </c>
      <c r="AB153" s="9">
        <v>0.0</v>
      </c>
      <c r="AC153" s="9">
        <v>0.0</v>
      </c>
      <c r="AD153" s="9"/>
      <c r="AE153" s="9" t="s">
        <v>9</v>
      </c>
    </row>
    <row r="154">
      <c r="A154" s="7" t="s">
        <v>678</v>
      </c>
      <c r="B154" s="7" t="s">
        <v>679</v>
      </c>
      <c r="C154" s="8">
        <v>46058.0</v>
      </c>
      <c r="D154" s="8">
        <v>46064.0</v>
      </c>
      <c r="E154" s="7" t="s">
        <v>416</v>
      </c>
      <c r="F154" s="7" t="s">
        <v>354</v>
      </c>
      <c r="G154" s="7" t="s">
        <v>355</v>
      </c>
      <c r="H154" s="9">
        <v>223265.0</v>
      </c>
      <c r="I154" s="9">
        <v>0.0</v>
      </c>
      <c r="J154" s="9">
        <v>704.0</v>
      </c>
      <c r="K154" s="9">
        <v>143474.0</v>
      </c>
      <c r="L154" s="10">
        <v>1.5561356064513432</v>
      </c>
      <c r="M154" s="9">
        <v>1.5561356064513432</v>
      </c>
      <c r="N154" s="9">
        <v>12168.0</v>
      </c>
      <c r="O154" s="9">
        <v>11872.0</v>
      </c>
      <c r="P154" s="9">
        <v>1955.0</v>
      </c>
      <c r="Q154" s="9">
        <v>87.0</v>
      </c>
      <c r="R154" s="9">
        <v>63.0</v>
      </c>
      <c r="S154" s="9">
        <v>63.0</v>
      </c>
      <c r="T154" s="9">
        <v>19.0</v>
      </c>
      <c r="U154" s="9">
        <v>19.0</v>
      </c>
      <c r="V154" s="9">
        <v>0.0</v>
      </c>
      <c r="W154" s="9">
        <v>0.0</v>
      </c>
      <c r="X154" s="9">
        <v>0.0</v>
      </c>
      <c r="Y154" s="9">
        <v>0.0</v>
      </c>
      <c r="Z154" s="9">
        <v>0.0</v>
      </c>
      <c r="AA154" s="9">
        <v>0.0</v>
      </c>
      <c r="AB154" s="9">
        <v>0.0</v>
      </c>
      <c r="AC154" s="9">
        <v>0.0</v>
      </c>
      <c r="AD154" s="9"/>
      <c r="AE154" s="9" t="s">
        <v>9</v>
      </c>
    </row>
    <row r="155">
      <c r="A155" s="7" t="s">
        <v>680</v>
      </c>
      <c r="B155" s="7" t="s">
        <v>681</v>
      </c>
      <c r="C155" s="8">
        <v>46062.0</v>
      </c>
      <c r="D155" s="8">
        <v>46112.0</v>
      </c>
      <c r="E155" s="7" t="s">
        <v>358</v>
      </c>
      <c r="F155" s="7" t="s">
        <v>466</v>
      </c>
      <c r="G155" s="7" t="s">
        <v>355</v>
      </c>
      <c r="H155" s="9">
        <v>6242693.0</v>
      </c>
      <c r="I155" s="9">
        <v>3426502.0</v>
      </c>
      <c r="J155" s="9">
        <v>5362.0</v>
      </c>
      <c r="K155" s="9">
        <v>469329.0</v>
      </c>
      <c r="L155" s="10">
        <v>4.490297850761406</v>
      </c>
      <c r="M155" s="9">
        <v>13.301315282030302</v>
      </c>
      <c r="N155" s="9">
        <v>189744.0</v>
      </c>
      <c r="O155" s="9">
        <v>187584.0</v>
      </c>
      <c r="P155" s="9">
        <v>43935.0</v>
      </c>
      <c r="Q155" s="9">
        <v>745.0</v>
      </c>
      <c r="R155" s="9">
        <v>0.0</v>
      </c>
      <c r="S155" s="9">
        <v>0.0</v>
      </c>
      <c r="T155" s="9">
        <v>0.0</v>
      </c>
      <c r="U155" s="9">
        <v>0.0</v>
      </c>
      <c r="V155" s="9">
        <v>0.0</v>
      </c>
      <c r="W155" s="9">
        <v>0.0</v>
      </c>
      <c r="X155" s="9">
        <v>0.0</v>
      </c>
      <c r="Y155" s="9">
        <v>0.0</v>
      </c>
      <c r="Z155" s="9">
        <v>0.0</v>
      </c>
      <c r="AA155" s="9">
        <v>0.0</v>
      </c>
      <c r="AB155" s="9">
        <v>0.0</v>
      </c>
      <c r="AC155" s="9">
        <v>0.0</v>
      </c>
      <c r="AD155" s="9"/>
      <c r="AE155" s="9" t="s">
        <v>9</v>
      </c>
    </row>
    <row r="156">
      <c r="A156" s="7" t="s">
        <v>682</v>
      </c>
      <c r="B156" s="7" t="s">
        <v>683</v>
      </c>
      <c r="C156" s="8">
        <v>46065.0</v>
      </c>
      <c r="D156" s="8">
        <v>46090.0</v>
      </c>
      <c r="E156" s="7" t="s">
        <v>473</v>
      </c>
      <c r="F156" s="7" t="s">
        <v>474</v>
      </c>
      <c r="G156" s="7" t="s">
        <v>355</v>
      </c>
      <c r="H156" s="9">
        <v>0.0</v>
      </c>
      <c r="I156" s="9">
        <v>0.0</v>
      </c>
      <c r="J156" s="9">
        <v>0.0</v>
      </c>
      <c r="K156" s="9">
        <v>0.0</v>
      </c>
      <c r="L156" s="10">
        <v>0.0</v>
      </c>
      <c r="M156" s="9">
        <v>0.0</v>
      </c>
      <c r="N156" s="9">
        <v>1857.0</v>
      </c>
      <c r="O156" s="9">
        <v>1829.0</v>
      </c>
      <c r="P156" s="9">
        <v>561.0</v>
      </c>
      <c r="Q156" s="9">
        <v>81.0</v>
      </c>
      <c r="R156" s="9">
        <v>0.0</v>
      </c>
      <c r="S156" s="9">
        <v>0.0</v>
      </c>
      <c r="T156" s="9">
        <v>0.0</v>
      </c>
      <c r="U156" s="9">
        <v>0.0</v>
      </c>
      <c r="V156" s="9">
        <v>0.0</v>
      </c>
      <c r="W156" s="9">
        <v>0.0</v>
      </c>
      <c r="X156" s="9">
        <v>0.0</v>
      </c>
      <c r="Y156" s="9">
        <v>0.0</v>
      </c>
      <c r="Z156" s="9">
        <v>0.0</v>
      </c>
      <c r="AA156" s="9">
        <v>0.0</v>
      </c>
      <c r="AB156" s="9">
        <v>0.0</v>
      </c>
      <c r="AC156" s="9">
        <v>0.0</v>
      </c>
      <c r="AD156" s="9"/>
      <c r="AE156" s="9" t="s">
        <v>9</v>
      </c>
    </row>
    <row r="157">
      <c r="A157" s="7" t="s">
        <v>684</v>
      </c>
      <c r="B157" s="7" t="s">
        <v>685</v>
      </c>
      <c r="C157" s="8">
        <v>46058.0</v>
      </c>
      <c r="D157" s="8">
        <v>46061.0</v>
      </c>
      <c r="E157" s="7" t="s">
        <v>364</v>
      </c>
      <c r="F157" s="7" t="s">
        <v>365</v>
      </c>
      <c r="G157" s="7" t="s">
        <v>355</v>
      </c>
      <c r="H157" s="9">
        <v>545284.0</v>
      </c>
      <c r="I157" s="9">
        <v>0.0</v>
      </c>
      <c r="J157" s="9">
        <v>563.0</v>
      </c>
      <c r="K157" s="9">
        <v>274514.0</v>
      </c>
      <c r="L157" s="10">
        <v>1.9863613513336296</v>
      </c>
      <c r="M157" s="9">
        <v>1.9863613513336296</v>
      </c>
      <c r="N157" s="9">
        <v>0.0</v>
      </c>
      <c r="O157" s="9">
        <v>0.0</v>
      </c>
      <c r="P157" s="9">
        <v>0.0</v>
      </c>
      <c r="Q157" s="9">
        <v>0.0</v>
      </c>
      <c r="R157" s="9">
        <v>0.0</v>
      </c>
      <c r="S157" s="9">
        <v>0.0</v>
      </c>
      <c r="T157" s="9">
        <v>0.0</v>
      </c>
      <c r="U157" s="9">
        <v>0.0</v>
      </c>
      <c r="V157" s="9">
        <v>0.0</v>
      </c>
      <c r="W157" s="9">
        <v>0.0</v>
      </c>
      <c r="X157" s="9">
        <v>0.0</v>
      </c>
      <c r="Y157" s="9">
        <v>0.0</v>
      </c>
      <c r="Z157" s="9">
        <v>0.0</v>
      </c>
      <c r="AA157" s="9">
        <v>0.0</v>
      </c>
      <c r="AB157" s="9">
        <v>0.0</v>
      </c>
      <c r="AC157" s="9">
        <v>0.0</v>
      </c>
      <c r="AD157" s="9"/>
      <c r="AE157" s="9"/>
    </row>
    <row r="158">
      <c r="A158" s="7" t="s">
        <v>686</v>
      </c>
      <c r="B158" s="7" t="s">
        <v>687</v>
      </c>
      <c r="C158" s="8">
        <v>46071.0</v>
      </c>
      <c r="D158" s="8">
        <v>46080.0</v>
      </c>
      <c r="E158" s="7" t="s">
        <v>473</v>
      </c>
      <c r="F158" s="7" t="s">
        <v>688</v>
      </c>
      <c r="G158" s="7" t="s">
        <v>355</v>
      </c>
      <c r="H158" s="9">
        <v>1006456.0</v>
      </c>
      <c r="I158" s="9">
        <v>230853.0</v>
      </c>
      <c r="J158" s="9">
        <v>1038.0</v>
      </c>
      <c r="K158" s="9">
        <v>194008.0</v>
      </c>
      <c r="L158" s="10">
        <v>1.4523524803100902</v>
      </c>
      <c r="M158" s="9">
        <v>5.187703599851552</v>
      </c>
      <c r="N158" s="9">
        <v>0.0</v>
      </c>
      <c r="O158" s="9">
        <v>0.0</v>
      </c>
      <c r="P158" s="9">
        <v>0.0</v>
      </c>
      <c r="Q158" s="9">
        <v>0.0</v>
      </c>
      <c r="R158" s="9">
        <v>0.0</v>
      </c>
      <c r="S158" s="9">
        <v>0.0</v>
      </c>
      <c r="T158" s="9">
        <v>0.0</v>
      </c>
      <c r="U158" s="9">
        <v>0.0</v>
      </c>
      <c r="V158" s="9">
        <v>0.0</v>
      </c>
      <c r="W158" s="9">
        <v>0.0</v>
      </c>
      <c r="X158" s="9">
        <v>0.0</v>
      </c>
      <c r="Y158" s="9">
        <v>0.0</v>
      </c>
      <c r="Z158" s="9">
        <v>0.0</v>
      </c>
      <c r="AA158" s="9">
        <v>0.0</v>
      </c>
      <c r="AB158" s="9">
        <v>0.0</v>
      </c>
      <c r="AC158" s="9">
        <v>0.0</v>
      </c>
      <c r="AD158" s="9"/>
      <c r="AE158" s="9"/>
    </row>
    <row r="159">
      <c r="A159" s="7" t="s">
        <v>689</v>
      </c>
      <c r="B159" s="7" t="s">
        <v>690</v>
      </c>
      <c r="C159" s="8">
        <v>46073.0</v>
      </c>
      <c r="D159" s="8">
        <v>46112.0</v>
      </c>
      <c r="E159" s="7" t="s">
        <v>353</v>
      </c>
      <c r="F159" s="7" t="s">
        <v>378</v>
      </c>
      <c r="G159" s="7" t="s">
        <v>355</v>
      </c>
      <c r="H159" s="9">
        <v>1934074.0</v>
      </c>
      <c r="I159" s="9">
        <v>0.0</v>
      </c>
      <c r="J159" s="9">
        <v>16775.0</v>
      </c>
      <c r="K159" s="9">
        <v>299697.0</v>
      </c>
      <c r="L159" s="10">
        <v>4.819517712890019</v>
      </c>
      <c r="M159" s="9">
        <v>6.453431298945268</v>
      </c>
      <c r="N159" s="9">
        <v>105784.0</v>
      </c>
      <c r="O159" s="9">
        <v>104725.0</v>
      </c>
      <c r="P159" s="9">
        <v>40872.0</v>
      </c>
      <c r="Q159" s="9">
        <v>900.0</v>
      </c>
      <c r="R159" s="9">
        <v>0.0</v>
      </c>
      <c r="S159" s="9">
        <v>0.0</v>
      </c>
      <c r="T159" s="9">
        <v>0.0</v>
      </c>
      <c r="U159" s="9">
        <v>0.0</v>
      </c>
      <c r="V159" s="9">
        <v>0.0</v>
      </c>
      <c r="W159" s="9">
        <v>0.0</v>
      </c>
      <c r="X159" s="9">
        <v>0.0</v>
      </c>
      <c r="Y159" s="9">
        <v>0.0</v>
      </c>
      <c r="Z159" s="9">
        <v>0.0</v>
      </c>
      <c r="AA159" s="9">
        <v>0.0</v>
      </c>
      <c r="AB159" s="9">
        <v>0.0</v>
      </c>
      <c r="AC159" s="9">
        <v>0.0</v>
      </c>
      <c r="AD159" s="9"/>
      <c r="AE159" s="9" t="s">
        <v>9</v>
      </c>
    </row>
    <row r="160">
      <c r="A160" s="7" t="s">
        <v>691</v>
      </c>
      <c r="B160" s="7" t="s">
        <v>692</v>
      </c>
      <c r="C160" s="8">
        <v>46062.0</v>
      </c>
      <c r="D160" s="8">
        <v>46072.0</v>
      </c>
      <c r="E160" s="7" t="s">
        <v>416</v>
      </c>
      <c r="F160" s="7" t="s">
        <v>378</v>
      </c>
      <c r="G160" s="7" t="s">
        <v>355</v>
      </c>
      <c r="H160" s="9">
        <v>290769.0</v>
      </c>
      <c r="I160" s="9">
        <v>0.0</v>
      </c>
      <c r="J160" s="9">
        <v>252.0</v>
      </c>
      <c r="K160" s="9">
        <v>212778.0</v>
      </c>
      <c r="L160" s="10">
        <v>1.3665369540084031</v>
      </c>
      <c r="M160" s="9">
        <v>1.3665369540084031</v>
      </c>
      <c r="N160" s="9">
        <v>52245.0</v>
      </c>
      <c r="O160" s="9">
        <v>51256.0</v>
      </c>
      <c r="P160" s="9">
        <v>13315.0</v>
      </c>
      <c r="Q160" s="9">
        <v>278.0</v>
      </c>
      <c r="R160" s="9">
        <v>149.0</v>
      </c>
      <c r="S160" s="9">
        <v>149.0</v>
      </c>
      <c r="T160" s="9">
        <v>37.0</v>
      </c>
      <c r="U160" s="9">
        <v>36.0</v>
      </c>
      <c r="V160" s="9">
        <v>0.0</v>
      </c>
      <c r="W160" s="9">
        <v>0.0</v>
      </c>
      <c r="X160" s="9">
        <v>0.0</v>
      </c>
      <c r="Y160" s="9">
        <v>0.0</v>
      </c>
      <c r="Z160" s="9">
        <v>0.0</v>
      </c>
      <c r="AA160" s="9">
        <v>0.0</v>
      </c>
      <c r="AB160" s="9">
        <v>0.0</v>
      </c>
      <c r="AC160" s="9">
        <v>0.0</v>
      </c>
      <c r="AD160" s="9"/>
      <c r="AE160" s="9" t="s">
        <v>9</v>
      </c>
    </row>
    <row r="161">
      <c r="A161" s="7" t="s">
        <v>693</v>
      </c>
      <c r="B161" s="7" t="s">
        <v>694</v>
      </c>
      <c r="C161" s="8">
        <v>46064.0</v>
      </c>
      <c r="D161" s="8">
        <v>46081.0</v>
      </c>
      <c r="E161" s="7" t="s">
        <v>358</v>
      </c>
      <c r="F161" s="7" t="s">
        <v>365</v>
      </c>
      <c r="G161" s="7" t="s">
        <v>355</v>
      </c>
      <c r="H161" s="9">
        <v>496654.0</v>
      </c>
      <c r="I161" s="9">
        <v>0.0</v>
      </c>
      <c r="J161" s="9">
        <v>1862.0</v>
      </c>
      <c r="K161" s="9">
        <v>247881.0</v>
      </c>
      <c r="L161" s="10">
        <v>2.003598500893574</v>
      </c>
      <c r="M161" s="9">
        <v>2.003598500893574</v>
      </c>
      <c r="N161" s="9">
        <v>0.0</v>
      </c>
      <c r="O161" s="9">
        <v>0.0</v>
      </c>
      <c r="P161" s="9">
        <v>0.0</v>
      </c>
      <c r="Q161" s="9">
        <v>0.0</v>
      </c>
      <c r="R161" s="9">
        <v>0.0</v>
      </c>
      <c r="S161" s="9">
        <v>0.0</v>
      </c>
      <c r="T161" s="9">
        <v>0.0</v>
      </c>
      <c r="U161" s="9">
        <v>0.0</v>
      </c>
      <c r="V161" s="9">
        <v>0.0</v>
      </c>
      <c r="W161" s="9">
        <v>0.0</v>
      </c>
      <c r="X161" s="9">
        <v>0.0</v>
      </c>
      <c r="Y161" s="9">
        <v>0.0</v>
      </c>
      <c r="Z161" s="9">
        <v>0.0</v>
      </c>
      <c r="AA161" s="9">
        <v>0.0</v>
      </c>
      <c r="AB161" s="9">
        <v>0.0</v>
      </c>
      <c r="AC161" s="9">
        <v>0.0</v>
      </c>
      <c r="AD161" s="9"/>
      <c r="AE161" s="9"/>
    </row>
    <row r="162">
      <c r="A162" s="7" t="s">
        <v>695</v>
      </c>
      <c r="B162" s="7" t="s">
        <v>696</v>
      </c>
      <c r="C162" s="8">
        <v>46033.0</v>
      </c>
      <c r="D162" s="8">
        <v>46078.0</v>
      </c>
      <c r="E162" s="7" t="s">
        <v>358</v>
      </c>
      <c r="F162" s="7" t="s">
        <v>466</v>
      </c>
      <c r="G162" s="7" t="s">
        <v>355</v>
      </c>
      <c r="H162" s="9">
        <v>3821571.0</v>
      </c>
      <c r="I162" s="9">
        <v>2375325.0</v>
      </c>
      <c r="J162" s="9">
        <v>3085.0</v>
      </c>
      <c r="K162" s="9"/>
      <c r="L162" s="10">
        <v>0.0</v>
      </c>
      <c r="M162" s="9">
        <v>0.0</v>
      </c>
      <c r="N162" s="9">
        <v>192611.0</v>
      </c>
      <c r="O162" s="9">
        <v>190508.0</v>
      </c>
      <c r="P162" s="9">
        <v>63723.0</v>
      </c>
      <c r="Q162" s="9">
        <v>1394.0</v>
      </c>
      <c r="R162" s="9">
        <v>0.0</v>
      </c>
      <c r="S162" s="9">
        <v>0.0</v>
      </c>
      <c r="T162" s="9">
        <v>0.0</v>
      </c>
      <c r="U162" s="9">
        <v>0.0</v>
      </c>
      <c r="V162" s="9">
        <v>0.0</v>
      </c>
      <c r="W162" s="9">
        <v>0.0</v>
      </c>
      <c r="X162" s="9">
        <v>0.0</v>
      </c>
      <c r="Y162" s="9">
        <v>0.0</v>
      </c>
      <c r="Z162" s="9">
        <v>0.0</v>
      </c>
      <c r="AA162" s="9">
        <v>0.0</v>
      </c>
      <c r="AB162" s="9">
        <v>0.0</v>
      </c>
      <c r="AC162" s="9">
        <v>0.0</v>
      </c>
      <c r="AD162" s="9"/>
      <c r="AE162" s="9" t="s">
        <v>9</v>
      </c>
    </row>
    <row r="163">
      <c r="A163" s="7" t="s">
        <v>697</v>
      </c>
      <c r="B163" s="7" t="s">
        <v>698</v>
      </c>
      <c r="C163" s="8">
        <v>46065.0</v>
      </c>
      <c r="D163" s="8">
        <v>46079.0</v>
      </c>
      <c r="E163" s="7" t="s">
        <v>404</v>
      </c>
      <c r="F163" s="7" t="s">
        <v>405</v>
      </c>
      <c r="G163" s="7" t="s">
        <v>355</v>
      </c>
      <c r="H163" s="9">
        <v>2785130.0</v>
      </c>
      <c r="I163" s="9">
        <v>10708.0</v>
      </c>
      <c r="J163" s="9">
        <v>4338.0</v>
      </c>
      <c r="K163" s="9">
        <v>318767.0</v>
      </c>
      <c r="L163" s="10">
        <v>3.883322301241973</v>
      </c>
      <c r="M163" s="9">
        <v>8.737196761270772</v>
      </c>
      <c r="N163" s="9">
        <v>186518.0</v>
      </c>
      <c r="O163" s="9">
        <v>173572.0</v>
      </c>
      <c r="P163" s="9">
        <v>72559.0</v>
      </c>
      <c r="Q163" s="9">
        <v>1344.0</v>
      </c>
      <c r="R163" s="9">
        <v>0.0</v>
      </c>
      <c r="S163" s="9">
        <v>0.0</v>
      </c>
      <c r="T163" s="9">
        <v>0.0</v>
      </c>
      <c r="U163" s="9">
        <v>0.0</v>
      </c>
      <c r="V163" s="9">
        <v>0.0</v>
      </c>
      <c r="W163" s="9">
        <v>0.0</v>
      </c>
      <c r="X163" s="9">
        <v>0.0</v>
      </c>
      <c r="Y163" s="9">
        <v>0.0</v>
      </c>
      <c r="Z163" s="9">
        <v>0.0</v>
      </c>
      <c r="AA163" s="9">
        <v>0.0</v>
      </c>
      <c r="AB163" s="9">
        <v>0.0</v>
      </c>
      <c r="AC163" s="9">
        <v>0.0</v>
      </c>
      <c r="AD163" s="9"/>
      <c r="AE163" s="9" t="s">
        <v>9</v>
      </c>
    </row>
    <row r="164">
      <c r="A164" s="7" t="s">
        <v>699</v>
      </c>
      <c r="B164" s="7" t="s">
        <v>700</v>
      </c>
      <c r="C164" s="8">
        <v>46080.0</v>
      </c>
      <c r="D164" s="8">
        <v>46112.0</v>
      </c>
      <c r="E164" s="7" t="s">
        <v>353</v>
      </c>
      <c r="F164" s="7" t="s">
        <v>378</v>
      </c>
      <c r="G164" s="7" t="s">
        <v>355</v>
      </c>
      <c r="H164" s="9">
        <v>958322.0</v>
      </c>
      <c r="I164" s="9">
        <v>0.0</v>
      </c>
      <c r="J164" s="9">
        <v>3586.0</v>
      </c>
      <c r="K164" s="9">
        <v>594706.0</v>
      </c>
      <c r="L164" s="10">
        <v>1.2957360443647785</v>
      </c>
      <c r="M164" s="9">
        <v>1.6114214418553032</v>
      </c>
      <c r="N164" s="9">
        <v>51337.0</v>
      </c>
      <c r="O164" s="9">
        <v>50761.0</v>
      </c>
      <c r="P164" s="9">
        <v>17323.0</v>
      </c>
      <c r="Q164" s="9">
        <v>357.0</v>
      </c>
      <c r="R164" s="9">
        <v>0.0</v>
      </c>
      <c r="S164" s="9">
        <v>0.0</v>
      </c>
      <c r="T164" s="9">
        <v>0.0</v>
      </c>
      <c r="U164" s="9">
        <v>0.0</v>
      </c>
      <c r="V164" s="9">
        <v>0.0</v>
      </c>
      <c r="W164" s="9">
        <v>0.0</v>
      </c>
      <c r="X164" s="9">
        <v>0.0</v>
      </c>
      <c r="Y164" s="9">
        <v>0.0</v>
      </c>
      <c r="Z164" s="9">
        <v>0.0</v>
      </c>
      <c r="AA164" s="9">
        <v>0.0</v>
      </c>
      <c r="AB164" s="9">
        <v>0.0</v>
      </c>
      <c r="AC164" s="9">
        <v>0.0</v>
      </c>
      <c r="AD164" s="9"/>
      <c r="AE164" s="9" t="s">
        <v>9</v>
      </c>
    </row>
    <row r="165">
      <c r="A165" s="7" t="s">
        <v>701</v>
      </c>
      <c r="B165" s="7" t="s">
        <v>702</v>
      </c>
      <c r="C165" s="8">
        <v>46076.0</v>
      </c>
      <c r="D165" s="8">
        <v>46090.0</v>
      </c>
      <c r="E165" s="7" t="s">
        <v>353</v>
      </c>
      <c r="F165" s="7" t="s">
        <v>378</v>
      </c>
      <c r="G165" s="7" t="s">
        <v>355</v>
      </c>
      <c r="H165" s="9">
        <v>1507386.0</v>
      </c>
      <c r="I165" s="9">
        <v>786271.0</v>
      </c>
      <c r="J165" s="9">
        <v>2087.0</v>
      </c>
      <c r="K165" s="9">
        <v>149810.0</v>
      </c>
      <c r="L165" s="10">
        <v>2.021246912756158</v>
      </c>
      <c r="M165" s="9">
        <v>10.061985181229558</v>
      </c>
      <c r="N165" s="9">
        <v>55919.0</v>
      </c>
      <c r="O165" s="9">
        <v>55365.0</v>
      </c>
      <c r="P165" s="9">
        <v>16389.0</v>
      </c>
      <c r="Q165" s="9">
        <v>432.0</v>
      </c>
      <c r="R165" s="9">
        <v>0.0</v>
      </c>
      <c r="S165" s="9">
        <v>0.0</v>
      </c>
      <c r="T165" s="9">
        <v>0.0</v>
      </c>
      <c r="U165" s="9">
        <v>0.0</v>
      </c>
      <c r="V165" s="9">
        <v>0.0</v>
      </c>
      <c r="W165" s="9">
        <v>0.0</v>
      </c>
      <c r="X165" s="9">
        <v>0.0</v>
      </c>
      <c r="Y165" s="9">
        <v>0.0</v>
      </c>
      <c r="Z165" s="9">
        <v>0.0</v>
      </c>
      <c r="AA165" s="9">
        <v>0.0</v>
      </c>
      <c r="AB165" s="9">
        <v>0.0</v>
      </c>
      <c r="AC165" s="9">
        <v>0.0</v>
      </c>
      <c r="AD165" s="9"/>
      <c r="AE165" s="9" t="s">
        <v>9</v>
      </c>
    </row>
    <row r="166">
      <c r="A166" s="7" t="s">
        <v>703</v>
      </c>
      <c r="B166" s="7" t="s">
        <v>704</v>
      </c>
      <c r="C166" s="8">
        <v>46079.0</v>
      </c>
      <c r="D166" s="8">
        <v>46079.0</v>
      </c>
      <c r="E166" s="7" t="s">
        <v>416</v>
      </c>
      <c r="F166" s="7" t="s">
        <v>430</v>
      </c>
      <c r="G166" s="7" t="s">
        <v>355</v>
      </c>
      <c r="H166" s="9">
        <v>0.0</v>
      </c>
      <c r="I166" s="9">
        <v>0.0</v>
      </c>
      <c r="J166" s="9">
        <v>0.0</v>
      </c>
      <c r="K166" s="9">
        <v>0.0</v>
      </c>
      <c r="L166" s="10">
        <v>0.0</v>
      </c>
      <c r="M166" s="9">
        <v>0.0</v>
      </c>
      <c r="N166" s="9">
        <v>87731.0</v>
      </c>
      <c r="O166" s="9">
        <v>86854.0</v>
      </c>
      <c r="P166" s="9">
        <v>26924.0</v>
      </c>
      <c r="Q166" s="9">
        <v>2103.0</v>
      </c>
      <c r="R166" s="9">
        <v>0.0</v>
      </c>
      <c r="S166" s="9">
        <v>0.0</v>
      </c>
      <c r="T166" s="9">
        <v>0.0</v>
      </c>
      <c r="U166" s="9">
        <v>0.0</v>
      </c>
      <c r="V166" s="9">
        <v>0.0</v>
      </c>
      <c r="W166" s="9">
        <v>0.0</v>
      </c>
      <c r="X166" s="9">
        <v>0.0</v>
      </c>
      <c r="Y166" s="9">
        <v>0.0</v>
      </c>
      <c r="Z166" s="9">
        <v>0.0</v>
      </c>
      <c r="AA166" s="9">
        <v>0.0</v>
      </c>
      <c r="AB166" s="9">
        <v>0.0</v>
      </c>
      <c r="AC166" s="9">
        <v>0.0</v>
      </c>
      <c r="AD166" s="9"/>
      <c r="AE166" s="9" t="s">
        <v>9</v>
      </c>
    </row>
    <row r="167">
      <c r="A167" s="7" t="s">
        <v>705</v>
      </c>
      <c r="B167" s="7" t="s">
        <v>706</v>
      </c>
      <c r="C167" s="8">
        <v>46072.0</v>
      </c>
      <c r="D167" s="8">
        <v>46087.0</v>
      </c>
      <c r="E167" s="7" t="s">
        <v>358</v>
      </c>
      <c r="F167" s="7" t="s">
        <v>359</v>
      </c>
      <c r="G167" s="7" t="s">
        <v>355</v>
      </c>
      <c r="H167" s="9">
        <v>123597.0</v>
      </c>
      <c r="I167" s="9">
        <v>0.0</v>
      </c>
      <c r="J167" s="9">
        <v>1.0</v>
      </c>
      <c r="K167" s="9">
        <v>83599.0</v>
      </c>
      <c r="L167" s="10">
        <v>1.4784506991710427</v>
      </c>
      <c r="M167" s="9">
        <v>1.4784506991710427</v>
      </c>
      <c r="N167" s="9">
        <v>70551.0</v>
      </c>
      <c r="O167" s="9">
        <v>69711.0</v>
      </c>
      <c r="P167" s="9">
        <v>23779.0</v>
      </c>
      <c r="Q167" s="9">
        <v>46.0</v>
      </c>
      <c r="R167" s="9">
        <v>0.0</v>
      </c>
      <c r="S167" s="9">
        <v>0.0</v>
      </c>
      <c r="T167" s="9">
        <v>0.0</v>
      </c>
      <c r="U167" s="9">
        <v>0.0</v>
      </c>
      <c r="V167" s="9">
        <v>0.0</v>
      </c>
      <c r="W167" s="9">
        <v>0.0</v>
      </c>
      <c r="X167" s="9">
        <v>0.0</v>
      </c>
      <c r="Y167" s="9">
        <v>0.0</v>
      </c>
      <c r="Z167" s="9">
        <v>0.0</v>
      </c>
      <c r="AA167" s="9">
        <v>0.0</v>
      </c>
      <c r="AB167" s="9">
        <v>0.0</v>
      </c>
      <c r="AC167" s="9">
        <v>0.0</v>
      </c>
      <c r="AD167" s="9"/>
      <c r="AE167" s="9" t="s">
        <v>9</v>
      </c>
    </row>
    <row r="168">
      <c r="A168" s="7" t="s">
        <v>707</v>
      </c>
      <c r="B168" s="7" t="s">
        <v>708</v>
      </c>
      <c r="C168" s="8">
        <v>46072.0</v>
      </c>
      <c r="D168" s="8">
        <v>46072.0</v>
      </c>
      <c r="E168" s="7" t="s">
        <v>404</v>
      </c>
      <c r="F168" s="7" t="s">
        <v>405</v>
      </c>
      <c r="G168" s="7" t="s">
        <v>355</v>
      </c>
      <c r="H168" s="9">
        <v>0.0</v>
      </c>
      <c r="I168" s="9">
        <v>0.0</v>
      </c>
      <c r="J168" s="9">
        <v>0.0</v>
      </c>
      <c r="K168" s="9">
        <v>0.0</v>
      </c>
      <c r="L168" s="10">
        <v>0.0</v>
      </c>
      <c r="M168" s="9">
        <v>0.0</v>
      </c>
      <c r="N168" s="9">
        <v>185244.0</v>
      </c>
      <c r="O168" s="9">
        <v>183070.0</v>
      </c>
      <c r="P168" s="9">
        <v>76523.0</v>
      </c>
      <c r="Q168" s="9">
        <v>756.0</v>
      </c>
      <c r="R168" s="9">
        <v>0.0</v>
      </c>
      <c r="S168" s="9">
        <v>0.0</v>
      </c>
      <c r="T168" s="9">
        <v>0.0</v>
      </c>
      <c r="U168" s="9">
        <v>0.0</v>
      </c>
      <c r="V168" s="9">
        <v>0.0</v>
      </c>
      <c r="W168" s="9">
        <v>0.0</v>
      </c>
      <c r="X168" s="9">
        <v>0.0</v>
      </c>
      <c r="Y168" s="9">
        <v>0.0</v>
      </c>
      <c r="Z168" s="9">
        <v>0.0</v>
      </c>
      <c r="AA168" s="9">
        <v>0.0</v>
      </c>
      <c r="AB168" s="9">
        <v>0.0</v>
      </c>
      <c r="AC168" s="9">
        <v>0.0</v>
      </c>
      <c r="AD168" s="9"/>
      <c r="AE168" s="9" t="s">
        <v>9</v>
      </c>
    </row>
    <row r="169">
      <c r="A169" s="7" t="s">
        <v>709</v>
      </c>
      <c r="B169" s="7" t="s">
        <v>710</v>
      </c>
      <c r="C169" s="8">
        <v>46083.0</v>
      </c>
      <c r="D169" s="8">
        <v>46265.0</v>
      </c>
      <c r="E169" s="7" t="s">
        <v>404</v>
      </c>
      <c r="F169" s="7" t="s">
        <v>667</v>
      </c>
      <c r="G169" s="7" t="s">
        <v>410</v>
      </c>
      <c r="H169" s="9">
        <v>9126132.0</v>
      </c>
      <c r="I169" s="9">
        <v>743013.0</v>
      </c>
      <c r="J169" s="9">
        <v>220043.0</v>
      </c>
      <c r="K169" s="9">
        <v>402275.0</v>
      </c>
      <c r="L169" s="10">
        <v>3.576396743521223</v>
      </c>
      <c r="M169" s="9">
        <v>22.686301659312658</v>
      </c>
      <c r="N169" s="9">
        <v>0.0</v>
      </c>
      <c r="O169" s="9">
        <v>0.0</v>
      </c>
      <c r="P169" s="9">
        <v>0.0</v>
      </c>
      <c r="Q169" s="9">
        <v>0.0</v>
      </c>
      <c r="R169" s="9">
        <v>0.0</v>
      </c>
      <c r="S169" s="9">
        <v>0.0</v>
      </c>
      <c r="T169" s="9">
        <v>0.0</v>
      </c>
      <c r="U169" s="9">
        <v>0.0</v>
      </c>
      <c r="V169" s="9">
        <v>0.0</v>
      </c>
      <c r="W169" s="9">
        <v>0.0</v>
      </c>
      <c r="X169" s="9">
        <v>0.0</v>
      </c>
      <c r="Y169" s="9">
        <v>0.0</v>
      </c>
      <c r="Z169" s="9">
        <v>0.0</v>
      </c>
      <c r="AA169" s="9">
        <v>0.0</v>
      </c>
      <c r="AB169" s="9">
        <v>0.0</v>
      </c>
      <c r="AC169" s="9">
        <v>0.0</v>
      </c>
      <c r="AD169" s="9"/>
      <c r="AE169" s="9"/>
    </row>
    <row r="170">
      <c r="A170" s="7" t="s">
        <v>711</v>
      </c>
      <c r="B170" s="7" t="s">
        <v>712</v>
      </c>
      <c r="C170" s="8">
        <v>46071.0</v>
      </c>
      <c r="D170" s="8">
        <v>46071.0</v>
      </c>
      <c r="E170" s="7" t="s">
        <v>358</v>
      </c>
      <c r="F170" s="7" t="s">
        <v>365</v>
      </c>
      <c r="G170" s="7" t="s">
        <v>355</v>
      </c>
      <c r="H170" s="9">
        <v>0.0</v>
      </c>
      <c r="I170" s="9">
        <v>0.0</v>
      </c>
      <c r="J170" s="9">
        <v>0.0</v>
      </c>
      <c r="K170" s="9">
        <v>0.0</v>
      </c>
      <c r="L170" s="10">
        <v>0.0</v>
      </c>
      <c r="M170" s="9">
        <v>0.0</v>
      </c>
      <c r="N170" s="9">
        <v>12011.0</v>
      </c>
      <c r="O170" s="9">
        <v>11876.0</v>
      </c>
      <c r="P170" s="9">
        <v>3808.0</v>
      </c>
      <c r="Q170" s="9">
        <v>165.0</v>
      </c>
      <c r="R170" s="9">
        <v>0.0</v>
      </c>
      <c r="S170" s="9">
        <v>0.0</v>
      </c>
      <c r="T170" s="9">
        <v>0.0</v>
      </c>
      <c r="U170" s="9">
        <v>0.0</v>
      </c>
      <c r="V170" s="9">
        <v>0.0</v>
      </c>
      <c r="W170" s="9">
        <v>0.0</v>
      </c>
      <c r="X170" s="9">
        <v>0.0</v>
      </c>
      <c r="Y170" s="9">
        <v>0.0</v>
      </c>
      <c r="Z170" s="9">
        <v>0.0</v>
      </c>
      <c r="AA170" s="9">
        <v>0.0</v>
      </c>
      <c r="AB170" s="9">
        <v>0.0</v>
      </c>
      <c r="AC170" s="9">
        <v>0.0</v>
      </c>
      <c r="AD170" s="9"/>
      <c r="AE170" s="9" t="s">
        <v>9</v>
      </c>
    </row>
    <row r="171">
      <c r="A171" s="7" t="s">
        <v>713</v>
      </c>
      <c r="B171" s="7" t="s">
        <v>714</v>
      </c>
      <c r="C171" s="8">
        <v>46079.0</v>
      </c>
      <c r="D171" s="8">
        <v>46115.0</v>
      </c>
      <c r="E171" s="7" t="s">
        <v>353</v>
      </c>
      <c r="F171" s="7" t="s">
        <v>378</v>
      </c>
      <c r="G171" s="7" t="s">
        <v>355</v>
      </c>
      <c r="H171" s="9">
        <v>1.3140755E7</v>
      </c>
      <c r="I171" s="9">
        <v>3915748.0</v>
      </c>
      <c r="J171" s="9">
        <v>27867.0</v>
      </c>
      <c r="K171" s="9">
        <v>508095.0</v>
      </c>
      <c r="L171" s="10">
        <v>3.51186490715319</v>
      </c>
      <c r="M171" s="9">
        <v>25.86279140711875</v>
      </c>
      <c r="N171" s="9">
        <v>441013.0</v>
      </c>
      <c r="O171" s="9">
        <v>434912.0</v>
      </c>
      <c r="P171" s="9">
        <v>71299.0</v>
      </c>
      <c r="Q171" s="9">
        <v>1719.0</v>
      </c>
      <c r="R171" s="9">
        <v>0.0</v>
      </c>
      <c r="S171" s="9">
        <v>0.0</v>
      </c>
      <c r="T171" s="9">
        <v>0.0</v>
      </c>
      <c r="U171" s="9">
        <v>0.0</v>
      </c>
      <c r="V171" s="9">
        <v>0.0</v>
      </c>
      <c r="W171" s="9">
        <v>0.0</v>
      </c>
      <c r="X171" s="9">
        <v>0.0</v>
      </c>
      <c r="Y171" s="9">
        <v>0.0</v>
      </c>
      <c r="Z171" s="9">
        <v>0.0</v>
      </c>
      <c r="AA171" s="9">
        <v>0.0</v>
      </c>
      <c r="AB171" s="9">
        <v>0.0</v>
      </c>
      <c r="AC171" s="9">
        <v>0.0</v>
      </c>
      <c r="AD171" s="9"/>
      <c r="AE171" s="9" t="s">
        <v>9</v>
      </c>
    </row>
    <row r="172">
      <c r="A172" s="7" t="s">
        <v>715</v>
      </c>
      <c r="B172" s="7" t="s">
        <v>716</v>
      </c>
      <c r="C172" s="8">
        <v>46063.0</v>
      </c>
      <c r="D172" s="8">
        <v>46073.0</v>
      </c>
      <c r="E172" s="7" t="s">
        <v>364</v>
      </c>
      <c r="F172" s="7" t="s">
        <v>365</v>
      </c>
      <c r="G172" s="7" t="s">
        <v>355</v>
      </c>
      <c r="H172" s="9">
        <v>257758.0</v>
      </c>
      <c r="I172" s="9">
        <v>0.0</v>
      </c>
      <c r="J172" s="9">
        <v>16.0</v>
      </c>
      <c r="K172" s="9">
        <v>1907063.0</v>
      </c>
      <c r="L172" s="10">
        <v>0.13515966698530674</v>
      </c>
      <c r="M172" s="9">
        <v>0.13515966698530674</v>
      </c>
      <c r="N172" s="9">
        <v>67744.0</v>
      </c>
      <c r="O172" s="9">
        <v>66507.0</v>
      </c>
      <c r="P172" s="9">
        <v>20295.0</v>
      </c>
      <c r="Q172" s="9">
        <v>65.0</v>
      </c>
      <c r="R172" s="9">
        <v>0.0</v>
      </c>
      <c r="S172" s="9">
        <v>0.0</v>
      </c>
      <c r="T172" s="9">
        <v>0.0</v>
      </c>
      <c r="U172" s="9">
        <v>0.0</v>
      </c>
      <c r="V172" s="9">
        <v>0.0</v>
      </c>
      <c r="W172" s="9">
        <v>0.0</v>
      </c>
      <c r="X172" s="9">
        <v>0.0</v>
      </c>
      <c r="Y172" s="9">
        <v>0.0</v>
      </c>
      <c r="Z172" s="9">
        <v>0.0</v>
      </c>
      <c r="AA172" s="9">
        <v>0.0</v>
      </c>
      <c r="AB172" s="9">
        <v>0.0</v>
      </c>
      <c r="AC172" s="9">
        <v>0.0</v>
      </c>
      <c r="AD172" s="9"/>
      <c r="AE172" s="9" t="s">
        <v>9</v>
      </c>
    </row>
    <row r="173">
      <c r="A173" s="7" t="s">
        <v>717</v>
      </c>
      <c r="B173" s="7" t="s">
        <v>718</v>
      </c>
      <c r="C173" s="8">
        <v>46064.0</v>
      </c>
      <c r="D173" s="8">
        <v>46068.0</v>
      </c>
      <c r="E173" s="7" t="s">
        <v>364</v>
      </c>
      <c r="F173" s="7" t="s">
        <v>365</v>
      </c>
      <c r="G173" s="7" t="s">
        <v>355</v>
      </c>
      <c r="H173" s="9">
        <v>55964.0</v>
      </c>
      <c r="I173" s="9">
        <v>0.0</v>
      </c>
      <c r="J173" s="9">
        <v>1209.0</v>
      </c>
      <c r="K173" s="9">
        <v>40497.0</v>
      </c>
      <c r="L173" s="10">
        <v>1.3819295256438748</v>
      </c>
      <c r="M173" s="9">
        <v>1.3819295256438748</v>
      </c>
      <c r="N173" s="9">
        <v>76187.0</v>
      </c>
      <c r="O173" s="9">
        <v>74855.0</v>
      </c>
      <c r="P173" s="9">
        <v>30536.0</v>
      </c>
      <c r="Q173" s="9">
        <v>661.0</v>
      </c>
      <c r="R173" s="9">
        <v>0.0</v>
      </c>
      <c r="S173" s="9">
        <v>0.0</v>
      </c>
      <c r="T173" s="9">
        <v>0.0</v>
      </c>
      <c r="U173" s="9">
        <v>0.0</v>
      </c>
      <c r="V173" s="9">
        <v>0.0</v>
      </c>
      <c r="W173" s="9">
        <v>0.0</v>
      </c>
      <c r="X173" s="9">
        <v>0.0</v>
      </c>
      <c r="Y173" s="9">
        <v>0.0</v>
      </c>
      <c r="Z173" s="9">
        <v>0.0</v>
      </c>
      <c r="AA173" s="9">
        <v>45689.0</v>
      </c>
      <c r="AB173" s="9">
        <v>43898.0</v>
      </c>
      <c r="AC173" s="9">
        <v>1288.0</v>
      </c>
      <c r="AD173" s="9"/>
      <c r="AE173" s="9" t="s">
        <v>9</v>
      </c>
    </row>
    <row r="174">
      <c r="A174" s="7" t="s">
        <v>719</v>
      </c>
      <c r="B174" s="7" t="s">
        <v>720</v>
      </c>
      <c r="C174" s="8">
        <v>46066.0</v>
      </c>
      <c r="D174" s="8">
        <v>46112.0</v>
      </c>
      <c r="E174" s="7" t="s">
        <v>358</v>
      </c>
      <c r="F174" s="7" t="s">
        <v>466</v>
      </c>
      <c r="G174" s="7" t="s">
        <v>355</v>
      </c>
      <c r="H174" s="9">
        <v>2.2257189E7</v>
      </c>
      <c r="I174" s="9">
        <v>1.0622542E7</v>
      </c>
      <c r="J174" s="9">
        <v>20137.0</v>
      </c>
      <c r="K174" s="9">
        <v>31632.0</v>
      </c>
      <c r="L174" s="10">
        <v>58.04685128983308</v>
      </c>
      <c r="M174" s="9">
        <v>703.6288884673748</v>
      </c>
      <c r="N174" s="9">
        <v>389752.0</v>
      </c>
      <c r="O174" s="9">
        <v>387937.0</v>
      </c>
      <c r="P174" s="9">
        <v>206767.0</v>
      </c>
      <c r="Q174" s="9">
        <v>3394.0</v>
      </c>
      <c r="R174" s="9">
        <v>0.0</v>
      </c>
      <c r="S174" s="9">
        <v>0.0</v>
      </c>
      <c r="T174" s="9">
        <v>0.0</v>
      </c>
      <c r="U174" s="9">
        <v>0.0</v>
      </c>
      <c r="V174" s="9">
        <v>0.0</v>
      </c>
      <c r="W174" s="9">
        <v>0.0</v>
      </c>
      <c r="X174" s="9">
        <v>0.0</v>
      </c>
      <c r="Y174" s="9">
        <v>0.0</v>
      </c>
      <c r="Z174" s="9">
        <v>0.0</v>
      </c>
      <c r="AA174" s="9">
        <v>0.0</v>
      </c>
      <c r="AB174" s="9">
        <v>0.0</v>
      </c>
      <c r="AC174" s="9">
        <v>0.0</v>
      </c>
      <c r="AD174" s="9"/>
      <c r="AE174" s="9" t="s">
        <v>9</v>
      </c>
    </row>
    <row r="175">
      <c r="A175" s="7" t="s">
        <v>721</v>
      </c>
      <c r="B175" s="7" t="s">
        <v>722</v>
      </c>
      <c r="C175" s="8">
        <v>46066.0</v>
      </c>
      <c r="D175" s="8">
        <v>46112.0</v>
      </c>
      <c r="E175" s="7" t="s">
        <v>358</v>
      </c>
      <c r="F175" s="7" t="s">
        <v>466</v>
      </c>
      <c r="G175" s="7" t="s">
        <v>355</v>
      </c>
      <c r="H175" s="9">
        <v>7415748.0</v>
      </c>
      <c r="I175" s="9">
        <v>474904.0</v>
      </c>
      <c r="J175" s="9">
        <v>19061.0</v>
      </c>
      <c r="K175" s="9">
        <v>156446.0</v>
      </c>
      <c r="L175" s="10">
        <v>13.380322922925481</v>
      </c>
      <c r="M175" s="9">
        <v>47.401326975442004</v>
      </c>
      <c r="N175" s="9">
        <v>287357.0</v>
      </c>
      <c r="O175" s="9">
        <v>285644.0</v>
      </c>
      <c r="P175" s="9">
        <v>130651.0</v>
      </c>
      <c r="Q175" s="9">
        <v>502.0</v>
      </c>
      <c r="R175" s="9">
        <v>0.0</v>
      </c>
      <c r="S175" s="9">
        <v>0.0</v>
      </c>
      <c r="T175" s="9">
        <v>0.0</v>
      </c>
      <c r="U175" s="9">
        <v>0.0</v>
      </c>
      <c r="V175" s="9">
        <v>0.0</v>
      </c>
      <c r="W175" s="9">
        <v>0.0</v>
      </c>
      <c r="X175" s="9">
        <v>0.0</v>
      </c>
      <c r="Y175" s="9">
        <v>0.0</v>
      </c>
      <c r="Z175" s="9">
        <v>0.0</v>
      </c>
      <c r="AA175" s="9">
        <v>0.0</v>
      </c>
      <c r="AB175" s="9">
        <v>0.0</v>
      </c>
      <c r="AC175" s="9">
        <v>0.0</v>
      </c>
      <c r="AD175" s="9"/>
      <c r="AE175" s="9" t="s">
        <v>9</v>
      </c>
    </row>
    <row r="176">
      <c r="A176" s="7" t="s">
        <v>723</v>
      </c>
      <c r="B176" s="7" t="s">
        <v>724</v>
      </c>
      <c r="C176" s="8">
        <v>46079.0</v>
      </c>
      <c r="D176" s="8">
        <v>46086.0</v>
      </c>
      <c r="E176" s="7" t="s">
        <v>416</v>
      </c>
      <c r="F176" s="7" t="s">
        <v>725</v>
      </c>
      <c r="G176" s="7" t="s">
        <v>355</v>
      </c>
      <c r="H176" s="9">
        <v>31281.0</v>
      </c>
      <c r="I176" s="9">
        <v>0.0</v>
      </c>
      <c r="J176" s="9">
        <v>159.0</v>
      </c>
      <c r="K176" s="9">
        <v>339823.0</v>
      </c>
      <c r="L176" s="10">
        <v>0.09205086177215786</v>
      </c>
      <c r="M176" s="9">
        <v>0.09205086177215786</v>
      </c>
      <c r="N176" s="9">
        <v>28955.0</v>
      </c>
      <c r="O176" s="9">
        <v>28564.0</v>
      </c>
      <c r="P176" s="9">
        <v>5707.0</v>
      </c>
      <c r="Q176" s="9">
        <v>222.0</v>
      </c>
      <c r="R176" s="9">
        <v>0.0</v>
      </c>
      <c r="S176" s="9">
        <v>0.0</v>
      </c>
      <c r="T176" s="9">
        <v>0.0</v>
      </c>
      <c r="U176" s="9">
        <v>0.0</v>
      </c>
      <c r="V176" s="9">
        <v>0.0</v>
      </c>
      <c r="W176" s="9">
        <v>0.0</v>
      </c>
      <c r="X176" s="9">
        <v>0.0</v>
      </c>
      <c r="Y176" s="9">
        <v>0.0</v>
      </c>
      <c r="Z176" s="9">
        <v>0.0</v>
      </c>
      <c r="AA176" s="9">
        <v>0.0</v>
      </c>
      <c r="AB176" s="9">
        <v>0.0</v>
      </c>
      <c r="AC176" s="9">
        <v>0.0</v>
      </c>
      <c r="AD176" s="9"/>
      <c r="AE176" s="9" t="s">
        <v>9</v>
      </c>
    </row>
    <row r="177">
      <c r="A177" s="7" t="s">
        <v>726</v>
      </c>
      <c r="B177" s="7" t="s">
        <v>727</v>
      </c>
      <c r="C177" s="8">
        <v>46065.0</v>
      </c>
      <c r="D177" s="8">
        <v>46086.0</v>
      </c>
      <c r="E177" s="7" t="s">
        <v>416</v>
      </c>
      <c r="F177" s="7" t="s">
        <v>417</v>
      </c>
      <c r="G177" s="7" t="s">
        <v>355</v>
      </c>
      <c r="H177" s="9">
        <v>4006854.0</v>
      </c>
      <c r="I177" s="9">
        <v>1195571.0</v>
      </c>
      <c r="J177" s="9">
        <v>12053.0</v>
      </c>
      <c r="K177" s="9">
        <v>84069.0</v>
      </c>
      <c r="L177" s="10">
        <v>4.132652939847031</v>
      </c>
      <c r="M177" s="9">
        <v>47.66149234557328</v>
      </c>
      <c r="N177" s="9">
        <v>43748.0</v>
      </c>
      <c r="O177" s="9">
        <v>42803.0</v>
      </c>
      <c r="P177" s="9">
        <v>6332.0</v>
      </c>
      <c r="Q177" s="9">
        <v>327.0</v>
      </c>
      <c r="R177" s="9">
        <v>6385.0</v>
      </c>
      <c r="S177" s="9">
        <v>2780.0</v>
      </c>
      <c r="T177" s="9">
        <v>610.0</v>
      </c>
      <c r="U177" s="9">
        <v>480.0</v>
      </c>
      <c r="V177" s="9">
        <v>21453.0</v>
      </c>
      <c r="W177" s="9">
        <v>21453.0</v>
      </c>
      <c r="X177" s="9">
        <v>19026.0</v>
      </c>
      <c r="Y177" s="9">
        <v>8302.0</v>
      </c>
      <c r="Z177" s="9">
        <v>114.0</v>
      </c>
      <c r="AA177" s="9">
        <v>0.0</v>
      </c>
      <c r="AB177" s="9">
        <v>0.0</v>
      </c>
      <c r="AC177" s="9">
        <v>0.0</v>
      </c>
      <c r="AD177" s="9"/>
      <c r="AE177" s="9" t="s">
        <v>9</v>
      </c>
    </row>
    <row r="178">
      <c r="A178" s="7" t="s">
        <v>728</v>
      </c>
      <c r="B178" s="7" t="s">
        <v>729</v>
      </c>
      <c r="C178" s="8">
        <v>46065.0</v>
      </c>
      <c r="D178" s="8">
        <v>46089.0</v>
      </c>
      <c r="E178" s="7" t="s">
        <v>416</v>
      </c>
      <c r="F178" s="7" t="s">
        <v>417</v>
      </c>
      <c r="G178" s="7" t="s">
        <v>355</v>
      </c>
      <c r="H178" s="9">
        <v>2239498.0</v>
      </c>
      <c r="I178" s="9">
        <v>269571.0</v>
      </c>
      <c r="J178" s="9">
        <v>8936.0</v>
      </c>
      <c r="K178" s="9">
        <v>30128.0</v>
      </c>
      <c r="L178" s="10">
        <v>2.5816848114710567</v>
      </c>
      <c r="M178" s="9">
        <v>74.33278013807754</v>
      </c>
      <c r="N178" s="9">
        <v>17439.0</v>
      </c>
      <c r="O178" s="9">
        <v>14942.0</v>
      </c>
      <c r="P178" s="9">
        <v>3865.0</v>
      </c>
      <c r="Q178" s="9">
        <v>192.0</v>
      </c>
      <c r="R178" s="9">
        <v>6286.0</v>
      </c>
      <c r="S178" s="9">
        <v>4681.0</v>
      </c>
      <c r="T178" s="9">
        <v>1086.0</v>
      </c>
      <c r="U178" s="9">
        <v>842.0</v>
      </c>
      <c r="V178" s="9">
        <v>9265.0</v>
      </c>
      <c r="W178" s="9">
        <v>9265.0</v>
      </c>
      <c r="X178" s="9">
        <v>8211.0</v>
      </c>
      <c r="Y178" s="9">
        <v>3582.0</v>
      </c>
      <c r="Z178" s="9">
        <v>52.0</v>
      </c>
      <c r="AA178" s="9">
        <v>0.0</v>
      </c>
      <c r="AB178" s="9">
        <v>0.0</v>
      </c>
      <c r="AC178" s="9">
        <v>0.0</v>
      </c>
      <c r="AD178" s="9"/>
      <c r="AE178" s="9" t="s">
        <v>9</v>
      </c>
    </row>
    <row r="179">
      <c r="A179" s="7" t="s">
        <v>730</v>
      </c>
      <c r="B179" s="7" t="s">
        <v>731</v>
      </c>
      <c r="C179" s="8">
        <v>46065.0</v>
      </c>
      <c r="D179" s="8">
        <v>46089.0</v>
      </c>
      <c r="E179" s="7" t="s">
        <v>416</v>
      </c>
      <c r="F179" s="7" t="s">
        <v>417</v>
      </c>
      <c r="G179" s="7" t="s">
        <v>355</v>
      </c>
      <c r="H179" s="9">
        <v>2235806.0</v>
      </c>
      <c r="I179" s="9">
        <v>456252.0</v>
      </c>
      <c r="J179" s="9">
        <v>10051.0</v>
      </c>
      <c r="K179" s="9">
        <v>30612.0</v>
      </c>
      <c r="L179" s="10">
        <v>5.037632301058409</v>
      </c>
      <c r="M179" s="9">
        <v>73.03691362864237</v>
      </c>
      <c r="N179" s="9">
        <v>15835.0</v>
      </c>
      <c r="O179" s="9">
        <v>15682.0</v>
      </c>
      <c r="P179" s="9">
        <v>3413.0</v>
      </c>
      <c r="Q179" s="9">
        <v>147.0</v>
      </c>
      <c r="R179" s="9">
        <v>4719.0</v>
      </c>
      <c r="S179" s="9">
        <v>1982.0</v>
      </c>
      <c r="T179" s="9">
        <v>432.0</v>
      </c>
      <c r="U179" s="9">
        <v>336.0</v>
      </c>
      <c r="V179" s="9">
        <v>8251.0</v>
      </c>
      <c r="W179" s="9">
        <v>8251.0</v>
      </c>
      <c r="X179" s="9">
        <v>7502.0</v>
      </c>
      <c r="Y179" s="9">
        <v>3225.0</v>
      </c>
      <c r="Z179" s="9">
        <v>68.0</v>
      </c>
      <c r="AA179" s="9">
        <v>0.0</v>
      </c>
      <c r="AB179" s="9">
        <v>0.0</v>
      </c>
      <c r="AC179" s="9">
        <v>0.0</v>
      </c>
      <c r="AD179" s="9"/>
      <c r="AE179" s="9" t="s">
        <v>9</v>
      </c>
    </row>
    <row r="180">
      <c r="A180" s="7" t="s">
        <v>732</v>
      </c>
      <c r="B180" s="7" t="s">
        <v>733</v>
      </c>
      <c r="C180" s="8">
        <v>46065.0</v>
      </c>
      <c r="D180" s="8">
        <v>46072.0</v>
      </c>
      <c r="E180" s="7" t="s">
        <v>416</v>
      </c>
      <c r="F180" s="7" t="s">
        <v>359</v>
      </c>
      <c r="G180" s="7" t="s">
        <v>355</v>
      </c>
      <c r="H180" s="9">
        <v>222469.0</v>
      </c>
      <c r="I180" s="9">
        <v>0.0</v>
      </c>
      <c r="J180" s="9">
        <v>792.0</v>
      </c>
      <c r="K180" s="9">
        <v>135581.0</v>
      </c>
      <c r="L180" s="10">
        <v>1.640856757215244</v>
      </c>
      <c r="M180" s="9">
        <v>1.640856757215244</v>
      </c>
      <c r="N180" s="9">
        <v>88472.0</v>
      </c>
      <c r="O180" s="9">
        <v>75851.0</v>
      </c>
      <c r="P180" s="9">
        <v>16259.0</v>
      </c>
      <c r="Q180" s="9">
        <v>320.0</v>
      </c>
      <c r="R180" s="9">
        <v>0.0</v>
      </c>
      <c r="S180" s="9">
        <v>0.0</v>
      </c>
      <c r="T180" s="9">
        <v>0.0</v>
      </c>
      <c r="U180" s="9">
        <v>0.0</v>
      </c>
      <c r="V180" s="9">
        <v>0.0</v>
      </c>
      <c r="W180" s="9">
        <v>0.0</v>
      </c>
      <c r="X180" s="9">
        <v>0.0</v>
      </c>
      <c r="Y180" s="9">
        <v>0.0</v>
      </c>
      <c r="Z180" s="9">
        <v>0.0</v>
      </c>
      <c r="AA180" s="9">
        <v>0.0</v>
      </c>
      <c r="AB180" s="9">
        <v>0.0</v>
      </c>
      <c r="AC180" s="9">
        <v>0.0</v>
      </c>
      <c r="AD180" s="9"/>
      <c r="AE180" s="9" t="s">
        <v>9</v>
      </c>
    </row>
    <row r="181">
      <c r="A181" s="7" t="s">
        <v>734</v>
      </c>
      <c r="B181" s="7" t="s">
        <v>735</v>
      </c>
      <c r="C181" s="8">
        <v>46066.0</v>
      </c>
      <c r="D181" s="8">
        <v>46074.0</v>
      </c>
      <c r="E181" s="7" t="s">
        <v>416</v>
      </c>
      <c r="F181" s="7" t="s">
        <v>413</v>
      </c>
      <c r="G181" s="7" t="s">
        <v>355</v>
      </c>
      <c r="H181" s="9">
        <v>400915.0</v>
      </c>
      <c r="I181" s="9">
        <v>0.0</v>
      </c>
      <c r="J181" s="9">
        <v>427.0</v>
      </c>
      <c r="K181" s="9">
        <v>287774.0</v>
      </c>
      <c r="L181" s="10">
        <v>1.393159215217497</v>
      </c>
      <c r="M181" s="9">
        <v>1.393159215217497</v>
      </c>
      <c r="N181" s="9">
        <v>52399.0</v>
      </c>
      <c r="O181" s="9">
        <v>48908.0</v>
      </c>
      <c r="P181" s="9">
        <v>13507.0</v>
      </c>
      <c r="Q181" s="9">
        <v>136.0</v>
      </c>
      <c r="R181" s="9">
        <v>0.0</v>
      </c>
      <c r="S181" s="9">
        <v>0.0</v>
      </c>
      <c r="T181" s="9">
        <v>0.0</v>
      </c>
      <c r="U181" s="9">
        <v>0.0</v>
      </c>
      <c r="V181" s="9">
        <v>0.0</v>
      </c>
      <c r="W181" s="9">
        <v>0.0</v>
      </c>
      <c r="X181" s="9">
        <v>0.0</v>
      </c>
      <c r="Y181" s="9">
        <v>0.0</v>
      </c>
      <c r="Z181" s="9">
        <v>0.0</v>
      </c>
      <c r="AA181" s="9">
        <v>0.0</v>
      </c>
      <c r="AB181" s="9">
        <v>0.0</v>
      </c>
      <c r="AC181" s="9">
        <v>0.0</v>
      </c>
      <c r="AD181" s="9"/>
      <c r="AE181" s="9" t="s">
        <v>9</v>
      </c>
    </row>
    <row r="182">
      <c r="A182" s="7" t="s">
        <v>736</v>
      </c>
      <c r="B182" s="7" t="s">
        <v>737</v>
      </c>
      <c r="C182" s="8">
        <v>46066.0</v>
      </c>
      <c r="D182" s="8">
        <v>46073.0</v>
      </c>
      <c r="E182" s="7" t="s">
        <v>416</v>
      </c>
      <c r="F182" s="7" t="s">
        <v>466</v>
      </c>
      <c r="G182" s="7" t="s">
        <v>355</v>
      </c>
      <c r="H182" s="9">
        <v>162917.0</v>
      </c>
      <c r="I182" s="9">
        <v>0.0</v>
      </c>
      <c r="J182" s="9">
        <v>422.0</v>
      </c>
      <c r="K182" s="9">
        <v>103246.0</v>
      </c>
      <c r="L182" s="10">
        <v>1.577949751079945</v>
      </c>
      <c r="M182" s="9">
        <v>1.577949751079945</v>
      </c>
      <c r="N182" s="9">
        <v>80045.0</v>
      </c>
      <c r="O182" s="9">
        <v>78205.0</v>
      </c>
      <c r="P182" s="9">
        <v>16573.0</v>
      </c>
      <c r="Q182" s="9">
        <v>456.0</v>
      </c>
      <c r="R182" s="9">
        <v>178.0</v>
      </c>
      <c r="S182" s="9">
        <v>178.0</v>
      </c>
      <c r="T182" s="9">
        <v>59.0</v>
      </c>
      <c r="U182" s="9">
        <v>57.0</v>
      </c>
      <c r="V182" s="9">
        <v>0.0</v>
      </c>
      <c r="W182" s="9">
        <v>0.0</v>
      </c>
      <c r="X182" s="9">
        <v>0.0</v>
      </c>
      <c r="Y182" s="9">
        <v>0.0</v>
      </c>
      <c r="Z182" s="9">
        <v>0.0</v>
      </c>
      <c r="AA182" s="9">
        <v>0.0</v>
      </c>
      <c r="AB182" s="9">
        <v>0.0</v>
      </c>
      <c r="AC182" s="9">
        <v>0.0</v>
      </c>
      <c r="AD182" s="9"/>
      <c r="AE182" s="9" t="s">
        <v>9</v>
      </c>
    </row>
    <row r="183">
      <c r="A183" s="7" t="s">
        <v>738</v>
      </c>
      <c r="B183" s="7" t="s">
        <v>739</v>
      </c>
      <c r="C183" s="8">
        <v>46066.0</v>
      </c>
      <c r="D183" s="8">
        <v>46073.0</v>
      </c>
      <c r="E183" s="7" t="s">
        <v>416</v>
      </c>
      <c r="F183" s="7" t="s">
        <v>466</v>
      </c>
      <c r="G183" s="7" t="s">
        <v>355</v>
      </c>
      <c r="H183" s="9">
        <v>167734.0</v>
      </c>
      <c r="I183" s="9">
        <v>0.0</v>
      </c>
      <c r="J183" s="9">
        <v>526.0</v>
      </c>
      <c r="K183" s="9">
        <v>107726.0</v>
      </c>
      <c r="L183" s="10">
        <v>1.557042868017006</v>
      </c>
      <c r="M183" s="9">
        <v>1.557042868017006</v>
      </c>
      <c r="N183" s="9">
        <v>71542.0</v>
      </c>
      <c r="O183" s="9">
        <v>68575.0</v>
      </c>
      <c r="P183" s="9">
        <v>10099.0</v>
      </c>
      <c r="Q183" s="9">
        <v>246.0</v>
      </c>
      <c r="R183" s="9">
        <v>134.0</v>
      </c>
      <c r="S183" s="9">
        <v>134.0</v>
      </c>
      <c r="T183" s="9">
        <v>51.0</v>
      </c>
      <c r="U183" s="9">
        <v>50.0</v>
      </c>
      <c r="V183" s="9">
        <v>0.0</v>
      </c>
      <c r="W183" s="9">
        <v>0.0</v>
      </c>
      <c r="X183" s="9">
        <v>0.0</v>
      </c>
      <c r="Y183" s="9">
        <v>0.0</v>
      </c>
      <c r="Z183" s="9">
        <v>0.0</v>
      </c>
      <c r="AA183" s="9">
        <v>0.0</v>
      </c>
      <c r="AB183" s="9">
        <v>0.0</v>
      </c>
      <c r="AC183" s="9">
        <v>0.0</v>
      </c>
      <c r="AD183" s="9"/>
      <c r="AE183" s="9" t="s">
        <v>9</v>
      </c>
    </row>
    <row r="184">
      <c r="A184" s="7" t="s">
        <v>740</v>
      </c>
      <c r="B184" s="7" t="s">
        <v>741</v>
      </c>
      <c r="C184" s="8">
        <v>46066.0</v>
      </c>
      <c r="D184" s="8">
        <v>46073.0</v>
      </c>
      <c r="E184" s="7" t="s">
        <v>416</v>
      </c>
      <c r="F184" s="7" t="s">
        <v>466</v>
      </c>
      <c r="G184" s="7" t="s">
        <v>355</v>
      </c>
      <c r="H184" s="9">
        <v>214672.0</v>
      </c>
      <c r="I184" s="9">
        <v>0.0</v>
      </c>
      <c r="J184" s="9">
        <v>639.0</v>
      </c>
      <c r="K184" s="9">
        <v>140853.0</v>
      </c>
      <c r="L184" s="10">
        <v>1.5240853939923182</v>
      </c>
      <c r="M184" s="9">
        <v>1.5240853939923182</v>
      </c>
      <c r="N184" s="9">
        <v>60117.0</v>
      </c>
      <c r="O184" s="9">
        <v>49122.0</v>
      </c>
      <c r="P184" s="9">
        <v>6522.0</v>
      </c>
      <c r="Q184" s="9">
        <v>133.0</v>
      </c>
      <c r="R184" s="9">
        <v>100.0</v>
      </c>
      <c r="S184" s="9">
        <v>100.0</v>
      </c>
      <c r="T184" s="9">
        <v>32.0</v>
      </c>
      <c r="U184" s="9">
        <v>30.0</v>
      </c>
      <c r="V184" s="9">
        <v>0.0</v>
      </c>
      <c r="W184" s="9">
        <v>0.0</v>
      </c>
      <c r="X184" s="9">
        <v>0.0</v>
      </c>
      <c r="Y184" s="9">
        <v>0.0</v>
      </c>
      <c r="Z184" s="9">
        <v>0.0</v>
      </c>
      <c r="AA184" s="9">
        <v>0.0</v>
      </c>
      <c r="AB184" s="9">
        <v>0.0</v>
      </c>
      <c r="AC184" s="9">
        <v>0.0</v>
      </c>
      <c r="AD184" s="9"/>
      <c r="AE184" s="9" t="s">
        <v>9</v>
      </c>
    </row>
    <row r="185">
      <c r="A185" s="7" t="s">
        <v>742</v>
      </c>
      <c r="B185" s="7" t="s">
        <v>743</v>
      </c>
      <c r="C185" s="8">
        <v>46066.0</v>
      </c>
      <c r="D185" s="8">
        <v>46083.0</v>
      </c>
      <c r="E185" s="7" t="s">
        <v>416</v>
      </c>
      <c r="F185" s="7" t="s">
        <v>466</v>
      </c>
      <c r="G185" s="7" t="s">
        <v>355</v>
      </c>
      <c r="H185" s="9">
        <v>158374.0</v>
      </c>
      <c r="I185" s="9">
        <v>0.0</v>
      </c>
      <c r="J185" s="9">
        <v>493.0</v>
      </c>
      <c r="K185" s="9">
        <v>100677.0</v>
      </c>
      <c r="L185" s="10">
        <v>1.5730901794848873</v>
      </c>
      <c r="M185" s="9">
        <v>1.5730901794848873</v>
      </c>
      <c r="N185" s="9">
        <v>70331.0</v>
      </c>
      <c r="O185" s="9">
        <v>64731.0</v>
      </c>
      <c r="P185" s="9">
        <v>13518.0</v>
      </c>
      <c r="Q185" s="9">
        <v>253.0</v>
      </c>
      <c r="R185" s="9">
        <v>149.0</v>
      </c>
      <c r="S185" s="9">
        <v>149.0</v>
      </c>
      <c r="T185" s="9">
        <v>44.0</v>
      </c>
      <c r="U185" s="9">
        <v>42.0</v>
      </c>
      <c r="V185" s="9">
        <v>0.0</v>
      </c>
      <c r="W185" s="9">
        <v>0.0</v>
      </c>
      <c r="X185" s="9">
        <v>0.0</v>
      </c>
      <c r="Y185" s="9">
        <v>0.0</v>
      </c>
      <c r="Z185" s="9">
        <v>0.0</v>
      </c>
      <c r="AA185" s="9">
        <v>0.0</v>
      </c>
      <c r="AB185" s="9">
        <v>0.0</v>
      </c>
      <c r="AC185" s="9">
        <v>0.0</v>
      </c>
      <c r="AD185" s="9"/>
      <c r="AE185" s="9" t="s">
        <v>9</v>
      </c>
    </row>
    <row r="186">
      <c r="A186" s="7" t="s">
        <v>744</v>
      </c>
      <c r="B186" s="7" t="s">
        <v>745</v>
      </c>
      <c r="C186" s="8">
        <v>46065.0</v>
      </c>
      <c r="D186" s="8">
        <v>46072.0</v>
      </c>
      <c r="E186" s="7" t="s">
        <v>416</v>
      </c>
      <c r="F186" s="7" t="s">
        <v>365</v>
      </c>
      <c r="G186" s="7" t="s">
        <v>355</v>
      </c>
      <c r="H186" s="9">
        <v>372064.0</v>
      </c>
      <c r="I186" s="9">
        <v>0.0</v>
      </c>
      <c r="J186" s="9">
        <v>308.0</v>
      </c>
      <c r="K186" s="9">
        <v>233746.0</v>
      </c>
      <c r="L186" s="10">
        <v>1.591744885473976</v>
      </c>
      <c r="M186" s="9">
        <v>1.591744885473976</v>
      </c>
      <c r="N186" s="9">
        <v>94668.0</v>
      </c>
      <c r="O186" s="9">
        <v>92876.0</v>
      </c>
      <c r="P186" s="9">
        <v>26910.0</v>
      </c>
      <c r="Q186" s="9">
        <v>485.0</v>
      </c>
      <c r="R186" s="9">
        <v>271.0</v>
      </c>
      <c r="S186" s="9">
        <v>270.0</v>
      </c>
      <c r="T186" s="9">
        <v>87.0</v>
      </c>
      <c r="U186" s="9">
        <v>84.0</v>
      </c>
      <c r="V186" s="9">
        <v>0.0</v>
      </c>
      <c r="W186" s="9">
        <v>0.0</v>
      </c>
      <c r="X186" s="9">
        <v>0.0</v>
      </c>
      <c r="Y186" s="9">
        <v>0.0</v>
      </c>
      <c r="Z186" s="9">
        <v>0.0</v>
      </c>
      <c r="AA186" s="9">
        <v>0.0</v>
      </c>
      <c r="AB186" s="9">
        <v>0.0</v>
      </c>
      <c r="AC186" s="9">
        <v>0.0</v>
      </c>
      <c r="AD186" s="9"/>
      <c r="AE186" s="9" t="s">
        <v>9</v>
      </c>
    </row>
    <row r="187">
      <c r="A187" s="7" t="s">
        <v>746</v>
      </c>
      <c r="B187" s="7" t="s">
        <v>747</v>
      </c>
      <c r="C187" s="8">
        <v>46067.0</v>
      </c>
      <c r="D187" s="8">
        <v>46076.0</v>
      </c>
      <c r="E187" s="7" t="s">
        <v>416</v>
      </c>
      <c r="F187" s="7" t="s">
        <v>417</v>
      </c>
      <c r="G187" s="7" t="s">
        <v>355</v>
      </c>
      <c r="H187" s="9">
        <v>36968.0</v>
      </c>
      <c r="I187" s="9">
        <v>0.0</v>
      </c>
      <c r="J187" s="9">
        <v>156.0</v>
      </c>
      <c r="K187" s="9">
        <v>33864.0</v>
      </c>
      <c r="L187" s="10">
        <v>1.091660760689818</v>
      </c>
      <c r="M187" s="9">
        <v>1.091660760689818</v>
      </c>
      <c r="N187" s="9">
        <v>6328.0</v>
      </c>
      <c r="O187" s="9">
        <v>5658.0</v>
      </c>
      <c r="P187" s="9">
        <v>1324.0</v>
      </c>
      <c r="Q187" s="9">
        <v>81.0</v>
      </c>
      <c r="R187" s="9">
        <v>50.0</v>
      </c>
      <c r="S187" s="9">
        <v>50.0</v>
      </c>
      <c r="T187" s="9">
        <v>21.0</v>
      </c>
      <c r="U187" s="9">
        <v>19.0</v>
      </c>
      <c r="V187" s="9">
        <v>0.0</v>
      </c>
      <c r="W187" s="9">
        <v>0.0</v>
      </c>
      <c r="X187" s="9">
        <v>0.0</v>
      </c>
      <c r="Y187" s="9">
        <v>0.0</v>
      </c>
      <c r="Z187" s="9">
        <v>0.0</v>
      </c>
      <c r="AA187" s="9">
        <v>0.0</v>
      </c>
      <c r="AB187" s="9">
        <v>0.0</v>
      </c>
      <c r="AC187" s="9">
        <v>0.0</v>
      </c>
      <c r="AD187" s="9"/>
      <c r="AE187" s="9" t="s">
        <v>9</v>
      </c>
    </row>
    <row r="188">
      <c r="A188" s="7" t="s">
        <v>748</v>
      </c>
      <c r="B188" s="7" t="s">
        <v>749</v>
      </c>
      <c r="C188" s="8">
        <v>46066.0</v>
      </c>
      <c r="D188" s="8">
        <v>46072.0</v>
      </c>
      <c r="E188" s="7" t="s">
        <v>416</v>
      </c>
      <c r="F188" s="7" t="s">
        <v>725</v>
      </c>
      <c r="G188" s="7" t="s">
        <v>355</v>
      </c>
      <c r="H188" s="9">
        <v>472474.0</v>
      </c>
      <c r="I188" s="9">
        <v>0.0</v>
      </c>
      <c r="J188" s="9">
        <v>733.0</v>
      </c>
      <c r="K188" s="9">
        <v>343375.0</v>
      </c>
      <c r="L188" s="10">
        <v>1.3759708773207135</v>
      </c>
      <c r="M188" s="9">
        <v>1.3759708773207135</v>
      </c>
      <c r="N188" s="9">
        <v>41575.0</v>
      </c>
      <c r="O188" s="9">
        <v>37758.0</v>
      </c>
      <c r="P188" s="9">
        <v>6029.0</v>
      </c>
      <c r="Q188" s="9">
        <v>228.0</v>
      </c>
      <c r="R188" s="9">
        <v>0.0</v>
      </c>
      <c r="S188" s="9">
        <v>0.0</v>
      </c>
      <c r="T188" s="9">
        <v>0.0</v>
      </c>
      <c r="U188" s="9">
        <v>0.0</v>
      </c>
      <c r="V188" s="9">
        <v>0.0</v>
      </c>
      <c r="W188" s="9">
        <v>0.0</v>
      </c>
      <c r="X188" s="9">
        <v>0.0</v>
      </c>
      <c r="Y188" s="9">
        <v>0.0</v>
      </c>
      <c r="Z188" s="9">
        <v>0.0</v>
      </c>
      <c r="AA188" s="9">
        <v>0.0</v>
      </c>
      <c r="AB188" s="9">
        <v>0.0</v>
      </c>
      <c r="AC188" s="9">
        <v>0.0</v>
      </c>
      <c r="AD188" s="9"/>
      <c r="AE188" s="9" t="s">
        <v>9</v>
      </c>
    </row>
    <row r="189">
      <c r="A189" s="7" t="s">
        <v>750</v>
      </c>
      <c r="B189" s="7" t="s">
        <v>751</v>
      </c>
      <c r="C189" s="8">
        <v>46071.0</v>
      </c>
      <c r="D189" s="8">
        <v>46071.0</v>
      </c>
      <c r="E189" s="7" t="s">
        <v>473</v>
      </c>
      <c r="F189" s="7" t="s">
        <v>474</v>
      </c>
      <c r="G189" s="7" t="s">
        <v>355</v>
      </c>
      <c r="H189" s="9">
        <v>0.0</v>
      </c>
      <c r="I189" s="9">
        <v>0.0</v>
      </c>
      <c r="J189" s="9">
        <v>0.0</v>
      </c>
      <c r="K189" s="9">
        <v>0.0</v>
      </c>
      <c r="L189" s="10">
        <v>0.0</v>
      </c>
      <c r="M189" s="9">
        <v>0.0</v>
      </c>
      <c r="N189" s="9">
        <v>287.0</v>
      </c>
      <c r="O189" s="9">
        <v>283.0</v>
      </c>
      <c r="P189" s="9">
        <v>135.0</v>
      </c>
      <c r="Q189" s="9">
        <v>14.0</v>
      </c>
      <c r="R189" s="9">
        <v>0.0</v>
      </c>
      <c r="S189" s="9">
        <v>0.0</v>
      </c>
      <c r="T189" s="9">
        <v>0.0</v>
      </c>
      <c r="U189" s="9">
        <v>0.0</v>
      </c>
      <c r="V189" s="9">
        <v>0.0</v>
      </c>
      <c r="W189" s="9">
        <v>0.0</v>
      </c>
      <c r="X189" s="9">
        <v>0.0</v>
      </c>
      <c r="Y189" s="9">
        <v>0.0</v>
      </c>
      <c r="Z189" s="9">
        <v>0.0</v>
      </c>
      <c r="AA189" s="9">
        <v>0.0</v>
      </c>
      <c r="AB189" s="9">
        <v>0.0</v>
      </c>
      <c r="AC189" s="9">
        <v>0.0</v>
      </c>
      <c r="AD189" s="9"/>
      <c r="AE189" s="9" t="s">
        <v>9</v>
      </c>
    </row>
    <row r="190">
      <c r="A190" s="7" t="s">
        <v>752</v>
      </c>
      <c r="B190" s="7" t="s">
        <v>753</v>
      </c>
      <c r="C190" s="8">
        <v>46071.0</v>
      </c>
      <c r="D190" s="8">
        <v>46071.0</v>
      </c>
      <c r="E190" s="7" t="s">
        <v>353</v>
      </c>
      <c r="F190" s="7" t="s">
        <v>378</v>
      </c>
      <c r="G190" s="7" t="s">
        <v>355</v>
      </c>
      <c r="H190" s="9">
        <v>0.0</v>
      </c>
      <c r="I190" s="9">
        <v>0.0</v>
      </c>
      <c r="J190" s="9">
        <v>0.0</v>
      </c>
      <c r="K190" s="9">
        <v>0.0</v>
      </c>
      <c r="L190" s="10">
        <v>0.0</v>
      </c>
      <c r="M190" s="9">
        <v>0.0</v>
      </c>
      <c r="N190" s="9">
        <v>7006.0</v>
      </c>
      <c r="O190" s="9">
        <v>6982.0</v>
      </c>
      <c r="P190" s="9">
        <v>3055.0</v>
      </c>
      <c r="Q190" s="9">
        <v>1.0</v>
      </c>
      <c r="R190" s="9">
        <v>0.0</v>
      </c>
      <c r="S190" s="9">
        <v>0.0</v>
      </c>
      <c r="T190" s="9">
        <v>0.0</v>
      </c>
      <c r="U190" s="9">
        <v>0.0</v>
      </c>
      <c r="V190" s="9">
        <v>0.0</v>
      </c>
      <c r="W190" s="9">
        <v>0.0</v>
      </c>
      <c r="X190" s="9">
        <v>0.0</v>
      </c>
      <c r="Y190" s="9">
        <v>0.0</v>
      </c>
      <c r="Z190" s="9">
        <v>0.0</v>
      </c>
      <c r="AA190" s="9">
        <v>0.0</v>
      </c>
      <c r="AB190" s="9">
        <v>0.0</v>
      </c>
      <c r="AC190" s="9">
        <v>0.0</v>
      </c>
      <c r="AD190" s="9"/>
      <c r="AE190" s="9" t="s">
        <v>9</v>
      </c>
    </row>
    <row r="191">
      <c r="A191" s="7" t="s">
        <v>754</v>
      </c>
      <c r="B191" s="7" t="s">
        <v>755</v>
      </c>
      <c r="C191" s="8">
        <v>46090.0</v>
      </c>
      <c r="D191" s="8">
        <v>46112.0</v>
      </c>
      <c r="E191" s="7" t="s">
        <v>353</v>
      </c>
      <c r="F191" s="7" t="s">
        <v>378</v>
      </c>
      <c r="G191" s="7" t="s">
        <v>355</v>
      </c>
      <c r="H191" s="9">
        <v>1.2201888E7</v>
      </c>
      <c r="I191" s="9">
        <v>2407580.0</v>
      </c>
      <c r="J191" s="9">
        <v>43205.0</v>
      </c>
      <c r="K191" s="9">
        <v>436900.0</v>
      </c>
      <c r="L191" s="10">
        <v>1.8063813229571986</v>
      </c>
      <c r="M191" s="9">
        <v>27.928331425955598</v>
      </c>
      <c r="N191" s="9">
        <v>189329.0</v>
      </c>
      <c r="O191" s="9">
        <v>186575.0</v>
      </c>
      <c r="P191" s="9">
        <v>50991.0</v>
      </c>
      <c r="Q191" s="9">
        <v>1234.0</v>
      </c>
      <c r="R191" s="9">
        <v>0.0</v>
      </c>
      <c r="S191" s="9">
        <v>0.0</v>
      </c>
      <c r="T191" s="9">
        <v>0.0</v>
      </c>
      <c r="U191" s="9">
        <v>0.0</v>
      </c>
      <c r="V191" s="9">
        <v>0.0</v>
      </c>
      <c r="W191" s="9">
        <v>0.0</v>
      </c>
      <c r="X191" s="9">
        <v>0.0</v>
      </c>
      <c r="Y191" s="9">
        <v>0.0</v>
      </c>
      <c r="Z191" s="9">
        <v>0.0</v>
      </c>
      <c r="AA191" s="9">
        <v>0.0</v>
      </c>
      <c r="AB191" s="9">
        <v>0.0</v>
      </c>
      <c r="AC191" s="9">
        <v>0.0</v>
      </c>
      <c r="AD191" s="9"/>
      <c r="AE191" s="9" t="s">
        <v>9</v>
      </c>
    </row>
    <row r="192">
      <c r="A192" s="7" t="s">
        <v>756</v>
      </c>
      <c r="B192" s="7" t="s">
        <v>757</v>
      </c>
      <c r="C192" s="8">
        <v>46066.0</v>
      </c>
      <c r="D192" s="8">
        <v>46070.0</v>
      </c>
      <c r="E192" s="7" t="s">
        <v>364</v>
      </c>
      <c r="F192" s="7" t="s">
        <v>365</v>
      </c>
      <c r="G192" s="7" t="s">
        <v>355</v>
      </c>
      <c r="H192" s="9">
        <v>61511.0</v>
      </c>
      <c r="I192" s="9">
        <v>0.0</v>
      </c>
      <c r="J192" s="9">
        <v>1385.0</v>
      </c>
      <c r="K192" s="9">
        <v>41428.0</v>
      </c>
      <c r="L192" s="10">
        <v>1.4847687554311093</v>
      </c>
      <c r="M192" s="9">
        <v>1.4847687554311093</v>
      </c>
      <c r="N192" s="9">
        <v>0.0</v>
      </c>
      <c r="O192" s="9">
        <v>0.0</v>
      </c>
      <c r="P192" s="9">
        <v>0.0</v>
      </c>
      <c r="Q192" s="9">
        <v>0.0</v>
      </c>
      <c r="R192" s="9">
        <v>0.0</v>
      </c>
      <c r="S192" s="9">
        <v>0.0</v>
      </c>
      <c r="T192" s="9">
        <v>0.0</v>
      </c>
      <c r="U192" s="9">
        <v>0.0</v>
      </c>
      <c r="V192" s="9">
        <v>0.0</v>
      </c>
      <c r="W192" s="9">
        <v>0.0</v>
      </c>
      <c r="X192" s="9">
        <v>0.0</v>
      </c>
      <c r="Y192" s="9">
        <v>0.0</v>
      </c>
      <c r="Z192" s="9">
        <v>0.0</v>
      </c>
      <c r="AA192" s="9">
        <v>0.0</v>
      </c>
      <c r="AB192" s="9">
        <v>0.0</v>
      </c>
      <c r="AC192" s="9">
        <v>0.0</v>
      </c>
      <c r="AD192" s="9"/>
      <c r="AE192" s="9"/>
    </row>
    <row r="193">
      <c r="A193" s="7" t="s">
        <v>758</v>
      </c>
      <c r="B193" s="7" t="s">
        <v>759</v>
      </c>
      <c r="C193" s="8">
        <v>46072.0</v>
      </c>
      <c r="D193" s="8">
        <v>46095.0</v>
      </c>
      <c r="E193" s="7" t="s">
        <v>404</v>
      </c>
      <c r="F193" s="7" t="s">
        <v>760</v>
      </c>
      <c r="G193" s="7" t="s">
        <v>355</v>
      </c>
      <c r="H193" s="9">
        <v>1591461.0</v>
      </c>
      <c r="I193" s="9">
        <v>259354.0</v>
      </c>
      <c r="J193" s="9">
        <v>1835.0</v>
      </c>
      <c r="K193" s="9">
        <v>380647.0</v>
      </c>
      <c r="L193" s="10">
        <v>1.9026368262458393</v>
      </c>
      <c r="M193" s="9">
        <v>4.180936668356772</v>
      </c>
      <c r="N193" s="9">
        <v>74361.0</v>
      </c>
      <c r="O193" s="9">
        <v>73242.0</v>
      </c>
      <c r="P193" s="9">
        <v>21848.0</v>
      </c>
      <c r="Q193" s="9">
        <v>487.0</v>
      </c>
      <c r="R193" s="9">
        <v>0.0</v>
      </c>
      <c r="S193" s="9">
        <v>0.0</v>
      </c>
      <c r="T193" s="9">
        <v>0.0</v>
      </c>
      <c r="U193" s="9">
        <v>0.0</v>
      </c>
      <c r="V193" s="9">
        <v>0.0</v>
      </c>
      <c r="W193" s="9">
        <v>0.0</v>
      </c>
      <c r="X193" s="9">
        <v>0.0</v>
      </c>
      <c r="Y193" s="9">
        <v>0.0</v>
      </c>
      <c r="Z193" s="9">
        <v>0.0</v>
      </c>
      <c r="AA193" s="9">
        <v>0.0</v>
      </c>
      <c r="AB193" s="9">
        <v>0.0</v>
      </c>
      <c r="AC193" s="9">
        <v>0.0</v>
      </c>
      <c r="AD193" s="9"/>
      <c r="AE193" s="9" t="s">
        <v>9</v>
      </c>
    </row>
    <row r="194">
      <c r="A194" s="7" t="s">
        <v>761</v>
      </c>
      <c r="B194" s="7" t="s">
        <v>762</v>
      </c>
      <c r="C194" s="8">
        <v>46083.0</v>
      </c>
      <c r="D194" s="8">
        <v>46112.0</v>
      </c>
      <c r="E194" s="7" t="s">
        <v>404</v>
      </c>
      <c r="F194" s="7" t="s">
        <v>760</v>
      </c>
      <c r="G194" s="7" t="s">
        <v>355</v>
      </c>
      <c r="H194" s="9">
        <v>5026386.0</v>
      </c>
      <c r="I194" s="9">
        <v>1735875.0</v>
      </c>
      <c r="J194" s="9">
        <v>16407.0</v>
      </c>
      <c r="K194" s="9">
        <v>269942.0</v>
      </c>
      <c r="L194" s="10">
        <v>11.019578279778619</v>
      </c>
      <c r="M194" s="9">
        <v>18.620244348786034</v>
      </c>
      <c r="N194" s="9">
        <v>453776.0</v>
      </c>
      <c r="O194" s="9">
        <v>447501.0</v>
      </c>
      <c r="P194" s="9">
        <v>142238.0</v>
      </c>
      <c r="Q194" s="9">
        <v>8386.0</v>
      </c>
      <c r="R194" s="9">
        <v>0.0</v>
      </c>
      <c r="S194" s="9">
        <v>0.0</v>
      </c>
      <c r="T194" s="9">
        <v>0.0</v>
      </c>
      <c r="U194" s="9">
        <v>0.0</v>
      </c>
      <c r="V194" s="9">
        <v>0.0</v>
      </c>
      <c r="W194" s="9">
        <v>0.0</v>
      </c>
      <c r="X194" s="9">
        <v>0.0</v>
      </c>
      <c r="Y194" s="9">
        <v>0.0</v>
      </c>
      <c r="Z194" s="9">
        <v>0.0</v>
      </c>
      <c r="AA194" s="9">
        <v>0.0</v>
      </c>
      <c r="AB194" s="9">
        <v>0.0</v>
      </c>
      <c r="AC194" s="9">
        <v>0.0</v>
      </c>
      <c r="AD194" s="9"/>
      <c r="AE194" s="9" t="s">
        <v>9</v>
      </c>
    </row>
    <row r="195">
      <c r="A195" s="7" t="s">
        <v>763</v>
      </c>
      <c r="B195" s="7" t="s">
        <v>764</v>
      </c>
      <c r="C195" s="8">
        <v>46066.0</v>
      </c>
      <c r="D195" s="8">
        <v>46069.0</v>
      </c>
      <c r="E195" s="7" t="s">
        <v>364</v>
      </c>
      <c r="F195" s="7" t="s">
        <v>365</v>
      </c>
      <c r="G195" s="7" t="s">
        <v>355</v>
      </c>
      <c r="H195" s="9">
        <v>1066647.0</v>
      </c>
      <c r="I195" s="9">
        <v>25477.0</v>
      </c>
      <c r="J195" s="9">
        <v>1435.0</v>
      </c>
      <c r="K195" s="9">
        <v>71769.0</v>
      </c>
      <c r="L195" s="10">
        <v>1.3987236829271692</v>
      </c>
      <c r="M195" s="9">
        <v>14.862224637378254</v>
      </c>
      <c r="N195" s="9">
        <v>0.0</v>
      </c>
      <c r="O195" s="9">
        <v>0.0</v>
      </c>
      <c r="P195" s="9">
        <v>0.0</v>
      </c>
      <c r="Q195" s="9">
        <v>0.0</v>
      </c>
      <c r="R195" s="9">
        <v>0.0</v>
      </c>
      <c r="S195" s="9">
        <v>0.0</v>
      </c>
      <c r="T195" s="9">
        <v>0.0</v>
      </c>
      <c r="U195" s="9">
        <v>0.0</v>
      </c>
      <c r="V195" s="9">
        <v>0.0</v>
      </c>
      <c r="W195" s="9">
        <v>0.0</v>
      </c>
      <c r="X195" s="9">
        <v>0.0</v>
      </c>
      <c r="Y195" s="9">
        <v>0.0</v>
      </c>
      <c r="Z195" s="9">
        <v>0.0</v>
      </c>
      <c r="AA195" s="9">
        <v>0.0</v>
      </c>
      <c r="AB195" s="9">
        <v>0.0</v>
      </c>
      <c r="AC195" s="9">
        <v>0.0</v>
      </c>
      <c r="AD195" s="9"/>
      <c r="AE195" s="9"/>
    </row>
    <row r="196">
      <c r="A196" s="7" t="s">
        <v>765</v>
      </c>
      <c r="B196" s="7" t="s">
        <v>766</v>
      </c>
      <c r="C196" s="8">
        <v>46067.0</v>
      </c>
      <c r="D196" s="8">
        <v>46067.0</v>
      </c>
      <c r="E196" s="7" t="s">
        <v>364</v>
      </c>
      <c r="F196" s="7" t="s">
        <v>365</v>
      </c>
      <c r="G196" s="7" t="s">
        <v>355</v>
      </c>
      <c r="H196" s="9">
        <v>0.0</v>
      </c>
      <c r="I196" s="9">
        <v>0.0</v>
      </c>
      <c r="J196" s="9">
        <v>0.0</v>
      </c>
      <c r="K196" s="9">
        <v>0.0</v>
      </c>
      <c r="L196" s="10">
        <v>0.0</v>
      </c>
      <c r="M196" s="9">
        <v>0.0</v>
      </c>
      <c r="N196" s="9">
        <v>124236.0</v>
      </c>
      <c r="O196" s="9">
        <v>121869.0</v>
      </c>
      <c r="P196" s="9">
        <v>49175.0</v>
      </c>
      <c r="Q196" s="9">
        <v>69.0</v>
      </c>
      <c r="R196" s="9">
        <v>0.0</v>
      </c>
      <c r="S196" s="9">
        <v>0.0</v>
      </c>
      <c r="T196" s="9">
        <v>0.0</v>
      </c>
      <c r="U196" s="9">
        <v>0.0</v>
      </c>
      <c r="V196" s="9">
        <v>0.0</v>
      </c>
      <c r="W196" s="9">
        <v>0.0</v>
      </c>
      <c r="X196" s="9">
        <v>0.0</v>
      </c>
      <c r="Y196" s="9">
        <v>0.0</v>
      </c>
      <c r="Z196" s="9">
        <v>0.0</v>
      </c>
      <c r="AA196" s="9">
        <v>0.0</v>
      </c>
      <c r="AB196" s="9">
        <v>0.0</v>
      </c>
      <c r="AC196" s="9">
        <v>0.0</v>
      </c>
      <c r="AD196" s="9"/>
      <c r="AE196" s="9" t="s">
        <v>9</v>
      </c>
    </row>
    <row r="197">
      <c r="A197" s="7" t="s">
        <v>767</v>
      </c>
      <c r="B197" s="7" t="s">
        <v>768</v>
      </c>
      <c r="C197" s="8">
        <v>46071.0</v>
      </c>
      <c r="D197" s="8">
        <v>46112.0</v>
      </c>
      <c r="E197" s="7" t="s">
        <v>358</v>
      </c>
      <c r="F197" s="7" t="s">
        <v>466</v>
      </c>
      <c r="G197" s="7" t="s">
        <v>355</v>
      </c>
      <c r="H197" s="9">
        <v>1790948.0</v>
      </c>
      <c r="I197" s="9">
        <v>1037092.0</v>
      </c>
      <c r="J197" s="9">
        <v>1920.0</v>
      </c>
      <c r="K197" s="9">
        <v>391761.0</v>
      </c>
      <c r="L197" s="10">
        <v>0.9022516279057895</v>
      </c>
      <c r="M197" s="9">
        <v>4.57153213311177</v>
      </c>
      <c r="N197" s="9">
        <v>94397.0</v>
      </c>
      <c r="O197" s="9">
        <v>94031.0</v>
      </c>
      <c r="P197" s="9">
        <v>44138.0</v>
      </c>
      <c r="Q197" s="9">
        <v>246.0</v>
      </c>
      <c r="R197" s="9">
        <v>0.0</v>
      </c>
      <c r="S197" s="9">
        <v>0.0</v>
      </c>
      <c r="T197" s="9">
        <v>0.0</v>
      </c>
      <c r="U197" s="9">
        <v>0.0</v>
      </c>
      <c r="V197" s="9">
        <v>0.0</v>
      </c>
      <c r="W197" s="9">
        <v>0.0</v>
      </c>
      <c r="X197" s="9">
        <v>0.0</v>
      </c>
      <c r="Y197" s="9">
        <v>0.0</v>
      </c>
      <c r="Z197" s="9">
        <v>0.0</v>
      </c>
      <c r="AA197" s="9">
        <v>0.0</v>
      </c>
      <c r="AB197" s="9">
        <v>0.0</v>
      </c>
      <c r="AC197" s="9">
        <v>0.0</v>
      </c>
      <c r="AD197" s="9"/>
      <c r="AE197" s="9" t="s">
        <v>9</v>
      </c>
    </row>
    <row r="198">
      <c r="A198" s="7" t="s">
        <v>769</v>
      </c>
      <c r="B198" s="7" t="s">
        <v>770</v>
      </c>
      <c r="C198" s="8">
        <v>46076.0</v>
      </c>
      <c r="D198" s="8">
        <v>46093.0</v>
      </c>
      <c r="E198" s="7" t="s">
        <v>404</v>
      </c>
      <c r="F198" s="7" t="s">
        <v>405</v>
      </c>
      <c r="G198" s="7" t="s">
        <v>355</v>
      </c>
      <c r="H198" s="9">
        <v>4558351.0</v>
      </c>
      <c r="I198" s="9">
        <v>1123353.0</v>
      </c>
      <c r="J198" s="9">
        <v>8324.0</v>
      </c>
      <c r="K198" s="9">
        <v>148104.0</v>
      </c>
      <c r="L198" s="10">
        <v>4.349511154323989</v>
      </c>
      <c r="M198" s="9">
        <v>30.778041106249663</v>
      </c>
      <c r="N198" s="9">
        <v>196563.0</v>
      </c>
      <c r="O198" s="9">
        <v>193295.0</v>
      </c>
      <c r="P198" s="9">
        <v>65089.0</v>
      </c>
      <c r="Q198" s="9">
        <v>1007.0</v>
      </c>
      <c r="R198" s="9">
        <v>0.0</v>
      </c>
      <c r="S198" s="9">
        <v>0.0</v>
      </c>
      <c r="T198" s="9">
        <v>0.0</v>
      </c>
      <c r="U198" s="9">
        <v>0.0</v>
      </c>
      <c r="V198" s="9">
        <v>0.0</v>
      </c>
      <c r="W198" s="9">
        <v>0.0</v>
      </c>
      <c r="X198" s="9">
        <v>0.0</v>
      </c>
      <c r="Y198" s="9">
        <v>0.0</v>
      </c>
      <c r="Z198" s="9">
        <v>0.0</v>
      </c>
      <c r="AA198" s="9">
        <v>0.0</v>
      </c>
      <c r="AB198" s="9">
        <v>0.0</v>
      </c>
      <c r="AC198" s="9">
        <v>0.0</v>
      </c>
      <c r="AD198" s="9"/>
      <c r="AE198" s="9" t="s">
        <v>9</v>
      </c>
    </row>
    <row r="199">
      <c r="A199" s="7" t="s">
        <v>771</v>
      </c>
      <c r="B199" s="7" t="s">
        <v>772</v>
      </c>
      <c r="C199" s="8">
        <v>46077.0</v>
      </c>
      <c r="D199" s="8">
        <v>46077.0</v>
      </c>
      <c r="E199" s="7" t="s">
        <v>416</v>
      </c>
      <c r="F199" s="7" t="s">
        <v>430</v>
      </c>
      <c r="G199" s="7" t="s">
        <v>355</v>
      </c>
      <c r="H199" s="9">
        <v>0.0</v>
      </c>
      <c r="I199" s="9">
        <v>0.0</v>
      </c>
      <c r="J199" s="9">
        <v>0.0</v>
      </c>
      <c r="K199" s="9">
        <v>0.0</v>
      </c>
      <c r="L199" s="10">
        <v>0.0</v>
      </c>
      <c r="M199" s="9">
        <v>0.0</v>
      </c>
      <c r="N199" s="9">
        <v>79646.0</v>
      </c>
      <c r="O199" s="9">
        <v>78754.0</v>
      </c>
      <c r="P199" s="9">
        <v>27862.0</v>
      </c>
      <c r="Q199" s="9">
        <v>229.0</v>
      </c>
      <c r="R199" s="9">
        <v>0.0</v>
      </c>
      <c r="S199" s="9">
        <v>0.0</v>
      </c>
      <c r="T199" s="9">
        <v>0.0</v>
      </c>
      <c r="U199" s="9">
        <v>0.0</v>
      </c>
      <c r="V199" s="9">
        <v>0.0</v>
      </c>
      <c r="W199" s="9">
        <v>0.0</v>
      </c>
      <c r="X199" s="9">
        <v>0.0</v>
      </c>
      <c r="Y199" s="9">
        <v>0.0</v>
      </c>
      <c r="Z199" s="9">
        <v>0.0</v>
      </c>
      <c r="AA199" s="9">
        <v>0.0</v>
      </c>
      <c r="AB199" s="9">
        <v>0.0</v>
      </c>
      <c r="AC199" s="9">
        <v>0.0</v>
      </c>
      <c r="AD199" s="9"/>
      <c r="AE199" s="9" t="s">
        <v>9</v>
      </c>
    </row>
    <row r="200">
      <c r="A200" s="7" t="s">
        <v>773</v>
      </c>
      <c r="B200" s="7" t="s">
        <v>774</v>
      </c>
      <c r="C200" s="8">
        <v>46085.0</v>
      </c>
      <c r="D200" s="8">
        <v>46112.0</v>
      </c>
      <c r="E200" s="7" t="s">
        <v>404</v>
      </c>
      <c r="F200" s="7" t="s">
        <v>405</v>
      </c>
      <c r="G200" s="7" t="s">
        <v>355</v>
      </c>
      <c r="H200" s="9">
        <v>6729301.0</v>
      </c>
      <c r="I200" s="9">
        <v>1826613.0</v>
      </c>
      <c r="J200" s="9">
        <v>6937.0</v>
      </c>
      <c r="K200" s="9">
        <v>478817.0</v>
      </c>
      <c r="L200" s="10">
        <v>9.390806926236955</v>
      </c>
      <c r="M200" s="9">
        <v>14.054014372923268</v>
      </c>
      <c r="N200" s="9">
        <v>0.0</v>
      </c>
      <c r="O200" s="9">
        <v>0.0</v>
      </c>
      <c r="P200" s="9">
        <v>0.0</v>
      </c>
      <c r="Q200" s="9">
        <v>0.0</v>
      </c>
      <c r="R200" s="9">
        <v>0.0</v>
      </c>
      <c r="S200" s="9">
        <v>0.0</v>
      </c>
      <c r="T200" s="9">
        <v>0.0</v>
      </c>
      <c r="U200" s="9">
        <v>0.0</v>
      </c>
      <c r="V200" s="9">
        <v>0.0</v>
      </c>
      <c r="W200" s="9">
        <v>0.0</v>
      </c>
      <c r="X200" s="9">
        <v>0.0</v>
      </c>
      <c r="Y200" s="9">
        <v>0.0</v>
      </c>
      <c r="Z200" s="9">
        <v>0.0</v>
      </c>
      <c r="AA200" s="9">
        <v>0.0</v>
      </c>
      <c r="AB200" s="9">
        <v>0.0</v>
      </c>
      <c r="AC200" s="9">
        <v>0.0</v>
      </c>
      <c r="AD200" s="9"/>
      <c r="AE200" s="9"/>
    </row>
    <row r="201">
      <c r="A201" s="7" t="s">
        <v>775</v>
      </c>
      <c r="B201" s="7" t="s">
        <v>776</v>
      </c>
      <c r="C201" s="8">
        <v>46071.0</v>
      </c>
      <c r="D201" s="8">
        <v>46072.0</v>
      </c>
      <c r="E201" s="7" t="s">
        <v>358</v>
      </c>
      <c r="F201" s="7" t="s">
        <v>359</v>
      </c>
      <c r="G201" s="7" t="s">
        <v>355</v>
      </c>
      <c r="H201" s="9">
        <v>526607.0</v>
      </c>
      <c r="I201" s="9">
        <v>0.0</v>
      </c>
      <c r="J201" s="9">
        <v>10.0</v>
      </c>
      <c r="K201" s="9">
        <v>499106.0</v>
      </c>
      <c r="L201" s="10">
        <v>1.055100519729276</v>
      </c>
      <c r="M201" s="9">
        <v>1.055100519729276</v>
      </c>
      <c r="N201" s="9">
        <v>0.0</v>
      </c>
      <c r="O201" s="9">
        <v>0.0</v>
      </c>
      <c r="P201" s="9">
        <v>0.0</v>
      </c>
      <c r="Q201" s="9">
        <v>0.0</v>
      </c>
      <c r="R201" s="9">
        <v>0.0</v>
      </c>
      <c r="S201" s="9">
        <v>0.0</v>
      </c>
      <c r="T201" s="9">
        <v>0.0</v>
      </c>
      <c r="U201" s="9">
        <v>0.0</v>
      </c>
      <c r="V201" s="9">
        <v>0.0</v>
      </c>
      <c r="W201" s="9">
        <v>0.0</v>
      </c>
      <c r="X201" s="9">
        <v>0.0</v>
      </c>
      <c r="Y201" s="9">
        <v>0.0</v>
      </c>
      <c r="Z201" s="9">
        <v>0.0</v>
      </c>
      <c r="AA201" s="9">
        <v>0.0</v>
      </c>
      <c r="AB201" s="9">
        <v>0.0</v>
      </c>
      <c r="AC201" s="9">
        <v>0.0</v>
      </c>
      <c r="AD201" s="9"/>
      <c r="AE201" s="9"/>
    </row>
    <row r="202">
      <c r="A202" s="7" t="s">
        <v>777</v>
      </c>
      <c r="B202" s="7" t="s">
        <v>778</v>
      </c>
      <c r="C202" s="8">
        <v>46078.0</v>
      </c>
      <c r="D202" s="8">
        <v>46112.0</v>
      </c>
      <c r="E202" s="7" t="s">
        <v>353</v>
      </c>
      <c r="F202" s="7" t="s">
        <v>725</v>
      </c>
      <c r="G202" s="7" t="s">
        <v>355</v>
      </c>
      <c r="H202" s="9">
        <v>3764754.0</v>
      </c>
      <c r="I202" s="9">
        <v>0.0</v>
      </c>
      <c r="J202" s="9">
        <v>26443.0</v>
      </c>
      <c r="K202" s="9">
        <v>157499.0</v>
      </c>
      <c r="L202" s="10">
        <v>15.7773890627877</v>
      </c>
      <c r="M202" s="9">
        <v>23.90335176731281</v>
      </c>
      <c r="N202" s="9">
        <v>108914.0</v>
      </c>
      <c r="O202" s="9">
        <v>107550.0</v>
      </c>
      <c r="P202" s="9">
        <v>35198.0</v>
      </c>
      <c r="Q202" s="9">
        <v>2534.0</v>
      </c>
      <c r="R202" s="9">
        <v>0.0</v>
      </c>
      <c r="S202" s="9">
        <v>0.0</v>
      </c>
      <c r="T202" s="9">
        <v>0.0</v>
      </c>
      <c r="U202" s="9">
        <v>0.0</v>
      </c>
      <c r="V202" s="9">
        <v>0.0</v>
      </c>
      <c r="W202" s="9">
        <v>0.0</v>
      </c>
      <c r="X202" s="9">
        <v>0.0</v>
      </c>
      <c r="Y202" s="9">
        <v>0.0</v>
      </c>
      <c r="Z202" s="9">
        <v>0.0</v>
      </c>
      <c r="AA202" s="9">
        <v>0.0</v>
      </c>
      <c r="AB202" s="9">
        <v>0.0</v>
      </c>
      <c r="AC202" s="9">
        <v>0.0</v>
      </c>
      <c r="AD202" s="9"/>
      <c r="AE202" s="9" t="s">
        <v>9</v>
      </c>
    </row>
    <row r="203">
      <c r="A203" s="7" t="s">
        <v>779</v>
      </c>
      <c r="B203" s="7" t="s">
        <v>780</v>
      </c>
      <c r="C203" s="8">
        <v>46071.0</v>
      </c>
      <c r="D203" s="8">
        <v>46090.0</v>
      </c>
      <c r="E203" s="7" t="s">
        <v>416</v>
      </c>
      <c r="F203" s="7" t="s">
        <v>354</v>
      </c>
      <c r="G203" s="7" t="s">
        <v>355</v>
      </c>
      <c r="H203" s="9">
        <v>215805.0</v>
      </c>
      <c r="I203" s="9">
        <v>0.0</v>
      </c>
      <c r="J203" s="9">
        <v>914.0</v>
      </c>
      <c r="K203" s="9">
        <v>136515.0</v>
      </c>
      <c r="L203" s="10">
        <v>1.580815295022525</v>
      </c>
      <c r="M203" s="9">
        <v>1.580815295022525</v>
      </c>
      <c r="N203" s="9">
        <v>26083.0</v>
      </c>
      <c r="O203" s="9">
        <v>25790.0</v>
      </c>
      <c r="P203" s="9">
        <v>5289.0</v>
      </c>
      <c r="Q203" s="9">
        <v>96.0</v>
      </c>
      <c r="R203" s="9">
        <v>5500.0</v>
      </c>
      <c r="S203" s="9">
        <v>2625.0</v>
      </c>
      <c r="T203" s="9">
        <v>705.0</v>
      </c>
      <c r="U203" s="9">
        <v>529.0</v>
      </c>
      <c r="V203" s="9">
        <v>0.0</v>
      </c>
      <c r="W203" s="9">
        <v>0.0</v>
      </c>
      <c r="X203" s="9">
        <v>0.0</v>
      </c>
      <c r="Y203" s="9">
        <v>0.0</v>
      </c>
      <c r="Z203" s="9">
        <v>0.0</v>
      </c>
      <c r="AA203" s="9">
        <v>0.0</v>
      </c>
      <c r="AB203" s="9">
        <v>0.0</v>
      </c>
      <c r="AC203" s="9">
        <v>0.0</v>
      </c>
      <c r="AD203" s="9"/>
      <c r="AE203" s="9" t="s">
        <v>9</v>
      </c>
    </row>
    <row r="204">
      <c r="A204" s="7" t="s">
        <v>781</v>
      </c>
      <c r="B204" s="7" t="s">
        <v>782</v>
      </c>
      <c r="C204" s="8">
        <v>46073.0</v>
      </c>
      <c r="D204" s="8">
        <v>46076.0</v>
      </c>
      <c r="E204" s="7" t="s">
        <v>416</v>
      </c>
      <c r="F204" s="7" t="s">
        <v>783</v>
      </c>
      <c r="G204" s="7" t="s">
        <v>355</v>
      </c>
      <c r="H204" s="9">
        <v>622389.0</v>
      </c>
      <c r="I204" s="9">
        <v>0.0</v>
      </c>
      <c r="J204" s="9">
        <v>1013.0</v>
      </c>
      <c r="K204" s="9">
        <v>456612.0</v>
      </c>
      <c r="L204" s="10">
        <v>1.3630587895193294</v>
      </c>
      <c r="M204" s="9">
        <v>1.3630587895193294</v>
      </c>
      <c r="N204" s="9">
        <v>16335.0</v>
      </c>
      <c r="O204" s="9">
        <v>16016.0</v>
      </c>
      <c r="P204" s="9">
        <v>2375.0</v>
      </c>
      <c r="Q204" s="9">
        <v>24.0</v>
      </c>
      <c r="R204" s="9">
        <v>44.0</v>
      </c>
      <c r="S204" s="9">
        <v>44.0</v>
      </c>
      <c r="T204" s="9">
        <v>13.0</v>
      </c>
      <c r="U204" s="9">
        <v>13.0</v>
      </c>
      <c r="V204" s="9">
        <v>0.0</v>
      </c>
      <c r="W204" s="9">
        <v>0.0</v>
      </c>
      <c r="X204" s="9">
        <v>0.0</v>
      </c>
      <c r="Y204" s="9">
        <v>0.0</v>
      </c>
      <c r="Z204" s="9">
        <v>0.0</v>
      </c>
      <c r="AA204" s="9">
        <v>0.0</v>
      </c>
      <c r="AB204" s="9">
        <v>0.0</v>
      </c>
      <c r="AC204" s="9">
        <v>0.0</v>
      </c>
      <c r="AD204" s="9"/>
      <c r="AE204" s="9" t="s">
        <v>9</v>
      </c>
    </row>
    <row r="205">
      <c r="A205" s="7" t="s">
        <v>784</v>
      </c>
      <c r="B205" s="7" t="s">
        <v>785</v>
      </c>
      <c r="C205" s="8">
        <v>46076.0</v>
      </c>
      <c r="D205" s="8">
        <v>46080.0</v>
      </c>
      <c r="E205" s="7" t="s">
        <v>416</v>
      </c>
      <c r="F205" s="7" t="s">
        <v>378</v>
      </c>
      <c r="G205" s="7" t="s">
        <v>355</v>
      </c>
      <c r="H205" s="9">
        <v>63050.0</v>
      </c>
      <c r="I205" s="9">
        <v>0.0</v>
      </c>
      <c r="J205" s="9">
        <v>194.0</v>
      </c>
      <c r="K205" s="9">
        <v>41738.0</v>
      </c>
      <c r="L205" s="10">
        <v>1.5106138291245388</v>
      </c>
      <c r="M205" s="9">
        <v>1.5106138291245388</v>
      </c>
      <c r="N205" s="9">
        <v>76880.0</v>
      </c>
      <c r="O205" s="9">
        <v>75959.0</v>
      </c>
      <c r="P205" s="9">
        <v>11084.0</v>
      </c>
      <c r="Q205" s="9">
        <v>272.0</v>
      </c>
      <c r="R205" s="9">
        <v>161.0</v>
      </c>
      <c r="S205" s="9">
        <v>161.0</v>
      </c>
      <c r="T205" s="9">
        <v>37.0</v>
      </c>
      <c r="U205" s="9">
        <v>35.0</v>
      </c>
      <c r="V205" s="9">
        <v>0.0</v>
      </c>
      <c r="W205" s="9">
        <v>0.0</v>
      </c>
      <c r="X205" s="9">
        <v>0.0</v>
      </c>
      <c r="Y205" s="9">
        <v>0.0</v>
      </c>
      <c r="Z205" s="9">
        <v>0.0</v>
      </c>
      <c r="AA205" s="9">
        <v>0.0</v>
      </c>
      <c r="AB205" s="9">
        <v>0.0</v>
      </c>
      <c r="AC205" s="9">
        <v>0.0</v>
      </c>
      <c r="AD205" s="9"/>
      <c r="AE205" s="9" t="s">
        <v>9</v>
      </c>
    </row>
    <row r="206">
      <c r="A206" s="7" t="s">
        <v>786</v>
      </c>
      <c r="B206" s="7" t="s">
        <v>787</v>
      </c>
      <c r="C206" s="8">
        <v>46072.0</v>
      </c>
      <c r="D206" s="8">
        <v>46078.0</v>
      </c>
      <c r="E206" s="7" t="s">
        <v>416</v>
      </c>
      <c r="F206" s="7" t="s">
        <v>667</v>
      </c>
      <c r="G206" s="7" t="s">
        <v>355</v>
      </c>
      <c r="H206" s="9">
        <v>157566.0</v>
      </c>
      <c r="I206" s="9">
        <v>0.0</v>
      </c>
      <c r="J206" s="9">
        <v>163.0</v>
      </c>
      <c r="K206" s="9">
        <v>123461.0</v>
      </c>
      <c r="L206" s="10">
        <v>1.276241080179166</v>
      </c>
      <c r="M206" s="9">
        <v>1.276241080179166</v>
      </c>
      <c r="N206" s="9">
        <v>24851.0</v>
      </c>
      <c r="O206" s="9">
        <v>24489.0</v>
      </c>
      <c r="P206" s="9">
        <v>4612.0</v>
      </c>
      <c r="Q206" s="9">
        <v>140.0</v>
      </c>
      <c r="R206" s="9">
        <v>89.0</v>
      </c>
      <c r="S206" s="9">
        <v>89.0</v>
      </c>
      <c r="T206" s="9">
        <v>26.0</v>
      </c>
      <c r="U206" s="9">
        <v>25.0</v>
      </c>
      <c r="V206" s="9">
        <v>0.0</v>
      </c>
      <c r="W206" s="9">
        <v>0.0</v>
      </c>
      <c r="X206" s="9">
        <v>0.0</v>
      </c>
      <c r="Y206" s="9">
        <v>0.0</v>
      </c>
      <c r="Z206" s="9">
        <v>0.0</v>
      </c>
      <c r="AA206" s="9">
        <v>0.0</v>
      </c>
      <c r="AB206" s="9">
        <v>0.0</v>
      </c>
      <c r="AC206" s="9">
        <v>0.0</v>
      </c>
      <c r="AD206" s="9"/>
      <c r="AE206" s="9" t="s">
        <v>9</v>
      </c>
    </row>
    <row r="207">
      <c r="A207" s="7" t="s">
        <v>788</v>
      </c>
      <c r="B207" s="7" t="s">
        <v>789</v>
      </c>
      <c r="C207" s="8">
        <v>46073.0</v>
      </c>
      <c r="D207" s="8">
        <v>46079.0</v>
      </c>
      <c r="E207" s="7" t="s">
        <v>416</v>
      </c>
      <c r="F207" s="7" t="s">
        <v>594</v>
      </c>
      <c r="G207" s="7" t="s">
        <v>355</v>
      </c>
      <c r="H207" s="9">
        <v>105799.0</v>
      </c>
      <c r="I207" s="9">
        <v>0.0</v>
      </c>
      <c r="J207" s="9">
        <v>399.0</v>
      </c>
      <c r="K207" s="9">
        <v>60563.0</v>
      </c>
      <c r="L207" s="10">
        <v>1.7469246899922395</v>
      </c>
      <c r="M207" s="9">
        <v>1.7469246899922395</v>
      </c>
      <c r="N207" s="9">
        <v>27164.0</v>
      </c>
      <c r="O207" s="9">
        <v>26763.0</v>
      </c>
      <c r="P207" s="9">
        <v>4776.0</v>
      </c>
      <c r="Q207" s="9">
        <v>178.0</v>
      </c>
      <c r="R207" s="9">
        <v>7707.0</v>
      </c>
      <c r="S207" s="9">
        <v>5381.0</v>
      </c>
      <c r="T207" s="9">
        <v>1106.0</v>
      </c>
      <c r="U207" s="9">
        <v>783.0</v>
      </c>
      <c r="V207" s="9">
        <v>0.0</v>
      </c>
      <c r="W207" s="9">
        <v>0.0</v>
      </c>
      <c r="X207" s="9">
        <v>0.0</v>
      </c>
      <c r="Y207" s="9">
        <v>0.0</v>
      </c>
      <c r="Z207" s="9">
        <v>0.0</v>
      </c>
      <c r="AA207" s="9">
        <v>0.0</v>
      </c>
      <c r="AB207" s="9">
        <v>0.0</v>
      </c>
      <c r="AC207" s="9">
        <v>0.0</v>
      </c>
      <c r="AD207" s="9"/>
      <c r="AE207" s="9" t="s">
        <v>9</v>
      </c>
    </row>
    <row r="208">
      <c r="A208" s="7" t="s">
        <v>790</v>
      </c>
      <c r="B208" s="7" t="s">
        <v>791</v>
      </c>
      <c r="C208" s="8">
        <v>46072.0</v>
      </c>
      <c r="D208" s="8">
        <v>46079.0</v>
      </c>
      <c r="E208" s="7" t="s">
        <v>404</v>
      </c>
      <c r="F208" s="7" t="s">
        <v>405</v>
      </c>
      <c r="G208" s="7" t="s">
        <v>355</v>
      </c>
      <c r="H208" s="9">
        <v>207878.0</v>
      </c>
      <c r="I208" s="9">
        <v>15843.0</v>
      </c>
      <c r="J208" s="9">
        <v>6.0</v>
      </c>
      <c r="K208" s="9">
        <v>28267.0</v>
      </c>
      <c r="L208" s="10">
        <v>7.354087805568331</v>
      </c>
      <c r="M208" s="9">
        <v>7.354087805568331</v>
      </c>
      <c r="N208" s="9">
        <v>0.0</v>
      </c>
      <c r="O208" s="9">
        <v>0.0</v>
      </c>
      <c r="P208" s="9">
        <v>0.0</v>
      </c>
      <c r="Q208" s="9">
        <v>0.0</v>
      </c>
      <c r="R208" s="9">
        <v>0.0</v>
      </c>
      <c r="S208" s="9">
        <v>0.0</v>
      </c>
      <c r="T208" s="9">
        <v>0.0</v>
      </c>
      <c r="U208" s="9">
        <v>0.0</v>
      </c>
      <c r="V208" s="9">
        <v>0.0</v>
      </c>
      <c r="W208" s="9">
        <v>0.0</v>
      </c>
      <c r="X208" s="9">
        <v>0.0</v>
      </c>
      <c r="Y208" s="9">
        <v>0.0</v>
      </c>
      <c r="Z208" s="9">
        <v>0.0</v>
      </c>
      <c r="AA208" s="9">
        <v>0.0</v>
      </c>
      <c r="AB208" s="9">
        <v>0.0</v>
      </c>
      <c r="AC208" s="9">
        <v>0.0</v>
      </c>
      <c r="AD208" s="9"/>
      <c r="AE208" s="9"/>
    </row>
    <row r="209">
      <c r="A209" s="7" t="s">
        <v>792</v>
      </c>
      <c r="B209" s="7" t="s">
        <v>793</v>
      </c>
      <c r="C209" s="8">
        <v>46076.0</v>
      </c>
      <c r="D209" s="8">
        <v>46090.0</v>
      </c>
      <c r="E209" s="7" t="s">
        <v>364</v>
      </c>
      <c r="F209" s="7" t="s">
        <v>365</v>
      </c>
      <c r="G209" s="7" t="s">
        <v>355</v>
      </c>
      <c r="H209" s="9">
        <v>2000003.0</v>
      </c>
      <c r="I209" s="9">
        <v>0.0</v>
      </c>
      <c r="J209" s="9">
        <v>5913.0</v>
      </c>
      <c r="K209" s="9">
        <v>1404372.0</v>
      </c>
      <c r="L209" s="10">
        <v>0.7088449499135556</v>
      </c>
      <c r="M209" s="9">
        <v>1.4241262286630607</v>
      </c>
      <c r="N209" s="9">
        <v>171348.0</v>
      </c>
      <c r="O209" s="9">
        <v>169781.0</v>
      </c>
      <c r="P209" s="9">
        <v>65780.0</v>
      </c>
      <c r="Q209" s="9">
        <v>1513.0</v>
      </c>
      <c r="R209" s="9">
        <v>0.0</v>
      </c>
      <c r="S209" s="9">
        <v>0.0</v>
      </c>
      <c r="T209" s="9">
        <v>0.0</v>
      </c>
      <c r="U209" s="9">
        <v>0.0</v>
      </c>
      <c r="V209" s="9">
        <v>0.0</v>
      </c>
      <c r="W209" s="9">
        <v>0.0</v>
      </c>
      <c r="X209" s="9">
        <v>0.0</v>
      </c>
      <c r="Y209" s="9">
        <v>0.0</v>
      </c>
      <c r="Z209" s="9">
        <v>0.0</v>
      </c>
      <c r="AA209" s="9">
        <v>26982.0</v>
      </c>
      <c r="AB209" s="9">
        <v>25408.0</v>
      </c>
      <c r="AC209" s="9">
        <v>177.0</v>
      </c>
      <c r="AD209" s="9"/>
      <c r="AE209" s="9" t="s">
        <v>9</v>
      </c>
    </row>
    <row r="210">
      <c r="A210" s="7" t="s">
        <v>794</v>
      </c>
      <c r="B210" s="7" t="s">
        <v>795</v>
      </c>
      <c r="C210" s="8">
        <v>46076.0</v>
      </c>
      <c r="D210" s="8">
        <v>46080.0</v>
      </c>
      <c r="E210" s="7" t="s">
        <v>416</v>
      </c>
      <c r="F210" s="7" t="s">
        <v>466</v>
      </c>
      <c r="G210" s="7" t="s">
        <v>355</v>
      </c>
      <c r="H210" s="9">
        <v>70826.0</v>
      </c>
      <c r="I210" s="9">
        <v>0.0</v>
      </c>
      <c r="J210" s="9">
        <v>149.0</v>
      </c>
      <c r="K210" s="9">
        <v>48683.0</v>
      </c>
      <c r="L210" s="10">
        <v>1.4548404987367254</v>
      </c>
      <c r="M210" s="9">
        <v>1.4548404987367254</v>
      </c>
      <c r="N210" s="9">
        <v>91430.0</v>
      </c>
      <c r="O210" s="9">
        <v>90507.0</v>
      </c>
      <c r="P210" s="9">
        <v>25445.0</v>
      </c>
      <c r="Q210" s="9">
        <v>356.0</v>
      </c>
      <c r="R210" s="9">
        <v>167.0</v>
      </c>
      <c r="S210" s="9">
        <v>167.0</v>
      </c>
      <c r="T210" s="9">
        <v>44.0</v>
      </c>
      <c r="U210" s="9">
        <v>44.0</v>
      </c>
      <c r="V210" s="9">
        <v>0.0</v>
      </c>
      <c r="W210" s="9">
        <v>0.0</v>
      </c>
      <c r="X210" s="9">
        <v>0.0</v>
      </c>
      <c r="Y210" s="9">
        <v>0.0</v>
      </c>
      <c r="Z210" s="9">
        <v>0.0</v>
      </c>
      <c r="AA210" s="9">
        <v>0.0</v>
      </c>
      <c r="AB210" s="9">
        <v>0.0</v>
      </c>
      <c r="AC210" s="9">
        <v>0.0</v>
      </c>
      <c r="AD210" s="9"/>
      <c r="AE210" s="9" t="s">
        <v>9</v>
      </c>
    </row>
    <row r="211">
      <c r="A211" s="7" t="s">
        <v>796</v>
      </c>
      <c r="B211" s="7" t="s">
        <v>797</v>
      </c>
      <c r="C211" s="8">
        <v>46076.0</v>
      </c>
      <c r="D211" s="8">
        <v>46080.0</v>
      </c>
      <c r="E211" s="7" t="s">
        <v>416</v>
      </c>
      <c r="F211" s="7" t="s">
        <v>466</v>
      </c>
      <c r="G211" s="7" t="s">
        <v>355</v>
      </c>
      <c r="H211" s="9">
        <v>75286.0</v>
      </c>
      <c r="I211" s="9">
        <v>0.0</v>
      </c>
      <c r="J211" s="9">
        <v>262.0</v>
      </c>
      <c r="K211" s="9">
        <v>52233.0</v>
      </c>
      <c r="L211" s="10">
        <v>1.4413493385407692</v>
      </c>
      <c r="M211" s="9">
        <v>1.4413493385407692</v>
      </c>
      <c r="N211" s="9">
        <v>106233.0</v>
      </c>
      <c r="O211" s="9">
        <v>105224.0</v>
      </c>
      <c r="P211" s="9">
        <v>38226.0</v>
      </c>
      <c r="Q211" s="9">
        <v>546.0</v>
      </c>
      <c r="R211" s="9">
        <v>251.0</v>
      </c>
      <c r="S211" s="9">
        <v>251.0</v>
      </c>
      <c r="T211" s="9">
        <v>76.0</v>
      </c>
      <c r="U211" s="9">
        <v>75.0</v>
      </c>
      <c r="V211" s="9">
        <v>0.0</v>
      </c>
      <c r="W211" s="9">
        <v>0.0</v>
      </c>
      <c r="X211" s="9">
        <v>0.0</v>
      </c>
      <c r="Y211" s="9">
        <v>0.0</v>
      </c>
      <c r="Z211" s="9">
        <v>0.0</v>
      </c>
      <c r="AA211" s="9">
        <v>0.0</v>
      </c>
      <c r="AB211" s="9">
        <v>0.0</v>
      </c>
      <c r="AC211" s="9">
        <v>0.0</v>
      </c>
      <c r="AD211" s="9"/>
      <c r="AE211" s="9" t="s">
        <v>9</v>
      </c>
    </row>
    <row r="212">
      <c r="A212" s="7" t="s">
        <v>798</v>
      </c>
      <c r="B212" s="7" t="s">
        <v>799</v>
      </c>
      <c r="C212" s="8">
        <v>46076.0</v>
      </c>
      <c r="D212" s="8">
        <v>46080.0</v>
      </c>
      <c r="E212" s="7" t="s">
        <v>416</v>
      </c>
      <c r="F212" s="7" t="s">
        <v>466</v>
      </c>
      <c r="G212" s="7" t="s">
        <v>355</v>
      </c>
      <c r="H212" s="9">
        <v>111946.0</v>
      </c>
      <c r="I212" s="9">
        <v>0.0</v>
      </c>
      <c r="J212" s="9">
        <v>120.0</v>
      </c>
      <c r="K212" s="9">
        <v>82800.0</v>
      </c>
      <c r="L212" s="10">
        <v>1.3520048309178745</v>
      </c>
      <c r="M212" s="9">
        <v>1.3520048309178745</v>
      </c>
      <c r="N212" s="9">
        <v>93913.0</v>
      </c>
      <c r="O212" s="9">
        <v>92855.0</v>
      </c>
      <c r="P212" s="9">
        <v>26273.0</v>
      </c>
      <c r="Q212" s="9">
        <v>301.0</v>
      </c>
      <c r="R212" s="9">
        <v>119.0</v>
      </c>
      <c r="S212" s="9">
        <v>119.0</v>
      </c>
      <c r="T212" s="9">
        <v>28.0</v>
      </c>
      <c r="U212" s="9">
        <v>28.0</v>
      </c>
      <c r="V212" s="9">
        <v>0.0</v>
      </c>
      <c r="W212" s="9">
        <v>0.0</v>
      </c>
      <c r="X212" s="9">
        <v>0.0</v>
      </c>
      <c r="Y212" s="9">
        <v>0.0</v>
      </c>
      <c r="Z212" s="9">
        <v>0.0</v>
      </c>
      <c r="AA212" s="9">
        <v>0.0</v>
      </c>
      <c r="AB212" s="9">
        <v>0.0</v>
      </c>
      <c r="AC212" s="9">
        <v>0.0</v>
      </c>
      <c r="AD212" s="9"/>
      <c r="AE212" s="9" t="s">
        <v>9</v>
      </c>
    </row>
    <row r="213">
      <c r="A213" s="7" t="s">
        <v>800</v>
      </c>
      <c r="B213" s="7" t="s">
        <v>801</v>
      </c>
      <c r="C213" s="8">
        <v>46076.0</v>
      </c>
      <c r="D213" s="8">
        <v>46080.0</v>
      </c>
      <c r="E213" s="7" t="s">
        <v>416</v>
      </c>
      <c r="F213" s="7" t="s">
        <v>466</v>
      </c>
      <c r="G213" s="7" t="s">
        <v>355</v>
      </c>
      <c r="H213" s="9">
        <v>78994.0</v>
      </c>
      <c r="I213" s="9">
        <v>0.0</v>
      </c>
      <c r="J213" s="9">
        <v>212.0</v>
      </c>
      <c r="K213" s="9">
        <v>54685.0</v>
      </c>
      <c r="L213" s="10">
        <v>1.4445277498399927</v>
      </c>
      <c r="M213" s="9">
        <v>1.4445277498399927</v>
      </c>
      <c r="N213" s="9">
        <v>392.0</v>
      </c>
      <c r="O213" s="9">
        <v>389.0</v>
      </c>
      <c r="P213" s="9">
        <v>227.0</v>
      </c>
      <c r="Q213" s="9">
        <v>2.0</v>
      </c>
      <c r="R213" s="9">
        <v>189.0</v>
      </c>
      <c r="S213" s="9">
        <v>189.0</v>
      </c>
      <c r="T213" s="9">
        <v>59.0</v>
      </c>
      <c r="U213" s="9">
        <v>57.0</v>
      </c>
      <c r="V213" s="9">
        <v>0.0</v>
      </c>
      <c r="W213" s="9">
        <v>0.0</v>
      </c>
      <c r="X213" s="9">
        <v>0.0</v>
      </c>
      <c r="Y213" s="9">
        <v>0.0</v>
      </c>
      <c r="Z213" s="9">
        <v>0.0</v>
      </c>
      <c r="AA213" s="9">
        <v>0.0</v>
      </c>
      <c r="AB213" s="9">
        <v>0.0</v>
      </c>
      <c r="AC213" s="9">
        <v>0.0</v>
      </c>
      <c r="AD213" s="9"/>
      <c r="AE213" s="9" t="s">
        <v>9</v>
      </c>
    </row>
    <row r="214">
      <c r="A214" s="7" t="s">
        <v>802</v>
      </c>
      <c r="B214" s="7" t="s">
        <v>803</v>
      </c>
      <c r="C214" s="8">
        <v>46073.0</v>
      </c>
      <c r="D214" s="8">
        <v>46097.0</v>
      </c>
      <c r="E214" s="7" t="s">
        <v>416</v>
      </c>
      <c r="F214" s="7" t="s">
        <v>417</v>
      </c>
      <c r="G214" s="7" t="s">
        <v>355</v>
      </c>
      <c r="H214" s="9">
        <v>1145787.0</v>
      </c>
      <c r="I214" s="9">
        <v>158561.0</v>
      </c>
      <c r="J214" s="9">
        <v>12884.0</v>
      </c>
      <c r="K214" s="9">
        <v>12394.0</v>
      </c>
      <c r="L214" s="10">
        <v>4.493706632241407</v>
      </c>
      <c r="M214" s="9">
        <v>92.44690979506213</v>
      </c>
      <c r="N214" s="9">
        <v>9261.0</v>
      </c>
      <c r="O214" s="9">
        <v>9169.0</v>
      </c>
      <c r="P214" s="9">
        <v>2420.0</v>
      </c>
      <c r="Q214" s="9">
        <v>132.0</v>
      </c>
      <c r="R214" s="9">
        <v>20.0</v>
      </c>
      <c r="S214" s="9">
        <v>20.0</v>
      </c>
      <c r="T214" s="9">
        <v>10.0</v>
      </c>
      <c r="U214" s="9">
        <v>8.0</v>
      </c>
      <c r="V214" s="9">
        <v>4696.0</v>
      </c>
      <c r="W214" s="9">
        <v>4696.0</v>
      </c>
      <c r="X214" s="9">
        <v>4204.0</v>
      </c>
      <c r="Y214" s="9">
        <v>1780.0</v>
      </c>
      <c r="Z214" s="9">
        <v>20.0</v>
      </c>
      <c r="AA214" s="9">
        <v>0.0</v>
      </c>
      <c r="AB214" s="9">
        <v>0.0</v>
      </c>
      <c r="AC214" s="9">
        <v>0.0</v>
      </c>
      <c r="AD214" s="9"/>
      <c r="AE214" s="9" t="s">
        <v>9</v>
      </c>
    </row>
    <row r="215">
      <c r="A215" s="7" t="s">
        <v>804</v>
      </c>
      <c r="B215" s="7" t="s">
        <v>805</v>
      </c>
      <c r="C215" s="8">
        <v>46078.0</v>
      </c>
      <c r="D215" s="8">
        <v>46083.0</v>
      </c>
      <c r="E215" s="7" t="s">
        <v>416</v>
      </c>
      <c r="F215" s="7" t="s">
        <v>594</v>
      </c>
      <c r="G215" s="7" t="s">
        <v>355</v>
      </c>
      <c r="H215" s="9">
        <v>32785.0</v>
      </c>
      <c r="I215" s="9">
        <v>0.0</v>
      </c>
      <c r="J215" s="9">
        <v>162.0</v>
      </c>
      <c r="K215" s="9">
        <v>0.0</v>
      </c>
      <c r="L215" s="10">
        <v>0.0</v>
      </c>
      <c r="M215" s="9">
        <v>0.0</v>
      </c>
      <c r="N215" s="9">
        <v>21608.0</v>
      </c>
      <c r="O215" s="9">
        <v>21386.0</v>
      </c>
      <c r="P215" s="9">
        <v>5805.0</v>
      </c>
      <c r="Q215" s="9">
        <v>110.0</v>
      </c>
      <c r="R215" s="9">
        <v>53.0</v>
      </c>
      <c r="S215" s="9">
        <v>53.0</v>
      </c>
      <c r="T215" s="9">
        <v>21.0</v>
      </c>
      <c r="U215" s="9">
        <v>20.0</v>
      </c>
      <c r="V215" s="9">
        <v>0.0</v>
      </c>
      <c r="W215" s="9">
        <v>0.0</v>
      </c>
      <c r="X215" s="9">
        <v>0.0</v>
      </c>
      <c r="Y215" s="9">
        <v>0.0</v>
      </c>
      <c r="Z215" s="9">
        <v>0.0</v>
      </c>
      <c r="AA215" s="9">
        <v>0.0</v>
      </c>
      <c r="AB215" s="9">
        <v>0.0</v>
      </c>
      <c r="AC215" s="9">
        <v>0.0</v>
      </c>
      <c r="AD215" s="9"/>
      <c r="AE215" s="9" t="s">
        <v>9</v>
      </c>
    </row>
    <row r="216">
      <c r="A216" s="7" t="s">
        <v>806</v>
      </c>
      <c r="B216" s="7" t="s">
        <v>807</v>
      </c>
      <c r="C216" s="8">
        <v>46076.0</v>
      </c>
      <c r="D216" s="8">
        <v>46076.0</v>
      </c>
      <c r="E216" s="7" t="s">
        <v>358</v>
      </c>
      <c r="F216" s="7" t="s">
        <v>808</v>
      </c>
      <c r="G216" s="7" t="s">
        <v>355</v>
      </c>
      <c r="H216" s="9">
        <v>437354.0</v>
      </c>
      <c r="I216" s="9">
        <v>17466.0</v>
      </c>
      <c r="J216" s="9">
        <v>7.0</v>
      </c>
      <c r="K216" s="9">
        <v>373732.0</v>
      </c>
      <c r="L216" s="10">
        <v>1.170234285530808</v>
      </c>
      <c r="M216" s="9">
        <v>1.170234285530808</v>
      </c>
      <c r="N216" s="9">
        <v>0.0</v>
      </c>
      <c r="O216" s="9">
        <v>0.0</v>
      </c>
      <c r="P216" s="9">
        <v>0.0</v>
      </c>
      <c r="Q216" s="9">
        <v>0.0</v>
      </c>
      <c r="R216" s="9">
        <v>0.0</v>
      </c>
      <c r="S216" s="9">
        <v>0.0</v>
      </c>
      <c r="T216" s="9">
        <v>0.0</v>
      </c>
      <c r="U216" s="9">
        <v>0.0</v>
      </c>
      <c r="V216" s="9">
        <v>0.0</v>
      </c>
      <c r="W216" s="9">
        <v>0.0</v>
      </c>
      <c r="X216" s="9">
        <v>0.0</v>
      </c>
      <c r="Y216" s="9">
        <v>0.0</v>
      </c>
      <c r="Z216" s="9">
        <v>0.0</v>
      </c>
      <c r="AA216" s="9">
        <v>0.0</v>
      </c>
      <c r="AB216" s="9">
        <v>0.0</v>
      </c>
      <c r="AC216" s="9">
        <v>0.0</v>
      </c>
      <c r="AD216" s="9"/>
      <c r="AE216" s="9"/>
    </row>
    <row r="217">
      <c r="A217" s="7" t="s">
        <v>809</v>
      </c>
      <c r="B217" s="7" t="s">
        <v>810</v>
      </c>
      <c r="C217" s="8">
        <v>46079.0</v>
      </c>
      <c r="D217" s="8">
        <v>46079.0</v>
      </c>
      <c r="E217" s="7" t="s">
        <v>358</v>
      </c>
      <c r="F217" s="7" t="s">
        <v>387</v>
      </c>
      <c r="G217" s="7" t="s">
        <v>355</v>
      </c>
      <c r="H217" s="9">
        <v>0.0</v>
      </c>
      <c r="I217" s="9">
        <v>0.0</v>
      </c>
      <c r="J217" s="9">
        <v>0.0</v>
      </c>
      <c r="K217" s="9">
        <v>0.0</v>
      </c>
      <c r="L217" s="10">
        <v>0.0</v>
      </c>
      <c r="M217" s="9">
        <v>0.0</v>
      </c>
      <c r="N217" s="9">
        <v>14880.0</v>
      </c>
      <c r="O217" s="9">
        <v>14695.0</v>
      </c>
      <c r="P217" s="9">
        <v>5441.0</v>
      </c>
      <c r="Q217" s="9">
        <v>319.0</v>
      </c>
      <c r="R217" s="9">
        <v>0.0</v>
      </c>
      <c r="S217" s="9">
        <v>0.0</v>
      </c>
      <c r="T217" s="9">
        <v>0.0</v>
      </c>
      <c r="U217" s="9">
        <v>0.0</v>
      </c>
      <c r="V217" s="9">
        <v>0.0</v>
      </c>
      <c r="W217" s="9">
        <v>0.0</v>
      </c>
      <c r="X217" s="9">
        <v>0.0</v>
      </c>
      <c r="Y217" s="9">
        <v>0.0</v>
      </c>
      <c r="Z217" s="9">
        <v>0.0</v>
      </c>
      <c r="AA217" s="9">
        <v>4110.0</v>
      </c>
      <c r="AB217" s="9">
        <v>3558.0</v>
      </c>
      <c r="AC217" s="9">
        <v>70.0</v>
      </c>
      <c r="AD217" s="9"/>
      <c r="AE217" s="9" t="s">
        <v>9</v>
      </c>
    </row>
    <row r="218">
      <c r="A218" s="7" t="s">
        <v>811</v>
      </c>
      <c r="B218" s="7" t="s">
        <v>812</v>
      </c>
      <c r="C218" s="8">
        <v>46083.0</v>
      </c>
      <c r="D218" s="8">
        <v>46083.0</v>
      </c>
      <c r="E218" s="7" t="s">
        <v>358</v>
      </c>
      <c r="F218" s="7" t="s">
        <v>387</v>
      </c>
      <c r="G218" s="7" t="s">
        <v>355</v>
      </c>
      <c r="H218" s="9">
        <v>0.0</v>
      </c>
      <c r="I218" s="9">
        <v>0.0</v>
      </c>
      <c r="J218" s="9">
        <v>0.0</v>
      </c>
      <c r="K218" s="9">
        <v>0.0</v>
      </c>
      <c r="L218" s="10">
        <v>0.0</v>
      </c>
      <c r="M218" s="9">
        <v>0.0</v>
      </c>
      <c r="N218" s="9">
        <v>20913.0</v>
      </c>
      <c r="O218" s="9">
        <v>20637.0</v>
      </c>
      <c r="P218" s="9">
        <v>5984.0</v>
      </c>
      <c r="Q218" s="9">
        <v>272.0</v>
      </c>
      <c r="R218" s="9">
        <v>0.0</v>
      </c>
      <c r="S218" s="9">
        <v>0.0</v>
      </c>
      <c r="T218" s="9">
        <v>0.0</v>
      </c>
      <c r="U218" s="9">
        <v>0.0</v>
      </c>
      <c r="V218" s="9">
        <v>0.0</v>
      </c>
      <c r="W218" s="9">
        <v>0.0</v>
      </c>
      <c r="X218" s="9">
        <v>0.0</v>
      </c>
      <c r="Y218" s="9">
        <v>0.0</v>
      </c>
      <c r="Z218" s="9">
        <v>0.0</v>
      </c>
      <c r="AA218" s="9">
        <v>0.0</v>
      </c>
      <c r="AB218" s="9">
        <v>0.0</v>
      </c>
      <c r="AC218" s="9">
        <v>0.0</v>
      </c>
      <c r="AD218" s="9"/>
      <c r="AE218" s="9" t="s">
        <v>9</v>
      </c>
    </row>
    <row r="219">
      <c r="A219" s="7" t="s">
        <v>813</v>
      </c>
      <c r="B219" s="7" t="s">
        <v>814</v>
      </c>
      <c r="C219" s="8">
        <v>46084.0</v>
      </c>
      <c r="D219" s="8">
        <v>46084.0</v>
      </c>
      <c r="E219" s="7" t="s">
        <v>358</v>
      </c>
      <c r="F219" s="7" t="s">
        <v>387</v>
      </c>
      <c r="G219" s="7" t="s">
        <v>355</v>
      </c>
      <c r="H219" s="9">
        <v>0.0</v>
      </c>
      <c r="I219" s="9">
        <v>0.0</v>
      </c>
      <c r="J219" s="9">
        <v>0.0</v>
      </c>
      <c r="K219" s="9">
        <v>0.0</v>
      </c>
      <c r="L219" s="10">
        <v>0.0</v>
      </c>
      <c r="M219" s="9">
        <v>0.0</v>
      </c>
      <c r="N219" s="9">
        <v>11310.0</v>
      </c>
      <c r="O219" s="9">
        <v>11182.0</v>
      </c>
      <c r="P219" s="9">
        <v>4356.0</v>
      </c>
      <c r="Q219" s="9">
        <v>311.0</v>
      </c>
      <c r="R219" s="9">
        <v>0.0</v>
      </c>
      <c r="S219" s="9">
        <v>0.0</v>
      </c>
      <c r="T219" s="9">
        <v>0.0</v>
      </c>
      <c r="U219" s="9">
        <v>0.0</v>
      </c>
      <c r="V219" s="9">
        <v>0.0</v>
      </c>
      <c r="W219" s="9">
        <v>0.0</v>
      </c>
      <c r="X219" s="9">
        <v>0.0</v>
      </c>
      <c r="Y219" s="9">
        <v>0.0</v>
      </c>
      <c r="Z219" s="9">
        <v>0.0</v>
      </c>
      <c r="AA219" s="9">
        <v>0.0</v>
      </c>
      <c r="AB219" s="9">
        <v>0.0</v>
      </c>
      <c r="AC219" s="9">
        <v>0.0</v>
      </c>
      <c r="AD219" s="9"/>
      <c r="AE219" s="9" t="s">
        <v>9</v>
      </c>
    </row>
    <row r="220">
      <c r="A220" s="7" t="s">
        <v>815</v>
      </c>
      <c r="B220" s="7" t="s">
        <v>816</v>
      </c>
      <c r="C220" s="8">
        <v>46080.0</v>
      </c>
      <c r="D220" s="8">
        <v>46087.0</v>
      </c>
      <c r="E220" s="7" t="s">
        <v>404</v>
      </c>
      <c r="F220" s="7" t="s">
        <v>783</v>
      </c>
      <c r="G220" s="7" t="s">
        <v>355</v>
      </c>
      <c r="H220" s="9">
        <v>1370201.0</v>
      </c>
      <c r="I220" s="9">
        <v>190010.0</v>
      </c>
      <c r="J220" s="9">
        <v>6235.0</v>
      </c>
      <c r="K220" s="9">
        <v>715086.0</v>
      </c>
      <c r="L220" s="10">
        <v>1.3153662636382197</v>
      </c>
      <c r="M220" s="9">
        <v>1.9161345628357989</v>
      </c>
      <c r="N220" s="9">
        <v>131620.0</v>
      </c>
      <c r="O220" s="9">
        <v>129983.0</v>
      </c>
      <c r="P220" s="9">
        <v>42837.0</v>
      </c>
      <c r="Q220" s="9">
        <v>4670.0</v>
      </c>
      <c r="R220" s="9">
        <v>0.0</v>
      </c>
      <c r="S220" s="9">
        <v>0.0</v>
      </c>
      <c r="T220" s="9">
        <v>0.0</v>
      </c>
      <c r="U220" s="9">
        <v>0.0</v>
      </c>
      <c r="V220" s="9">
        <v>0.0</v>
      </c>
      <c r="W220" s="9">
        <v>0.0</v>
      </c>
      <c r="X220" s="9">
        <v>0.0</v>
      </c>
      <c r="Y220" s="9">
        <v>0.0</v>
      </c>
      <c r="Z220" s="9">
        <v>0.0</v>
      </c>
      <c r="AA220" s="9">
        <v>0.0</v>
      </c>
      <c r="AB220" s="9">
        <v>0.0</v>
      </c>
      <c r="AC220" s="9">
        <v>0.0</v>
      </c>
      <c r="AD220" s="9"/>
      <c r="AE220" s="9" t="s">
        <v>9</v>
      </c>
    </row>
    <row r="221">
      <c r="A221" s="7" t="s">
        <v>817</v>
      </c>
      <c r="B221" s="7" t="s">
        <v>818</v>
      </c>
      <c r="C221" s="8">
        <v>46077.0</v>
      </c>
      <c r="D221" s="8">
        <v>46112.0</v>
      </c>
      <c r="E221" s="7" t="s">
        <v>364</v>
      </c>
      <c r="F221" s="7" t="s">
        <v>365</v>
      </c>
      <c r="G221" s="7" t="s">
        <v>355</v>
      </c>
      <c r="H221" s="9">
        <v>1327764.0</v>
      </c>
      <c r="I221" s="9">
        <v>0.0</v>
      </c>
      <c r="J221" s="9">
        <v>6977.0</v>
      </c>
      <c r="K221" s="9">
        <v>1202451.0</v>
      </c>
      <c r="L221" s="10">
        <v>0.7993282054736534</v>
      </c>
      <c r="M221" s="9">
        <v>1.104214641594543</v>
      </c>
      <c r="N221" s="9">
        <v>186511.0</v>
      </c>
      <c r="O221" s="9">
        <v>185053.0</v>
      </c>
      <c r="P221" s="9">
        <v>73839.0</v>
      </c>
      <c r="Q221" s="9">
        <v>1472.0</v>
      </c>
      <c r="R221" s="9">
        <v>0.0</v>
      </c>
      <c r="S221" s="9">
        <v>0.0</v>
      </c>
      <c r="T221" s="9">
        <v>0.0</v>
      </c>
      <c r="U221" s="9">
        <v>0.0</v>
      </c>
      <c r="V221" s="9">
        <v>0.0</v>
      </c>
      <c r="W221" s="9">
        <v>0.0</v>
      </c>
      <c r="X221" s="9">
        <v>0.0</v>
      </c>
      <c r="Y221" s="9">
        <v>0.0</v>
      </c>
      <c r="Z221" s="9">
        <v>0.0</v>
      </c>
      <c r="AA221" s="9">
        <v>37725.0</v>
      </c>
      <c r="AB221" s="9">
        <v>35618.0</v>
      </c>
      <c r="AC221" s="9">
        <v>115.0</v>
      </c>
      <c r="AD221" s="9"/>
      <c r="AE221" s="9" t="s">
        <v>9</v>
      </c>
    </row>
    <row r="222">
      <c r="A222" s="7" t="s">
        <v>819</v>
      </c>
      <c r="B222" s="7" t="s">
        <v>820</v>
      </c>
      <c r="C222" s="8">
        <v>46080.0</v>
      </c>
      <c r="D222" s="8">
        <v>46094.0</v>
      </c>
      <c r="E222" s="7" t="s">
        <v>364</v>
      </c>
      <c r="F222" s="7" t="s">
        <v>365</v>
      </c>
      <c r="G222" s="7" t="s">
        <v>355</v>
      </c>
      <c r="H222" s="9">
        <v>197466.0</v>
      </c>
      <c r="I222" s="9">
        <v>0.0</v>
      </c>
      <c r="J222" s="9">
        <v>1461.0</v>
      </c>
      <c r="K222" s="9">
        <v>121849.0</v>
      </c>
      <c r="L222" s="10">
        <v>1.6205795697954024</v>
      </c>
      <c r="M222" s="9">
        <v>1.6205795697954024</v>
      </c>
      <c r="N222" s="9">
        <v>53695.0</v>
      </c>
      <c r="O222" s="9">
        <v>53077.0</v>
      </c>
      <c r="P222" s="9">
        <v>18225.0</v>
      </c>
      <c r="Q222" s="9">
        <v>288.0</v>
      </c>
      <c r="R222" s="9">
        <v>0.0</v>
      </c>
      <c r="S222" s="9">
        <v>0.0</v>
      </c>
      <c r="T222" s="9">
        <v>0.0</v>
      </c>
      <c r="U222" s="9">
        <v>0.0</v>
      </c>
      <c r="V222" s="9">
        <v>0.0</v>
      </c>
      <c r="W222" s="9">
        <v>0.0</v>
      </c>
      <c r="X222" s="9">
        <v>0.0</v>
      </c>
      <c r="Y222" s="9">
        <v>0.0</v>
      </c>
      <c r="Z222" s="9">
        <v>0.0</v>
      </c>
      <c r="AA222" s="9">
        <v>0.0</v>
      </c>
      <c r="AB222" s="9">
        <v>0.0</v>
      </c>
      <c r="AC222" s="9">
        <v>0.0</v>
      </c>
      <c r="AD222" s="9"/>
      <c r="AE222" s="9" t="s">
        <v>9</v>
      </c>
    </row>
    <row r="223">
      <c r="A223" s="7" t="s">
        <v>821</v>
      </c>
      <c r="B223" s="7" t="s">
        <v>822</v>
      </c>
      <c r="C223" s="8">
        <v>46077.0</v>
      </c>
      <c r="D223" s="8">
        <v>46081.0</v>
      </c>
      <c r="E223" s="7" t="s">
        <v>416</v>
      </c>
      <c r="F223" s="7" t="s">
        <v>725</v>
      </c>
      <c r="G223" s="7" t="s">
        <v>355</v>
      </c>
      <c r="H223" s="9">
        <v>160102.0</v>
      </c>
      <c r="I223" s="9">
        <v>0.0</v>
      </c>
      <c r="J223" s="9">
        <v>330.0</v>
      </c>
      <c r="K223" s="9">
        <v>153794.0</v>
      </c>
      <c r="L223" s="10">
        <v>1.0410159043915888</v>
      </c>
      <c r="M223" s="9">
        <v>1.0410159043915888</v>
      </c>
      <c r="N223" s="9">
        <v>26580.0</v>
      </c>
      <c r="O223" s="9">
        <v>26328.0</v>
      </c>
      <c r="P223" s="9">
        <v>7027.0</v>
      </c>
      <c r="Q223" s="9">
        <v>110.0</v>
      </c>
      <c r="R223" s="9">
        <v>0.0</v>
      </c>
      <c r="S223" s="9">
        <v>0.0</v>
      </c>
      <c r="T223" s="9">
        <v>0.0</v>
      </c>
      <c r="U223" s="9">
        <v>0.0</v>
      </c>
      <c r="V223" s="9">
        <v>0.0</v>
      </c>
      <c r="W223" s="9">
        <v>0.0</v>
      </c>
      <c r="X223" s="9">
        <v>0.0</v>
      </c>
      <c r="Y223" s="9">
        <v>0.0</v>
      </c>
      <c r="Z223" s="9">
        <v>0.0</v>
      </c>
      <c r="AA223" s="9">
        <v>0.0</v>
      </c>
      <c r="AB223" s="9">
        <v>0.0</v>
      </c>
      <c r="AC223" s="9">
        <v>0.0</v>
      </c>
      <c r="AD223" s="9"/>
      <c r="AE223" s="9" t="s">
        <v>9</v>
      </c>
    </row>
    <row r="224">
      <c r="A224" s="7" t="s">
        <v>823</v>
      </c>
      <c r="B224" s="7" t="s">
        <v>824</v>
      </c>
      <c r="C224" s="8">
        <v>46080.0</v>
      </c>
      <c r="D224" s="8">
        <v>46080.0</v>
      </c>
      <c r="E224" s="7" t="s">
        <v>416</v>
      </c>
      <c r="F224" s="7" t="s">
        <v>430</v>
      </c>
      <c r="G224" s="7" t="s">
        <v>355</v>
      </c>
      <c r="H224" s="9">
        <v>0.0</v>
      </c>
      <c r="I224" s="9">
        <v>0.0</v>
      </c>
      <c r="J224" s="9">
        <v>0.0</v>
      </c>
      <c r="K224" s="9">
        <v>0.0</v>
      </c>
      <c r="L224" s="10">
        <v>0.0</v>
      </c>
      <c r="M224" s="9">
        <v>0.0</v>
      </c>
      <c r="N224" s="9">
        <v>63777.0</v>
      </c>
      <c r="O224" s="9">
        <v>63003.0</v>
      </c>
      <c r="P224" s="9">
        <v>12745.0</v>
      </c>
      <c r="Q224" s="9">
        <v>1386.0</v>
      </c>
      <c r="R224" s="9">
        <v>0.0</v>
      </c>
      <c r="S224" s="9">
        <v>0.0</v>
      </c>
      <c r="T224" s="9">
        <v>0.0</v>
      </c>
      <c r="U224" s="9">
        <v>0.0</v>
      </c>
      <c r="V224" s="9">
        <v>0.0</v>
      </c>
      <c r="W224" s="9">
        <v>0.0</v>
      </c>
      <c r="X224" s="9">
        <v>0.0</v>
      </c>
      <c r="Y224" s="9">
        <v>0.0</v>
      </c>
      <c r="Z224" s="9">
        <v>0.0</v>
      </c>
      <c r="AA224" s="9">
        <v>0.0</v>
      </c>
      <c r="AB224" s="9">
        <v>0.0</v>
      </c>
      <c r="AC224" s="9">
        <v>0.0</v>
      </c>
      <c r="AD224" s="9"/>
      <c r="AE224" s="9" t="s">
        <v>9</v>
      </c>
    </row>
    <row r="225">
      <c r="A225" s="7" t="s">
        <v>825</v>
      </c>
      <c r="B225" s="7" t="s">
        <v>826</v>
      </c>
      <c r="C225" s="8">
        <v>46084.0</v>
      </c>
      <c r="D225" s="8">
        <v>46084.0</v>
      </c>
      <c r="E225" s="7" t="s">
        <v>416</v>
      </c>
      <c r="F225" s="7" t="s">
        <v>430</v>
      </c>
      <c r="G225" s="7" t="s">
        <v>355</v>
      </c>
      <c r="H225" s="9">
        <v>0.0</v>
      </c>
      <c r="I225" s="9">
        <v>0.0</v>
      </c>
      <c r="J225" s="9">
        <v>0.0</v>
      </c>
      <c r="K225" s="9">
        <v>0.0</v>
      </c>
      <c r="L225" s="10">
        <v>0.0</v>
      </c>
      <c r="M225" s="9">
        <v>0.0</v>
      </c>
      <c r="N225" s="9">
        <v>55946.0</v>
      </c>
      <c r="O225" s="9">
        <v>55315.0</v>
      </c>
      <c r="P225" s="9">
        <v>15609.0</v>
      </c>
      <c r="Q225" s="9">
        <v>272.0</v>
      </c>
      <c r="R225" s="9">
        <v>0.0</v>
      </c>
      <c r="S225" s="9">
        <v>0.0</v>
      </c>
      <c r="T225" s="9">
        <v>0.0</v>
      </c>
      <c r="U225" s="9">
        <v>0.0</v>
      </c>
      <c r="V225" s="9">
        <v>0.0</v>
      </c>
      <c r="W225" s="9">
        <v>0.0</v>
      </c>
      <c r="X225" s="9">
        <v>0.0</v>
      </c>
      <c r="Y225" s="9">
        <v>0.0</v>
      </c>
      <c r="Z225" s="9">
        <v>0.0</v>
      </c>
      <c r="AA225" s="9">
        <v>0.0</v>
      </c>
      <c r="AB225" s="9">
        <v>0.0</v>
      </c>
      <c r="AC225" s="9">
        <v>0.0</v>
      </c>
      <c r="AD225" s="9"/>
      <c r="AE225" s="9" t="s">
        <v>9</v>
      </c>
    </row>
    <row r="226">
      <c r="A226" s="7" t="s">
        <v>827</v>
      </c>
      <c r="B226" s="7" t="s">
        <v>828</v>
      </c>
      <c r="C226" s="8">
        <v>46080.0</v>
      </c>
      <c r="D226" s="8">
        <v>46080.0</v>
      </c>
      <c r="E226" s="7" t="s">
        <v>358</v>
      </c>
      <c r="F226" s="7" t="s">
        <v>387</v>
      </c>
      <c r="G226" s="7" t="s">
        <v>355</v>
      </c>
      <c r="H226" s="9">
        <v>0.0</v>
      </c>
      <c r="I226" s="9">
        <v>0.0</v>
      </c>
      <c r="J226" s="9">
        <v>0.0</v>
      </c>
      <c r="K226" s="9">
        <v>0.0</v>
      </c>
      <c r="L226" s="10">
        <v>0.0</v>
      </c>
      <c r="M226" s="9">
        <v>0.0</v>
      </c>
      <c r="N226" s="9">
        <v>18446.0</v>
      </c>
      <c r="O226" s="9">
        <v>18314.0</v>
      </c>
      <c r="P226" s="9">
        <v>7885.0</v>
      </c>
      <c r="Q226" s="9">
        <v>385.0</v>
      </c>
      <c r="R226" s="9">
        <v>0.0</v>
      </c>
      <c r="S226" s="9">
        <v>0.0</v>
      </c>
      <c r="T226" s="9">
        <v>0.0</v>
      </c>
      <c r="U226" s="9">
        <v>0.0</v>
      </c>
      <c r="V226" s="9">
        <v>0.0</v>
      </c>
      <c r="W226" s="9">
        <v>0.0</v>
      </c>
      <c r="X226" s="9">
        <v>0.0</v>
      </c>
      <c r="Y226" s="9">
        <v>0.0</v>
      </c>
      <c r="Z226" s="9">
        <v>0.0</v>
      </c>
      <c r="AA226" s="9">
        <v>0.0</v>
      </c>
      <c r="AB226" s="9">
        <v>0.0</v>
      </c>
      <c r="AC226" s="9">
        <v>0.0</v>
      </c>
      <c r="AD226" s="9"/>
      <c r="AE226" s="9" t="s">
        <v>9</v>
      </c>
    </row>
    <row r="227">
      <c r="A227" s="7" t="s">
        <v>829</v>
      </c>
      <c r="B227" s="7" t="s">
        <v>830</v>
      </c>
      <c r="C227" s="8">
        <v>46080.0</v>
      </c>
      <c r="D227" s="8">
        <v>46112.0</v>
      </c>
      <c r="E227" s="7" t="s">
        <v>364</v>
      </c>
      <c r="F227" s="7" t="s">
        <v>365</v>
      </c>
      <c r="G227" s="7" t="s">
        <v>355</v>
      </c>
      <c r="H227" s="9">
        <v>2071578.0</v>
      </c>
      <c r="I227" s="9">
        <v>0.0</v>
      </c>
      <c r="J227" s="9">
        <v>17948.0</v>
      </c>
      <c r="K227" s="9">
        <v>97932.0</v>
      </c>
      <c r="L227" s="10">
        <v>16.915778295143568</v>
      </c>
      <c r="M227" s="9">
        <v>21.153228770983947</v>
      </c>
      <c r="N227" s="9">
        <v>167233.0</v>
      </c>
      <c r="O227" s="9">
        <v>166235.0</v>
      </c>
      <c r="P227" s="9">
        <v>71318.0</v>
      </c>
      <c r="Q227" s="9">
        <v>327.0</v>
      </c>
      <c r="R227" s="9">
        <v>0.0</v>
      </c>
      <c r="S227" s="9">
        <v>0.0</v>
      </c>
      <c r="T227" s="9">
        <v>0.0</v>
      </c>
      <c r="U227" s="9">
        <v>0.0</v>
      </c>
      <c r="V227" s="9">
        <v>0.0</v>
      </c>
      <c r="W227" s="9">
        <v>0.0</v>
      </c>
      <c r="X227" s="9">
        <v>0.0</v>
      </c>
      <c r="Y227" s="9">
        <v>0.0</v>
      </c>
      <c r="Z227" s="9">
        <v>0.0</v>
      </c>
      <c r="AA227" s="9">
        <v>25423.0</v>
      </c>
      <c r="AB227" s="9">
        <v>24061.0</v>
      </c>
      <c r="AC227" s="9">
        <v>2.0</v>
      </c>
      <c r="AD227" s="9"/>
      <c r="AE227" s="9" t="s">
        <v>9</v>
      </c>
    </row>
    <row r="228">
      <c r="A228" s="7" t="s">
        <v>831</v>
      </c>
      <c r="B228" s="7" t="s">
        <v>832</v>
      </c>
      <c r="C228" s="8">
        <v>46126.0</v>
      </c>
      <c r="D228" s="8">
        <v>46142.0</v>
      </c>
      <c r="E228" s="7" t="s">
        <v>353</v>
      </c>
      <c r="F228" s="7" t="s">
        <v>833</v>
      </c>
      <c r="G228" s="7" t="s">
        <v>355</v>
      </c>
      <c r="H228" s="9">
        <v>2253388.0</v>
      </c>
      <c r="I228" s="9">
        <v>0.0</v>
      </c>
      <c r="J228" s="9">
        <v>14167.0</v>
      </c>
      <c r="K228" s="9">
        <v>420563.0</v>
      </c>
      <c r="L228" s="10">
        <v>1.6520759077712495</v>
      </c>
      <c r="M228" s="9">
        <v>5.358027215898688</v>
      </c>
      <c r="N228" s="9">
        <v>0.0</v>
      </c>
      <c r="O228" s="9">
        <v>0.0</v>
      </c>
      <c r="P228" s="9">
        <v>0.0</v>
      </c>
      <c r="Q228" s="9">
        <v>0.0</v>
      </c>
      <c r="R228" s="9">
        <v>0.0</v>
      </c>
      <c r="S228" s="9">
        <v>0.0</v>
      </c>
      <c r="T228" s="9">
        <v>0.0</v>
      </c>
      <c r="U228" s="9">
        <v>0.0</v>
      </c>
      <c r="V228" s="9">
        <v>0.0</v>
      </c>
      <c r="W228" s="9">
        <v>0.0</v>
      </c>
      <c r="X228" s="9">
        <v>0.0</v>
      </c>
      <c r="Y228" s="9">
        <v>0.0</v>
      </c>
      <c r="Z228" s="9">
        <v>0.0</v>
      </c>
      <c r="AA228" s="9">
        <v>0.0</v>
      </c>
      <c r="AB228" s="9">
        <v>0.0</v>
      </c>
      <c r="AC228" s="9">
        <v>0.0</v>
      </c>
      <c r="AD228" s="11" t="s">
        <v>50</v>
      </c>
      <c r="AE228" s="9"/>
    </row>
    <row r="229">
      <c r="A229" s="7" t="s">
        <v>834</v>
      </c>
      <c r="B229" s="7" t="s">
        <v>835</v>
      </c>
      <c r="C229" s="8">
        <v>46098.0</v>
      </c>
      <c r="D229" s="8">
        <v>46117.0</v>
      </c>
      <c r="E229" s="7" t="s">
        <v>404</v>
      </c>
      <c r="F229" s="7" t="s">
        <v>405</v>
      </c>
      <c r="G229" s="7" t="s">
        <v>355</v>
      </c>
      <c r="H229" s="9">
        <v>1.6823745E7</v>
      </c>
      <c r="I229" s="9">
        <v>2400933.0</v>
      </c>
      <c r="J229" s="9">
        <v>32003.0</v>
      </c>
      <c r="K229" s="9">
        <v>247941.0</v>
      </c>
      <c r="L229" s="10">
        <v>30.804526076768262</v>
      </c>
      <c r="M229" s="9">
        <v>67.85382409524847</v>
      </c>
      <c r="N229" s="9">
        <v>212479.0</v>
      </c>
      <c r="O229" s="9">
        <v>209349.0</v>
      </c>
      <c r="P229" s="9">
        <v>64997.0</v>
      </c>
      <c r="Q229" s="9">
        <v>5277.0</v>
      </c>
      <c r="R229" s="9">
        <v>0.0</v>
      </c>
      <c r="S229" s="9">
        <v>0.0</v>
      </c>
      <c r="T229" s="9">
        <v>0.0</v>
      </c>
      <c r="U229" s="9">
        <v>0.0</v>
      </c>
      <c r="V229" s="9">
        <v>0.0</v>
      </c>
      <c r="W229" s="9">
        <v>0.0</v>
      </c>
      <c r="X229" s="9">
        <v>0.0</v>
      </c>
      <c r="Y229" s="9">
        <v>0.0</v>
      </c>
      <c r="Z229" s="9">
        <v>0.0</v>
      </c>
      <c r="AA229" s="9">
        <v>0.0</v>
      </c>
      <c r="AB229" s="9">
        <v>0.0</v>
      </c>
      <c r="AC229" s="9">
        <v>0.0</v>
      </c>
      <c r="AD229" s="9"/>
      <c r="AE229" s="9" t="s">
        <v>9</v>
      </c>
    </row>
    <row r="230">
      <c r="A230" s="7" t="s">
        <v>836</v>
      </c>
      <c r="B230" s="7" t="s">
        <v>837</v>
      </c>
      <c r="C230" s="8">
        <v>46080.0</v>
      </c>
      <c r="D230" s="8">
        <v>46097.0</v>
      </c>
      <c r="E230" s="7" t="s">
        <v>416</v>
      </c>
      <c r="F230" s="7" t="s">
        <v>417</v>
      </c>
      <c r="G230" s="7" t="s">
        <v>355</v>
      </c>
      <c r="H230" s="9">
        <v>1897592.0</v>
      </c>
      <c r="I230" s="9">
        <v>17733.0</v>
      </c>
      <c r="J230" s="9">
        <v>4521.0</v>
      </c>
      <c r="K230" s="9">
        <v>32724.0</v>
      </c>
      <c r="L230" s="10">
        <v>2.5839445055616674</v>
      </c>
      <c r="M230" s="9">
        <v>57.98777655543332</v>
      </c>
      <c r="N230" s="9">
        <v>15582.0</v>
      </c>
      <c r="O230" s="9">
        <v>15411.0</v>
      </c>
      <c r="P230" s="9">
        <v>3187.0</v>
      </c>
      <c r="Q230" s="9">
        <v>144.0</v>
      </c>
      <c r="R230" s="9">
        <v>54.0</v>
      </c>
      <c r="S230" s="9">
        <v>54.0</v>
      </c>
      <c r="T230" s="9">
        <v>31.0</v>
      </c>
      <c r="U230" s="9">
        <v>28.0</v>
      </c>
      <c r="V230" s="9">
        <v>8688.0</v>
      </c>
      <c r="W230" s="9">
        <v>8688.0</v>
      </c>
      <c r="X230" s="9">
        <v>7849.0</v>
      </c>
      <c r="Y230" s="9">
        <v>3283.0</v>
      </c>
      <c r="Z230" s="9">
        <v>54.0</v>
      </c>
      <c r="AA230" s="9">
        <v>0.0</v>
      </c>
      <c r="AB230" s="9">
        <v>0.0</v>
      </c>
      <c r="AC230" s="9">
        <v>0.0</v>
      </c>
      <c r="AD230" s="9"/>
      <c r="AE230" s="9" t="s">
        <v>9</v>
      </c>
    </row>
    <row r="231">
      <c r="A231" s="7" t="s">
        <v>838</v>
      </c>
      <c r="B231" s="7" t="s">
        <v>839</v>
      </c>
      <c r="C231" s="8">
        <v>46080.0</v>
      </c>
      <c r="D231" s="8">
        <v>46084.0</v>
      </c>
      <c r="E231" s="7" t="s">
        <v>416</v>
      </c>
      <c r="F231" s="7" t="s">
        <v>365</v>
      </c>
      <c r="G231" s="7" t="s">
        <v>355</v>
      </c>
      <c r="H231" s="9">
        <v>159731.0</v>
      </c>
      <c r="I231" s="9">
        <v>0.0</v>
      </c>
      <c r="J231" s="9">
        <v>194.0</v>
      </c>
      <c r="K231" s="9">
        <v>134518.0</v>
      </c>
      <c r="L231" s="10">
        <v>1.1874321652120905</v>
      </c>
      <c r="M231" s="9">
        <v>1.1874321652120905</v>
      </c>
      <c r="N231" s="9">
        <v>348981.0</v>
      </c>
      <c r="O231" s="9">
        <v>348095.0</v>
      </c>
      <c r="P231" s="9">
        <v>14802.0</v>
      </c>
      <c r="Q231" s="9">
        <v>285.0</v>
      </c>
      <c r="R231" s="9">
        <v>133.0</v>
      </c>
      <c r="S231" s="9">
        <v>133.0</v>
      </c>
      <c r="T231" s="9">
        <v>40.0</v>
      </c>
      <c r="U231" s="9">
        <v>37.0</v>
      </c>
      <c r="V231" s="9">
        <v>0.0</v>
      </c>
      <c r="W231" s="9">
        <v>0.0</v>
      </c>
      <c r="X231" s="9">
        <v>0.0</v>
      </c>
      <c r="Y231" s="9">
        <v>0.0</v>
      </c>
      <c r="Z231" s="9">
        <v>0.0</v>
      </c>
      <c r="AA231" s="9">
        <v>0.0</v>
      </c>
      <c r="AB231" s="9">
        <v>0.0</v>
      </c>
      <c r="AC231" s="9">
        <v>0.0</v>
      </c>
      <c r="AD231" s="9"/>
      <c r="AE231" s="9" t="s">
        <v>9</v>
      </c>
    </row>
    <row r="232">
      <c r="A232" s="7" t="s">
        <v>840</v>
      </c>
      <c r="B232" s="7" t="s">
        <v>841</v>
      </c>
      <c r="C232" s="8">
        <v>46080.0</v>
      </c>
      <c r="D232" s="8">
        <v>46083.0</v>
      </c>
      <c r="E232" s="7" t="s">
        <v>416</v>
      </c>
      <c r="F232" s="7" t="s">
        <v>387</v>
      </c>
      <c r="G232" s="7" t="s">
        <v>355</v>
      </c>
      <c r="H232" s="9">
        <v>53906.0</v>
      </c>
      <c r="I232" s="9">
        <v>0.0</v>
      </c>
      <c r="J232" s="9">
        <v>245.0</v>
      </c>
      <c r="K232" s="9">
        <v>48035.0</v>
      </c>
      <c r="L232" s="10">
        <v>1.1222233787863016</v>
      </c>
      <c r="M232" s="9">
        <v>1.1222233787863016</v>
      </c>
      <c r="N232" s="9">
        <v>72941.0</v>
      </c>
      <c r="O232" s="9">
        <v>72237.0</v>
      </c>
      <c r="P232" s="9">
        <v>16391.0</v>
      </c>
      <c r="Q232" s="9">
        <v>332.0</v>
      </c>
      <c r="R232" s="9">
        <v>145.0</v>
      </c>
      <c r="S232" s="9">
        <v>145.0</v>
      </c>
      <c r="T232" s="9">
        <v>42.0</v>
      </c>
      <c r="U232" s="9">
        <v>41.0</v>
      </c>
      <c r="V232" s="9">
        <v>0.0</v>
      </c>
      <c r="W232" s="9">
        <v>0.0</v>
      </c>
      <c r="X232" s="9">
        <v>0.0</v>
      </c>
      <c r="Y232" s="9">
        <v>0.0</v>
      </c>
      <c r="Z232" s="9">
        <v>0.0</v>
      </c>
      <c r="AA232" s="9">
        <v>0.0</v>
      </c>
      <c r="AB232" s="9">
        <v>0.0</v>
      </c>
      <c r="AC232" s="9">
        <v>0.0</v>
      </c>
      <c r="AD232" s="9"/>
      <c r="AE232" s="9" t="s">
        <v>9</v>
      </c>
    </row>
    <row r="233">
      <c r="A233" s="7" t="s">
        <v>842</v>
      </c>
      <c r="B233" s="7" t="s">
        <v>843</v>
      </c>
      <c r="C233" s="8">
        <v>46079.0</v>
      </c>
      <c r="D233" s="8">
        <v>46085.0</v>
      </c>
      <c r="E233" s="7" t="s">
        <v>416</v>
      </c>
      <c r="F233" s="7" t="s">
        <v>594</v>
      </c>
      <c r="G233" s="7" t="s">
        <v>355</v>
      </c>
      <c r="H233" s="9">
        <v>121544.0</v>
      </c>
      <c r="I233" s="9">
        <v>0.0</v>
      </c>
      <c r="J233" s="9">
        <v>139.0</v>
      </c>
      <c r="K233" s="9">
        <v>110066.0</v>
      </c>
      <c r="L233" s="10">
        <v>1.1042828848145658</v>
      </c>
      <c r="M233" s="9">
        <v>1.1042828848145658</v>
      </c>
      <c r="N233" s="9">
        <v>52292.0</v>
      </c>
      <c r="O233" s="9">
        <v>51742.0</v>
      </c>
      <c r="P233" s="9">
        <v>14519.0</v>
      </c>
      <c r="Q233" s="9">
        <v>305.0</v>
      </c>
      <c r="R233" s="9">
        <v>149.0</v>
      </c>
      <c r="S233" s="9">
        <v>149.0</v>
      </c>
      <c r="T233" s="9">
        <v>52.0</v>
      </c>
      <c r="U233" s="9">
        <v>51.0</v>
      </c>
      <c r="V233" s="9">
        <v>0.0</v>
      </c>
      <c r="W233" s="9">
        <v>0.0</v>
      </c>
      <c r="X233" s="9">
        <v>0.0</v>
      </c>
      <c r="Y233" s="9">
        <v>0.0</v>
      </c>
      <c r="Z233" s="9">
        <v>0.0</v>
      </c>
      <c r="AA233" s="9">
        <v>0.0</v>
      </c>
      <c r="AB233" s="9">
        <v>0.0</v>
      </c>
      <c r="AC233" s="9">
        <v>0.0</v>
      </c>
      <c r="AD233" s="9"/>
      <c r="AE233" s="9" t="s">
        <v>9</v>
      </c>
    </row>
    <row r="234">
      <c r="A234" s="7" t="s">
        <v>844</v>
      </c>
      <c r="B234" s="7" t="s">
        <v>845</v>
      </c>
      <c r="C234" s="8">
        <v>46079.0</v>
      </c>
      <c r="D234" s="8">
        <v>46086.0</v>
      </c>
      <c r="E234" s="7" t="s">
        <v>416</v>
      </c>
      <c r="F234" s="7" t="s">
        <v>359</v>
      </c>
      <c r="G234" s="7" t="s">
        <v>355</v>
      </c>
      <c r="H234" s="9">
        <v>68014.0</v>
      </c>
      <c r="I234" s="9">
        <v>0.0</v>
      </c>
      <c r="J234" s="9">
        <v>249.0</v>
      </c>
      <c r="K234" s="9">
        <v>53768.0</v>
      </c>
      <c r="L234" s="10">
        <v>1.2649531319744085</v>
      </c>
      <c r="M234" s="9">
        <v>1.2649531319744085</v>
      </c>
      <c r="N234" s="9">
        <v>72160.0</v>
      </c>
      <c r="O234" s="9">
        <v>71316.0</v>
      </c>
      <c r="P234" s="9">
        <v>12819.0</v>
      </c>
      <c r="Q234" s="9">
        <v>303.0</v>
      </c>
      <c r="R234" s="9">
        <v>148.0</v>
      </c>
      <c r="S234" s="9">
        <v>148.0</v>
      </c>
      <c r="T234" s="9">
        <v>46.0</v>
      </c>
      <c r="U234" s="9">
        <v>44.0</v>
      </c>
      <c r="V234" s="9">
        <v>0.0</v>
      </c>
      <c r="W234" s="9">
        <v>0.0</v>
      </c>
      <c r="X234" s="9">
        <v>0.0</v>
      </c>
      <c r="Y234" s="9">
        <v>0.0</v>
      </c>
      <c r="Z234" s="9">
        <v>0.0</v>
      </c>
      <c r="AA234" s="9">
        <v>0.0</v>
      </c>
      <c r="AB234" s="9">
        <v>0.0</v>
      </c>
      <c r="AC234" s="9">
        <v>0.0</v>
      </c>
      <c r="AD234" s="9"/>
      <c r="AE234" s="9" t="s">
        <v>9</v>
      </c>
    </row>
    <row r="235">
      <c r="A235" s="7" t="s">
        <v>846</v>
      </c>
      <c r="B235" s="7" t="s">
        <v>847</v>
      </c>
      <c r="C235" s="8">
        <v>46080.0</v>
      </c>
      <c r="D235" s="8">
        <v>46080.0</v>
      </c>
      <c r="E235" s="7" t="s">
        <v>404</v>
      </c>
      <c r="F235" s="7" t="s">
        <v>405</v>
      </c>
      <c r="G235" s="7" t="s">
        <v>355</v>
      </c>
      <c r="H235" s="9">
        <v>0.0</v>
      </c>
      <c r="I235" s="9">
        <v>0.0</v>
      </c>
      <c r="J235" s="9">
        <v>0.0</v>
      </c>
      <c r="K235" s="9">
        <v>0.0</v>
      </c>
      <c r="L235" s="10">
        <v>0.0</v>
      </c>
      <c r="M235" s="9">
        <v>0.0</v>
      </c>
      <c r="N235" s="9">
        <v>70761.0</v>
      </c>
      <c r="O235" s="9">
        <v>69527.0</v>
      </c>
      <c r="P235" s="9">
        <v>17258.0</v>
      </c>
      <c r="Q235" s="9">
        <v>478.0</v>
      </c>
      <c r="R235" s="9">
        <v>0.0</v>
      </c>
      <c r="S235" s="9">
        <v>0.0</v>
      </c>
      <c r="T235" s="9">
        <v>0.0</v>
      </c>
      <c r="U235" s="9">
        <v>0.0</v>
      </c>
      <c r="V235" s="9">
        <v>0.0</v>
      </c>
      <c r="W235" s="9">
        <v>0.0</v>
      </c>
      <c r="X235" s="9">
        <v>0.0</v>
      </c>
      <c r="Y235" s="9">
        <v>0.0</v>
      </c>
      <c r="Z235" s="9">
        <v>0.0</v>
      </c>
      <c r="AA235" s="9">
        <v>0.0</v>
      </c>
      <c r="AB235" s="9">
        <v>0.0</v>
      </c>
      <c r="AC235" s="9">
        <v>0.0</v>
      </c>
      <c r="AD235" s="9"/>
      <c r="AE235" s="9" t="s">
        <v>9</v>
      </c>
    </row>
    <row r="236">
      <c r="A236" s="7" t="s">
        <v>848</v>
      </c>
      <c r="B236" s="7" t="s">
        <v>849</v>
      </c>
      <c r="C236" s="8">
        <v>46083.0</v>
      </c>
      <c r="D236" s="8">
        <v>46092.0</v>
      </c>
      <c r="E236" s="7" t="s">
        <v>416</v>
      </c>
      <c r="F236" s="7" t="s">
        <v>466</v>
      </c>
      <c r="G236" s="7" t="s">
        <v>355</v>
      </c>
      <c r="H236" s="9">
        <v>97996.0</v>
      </c>
      <c r="I236" s="9">
        <v>0.0</v>
      </c>
      <c r="J236" s="9">
        <v>273.0</v>
      </c>
      <c r="K236" s="9">
        <v>75606.0</v>
      </c>
      <c r="L236" s="10">
        <v>1.296140517948311</v>
      </c>
      <c r="M236" s="9">
        <v>1.296140517948311</v>
      </c>
      <c r="N236" s="9">
        <v>37528.0</v>
      </c>
      <c r="O236" s="9">
        <v>36976.0</v>
      </c>
      <c r="P236" s="9">
        <v>6596.0</v>
      </c>
      <c r="Q236" s="9">
        <v>203.0</v>
      </c>
      <c r="R236" s="9">
        <v>153.0</v>
      </c>
      <c r="S236" s="9">
        <v>153.0</v>
      </c>
      <c r="T236" s="9">
        <v>56.0</v>
      </c>
      <c r="U236" s="9">
        <v>54.0</v>
      </c>
      <c r="V236" s="9">
        <v>0.0</v>
      </c>
      <c r="W236" s="9">
        <v>0.0</v>
      </c>
      <c r="X236" s="9">
        <v>0.0</v>
      </c>
      <c r="Y236" s="9">
        <v>0.0</v>
      </c>
      <c r="Z236" s="9">
        <v>0.0</v>
      </c>
      <c r="AA236" s="9">
        <v>0.0</v>
      </c>
      <c r="AB236" s="9">
        <v>0.0</v>
      </c>
      <c r="AC236" s="9">
        <v>0.0</v>
      </c>
      <c r="AD236" s="9"/>
      <c r="AE236" s="9" t="s">
        <v>9</v>
      </c>
    </row>
    <row r="237">
      <c r="A237" s="7" t="s">
        <v>850</v>
      </c>
      <c r="B237" s="7" t="s">
        <v>851</v>
      </c>
      <c r="C237" s="8">
        <v>46083.0</v>
      </c>
      <c r="D237" s="8">
        <v>46087.0</v>
      </c>
      <c r="E237" s="7" t="s">
        <v>416</v>
      </c>
      <c r="F237" s="7" t="s">
        <v>466</v>
      </c>
      <c r="G237" s="7" t="s">
        <v>355</v>
      </c>
      <c r="H237" s="9">
        <v>135156.0</v>
      </c>
      <c r="I237" s="9">
        <v>0.0</v>
      </c>
      <c r="J237" s="9">
        <v>335.0</v>
      </c>
      <c r="K237" s="9">
        <v>105044.0</v>
      </c>
      <c r="L237" s="10">
        <v>1.2866608278435703</v>
      </c>
      <c r="M237" s="9">
        <v>1.2866608278435703</v>
      </c>
      <c r="N237" s="9">
        <v>593.0</v>
      </c>
      <c r="O237" s="9">
        <v>591.0</v>
      </c>
      <c r="P237" s="9">
        <v>143.0</v>
      </c>
      <c r="Q237" s="9">
        <v>5.0</v>
      </c>
      <c r="R237" s="9">
        <v>110.0</v>
      </c>
      <c r="S237" s="9">
        <v>110.0</v>
      </c>
      <c r="T237" s="9">
        <v>39.0</v>
      </c>
      <c r="U237" s="9">
        <v>35.0</v>
      </c>
      <c r="V237" s="9">
        <v>0.0</v>
      </c>
      <c r="W237" s="9">
        <v>0.0</v>
      </c>
      <c r="X237" s="9">
        <v>0.0</v>
      </c>
      <c r="Y237" s="9">
        <v>0.0</v>
      </c>
      <c r="Z237" s="9">
        <v>0.0</v>
      </c>
      <c r="AA237" s="9">
        <v>0.0</v>
      </c>
      <c r="AB237" s="9">
        <v>0.0</v>
      </c>
      <c r="AC237" s="9">
        <v>0.0</v>
      </c>
      <c r="AD237" s="9"/>
      <c r="AE237" s="9" t="s">
        <v>9</v>
      </c>
    </row>
    <row r="238">
      <c r="A238" s="7" t="s">
        <v>852</v>
      </c>
      <c r="B238" s="7" t="s">
        <v>853</v>
      </c>
      <c r="C238" s="8">
        <v>46083.0</v>
      </c>
      <c r="D238" s="8">
        <v>46090.0</v>
      </c>
      <c r="E238" s="7" t="s">
        <v>416</v>
      </c>
      <c r="F238" s="7" t="s">
        <v>466</v>
      </c>
      <c r="G238" s="7" t="s">
        <v>355</v>
      </c>
      <c r="H238" s="9">
        <v>398512.0</v>
      </c>
      <c r="I238" s="9">
        <v>0.0</v>
      </c>
      <c r="J238" s="9">
        <v>594.0</v>
      </c>
      <c r="K238" s="9">
        <v>334058.0</v>
      </c>
      <c r="L238" s="10">
        <v>1.19294254291171</v>
      </c>
      <c r="M238" s="9">
        <v>1.19294254291171</v>
      </c>
      <c r="N238" s="9">
        <v>62004.0</v>
      </c>
      <c r="O238" s="9">
        <v>61326.0</v>
      </c>
      <c r="P238" s="9">
        <v>16598.0</v>
      </c>
      <c r="Q238" s="9">
        <v>194.0</v>
      </c>
      <c r="R238" s="9">
        <v>86.0</v>
      </c>
      <c r="S238" s="9">
        <v>86.0</v>
      </c>
      <c r="T238" s="9">
        <v>17.0</v>
      </c>
      <c r="U238" s="9">
        <v>17.0</v>
      </c>
      <c r="V238" s="9">
        <v>0.0</v>
      </c>
      <c r="W238" s="9">
        <v>0.0</v>
      </c>
      <c r="X238" s="9">
        <v>0.0</v>
      </c>
      <c r="Y238" s="9">
        <v>0.0</v>
      </c>
      <c r="Z238" s="9">
        <v>0.0</v>
      </c>
      <c r="AA238" s="9">
        <v>0.0</v>
      </c>
      <c r="AB238" s="9">
        <v>0.0</v>
      </c>
      <c r="AC238" s="9">
        <v>0.0</v>
      </c>
      <c r="AD238" s="9"/>
      <c r="AE238" s="9" t="s">
        <v>51</v>
      </c>
    </row>
    <row r="239">
      <c r="A239" s="7" t="s">
        <v>854</v>
      </c>
      <c r="B239" s="7" t="s">
        <v>855</v>
      </c>
      <c r="C239" s="8">
        <v>46083.0</v>
      </c>
      <c r="D239" s="8">
        <v>46087.0</v>
      </c>
      <c r="E239" s="7" t="s">
        <v>416</v>
      </c>
      <c r="F239" s="7" t="s">
        <v>466</v>
      </c>
      <c r="G239" s="7" t="s">
        <v>355</v>
      </c>
      <c r="H239" s="9">
        <v>492445.0</v>
      </c>
      <c r="I239" s="9">
        <v>0.0</v>
      </c>
      <c r="J239" s="9">
        <v>601.0</v>
      </c>
      <c r="K239" s="9">
        <v>379797.0</v>
      </c>
      <c r="L239" s="10">
        <v>1.2966005524003612</v>
      </c>
      <c r="M239" s="9">
        <v>1.2966005524003612</v>
      </c>
      <c r="N239" s="9">
        <v>67205.0</v>
      </c>
      <c r="O239" s="9">
        <v>66279.0</v>
      </c>
      <c r="P239" s="9">
        <v>11375.0</v>
      </c>
      <c r="Q239" s="9">
        <v>251.0</v>
      </c>
      <c r="R239" s="9">
        <v>173.0</v>
      </c>
      <c r="S239" s="9">
        <v>173.0</v>
      </c>
      <c r="T239" s="9">
        <v>51.0</v>
      </c>
      <c r="U239" s="9">
        <v>49.0</v>
      </c>
      <c r="V239" s="9">
        <v>0.0</v>
      </c>
      <c r="W239" s="9">
        <v>0.0</v>
      </c>
      <c r="X239" s="9">
        <v>0.0</v>
      </c>
      <c r="Y239" s="9">
        <v>0.0</v>
      </c>
      <c r="Z239" s="9">
        <v>0.0</v>
      </c>
      <c r="AA239" s="9">
        <v>0.0</v>
      </c>
      <c r="AB239" s="9">
        <v>0.0</v>
      </c>
      <c r="AC239" s="9">
        <v>0.0</v>
      </c>
      <c r="AD239" s="9"/>
      <c r="AE239" s="9" t="s">
        <v>9</v>
      </c>
    </row>
    <row r="240">
      <c r="A240" s="7" t="s">
        <v>856</v>
      </c>
      <c r="B240" s="7" t="s">
        <v>857</v>
      </c>
      <c r="C240" s="8">
        <v>46092.0</v>
      </c>
      <c r="D240" s="8">
        <v>46204.0</v>
      </c>
      <c r="E240" s="7" t="s">
        <v>364</v>
      </c>
      <c r="F240" s="7" t="s">
        <v>365</v>
      </c>
      <c r="G240" s="7" t="s">
        <v>355</v>
      </c>
      <c r="H240" s="9">
        <v>3984356.0</v>
      </c>
      <c r="I240" s="9">
        <v>1148319.0</v>
      </c>
      <c r="J240" s="9">
        <v>11016.0</v>
      </c>
      <c r="K240" s="9">
        <v>312654.0</v>
      </c>
      <c r="L240" s="10">
        <v>1.5757770570662777</v>
      </c>
      <c r="M240" s="9">
        <v>12.743659124783306</v>
      </c>
      <c r="N240" s="9">
        <v>0.0</v>
      </c>
      <c r="O240" s="9">
        <v>0.0</v>
      </c>
      <c r="P240" s="9">
        <v>0.0</v>
      </c>
      <c r="Q240" s="9">
        <v>0.0</v>
      </c>
      <c r="R240" s="9">
        <v>0.0</v>
      </c>
      <c r="S240" s="9">
        <v>0.0</v>
      </c>
      <c r="T240" s="9">
        <v>0.0</v>
      </c>
      <c r="U240" s="9">
        <v>0.0</v>
      </c>
      <c r="V240" s="9">
        <v>0.0</v>
      </c>
      <c r="W240" s="9">
        <v>0.0</v>
      </c>
      <c r="X240" s="9">
        <v>0.0</v>
      </c>
      <c r="Y240" s="9">
        <v>0.0</v>
      </c>
      <c r="Z240" s="9">
        <v>0.0</v>
      </c>
      <c r="AA240" s="9">
        <v>0.0</v>
      </c>
      <c r="AB240" s="9">
        <v>0.0</v>
      </c>
      <c r="AC240" s="9">
        <v>0.0</v>
      </c>
      <c r="AD240" s="9"/>
      <c r="AE240" s="9"/>
    </row>
    <row r="241">
      <c r="A241" s="7" t="s">
        <v>858</v>
      </c>
      <c r="B241" s="7" t="s">
        <v>859</v>
      </c>
      <c r="C241" s="8">
        <v>46083.0</v>
      </c>
      <c r="D241" s="8">
        <v>46090.0</v>
      </c>
      <c r="E241" s="7" t="s">
        <v>416</v>
      </c>
      <c r="F241" s="7" t="s">
        <v>725</v>
      </c>
      <c r="G241" s="7" t="s">
        <v>355</v>
      </c>
      <c r="H241" s="9">
        <v>201113.0</v>
      </c>
      <c r="I241" s="9">
        <v>0.0</v>
      </c>
      <c r="J241" s="9">
        <v>549.0</v>
      </c>
      <c r="K241" s="9">
        <v>152380.0</v>
      </c>
      <c r="L241" s="10">
        <v>1.3198123113269458</v>
      </c>
      <c r="M241" s="9">
        <v>1.3198123113269458</v>
      </c>
      <c r="N241" s="9">
        <v>19765.0</v>
      </c>
      <c r="O241" s="9">
        <v>19539.0</v>
      </c>
      <c r="P241" s="9">
        <v>3831.0</v>
      </c>
      <c r="Q241" s="9">
        <v>72.0</v>
      </c>
      <c r="R241" s="9">
        <v>44.0</v>
      </c>
      <c r="S241" s="9">
        <v>44.0</v>
      </c>
      <c r="T241" s="9">
        <v>16.0</v>
      </c>
      <c r="U241" s="9">
        <v>15.0</v>
      </c>
      <c r="V241" s="9">
        <v>0.0</v>
      </c>
      <c r="W241" s="9">
        <v>0.0</v>
      </c>
      <c r="X241" s="9">
        <v>0.0</v>
      </c>
      <c r="Y241" s="9">
        <v>0.0</v>
      </c>
      <c r="Z241" s="9">
        <v>0.0</v>
      </c>
      <c r="AA241" s="9">
        <v>0.0</v>
      </c>
      <c r="AB241" s="9">
        <v>0.0</v>
      </c>
      <c r="AC241" s="9">
        <v>0.0</v>
      </c>
      <c r="AD241" s="9"/>
      <c r="AE241" s="9" t="s">
        <v>9</v>
      </c>
    </row>
    <row r="242">
      <c r="A242" s="7" t="s">
        <v>860</v>
      </c>
      <c r="B242" s="7" t="s">
        <v>861</v>
      </c>
      <c r="C242" s="8">
        <v>46087.0</v>
      </c>
      <c r="D242" s="8">
        <v>46093.0</v>
      </c>
      <c r="E242" s="7" t="s">
        <v>416</v>
      </c>
      <c r="F242" s="7" t="s">
        <v>430</v>
      </c>
      <c r="G242" s="7" t="s">
        <v>355</v>
      </c>
      <c r="H242" s="9">
        <v>0.0</v>
      </c>
      <c r="I242" s="9">
        <v>0.0</v>
      </c>
      <c r="J242" s="9">
        <v>0.0</v>
      </c>
      <c r="K242" s="9">
        <v>0.0</v>
      </c>
      <c r="L242" s="10">
        <v>0.0</v>
      </c>
      <c r="M242" s="9">
        <v>0.0</v>
      </c>
      <c r="N242" s="9">
        <v>31906.0</v>
      </c>
      <c r="O242" s="9">
        <v>31115.0</v>
      </c>
      <c r="P242" s="9">
        <v>5211.0</v>
      </c>
      <c r="Q242" s="9">
        <v>78.0</v>
      </c>
      <c r="R242" s="9">
        <v>0.0</v>
      </c>
      <c r="S242" s="9">
        <v>0.0</v>
      </c>
      <c r="T242" s="9">
        <v>0.0</v>
      </c>
      <c r="U242" s="9">
        <v>0.0</v>
      </c>
      <c r="V242" s="9">
        <v>0.0</v>
      </c>
      <c r="W242" s="9">
        <v>0.0</v>
      </c>
      <c r="X242" s="9">
        <v>0.0</v>
      </c>
      <c r="Y242" s="9">
        <v>0.0</v>
      </c>
      <c r="Z242" s="9">
        <v>0.0</v>
      </c>
      <c r="AA242" s="9">
        <v>0.0</v>
      </c>
      <c r="AB242" s="9">
        <v>0.0</v>
      </c>
      <c r="AC242" s="9">
        <v>0.0</v>
      </c>
      <c r="AD242" s="9"/>
      <c r="AE242" s="9" t="s">
        <v>9</v>
      </c>
    </row>
    <row r="243">
      <c r="A243" s="7" t="s">
        <v>862</v>
      </c>
      <c r="B243" s="7" t="s">
        <v>863</v>
      </c>
      <c r="C243" s="8">
        <v>46087.0</v>
      </c>
      <c r="D243" s="8">
        <v>46087.0</v>
      </c>
      <c r="E243" s="7" t="s">
        <v>416</v>
      </c>
      <c r="F243" s="7" t="s">
        <v>430</v>
      </c>
      <c r="G243" s="7" t="s">
        <v>355</v>
      </c>
      <c r="H243" s="9">
        <v>0.0</v>
      </c>
      <c r="I243" s="9">
        <v>0.0</v>
      </c>
      <c r="J243" s="9">
        <v>0.0</v>
      </c>
      <c r="K243" s="9">
        <v>0.0</v>
      </c>
      <c r="L243" s="10">
        <v>0.0</v>
      </c>
      <c r="M243" s="9">
        <v>0.0</v>
      </c>
      <c r="N243" s="9">
        <v>50411.0</v>
      </c>
      <c r="O243" s="9">
        <v>49856.0</v>
      </c>
      <c r="P243" s="9">
        <v>11020.0</v>
      </c>
      <c r="Q243" s="9">
        <v>275.0</v>
      </c>
      <c r="R243" s="9">
        <v>0.0</v>
      </c>
      <c r="S243" s="9">
        <v>0.0</v>
      </c>
      <c r="T243" s="9">
        <v>0.0</v>
      </c>
      <c r="U243" s="9">
        <v>0.0</v>
      </c>
      <c r="V243" s="9">
        <v>0.0</v>
      </c>
      <c r="W243" s="9">
        <v>0.0</v>
      </c>
      <c r="X243" s="9">
        <v>0.0</v>
      </c>
      <c r="Y243" s="9">
        <v>0.0</v>
      </c>
      <c r="Z243" s="9">
        <v>0.0</v>
      </c>
      <c r="AA243" s="9">
        <v>0.0</v>
      </c>
      <c r="AB243" s="9">
        <v>0.0</v>
      </c>
      <c r="AC243" s="9">
        <v>0.0</v>
      </c>
      <c r="AD243" s="9"/>
      <c r="AE243" s="9" t="s">
        <v>9</v>
      </c>
    </row>
    <row r="244">
      <c r="A244" s="7" t="s">
        <v>864</v>
      </c>
      <c r="B244" s="7" t="s">
        <v>865</v>
      </c>
      <c r="C244" s="8">
        <v>46086.0</v>
      </c>
      <c r="D244" s="8">
        <v>46086.0</v>
      </c>
      <c r="E244" s="7" t="s">
        <v>364</v>
      </c>
      <c r="F244" s="7" t="s">
        <v>365</v>
      </c>
      <c r="G244" s="7" t="s">
        <v>355</v>
      </c>
      <c r="H244" s="9">
        <v>0.0</v>
      </c>
      <c r="I244" s="9">
        <v>0.0</v>
      </c>
      <c r="J244" s="9">
        <v>0.0</v>
      </c>
      <c r="K244" s="9">
        <v>0.0</v>
      </c>
      <c r="L244" s="10">
        <v>0.0</v>
      </c>
      <c r="M244" s="9">
        <v>0.0</v>
      </c>
      <c r="N244" s="9">
        <v>102349.0</v>
      </c>
      <c r="O244" s="9">
        <v>101176.0</v>
      </c>
      <c r="P244" s="9">
        <v>39235.0</v>
      </c>
      <c r="Q244" s="9">
        <v>2249.0</v>
      </c>
      <c r="R244" s="9">
        <v>0.0</v>
      </c>
      <c r="S244" s="9">
        <v>0.0</v>
      </c>
      <c r="T244" s="9">
        <v>0.0</v>
      </c>
      <c r="U244" s="9">
        <v>0.0</v>
      </c>
      <c r="V244" s="9">
        <v>0.0</v>
      </c>
      <c r="W244" s="9">
        <v>0.0</v>
      </c>
      <c r="X244" s="9">
        <v>0.0</v>
      </c>
      <c r="Y244" s="9">
        <v>0.0</v>
      </c>
      <c r="Z244" s="9">
        <v>0.0</v>
      </c>
      <c r="AA244" s="9">
        <v>0.0</v>
      </c>
      <c r="AB244" s="9">
        <v>0.0</v>
      </c>
      <c r="AC244" s="9">
        <v>0.0</v>
      </c>
      <c r="AD244" s="9"/>
      <c r="AE244" s="9" t="s">
        <v>9</v>
      </c>
    </row>
    <row r="245">
      <c r="A245" s="7" t="s">
        <v>866</v>
      </c>
      <c r="B245" s="7" t="s">
        <v>867</v>
      </c>
      <c r="C245" s="8">
        <v>46084.0</v>
      </c>
      <c r="D245" s="8">
        <v>46090.0</v>
      </c>
      <c r="E245" s="7" t="s">
        <v>416</v>
      </c>
      <c r="F245" s="7" t="s">
        <v>594</v>
      </c>
      <c r="G245" s="7" t="s">
        <v>355</v>
      </c>
      <c r="H245" s="9">
        <v>0.0</v>
      </c>
      <c r="I245" s="9">
        <v>0.0</v>
      </c>
      <c r="J245" s="9">
        <v>0.0</v>
      </c>
      <c r="K245" s="9">
        <v>0.0</v>
      </c>
      <c r="L245" s="10">
        <v>0.0</v>
      </c>
      <c r="M245" s="9">
        <v>0.0</v>
      </c>
      <c r="N245" s="9">
        <v>14050.0</v>
      </c>
      <c r="O245" s="9">
        <v>13876.0</v>
      </c>
      <c r="P245" s="9">
        <v>2801.0</v>
      </c>
      <c r="Q245" s="9">
        <v>107.0</v>
      </c>
      <c r="R245" s="9">
        <v>57.0</v>
      </c>
      <c r="S245" s="9">
        <v>57.0</v>
      </c>
      <c r="T245" s="9">
        <v>12.0</v>
      </c>
      <c r="U245" s="9">
        <v>12.0</v>
      </c>
      <c r="V245" s="9">
        <v>0.0</v>
      </c>
      <c r="W245" s="9">
        <v>0.0</v>
      </c>
      <c r="X245" s="9">
        <v>0.0</v>
      </c>
      <c r="Y245" s="9">
        <v>0.0</v>
      </c>
      <c r="Z245" s="9">
        <v>0.0</v>
      </c>
      <c r="AA245" s="9">
        <v>0.0</v>
      </c>
      <c r="AB245" s="9">
        <v>0.0</v>
      </c>
      <c r="AC245" s="9">
        <v>0.0</v>
      </c>
      <c r="AD245" s="9"/>
      <c r="AE245" s="9" t="s">
        <v>9</v>
      </c>
    </row>
    <row r="246">
      <c r="A246" s="7" t="s">
        <v>868</v>
      </c>
      <c r="B246" s="7" t="s">
        <v>869</v>
      </c>
      <c r="C246" s="8">
        <v>46087.0</v>
      </c>
      <c r="D246" s="8">
        <v>46087.0</v>
      </c>
      <c r="E246" s="7" t="s">
        <v>416</v>
      </c>
      <c r="F246" s="7" t="s">
        <v>430</v>
      </c>
      <c r="G246" s="7" t="s">
        <v>355</v>
      </c>
      <c r="H246" s="9">
        <v>0.0</v>
      </c>
      <c r="I246" s="9">
        <v>0.0</v>
      </c>
      <c r="J246" s="9">
        <v>0.0</v>
      </c>
      <c r="K246" s="9">
        <v>0.0</v>
      </c>
      <c r="L246" s="10">
        <v>0.0</v>
      </c>
      <c r="M246" s="9">
        <v>0.0</v>
      </c>
      <c r="N246" s="9">
        <v>52304.0</v>
      </c>
      <c r="O246" s="9">
        <v>52059.0</v>
      </c>
      <c r="P246" s="9">
        <v>31070.0</v>
      </c>
      <c r="Q246" s="9">
        <v>287.0</v>
      </c>
      <c r="R246" s="9">
        <v>0.0</v>
      </c>
      <c r="S246" s="9">
        <v>0.0</v>
      </c>
      <c r="T246" s="9">
        <v>0.0</v>
      </c>
      <c r="U246" s="9">
        <v>0.0</v>
      </c>
      <c r="V246" s="9">
        <v>0.0</v>
      </c>
      <c r="W246" s="9">
        <v>0.0</v>
      </c>
      <c r="X246" s="9">
        <v>0.0</v>
      </c>
      <c r="Y246" s="9">
        <v>0.0</v>
      </c>
      <c r="Z246" s="9">
        <v>0.0</v>
      </c>
      <c r="AA246" s="9">
        <v>0.0</v>
      </c>
      <c r="AB246" s="9">
        <v>0.0</v>
      </c>
      <c r="AC246" s="9">
        <v>0.0</v>
      </c>
      <c r="AD246" s="9"/>
      <c r="AE246" s="9" t="s">
        <v>9</v>
      </c>
    </row>
    <row r="247">
      <c r="A247" s="7" t="s">
        <v>870</v>
      </c>
      <c r="B247" s="7" t="s">
        <v>871</v>
      </c>
      <c r="C247" s="8">
        <v>46099.0</v>
      </c>
      <c r="D247" s="8">
        <v>46188.0</v>
      </c>
      <c r="E247" s="7" t="s">
        <v>353</v>
      </c>
      <c r="F247" s="7" t="s">
        <v>378</v>
      </c>
      <c r="G247" s="7" t="s">
        <v>355</v>
      </c>
      <c r="H247" s="9">
        <v>2.7877973E7</v>
      </c>
      <c r="I247" s="9">
        <v>2185407.0</v>
      </c>
      <c r="J247" s="9">
        <v>39514.0</v>
      </c>
      <c r="K247" s="9">
        <v>2720154.0</v>
      </c>
      <c r="L247" s="10">
        <v>2.6008534810896737</v>
      </c>
      <c r="M247" s="9">
        <v>10.248674523574769</v>
      </c>
      <c r="N247" s="9">
        <v>147075.0</v>
      </c>
      <c r="O247" s="9">
        <v>145212.0</v>
      </c>
      <c r="P247" s="9">
        <v>47849.0</v>
      </c>
      <c r="Q247" s="9">
        <v>4444.0</v>
      </c>
      <c r="R247" s="9">
        <v>0.0</v>
      </c>
      <c r="S247" s="9">
        <v>0.0</v>
      </c>
      <c r="T247" s="9">
        <v>0.0</v>
      </c>
      <c r="U247" s="9">
        <v>0.0</v>
      </c>
      <c r="V247" s="9">
        <v>0.0</v>
      </c>
      <c r="W247" s="9">
        <v>0.0</v>
      </c>
      <c r="X247" s="9">
        <v>0.0</v>
      </c>
      <c r="Y247" s="9">
        <v>0.0</v>
      </c>
      <c r="Z247" s="9">
        <v>0.0</v>
      </c>
      <c r="AA247" s="9">
        <v>0.0</v>
      </c>
      <c r="AB247" s="9">
        <v>0.0</v>
      </c>
      <c r="AC247" s="9">
        <v>0.0</v>
      </c>
      <c r="AD247" s="9"/>
      <c r="AE247" s="9" t="s">
        <v>9</v>
      </c>
    </row>
    <row r="248">
      <c r="A248" s="7" t="s">
        <v>872</v>
      </c>
      <c r="B248" s="7" t="s">
        <v>873</v>
      </c>
      <c r="C248" s="8">
        <v>46097.0</v>
      </c>
      <c r="D248" s="8">
        <v>46112.0</v>
      </c>
      <c r="E248" s="7" t="s">
        <v>353</v>
      </c>
      <c r="F248" s="7" t="s">
        <v>378</v>
      </c>
      <c r="G248" s="7" t="s">
        <v>355</v>
      </c>
      <c r="H248" s="9">
        <v>4339477.0</v>
      </c>
      <c r="I248" s="9">
        <v>38330.0</v>
      </c>
      <c r="J248" s="9">
        <v>10901.0</v>
      </c>
      <c r="K248" s="9">
        <v>98892.0</v>
      </c>
      <c r="L248" s="10">
        <v>1.9366986207175505</v>
      </c>
      <c r="M248" s="9">
        <v>43.880971160457875</v>
      </c>
      <c r="N248" s="9">
        <v>56998.0</v>
      </c>
      <c r="O248" s="9">
        <v>56066.0</v>
      </c>
      <c r="P248" s="9">
        <v>16825.0</v>
      </c>
      <c r="Q248" s="9">
        <v>730.0</v>
      </c>
      <c r="R248" s="9">
        <v>0.0</v>
      </c>
      <c r="S248" s="9">
        <v>0.0</v>
      </c>
      <c r="T248" s="9">
        <v>0.0</v>
      </c>
      <c r="U248" s="9">
        <v>0.0</v>
      </c>
      <c r="V248" s="9">
        <v>0.0</v>
      </c>
      <c r="W248" s="9">
        <v>0.0</v>
      </c>
      <c r="X248" s="9">
        <v>0.0</v>
      </c>
      <c r="Y248" s="9">
        <v>0.0</v>
      </c>
      <c r="Z248" s="9">
        <v>0.0</v>
      </c>
      <c r="AA248" s="9">
        <v>0.0</v>
      </c>
      <c r="AB248" s="9">
        <v>0.0</v>
      </c>
      <c r="AC248" s="9">
        <v>0.0</v>
      </c>
      <c r="AD248" s="9"/>
      <c r="AE248" s="9" t="s">
        <v>9</v>
      </c>
    </row>
    <row r="249">
      <c r="A249" s="7" t="s">
        <v>874</v>
      </c>
      <c r="B249" s="7" t="s">
        <v>875</v>
      </c>
      <c r="C249" s="8">
        <v>46091.0</v>
      </c>
      <c r="D249" s="8">
        <v>46105.0</v>
      </c>
      <c r="E249" s="7" t="s">
        <v>364</v>
      </c>
      <c r="F249" s="7" t="s">
        <v>365</v>
      </c>
      <c r="G249" s="7" t="s">
        <v>355</v>
      </c>
      <c r="H249" s="9">
        <v>271808.0</v>
      </c>
      <c r="I249" s="9">
        <v>0.0</v>
      </c>
      <c r="J249" s="9">
        <v>1707.0</v>
      </c>
      <c r="K249" s="9">
        <v>133034.0</v>
      </c>
      <c r="L249" s="10">
        <v>2.043146864711277</v>
      </c>
      <c r="M249" s="9">
        <v>2.043146864711277</v>
      </c>
      <c r="N249" s="9">
        <v>0.0</v>
      </c>
      <c r="O249" s="9">
        <v>0.0</v>
      </c>
      <c r="P249" s="9">
        <v>0.0</v>
      </c>
      <c r="Q249" s="9">
        <v>0.0</v>
      </c>
      <c r="R249" s="9">
        <v>0.0</v>
      </c>
      <c r="S249" s="9">
        <v>0.0</v>
      </c>
      <c r="T249" s="9">
        <v>0.0</v>
      </c>
      <c r="U249" s="9">
        <v>0.0</v>
      </c>
      <c r="V249" s="9">
        <v>0.0</v>
      </c>
      <c r="W249" s="9">
        <v>0.0</v>
      </c>
      <c r="X249" s="9">
        <v>0.0</v>
      </c>
      <c r="Y249" s="9">
        <v>0.0</v>
      </c>
      <c r="Z249" s="9">
        <v>0.0</v>
      </c>
      <c r="AA249" s="9">
        <v>0.0</v>
      </c>
      <c r="AB249" s="9">
        <v>0.0</v>
      </c>
      <c r="AC249" s="9">
        <v>0.0</v>
      </c>
      <c r="AD249" s="9"/>
      <c r="AE249" s="9"/>
    </row>
    <row r="250">
      <c r="A250" s="7" t="s">
        <v>876</v>
      </c>
      <c r="B250" s="7" t="s">
        <v>877</v>
      </c>
      <c r="C250" s="8">
        <v>46083.0</v>
      </c>
      <c r="D250" s="8">
        <v>46090.0</v>
      </c>
      <c r="E250" s="7" t="s">
        <v>416</v>
      </c>
      <c r="F250" s="7" t="s">
        <v>725</v>
      </c>
      <c r="G250" s="7" t="s">
        <v>355</v>
      </c>
      <c r="H250" s="9">
        <v>225544.0</v>
      </c>
      <c r="I250" s="9">
        <v>0.0</v>
      </c>
      <c r="J250" s="9">
        <v>367.0</v>
      </c>
      <c r="K250" s="9">
        <v>201228.0</v>
      </c>
      <c r="L250" s="10">
        <v>1.1208380543463137</v>
      </c>
      <c r="M250" s="9">
        <v>1.1208380543463137</v>
      </c>
      <c r="N250" s="9">
        <v>13772.0</v>
      </c>
      <c r="O250" s="9">
        <v>13643.0</v>
      </c>
      <c r="P250" s="9">
        <v>3149.0</v>
      </c>
      <c r="Q250" s="9">
        <v>44.0</v>
      </c>
      <c r="R250" s="9">
        <v>0.0</v>
      </c>
      <c r="S250" s="9">
        <v>0.0</v>
      </c>
      <c r="T250" s="9">
        <v>0.0</v>
      </c>
      <c r="U250" s="9">
        <v>0.0</v>
      </c>
      <c r="V250" s="9">
        <v>0.0</v>
      </c>
      <c r="W250" s="9">
        <v>0.0</v>
      </c>
      <c r="X250" s="9">
        <v>0.0</v>
      </c>
      <c r="Y250" s="9">
        <v>0.0</v>
      </c>
      <c r="Z250" s="9">
        <v>0.0</v>
      </c>
      <c r="AA250" s="9">
        <v>0.0</v>
      </c>
      <c r="AB250" s="9">
        <v>0.0</v>
      </c>
      <c r="AC250" s="9">
        <v>0.0</v>
      </c>
      <c r="AD250" s="9"/>
      <c r="AE250" s="9" t="s">
        <v>9</v>
      </c>
    </row>
    <row r="251">
      <c r="A251" s="7" t="s">
        <v>878</v>
      </c>
      <c r="B251" s="7" t="s">
        <v>879</v>
      </c>
      <c r="C251" s="8">
        <v>46084.0</v>
      </c>
      <c r="D251" s="8">
        <v>46091.0</v>
      </c>
      <c r="E251" s="7" t="s">
        <v>353</v>
      </c>
      <c r="F251" s="7" t="s">
        <v>354</v>
      </c>
      <c r="G251" s="7" t="s">
        <v>355</v>
      </c>
      <c r="H251" s="9">
        <v>204241.0</v>
      </c>
      <c r="I251" s="9">
        <v>40520.0</v>
      </c>
      <c r="J251" s="9">
        <v>226.0</v>
      </c>
      <c r="K251" s="9">
        <v>128190.0</v>
      </c>
      <c r="L251" s="10">
        <v>1.593267805601061</v>
      </c>
      <c r="M251" s="9">
        <v>1.593267805601061</v>
      </c>
      <c r="N251" s="9">
        <v>0.0</v>
      </c>
      <c r="O251" s="9">
        <v>0.0</v>
      </c>
      <c r="P251" s="9">
        <v>0.0</v>
      </c>
      <c r="Q251" s="9">
        <v>0.0</v>
      </c>
      <c r="R251" s="9">
        <v>0.0</v>
      </c>
      <c r="S251" s="9">
        <v>0.0</v>
      </c>
      <c r="T251" s="9">
        <v>0.0</v>
      </c>
      <c r="U251" s="9">
        <v>0.0</v>
      </c>
      <c r="V251" s="9">
        <v>0.0</v>
      </c>
      <c r="W251" s="9">
        <v>0.0</v>
      </c>
      <c r="X251" s="9">
        <v>0.0</v>
      </c>
      <c r="Y251" s="9">
        <v>0.0</v>
      </c>
      <c r="Z251" s="9">
        <v>0.0</v>
      </c>
      <c r="AA251" s="9">
        <v>0.0</v>
      </c>
      <c r="AB251" s="9">
        <v>0.0</v>
      </c>
      <c r="AC251" s="9">
        <v>0.0</v>
      </c>
      <c r="AD251" s="9"/>
      <c r="AE251" s="9"/>
    </row>
    <row r="252">
      <c r="A252" s="7" t="s">
        <v>880</v>
      </c>
      <c r="B252" s="7" t="s">
        <v>881</v>
      </c>
      <c r="C252" s="8">
        <v>46086.0</v>
      </c>
      <c r="D252" s="8">
        <v>46086.0</v>
      </c>
      <c r="E252" s="7" t="s">
        <v>404</v>
      </c>
      <c r="F252" s="7" t="s">
        <v>474</v>
      </c>
      <c r="G252" s="7" t="s">
        <v>355</v>
      </c>
      <c r="H252" s="9">
        <v>0.0</v>
      </c>
      <c r="I252" s="9">
        <v>0.0</v>
      </c>
      <c r="J252" s="9">
        <v>0.0</v>
      </c>
      <c r="K252" s="9">
        <v>0.0</v>
      </c>
      <c r="L252" s="10">
        <v>0.0</v>
      </c>
      <c r="M252" s="9">
        <v>0.0</v>
      </c>
      <c r="N252" s="9">
        <v>848.0</v>
      </c>
      <c r="O252" s="9">
        <v>823.0</v>
      </c>
      <c r="P252" s="9">
        <v>311.0</v>
      </c>
      <c r="Q252" s="9">
        <v>29.0</v>
      </c>
      <c r="R252" s="9">
        <v>0.0</v>
      </c>
      <c r="S252" s="9">
        <v>0.0</v>
      </c>
      <c r="T252" s="9">
        <v>0.0</v>
      </c>
      <c r="U252" s="9">
        <v>0.0</v>
      </c>
      <c r="V252" s="9">
        <v>0.0</v>
      </c>
      <c r="W252" s="9">
        <v>0.0</v>
      </c>
      <c r="X252" s="9">
        <v>0.0</v>
      </c>
      <c r="Y252" s="9">
        <v>0.0</v>
      </c>
      <c r="Z252" s="9">
        <v>0.0</v>
      </c>
      <c r="AA252" s="9">
        <v>0.0</v>
      </c>
      <c r="AB252" s="9">
        <v>0.0</v>
      </c>
      <c r="AC252" s="9">
        <v>0.0</v>
      </c>
      <c r="AD252" s="9"/>
      <c r="AE252" s="9" t="s">
        <v>9</v>
      </c>
    </row>
    <row r="253">
      <c r="A253" s="7" t="s">
        <v>882</v>
      </c>
      <c r="B253" s="7" t="s">
        <v>883</v>
      </c>
      <c r="C253" s="8">
        <v>46128.0</v>
      </c>
      <c r="D253" s="8">
        <v>46142.0</v>
      </c>
      <c r="E253" s="7" t="s">
        <v>364</v>
      </c>
      <c r="F253" s="7" t="s">
        <v>365</v>
      </c>
      <c r="G253" s="7" t="s">
        <v>355</v>
      </c>
      <c r="H253" s="9">
        <v>233888.0</v>
      </c>
      <c r="I253" s="9">
        <v>0.0</v>
      </c>
      <c r="J253" s="9">
        <v>1838.0</v>
      </c>
      <c r="K253" s="9">
        <v>55082.0</v>
      </c>
      <c r="L253" s="10">
        <v>2.1782251915326243</v>
      </c>
      <c r="M253" s="9">
        <v>4.246178424893794</v>
      </c>
      <c r="N253" s="9">
        <v>6692.0</v>
      </c>
      <c r="O253" s="9">
        <v>6584.0</v>
      </c>
      <c r="P253" s="9">
        <v>1635.0</v>
      </c>
      <c r="Q253" s="9">
        <v>90.0</v>
      </c>
      <c r="R253" s="9">
        <v>0.0</v>
      </c>
      <c r="S253" s="9">
        <v>0.0</v>
      </c>
      <c r="T253" s="9">
        <v>0.0</v>
      </c>
      <c r="U253" s="9">
        <v>0.0</v>
      </c>
      <c r="V253" s="9">
        <v>0.0</v>
      </c>
      <c r="W253" s="9">
        <v>0.0</v>
      </c>
      <c r="X253" s="9">
        <v>0.0</v>
      </c>
      <c r="Y253" s="9">
        <v>0.0</v>
      </c>
      <c r="Z253" s="9">
        <v>0.0</v>
      </c>
      <c r="AA253" s="9">
        <v>0.0</v>
      </c>
      <c r="AB253" s="9">
        <v>0.0</v>
      </c>
      <c r="AC253" s="9">
        <v>0.0</v>
      </c>
      <c r="AD253" s="11" t="s">
        <v>52</v>
      </c>
      <c r="AE253" s="9" t="s">
        <v>9</v>
      </c>
    </row>
    <row r="254">
      <c r="A254" s="7" t="s">
        <v>884</v>
      </c>
      <c r="B254" s="7" t="s">
        <v>885</v>
      </c>
      <c r="C254" s="8">
        <v>46087.0</v>
      </c>
      <c r="D254" s="8">
        <v>46108.0</v>
      </c>
      <c r="E254" s="7" t="s">
        <v>364</v>
      </c>
      <c r="F254" s="7" t="s">
        <v>365</v>
      </c>
      <c r="G254" s="7" t="s">
        <v>355</v>
      </c>
      <c r="H254" s="9">
        <v>5873379.0</v>
      </c>
      <c r="I254" s="9">
        <v>0.0</v>
      </c>
      <c r="J254" s="9">
        <v>23869.0</v>
      </c>
      <c r="K254" s="9">
        <v>244583.0</v>
      </c>
      <c r="L254" s="10">
        <v>3.942686122911241</v>
      </c>
      <c r="M254" s="9">
        <v>24.013848059758853</v>
      </c>
      <c r="N254" s="9">
        <v>169496.0</v>
      </c>
      <c r="O254" s="9">
        <v>167792.0</v>
      </c>
      <c r="P254" s="9">
        <v>48793.0</v>
      </c>
      <c r="Q254" s="9">
        <v>769.0</v>
      </c>
      <c r="R254" s="9">
        <v>0.0</v>
      </c>
      <c r="S254" s="9">
        <v>0.0</v>
      </c>
      <c r="T254" s="9">
        <v>0.0</v>
      </c>
      <c r="U254" s="9">
        <v>0.0</v>
      </c>
      <c r="V254" s="9">
        <v>0.0</v>
      </c>
      <c r="W254" s="9">
        <v>0.0</v>
      </c>
      <c r="X254" s="9">
        <v>0.0</v>
      </c>
      <c r="Y254" s="9">
        <v>0.0</v>
      </c>
      <c r="Z254" s="9">
        <v>0.0</v>
      </c>
      <c r="AA254" s="9">
        <v>64995.0</v>
      </c>
      <c r="AB254" s="9">
        <v>61276.0</v>
      </c>
      <c r="AC254" s="9">
        <v>197.0</v>
      </c>
      <c r="AD254" s="9"/>
      <c r="AE254" s="9" t="s">
        <v>9</v>
      </c>
    </row>
    <row r="255">
      <c r="A255" s="7" t="s">
        <v>886</v>
      </c>
      <c r="B255" s="7" t="s">
        <v>887</v>
      </c>
      <c r="C255" s="8">
        <v>46092.0</v>
      </c>
      <c r="D255" s="8">
        <v>46112.0</v>
      </c>
      <c r="E255" s="7" t="s">
        <v>358</v>
      </c>
      <c r="F255" s="7" t="s">
        <v>466</v>
      </c>
      <c r="G255" s="7" t="s">
        <v>355</v>
      </c>
      <c r="H255" s="9">
        <v>1.18254E7</v>
      </c>
      <c r="I255" s="9">
        <v>5893750.0</v>
      </c>
      <c r="J255" s="9">
        <v>12689.0</v>
      </c>
      <c r="K255" s="9">
        <v>12344.0</v>
      </c>
      <c r="L255" s="10">
        <v>334.9544718081659</v>
      </c>
      <c r="M255" s="9">
        <v>957.9876863253403</v>
      </c>
      <c r="N255" s="9">
        <v>321481.0</v>
      </c>
      <c r="O255" s="9">
        <v>319014.0</v>
      </c>
      <c r="P255" s="9">
        <v>102919.0</v>
      </c>
      <c r="Q255" s="9">
        <v>159.0</v>
      </c>
      <c r="R255" s="9">
        <v>0.0</v>
      </c>
      <c r="S255" s="9">
        <v>0.0</v>
      </c>
      <c r="T255" s="9">
        <v>0.0</v>
      </c>
      <c r="U255" s="9">
        <v>0.0</v>
      </c>
      <c r="V255" s="9">
        <v>0.0</v>
      </c>
      <c r="W255" s="9">
        <v>0.0</v>
      </c>
      <c r="X255" s="9">
        <v>0.0</v>
      </c>
      <c r="Y255" s="9">
        <v>0.0</v>
      </c>
      <c r="Z255" s="9">
        <v>0.0</v>
      </c>
      <c r="AA255" s="9">
        <v>0.0</v>
      </c>
      <c r="AB255" s="9">
        <v>0.0</v>
      </c>
      <c r="AC255" s="9">
        <v>0.0</v>
      </c>
      <c r="AD255" s="9"/>
      <c r="AE255" s="9" t="s">
        <v>9</v>
      </c>
    </row>
    <row r="256">
      <c r="A256" s="7" t="s">
        <v>888</v>
      </c>
      <c r="B256" s="7" t="s">
        <v>889</v>
      </c>
      <c r="C256" s="8">
        <v>46086.0</v>
      </c>
      <c r="D256" s="8">
        <v>46093.0</v>
      </c>
      <c r="E256" s="7" t="s">
        <v>416</v>
      </c>
      <c r="F256" s="7" t="s">
        <v>783</v>
      </c>
      <c r="G256" s="7" t="s">
        <v>355</v>
      </c>
      <c r="H256" s="9">
        <v>127335.0</v>
      </c>
      <c r="I256" s="9">
        <v>0.0</v>
      </c>
      <c r="J256" s="9">
        <v>505.0</v>
      </c>
      <c r="K256" s="9">
        <v>77842.0</v>
      </c>
      <c r="L256" s="10">
        <v>1.6358135710798798</v>
      </c>
      <c r="M256" s="9">
        <v>1.6358135710798798</v>
      </c>
      <c r="N256" s="9">
        <v>14442.0</v>
      </c>
      <c r="O256" s="9">
        <v>14118.0</v>
      </c>
      <c r="P256" s="9">
        <v>1951.0</v>
      </c>
      <c r="Q256" s="9">
        <v>29.0</v>
      </c>
      <c r="R256" s="9">
        <v>11.0</v>
      </c>
      <c r="S256" s="9">
        <v>11.0</v>
      </c>
      <c r="T256" s="9">
        <v>6.0</v>
      </c>
      <c r="U256" s="9">
        <v>6.0</v>
      </c>
      <c r="V256" s="9">
        <v>0.0</v>
      </c>
      <c r="W256" s="9">
        <v>0.0</v>
      </c>
      <c r="X256" s="9">
        <v>0.0</v>
      </c>
      <c r="Y256" s="9">
        <v>0.0</v>
      </c>
      <c r="Z256" s="9">
        <v>0.0</v>
      </c>
      <c r="AA256" s="9">
        <v>0.0</v>
      </c>
      <c r="AB256" s="9">
        <v>0.0</v>
      </c>
      <c r="AC256" s="9">
        <v>0.0</v>
      </c>
      <c r="AD256" s="9"/>
      <c r="AE256" s="9" t="s">
        <v>9</v>
      </c>
    </row>
    <row r="257">
      <c r="A257" s="7" t="s">
        <v>890</v>
      </c>
      <c r="B257" s="7" t="s">
        <v>891</v>
      </c>
      <c r="C257" s="8">
        <v>46086.0</v>
      </c>
      <c r="D257" s="8">
        <v>46098.0</v>
      </c>
      <c r="E257" s="7" t="s">
        <v>416</v>
      </c>
      <c r="F257" s="7" t="s">
        <v>466</v>
      </c>
      <c r="G257" s="7" t="s">
        <v>355</v>
      </c>
      <c r="H257" s="9">
        <v>21659.0</v>
      </c>
      <c r="I257" s="9">
        <v>0.0</v>
      </c>
      <c r="J257" s="9">
        <v>165.0</v>
      </c>
      <c r="K257" s="9">
        <v>19341.0</v>
      </c>
      <c r="L257" s="10">
        <v>1.1198490253864846</v>
      </c>
      <c r="M257" s="9">
        <v>1.1198490253864846</v>
      </c>
      <c r="N257" s="9">
        <v>75381.0</v>
      </c>
      <c r="O257" s="9">
        <v>74171.0</v>
      </c>
      <c r="P257" s="9">
        <v>11750.0</v>
      </c>
      <c r="Q257" s="9">
        <v>252.0</v>
      </c>
      <c r="R257" s="9">
        <v>140.0</v>
      </c>
      <c r="S257" s="9">
        <v>140.0</v>
      </c>
      <c r="T257" s="9">
        <v>42.0</v>
      </c>
      <c r="U257" s="9">
        <v>42.0</v>
      </c>
      <c r="V257" s="9">
        <v>0.0</v>
      </c>
      <c r="W257" s="9">
        <v>0.0</v>
      </c>
      <c r="X257" s="9">
        <v>0.0</v>
      </c>
      <c r="Y257" s="9">
        <v>0.0</v>
      </c>
      <c r="Z257" s="9">
        <v>0.0</v>
      </c>
      <c r="AA257" s="9">
        <v>0.0</v>
      </c>
      <c r="AB257" s="9">
        <v>0.0</v>
      </c>
      <c r="AC257" s="9">
        <v>0.0</v>
      </c>
      <c r="AD257" s="9"/>
      <c r="AE257" s="9" t="s">
        <v>9</v>
      </c>
    </row>
    <row r="258">
      <c r="A258" s="7" t="s">
        <v>892</v>
      </c>
      <c r="B258" s="7" t="s">
        <v>893</v>
      </c>
      <c r="C258" s="8">
        <v>46086.0</v>
      </c>
      <c r="D258" s="8">
        <v>46094.0</v>
      </c>
      <c r="E258" s="7" t="s">
        <v>416</v>
      </c>
      <c r="F258" s="7" t="s">
        <v>466</v>
      </c>
      <c r="G258" s="7" t="s">
        <v>355</v>
      </c>
      <c r="H258" s="9">
        <v>277040.0</v>
      </c>
      <c r="I258" s="9">
        <v>0.0</v>
      </c>
      <c r="J258" s="9">
        <v>373.0</v>
      </c>
      <c r="K258" s="9">
        <v>204168.0</v>
      </c>
      <c r="L258" s="10">
        <v>1.3569217507150975</v>
      </c>
      <c r="M258" s="9">
        <v>1.3569217507150975</v>
      </c>
      <c r="N258" s="9">
        <v>81702.0</v>
      </c>
      <c r="O258" s="9">
        <v>80926.0</v>
      </c>
      <c r="P258" s="9">
        <v>12378.0</v>
      </c>
      <c r="Q258" s="9">
        <v>202.0</v>
      </c>
      <c r="R258" s="9">
        <v>93.0</v>
      </c>
      <c r="S258" s="9">
        <v>93.0</v>
      </c>
      <c r="T258" s="9">
        <v>24.0</v>
      </c>
      <c r="U258" s="9">
        <v>22.0</v>
      </c>
      <c r="V258" s="9">
        <v>0.0</v>
      </c>
      <c r="W258" s="9">
        <v>0.0</v>
      </c>
      <c r="X258" s="9">
        <v>0.0</v>
      </c>
      <c r="Y258" s="9">
        <v>0.0</v>
      </c>
      <c r="Z258" s="9">
        <v>0.0</v>
      </c>
      <c r="AA258" s="9">
        <v>0.0</v>
      </c>
      <c r="AB258" s="9">
        <v>0.0</v>
      </c>
      <c r="AC258" s="9">
        <v>0.0</v>
      </c>
      <c r="AD258" s="9"/>
      <c r="AE258" s="9" t="s">
        <v>9</v>
      </c>
    </row>
    <row r="259">
      <c r="A259" s="7" t="s">
        <v>894</v>
      </c>
      <c r="B259" s="7" t="s">
        <v>895</v>
      </c>
      <c r="C259" s="8">
        <v>46086.0</v>
      </c>
      <c r="D259" s="8">
        <v>46098.0</v>
      </c>
      <c r="E259" s="7" t="s">
        <v>416</v>
      </c>
      <c r="F259" s="7" t="s">
        <v>466</v>
      </c>
      <c r="G259" s="7" t="s">
        <v>355</v>
      </c>
      <c r="H259" s="9">
        <v>121640.0</v>
      </c>
      <c r="I259" s="9">
        <v>0.0</v>
      </c>
      <c r="J259" s="9">
        <v>403.0</v>
      </c>
      <c r="K259" s="9">
        <v>81434.0</v>
      </c>
      <c r="L259" s="10">
        <v>1.4937249797381928</v>
      </c>
      <c r="M259" s="9">
        <v>1.4937249797381928</v>
      </c>
      <c r="N259" s="9">
        <v>69894.0</v>
      </c>
      <c r="O259" s="9">
        <v>69199.0</v>
      </c>
      <c r="P259" s="9">
        <v>21868.0</v>
      </c>
      <c r="Q259" s="9">
        <v>259.0</v>
      </c>
      <c r="R259" s="9">
        <v>128.0</v>
      </c>
      <c r="S259" s="9">
        <v>128.0</v>
      </c>
      <c r="T259" s="9">
        <v>34.0</v>
      </c>
      <c r="U259" s="9">
        <v>32.0</v>
      </c>
      <c r="V259" s="9">
        <v>0.0</v>
      </c>
      <c r="W259" s="9">
        <v>0.0</v>
      </c>
      <c r="X259" s="9">
        <v>0.0</v>
      </c>
      <c r="Y259" s="9">
        <v>0.0</v>
      </c>
      <c r="Z259" s="9">
        <v>0.0</v>
      </c>
      <c r="AA259" s="9">
        <v>0.0</v>
      </c>
      <c r="AB259" s="9">
        <v>0.0</v>
      </c>
      <c r="AC259" s="9">
        <v>0.0</v>
      </c>
      <c r="AD259" s="9"/>
      <c r="AE259" s="9" t="s">
        <v>9</v>
      </c>
    </row>
    <row r="260">
      <c r="A260" s="7" t="s">
        <v>896</v>
      </c>
      <c r="B260" s="7" t="s">
        <v>897</v>
      </c>
      <c r="C260" s="8">
        <v>46086.0</v>
      </c>
      <c r="D260" s="8">
        <v>46098.0</v>
      </c>
      <c r="E260" s="7" t="s">
        <v>416</v>
      </c>
      <c r="F260" s="7" t="s">
        <v>466</v>
      </c>
      <c r="G260" s="7" t="s">
        <v>355</v>
      </c>
      <c r="H260" s="9">
        <v>106819.0</v>
      </c>
      <c r="I260" s="9">
        <v>0.0</v>
      </c>
      <c r="J260" s="9">
        <v>390.0</v>
      </c>
      <c r="K260" s="9">
        <v>69821.0</v>
      </c>
      <c r="L260" s="10">
        <v>1.5298978817261282</v>
      </c>
      <c r="M260" s="9">
        <v>1.5298978817261282</v>
      </c>
      <c r="N260" s="9">
        <v>378.0</v>
      </c>
      <c r="O260" s="9">
        <v>376.0</v>
      </c>
      <c r="P260" s="9">
        <v>182.0</v>
      </c>
      <c r="Q260" s="9">
        <v>3.0</v>
      </c>
      <c r="R260" s="9">
        <v>146.0</v>
      </c>
      <c r="S260" s="9">
        <v>146.0</v>
      </c>
      <c r="T260" s="9">
        <v>49.0</v>
      </c>
      <c r="U260" s="9">
        <v>46.0</v>
      </c>
      <c r="V260" s="9">
        <v>0.0</v>
      </c>
      <c r="W260" s="9">
        <v>0.0</v>
      </c>
      <c r="X260" s="9">
        <v>0.0</v>
      </c>
      <c r="Y260" s="9">
        <v>0.0</v>
      </c>
      <c r="Z260" s="9">
        <v>0.0</v>
      </c>
      <c r="AA260" s="9">
        <v>0.0</v>
      </c>
      <c r="AB260" s="9">
        <v>0.0</v>
      </c>
      <c r="AC260" s="9">
        <v>0.0</v>
      </c>
      <c r="AD260" s="9"/>
      <c r="AE260" s="9" t="s">
        <v>9</v>
      </c>
    </row>
    <row r="261">
      <c r="A261" s="7" t="s">
        <v>898</v>
      </c>
      <c r="B261" s="7" t="s">
        <v>899</v>
      </c>
      <c r="C261" s="8">
        <v>46087.0</v>
      </c>
      <c r="D261" s="8">
        <v>46097.0</v>
      </c>
      <c r="E261" s="7" t="s">
        <v>416</v>
      </c>
      <c r="F261" s="7" t="s">
        <v>378</v>
      </c>
      <c r="G261" s="7" t="s">
        <v>355</v>
      </c>
      <c r="H261" s="9">
        <v>168389.0</v>
      </c>
      <c r="I261" s="9">
        <v>0.0</v>
      </c>
      <c r="J261" s="9">
        <v>575.0</v>
      </c>
      <c r="K261" s="9">
        <v>111857.0</v>
      </c>
      <c r="L261" s="10">
        <v>1.5053952814754552</v>
      </c>
      <c r="M261" s="9">
        <v>1.5053952814754552</v>
      </c>
      <c r="N261" s="9">
        <v>74803.0</v>
      </c>
      <c r="O261" s="9">
        <v>74021.0</v>
      </c>
      <c r="P261" s="9">
        <v>12210.0</v>
      </c>
      <c r="Q261" s="9">
        <v>313.0</v>
      </c>
      <c r="R261" s="9">
        <v>176.0</v>
      </c>
      <c r="S261" s="9">
        <v>176.0</v>
      </c>
      <c r="T261" s="9">
        <v>44.0</v>
      </c>
      <c r="U261" s="9">
        <v>43.0</v>
      </c>
      <c r="V261" s="9">
        <v>0.0</v>
      </c>
      <c r="W261" s="9">
        <v>0.0</v>
      </c>
      <c r="X261" s="9">
        <v>0.0</v>
      </c>
      <c r="Y261" s="9">
        <v>0.0</v>
      </c>
      <c r="Z261" s="9">
        <v>0.0</v>
      </c>
      <c r="AA261" s="9">
        <v>0.0</v>
      </c>
      <c r="AB261" s="9">
        <v>0.0</v>
      </c>
      <c r="AC261" s="9">
        <v>0.0</v>
      </c>
      <c r="AD261" s="9"/>
      <c r="AE261" s="9" t="s">
        <v>9</v>
      </c>
    </row>
    <row r="262">
      <c r="A262" s="7" t="s">
        <v>900</v>
      </c>
      <c r="B262" s="7" t="s">
        <v>901</v>
      </c>
      <c r="C262" s="8">
        <v>46086.0</v>
      </c>
      <c r="D262" s="8">
        <v>46086.0</v>
      </c>
      <c r="E262" s="7" t="s">
        <v>364</v>
      </c>
      <c r="F262" s="7" t="s">
        <v>365</v>
      </c>
      <c r="G262" s="7" t="s">
        <v>355</v>
      </c>
      <c r="H262" s="9">
        <v>0.0</v>
      </c>
      <c r="I262" s="9">
        <v>0.0</v>
      </c>
      <c r="J262" s="9">
        <v>0.0</v>
      </c>
      <c r="K262" s="9">
        <v>0.0</v>
      </c>
      <c r="L262" s="10">
        <v>0.0</v>
      </c>
      <c r="M262" s="9">
        <v>0.0</v>
      </c>
      <c r="N262" s="9">
        <v>16722.0</v>
      </c>
      <c r="O262" s="9">
        <v>16512.0</v>
      </c>
      <c r="P262" s="9">
        <v>5901.0</v>
      </c>
      <c r="Q262" s="9">
        <v>739.0</v>
      </c>
      <c r="R262" s="9">
        <v>0.0</v>
      </c>
      <c r="S262" s="9">
        <v>0.0</v>
      </c>
      <c r="T262" s="9">
        <v>0.0</v>
      </c>
      <c r="U262" s="9">
        <v>0.0</v>
      </c>
      <c r="V262" s="9">
        <v>0.0</v>
      </c>
      <c r="W262" s="9">
        <v>0.0</v>
      </c>
      <c r="X262" s="9">
        <v>0.0</v>
      </c>
      <c r="Y262" s="9">
        <v>0.0</v>
      </c>
      <c r="Z262" s="9">
        <v>0.0</v>
      </c>
      <c r="AA262" s="9">
        <v>0.0</v>
      </c>
      <c r="AB262" s="9">
        <v>0.0</v>
      </c>
      <c r="AC262" s="9">
        <v>0.0</v>
      </c>
      <c r="AD262" s="9"/>
      <c r="AE262" s="9" t="s">
        <v>9</v>
      </c>
    </row>
    <row r="263">
      <c r="A263" s="7" t="s">
        <v>902</v>
      </c>
      <c r="B263" s="7" t="s">
        <v>903</v>
      </c>
      <c r="C263" s="8">
        <v>46087.0</v>
      </c>
      <c r="D263" s="8">
        <v>46093.0</v>
      </c>
      <c r="E263" s="7" t="s">
        <v>416</v>
      </c>
      <c r="F263" s="7" t="s">
        <v>417</v>
      </c>
      <c r="G263" s="7" t="s">
        <v>355</v>
      </c>
      <c r="H263" s="9">
        <v>530146.0</v>
      </c>
      <c r="I263" s="9">
        <v>159994.0</v>
      </c>
      <c r="J263" s="9">
        <v>5342.0</v>
      </c>
      <c r="K263" s="9">
        <v>12344.0</v>
      </c>
      <c r="L263" s="10">
        <v>14.369572261827608</v>
      </c>
      <c r="M263" s="9">
        <v>42.94766688269605</v>
      </c>
      <c r="N263" s="9">
        <v>20539.0</v>
      </c>
      <c r="O263" s="9">
        <v>20212.0</v>
      </c>
      <c r="P263" s="9">
        <v>3686.0</v>
      </c>
      <c r="Q263" s="9">
        <v>152.0</v>
      </c>
      <c r="R263" s="9">
        <v>56.0</v>
      </c>
      <c r="S263" s="9">
        <v>56.0</v>
      </c>
      <c r="T263" s="9">
        <v>26.0</v>
      </c>
      <c r="U263" s="9">
        <v>23.0</v>
      </c>
      <c r="V263" s="9">
        <v>19604.0</v>
      </c>
      <c r="W263" s="9">
        <v>16525.0</v>
      </c>
      <c r="X263" s="9">
        <v>14357.0</v>
      </c>
      <c r="Y263" s="9">
        <v>6963.0</v>
      </c>
      <c r="Z263" s="9">
        <v>56.0</v>
      </c>
      <c r="AA263" s="9">
        <v>0.0</v>
      </c>
      <c r="AB263" s="9">
        <v>0.0</v>
      </c>
      <c r="AC263" s="9">
        <v>0.0</v>
      </c>
      <c r="AD263" s="9"/>
      <c r="AE263" s="9" t="s">
        <v>9</v>
      </c>
    </row>
    <row r="264">
      <c r="A264" s="7" t="s">
        <v>904</v>
      </c>
      <c r="B264" s="7" t="s">
        <v>905</v>
      </c>
      <c r="C264" s="8">
        <v>46093.0</v>
      </c>
      <c r="D264" s="8">
        <v>46093.0</v>
      </c>
      <c r="E264" s="7" t="s">
        <v>353</v>
      </c>
      <c r="F264" s="7" t="s">
        <v>378</v>
      </c>
      <c r="G264" s="7" t="s">
        <v>355</v>
      </c>
      <c r="H264" s="9">
        <v>0.0</v>
      </c>
      <c r="I264" s="9">
        <v>0.0</v>
      </c>
      <c r="J264" s="9">
        <v>0.0</v>
      </c>
      <c r="K264" s="9">
        <v>0.0</v>
      </c>
      <c r="L264" s="10">
        <v>0.0</v>
      </c>
      <c r="M264" s="9">
        <v>0.0</v>
      </c>
      <c r="N264" s="9">
        <v>224.0</v>
      </c>
      <c r="O264" s="9">
        <v>223.0</v>
      </c>
      <c r="P264" s="9">
        <v>105.0</v>
      </c>
      <c r="Q264" s="9">
        <v>38.0</v>
      </c>
      <c r="R264" s="9">
        <v>0.0</v>
      </c>
      <c r="S264" s="9">
        <v>0.0</v>
      </c>
      <c r="T264" s="9">
        <v>0.0</v>
      </c>
      <c r="U264" s="9">
        <v>0.0</v>
      </c>
      <c r="V264" s="9">
        <v>0.0</v>
      </c>
      <c r="W264" s="9">
        <v>0.0</v>
      </c>
      <c r="X264" s="9">
        <v>0.0</v>
      </c>
      <c r="Y264" s="9">
        <v>0.0</v>
      </c>
      <c r="Z264" s="9">
        <v>0.0</v>
      </c>
      <c r="AA264" s="9">
        <v>0.0</v>
      </c>
      <c r="AB264" s="9">
        <v>0.0</v>
      </c>
      <c r="AC264" s="9">
        <v>0.0</v>
      </c>
      <c r="AD264" s="9"/>
      <c r="AE264" s="9" t="s">
        <v>9</v>
      </c>
    </row>
    <row r="265">
      <c r="A265" s="7" t="s">
        <v>906</v>
      </c>
      <c r="B265" s="7" t="s">
        <v>907</v>
      </c>
      <c r="C265" s="8">
        <v>46090.0</v>
      </c>
      <c r="D265" s="8">
        <v>46096.0</v>
      </c>
      <c r="E265" s="7" t="s">
        <v>416</v>
      </c>
      <c r="F265" s="7" t="s">
        <v>430</v>
      </c>
      <c r="G265" s="7" t="s">
        <v>355</v>
      </c>
      <c r="H265" s="9">
        <v>693112.0</v>
      </c>
      <c r="I265" s="9">
        <v>25124.0</v>
      </c>
      <c r="J265" s="9">
        <v>212.0</v>
      </c>
      <c r="K265" s="9">
        <v>228104.0</v>
      </c>
      <c r="L265" s="10">
        <v>3.0385788938378986</v>
      </c>
      <c r="M265" s="9">
        <v>3.0385788938378986</v>
      </c>
      <c r="N265" s="9">
        <v>0.0</v>
      </c>
      <c r="O265" s="9">
        <v>0.0</v>
      </c>
      <c r="P265" s="9">
        <v>0.0</v>
      </c>
      <c r="Q265" s="9">
        <v>0.0</v>
      </c>
      <c r="R265" s="9">
        <v>0.0</v>
      </c>
      <c r="S265" s="9">
        <v>0.0</v>
      </c>
      <c r="T265" s="9">
        <v>0.0</v>
      </c>
      <c r="U265" s="9">
        <v>0.0</v>
      </c>
      <c r="V265" s="9">
        <v>0.0</v>
      </c>
      <c r="W265" s="9">
        <v>0.0</v>
      </c>
      <c r="X265" s="9">
        <v>0.0</v>
      </c>
      <c r="Y265" s="9">
        <v>0.0</v>
      </c>
      <c r="Z265" s="9">
        <v>0.0</v>
      </c>
      <c r="AA265" s="9">
        <v>0.0</v>
      </c>
      <c r="AB265" s="9">
        <v>0.0</v>
      </c>
      <c r="AC265" s="9">
        <v>0.0</v>
      </c>
      <c r="AD265" s="9"/>
      <c r="AE265" s="9"/>
    </row>
    <row r="266">
      <c r="A266" s="7" t="s">
        <v>908</v>
      </c>
      <c r="B266" s="7" t="s">
        <v>909</v>
      </c>
      <c r="C266" s="8">
        <v>46087.0</v>
      </c>
      <c r="D266" s="8">
        <v>46097.0</v>
      </c>
      <c r="E266" s="7" t="s">
        <v>364</v>
      </c>
      <c r="F266" s="7" t="s">
        <v>365</v>
      </c>
      <c r="G266" s="7" t="s">
        <v>355</v>
      </c>
      <c r="H266" s="9">
        <v>77829.0</v>
      </c>
      <c r="I266" s="9">
        <v>0.0</v>
      </c>
      <c r="J266" s="9">
        <v>654.0</v>
      </c>
      <c r="K266" s="9">
        <v>48020.0</v>
      </c>
      <c r="L266" s="10">
        <v>1.62076218242399</v>
      </c>
      <c r="M266" s="9">
        <v>1.62076218242399</v>
      </c>
      <c r="N266" s="9">
        <v>58816.0</v>
      </c>
      <c r="O266" s="9">
        <v>57879.0</v>
      </c>
      <c r="P266" s="9">
        <v>14357.0</v>
      </c>
      <c r="Q266" s="9">
        <v>465.0</v>
      </c>
      <c r="R266" s="9">
        <v>0.0</v>
      </c>
      <c r="S266" s="9">
        <v>0.0</v>
      </c>
      <c r="T266" s="9">
        <v>0.0</v>
      </c>
      <c r="U266" s="9">
        <v>0.0</v>
      </c>
      <c r="V266" s="9">
        <v>0.0</v>
      </c>
      <c r="W266" s="9">
        <v>0.0</v>
      </c>
      <c r="X266" s="9">
        <v>0.0</v>
      </c>
      <c r="Y266" s="9">
        <v>0.0</v>
      </c>
      <c r="Z266" s="9">
        <v>0.0</v>
      </c>
      <c r="AA266" s="9">
        <v>0.0</v>
      </c>
      <c r="AB266" s="9">
        <v>0.0</v>
      </c>
      <c r="AC266" s="9">
        <v>0.0</v>
      </c>
      <c r="AD266" s="9"/>
      <c r="AE266" s="9" t="s">
        <v>9</v>
      </c>
    </row>
    <row r="267">
      <c r="A267" s="7" t="s">
        <v>910</v>
      </c>
      <c r="B267" s="7" t="s">
        <v>911</v>
      </c>
      <c r="C267" s="8">
        <v>46090.0</v>
      </c>
      <c r="D267" s="8">
        <v>46122.0</v>
      </c>
      <c r="E267" s="7" t="s">
        <v>416</v>
      </c>
      <c r="F267" s="7" t="s">
        <v>417</v>
      </c>
      <c r="G267" s="7" t="s">
        <v>355</v>
      </c>
      <c r="H267" s="9">
        <v>1684620.0</v>
      </c>
      <c r="I267" s="9">
        <v>242148.0</v>
      </c>
      <c r="J267" s="9">
        <v>13172.0</v>
      </c>
      <c r="K267" s="9">
        <v>261584.0</v>
      </c>
      <c r="L267" s="10">
        <v>1.435332436234632</v>
      </c>
      <c r="M267" s="9">
        <v>6.440072787326442</v>
      </c>
      <c r="N267" s="9">
        <v>95567.0</v>
      </c>
      <c r="O267" s="9">
        <v>94454.0</v>
      </c>
      <c r="P267" s="9">
        <v>19610.0</v>
      </c>
      <c r="Q267" s="9">
        <v>478.0</v>
      </c>
      <c r="R267" s="9">
        <v>12882.0</v>
      </c>
      <c r="S267" s="9">
        <v>11165.0</v>
      </c>
      <c r="T267" s="9">
        <v>2541.0</v>
      </c>
      <c r="U267" s="9">
        <v>1974.0</v>
      </c>
      <c r="V267" s="9">
        <v>57984.0</v>
      </c>
      <c r="W267" s="9">
        <v>57984.0</v>
      </c>
      <c r="X267" s="9">
        <v>52424.0</v>
      </c>
      <c r="Y267" s="9">
        <v>17770.0</v>
      </c>
      <c r="Z267" s="9">
        <v>59.0</v>
      </c>
      <c r="AA267" s="9">
        <v>0.0</v>
      </c>
      <c r="AB267" s="9">
        <v>0.0</v>
      </c>
      <c r="AC267" s="9">
        <v>0.0</v>
      </c>
      <c r="AD267" s="9"/>
      <c r="AE267" s="9" t="s">
        <v>9</v>
      </c>
    </row>
    <row r="268">
      <c r="A268" s="7" t="s">
        <v>912</v>
      </c>
      <c r="B268" s="7" t="s">
        <v>913</v>
      </c>
      <c r="C268" s="8">
        <v>46097.0</v>
      </c>
      <c r="D268" s="8">
        <v>46122.0</v>
      </c>
      <c r="E268" s="7" t="s">
        <v>358</v>
      </c>
      <c r="F268" s="7" t="s">
        <v>466</v>
      </c>
      <c r="G268" s="7" t="s">
        <v>355</v>
      </c>
      <c r="H268" s="9">
        <v>3452044.0</v>
      </c>
      <c r="I268" s="9">
        <v>2138455.0</v>
      </c>
      <c r="J268" s="9">
        <v>2815.0</v>
      </c>
      <c r="K268" s="9">
        <v>179661.0</v>
      </c>
      <c r="L268" s="10">
        <v>4.216112567557789</v>
      </c>
      <c r="M268" s="9">
        <v>19.214208982472545</v>
      </c>
      <c r="N268" s="9">
        <v>178831.0</v>
      </c>
      <c r="O268" s="9">
        <v>176853.0</v>
      </c>
      <c r="P268" s="9">
        <v>39348.0</v>
      </c>
      <c r="Q268" s="9">
        <v>545.0</v>
      </c>
      <c r="R268" s="9">
        <v>0.0</v>
      </c>
      <c r="S268" s="9">
        <v>0.0</v>
      </c>
      <c r="T268" s="9">
        <v>0.0</v>
      </c>
      <c r="U268" s="9">
        <v>0.0</v>
      </c>
      <c r="V268" s="9">
        <v>0.0</v>
      </c>
      <c r="W268" s="9">
        <v>0.0</v>
      </c>
      <c r="X268" s="9">
        <v>0.0</v>
      </c>
      <c r="Y268" s="9">
        <v>0.0</v>
      </c>
      <c r="Z268" s="9">
        <v>0.0</v>
      </c>
      <c r="AA268" s="9">
        <v>0.0</v>
      </c>
      <c r="AB268" s="9">
        <v>0.0</v>
      </c>
      <c r="AC268" s="9">
        <v>0.0</v>
      </c>
      <c r="AD268" s="9"/>
      <c r="AE268" s="9" t="s">
        <v>9</v>
      </c>
    </row>
    <row r="269">
      <c r="A269" s="7" t="s">
        <v>914</v>
      </c>
      <c r="B269" s="7" t="s">
        <v>915</v>
      </c>
      <c r="C269" s="8">
        <v>46097.0</v>
      </c>
      <c r="D269" s="8">
        <v>46097.0</v>
      </c>
      <c r="E269" s="7" t="s">
        <v>404</v>
      </c>
      <c r="F269" s="7" t="s">
        <v>474</v>
      </c>
      <c r="G269" s="7" t="s">
        <v>355</v>
      </c>
      <c r="H269" s="9">
        <v>0.0</v>
      </c>
      <c r="I269" s="9">
        <v>0.0</v>
      </c>
      <c r="J269" s="9">
        <v>0.0</v>
      </c>
      <c r="K269" s="9">
        <v>0.0</v>
      </c>
      <c r="L269" s="10">
        <v>0.0</v>
      </c>
      <c r="M269" s="9">
        <v>0.0</v>
      </c>
      <c r="N269" s="9">
        <v>372.0</v>
      </c>
      <c r="O269" s="9">
        <v>362.0</v>
      </c>
      <c r="P269" s="9">
        <v>175.0</v>
      </c>
      <c r="Q269" s="9">
        <v>61.0</v>
      </c>
      <c r="R269" s="9">
        <v>0.0</v>
      </c>
      <c r="S269" s="9">
        <v>0.0</v>
      </c>
      <c r="T269" s="9">
        <v>0.0</v>
      </c>
      <c r="U269" s="9">
        <v>0.0</v>
      </c>
      <c r="V269" s="9">
        <v>0.0</v>
      </c>
      <c r="W269" s="9">
        <v>0.0</v>
      </c>
      <c r="X269" s="9">
        <v>0.0</v>
      </c>
      <c r="Y269" s="9">
        <v>0.0</v>
      </c>
      <c r="Z269" s="9">
        <v>0.0</v>
      </c>
      <c r="AA269" s="9">
        <v>0.0</v>
      </c>
      <c r="AB269" s="9">
        <v>0.0</v>
      </c>
      <c r="AC269" s="9">
        <v>0.0</v>
      </c>
      <c r="AD269" s="9"/>
      <c r="AE269" s="9" t="s">
        <v>9</v>
      </c>
    </row>
    <row r="270">
      <c r="A270" s="7" t="s">
        <v>916</v>
      </c>
      <c r="B270" s="7" t="s">
        <v>917</v>
      </c>
      <c r="C270" s="8">
        <v>46087.0</v>
      </c>
      <c r="D270" s="8">
        <v>46089.0</v>
      </c>
      <c r="E270" s="7" t="s">
        <v>364</v>
      </c>
      <c r="F270" s="7" t="s">
        <v>365</v>
      </c>
      <c r="G270" s="7" t="s">
        <v>355</v>
      </c>
      <c r="H270" s="9">
        <v>288883.0</v>
      </c>
      <c r="I270" s="9">
        <v>0.0</v>
      </c>
      <c r="J270" s="9">
        <v>17.0</v>
      </c>
      <c r="K270" s="9">
        <v>251438.0</v>
      </c>
      <c r="L270" s="10">
        <v>1.1489233926455031</v>
      </c>
      <c r="M270" s="9">
        <v>1.1489233926455031</v>
      </c>
      <c r="N270" s="9">
        <v>120953.0</v>
      </c>
      <c r="O270" s="9">
        <v>119704.0</v>
      </c>
      <c r="P270" s="9">
        <v>48551.0</v>
      </c>
      <c r="Q270" s="9">
        <v>57.0</v>
      </c>
      <c r="R270" s="9">
        <v>0.0</v>
      </c>
      <c r="S270" s="9">
        <v>0.0</v>
      </c>
      <c r="T270" s="9">
        <v>0.0</v>
      </c>
      <c r="U270" s="9">
        <v>0.0</v>
      </c>
      <c r="V270" s="9">
        <v>0.0</v>
      </c>
      <c r="W270" s="9">
        <v>0.0</v>
      </c>
      <c r="X270" s="9">
        <v>0.0</v>
      </c>
      <c r="Y270" s="9">
        <v>0.0</v>
      </c>
      <c r="Z270" s="9">
        <v>0.0</v>
      </c>
      <c r="AA270" s="9">
        <v>0.0</v>
      </c>
      <c r="AB270" s="9">
        <v>0.0</v>
      </c>
      <c r="AC270" s="9">
        <v>0.0</v>
      </c>
      <c r="AD270" s="9"/>
      <c r="AE270" s="9" t="s">
        <v>9</v>
      </c>
    </row>
    <row r="271">
      <c r="A271" s="7" t="s">
        <v>918</v>
      </c>
      <c r="B271" s="7" t="s">
        <v>919</v>
      </c>
      <c r="C271" s="8">
        <v>46087.0</v>
      </c>
      <c r="D271" s="8">
        <v>46092.0</v>
      </c>
      <c r="E271" s="7" t="s">
        <v>416</v>
      </c>
      <c r="F271" s="7" t="s">
        <v>594</v>
      </c>
      <c r="G271" s="7" t="s">
        <v>355</v>
      </c>
      <c r="H271" s="9">
        <v>30418.0</v>
      </c>
      <c r="I271" s="9">
        <v>0.0</v>
      </c>
      <c r="J271" s="9">
        <v>85.0</v>
      </c>
      <c r="K271" s="9">
        <v>23241.0</v>
      </c>
      <c r="L271" s="10">
        <v>1.3088077105115958</v>
      </c>
      <c r="M271" s="9">
        <v>1.3088077105115958</v>
      </c>
      <c r="N271" s="9">
        <v>6417.0</v>
      </c>
      <c r="O271" s="9">
        <v>6331.0</v>
      </c>
      <c r="P271" s="9">
        <v>949.0</v>
      </c>
      <c r="Q271" s="9">
        <v>44.0</v>
      </c>
      <c r="R271" s="9">
        <v>28.0</v>
      </c>
      <c r="S271" s="9">
        <v>28.0</v>
      </c>
      <c r="T271" s="9">
        <v>5.0</v>
      </c>
      <c r="U271" s="9">
        <v>5.0</v>
      </c>
      <c r="V271" s="9">
        <v>0.0</v>
      </c>
      <c r="W271" s="9">
        <v>0.0</v>
      </c>
      <c r="X271" s="9">
        <v>0.0</v>
      </c>
      <c r="Y271" s="9">
        <v>0.0</v>
      </c>
      <c r="Z271" s="9">
        <v>0.0</v>
      </c>
      <c r="AA271" s="9">
        <v>0.0</v>
      </c>
      <c r="AB271" s="9">
        <v>0.0</v>
      </c>
      <c r="AC271" s="9">
        <v>0.0</v>
      </c>
      <c r="AD271" s="9"/>
      <c r="AE271" s="9" t="s">
        <v>9</v>
      </c>
    </row>
    <row r="272">
      <c r="A272" s="7" t="s">
        <v>920</v>
      </c>
      <c r="B272" s="7" t="s">
        <v>921</v>
      </c>
      <c r="C272" s="8">
        <v>46087.0</v>
      </c>
      <c r="D272" s="8">
        <v>46097.0</v>
      </c>
      <c r="E272" s="7" t="s">
        <v>416</v>
      </c>
      <c r="F272" s="7" t="s">
        <v>594</v>
      </c>
      <c r="G272" s="7" t="s">
        <v>355</v>
      </c>
      <c r="H272" s="9">
        <v>33873.0</v>
      </c>
      <c r="I272" s="9">
        <v>0.0</v>
      </c>
      <c r="J272" s="9">
        <v>166.0</v>
      </c>
      <c r="K272" s="9">
        <v>0.0</v>
      </c>
      <c r="L272" s="10">
        <v>0.0</v>
      </c>
      <c r="M272" s="9">
        <v>0.0</v>
      </c>
      <c r="N272" s="9">
        <v>20871.0</v>
      </c>
      <c r="O272" s="9">
        <v>20656.0</v>
      </c>
      <c r="P272" s="9">
        <v>4352.0</v>
      </c>
      <c r="Q272" s="9">
        <v>114.0</v>
      </c>
      <c r="R272" s="9">
        <v>51.0</v>
      </c>
      <c r="S272" s="9">
        <v>51.0</v>
      </c>
      <c r="T272" s="9">
        <v>21.0</v>
      </c>
      <c r="U272" s="9">
        <v>20.0</v>
      </c>
      <c r="V272" s="9">
        <v>0.0</v>
      </c>
      <c r="W272" s="9">
        <v>0.0</v>
      </c>
      <c r="X272" s="9">
        <v>0.0</v>
      </c>
      <c r="Y272" s="9">
        <v>0.0</v>
      </c>
      <c r="Z272" s="9">
        <v>0.0</v>
      </c>
      <c r="AA272" s="9">
        <v>0.0</v>
      </c>
      <c r="AB272" s="9">
        <v>0.0</v>
      </c>
      <c r="AC272" s="9">
        <v>0.0</v>
      </c>
      <c r="AD272" s="9"/>
      <c r="AE272" s="9" t="s">
        <v>9</v>
      </c>
    </row>
    <row r="273">
      <c r="A273" s="7" t="s">
        <v>922</v>
      </c>
      <c r="B273" s="7" t="s">
        <v>923</v>
      </c>
      <c r="C273" s="8">
        <v>46087.0</v>
      </c>
      <c r="D273" s="8">
        <v>46098.0</v>
      </c>
      <c r="E273" s="7" t="s">
        <v>416</v>
      </c>
      <c r="F273" s="7" t="s">
        <v>594</v>
      </c>
      <c r="G273" s="7" t="s">
        <v>355</v>
      </c>
      <c r="H273" s="9">
        <v>16315.0</v>
      </c>
      <c r="I273" s="9">
        <v>0.0</v>
      </c>
      <c r="J273" s="9">
        <v>117.0</v>
      </c>
      <c r="K273" s="9">
        <v>0.0</v>
      </c>
      <c r="L273" s="10">
        <v>0.0</v>
      </c>
      <c r="M273" s="9">
        <v>0.0</v>
      </c>
      <c r="N273" s="9">
        <v>10380.0</v>
      </c>
      <c r="O273" s="9">
        <v>10237.0</v>
      </c>
      <c r="P273" s="9">
        <v>1981.0</v>
      </c>
      <c r="Q273" s="9">
        <v>98.0</v>
      </c>
      <c r="R273" s="9">
        <v>77.0</v>
      </c>
      <c r="S273" s="9">
        <v>77.0</v>
      </c>
      <c r="T273" s="9">
        <v>26.0</v>
      </c>
      <c r="U273" s="9">
        <v>25.0</v>
      </c>
      <c r="V273" s="9">
        <v>0.0</v>
      </c>
      <c r="W273" s="9">
        <v>0.0</v>
      </c>
      <c r="X273" s="9">
        <v>0.0</v>
      </c>
      <c r="Y273" s="9">
        <v>0.0</v>
      </c>
      <c r="Z273" s="9">
        <v>0.0</v>
      </c>
      <c r="AA273" s="9">
        <v>0.0</v>
      </c>
      <c r="AB273" s="9">
        <v>0.0</v>
      </c>
      <c r="AC273" s="9">
        <v>0.0</v>
      </c>
      <c r="AD273" s="9"/>
      <c r="AE273" s="9" t="s">
        <v>9</v>
      </c>
    </row>
    <row r="274">
      <c r="A274" s="7" t="s">
        <v>924</v>
      </c>
      <c r="B274" s="7" t="s">
        <v>925</v>
      </c>
      <c r="C274" s="8">
        <v>46092.0</v>
      </c>
      <c r="D274" s="8">
        <v>46092.0</v>
      </c>
      <c r="E274" s="7" t="s">
        <v>358</v>
      </c>
      <c r="F274" s="7" t="s">
        <v>359</v>
      </c>
      <c r="G274" s="7" t="s">
        <v>355</v>
      </c>
      <c r="H274" s="9">
        <v>0.0</v>
      </c>
      <c r="I274" s="9">
        <v>0.0</v>
      </c>
      <c r="J274" s="9">
        <v>0.0</v>
      </c>
      <c r="K274" s="9">
        <v>0.0</v>
      </c>
      <c r="L274" s="10">
        <v>0.0</v>
      </c>
      <c r="M274" s="9">
        <v>0.0</v>
      </c>
      <c r="N274" s="9">
        <v>69274.0</v>
      </c>
      <c r="O274" s="9">
        <v>68729.0</v>
      </c>
      <c r="P274" s="9">
        <v>33551.0</v>
      </c>
      <c r="Q274" s="9">
        <v>634.0</v>
      </c>
      <c r="R274" s="9">
        <v>0.0</v>
      </c>
      <c r="S274" s="9">
        <v>0.0</v>
      </c>
      <c r="T274" s="9">
        <v>0.0</v>
      </c>
      <c r="U274" s="9">
        <v>0.0</v>
      </c>
      <c r="V274" s="9">
        <v>0.0</v>
      </c>
      <c r="W274" s="9">
        <v>0.0</v>
      </c>
      <c r="X274" s="9">
        <v>0.0</v>
      </c>
      <c r="Y274" s="9">
        <v>0.0</v>
      </c>
      <c r="Z274" s="9">
        <v>0.0</v>
      </c>
      <c r="AA274" s="9">
        <v>0.0</v>
      </c>
      <c r="AB274" s="9">
        <v>0.0</v>
      </c>
      <c r="AC274" s="9">
        <v>0.0</v>
      </c>
      <c r="AD274" s="9"/>
      <c r="AE274" s="9" t="s">
        <v>9</v>
      </c>
    </row>
    <row r="275">
      <c r="A275" s="7" t="s">
        <v>926</v>
      </c>
      <c r="B275" s="7" t="s">
        <v>927</v>
      </c>
      <c r="C275" s="8">
        <v>46112.0</v>
      </c>
      <c r="D275" s="8">
        <v>46173.0</v>
      </c>
      <c r="E275" s="7" t="s">
        <v>503</v>
      </c>
      <c r="F275" s="7" t="s">
        <v>928</v>
      </c>
      <c r="G275" s="7" t="s">
        <v>355</v>
      </c>
      <c r="H275" s="9">
        <v>2.8364238E7</v>
      </c>
      <c r="I275" s="9">
        <v>2429245.0</v>
      </c>
      <c r="J275" s="9">
        <v>415901.0</v>
      </c>
      <c r="K275" s="9">
        <v>2797543.0</v>
      </c>
      <c r="L275" s="10">
        <v>2.058953874882352</v>
      </c>
      <c r="M275" s="9">
        <v>10.138981956666976</v>
      </c>
      <c r="N275" s="9">
        <v>820663.0</v>
      </c>
      <c r="O275" s="9">
        <v>812768.0</v>
      </c>
      <c r="P275" s="9">
        <v>314666.0</v>
      </c>
      <c r="Q275" s="9">
        <v>13094.0</v>
      </c>
      <c r="R275" s="9">
        <v>0.0</v>
      </c>
      <c r="S275" s="9">
        <v>0.0</v>
      </c>
      <c r="T275" s="9">
        <v>0.0</v>
      </c>
      <c r="U275" s="9">
        <v>0.0</v>
      </c>
      <c r="V275" s="9">
        <v>0.0</v>
      </c>
      <c r="W275" s="9">
        <v>0.0</v>
      </c>
      <c r="X275" s="9">
        <v>0.0</v>
      </c>
      <c r="Y275" s="9">
        <v>0.0</v>
      </c>
      <c r="Z275" s="9">
        <v>0.0</v>
      </c>
      <c r="AA275" s="9">
        <v>114104.0</v>
      </c>
      <c r="AB275" s="9">
        <v>106582.0</v>
      </c>
      <c r="AC275" s="9">
        <v>2976.0</v>
      </c>
      <c r="AD275" s="11" t="s">
        <v>53</v>
      </c>
      <c r="AE275" s="9" t="s">
        <v>9</v>
      </c>
    </row>
    <row r="276">
      <c r="A276" s="7" t="s">
        <v>929</v>
      </c>
      <c r="B276" s="7" t="s">
        <v>930</v>
      </c>
      <c r="C276" s="8">
        <v>46098.0</v>
      </c>
      <c r="D276" s="8">
        <v>46112.0</v>
      </c>
      <c r="E276" s="7" t="s">
        <v>364</v>
      </c>
      <c r="F276" s="7" t="s">
        <v>365</v>
      </c>
      <c r="G276" s="7" t="s">
        <v>355</v>
      </c>
      <c r="H276" s="9">
        <v>104689.0</v>
      </c>
      <c r="I276" s="9">
        <v>0.0</v>
      </c>
      <c r="J276" s="9">
        <v>123.0</v>
      </c>
      <c r="K276" s="9">
        <v>49852.0</v>
      </c>
      <c r="L276" s="10">
        <v>2.0999959881248493</v>
      </c>
      <c r="M276" s="9">
        <v>2.0999959881248493</v>
      </c>
      <c r="N276" s="9">
        <v>31197.0</v>
      </c>
      <c r="O276" s="9">
        <v>30916.0</v>
      </c>
      <c r="P276" s="9">
        <v>10327.0</v>
      </c>
      <c r="Q276" s="9">
        <v>159.0</v>
      </c>
      <c r="R276" s="9">
        <v>0.0</v>
      </c>
      <c r="S276" s="9">
        <v>0.0</v>
      </c>
      <c r="T276" s="9">
        <v>0.0</v>
      </c>
      <c r="U276" s="9">
        <v>0.0</v>
      </c>
      <c r="V276" s="9">
        <v>0.0</v>
      </c>
      <c r="W276" s="9">
        <v>0.0</v>
      </c>
      <c r="X276" s="9">
        <v>0.0</v>
      </c>
      <c r="Y276" s="9">
        <v>0.0</v>
      </c>
      <c r="Z276" s="9">
        <v>0.0</v>
      </c>
      <c r="AA276" s="9">
        <v>0.0</v>
      </c>
      <c r="AB276" s="9">
        <v>0.0</v>
      </c>
      <c r="AC276" s="9">
        <v>0.0</v>
      </c>
      <c r="AD276" s="9"/>
      <c r="AE276" s="9" t="s">
        <v>9</v>
      </c>
    </row>
    <row r="277">
      <c r="A277" s="7" t="s">
        <v>931</v>
      </c>
      <c r="B277" s="7" t="s">
        <v>932</v>
      </c>
      <c r="C277" s="8">
        <v>46094.0</v>
      </c>
      <c r="D277" s="8">
        <v>46094.0</v>
      </c>
      <c r="E277" s="7" t="s">
        <v>416</v>
      </c>
      <c r="F277" s="7" t="s">
        <v>430</v>
      </c>
      <c r="G277" s="7" t="s">
        <v>355</v>
      </c>
      <c r="H277" s="9">
        <v>0.0</v>
      </c>
      <c r="I277" s="9">
        <v>0.0</v>
      </c>
      <c r="J277" s="9">
        <v>0.0</v>
      </c>
      <c r="K277" s="9">
        <v>0.0</v>
      </c>
      <c r="L277" s="10">
        <v>0.0</v>
      </c>
      <c r="M277" s="9">
        <v>0.0</v>
      </c>
      <c r="N277" s="9">
        <v>35111.0</v>
      </c>
      <c r="O277" s="9">
        <v>34667.0</v>
      </c>
      <c r="P277" s="9">
        <v>7451.0</v>
      </c>
      <c r="Q277" s="9">
        <v>256.0</v>
      </c>
      <c r="R277" s="9">
        <v>0.0</v>
      </c>
      <c r="S277" s="9">
        <v>0.0</v>
      </c>
      <c r="T277" s="9">
        <v>0.0</v>
      </c>
      <c r="U277" s="9">
        <v>0.0</v>
      </c>
      <c r="V277" s="9">
        <v>0.0</v>
      </c>
      <c r="W277" s="9">
        <v>0.0</v>
      </c>
      <c r="X277" s="9">
        <v>0.0</v>
      </c>
      <c r="Y277" s="9">
        <v>0.0</v>
      </c>
      <c r="Z277" s="9">
        <v>0.0</v>
      </c>
      <c r="AA277" s="9">
        <v>0.0</v>
      </c>
      <c r="AB277" s="9">
        <v>0.0</v>
      </c>
      <c r="AC277" s="9">
        <v>0.0</v>
      </c>
      <c r="AD277" s="9"/>
      <c r="AE277" s="9" t="s">
        <v>9</v>
      </c>
    </row>
    <row r="278">
      <c r="A278" s="7" t="s">
        <v>933</v>
      </c>
      <c r="B278" s="7" t="s">
        <v>934</v>
      </c>
      <c r="C278" s="8">
        <v>46094.0</v>
      </c>
      <c r="D278" s="8">
        <v>46094.0</v>
      </c>
      <c r="E278" s="7" t="s">
        <v>353</v>
      </c>
      <c r="F278" s="7" t="s">
        <v>378</v>
      </c>
      <c r="G278" s="7" t="s">
        <v>355</v>
      </c>
      <c r="H278" s="9">
        <v>0.0</v>
      </c>
      <c r="I278" s="9">
        <v>0.0</v>
      </c>
      <c r="J278" s="9">
        <v>0.0</v>
      </c>
      <c r="K278" s="9">
        <v>0.0</v>
      </c>
      <c r="L278" s="10">
        <v>0.0</v>
      </c>
      <c r="M278" s="9">
        <v>0.0</v>
      </c>
      <c r="N278" s="9">
        <v>7007.0</v>
      </c>
      <c r="O278" s="9">
        <v>6985.0</v>
      </c>
      <c r="P278" s="9">
        <v>2556.0</v>
      </c>
      <c r="Q278" s="9">
        <v>176.0</v>
      </c>
      <c r="R278" s="9">
        <v>0.0</v>
      </c>
      <c r="S278" s="9">
        <v>0.0</v>
      </c>
      <c r="T278" s="9">
        <v>0.0</v>
      </c>
      <c r="U278" s="9">
        <v>0.0</v>
      </c>
      <c r="V278" s="9">
        <v>0.0</v>
      </c>
      <c r="W278" s="9">
        <v>0.0</v>
      </c>
      <c r="X278" s="9">
        <v>0.0</v>
      </c>
      <c r="Y278" s="9">
        <v>0.0</v>
      </c>
      <c r="Z278" s="9">
        <v>0.0</v>
      </c>
      <c r="AA278" s="9">
        <v>0.0</v>
      </c>
      <c r="AB278" s="9">
        <v>0.0</v>
      </c>
      <c r="AC278" s="9">
        <v>0.0</v>
      </c>
      <c r="AD278" s="9"/>
      <c r="AE278" s="9" t="s">
        <v>9</v>
      </c>
    </row>
    <row r="279">
      <c r="A279" s="7" t="s">
        <v>935</v>
      </c>
      <c r="B279" s="7" t="s">
        <v>936</v>
      </c>
      <c r="C279" s="8">
        <v>46094.0</v>
      </c>
      <c r="D279" s="8">
        <v>46094.0</v>
      </c>
      <c r="E279" s="7" t="s">
        <v>416</v>
      </c>
      <c r="F279" s="7" t="s">
        <v>430</v>
      </c>
      <c r="G279" s="7" t="s">
        <v>355</v>
      </c>
      <c r="H279" s="9">
        <v>0.0</v>
      </c>
      <c r="I279" s="9">
        <v>0.0</v>
      </c>
      <c r="J279" s="9">
        <v>0.0</v>
      </c>
      <c r="K279" s="9">
        <v>0.0</v>
      </c>
      <c r="L279" s="10">
        <v>0.0</v>
      </c>
      <c r="M279" s="9">
        <v>0.0</v>
      </c>
      <c r="N279" s="9">
        <v>31555.0</v>
      </c>
      <c r="O279" s="9">
        <v>30828.0</v>
      </c>
      <c r="P279" s="9">
        <v>5403.0</v>
      </c>
      <c r="Q279" s="9">
        <v>172.0</v>
      </c>
      <c r="R279" s="9">
        <v>0.0</v>
      </c>
      <c r="S279" s="9">
        <v>0.0</v>
      </c>
      <c r="T279" s="9">
        <v>0.0</v>
      </c>
      <c r="U279" s="9">
        <v>0.0</v>
      </c>
      <c r="V279" s="9">
        <v>0.0</v>
      </c>
      <c r="W279" s="9">
        <v>0.0</v>
      </c>
      <c r="X279" s="9">
        <v>0.0</v>
      </c>
      <c r="Y279" s="9">
        <v>0.0</v>
      </c>
      <c r="Z279" s="9">
        <v>0.0</v>
      </c>
      <c r="AA279" s="9">
        <v>0.0</v>
      </c>
      <c r="AB279" s="9">
        <v>0.0</v>
      </c>
      <c r="AC279" s="9">
        <v>0.0</v>
      </c>
      <c r="AD279" s="9"/>
      <c r="AE279" s="9" t="s">
        <v>9</v>
      </c>
    </row>
    <row r="280">
      <c r="A280" s="7" t="s">
        <v>937</v>
      </c>
      <c r="B280" s="7" t="s">
        <v>938</v>
      </c>
      <c r="C280" s="8">
        <v>46094.0</v>
      </c>
      <c r="D280" s="8">
        <v>46094.0</v>
      </c>
      <c r="E280" s="7" t="s">
        <v>416</v>
      </c>
      <c r="F280" s="7" t="s">
        <v>430</v>
      </c>
      <c r="G280" s="7" t="s">
        <v>355</v>
      </c>
      <c r="H280" s="9">
        <v>0.0</v>
      </c>
      <c r="I280" s="9">
        <v>0.0</v>
      </c>
      <c r="J280" s="9">
        <v>0.0</v>
      </c>
      <c r="K280" s="9">
        <v>0.0</v>
      </c>
      <c r="L280" s="10">
        <v>0.0</v>
      </c>
      <c r="M280" s="9">
        <v>0.0</v>
      </c>
      <c r="N280" s="9">
        <v>40265.0</v>
      </c>
      <c r="O280" s="9">
        <v>39991.0</v>
      </c>
      <c r="P280" s="9">
        <v>18566.0</v>
      </c>
      <c r="Q280" s="9">
        <v>641.0</v>
      </c>
      <c r="R280" s="9">
        <v>0.0</v>
      </c>
      <c r="S280" s="9">
        <v>0.0</v>
      </c>
      <c r="T280" s="9">
        <v>0.0</v>
      </c>
      <c r="U280" s="9">
        <v>0.0</v>
      </c>
      <c r="V280" s="9">
        <v>0.0</v>
      </c>
      <c r="W280" s="9">
        <v>0.0</v>
      </c>
      <c r="X280" s="9">
        <v>0.0</v>
      </c>
      <c r="Y280" s="9">
        <v>0.0</v>
      </c>
      <c r="Z280" s="9">
        <v>0.0</v>
      </c>
      <c r="AA280" s="9">
        <v>0.0</v>
      </c>
      <c r="AB280" s="9">
        <v>0.0</v>
      </c>
      <c r="AC280" s="9">
        <v>0.0</v>
      </c>
      <c r="AD280" s="9"/>
      <c r="AE280" s="9" t="s">
        <v>9</v>
      </c>
    </row>
    <row r="281">
      <c r="A281" s="7" t="s">
        <v>939</v>
      </c>
      <c r="B281" s="7" t="s">
        <v>940</v>
      </c>
      <c r="C281" s="8">
        <v>46107.0</v>
      </c>
      <c r="D281" s="8">
        <v>46117.0</v>
      </c>
      <c r="E281" s="7" t="s">
        <v>404</v>
      </c>
      <c r="F281" s="7" t="s">
        <v>405</v>
      </c>
      <c r="G281" s="7" t="s">
        <v>355</v>
      </c>
      <c r="H281" s="9">
        <v>1.1742285E7</v>
      </c>
      <c r="I281" s="9">
        <v>1679159.0</v>
      </c>
      <c r="J281" s="9">
        <v>11395.0</v>
      </c>
      <c r="K281" s="9">
        <v>2898666.0</v>
      </c>
      <c r="L281" s="10">
        <v>1.7754156567193322</v>
      </c>
      <c r="M281" s="9">
        <v>4.050927219624476</v>
      </c>
      <c r="N281" s="9">
        <v>357162.0</v>
      </c>
      <c r="O281" s="9">
        <v>353270.0</v>
      </c>
      <c r="P281" s="9">
        <v>104096.0</v>
      </c>
      <c r="Q281" s="9">
        <v>5083.0</v>
      </c>
      <c r="R281" s="9">
        <v>0.0</v>
      </c>
      <c r="S281" s="9">
        <v>0.0</v>
      </c>
      <c r="T281" s="9">
        <v>0.0</v>
      </c>
      <c r="U281" s="9">
        <v>0.0</v>
      </c>
      <c r="V281" s="9">
        <v>0.0</v>
      </c>
      <c r="W281" s="9">
        <v>0.0</v>
      </c>
      <c r="X281" s="9">
        <v>0.0</v>
      </c>
      <c r="Y281" s="9">
        <v>0.0</v>
      </c>
      <c r="Z281" s="9">
        <v>0.0</v>
      </c>
      <c r="AA281" s="9">
        <v>0.0</v>
      </c>
      <c r="AB281" s="9">
        <v>0.0</v>
      </c>
      <c r="AC281" s="9">
        <v>0.0</v>
      </c>
      <c r="AD281" s="9"/>
      <c r="AE281" s="9" t="s">
        <v>9</v>
      </c>
    </row>
    <row r="282">
      <c r="A282" s="7" t="s">
        <v>941</v>
      </c>
      <c r="B282" s="7" t="s">
        <v>942</v>
      </c>
      <c r="C282" s="8">
        <v>46107.0</v>
      </c>
      <c r="D282" s="8">
        <v>46117.0</v>
      </c>
      <c r="E282" s="7" t="s">
        <v>404</v>
      </c>
      <c r="F282" s="7" t="s">
        <v>405</v>
      </c>
      <c r="G282" s="7" t="s">
        <v>355</v>
      </c>
      <c r="H282" s="9">
        <v>9851321.0</v>
      </c>
      <c r="I282" s="9">
        <v>1319054.0</v>
      </c>
      <c r="J282" s="9">
        <v>12457.0</v>
      </c>
      <c r="K282" s="9">
        <v>2573121.0</v>
      </c>
      <c r="L282" s="10">
        <v>1.3241479899312936</v>
      </c>
      <c r="M282" s="9">
        <v>3.8285494541453744</v>
      </c>
      <c r="N282" s="9">
        <v>177189.0</v>
      </c>
      <c r="O282" s="9">
        <v>175088.0</v>
      </c>
      <c r="P282" s="9">
        <v>62153.0</v>
      </c>
      <c r="Q282" s="9">
        <v>2650.0</v>
      </c>
      <c r="R282" s="9">
        <v>0.0</v>
      </c>
      <c r="S282" s="9">
        <v>0.0</v>
      </c>
      <c r="T282" s="9">
        <v>0.0</v>
      </c>
      <c r="U282" s="9">
        <v>0.0</v>
      </c>
      <c r="V282" s="9">
        <v>0.0</v>
      </c>
      <c r="W282" s="9">
        <v>0.0</v>
      </c>
      <c r="X282" s="9">
        <v>0.0</v>
      </c>
      <c r="Y282" s="9">
        <v>0.0</v>
      </c>
      <c r="Z282" s="9">
        <v>0.0</v>
      </c>
      <c r="AA282" s="9">
        <v>0.0</v>
      </c>
      <c r="AB282" s="9">
        <v>0.0</v>
      </c>
      <c r="AC282" s="9">
        <v>0.0</v>
      </c>
      <c r="AD282" s="9"/>
      <c r="AE282" s="9" t="s">
        <v>9</v>
      </c>
    </row>
    <row r="283">
      <c r="A283" s="7" t="s">
        <v>943</v>
      </c>
      <c r="B283" s="7" t="s">
        <v>944</v>
      </c>
      <c r="C283" s="8">
        <v>46122.0</v>
      </c>
      <c r="D283" s="8">
        <v>46154.0</v>
      </c>
      <c r="E283" s="7" t="s">
        <v>353</v>
      </c>
      <c r="F283" s="7" t="s">
        <v>378</v>
      </c>
      <c r="G283" s="7" t="s">
        <v>355</v>
      </c>
      <c r="H283" s="9">
        <v>1.3902658E7</v>
      </c>
      <c r="I283" s="9">
        <v>3946097.0</v>
      </c>
      <c r="J283" s="9">
        <v>20122.0</v>
      </c>
      <c r="K283" s="9">
        <v>662754.0</v>
      </c>
      <c r="L283" s="10">
        <v>1.7701967849307587</v>
      </c>
      <c r="M283" s="9">
        <v>20.977101609345247</v>
      </c>
      <c r="N283" s="9">
        <v>267890.0</v>
      </c>
      <c r="O283" s="9">
        <v>264778.0</v>
      </c>
      <c r="P283" s="9">
        <v>51865.0</v>
      </c>
      <c r="Q283" s="9">
        <v>952.0</v>
      </c>
      <c r="R283" s="9">
        <v>0.0</v>
      </c>
      <c r="S283" s="9">
        <v>0.0</v>
      </c>
      <c r="T283" s="9">
        <v>0.0</v>
      </c>
      <c r="U283" s="9">
        <v>0.0</v>
      </c>
      <c r="V283" s="9">
        <v>0.0</v>
      </c>
      <c r="W283" s="9">
        <v>0.0</v>
      </c>
      <c r="X283" s="9">
        <v>0.0</v>
      </c>
      <c r="Y283" s="9">
        <v>0.0</v>
      </c>
      <c r="Z283" s="9">
        <v>0.0</v>
      </c>
      <c r="AA283" s="9">
        <v>0.0</v>
      </c>
      <c r="AB283" s="9">
        <v>0.0</v>
      </c>
      <c r="AC283" s="9">
        <v>0.0</v>
      </c>
      <c r="AD283" s="11" t="s">
        <v>54</v>
      </c>
      <c r="AE283" s="9" t="s">
        <v>9</v>
      </c>
    </row>
    <row r="284">
      <c r="A284" s="7" t="s">
        <v>945</v>
      </c>
      <c r="B284" s="7" t="s">
        <v>946</v>
      </c>
      <c r="C284" s="8">
        <v>46093.0</v>
      </c>
      <c r="D284" s="8">
        <v>46098.0</v>
      </c>
      <c r="E284" s="7" t="s">
        <v>416</v>
      </c>
      <c r="F284" s="7" t="s">
        <v>359</v>
      </c>
      <c r="G284" s="7" t="s">
        <v>355</v>
      </c>
      <c r="H284" s="9">
        <v>159253.0</v>
      </c>
      <c r="I284" s="9">
        <v>0.0</v>
      </c>
      <c r="J284" s="9">
        <v>455.0</v>
      </c>
      <c r="K284" s="9">
        <v>110227.0</v>
      </c>
      <c r="L284" s="10">
        <v>1.4447730592323116</v>
      </c>
      <c r="M284" s="9">
        <v>1.4447730592323116</v>
      </c>
      <c r="N284" s="9">
        <v>74447.0</v>
      </c>
      <c r="O284" s="9">
        <v>73689.0</v>
      </c>
      <c r="P284" s="9">
        <v>12014.0</v>
      </c>
      <c r="Q284" s="9">
        <v>134.0</v>
      </c>
      <c r="R284" s="9">
        <v>44.0</v>
      </c>
      <c r="S284" s="9">
        <v>44.0</v>
      </c>
      <c r="T284" s="9">
        <v>14.0</v>
      </c>
      <c r="U284" s="9">
        <v>14.0</v>
      </c>
      <c r="V284" s="9">
        <v>0.0</v>
      </c>
      <c r="W284" s="9">
        <v>0.0</v>
      </c>
      <c r="X284" s="9">
        <v>0.0</v>
      </c>
      <c r="Y284" s="9">
        <v>0.0</v>
      </c>
      <c r="Z284" s="9">
        <v>0.0</v>
      </c>
      <c r="AA284" s="9">
        <v>0.0</v>
      </c>
      <c r="AB284" s="9">
        <v>0.0</v>
      </c>
      <c r="AC284" s="9">
        <v>0.0</v>
      </c>
      <c r="AD284" s="9"/>
      <c r="AE284" s="9" t="s">
        <v>9</v>
      </c>
    </row>
    <row r="285">
      <c r="A285" s="7" t="s">
        <v>947</v>
      </c>
      <c r="B285" s="7" t="s">
        <v>948</v>
      </c>
      <c r="C285" s="8">
        <v>46094.0</v>
      </c>
      <c r="D285" s="8">
        <v>46100.0</v>
      </c>
      <c r="E285" s="7" t="s">
        <v>416</v>
      </c>
      <c r="F285" s="7" t="s">
        <v>365</v>
      </c>
      <c r="G285" s="7" t="s">
        <v>355</v>
      </c>
      <c r="H285" s="9">
        <v>355425.0</v>
      </c>
      <c r="I285" s="9">
        <v>0.0</v>
      </c>
      <c r="J285" s="9">
        <v>324.0</v>
      </c>
      <c r="K285" s="9">
        <v>256376.0</v>
      </c>
      <c r="L285" s="10">
        <v>1.3863427153867758</v>
      </c>
      <c r="M285" s="9">
        <v>1.3863427153867758</v>
      </c>
      <c r="N285" s="9">
        <v>59775.0</v>
      </c>
      <c r="O285" s="9">
        <v>58987.0</v>
      </c>
      <c r="P285" s="9">
        <v>9357.0</v>
      </c>
      <c r="Q285" s="9">
        <v>231.0</v>
      </c>
      <c r="R285" s="9">
        <v>149.0</v>
      </c>
      <c r="S285" s="9">
        <v>149.0</v>
      </c>
      <c r="T285" s="9">
        <v>34.0</v>
      </c>
      <c r="U285" s="9">
        <v>31.0</v>
      </c>
      <c r="V285" s="9">
        <v>0.0</v>
      </c>
      <c r="W285" s="9">
        <v>0.0</v>
      </c>
      <c r="X285" s="9">
        <v>0.0</v>
      </c>
      <c r="Y285" s="9">
        <v>0.0</v>
      </c>
      <c r="Z285" s="9">
        <v>0.0</v>
      </c>
      <c r="AA285" s="9">
        <v>0.0</v>
      </c>
      <c r="AB285" s="9">
        <v>0.0</v>
      </c>
      <c r="AC285" s="9">
        <v>0.0</v>
      </c>
      <c r="AD285" s="9"/>
      <c r="AE285" s="9" t="s">
        <v>9</v>
      </c>
    </row>
    <row r="286">
      <c r="A286" s="7" t="s">
        <v>949</v>
      </c>
      <c r="B286" s="7" t="s">
        <v>950</v>
      </c>
      <c r="C286" s="8">
        <v>46092.0</v>
      </c>
      <c r="D286" s="8">
        <v>46100.0</v>
      </c>
      <c r="E286" s="7" t="s">
        <v>364</v>
      </c>
      <c r="F286" s="7" t="s">
        <v>365</v>
      </c>
      <c r="G286" s="7" t="s">
        <v>355</v>
      </c>
      <c r="H286" s="9">
        <v>120296.0</v>
      </c>
      <c r="I286" s="9">
        <v>0.0</v>
      </c>
      <c r="J286" s="9">
        <v>837.0</v>
      </c>
      <c r="K286" s="9">
        <v>72010.0</v>
      </c>
      <c r="L286" s="10">
        <v>1.670545757533676</v>
      </c>
      <c r="M286" s="9">
        <v>1.670545757533676</v>
      </c>
      <c r="N286" s="9">
        <v>82535.0</v>
      </c>
      <c r="O286" s="9">
        <v>81698.0</v>
      </c>
      <c r="P286" s="9">
        <v>29536.0</v>
      </c>
      <c r="Q286" s="9">
        <v>525.0</v>
      </c>
      <c r="R286" s="9">
        <v>0.0</v>
      </c>
      <c r="S286" s="9">
        <v>0.0</v>
      </c>
      <c r="T286" s="9">
        <v>0.0</v>
      </c>
      <c r="U286" s="9">
        <v>0.0</v>
      </c>
      <c r="V286" s="9">
        <v>0.0</v>
      </c>
      <c r="W286" s="9">
        <v>0.0</v>
      </c>
      <c r="X286" s="9">
        <v>0.0</v>
      </c>
      <c r="Y286" s="9">
        <v>0.0</v>
      </c>
      <c r="Z286" s="9">
        <v>0.0</v>
      </c>
      <c r="AA286" s="9">
        <v>0.0</v>
      </c>
      <c r="AB286" s="9">
        <v>0.0</v>
      </c>
      <c r="AC286" s="9">
        <v>0.0</v>
      </c>
      <c r="AD286" s="9"/>
      <c r="AE286" s="9" t="s">
        <v>9</v>
      </c>
    </row>
    <row r="287">
      <c r="A287" s="7" t="s">
        <v>951</v>
      </c>
      <c r="B287" s="7" t="s">
        <v>952</v>
      </c>
      <c r="C287" s="8">
        <v>46097.0</v>
      </c>
      <c r="D287" s="8">
        <v>46102.0</v>
      </c>
      <c r="E287" s="7" t="s">
        <v>416</v>
      </c>
      <c r="F287" s="7" t="s">
        <v>413</v>
      </c>
      <c r="G287" s="7" t="s">
        <v>355</v>
      </c>
      <c r="H287" s="9">
        <v>193745.0</v>
      </c>
      <c r="I287" s="9">
        <v>0.0</v>
      </c>
      <c r="J287" s="9">
        <v>648.0</v>
      </c>
      <c r="K287" s="9">
        <v>126117.0</v>
      </c>
      <c r="L287" s="10">
        <v>1.5362322288034127</v>
      </c>
      <c r="M287" s="9">
        <v>1.5362322288034127</v>
      </c>
      <c r="N287" s="9">
        <v>86293.0</v>
      </c>
      <c r="O287" s="9">
        <v>85391.0</v>
      </c>
      <c r="P287" s="9">
        <v>18504.0</v>
      </c>
      <c r="Q287" s="9">
        <v>239.0</v>
      </c>
      <c r="R287" s="9">
        <v>7163.0</v>
      </c>
      <c r="S287" s="9">
        <v>6961.0</v>
      </c>
      <c r="T287" s="9">
        <v>1750.0</v>
      </c>
      <c r="U287" s="9">
        <v>1327.0</v>
      </c>
      <c r="V287" s="9">
        <v>0.0</v>
      </c>
      <c r="W287" s="9">
        <v>0.0</v>
      </c>
      <c r="X287" s="9">
        <v>0.0</v>
      </c>
      <c r="Y287" s="9">
        <v>0.0</v>
      </c>
      <c r="Z287" s="9">
        <v>0.0</v>
      </c>
      <c r="AA287" s="9">
        <v>0.0</v>
      </c>
      <c r="AB287" s="9">
        <v>0.0</v>
      </c>
      <c r="AC287" s="9">
        <v>0.0</v>
      </c>
      <c r="AD287" s="9"/>
      <c r="AE287" s="9" t="s">
        <v>9</v>
      </c>
    </row>
    <row r="288">
      <c r="A288" s="7" t="s">
        <v>953</v>
      </c>
      <c r="B288" s="7" t="s">
        <v>954</v>
      </c>
      <c r="C288" s="8">
        <v>46093.0</v>
      </c>
      <c r="D288" s="8">
        <v>46095.0</v>
      </c>
      <c r="E288" s="7" t="s">
        <v>364</v>
      </c>
      <c r="F288" s="7" t="s">
        <v>365</v>
      </c>
      <c r="G288" s="7" t="s">
        <v>355</v>
      </c>
      <c r="H288" s="9">
        <v>1325.0</v>
      </c>
      <c r="I288" s="9">
        <v>0.0</v>
      </c>
      <c r="J288" s="9">
        <v>47.0</v>
      </c>
      <c r="K288" s="9">
        <v>1175.0</v>
      </c>
      <c r="L288" s="10">
        <v>1.127659574468085</v>
      </c>
      <c r="M288" s="9">
        <v>1.127659574468085</v>
      </c>
      <c r="N288" s="9">
        <v>0.0</v>
      </c>
      <c r="O288" s="9">
        <v>0.0</v>
      </c>
      <c r="P288" s="9">
        <v>0.0</v>
      </c>
      <c r="Q288" s="9">
        <v>0.0</v>
      </c>
      <c r="R288" s="9">
        <v>0.0</v>
      </c>
      <c r="S288" s="9">
        <v>0.0</v>
      </c>
      <c r="T288" s="9">
        <v>0.0</v>
      </c>
      <c r="U288" s="9">
        <v>0.0</v>
      </c>
      <c r="V288" s="9">
        <v>0.0</v>
      </c>
      <c r="W288" s="9">
        <v>0.0</v>
      </c>
      <c r="X288" s="9">
        <v>0.0</v>
      </c>
      <c r="Y288" s="9">
        <v>0.0</v>
      </c>
      <c r="Z288" s="9">
        <v>0.0</v>
      </c>
      <c r="AA288" s="9">
        <v>0.0</v>
      </c>
      <c r="AB288" s="9">
        <v>0.0</v>
      </c>
      <c r="AC288" s="9">
        <v>0.0</v>
      </c>
      <c r="AD288" s="9"/>
      <c r="AE288" s="9"/>
    </row>
    <row r="289">
      <c r="A289" s="7" t="s">
        <v>955</v>
      </c>
      <c r="B289" s="7" t="s">
        <v>956</v>
      </c>
      <c r="C289" s="8">
        <v>46097.0</v>
      </c>
      <c r="D289" s="8">
        <v>46101.0</v>
      </c>
      <c r="E289" s="7" t="s">
        <v>416</v>
      </c>
      <c r="F289" s="7" t="s">
        <v>594</v>
      </c>
      <c r="G289" s="7" t="s">
        <v>355</v>
      </c>
      <c r="H289" s="9">
        <v>17874.0</v>
      </c>
      <c r="I289" s="9">
        <v>0.0</v>
      </c>
      <c r="J289" s="9">
        <v>54.0</v>
      </c>
      <c r="K289" s="9">
        <v>12987.0</v>
      </c>
      <c r="L289" s="10">
        <v>1.3762993762993763</v>
      </c>
      <c r="M289" s="9">
        <v>1.3762993762993763</v>
      </c>
      <c r="N289" s="9">
        <v>6930.0</v>
      </c>
      <c r="O289" s="9">
        <v>6864.0</v>
      </c>
      <c r="P289" s="9">
        <v>1515.0</v>
      </c>
      <c r="Q289" s="9">
        <v>65.0</v>
      </c>
      <c r="R289" s="9">
        <v>7105.0</v>
      </c>
      <c r="S289" s="9">
        <v>7105.0</v>
      </c>
      <c r="T289" s="9">
        <v>1785.0</v>
      </c>
      <c r="U289" s="9">
        <v>1361.0</v>
      </c>
      <c r="V289" s="9">
        <v>0.0</v>
      </c>
      <c r="W289" s="9">
        <v>0.0</v>
      </c>
      <c r="X289" s="9">
        <v>0.0</v>
      </c>
      <c r="Y289" s="9">
        <v>0.0</v>
      </c>
      <c r="Z289" s="9">
        <v>0.0</v>
      </c>
      <c r="AA289" s="9">
        <v>0.0</v>
      </c>
      <c r="AB289" s="9">
        <v>0.0</v>
      </c>
      <c r="AC289" s="9">
        <v>0.0</v>
      </c>
      <c r="AD289" s="9"/>
      <c r="AE289" s="9" t="s">
        <v>9</v>
      </c>
    </row>
    <row r="290">
      <c r="A290" s="7" t="s">
        <v>957</v>
      </c>
      <c r="B290" s="7" t="s">
        <v>958</v>
      </c>
      <c r="C290" s="8">
        <v>46094.0</v>
      </c>
      <c r="D290" s="8">
        <v>46239.0</v>
      </c>
      <c r="E290" s="7" t="s">
        <v>364</v>
      </c>
      <c r="F290" s="7" t="s">
        <v>365</v>
      </c>
      <c r="G290" s="7" t="s">
        <v>410</v>
      </c>
      <c r="H290" s="9">
        <v>845740.0</v>
      </c>
      <c r="I290" s="9">
        <v>0.0</v>
      </c>
      <c r="J290" s="9">
        <v>7759.0</v>
      </c>
      <c r="K290" s="9">
        <v>221701.0</v>
      </c>
      <c r="L290" s="10">
        <v>3.8147775607687833</v>
      </c>
      <c r="M290" s="9">
        <v>3.8147775607687833</v>
      </c>
      <c r="N290" s="9">
        <v>0.0</v>
      </c>
      <c r="O290" s="9">
        <v>0.0</v>
      </c>
      <c r="P290" s="9">
        <v>0.0</v>
      </c>
      <c r="Q290" s="9">
        <v>0.0</v>
      </c>
      <c r="R290" s="9">
        <v>0.0</v>
      </c>
      <c r="S290" s="9">
        <v>0.0</v>
      </c>
      <c r="T290" s="9">
        <v>0.0</v>
      </c>
      <c r="U290" s="9">
        <v>0.0</v>
      </c>
      <c r="V290" s="9">
        <v>0.0</v>
      </c>
      <c r="W290" s="9">
        <v>0.0</v>
      </c>
      <c r="X290" s="9">
        <v>0.0</v>
      </c>
      <c r="Y290" s="9">
        <v>0.0</v>
      </c>
      <c r="Z290" s="9">
        <v>0.0</v>
      </c>
      <c r="AA290" s="9">
        <v>0.0</v>
      </c>
      <c r="AB290" s="9">
        <v>0.0</v>
      </c>
      <c r="AC290" s="9">
        <v>0.0</v>
      </c>
      <c r="AD290" s="9"/>
      <c r="AE290" s="9"/>
    </row>
    <row r="291">
      <c r="A291" s="7" t="s">
        <v>959</v>
      </c>
      <c r="B291" s="7" t="s">
        <v>960</v>
      </c>
      <c r="C291" s="8">
        <v>46093.0</v>
      </c>
      <c r="D291" s="8">
        <v>46112.0</v>
      </c>
      <c r="E291" s="7" t="s">
        <v>364</v>
      </c>
      <c r="F291" s="7" t="s">
        <v>365</v>
      </c>
      <c r="G291" s="7" t="s">
        <v>355</v>
      </c>
      <c r="H291" s="9">
        <v>1696252.0</v>
      </c>
      <c r="I291" s="9">
        <v>0.0</v>
      </c>
      <c r="J291" s="9">
        <v>10825.0</v>
      </c>
      <c r="K291" s="9">
        <v>1636822.0</v>
      </c>
      <c r="L291" s="10">
        <v>1.0363081630134492</v>
      </c>
      <c r="M291" s="9">
        <v>1.0363081630134492</v>
      </c>
      <c r="N291" s="9">
        <v>87418.0</v>
      </c>
      <c r="O291" s="9">
        <v>86588.0</v>
      </c>
      <c r="P291" s="9">
        <v>34574.0</v>
      </c>
      <c r="Q291" s="9">
        <v>1674.0</v>
      </c>
      <c r="R291" s="9">
        <v>0.0</v>
      </c>
      <c r="S291" s="9">
        <v>0.0</v>
      </c>
      <c r="T291" s="9">
        <v>0.0</v>
      </c>
      <c r="U291" s="9">
        <v>0.0</v>
      </c>
      <c r="V291" s="9">
        <v>0.0</v>
      </c>
      <c r="W291" s="9">
        <v>0.0</v>
      </c>
      <c r="X291" s="9">
        <v>0.0</v>
      </c>
      <c r="Y291" s="9">
        <v>0.0</v>
      </c>
      <c r="Z291" s="9">
        <v>0.0</v>
      </c>
      <c r="AA291" s="9">
        <v>0.0</v>
      </c>
      <c r="AB291" s="9">
        <v>0.0</v>
      </c>
      <c r="AC291" s="9">
        <v>0.0</v>
      </c>
      <c r="AD291" s="9"/>
      <c r="AE291" s="9" t="s">
        <v>9</v>
      </c>
    </row>
    <row r="292">
      <c r="A292" s="7" t="s">
        <v>961</v>
      </c>
      <c r="B292" s="7" t="s">
        <v>962</v>
      </c>
      <c r="C292" s="8">
        <v>46094.0</v>
      </c>
      <c r="D292" s="8">
        <v>46110.0</v>
      </c>
      <c r="E292" s="7" t="s">
        <v>416</v>
      </c>
      <c r="F292" s="7" t="s">
        <v>417</v>
      </c>
      <c r="G292" s="7" t="s">
        <v>355</v>
      </c>
      <c r="H292" s="9">
        <v>479224.0</v>
      </c>
      <c r="I292" s="9">
        <v>270976.0</v>
      </c>
      <c r="J292" s="9">
        <v>3739.0</v>
      </c>
      <c r="K292" s="9">
        <v>6467.0</v>
      </c>
      <c r="L292" s="10">
        <v>9.897324880160816</v>
      </c>
      <c r="M292" s="9">
        <v>74.10298438224834</v>
      </c>
      <c r="N292" s="9">
        <v>9754.0</v>
      </c>
      <c r="O292" s="9">
        <v>9659.0</v>
      </c>
      <c r="P292" s="9">
        <v>2319.0</v>
      </c>
      <c r="Q292" s="9">
        <v>98.0</v>
      </c>
      <c r="R292" s="9">
        <v>0.0</v>
      </c>
      <c r="S292" s="9">
        <v>0.0</v>
      </c>
      <c r="T292" s="9">
        <v>0.0</v>
      </c>
      <c r="U292" s="9">
        <v>0.0</v>
      </c>
      <c r="V292" s="9">
        <v>0.0</v>
      </c>
      <c r="W292" s="9">
        <v>0.0</v>
      </c>
      <c r="X292" s="9">
        <v>0.0</v>
      </c>
      <c r="Y292" s="9">
        <v>0.0</v>
      </c>
      <c r="Z292" s="9">
        <v>0.0</v>
      </c>
      <c r="AA292" s="9">
        <v>0.0</v>
      </c>
      <c r="AB292" s="9">
        <v>0.0</v>
      </c>
      <c r="AC292" s="9">
        <v>0.0</v>
      </c>
      <c r="AD292" s="9"/>
      <c r="AE292" s="9" t="s">
        <v>9</v>
      </c>
    </row>
    <row r="293">
      <c r="A293" s="7" t="s">
        <v>963</v>
      </c>
      <c r="B293" s="7" t="s">
        <v>964</v>
      </c>
      <c r="C293" s="8">
        <v>46094.0</v>
      </c>
      <c r="D293" s="8">
        <v>46131.0</v>
      </c>
      <c r="E293" s="7" t="s">
        <v>416</v>
      </c>
      <c r="F293" s="7" t="s">
        <v>417</v>
      </c>
      <c r="G293" s="7" t="s">
        <v>355</v>
      </c>
      <c r="H293" s="9">
        <v>309988.0</v>
      </c>
      <c r="I293" s="9">
        <v>69069.0</v>
      </c>
      <c r="J293" s="9">
        <v>5514.0</v>
      </c>
      <c r="K293" s="9">
        <v>12472.0</v>
      </c>
      <c r="L293" s="10">
        <v>13.243665811417575</v>
      </c>
      <c r="M293" s="9">
        <v>24.85471456061578</v>
      </c>
      <c r="N293" s="9">
        <v>32584.0</v>
      </c>
      <c r="O293" s="9">
        <v>31948.0</v>
      </c>
      <c r="P293" s="9">
        <v>3625.0</v>
      </c>
      <c r="Q293" s="9">
        <v>140.0</v>
      </c>
      <c r="R293" s="9">
        <v>0.0</v>
      </c>
      <c r="S293" s="9">
        <v>0.0</v>
      </c>
      <c r="T293" s="9">
        <v>0.0</v>
      </c>
      <c r="U293" s="9">
        <v>0.0</v>
      </c>
      <c r="V293" s="9">
        <v>0.0</v>
      </c>
      <c r="W293" s="9">
        <v>0.0</v>
      </c>
      <c r="X293" s="9">
        <v>0.0</v>
      </c>
      <c r="Y293" s="9">
        <v>0.0</v>
      </c>
      <c r="Z293" s="9">
        <v>0.0</v>
      </c>
      <c r="AA293" s="9">
        <v>0.0</v>
      </c>
      <c r="AB293" s="9">
        <v>0.0</v>
      </c>
      <c r="AC293" s="9">
        <v>0.0</v>
      </c>
      <c r="AD293" s="9"/>
      <c r="AE293" s="9" t="s">
        <v>9</v>
      </c>
    </row>
    <row r="294">
      <c r="A294" s="7" t="s">
        <v>965</v>
      </c>
      <c r="B294" s="7" t="s">
        <v>966</v>
      </c>
      <c r="C294" s="8">
        <v>46099.0</v>
      </c>
      <c r="D294" s="8">
        <v>46099.0</v>
      </c>
      <c r="E294" s="7" t="s">
        <v>416</v>
      </c>
      <c r="F294" s="7" t="s">
        <v>430</v>
      </c>
      <c r="G294" s="7" t="s">
        <v>355</v>
      </c>
      <c r="H294" s="9">
        <v>0.0</v>
      </c>
      <c r="I294" s="9">
        <v>0.0</v>
      </c>
      <c r="J294" s="9">
        <v>0.0</v>
      </c>
      <c r="K294" s="9">
        <v>0.0</v>
      </c>
      <c r="L294" s="10">
        <v>0.0</v>
      </c>
      <c r="M294" s="9">
        <v>0.0</v>
      </c>
      <c r="N294" s="9">
        <v>32653.0</v>
      </c>
      <c r="O294" s="9">
        <v>32300.0</v>
      </c>
      <c r="P294" s="9">
        <v>6248.0</v>
      </c>
      <c r="Q294" s="9">
        <v>130.0</v>
      </c>
      <c r="R294" s="9">
        <v>0.0</v>
      </c>
      <c r="S294" s="9">
        <v>0.0</v>
      </c>
      <c r="T294" s="9">
        <v>0.0</v>
      </c>
      <c r="U294" s="9">
        <v>0.0</v>
      </c>
      <c r="V294" s="9">
        <v>0.0</v>
      </c>
      <c r="W294" s="9">
        <v>0.0</v>
      </c>
      <c r="X294" s="9">
        <v>0.0</v>
      </c>
      <c r="Y294" s="9">
        <v>0.0</v>
      </c>
      <c r="Z294" s="9">
        <v>0.0</v>
      </c>
      <c r="AA294" s="9">
        <v>0.0</v>
      </c>
      <c r="AB294" s="9">
        <v>0.0</v>
      </c>
      <c r="AC294" s="9">
        <v>0.0</v>
      </c>
      <c r="AD294" s="9"/>
      <c r="AE294" s="9" t="s">
        <v>9</v>
      </c>
    </row>
    <row r="295">
      <c r="A295" s="7" t="s">
        <v>967</v>
      </c>
      <c r="B295" s="7" t="s">
        <v>968</v>
      </c>
      <c r="C295" s="8">
        <v>46069.0</v>
      </c>
      <c r="D295" s="8">
        <v>46102.0</v>
      </c>
      <c r="E295" s="7" t="s">
        <v>416</v>
      </c>
      <c r="F295" s="7" t="s">
        <v>466</v>
      </c>
      <c r="G295" s="7" t="s">
        <v>355</v>
      </c>
      <c r="H295" s="9">
        <v>199229.0</v>
      </c>
      <c r="I295" s="9">
        <v>0.0</v>
      </c>
      <c r="J295" s="9">
        <v>566.0</v>
      </c>
      <c r="K295" s="9">
        <v>0.0</v>
      </c>
      <c r="L295" s="10">
        <v>0.0</v>
      </c>
      <c r="M295" s="9">
        <v>0.0</v>
      </c>
      <c r="N295" s="9">
        <v>58914.0</v>
      </c>
      <c r="O295" s="9">
        <v>57777.0</v>
      </c>
      <c r="P295" s="9">
        <v>7885.0</v>
      </c>
      <c r="Q295" s="9">
        <v>151.0</v>
      </c>
      <c r="R295" s="9">
        <v>79.0</v>
      </c>
      <c r="S295" s="9">
        <v>79.0</v>
      </c>
      <c r="T295" s="9">
        <v>29.0</v>
      </c>
      <c r="U295" s="9">
        <v>29.0</v>
      </c>
      <c r="V295" s="9">
        <v>0.0</v>
      </c>
      <c r="W295" s="9">
        <v>0.0</v>
      </c>
      <c r="X295" s="9">
        <v>0.0</v>
      </c>
      <c r="Y295" s="9">
        <v>0.0</v>
      </c>
      <c r="Z295" s="9">
        <v>0.0</v>
      </c>
      <c r="AA295" s="9">
        <v>0.0</v>
      </c>
      <c r="AB295" s="9">
        <v>0.0</v>
      </c>
      <c r="AC295" s="9">
        <v>0.0</v>
      </c>
      <c r="AD295" s="9"/>
      <c r="AE295" s="9" t="s">
        <v>9</v>
      </c>
    </row>
    <row r="296">
      <c r="A296" s="7" t="s">
        <v>969</v>
      </c>
      <c r="B296" s="7" t="s">
        <v>970</v>
      </c>
      <c r="C296" s="8">
        <v>46097.0</v>
      </c>
      <c r="D296" s="8">
        <v>46101.0</v>
      </c>
      <c r="E296" s="7" t="s">
        <v>416</v>
      </c>
      <c r="F296" s="7" t="s">
        <v>466</v>
      </c>
      <c r="G296" s="7" t="s">
        <v>355</v>
      </c>
      <c r="H296" s="9">
        <v>145699.0</v>
      </c>
      <c r="I296" s="9">
        <v>0.0</v>
      </c>
      <c r="J296" s="9">
        <v>479.0</v>
      </c>
      <c r="K296" s="9">
        <v>0.0</v>
      </c>
      <c r="L296" s="10">
        <v>0.0</v>
      </c>
      <c r="M296" s="9">
        <v>0.0</v>
      </c>
      <c r="N296" s="9">
        <v>65732.0</v>
      </c>
      <c r="O296" s="9">
        <v>64826.0</v>
      </c>
      <c r="P296" s="9">
        <v>10841.0</v>
      </c>
      <c r="Q296" s="9">
        <v>176.0</v>
      </c>
      <c r="R296" s="9">
        <v>105.0</v>
      </c>
      <c r="S296" s="9">
        <v>105.0</v>
      </c>
      <c r="T296" s="9">
        <v>36.0</v>
      </c>
      <c r="U296" s="9">
        <v>36.0</v>
      </c>
      <c r="V296" s="9">
        <v>0.0</v>
      </c>
      <c r="W296" s="9">
        <v>0.0</v>
      </c>
      <c r="X296" s="9">
        <v>0.0</v>
      </c>
      <c r="Y296" s="9">
        <v>0.0</v>
      </c>
      <c r="Z296" s="9">
        <v>0.0</v>
      </c>
      <c r="AA296" s="9">
        <v>0.0</v>
      </c>
      <c r="AB296" s="9">
        <v>0.0</v>
      </c>
      <c r="AC296" s="9">
        <v>0.0</v>
      </c>
      <c r="AD296" s="9"/>
      <c r="AE296" s="9" t="s">
        <v>9</v>
      </c>
    </row>
    <row r="297">
      <c r="A297" s="7" t="s">
        <v>971</v>
      </c>
      <c r="B297" s="7" t="s">
        <v>972</v>
      </c>
      <c r="C297" s="8">
        <v>46097.0</v>
      </c>
      <c r="D297" s="8">
        <v>46101.0</v>
      </c>
      <c r="E297" s="7" t="s">
        <v>416</v>
      </c>
      <c r="F297" s="7" t="s">
        <v>466</v>
      </c>
      <c r="G297" s="7" t="s">
        <v>355</v>
      </c>
      <c r="H297" s="9">
        <v>139118.0</v>
      </c>
      <c r="I297" s="9">
        <v>0.0</v>
      </c>
      <c r="J297" s="9">
        <v>403.0</v>
      </c>
      <c r="K297" s="9">
        <v>0.0</v>
      </c>
      <c r="L297" s="10">
        <v>0.0</v>
      </c>
      <c r="M297" s="9">
        <v>0.0</v>
      </c>
      <c r="N297" s="9">
        <v>65275.0</v>
      </c>
      <c r="O297" s="9">
        <v>64587.0</v>
      </c>
      <c r="P297" s="9">
        <v>12108.0</v>
      </c>
      <c r="Q297" s="9">
        <v>212.0</v>
      </c>
      <c r="R297" s="9">
        <v>108.0</v>
      </c>
      <c r="S297" s="9">
        <v>108.0</v>
      </c>
      <c r="T297" s="9">
        <v>34.0</v>
      </c>
      <c r="U297" s="9">
        <v>34.0</v>
      </c>
      <c r="V297" s="9">
        <v>0.0</v>
      </c>
      <c r="W297" s="9">
        <v>0.0</v>
      </c>
      <c r="X297" s="9">
        <v>0.0</v>
      </c>
      <c r="Y297" s="9">
        <v>0.0</v>
      </c>
      <c r="Z297" s="9">
        <v>0.0</v>
      </c>
      <c r="AA297" s="9">
        <v>0.0</v>
      </c>
      <c r="AB297" s="9">
        <v>0.0</v>
      </c>
      <c r="AC297" s="9">
        <v>0.0</v>
      </c>
      <c r="AD297" s="9"/>
      <c r="AE297" s="9" t="s">
        <v>9</v>
      </c>
    </row>
    <row r="298">
      <c r="A298" s="7" t="s">
        <v>973</v>
      </c>
      <c r="B298" s="7" t="s">
        <v>974</v>
      </c>
      <c r="C298" s="8">
        <v>46097.0</v>
      </c>
      <c r="D298" s="8">
        <v>46107.0</v>
      </c>
      <c r="E298" s="7" t="s">
        <v>416</v>
      </c>
      <c r="F298" s="7" t="s">
        <v>466</v>
      </c>
      <c r="G298" s="7" t="s">
        <v>355</v>
      </c>
      <c r="H298" s="9">
        <v>186580.0</v>
      </c>
      <c r="I298" s="9">
        <v>0.0</v>
      </c>
      <c r="J298" s="9">
        <v>540.0</v>
      </c>
      <c r="K298" s="9"/>
      <c r="L298" s="10">
        <v>0.0</v>
      </c>
      <c r="M298" s="9">
        <v>0.0</v>
      </c>
      <c r="N298" s="9">
        <v>79560.0</v>
      </c>
      <c r="O298" s="9">
        <v>78715.0</v>
      </c>
      <c r="P298" s="9">
        <v>24047.0</v>
      </c>
      <c r="Q298" s="9">
        <v>334.0</v>
      </c>
      <c r="R298" s="9">
        <v>171.0</v>
      </c>
      <c r="S298" s="9">
        <v>171.0</v>
      </c>
      <c r="T298" s="9">
        <v>49.0</v>
      </c>
      <c r="U298" s="9">
        <v>47.0</v>
      </c>
      <c r="V298" s="9">
        <v>0.0</v>
      </c>
      <c r="W298" s="9">
        <v>0.0</v>
      </c>
      <c r="X298" s="9">
        <v>0.0</v>
      </c>
      <c r="Y298" s="9">
        <v>0.0</v>
      </c>
      <c r="Z298" s="9">
        <v>0.0</v>
      </c>
      <c r="AA298" s="9">
        <v>0.0</v>
      </c>
      <c r="AB298" s="9">
        <v>0.0</v>
      </c>
      <c r="AC298" s="9">
        <v>0.0</v>
      </c>
      <c r="AD298" s="9"/>
      <c r="AE298" s="9" t="s">
        <v>9</v>
      </c>
    </row>
    <row r="299">
      <c r="A299" s="7" t="s">
        <v>975</v>
      </c>
      <c r="B299" s="7" t="s">
        <v>976</v>
      </c>
      <c r="C299" s="8">
        <v>46093.0</v>
      </c>
      <c r="D299" s="8">
        <v>46100.0</v>
      </c>
      <c r="E299" s="7" t="s">
        <v>416</v>
      </c>
      <c r="F299" s="7" t="s">
        <v>430</v>
      </c>
      <c r="G299" s="7" t="s">
        <v>355</v>
      </c>
      <c r="H299" s="9">
        <v>303354.0</v>
      </c>
      <c r="I299" s="9">
        <v>0.0</v>
      </c>
      <c r="J299" s="9">
        <v>454.0</v>
      </c>
      <c r="K299" s="9">
        <v>241219.0</v>
      </c>
      <c r="L299" s="10">
        <v>1.2575875034719488</v>
      </c>
      <c r="M299" s="9">
        <v>1.2575875034719488</v>
      </c>
      <c r="N299" s="9">
        <v>0.0</v>
      </c>
      <c r="O299" s="9">
        <v>0.0</v>
      </c>
      <c r="P299" s="9">
        <v>0.0</v>
      </c>
      <c r="Q299" s="9">
        <v>0.0</v>
      </c>
      <c r="R299" s="9">
        <v>0.0</v>
      </c>
      <c r="S299" s="9">
        <v>0.0</v>
      </c>
      <c r="T299" s="9">
        <v>0.0</v>
      </c>
      <c r="U299" s="9">
        <v>0.0</v>
      </c>
      <c r="V299" s="9">
        <v>0.0</v>
      </c>
      <c r="W299" s="9">
        <v>0.0</v>
      </c>
      <c r="X299" s="9">
        <v>0.0</v>
      </c>
      <c r="Y299" s="9">
        <v>0.0</v>
      </c>
      <c r="Z299" s="9">
        <v>0.0</v>
      </c>
      <c r="AA299" s="9">
        <v>0.0</v>
      </c>
      <c r="AB299" s="9">
        <v>0.0</v>
      </c>
      <c r="AC299" s="9">
        <v>0.0</v>
      </c>
      <c r="AD299" s="9"/>
      <c r="AE299" s="9"/>
    </row>
    <row r="300">
      <c r="A300" s="7" t="s">
        <v>977</v>
      </c>
      <c r="B300" s="7" t="s">
        <v>978</v>
      </c>
      <c r="C300" s="8">
        <v>46094.0</v>
      </c>
      <c r="D300" s="8">
        <v>46096.0</v>
      </c>
      <c r="E300" s="7" t="s">
        <v>364</v>
      </c>
      <c r="F300" s="7" t="s">
        <v>365</v>
      </c>
      <c r="G300" s="7" t="s">
        <v>355</v>
      </c>
      <c r="H300" s="9">
        <v>441702.0</v>
      </c>
      <c r="I300" s="9">
        <v>0.0</v>
      </c>
      <c r="J300" s="9">
        <v>827.0</v>
      </c>
      <c r="K300" s="9">
        <v>373071.0</v>
      </c>
      <c r="L300" s="10">
        <v>1.1839623020819094</v>
      </c>
      <c r="M300" s="9">
        <v>1.1839623020819094</v>
      </c>
      <c r="N300" s="9">
        <v>0.0</v>
      </c>
      <c r="O300" s="9">
        <v>0.0</v>
      </c>
      <c r="P300" s="9">
        <v>0.0</v>
      </c>
      <c r="Q300" s="9">
        <v>0.0</v>
      </c>
      <c r="R300" s="9">
        <v>0.0</v>
      </c>
      <c r="S300" s="9">
        <v>0.0</v>
      </c>
      <c r="T300" s="9">
        <v>0.0</v>
      </c>
      <c r="U300" s="9">
        <v>0.0</v>
      </c>
      <c r="V300" s="9">
        <v>0.0</v>
      </c>
      <c r="W300" s="9">
        <v>0.0</v>
      </c>
      <c r="X300" s="9">
        <v>0.0</v>
      </c>
      <c r="Y300" s="9">
        <v>0.0</v>
      </c>
      <c r="Z300" s="9">
        <v>0.0</v>
      </c>
      <c r="AA300" s="9">
        <v>0.0</v>
      </c>
      <c r="AB300" s="9">
        <v>0.0</v>
      </c>
      <c r="AC300" s="9">
        <v>0.0</v>
      </c>
      <c r="AD300" s="9"/>
      <c r="AE300" s="9"/>
    </row>
    <row r="301">
      <c r="A301" s="7" t="s">
        <v>979</v>
      </c>
      <c r="B301" s="7" t="s">
        <v>980</v>
      </c>
      <c r="C301" s="8">
        <v>46099.0</v>
      </c>
      <c r="D301" s="8">
        <v>46106.0</v>
      </c>
      <c r="E301" s="7" t="s">
        <v>364</v>
      </c>
      <c r="F301" s="7" t="s">
        <v>365</v>
      </c>
      <c r="G301" s="7" t="s">
        <v>355</v>
      </c>
      <c r="H301" s="9">
        <v>161805.0</v>
      </c>
      <c r="I301" s="9">
        <v>0.0</v>
      </c>
      <c r="J301" s="9">
        <v>981.0</v>
      </c>
      <c r="K301" s="9">
        <v>105483.0</v>
      </c>
      <c r="L301" s="10">
        <v>1.5339438582520406</v>
      </c>
      <c r="M301" s="9">
        <v>1.5339438582520406</v>
      </c>
      <c r="N301" s="9">
        <v>192906.0</v>
      </c>
      <c r="O301" s="9">
        <v>190348.0</v>
      </c>
      <c r="P301" s="9">
        <v>57816.0</v>
      </c>
      <c r="Q301" s="9">
        <v>719.0</v>
      </c>
      <c r="R301" s="9">
        <v>0.0</v>
      </c>
      <c r="S301" s="9">
        <v>0.0</v>
      </c>
      <c r="T301" s="9">
        <v>0.0</v>
      </c>
      <c r="U301" s="9">
        <v>0.0</v>
      </c>
      <c r="V301" s="9">
        <v>0.0</v>
      </c>
      <c r="W301" s="9">
        <v>0.0</v>
      </c>
      <c r="X301" s="9">
        <v>0.0</v>
      </c>
      <c r="Y301" s="9">
        <v>0.0</v>
      </c>
      <c r="Z301" s="9">
        <v>0.0</v>
      </c>
      <c r="AA301" s="9">
        <v>0.0</v>
      </c>
      <c r="AB301" s="9">
        <v>0.0</v>
      </c>
      <c r="AC301" s="9">
        <v>0.0</v>
      </c>
      <c r="AD301" s="9"/>
      <c r="AE301" s="9" t="s">
        <v>9</v>
      </c>
    </row>
    <row r="302">
      <c r="A302" s="7" t="s">
        <v>981</v>
      </c>
      <c r="B302" s="7" t="s">
        <v>982</v>
      </c>
      <c r="C302" s="8">
        <v>46098.0</v>
      </c>
      <c r="D302" s="8">
        <v>46098.0</v>
      </c>
      <c r="E302" s="7" t="s">
        <v>353</v>
      </c>
      <c r="F302" s="7" t="s">
        <v>378</v>
      </c>
      <c r="G302" s="7" t="s">
        <v>355</v>
      </c>
      <c r="H302" s="9">
        <v>0.0</v>
      </c>
      <c r="I302" s="9">
        <v>0.0</v>
      </c>
      <c r="J302" s="9">
        <v>0.0</v>
      </c>
      <c r="K302" s="9">
        <v>0.0</v>
      </c>
      <c r="L302" s="10">
        <v>0.0</v>
      </c>
      <c r="M302" s="9">
        <v>0.0</v>
      </c>
      <c r="N302" s="9">
        <v>469.0</v>
      </c>
      <c r="O302" s="9">
        <v>466.0</v>
      </c>
      <c r="P302" s="9">
        <v>191.0</v>
      </c>
      <c r="Q302" s="9">
        <v>28.0</v>
      </c>
      <c r="R302" s="9">
        <v>0.0</v>
      </c>
      <c r="S302" s="9">
        <v>0.0</v>
      </c>
      <c r="T302" s="9">
        <v>0.0</v>
      </c>
      <c r="U302" s="9">
        <v>0.0</v>
      </c>
      <c r="V302" s="9">
        <v>0.0</v>
      </c>
      <c r="W302" s="9">
        <v>0.0</v>
      </c>
      <c r="X302" s="9">
        <v>0.0</v>
      </c>
      <c r="Y302" s="9">
        <v>0.0</v>
      </c>
      <c r="Z302" s="9">
        <v>0.0</v>
      </c>
      <c r="AA302" s="9">
        <v>0.0</v>
      </c>
      <c r="AB302" s="9">
        <v>0.0</v>
      </c>
      <c r="AC302" s="9">
        <v>0.0</v>
      </c>
      <c r="AD302" s="9"/>
      <c r="AE302" s="9" t="s">
        <v>9</v>
      </c>
    </row>
    <row r="303">
      <c r="A303" s="7" t="s">
        <v>983</v>
      </c>
      <c r="B303" s="7" t="s">
        <v>984</v>
      </c>
      <c r="C303" s="8">
        <v>46111.0</v>
      </c>
      <c r="D303" s="8">
        <v>46111.0</v>
      </c>
      <c r="E303" s="7" t="s">
        <v>353</v>
      </c>
      <c r="F303" s="7" t="s">
        <v>378</v>
      </c>
      <c r="G303" s="7" t="s">
        <v>355</v>
      </c>
      <c r="H303" s="9">
        <v>0.0</v>
      </c>
      <c r="I303" s="9">
        <v>0.0</v>
      </c>
      <c r="J303" s="9">
        <v>0.0</v>
      </c>
      <c r="K303" s="9">
        <v>0.0</v>
      </c>
      <c r="L303" s="10">
        <v>0.0</v>
      </c>
      <c r="M303" s="9">
        <v>0.0</v>
      </c>
      <c r="N303" s="9">
        <v>6215.0</v>
      </c>
      <c r="O303" s="9">
        <v>6198.0</v>
      </c>
      <c r="P303" s="9">
        <v>1177.0</v>
      </c>
      <c r="Q303" s="9">
        <v>143.0</v>
      </c>
      <c r="R303" s="9">
        <v>0.0</v>
      </c>
      <c r="S303" s="9">
        <v>0.0</v>
      </c>
      <c r="T303" s="9">
        <v>0.0</v>
      </c>
      <c r="U303" s="9">
        <v>0.0</v>
      </c>
      <c r="V303" s="9">
        <v>0.0</v>
      </c>
      <c r="W303" s="9">
        <v>0.0</v>
      </c>
      <c r="X303" s="9">
        <v>0.0</v>
      </c>
      <c r="Y303" s="9">
        <v>0.0</v>
      </c>
      <c r="Z303" s="9">
        <v>0.0</v>
      </c>
      <c r="AA303" s="9">
        <v>0.0</v>
      </c>
      <c r="AB303" s="9">
        <v>0.0</v>
      </c>
      <c r="AC303" s="9">
        <v>0.0</v>
      </c>
      <c r="AD303" s="9"/>
      <c r="AE303" s="9" t="s">
        <v>9</v>
      </c>
    </row>
    <row r="304">
      <c r="A304" s="7" t="s">
        <v>985</v>
      </c>
      <c r="B304" s="7" t="s">
        <v>986</v>
      </c>
      <c r="C304" s="8">
        <v>46094.0</v>
      </c>
      <c r="D304" s="8">
        <v>46112.0</v>
      </c>
      <c r="E304" s="7" t="s">
        <v>358</v>
      </c>
      <c r="F304" s="7" t="s">
        <v>466</v>
      </c>
      <c r="G304" s="7" t="s">
        <v>355</v>
      </c>
      <c r="H304" s="9">
        <v>1.2263676E7</v>
      </c>
      <c r="I304" s="9">
        <v>4627102.0</v>
      </c>
      <c r="J304" s="9">
        <v>10298.0</v>
      </c>
      <c r="K304" s="9">
        <v>99201.0</v>
      </c>
      <c r="L304" s="10">
        <v>64.14874850051915</v>
      </c>
      <c r="M304" s="9">
        <v>123.62451991411378</v>
      </c>
      <c r="N304" s="9">
        <v>342291.0</v>
      </c>
      <c r="O304" s="9">
        <v>339079.0</v>
      </c>
      <c r="P304" s="9">
        <v>82411.0</v>
      </c>
      <c r="Q304" s="9">
        <v>809.0</v>
      </c>
      <c r="R304" s="9">
        <v>0.0</v>
      </c>
      <c r="S304" s="9">
        <v>0.0</v>
      </c>
      <c r="T304" s="9">
        <v>0.0</v>
      </c>
      <c r="U304" s="9">
        <v>0.0</v>
      </c>
      <c r="V304" s="9">
        <v>0.0</v>
      </c>
      <c r="W304" s="9">
        <v>0.0</v>
      </c>
      <c r="X304" s="9">
        <v>0.0</v>
      </c>
      <c r="Y304" s="9">
        <v>0.0</v>
      </c>
      <c r="Z304" s="9">
        <v>0.0</v>
      </c>
      <c r="AA304" s="9">
        <v>0.0</v>
      </c>
      <c r="AB304" s="9">
        <v>0.0</v>
      </c>
      <c r="AC304" s="9">
        <v>0.0</v>
      </c>
      <c r="AD304" s="9"/>
      <c r="AE304" s="9" t="s">
        <v>9</v>
      </c>
    </row>
    <row r="305">
      <c r="A305" s="7" t="s">
        <v>987</v>
      </c>
      <c r="B305" s="7" t="s">
        <v>988</v>
      </c>
      <c r="C305" s="8">
        <v>46098.0</v>
      </c>
      <c r="D305" s="8">
        <v>46102.0</v>
      </c>
      <c r="E305" s="7" t="s">
        <v>416</v>
      </c>
      <c r="F305" s="7" t="s">
        <v>594</v>
      </c>
      <c r="G305" s="7" t="s">
        <v>355</v>
      </c>
      <c r="H305" s="9">
        <v>28410.0</v>
      </c>
      <c r="I305" s="9">
        <v>0.0</v>
      </c>
      <c r="J305" s="9">
        <v>51.0</v>
      </c>
      <c r="K305" s="9">
        <v>21218.0</v>
      </c>
      <c r="L305" s="10">
        <v>1.3389574889244982</v>
      </c>
      <c r="M305" s="9">
        <v>1.3389574889244982</v>
      </c>
      <c r="N305" s="9">
        <v>2583.0</v>
      </c>
      <c r="O305" s="9">
        <v>2556.0</v>
      </c>
      <c r="P305" s="9">
        <v>961.0</v>
      </c>
      <c r="Q305" s="9">
        <v>28.0</v>
      </c>
      <c r="R305" s="9">
        <v>23.0</v>
      </c>
      <c r="S305" s="9">
        <v>23.0</v>
      </c>
      <c r="T305" s="9">
        <v>10.0</v>
      </c>
      <c r="U305" s="9">
        <v>10.0</v>
      </c>
      <c r="V305" s="9">
        <v>0.0</v>
      </c>
      <c r="W305" s="9">
        <v>0.0</v>
      </c>
      <c r="X305" s="9">
        <v>0.0</v>
      </c>
      <c r="Y305" s="9">
        <v>0.0</v>
      </c>
      <c r="Z305" s="9">
        <v>0.0</v>
      </c>
      <c r="AA305" s="9">
        <v>0.0</v>
      </c>
      <c r="AB305" s="9">
        <v>0.0</v>
      </c>
      <c r="AC305" s="9">
        <v>0.0</v>
      </c>
      <c r="AD305" s="9"/>
      <c r="AE305" s="9" t="s">
        <v>9</v>
      </c>
    </row>
    <row r="306">
      <c r="A306" s="7" t="s">
        <v>989</v>
      </c>
      <c r="B306" s="7" t="s">
        <v>990</v>
      </c>
      <c r="C306" s="8">
        <v>46108.0</v>
      </c>
      <c r="D306" s="8">
        <v>46126.0</v>
      </c>
      <c r="E306" s="7" t="s">
        <v>353</v>
      </c>
      <c r="F306" s="7" t="s">
        <v>378</v>
      </c>
      <c r="G306" s="7" t="s">
        <v>355</v>
      </c>
      <c r="H306" s="9">
        <v>5272689.0</v>
      </c>
      <c r="I306" s="9">
        <v>2611963.0</v>
      </c>
      <c r="J306" s="9">
        <v>5775.0</v>
      </c>
      <c r="K306" s="9">
        <v>147053.0</v>
      </c>
      <c r="L306" s="10">
        <v>12.937634730335322</v>
      </c>
      <c r="M306" s="9">
        <v>35.8557050859214</v>
      </c>
      <c r="N306" s="9">
        <v>272606.0</v>
      </c>
      <c r="O306" s="9">
        <v>269530.0</v>
      </c>
      <c r="P306" s="9">
        <v>63488.0</v>
      </c>
      <c r="Q306" s="9">
        <v>1372.0</v>
      </c>
      <c r="R306" s="9">
        <v>0.0</v>
      </c>
      <c r="S306" s="9">
        <v>0.0</v>
      </c>
      <c r="T306" s="9">
        <v>0.0</v>
      </c>
      <c r="U306" s="9">
        <v>0.0</v>
      </c>
      <c r="V306" s="9">
        <v>0.0</v>
      </c>
      <c r="W306" s="9">
        <v>0.0</v>
      </c>
      <c r="X306" s="9">
        <v>0.0</v>
      </c>
      <c r="Y306" s="9">
        <v>0.0</v>
      </c>
      <c r="Z306" s="9">
        <v>0.0</v>
      </c>
      <c r="AA306" s="9">
        <v>0.0</v>
      </c>
      <c r="AB306" s="9">
        <v>0.0</v>
      </c>
      <c r="AC306" s="9">
        <v>0.0</v>
      </c>
      <c r="AD306" s="9"/>
      <c r="AE306" s="9" t="s">
        <v>9</v>
      </c>
    </row>
    <row r="307">
      <c r="A307" s="7" t="s">
        <v>991</v>
      </c>
      <c r="B307" s="7" t="s">
        <v>992</v>
      </c>
      <c r="C307" s="8">
        <v>46113.0</v>
      </c>
      <c r="D307" s="8">
        <v>46150.0</v>
      </c>
      <c r="E307" s="7" t="s">
        <v>404</v>
      </c>
      <c r="F307" s="7" t="s">
        <v>667</v>
      </c>
      <c r="G307" s="7" t="s">
        <v>355</v>
      </c>
      <c r="H307" s="9">
        <v>2.0502401E7</v>
      </c>
      <c r="I307" s="9">
        <v>7695153.0</v>
      </c>
      <c r="J307" s="9">
        <v>79958.0</v>
      </c>
      <c r="K307" s="9">
        <v>1495402.0</v>
      </c>
      <c r="L307" s="10">
        <v>3.287041210323378</v>
      </c>
      <c r="M307" s="9">
        <v>13.710293954401559</v>
      </c>
      <c r="N307" s="9">
        <v>430779.0</v>
      </c>
      <c r="O307" s="9">
        <v>426951.0</v>
      </c>
      <c r="P307" s="9">
        <v>147571.0</v>
      </c>
      <c r="Q307" s="9">
        <v>6323.0</v>
      </c>
      <c r="R307" s="9">
        <v>0.0</v>
      </c>
      <c r="S307" s="9">
        <v>0.0</v>
      </c>
      <c r="T307" s="9">
        <v>0.0</v>
      </c>
      <c r="U307" s="9">
        <v>0.0</v>
      </c>
      <c r="V307" s="9">
        <v>0.0</v>
      </c>
      <c r="W307" s="9">
        <v>0.0</v>
      </c>
      <c r="X307" s="9">
        <v>0.0</v>
      </c>
      <c r="Y307" s="9">
        <v>0.0</v>
      </c>
      <c r="Z307" s="9">
        <v>0.0</v>
      </c>
      <c r="AA307" s="9">
        <v>0.0</v>
      </c>
      <c r="AB307" s="9">
        <v>0.0</v>
      </c>
      <c r="AC307" s="9">
        <v>0.0</v>
      </c>
      <c r="AD307" s="11" t="s">
        <v>55</v>
      </c>
      <c r="AE307" s="9" t="s">
        <v>9</v>
      </c>
    </row>
    <row r="308">
      <c r="A308" s="7" t="s">
        <v>993</v>
      </c>
      <c r="B308" s="7" t="s">
        <v>994</v>
      </c>
      <c r="C308" s="8">
        <v>46099.0</v>
      </c>
      <c r="D308" s="8">
        <v>46119.0</v>
      </c>
      <c r="E308" s="7" t="s">
        <v>358</v>
      </c>
      <c r="F308" s="7" t="s">
        <v>466</v>
      </c>
      <c r="G308" s="7" t="s">
        <v>355</v>
      </c>
      <c r="H308" s="9">
        <v>9045006.0</v>
      </c>
      <c r="I308" s="9">
        <v>4543445.0</v>
      </c>
      <c r="J308" s="9">
        <v>10173.0</v>
      </c>
      <c r="K308" s="9">
        <v>1943674.0</v>
      </c>
      <c r="L308" s="10">
        <v>1.5130371656975399</v>
      </c>
      <c r="M308" s="9">
        <v>4.653561245352873</v>
      </c>
      <c r="N308" s="9">
        <v>588689.0</v>
      </c>
      <c r="O308" s="9">
        <v>583369.0</v>
      </c>
      <c r="P308" s="9">
        <v>179546.0</v>
      </c>
      <c r="Q308" s="9">
        <v>1188.0</v>
      </c>
      <c r="R308" s="9">
        <v>0.0</v>
      </c>
      <c r="S308" s="9">
        <v>0.0</v>
      </c>
      <c r="T308" s="9">
        <v>0.0</v>
      </c>
      <c r="U308" s="9">
        <v>0.0</v>
      </c>
      <c r="V308" s="9">
        <v>0.0</v>
      </c>
      <c r="W308" s="9">
        <v>0.0</v>
      </c>
      <c r="X308" s="9">
        <v>0.0</v>
      </c>
      <c r="Y308" s="9">
        <v>0.0</v>
      </c>
      <c r="Z308" s="9">
        <v>0.0</v>
      </c>
      <c r="AA308" s="9">
        <v>0.0</v>
      </c>
      <c r="AB308" s="9">
        <v>0.0</v>
      </c>
      <c r="AC308" s="9">
        <v>0.0</v>
      </c>
      <c r="AD308" s="9"/>
      <c r="AE308" s="9" t="s">
        <v>9</v>
      </c>
    </row>
    <row r="309">
      <c r="A309" s="7" t="s">
        <v>995</v>
      </c>
      <c r="B309" s="7" t="s">
        <v>996</v>
      </c>
      <c r="C309" s="8">
        <v>46098.0</v>
      </c>
      <c r="D309" s="8">
        <v>46101.0</v>
      </c>
      <c r="E309" s="7" t="s">
        <v>416</v>
      </c>
      <c r="F309" s="7" t="s">
        <v>725</v>
      </c>
      <c r="G309" s="7" t="s">
        <v>355</v>
      </c>
      <c r="H309" s="9">
        <v>540772.0</v>
      </c>
      <c r="I309" s="9">
        <v>0.0</v>
      </c>
      <c r="J309" s="9">
        <v>818.0</v>
      </c>
      <c r="K309" s="9">
        <v>442206.0</v>
      </c>
      <c r="L309" s="10">
        <v>1.222896116289693</v>
      </c>
      <c r="M309" s="9">
        <v>1.222896116289693</v>
      </c>
      <c r="N309" s="9">
        <v>21007.0</v>
      </c>
      <c r="O309" s="9">
        <v>20803.0</v>
      </c>
      <c r="P309" s="9">
        <v>5332.0</v>
      </c>
      <c r="Q309" s="9">
        <v>73.0</v>
      </c>
      <c r="R309" s="9">
        <v>0.0</v>
      </c>
      <c r="S309" s="9">
        <v>0.0</v>
      </c>
      <c r="T309" s="9">
        <v>0.0</v>
      </c>
      <c r="U309" s="9">
        <v>0.0</v>
      </c>
      <c r="V309" s="9">
        <v>0.0</v>
      </c>
      <c r="W309" s="9">
        <v>0.0</v>
      </c>
      <c r="X309" s="9">
        <v>0.0</v>
      </c>
      <c r="Y309" s="9">
        <v>0.0</v>
      </c>
      <c r="Z309" s="9">
        <v>0.0</v>
      </c>
      <c r="AA309" s="9">
        <v>0.0</v>
      </c>
      <c r="AB309" s="9">
        <v>0.0</v>
      </c>
      <c r="AC309" s="9">
        <v>0.0</v>
      </c>
      <c r="AD309" s="9"/>
      <c r="AE309" s="9" t="s">
        <v>9</v>
      </c>
    </row>
    <row r="310">
      <c r="A310" s="7" t="s">
        <v>997</v>
      </c>
      <c r="B310" s="7" t="s">
        <v>998</v>
      </c>
      <c r="C310" s="8">
        <v>46098.0</v>
      </c>
      <c r="D310" s="8">
        <v>46098.0</v>
      </c>
      <c r="E310" s="7" t="s">
        <v>353</v>
      </c>
      <c r="F310" s="7" t="s">
        <v>808</v>
      </c>
      <c r="G310" s="7" t="s">
        <v>355</v>
      </c>
      <c r="H310" s="9">
        <v>142123.0</v>
      </c>
      <c r="I310" s="9">
        <v>12518.0</v>
      </c>
      <c r="J310" s="9">
        <v>2.0</v>
      </c>
      <c r="K310" s="9">
        <v>142123.0</v>
      </c>
      <c r="L310" s="10">
        <v>1.0</v>
      </c>
      <c r="M310" s="9">
        <v>1.0</v>
      </c>
      <c r="N310" s="9">
        <v>0.0</v>
      </c>
      <c r="O310" s="9">
        <v>0.0</v>
      </c>
      <c r="P310" s="9">
        <v>0.0</v>
      </c>
      <c r="Q310" s="9">
        <v>0.0</v>
      </c>
      <c r="R310" s="9">
        <v>0.0</v>
      </c>
      <c r="S310" s="9">
        <v>0.0</v>
      </c>
      <c r="T310" s="9">
        <v>0.0</v>
      </c>
      <c r="U310" s="9">
        <v>0.0</v>
      </c>
      <c r="V310" s="9">
        <v>0.0</v>
      </c>
      <c r="W310" s="9">
        <v>0.0</v>
      </c>
      <c r="X310" s="9">
        <v>0.0</v>
      </c>
      <c r="Y310" s="9">
        <v>0.0</v>
      </c>
      <c r="Z310" s="9">
        <v>0.0</v>
      </c>
      <c r="AA310" s="9">
        <v>0.0</v>
      </c>
      <c r="AB310" s="9">
        <v>0.0</v>
      </c>
      <c r="AC310" s="9">
        <v>0.0</v>
      </c>
      <c r="AD310" s="9"/>
      <c r="AE310" s="9"/>
    </row>
    <row r="311">
      <c r="A311" s="7" t="s">
        <v>999</v>
      </c>
      <c r="B311" s="7" t="s">
        <v>1000</v>
      </c>
      <c r="C311" s="8">
        <v>46102.0</v>
      </c>
      <c r="D311" s="8">
        <v>46102.0</v>
      </c>
      <c r="E311" s="7" t="s">
        <v>416</v>
      </c>
      <c r="F311" s="7" t="s">
        <v>430</v>
      </c>
      <c r="G311" s="7" t="s">
        <v>355</v>
      </c>
      <c r="H311" s="9">
        <v>0.0</v>
      </c>
      <c r="I311" s="9">
        <v>0.0</v>
      </c>
      <c r="J311" s="9">
        <v>0.0</v>
      </c>
      <c r="K311" s="9">
        <v>0.0</v>
      </c>
      <c r="L311" s="10">
        <v>0.0</v>
      </c>
      <c r="M311" s="9">
        <v>0.0</v>
      </c>
      <c r="N311" s="9">
        <v>50512.0</v>
      </c>
      <c r="O311" s="9">
        <v>49840.0</v>
      </c>
      <c r="P311" s="9">
        <v>11444.0</v>
      </c>
      <c r="Q311" s="9">
        <v>282.0</v>
      </c>
      <c r="R311" s="9">
        <v>0.0</v>
      </c>
      <c r="S311" s="9">
        <v>0.0</v>
      </c>
      <c r="T311" s="9">
        <v>0.0</v>
      </c>
      <c r="U311" s="9">
        <v>0.0</v>
      </c>
      <c r="V311" s="9">
        <v>0.0</v>
      </c>
      <c r="W311" s="9">
        <v>0.0</v>
      </c>
      <c r="X311" s="9">
        <v>0.0</v>
      </c>
      <c r="Y311" s="9">
        <v>0.0</v>
      </c>
      <c r="Z311" s="9">
        <v>0.0</v>
      </c>
      <c r="AA311" s="9">
        <v>0.0</v>
      </c>
      <c r="AB311" s="9">
        <v>0.0</v>
      </c>
      <c r="AC311" s="9">
        <v>0.0</v>
      </c>
      <c r="AD311" s="9"/>
      <c r="AE311" s="9" t="s">
        <v>9</v>
      </c>
    </row>
    <row r="312">
      <c r="A312" s="7" t="s">
        <v>1001</v>
      </c>
      <c r="B312" s="7" t="s">
        <v>1002</v>
      </c>
      <c r="C312" s="8">
        <v>46126.0</v>
      </c>
      <c r="D312" s="8">
        <v>46177.0</v>
      </c>
      <c r="E312" s="7" t="s">
        <v>353</v>
      </c>
      <c r="F312" s="7" t="s">
        <v>378</v>
      </c>
      <c r="G312" s="7" t="s">
        <v>355</v>
      </c>
      <c r="H312" s="9">
        <v>1.7722046E7</v>
      </c>
      <c r="I312" s="9">
        <v>5380941.0</v>
      </c>
      <c r="J312" s="9">
        <v>59950.0</v>
      </c>
      <c r="K312" s="9">
        <v>1384843.0</v>
      </c>
      <c r="L312" s="10">
        <v>1.8219567127826042</v>
      </c>
      <c r="M312" s="9">
        <v>12.797151734889804</v>
      </c>
      <c r="N312" s="9">
        <v>256321.0</v>
      </c>
      <c r="O312" s="9">
        <v>253938.0</v>
      </c>
      <c r="P312" s="9">
        <v>100361.0</v>
      </c>
      <c r="Q312" s="9">
        <v>16807.0</v>
      </c>
      <c r="R312" s="9">
        <v>48000.0</v>
      </c>
      <c r="S312" s="9">
        <v>43821.0</v>
      </c>
      <c r="T312" s="9">
        <v>7242.0</v>
      </c>
      <c r="U312" s="9">
        <v>5739.0</v>
      </c>
      <c r="V312" s="9">
        <v>0.0</v>
      </c>
      <c r="W312" s="9">
        <v>0.0</v>
      </c>
      <c r="X312" s="9">
        <v>0.0</v>
      </c>
      <c r="Y312" s="9">
        <v>0.0</v>
      </c>
      <c r="Z312" s="9">
        <v>0.0</v>
      </c>
      <c r="AA312" s="9">
        <v>9553.0</v>
      </c>
      <c r="AB312" s="9">
        <v>9059.0</v>
      </c>
      <c r="AC312" s="9">
        <v>163.0</v>
      </c>
      <c r="AD312" s="11" t="s">
        <v>56</v>
      </c>
      <c r="AE312" s="9" t="s">
        <v>9</v>
      </c>
    </row>
    <row r="313">
      <c r="A313" s="7" t="s">
        <v>1003</v>
      </c>
      <c r="B313" s="7" t="s">
        <v>1004</v>
      </c>
      <c r="C313" s="8">
        <v>46102.0</v>
      </c>
      <c r="D313" s="8">
        <v>46102.0</v>
      </c>
      <c r="E313" s="7" t="s">
        <v>416</v>
      </c>
      <c r="F313" s="7" t="s">
        <v>430</v>
      </c>
      <c r="G313" s="7" t="s">
        <v>355</v>
      </c>
      <c r="H313" s="9">
        <v>0.0</v>
      </c>
      <c r="I313" s="9">
        <v>0.0</v>
      </c>
      <c r="J313" s="9">
        <v>0.0</v>
      </c>
      <c r="K313" s="9">
        <v>0.0</v>
      </c>
      <c r="L313" s="10">
        <v>0.0</v>
      </c>
      <c r="M313" s="9">
        <v>0.0</v>
      </c>
      <c r="N313" s="9">
        <v>38772.0</v>
      </c>
      <c r="O313" s="9">
        <v>38537.0</v>
      </c>
      <c r="P313" s="9">
        <v>20861.0</v>
      </c>
      <c r="Q313" s="9">
        <v>332.0</v>
      </c>
      <c r="R313" s="9">
        <v>0.0</v>
      </c>
      <c r="S313" s="9">
        <v>0.0</v>
      </c>
      <c r="T313" s="9">
        <v>0.0</v>
      </c>
      <c r="U313" s="9">
        <v>0.0</v>
      </c>
      <c r="V313" s="9">
        <v>0.0</v>
      </c>
      <c r="W313" s="9">
        <v>0.0</v>
      </c>
      <c r="X313" s="9">
        <v>0.0</v>
      </c>
      <c r="Y313" s="9">
        <v>0.0</v>
      </c>
      <c r="Z313" s="9">
        <v>0.0</v>
      </c>
      <c r="AA313" s="9">
        <v>0.0</v>
      </c>
      <c r="AB313" s="9">
        <v>0.0</v>
      </c>
      <c r="AC313" s="9">
        <v>0.0</v>
      </c>
      <c r="AD313" s="9"/>
      <c r="AE313" s="9" t="s">
        <v>9</v>
      </c>
    </row>
    <row r="314">
      <c r="A314" s="7" t="s">
        <v>1005</v>
      </c>
      <c r="B314" s="7" t="s">
        <v>1006</v>
      </c>
      <c r="C314" s="8">
        <v>46100.0</v>
      </c>
      <c r="D314" s="8">
        <v>46112.0</v>
      </c>
      <c r="E314" s="7" t="s">
        <v>503</v>
      </c>
      <c r="F314" s="7" t="s">
        <v>783</v>
      </c>
      <c r="G314" s="7" t="s">
        <v>355</v>
      </c>
      <c r="H314" s="9">
        <v>65415.0</v>
      </c>
      <c r="I314" s="9">
        <v>38560.0</v>
      </c>
      <c r="J314" s="9">
        <v>24.0</v>
      </c>
      <c r="K314" s="9">
        <v>99477.0</v>
      </c>
      <c r="L314" s="10">
        <v>0.012646139308583893</v>
      </c>
      <c r="M314" s="9">
        <v>0.6575891914713954</v>
      </c>
      <c r="N314" s="9">
        <v>0.0</v>
      </c>
      <c r="O314" s="9">
        <v>0.0</v>
      </c>
      <c r="P314" s="9">
        <v>0.0</v>
      </c>
      <c r="Q314" s="9">
        <v>0.0</v>
      </c>
      <c r="R314" s="9">
        <v>0.0</v>
      </c>
      <c r="S314" s="9">
        <v>0.0</v>
      </c>
      <c r="T314" s="9">
        <v>0.0</v>
      </c>
      <c r="U314" s="9">
        <v>0.0</v>
      </c>
      <c r="V314" s="9">
        <v>0.0</v>
      </c>
      <c r="W314" s="9">
        <v>0.0</v>
      </c>
      <c r="X314" s="9">
        <v>0.0</v>
      </c>
      <c r="Y314" s="9">
        <v>0.0</v>
      </c>
      <c r="Z314" s="9">
        <v>0.0</v>
      </c>
      <c r="AA314" s="9">
        <v>0.0</v>
      </c>
      <c r="AB314" s="9">
        <v>0.0</v>
      </c>
      <c r="AC314" s="9">
        <v>0.0</v>
      </c>
      <c r="AD314" s="9"/>
      <c r="AE314" s="9" t="s">
        <v>9</v>
      </c>
    </row>
    <row r="315">
      <c r="A315" s="7" t="s">
        <v>1007</v>
      </c>
      <c r="B315" s="7" t="s">
        <v>1008</v>
      </c>
      <c r="C315" s="8">
        <v>46115.0</v>
      </c>
      <c r="D315" s="8">
        <v>46115.0</v>
      </c>
      <c r="E315" s="7" t="s">
        <v>358</v>
      </c>
      <c r="F315" s="7" t="s">
        <v>359</v>
      </c>
      <c r="G315" s="7" t="s">
        <v>355</v>
      </c>
      <c r="H315" s="9">
        <v>0.0</v>
      </c>
      <c r="I315" s="9">
        <v>0.0</v>
      </c>
      <c r="J315" s="9">
        <v>0.0</v>
      </c>
      <c r="K315" s="9">
        <v>0.0</v>
      </c>
      <c r="L315" s="10">
        <v>0.0</v>
      </c>
      <c r="M315" s="9">
        <v>0.0</v>
      </c>
      <c r="N315" s="9">
        <v>28012.0</v>
      </c>
      <c r="O315" s="9">
        <v>27672.0</v>
      </c>
      <c r="P315" s="9">
        <v>6722.0</v>
      </c>
      <c r="Q315" s="9">
        <v>249.0</v>
      </c>
      <c r="R315" s="9">
        <v>0.0</v>
      </c>
      <c r="S315" s="9">
        <v>0.0</v>
      </c>
      <c r="T315" s="9">
        <v>0.0</v>
      </c>
      <c r="U315" s="9">
        <v>0.0</v>
      </c>
      <c r="V315" s="9">
        <v>0.0</v>
      </c>
      <c r="W315" s="9">
        <v>0.0</v>
      </c>
      <c r="X315" s="9">
        <v>0.0</v>
      </c>
      <c r="Y315" s="9">
        <v>0.0</v>
      </c>
      <c r="Z315" s="9">
        <v>0.0</v>
      </c>
      <c r="AA315" s="9">
        <v>0.0</v>
      </c>
      <c r="AB315" s="9">
        <v>0.0</v>
      </c>
      <c r="AC315" s="9">
        <v>0.0</v>
      </c>
      <c r="AD315" s="9"/>
      <c r="AE315" s="9" t="s">
        <v>9</v>
      </c>
    </row>
    <row r="316">
      <c r="A316" s="7" t="s">
        <v>1009</v>
      </c>
      <c r="B316" s="7" t="s">
        <v>1010</v>
      </c>
      <c r="C316" s="8">
        <v>46101.0</v>
      </c>
      <c r="D316" s="8">
        <v>46101.0</v>
      </c>
      <c r="E316" s="7" t="s">
        <v>404</v>
      </c>
      <c r="F316" s="7" t="s">
        <v>474</v>
      </c>
      <c r="G316" s="7" t="s">
        <v>355</v>
      </c>
      <c r="H316" s="9">
        <v>0.0</v>
      </c>
      <c r="I316" s="9">
        <v>0.0</v>
      </c>
      <c r="J316" s="9">
        <v>0.0</v>
      </c>
      <c r="K316" s="9">
        <v>0.0</v>
      </c>
      <c r="L316" s="10">
        <v>0.0</v>
      </c>
      <c r="M316" s="9">
        <v>0.0</v>
      </c>
      <c r="N316" s="9">
        <v>310.0</v>
      </c>
      <c r="O316" s="9">
        <v>303.0</v>
      </c>
      <c r="P316" s="9">
        <v>107.0</v>
      </c>
      <c r="Q316" s="9">
        <v>8.0</v>
      </c>
      <c r="R316" s="9">
        <v>0.0</v>
      </c>
      <c r="S316" s="9">
        <v>0.0</v>
      </c>
      <c r="T316" s="9">
        <v>0.0</v>
      </c>
      <c r="U316" s="9">
        <v>0.0</v>
      </c>
      <c r="V316" s="9">
        <v>0.0</v>
      </c>
      <c r="W316" s="9">
        <v>0.0</v>
      </c>
      <c r="X316" s="9">
        <v>0.0</v>
      </c>
      <c r="Y316" s="9">
        <v>0.0</v>
      </c>
      <c r="Z316" s="9">
        <v>0.0</v>
      </c>
      <c r="AA316" s="9">
        <v>0.0</v>
      </c>
      <c r="AB316" s="9">
        <v>0.0</v>
      </c>
      <c r="AC316" s="9">
        <v>0.0</v>
      </c>
      <c r="AD316" s="9"/>
      <c r="AE316" s="9" t="s">
        <v>9</v>
      </c>
    </row>
    <row r="317">
      <c r="A317" s="7" t="s">
        <v>1011</v>
      </c>
      <c r="B317" s="7" t="s">
        <v>1012</v>
      </c>
      <c r="C317" s="8">
        <v>46099.0</v>
      </c>
      <c r="D317" s="8">
        <v>46106.0</v>
      </c>
      <c r="E317" s="7" t="s">
        <v>416</v>
      </c>
      <c r="F317" s="7" t="s">
        <v>378</v>
      </c>
      <c r="G317" s="7" t="s">
        <v>355</v>
      </c>
      <c r="H317" s="9">
        <v>445858.0</v>
      </c>
      <c r="I317" s="9">
        <v>0.0</v>
      </c>
      <c r="J317" s="9">
        <v>511.0</v>
      </c>
      <c r="K317" s="9">
        <v>310356.0</v>
      </c>
      <c r="L317" s="10">
        <v>1.4366018378893914</v>
      </c>
      <c r="M317" s="9">
        <v>1.4366018378893914</v>
      </c>
      <c r="N317" s="9">
        <v>67519.0</v>
      </c>
      <c r="O317" s="9">
        <v>66741.0</v>
      </c>
      <c r="P317" s="9">
        <v>9913.0</v>
      </c>
      <c r="Q317" s="9">
        <v>253.0</v>
      </c>
      <c r="R317" s="9">
        <v>113.0</v>
      </c>
      <c r="S317" s="9">
        <v>112.0</v>
      </c>
      <c r="T317" s="9">
        <v>32.0</v>
      </c>
      <c r="U317" s="9">
        <v>29.0</v>
      </c>
      <c r="V317" s="9">
        <v>0.0</v>
      </c>
      <c r="W317" s="9">
        <v>0.0</v>
      </c>
      <c r="X317" s="9">
        <v>0.0</v>
      </c>
      <c r="Y317" s="9">
        <v>0.0</v>
      </c>
      <c r="Z317" s="9">
        <v>0.0</v>
      </c>
      <c r="AA317" s="9">
        <v>0.0</v>
      </c>
      <c r="AB317" s="9">
        <v>0.0</v>
      </c>
      <c r="AC317" s="9">
        <v>0.0</v>
      </c>
      <c r="AD317" s="9"/>
      <c r="AE317" s="9" t="s">
        <v>9</v>
      </c>
    </row>
    <row r="318">
      <c r="A318" s="7" t="s">
        <v>1013</v>
      </c>
      <c r="B318" s="7" t="s">
        <v>1014</v>
      </c>
      <c r="C318" s="8">
        <v>46100.0</v>
      </c>
      <c r="D318" s="8">
        <v>46107.0</v>
      </c>
      <c r="E318" s="7" t="s">
        <v>416</v>
      </c>
      <c r="F318" s="7" t="s">
        <v>725</v>
      </c>
      <c r="G318" s="7" t="s">
        <v>355</v>
      </c>
      <c r="H318" s="9">
        <v>81650.0</v>
      </c>
      <c r="I318" s="9">
        <v>0.0</v>
      </c>
      <c r="J318" s="9">
        <v>256.0</v>
      </c>
      <c r="K318" s="9">
        <v>55107.0</v>
      </c>
      <c r="L318" s="10">
        <v>1.4816629466310995</v>
      </c>
      <c r="M318" s="9">
        <v>1.4816629466310995</v>
      </c>
      <c r="N318" s="9">
        <v>31599.0</v>
      </c>
      <c r="O318" s="9">
        <v>31386.0</v>
      </c>
      <c r="P318" s="9">
        <v>9857.0</v>
      </c>
      <c r="Q318" s="9">
        <v>194.0</v>
      </c>
      <c r="R318" s="9">
        <v>0.0</v>
      </c>
      <c r="S318" s="9">
        <v>0.0</v>
      </c>
      <c r="T318" s="9">
        <v>0.0</v>
      </c>
      <c r="U318" s="9">
        <v>0.0</v>
      </c>
      <c r="V318" s="9">
        <v>0.0</v>
      </c>
      <c r="W318" s="9">
        <v>0.0</v>
      </c>
      <c r="X318" s="9">
        <v>0.0</v>
      </c>
      <c r="Y318" s="9">
        <v>0.0</v>
      </c>
      <c r="Z318" s="9">
        <v>0.0</v>
      </c>
      <c r="AA318" s="9">
        <v>0.0</v>
      </c>
      <c r="AB318" s="9">
        <v>0.0</v>
      </c>
      <c r="AC318" s="9">
        <v>0.0</v>
      </c>
      <c r="AD318" s="9"/>
      <c r="AE318" s="9" t="s">
        <v>9</v>
      </c>
    </row>
    <row r="319">
      <c r="A319" s="7" t="s">
        <v>1015</v>
      </c>
      <c r="B319" s="7" t="s">
        <v>1016</v>
      </c>
      <c r="C319" s="8">
        <v>46099.0</v>
      </c>
      <c r="D319" s="8">
        <v>46108.0</v>
      </c>
      <c r="E319" s="7" t="s">
        <v>416</v>
      </c>
      <c r="F319" s="7" t="s">
        <v>667</v>
      </c>
      <c r="G319" s="7" t="s">
        <v>355</v>
      </c>
      <c r="H319" s="9">
        <v>245241.0</v>
      </c>
      <c r="I319" s="9">
        <v>0.0</v>
      </c>
      <c r="J319" s="9">
        <v>630.0</v>
      </c>
      <c r="K319" s="9">
        <v>159974.0</v>
      </c>
      <c r="L319" s="10">
        <v>1.533005363371548</v>
      </c>
      <c r="M319" s="9">
        <v>1.533005363371548</v>
      </c>
      <c r="N319" s="9">
        <v>25219.0</v>
      </c>
      <c r="O319" s="9">
        <v>24855.0</v>
      </c>
      <c r="P319" s="9">
        <v>5338.0</v>
      </c>
      <c r="Q319" s="9">
        <v>160.0</v>
      </c>
      <c r="R319" s="9">
        <v>102.0</v>
      </c>
      <c r="S319" s="9">
        <v>102.0</v>
      </c>
      <c r="T319" s="9">
        <v>24.0</v>
      </c>
      <c r="U319" s="9">
        <v>23.0</v>
      </c>
      <c r="V319" s="9">
        <v>0.0</v>
      </c>
      <c r="W319" s="9">
        <v>0.0</v>
      </c>
      <c r="X319" s="9">
        <v>0.0</v>
      </c>
      <c r="Y319" s="9">
        <v>0.0</v>
      </c>
      <c r="Z319" s="9">
        <v>0.0</v>
      </c>
      <c r="AA319" s="9">
        <v>0.0</v>
      </c>
      <c r="AB319" s="9">
        <v>0.0</v>
      </c>
      <c r="AC319" s="9">
        <v>0.0</v>
      </c>
      <c r="AD319" s="9"/>
      <c r="AE319" s="9" t="s">
        <v>9</v>
      </c>
    </row>
    <row r="320">
      <c r="A320" s="7" t="s">
        <v>1017</v>
      </c>
      <c r="B320" s="7" t="s">
        <v>1018</v>
      </c>
      <c r="C320" s="8">
        <v>46100.0</v>
      </c>
      <c r="D320" s="8">
        <v>46108.0</v>
      </c>
      <c r="E320" s="7" t="s">
        <v>416</v>
      </c>
      <c r="F320" s="7" t="s">
        <v>466</v>
      </c>
      <c r="G320" s="7" t="s">
        <v>355</v>
      </c>
      <c r="H320" s="9">
        <v>270970.0</v>
      </c>
      <c r="I320" s="9">
        <v>0.0</v>
      </c>
      <c r="J320" s="9">
        <v>807.0</v>
      </c>
      <c r="K320" s="9">
        <v>170178.0</v>
      </c>
      <c r="L320" s="10">
        <v>1.5922739719587726</v>
      </c>
      <c r="M320" s="9">
        <v>1.5922739719587726</v>
      </c>
      <c r="N320" s="9">
        <v>86287.0</v>
      </c>
      <c r="O320" s="9">
        <v>85406.0</v>
      </c>
      <c r="P320" s="9">
        <v>21519.0</v>
      </c>
      <c r="Q320" s="9">
        <v>255.0</v>
      </c>
      <c r="R320" s="9">
        <v>142.0</v>
      </c>
      <c r="S320" s="9">
        <v>142.0</v>
      </c>
      <c r="T320" s="9">
        <v>43.0</v>
      </c>
      <c r="U320" s="9">
        <v>41.0</v>
      </c>
      <c r="V320" s="9">
        <v>0.0</v>
      </c>
      <c r="W320" s="9">
        <v>0.0</v>
      </c>
      <c r="X320" s="9">
        <v>0.0</v>
      </c>
      <c r="Y320" s="9">
        <v>0.0</v>
      </c>
      <c r="Z320" s="9">
        <v>0.0</v>
      </c>
      <c r="AA320" s="9">
        <v>0.0</v>
      </c>
      <c r="AB320" s="9">
        <v>0.0</v>
      </c>
      <c r="AC320" s="9">
        <v>0.0</v>
      </c>
      <c r="AD320" s="9"/>
      <c r="AE320" s="9" t="s">
        <v>9</v>
      </c>
    </row>
    <row r="321">
      <c r="A321" s="7" t="s">
        <v>1019</v>
      </c>
      <c r="B321" s="7" t="s">
        <v>1020</v>
      </c>
      <c r="C321" s="8">
        <v>46052.0</v>
      </c>
      <c r="D321" s="8">
        <v>46107.0</v>
      </c>
      <c r="E321" s="7" t="s">
        <v>416</v>
      </c>
      <c r="F321" s="7" t="s">
        <v>466</v>
      </c>
      <c r="G321" s="7" t="s">
        <v>355</v>
      </c>
      <c r="H321" s="9">
        <v>214312.0</v>
      </c>
      <c r="I321" s="9">
        <v>0.0</v>
      </c>
      <c r="J321" s="9">
        <v>650.0</v>
      </c>
      <c r="K321" s="9">
        <v>136691.0</v>
      </c>
      <c r="L321" s="10">
        <v>1.5678574302624166</v>
      </c>
      <c r="M321" s="9">
        <v>1.5678574302624166</v>
      </c>
      <c r="N321" s="9">
        <v>90147.0</v>
      </c>
      <c r="O321" s="9">
        <v>89283.0</v>
      </c>
      <c r="P321" s="9">
        <v>31785.0</v>
      </c>
      <c r="Q321" s="9">
        <v>364.0</v>
      </c>
      <c r="R321" s="9">
        <v>207.0</v>
      </c>
      <c r="S321" s="9">
        <v>207.0</v>
      </c>
      <c r="T321" s="9">
        <v>55.0</v>
      </c>
      <c r="U321" s="9">
        <v>53.0</v>
      </c>
      <c r="V321" s="9">
        <v>0.0</v>
      </c>
      <c r="W321" s="9">
        <v>0.0</v>
      </c>
      <c r="X321" s="9">
        <v>0.0</v>
      </c>
      <c r="Y321" s="9">
        <v>0.0</v>
      </c>
      <c r="Z321" s="9">
        <v>0.0</v>
      </c>
      <c r="AA321" s="9">
        <v>0.0</v>
      </c>
      <c r="AB321" s="9">
        <v>0.0</v>
      </c>
      <c r="AC321" s="9">
        <v>0.0</v>
      </c>
      <c r="AD321" s="9"/>
      <c r="AE321" s="9" t="s">
        <v>9</v>
      </c>
    </row>
    <row r="322">
      <c r="A322" s="7" t="s">
        <v>1021</v>
      </c>
      <c r="B322" s="7" t="s">
        <v>1022</v>
      </c>
      <c r="C322" s="8">
        <v>46100.0</v>
      </c>
      <c r="D322" s="8">
        <v>46108.0</v>
      </c>
      <c r="E322" s="7" t="s">
        <v>416</v>
      </c>
      <c r="F322" s="7" t="s">
        <v>466</v>
      </c>
      <c r="G322" s="7" t="s">
        <v>355</v>
      </c>
      <c r="H322" s="9">
        <v>553580.0</v>
      </c>
      <c r="I322" s="9">
        <v>0.0</v>
      </c>
      <c r="J322" s="9">
        <v>628.0</v>
      </c>
      <c r="K322" s="9">
        <v>346643.0</v>
      </c>
      <c r="L322" s="10">
        <v>1.5969744088298337</v>
      </c>
      <c r="M322" s="9">
        <v>1.5969744088298337</v>
      </c>
      <c r="N322" s="9">
        <v>78352.0</v>
      </c>
      <c r="O322" s="9">
        <v>77452.0</v>
      </c>
      <c r="P322" s="9">
        <v>21712.0</v>
      </c>
      <c r="Q322" s="9">
        <v>257.0</v>
      </c>
      <c r="R322" s="9">
        <v>129.0</v>
      </c>
      <c r="S322" s="9">
        <v>129.0</v>
      </c>
      <c r="T322" s="9">
        <v>32.0</v>
      </c>
      <c r="U322" s="9">
        <v>32.0</v>
      </c>
      <c r="V322" s="9">
        <v>0.0</v>
      </c>
      <c r="W322" s="9">
        <v>0.0</v>
      </c>
      <c r="X322" s="9">
        <v>0.0</v>
      </c>
      <c r="Y322" s="9">
        <v>0.0</v>
      </c>
      <c r="Z322" s="9">
        <v>0.0</v>
      </c>
      <c r="AA322" s="9">
        <v>0.0</v>
      </c>
      <c r="AB322" s="9">
        <v>0.0</v>
      </c>
      <c r="AC322" s="9">
        <v>0.0</v>
      </c>
      <c r="AD322" s="9"/>
      <c r="AE322" s="9" t="s">
        <v>9</v>
      </c>
    </row>
    <row r="323">
      <c r="A323" s="7" t="s">
        <v>1023</v>
      </c>
      <c r="B323" s="7" t="s">
        <v>1024</v>
      </c>
      <c r="C323" s="8">
        <v>46100.0</v>
      </c>
      <c r="D323" s="8">
        <v>46108.0</v>
      </c>
      <c r="E323" s="7" t="s">
        <v>416</v>
      </c>
      <c r="F323" s="7" t="s">
        <v>466</v>
      </c>
      <c r="G323" s="7" t="s">
        <v>355</v>
      </c>
      <c r="H323" s="9">
        <v>209521.0</v>
      </c>
      <c r="I323" s="9">
        <v>0.0</v>
      </c>
      <c r="J323" s="9">
        <v>630.0</v>
      </c>
      <c r="K323" s="9">
        <v>135143.0</v>
      </c>
      <c r="L323" s="10">
        <v>1.550365168747179</v>
      </c>
      <c r="M323" s="9">
        <v>1.550365168747179</v>
      </c>
      <c r="N323" s="9">
        <v>75542.0</v>
      </c>
      <c r="O323" s="9">
        <v>74658.0</v>
      </c>
      <c r="P323" s="9">
        <v>14162.0</v>
      </c>
      <c r="Q323" s="9">
        <v>218.0</v>
      </c>
      <c r="R323" s="9">
        <v>122.0</v>
      </c>
      <c r="S323" s="9">
        <v>122.0</v>
      </c>
      <c r="T323" s="9">
        <v>34.0</v>
      </c>
      <c r="U323" s="9">
        <v>33.0</v>
      </c>
      <c r="V323" s="9">
        <v>0.0</v>
      </c>
      <c r="W323" s="9">
        <v>0.0</v>
      </c>
      <c r="X323" s="9">
        <v>0.0</v>
      </c>
      <c r="Y323" s="9">
        <v>0.0</v>
      </c>
      <c r="Z323" s="9">
        <v>0.0</v>
      </c>
      <c r="AA323" s="9">
        <v>0.0</v>
      </c>
      <c r="AB323" s="9">
        <v>0.0</v>
      </c>
      <c r="AC323" s="9">
        <v>0.0</v>
      </c>
      <c r="AD323" s="9"/>
      <c r="AE323" s="9" t="s">
        <v>9</v>
      </c>
    </row>
    <row r="324">
      <c r="A324" s="7" t="s">
        <v>1025</v>
      </c>
      <c r="B324" s="7" t="s">
        <v>1026</v>
      </c>
      <c r="C324" s="8">
        <v>46099.0</v>
      </c>
      <c r="D324" s="8">
        <v>46107.0</v>
      </c>
      <c r="E324" s="7" t="s">
        <v>416</v>
      </c>
      <c r="F324" s="7" t="s">
        <v>594</v>
      </c>
      <c r="G324" s="7" t="s">
        <v>355</v>
      </c>
      <c r="H324" s="9">
        <v>185971.0</v>
      </c>
      <c r="I324" s="9">
        <v>0.0</v>
      </c>
      <c r="J324" s="9">
        <v>712.0</v>
      </c>
      <c r="K324" s="9">
        <v>120072.0</v>
      </c>
      <c r="L324" s="10">
        <v>1.5488290359117862</v>
      </c>
      <c r="M324" s="9">
        <v>1.5488290359117862</v>
      </c>
      <c r="N324" s="9">
        <v>73097.0</v>
      </c>
      <c r="O324" s="9">
        <v>72364.0</v>
      </c>
      <c r="P324" s="9">
        <v>14612.0</v>
      </c>
      <c r="Q324" s="9">
        <v>374.0</v>
      </c>
      <c r="R324" s="9">
        <v>237.0</v>
      </c>
      <c r="S324" s="9">
        <v>236.0</v>
      </c>
      <c r="T324" s="9">
        <v>64.0</v>
      </c>
      <c r="U324" s="9">
        <v>59.0</v>
      </c>
      <c r="V324" s="9">
        <v>0.0</v>
      </c>
      <c r="W324" s="9">
        <v>0.0</v>
      </c>
      <c r="X324" s="9">
        <v>0.0</v>
      </c>
      <c r="Y324" s="9">
        <v>0.0</v>
      </c>
      <c r="Z324" s="9">
        <v>0.0</v>
      </c>
      <c r="AA324" s="9">
        <v>0.0</v>
      </c>
      <c r="AB324" s="9">
        <v>0.0</v>
      </c>
      <c r="AC324" s="9">
        <v>0.0</v>
      </c>
      <c r="AD324" s="9"/>
      <c r="AE324" s="9" t="s">
        <v>9</v>
      </c>
    </row>
    <row r="325">
      <c r="A325" s="7" t="s">
        <v>1027</v>
      </c>
      <c r="B325" s="7" t="s">
        <v>1028</v>
      </c>
      <c r="C325" s="8">
        <v>46100.0</v>
      </c>
      <c r="D325" s="8">
        <v>46112.0</v>
      </c>
      <c r="E325" s="7" t="s">
        <v>364</v>
      </c>
      <c r="F325" s="7" t="s">
        <v>365</v>
      </c>
      <c r="G325" s="7" t="s">
        <v>355</v>
      </c>
      <c r="H325" s="9">
        <v>423901.0</v>
      </c>
      <c r="I325" s="9">
        <v>0.0</v>
      </c>
      <c r="J325" s="9">
        <v>1651.0</v>
      </c>
      <c r="K325" s="9">
        <v>280844.0</v>
      </c>
      <c r="L325" s="10">
        <v>1.5093824329521015</v>
      </c>
      <c r="M325" s="9">
        <v>1.5093824329521015</v>
      </c>
      <c r="N325" s="9">
        <v>153770.0</v>
      </c>
      <c r="O325" s="9">
        <v>152337.0</v>
      </c>
      <c r="P325" s="9">
        <v>57563.0</v>
      </c>
      <c r="Q325" s="9">
        <v>422.0</v>
      </c>
      <c r="R325" s="9">
        <v>0.0</v>
      </c>
      <c r="S325" s="9">
        <v>0.0</v>
      </c>
      <c r="T325" s="9">
        <v>0.0</v>
      </c>
      <c r="U325" s="9">
        <v>0.0</v>
      </c>
      <c r="V325" s="9">
        <v>0.0</v>
      </c>
      <c r="W325" s="9">
        <v>0.0</v>
      </c>
      <c r="X325" s="9">
        <v>0.0</v>
      </c>
      <c r="Y325" s="9">
        <v>0.0</v>
      </c>
      <c r="Z325" s="9">
        <v>0.0</v>
      </c>
      <c r="AA325" s="9">
        <v>0.0</v>
      </c>
      <c r="AB325" s="9">
        <v>0.0</v>
      </c>
      <c r="AC325" s="9">
        <v>0.0</v>
      </c>
      <c r="AD325" s="9"/>
      <c r="AE325" s="9" t="s">
        <v>9</v>
      </c>
    </row>
    <row r="326">
      <c r="A326" s="7" t="s">
        <v>1029</v>
      </c>
      <c r="B326" s="7" t="s">
        <v>1030</v>
      </c>
      <c r="C326" s="8">
        <v>46101.0</v>
      </c>
      <c r="D326" s="8">
        <v>46119.0</v>
      </c>
      <c r="E326" s="7" t="s">
        <v>404</v>
      </c>
      <c r="F326" s="7" t="s">
        <v>667</v>
      </c>
      <c r="G326" s="7" t="s">
        <v>355</v>
      </c>
      <c r="H326" s="9">
        <v>1323182.0</v>
      </c>
      <c r="I326" s="9">
        <v>287671.0</v>
      </c>
      <c r="J326" s="9">
        <v>19645.0</v>
      </c>
      <c r="K326" s="9">
        <v>1088848.0</v>
      </c>
      <c r="L326" s="10">
        <v>0.5707408196552687</v>
      </c>
      <c r="M326" s="9">
        <v>1.2152127753368698</v>
      </c>
      <c r="N326" s="9">
        <v>106526.0</v>
      </c>
      <c r="O326" s="9">
        <v>105561.0</v>
      </c>
      <c r="P326" s="9">
        <v>33820.0</v>
      </c>
      <c r="Q326" s="9">
        <v>1020.0</v>
      </c>
      <c r="R326" s="9">
        <v>666.0</v>
      </c>
      <c r="S326" s="9">
        <v>666.0</v>
      </c>
      <c r="T326" s="9">
        <v>247.0</v>
      </c>
      <c r="U326" s="9">
        <v>137.0</v>
      </c>
      <c r="V326" s="9">
        <v>0.0</v>
      </c>
      <c r="W326" s="9">
        <v>0.0</v>
      </c>
      <c r="X326" s="9">
        <v>0.0</v>
      </c>
      <c r="Y326" s="9">
        <v>0.0</v>
      </c>
      <c r="Z326" s="9">
        <v>0.0</v>
      </c>
      <c r="AA326" s="9">
        <v>432.0</v>
      </c>
      <c r="AB326" s="9">
        <v>390.0</v>
      </c>
      <c r="AC326" s="9">
        <v>0.0</v>
      </c>
      <c r="AD326" s="9"/>
      <c r="AE326" s="9" t="s">
        <v>9</v>
      </c>
    </row>
    <row r="327">
      <c r="A327" s="7" t="s">
        <v>1031</v>
      </c>
      <c r="B327" s="7" t="s">
        <v>1032</v>
      </c>
      <c r="C327" s="8">
        <v>46111.0</v>
      </c>
      <c r="D327" s="8">
        <v>46111.0</v>
      </c>
      <c r="E327" s="7" t="s">
        <v>404</v>
      </c>
      <c r="F327" s="7" t="s">
        <v>474</v>
      </c>
      <c r="G327" s="7" t="s">
        <v>355</v>
      </c>
      <c r="H327" s="9">
        <v>0.0</v>
      </c>
      <c r="I327" s="9">
        <v>0.0</v>
      </c>
      <c r="J327" s="9">
        <v>0.0</v>
      </c>
      <c r="K327" s="9">
        <v>0.0</v>
      </c>
      <c r="L327" s="10">
        <v>0.0</v>
      </c>
      <c r="M327" s="9">
        <v>0.0</v>
      </c>
      <c r="N327" s="9">
        <v>369.0</v>
      </c>
      <c r="O327" s="9">
        <v>359.0</v>
      </c>
      <c r="P327" s="9">
        <v>165.0</v>
      </c>
      <c r="Q327" s="9">
        <v>59.0</v>
      </c>
      <c r="R327" s="9">
        <v>0.0</v>
      </c>
      <c r="S327" s="9">
        <v>0.0</v>
      </c>
      <c r="T327" s="9">
        <v>0.0</v>
      </c>
      <c r="U327" s="9">
        <v>0.0</v>
      </c>
      <c r="V327" s="9">
        <v>0.0</v>
      </c>
      <c r="W327" s="9">
        <v>0.0</v>
      </c>
      <c r="X327" s="9">
        <v>0.0</v>
      </c>
      <c r="Y327" s="9">
        <v>0.0</v>
      </c>
      <c r="Z327" s="9">
        <v>0.0</v>
      </c>
      <c r="AA327" s="9">
        <v>0.0</v>
      </c>
      <c r="AB327" s="9">
        <v>0.0</v>
      </c>
      <c r="AC327" s="9">
        <v>0.0</v>
      </c>
      <c r="AD327" s="9"/>
      <c r="AE327" s="9" t="s">
        <v>9</v>
      </c>
    </row>
    <row r="328">
      <c r="A328" s="7" t="s">
        <v>1033</v>
      </c>
      <c r="B328" s="7" t="s">
        <v>1034</v>
      </c>
      <c r="C328" s="8">
        <v>46100.0</v>
      </c>
      <c r="D328" s="8">
        <v>46117.0</v>
      </c>
      <c r="E328" s="7" t="s">
        <v>416</v>
      </c>
      <c r="F328" s="7" t="s">
        <v>417</v>
      </c>
      <c r="G328" s="7" t="s">
        <v>355</v>
      </c>
      <c r="H328" s="9">
        <v>440546.0</v>
      </c>
      <c r="I328" s="9">
        <v>148511.0</v>
      </c>
      <c r="J328" s="9">
        <v>4208.0</v>
      </c>
      <c r="K328" s="9">
        <v>16753.0</v>
      </c>
      <c r="L328" s="10">
        <v>14.991941741777593</v>
      </c>
      <c r="M328" s="9">
        <v>26.296543902584613</v>
      </c>
      <c r="N328" s="9">
        <v>20492.0</v>
      </c>
      <c r="O328" s="9">
        <v>20316.0</v>
      </c>
      <c r="P328" s="9">
        <v>4578.0</v>
      </c>
      <c r="Q328" s="9">
        <v>124.0</v>
      </c>
      <c r="R328" s="9">
        <v>49.0</v>
      </c>
      <c r="S328" s="9">
        <v>49.0</v>
      </c>
      <c r="T328" s="9">
        <v>28.0</v>
      </c>
      <c r="U328" s="9">
        <v>28.0</v>
      </c>
      <c r="V328" s="9">
        <v>11439.0</v>
      </c>
      <c r="W328" s="9">
        <v>11438.0</v>
      </c>
      <c r="X328" s="9">
        <v>10379.0</v>
      </c>
      <c r="Y328" s="9">
        <v>4601.0</v>
      </c>
      <c r="Z328" s="9">
        <v>49.0</v>
      </c>
      <c r="AA328" s="9">
        <v>0.0</v>
      </c>
      <c r="AB328" s="9">
        <v>0.0</v>
      </c>
      <c r="AC328" s="9">
        <v>0.0</v>
      </c>
      <c r="AD328" s="9"/>
      <c r="AE328" s="9" t="s">
        <v>9</v>
      </c>
    </row>
    <row r="329">
      <c r="A329" s="7" t="s">
        <v>1035</v>
      </c>
      <c r="B329" s="7" t="s">
        <v>1036</v>
      </c>
      <c r="C329" s="8">
        <v>46101.0</v>
      </c>
      <c r="D329" s="8">
        <v>46128.0</v>
      </c>
      <c r="E329" s="7" t="s">
        <v>416</v>
      </c>
      <c r="F329" s="7" t="s">
        <v>417</v>
      </c>
      <c r="G329" s="7" t="s">
        <v>355</v>
      </c>
      <c r="H329" s="9">
        <v>516284.0</v>
      </c>
      <c r="I329" s="9">
        <v>263419.0</v>
      </c>
      <c r="J329" s="9">
        <v>3796.0</v>
      </c>
      <c r="K329" s="9">
        <v>18251.0</v>
      </c>
      <c r="L329" s="10">
        <v>7.240918305846255</v>
      </c>
      <c r="M329" s="9">
        <v>28.287984220042738</v>
      </c>
      <c r="N329" s="9">
        <v>12413.0</v>
      </c>
      <c r="O329" s="9">
        <v>12280.0</v>
      </c>
      <c r="P329" s="9">
        <v>2939.0</v>
      </c>
      <c r="Q329" s="9">
        <v>99.0</v>
      </c>
      <c r="R329" s="9">
        <v>25.0</v>
      </c>
      <c r="S329" s="9">
        <v>25.0</v>
      </c>
      <c r="T329" s="9">
        <v>16.0</v>
      </c>
      <c r="U329" s="9">
        <v>14.0</v>
      </c>
      <c r="V329" s="9">
        <v>13644.0</v>
      </c>
      <c r="W329" s="9">
        <v>13644.0</v>
      </c>
      <c r="X329" s="9">
        <v>12015.0</v>
      </c>
      <c r="Y329" s="9">
        <v>5442.0</v>
      </c>
      <c r="Z329" s="9">
        <v>25.0</v>
      </c>
      <c r="AA329" s="9">
        <v>0.0</v>
      </c>
      <c r="AB329" s="9">
        <v>0.0</v>
      </c>
      <c r="AC329" s="9">
        <v>0.0</v>
      </c>
      <c r="AD329" s="9"/>
      <c r="AE329" s="9" t="s">
        <v>9</v>
      </c>
    </row>
    <row r="330">
      <c r="A330" s="7" t="s">
        <v>1037</v>
      </c>
      <c r="B330" s="7" t="s">
        <v>1038</v>
      </c>
      <c r="C330" s="8">
        <v>46097.0</v>
      </c>
      <c r="D330" s="8">
        <v>46129.0</v>
      </c>
      <c r="E330" s="7" t="s">
        <v>416</v>
      </c>
      <c r="F330" s="7" t="s">
        <v>417</v>
      </c>
      <c r="G330" s="7" t="s">
        <v>355</v>
      </c>
      <c r="H330" s="9">
        <v>4255161.0</v>
      </c>
      <c r="I330" s="9">
        <v>762713.0</v>
      </c>
      <c r="J330" s="9">
        <v>25763.0</v>
      </c>
      <c r="K330" s="9">
        <v>267596.0</v>
      </c>
      <c r="L330" s="10">
        <v>3.816465866455403</v>
      </c>
      <c r="M330" s="9">
        <v>15.901437241214367</v>
      </c>
      <c r="N330" s="9">
        <v>122501.0</v>
      </c>
      <c r="O330" s="9">
        <v>120838.0</v>
      </c>
      <c r="P330" s="9">
        <v>11162.0</v>
      </c>
      <c r="Q330" s="9">
        <v>360.0</v>
      </c>
      <c r="R330" s="9">
        <v>18059.0</v>
      </c>
      <c r="S330" s="9">
        <v>15872.0</v>
      </c>
      <c r="T330" s="9">
        <v>2804.0</v>
      </c>
      <c r="U330" s="9">
        <v>2199.0</v>
      </c>
      <c r="V330" s="9">
        <v>55346.0</v>
      </c>
      <c r="W330" s="9">
        <v>55346.0</v>
      </c>
      <c r="X330" s="9">
        <v>49466.0</v>
      </c>
      <c r="Y330" s="9">
        <v>15920.0</v>
      </c>
      <c r="Z330" s="9">
        <v>188.0</v>
      </c>
      <c r="AA330" s="9">
        <v>0.0</v>
      </c>
      <c r="AB330" s="9">
        <v>0.0</v>
      </c>
      <c r="AC330" s="9">
        <v>0.0</v>
      </c>
      <c r="AD330" s="9"/>
      <c r="AE330" s="9" t="s">
        <v>9</v>
      </c>
    </row>
    <row r="331">
      <c r="A331" s="7" t="s">
        <v>1039</v>
      </c>
      <c r="B331" s="7" t="s">
        <v>1040</v>
      </c>
      <c r="C331" s="8">
        <v>46111.0</v>
      </c>
      <c r="D331" s="8">
        <v>46142.0</v>
      </c>
      <c r="E331" s="7" t="s">
        <v>353</v>
      </c>
      <c r="F331" s="7" t="s">
        <v>354</v>
      </c>
      <c r="G331" s="7" t="s">
        <v>355</v>
      </c>
      <c r="H331" s="9">
        <v>1.087914E7</v>
      </c>
      <c r="I331" s="9">
        <v>555431.0</v>
      </c>
      <c r="J331" s="9">
        <v>13614.0</v>
      </c>
      <c r="K331" s="9">
        <v>2209627.0</v>
      </c>
      <c r="L331" s="10">
        <v>2.008076476255947</v>
      </c>
      <c r="M331" s="9">
        <v>4.923518765836949</v>
      </c>
      <c r="N331" s="9">
        <v>369873.0</v>
      </c>
      <c r="O331" s="9">
        <v>365393.0</v>
      </c>
      <c r="P331" s="9">
        <v>121168.0</v>
      </c>
      <c r="Q331" s="9">
        <v>3026.0</v>
      </c>
      <c r="R331" s="9">
        <v>0.0</v>
      </c>
      <c r="S331" s="9">
        <v>0.0</v>
      </c>
      <c r="T331" s="9">
        <v>0.0</v>
      </c>
      <c r="U331" s="9">
        <v>0.0</v>
      </c>
      <c r="V331" s="9">
        <v>0.0</v>
      </c>
      <c r="W331" s="9">
        <v>0.0</v>
      </c>
      <c r="X331" s="9">
        <v>0.0</v>
      </c>
      <c r="Y331" s="9">
        <v>0.0</v>
      </c>
      <c r="Z331" s="9">
        <v>0.0</v>
      </c>
      <c r="AA331" s="9">
        <v>0.0</v>
      </c>
      <c r="AB331" s="9">
        <v>0.0</v>
      </c>
      <c r="AC331" s="9">
        <v>0.0</v>
      </c>
      <c r="AD331" s="9"/>
      <c r="AE331" s="9" t="s">
        <v>9</v>
      </c>
    </row>
    <row r="332">
      <c r="A332" s="7" t="s">
        <v>1041</v>
      </c>
      <c r="B332" s="7" t="s">
        <v>1042</v>
      </c>
      <c r="C332" s="8">
        <v>46101.0</v>
      </c>
      <c r="D332" s="8">
        <v>46109.0</v>
      </c>
      <c r="E332" s="7" t="s">
        <v>416</v>
      </c>
      <c r="F332" s="7" t="s">
        <v>430</v>
      </c>
      <c r="G332" s="7" t="s">
        <v>355</v>
      </c>
      <c r="H332" s="9">
        <v>737893.0</v>
      </c>
      <c r="I332" s="9">
        <v>0.0</v>
      </c>
      <c r="J332" s="9">
        <v>3990.0</v>
      </c>
      <c r="K332" s="9">
        <v>472552.0</v>
      </c>
      <c r="L332" s="10">
        <v>0.7497926154158696</v>
      </c>
      <c r="M332" s="9">
        <v>1.5615064585484772</v>
      </c>
      <c r="N332" s="9">
        <v>0.0</v>
      </c>
      <c r="O332" s="9">
        <v>0.0</v>
      </c>
      <c r="P332" s="9">
        <v>0.0</v>
      </c>
      <c r="Q332" s="9">
        <v>0.0</v>
      </c>
      <c r="R332" s="9">
        <v>0.0</v>
      </c>
      <c r="S332" s="9">
        <v>0.0</v>
      </c>
      <c r="T332" s="9">
        <v>0.0</v>
      </c>
      <c r="U332" s="9">
        <v>0.0</v>
      </c>
      <c r="V332" s="9">
        <v>0.0</v>
      </c>
      <c r="W332" s="9">
        <v>0.0</v>
      </c>
      <c r="X332" s="9">
        <v>0.0</v>
      </c>
      <c r="Y332" s="9">
        <v>0.0</v>
      </c>
      <c r="Z332" s="9">
        <v>0.0</v>
      </c>
      <c r="AA332" s="9">
        <v>0.0</v>
      </c>
      <c r="AB332" s="9">
        <v>0.0</v>
      </c>
      <c r="AC332" s="9">
        <v>0.0</v>
      </c>
      <c r="AD332" s="9"/>
      <c r="AE332" s="9"/>
    </row>
    <row r="333">
      <c r="A333" s="7" t="s">
        <v>1043</v>
      </c>
      <c r="B333" s="7" t="s">
        <v>1044</v>
      </c>
      <c r="C333" s="8">
        <v>46101.0</v>
      </c>
      <c r="D333" s="8">
        <v>46101.0</v>
      </c>
      <c r="E333" s="7" t="s">
        <v>353</v>
      </c>
      <c r="F333" s="7" t="s">
        <v>378</v>
      </c>
      <c r="G333" s="7" t="s">
        <v>355</v>
      </c>
      <c r="H333" s="9">
        <v>0.0</v>
      </c>
      <c r="I333" s="9">
        <v>0.0</v>
      </c>
      <c r="J333" s="9">
        <v>0.0</v>
      </c>
      <c r="K333" s="9">
        <v>0.0</v>
      </c>
      <c r="L333" s="10">
        <v>0.0</v>
      </c>
      <c r="M333" s="9">
        <v>0.0</v>
      </c>
      <c r="N333" s="9">
        <v>742.0</v>
      </c>
      <c r="O333" s="9">
        <v>740.0</v>
      </c>
      <c r="P333" s="9">
        <v>256.0</v>
      </c>
      <c r="Q333" s="9">
        <v>8.0</v>
      </c>
      <c r="R333" s="9">
        <v>0.0</v>
      </c>
      <c r="S333" s="9">
        <v>0.0</v>
      </c>
      <c r="T333" s="9">
        <v>0.0</v>
      </c>
      <c r="U333" s="9">
        <v>0.0</v>
      </c>
      <c r="V333" s="9">
        <v>0.0</v>
      </c>
      <c r="W333" s="9">
        <v>0.0</v>
      </c>
      <c r="X333" s="9">
        <v>0.0</v>
      </c>
      <c r="Y333" s="9">
        <v>0.0</v>
      </c>
      <c r="Z333" s="9">
        <v>0.0</v>
      </c>
      <c r="AA333" s="9">
        <v>0.0</v>
      </c>
      <c r="AB333" s="9">
        <v>0.0</v>
      </c>
      <c r="AC333" s="9">
        <v>0.0</v>
      </c>
      <c r="AD333" s="9"/>
      <c r="AE333" s="9" t="s">
        <v>9</v>
      </c>
    </row>
    <row r="334">
      <c r="A334" s="7" t="s">
        <v>1045</v>
      </c>
      <c r="B334" s="7" t="s">
        <v>1046</v>
      </c>
      <c r="C334" s="8">
        <v>46101.0</v>
      </c>
      <c r="D334" s="8">
        <v>46142.0</v>
      </c>
      <c r="E334" s="7" t="s">
        <v>364</v>
      </c>
      <c r="F334" s="7" t="s">
        <v>504</v>
      </c>
      <c r="G334" s="7" t="s">
        <v>355</v>
      </c>
      <c r="H334" s="9">
        <v>3390642.0</v>
      </c>
      <c r="I334" s="9">
        <v>270705.0</v>
      </c>
      <c r="J334" s="9">
        <v>2893.0</v>
      </c>
      <c r="K334" s="9">
        <v>976921.0</v>
      </c>
      <c r="L334" s="10">
        <v>2.0800586741404885</v>
      </c>
      <c r="M334" s="9">
        <v>3.470743284257376</v>
      </c>
      <c r="N334" s="9">
        <v>0.0</v>
      </c>
      <c r="O334" s="9">
        <v>0.0</v>
      </c>
      <c r="P334" s="9">
        <v>0.0</v>
      </c>
      <c r="Q334" s="9">
        <v>0.0</v>
      </c>
      <c r="R334" s="9">
        <v>0.0</v>
      </c>
      <c r="S334" s="9">
        <v>0.0</v>
      </c>
      <c r="T334" s="9">
        <v>0.0</v>
      </c>
      <c r="U334" s="9">
        <v>0.0</v>
      </c>
      <c r="V334" s="9">
        <v>0.0</v>
      </c>
      <c r="W334" s="9">
        <v>0.0</v>
      </c>
      <c r="X334" s="9">
        <v>0.0</v>
      </c>
      <c r="Y334" s="9">
        <v>0.0</v>
      </c>
      <c r="Z334" s="9">
        <v>0.0</v>
      </c>
      <c r="AA334" s="9">
        <v>0.0</v>
      </c>
      <c r="AB334" s="9">
        <v>0.0</v>
      </c>
      <c r="AC334" s="9">
        <v>0.0</v>
      </c>
      <c r="AD334" s="9"/>
      <c r="AE334" s="9"/>
    </row>
    <row r="335">
      <c r="A335" s="7" t="s">
        <v>1047</v>
      </c>
      <c r="B335" s="7" t="s">
        <v>1048</v>
      </c>
      <c r="C335" s="8">
        <v>46003.0</v>
      </c>
      <c r="D335" s="8">
        <v>46134.0</v>
      </c>
      <c r="E335" s="7" t="s">
        <v>364</v>
      </c>
      <c r="F335" s="7" t="s">
        <v>365</v>
      </c>
      <c r="G335" s="7" t="s">
        <v>355</v>
      </c>
      <c r="H335" s="9">
        <v>2377206.0</v>
      </c>
      <c r="I335" s="9">
        <v>0.0</v>
      </c>
      <c r="J335" s="9">
        <v>2853.0</v>
      </c>
      <c r="K335" s="9">
        <v>0.0</v>
      </c>
      <c r="L335" s="10">
        <v>0.0</v>
      </c>
      <c r="M335" s="9">
        <v>0.0</v>
      </c>
      <c r="N335" s="9">
        <v>0.0</v>
      </c>
      <c r="O335" s="9">
        <v>0.0</v>
      </c>
      <c r="P335" s="9">
        <v>0.0</v>
      </c>
      <c r="Q335" s="9">
        <v>0.0</v>
      </c>
      <c r="R335" s="9">
        <v>0.0</v>
      </c>
      <c r="S335" s="9">
        <v>0.0</v>
      </c>
      <c r="T335" s="9">
        <v>0.0</v>
      </c>
      <c r="U335" s="9">
        <v>0.0</v>
      </c>
      <c r="V335" s="9">
        <v>0.0</v>
      </c>
      <c r="W335" s="9">
        <v>0.0</v>
      </c>
      <c r="X335" s="9">
        <v>0.0</v>
      </c>
      <c r="Y335" s="9">
        <v>0.0</v>
      </c>
      <c r="Z335" s="9">
        <v>0.0</v>
      </c>
      <c r="AA335" s="9">
        <v>0.0</v>
      </c>
      <c r="AB335" s="9">
        <v>0.0</v>
      </c>
      <c r="AC335" s="9">
        <v>0.0</v>
      </c>
      <c r="AD335" s="9"/>
      <c r="AE335" s="9"/>
    </row>
    <row r="336">
      <c r="A336" s="7" t="s">
        <v>1049</v>
      </c>
      <c r="B336" s="7" t="s">
        <v>1050</v>
      </c>
      <c r="C336" s="8">
        <v>46106.0</v>
      </c>
      <c r="D336" s="8">
        <v>46106.0</v>
      </c>
      <c r="E336" s="7" t="s">
        <v>353</v>
      </c>
      <c r="F336" s="7" t="s">
        <v>378</v>
      </c>
      <c r="G336" s="7" t="s">
        <v>355</v>
      </c>
      <c r="H336" s="9">
        <v>0.0</v>
      </c>
      <c r="I336" s="9">
        <v>0.0</v>
      </c>
      <c r="J336" s="9">
        <v>0.0</v>
      </c>
      <c r="K336" s="9">
        <v>0.0</v>
      </c>
      <c r="L336" s="10">
        <v>0.0</v>
      </c>
      <c r="M336" s="9">
        <v>0.0</v>
      </c>
      <c r="N336" s="9">
        <v>733.0</v>
      </c>
      <c r="O336" s="9">
        <v>731.0</v>
      </c>
      <c r="P336" s="9">
        <v>310.0</v>
      </c>
      <c r="Q336" s="9">
        <v>9.0</v>
      </c>
      <c r="R336" s="9">
        <v>0.0</v>
      </c>
      <c r="S336" s="9">
        <v>0.0</v>
      </c>
      <c r="T336" s="9">
        <v>0.0</v>
      </c>
      <c r="U336" s="9">
        <v>0.0</v>
      </c>
      <c r="V336" s="9">
        <v>0.0</v>
      </c>
      <c r="W336" s="9">
        <v>0.0</v>
      </c>
      <c r="X336" s="9">
        <v>0.0</v>
      </c>
      <c r="Y336" s="9">
        <v>0.0</v>
      </c>
      <c r="Z336" s="9">
        <v>0.0</v>
      </c>
      <c r="AA336" s="9">
        <v>0.0</v>
      </c>
      <c r="AB336" s="9">
        <v>0.0</v>
      </c>
      <c r="AC336" s="9">
        <v>0.0</v>
      </c>
      <c r="AD336" s="9"/>
      <c r="AE336" s="9" t="s">
        <v>9</v>
      </c>
    </row>
    <row r="337">
      <c r="A337" s="7" t="s">
        <v>1051</v>
      </c>
      <c r="B337" s="7" t="s">
        <v>1052</v>
      </c>
      <c r="C337" s="8">
        <v>46003.0</v>
      </c>
      <c r="D337" s="8">
        <v>46134.0</v>
      </c>
      <c r="E337" s="7" t="s">
        <v>364</v>
      </c>
      <c r="F337" s="7" t="s">
        <v>365</v>
      </c>
      <c r="G337" s="7" t="s">
        <v>355</v>
      </c>
      <c r="H337" s="9">
        <v>8723006.0</v>
      </c>
      <c r="I337" s="9">
        <v>0.0</v>
      </c>
      <c r="J337" s="9">
        <v>8265.0</v>
      </c>
      <c r="K337" s="9">
        <v>0.0</v>
      </c>
      <c r="L337" s="10">
        <v>0.0</v>
      </c>
      <c r="M337" s="9">
        <v>0.0</v>
      </c>
      <c r="N337" s="9">
        <v>0.0</v>
      </c>
      <c r="O337" s="9">
        <v>0.0</v>
      </c>
      <c r="P337" s="9">
        <v>0.0</v>
      </c>
      <c r="Q337" s="9">
        <v>0.0</v>
      </c>
      <c r="R337" s="9">
        <v>0.0</v>
      </c>
      <c r="S337" s="9">
        <v>0.0</v>
      </c>
      <c r="T337" s="9">
        <v>0.0</v>
      </c>
      <c r="U337" s="9">
        <v>0.0</v>
      </c>
      <c r="V337" s="9">
        <v>0.0</v>
      </c>
      <c r="W337" s="9">
        <v>0.0</v>
      </c>
      <c r="X337" s="9">
        <v>0.0</v>
      </c>
      <c r="Y337" s="9">
        <v>0.0</v>
      </c>
      <c r="Z337" s="9">
        <v>0.0</v>
      </c>
      <c r="AA337" s="9">
        <v>0.0</v>
      </c>
      <c r="AB337" s="9">
        <v>0.0</v>
      </c>
      <c r="AC337" s="9">
        <v>0.0</v>
      </c>
      <c r="AD337" s="9"/>
      <c r="AE337" s="9"/>
    </row>
    <row r="338">
      <c r="A338" s="7" t="s">
        <v>1053</v>
      </c>
      <c r="B338" s="7" t="s">
        <v>1054</v>
      </c>
      <c r="C338" s="8">
        <v>46106.0</v>
      </c>
      <c r="D338" s="8">
        <v>46112.0</v>
      </c>
      <c r="E338" s="7" t="s">
        <v>353</v>
      </c>
      <c r="F338" s="7" t="s">
        <v>378</v>
      </c>
      <c r="G338" s="7" t="s">
        <v>355</v>
      </c>
      <c r="H338" s="9">
        <v>962940.0</v>
      </c>
      <c r="I338" s="9">
        <v>79479.0</v>
      </c>
      <c r="J338" s="9">
        <v>1655.0</v>
      </c>
      <c r="K338" s="9">
        <v>618126.0</v>
      </c>
      <c r="L338" s="10">
        <v>1.352177387781779</v>
      </c>
      <c r="M338" s="9">
        <v>1.5578377224061113</v>
      </c>
      <c r="N338" s="9">
        <v>0.0</v>
      </c>
      <c r="O338" s="9">
        <v>0.0</v>
      </c>
      <c r="P338" s="9">
        <v>0.0</v>
      </c>
      <c r="Q338" s="9">
        <v>0.0</v>
      </c>
      <c r="R338" s="9">
        <v>0.0</v>
      </c>
      <c r="S338" s="9">
        <v>0.0</v>
      </c>
      <c r="T338" s="9">
        <v>0.0</v>
      </c>
      <c r="U338" s="9">
        <v>0.0</v>
      </c>
      <c r="V338" s="9">
        <v>0.0</v>
      </c>
      <c r="W338" s="9">
        <v>0.0</v>
      </c>
      <c r="X338" s="9">
        <v>0.0</v>
      </c>
      <c r="Y338" s="9">
        <v>0.0</v>
      </c>
      <c r="Z338" s="9">
        <v>0.0</v>
      </c>
      <c r="AA338" s="9">
        <v>0.0</v>
      </c>
      <c r="AB338" s="9">
        <v>0.0</v>
      </c>
      <c r="AC338" s="9">
        <v>0.0</v>
      </c>
      <c r="AD338" s="9"/>
      <c r="AE338" s="9"/>
    </row>
    <row r="339">
      <c r="A339" s="7" t="s">
        <v>1055</v>
      </c>
      <c r="B339" s="7" t="s">
        <v>1056</v>
      </c>
      <c r="C339" s="8">
        <v>46102.0</v>
      </c>
      <c r="D339" s="8">
        <v>46109.0</v>
      </c>
      <c r="E339" s="7" t="s">
        <v>503</v>
      </c>
      <c r="F339" s="7" t="s">
        <v>783</v>
      </c>
      <c r="G339" s="7" t="s">
        <v>355</v>
      </c>
      <c r="H339" s="9">
        <v>0.0</v>
      </c>
      <c r="I339" s="9">
        <v>0.0</v>
      </c>
      <c r="J339" s="9">
        <v>0.0</v>
      </c>
      <c r="K339" s="9">
        <v>0.0</v>
      </c>
      <c r="L339" s="10">
        <v>0.0</v>
      </c>
      <c r="M339" s="9">
        <v>0.0</v>
      </c>
      <c r="N339" s="9">
        <v>691536.0</v>
      </c>
      <c r="O339" s="9">
        <v>684730.0</v>
      </c>
      <c r="P339" s="9">
        <v>159617.0</v>
      </c>
      <c r="Q339" s="9">
        <v>735.0</v>
      </c>
      <c r="R339" s="9">
        <v>0.0</v>
      </c>
      <c r="S339" s="9">
        <v>0.0</v>
      </c>
      <c r="T339" s="9">
        <v>0.0</v>
      </c>
      <c r="U339" s="9">
        <v>0.0</v>
      </c>
      <c r="V339" s="9">
        <v>0.0</v>
      </c>
      <c r="W339" s="9">
        <v>0.0</v>
      </c>
      <c r="X339" s="9">
        <v>0.0</v>
      </c>
      <c r="Y339" s="9">
        <v>0.0</v>
      </c>
      <c r="Z339" s="9">
        <v>0.0</v>
      </c>
      <c r="AA339" s="9">
        <v>0.0</v>
      </c>
      <c r="AB339" s="9">
        <v>0.0</v>
      </c>
      <c r="AC339" s="9">
        <v>0.0</v>
      </c>
      <c r="AD339" s="9"/>
      <c r="AE339" s="9" t="s">
        <v>9</v>
      </c>
    </row>
    <row r="340">
      <c r="A340" s="7" t="s">
        <v>1057</v>
      </c>
      <c r="B340" s="7" t="s">
        <v>1058</v>
      </c>
      <c r="C340" s="8">
        <v>46107.0</v>
      </c>
      <c r="D340" s="8">
        <v>46107.0</v>
      </c>
      <c r="E340" s="7" t="s">
        <v>503</v>
      </c>
      <c r="F340" s="7" t="s">
        <v>783</v>
      </c>
      <c r="G340" s="7" t="s">
        <v>355</v>
      </c>
      <c r="H340" s="9">
        <v>0.0</v>
      </c>
      <c r="I340" s="9">
        <v>0.0</v>
      </c>
      <c r="J340" s="9">
        <v>0.0</v>
      </c>
      <c r="K340" s="9">
        <v>0.0</v>
      </c>
      <c r="L340" s="10">
        <v>0.0</v>
      </c>
      <c r="M340" s="9">
        <v>0.0</v>
      </c>
      <c r="N340" s="9">
        <v>90719.0</v>
      </c>
      <c r="O340" s="9">
        <v>89347.0</v>
      </c>
      <c r="P340" s="9">
        <v>16202.0</v>
      </c>
      <c r="Q340" s="9">
        <v>156.0</v>
      </c>
      <c r="R340" s="9">
        <v>0.0</v>
      </c>
      <c r="S340" s="9">
        <v>0.0</v>
      </c>
      <c r="T340" s="9">
        <v>0.0</v>
      </c>
      <c r="U340" s="9">
        <v>0.0</v>
      </c>
      <c r="V340" s="9">
        <v>0.0</v>
      </c>
      <c r="W340" s="9">
        <v>0.0</v>
      </c>
      <c r="X340" s="9">
        <v>0.0</v>
      </c>
      <c r="Y340" s="9">
        <v>0.0</v>
      </c>
      <c r="Z340" s="9">
        <v>0.0</v>
      </c>
      <c r="AA340" s="9">
        <v>0.0</v>
      </c>
      <c r="AB340" s="9">
        <v>0.0</v>
      </c>
      <c r="AC340" s="9">
        <v>0.0</v>
      </c>
      <c r="AD340" s="9"/>
      <c r="AE340" s="9" t="s">
        <v>9</v>
      </c>
    </row>
    <row r="341">
      <c r="A341" s="7" t="s">
        <v>1059</v>
      </c>
      <c r="B341" s="7" t="s">
        <v>1060</v>
      </c>
      <c r="C341" s="8">
        <v>46087.0</v>
      </c>
      <c r="D341" s="8">
        <v>46265.0</v>
      </c>
      <c r="E341" s="7" t="s">
        <v>358</v>
      </c>
      <c r="F341" s="7" t="s">
        <v>466</v>
      </c>
      <c r="G341" s="7" t="s">
        <v>410</v>
      </c>
      <c r="H341" s="9">
        <v>2063911.0</v>
      </c>
      <c r="I341" s="9">
        <v>648451.0</v>
      </c>
      <c r="J341" s="9">
        <v>115673.0</v>
      </c>
      <c r="K341" s="9">
        <v>434887.0</v>
      </c>
      <c r="L341" s="10">
        <v>4.7458558200176135</v>
      </c>
      <c r="M341" s="9">
        <v>4.7458558200176135</v>
      </c>
      <c r="N341" s="9">
        <v>0.0</v>
      </c>
      <c r="O341" s="9">
        <v>0.0</v>
      </c>
      <c r="P341" s="9">
        <v>0.0</v>
      </c>
      <c r="Q341" s="9">
        <v>0.0</v>
      </c>
      <c r="R341" s="9">
        <v>0.0</v>
      </c>
      <c r="S341" s="9">
        <v>0.0</v>
      </c>
      <c r="T341" s="9">
        <v>0.0</v>
      </c>
      <c r="U341" s="9">
        <v>0.0</v>
      </c>
      <c r="V341" s="9">
        <v>0.0</v>
      </c>
      <c r="W341" s="9">
        <v>0.0</v>
      </c>
      <c r="X341" s="9">
        <v>0.0</v>
      </c>
      <c r="Y341" s="9">
        <v>0.0</v>
      </c>
      <c r="Z341" s="9">
        <v>0.0</v>
      </c>
      <c r="AA341" s="9">
        <v>0.0</v>
      </c>
      <c r="AB341" s="9">
        <v>0.0</v>
      </c>
      <c r="AC341" s="9">
        <v>0.0</v>
      </c>
      <c r="AD341" s="9"/>
      <c r="AE341" s="9"/>
    </row>
    <row r="342">
      <c r="A342" s="7" t="s">
        <v>1061</v>
      </c>
      <c r="B342" s="7" t="s">
        <v>1062</v>
      </c>
      <c r="C342" s="8">
        <v>46108.0</v>
      </c>
      <c r="D342" s="8">
        <v>46112.0</v>
      </c>
      <c r="E342" s="7" t="s">
        <v>416</v>
      </c>
      <c r="F342" s="7" t="s">
        <v>387</v>
      </c>
      <c r="G342" s="7" t="s">
        <v>355</v>
      </c>
      <c r="H342" s="9">
        <v>103367.0</v>
      </c>
      <c r="I342" s="9">
        <v>0.0</v>
      </c>
      <c r="J342" s="9">
        <v>531.0</v>
      </c>
      <c r="K342" s="9">
        <v>68050.0</v>
      </c>
      <c r="L342" s="10">
        <v>1.5189860396767083</v>
      </c>
      <c r="M342" s="9">
        <v>1.5189860396767083</v>
      </c>
      <c r="N342" s="9">
        <v>76883.0</v>
      </c>
      <c r="O342" s="9">
        <v>75897.0</v>
      </c>
      <c r="P342" s="9">
        <v>13508.0</v>
      </c>
      <c r="Q342" s="9">
        <v>324.0</v>
      </c>
      <c r="R342" s="9">
        <v>183.0</v>
      </c>
      <c r="S342" s="9">
        <v>183.0</v>
      </c>
      <c r="T342" s="9">
        <v>50.0</v>
      </c>
      <c r="U342" s="9">
        <v>47.0</v>
      </c>
      <c r="V342" s="9">
        <v>0.0</v>
      </c>
      <c r="W342" s="9">
        <v>0.0</v>
      </c>
      <c r="X342" s="9">
        <v>0.0</v>
      </c>
      <c r="Y342" s="9">
        <v>0.0</v>
      </c>
      <c r="Z342" s="9">
        <v>0.0</v>
      </c>
      <c r="AA342" s="9">
        <v>0.0</v>
      </c>
      <c r="AB342" s="9">
        <v>0.0</v>
      </c>
      <c r="AC342" s="9">
        <v>0.0</v>
      </c>
      <c r="AD342" s="9"/>
      <c r="AE342" s="9" t="s">
        <v>9</v>
      </c>
    </row>
    <row r="343">
      <c r="A343" s="7" t="s">
        <v>1063</v>
      </c>
      <c r="B343" s="7" t="s">
        <v>1064</v>
      </c>
      <c r="C343" s="8">
        <v>46107.0</v>
      </c>
      <c r="D343" s="8">
        <v>46112.0</v>
      </c>
      <c r="E343" s="7" t="s">
        <v>416</v>
      </c>
      <c r="F343" s="7" t="s">
        <v>594</v>
      </c>
      <c r="G343" s="7" t="s">
        <v>355</v>
      </c>
      <c r="H343" s="9">
        <v>72802.0</v>
      </c>
      <c r="I343" s="9">
        <v>0.0</v>
      </c>
      <c r="J343" s="9">
        <v>283.0</v>
      </c>
      <c r="K343" s="9">
        <v>46652.0</v>
      </c>
      <c r="L343" s="10">
        <v>1.5605333104690045</v>
      </c>
      <c r="M343" s="9">
        <v>1.5605333104690045</v>
      </c>
      <c r="N343" s="9">
        <v>28865.0</v>
      </c>
      <c r="O343" s="9">
        <v>28504.0</v>
      </c>
      <c r="P343" s="9">
        <v>4447.0</v>
      </c>
      <c r="Q343" s="9">
        <v>134.0</v>
      </c>
      <c r="R343" s="9">
        <v>12118.0</v>
      </c>
      <c r="S343" s="9">
        <v>7102.0</v>
      </c>
      <c r="T343" s="9">
        <v>1578.0</v>
      </c>
      <c r="U343" s="9">
        <v>1206.0</v>
      </c>
      <c r="V343" s="9">
        <v>0.0</v>
      </c>
      <c r="W343" s="9">
        <v>0.0</v>
      </c>
      <c r="X343" s="9">
        <v>0.0</v>
      </c>
      <c r="Y343" s="9">
        <v>0.0</v>
      </c>
      <c r="Z343" s="9">
        <v>0.0</v>
      </c>
      <c r="AA343" s="9">
        <v>0.0</v>
      </c>
      <c r="AB343" s="9">
        <v>0.0</v>
      </c>
      <c r="AC343" s="9">
        <v>0.0</v>
      </c>
      <c r="AD343" s="9"/>
      <c r="AE343" s="9" t="s">
        <v>9</v>
      </c>
    </row>
    <row r="344">
      <c r="A344" s="7" t="s">
        <v>1065</v>
      </c>
      <c r="B344" s="7" t="s">
        <v>1066</v>
      </c>
      <c r="C344" s="8">
        <v>46108.0</v>
      </c>
      <c r="D344" s="8">
        <v>46113.0</v>
      </c>
      <c r="E344" s="7" t="s">
        <v>416</v>
      </c>
      <c r="F344" s="7" t="s">
        <v>413</v>
      </c>
      <c r="G344" s="7" t="s">
        <v>355</v>
      </c>
      <c r="H344" s="9">
        <v>118886.0</v>
      </c>
      <c r="I344" s="9">
        <v>0.0</v>
      </c>
      <c r="J344" s="9">
        <v>326.0</v>
      </c>
      <c r="K344" s="9">
        <v>76959.0</v>
      </c>
      <c r="L344" s="10">
        <v>1.5447965799971413</v>
      </c>
      <c r="M344" s="9">
        <v>1.5447965799971413</v>
      </c>
      <c r="N344" s="9">
        <v>77983.0</v>
      </c>
      <c r="O344" s="9">
        <v>77085.0</v>
      </c>
      <c r="P344" s="9">
        <v>13603.0</v>
      </c>
      <c r="Q344" s="9">
        <v>197.0</v>
      </c>
      <c r="R344" s="9">
        <v>120.0</v>
      </c>
      <c r="S344" s="9">
        <v>120.0</v>
      </c>
      <c r="T344" s="9">
        <v>30.0</v>
      </c>
      <c r="U344" s="9">
        <v>27.0</v>
      </c>
      <c r="V344" s="9">
        <v>0.0</v>
      </c>
      <c r="W344" s="9">
        <v>0.0</v>
      </c>
      <c r="X344" s="9">
        <v>0.0</v>
      </c>
      <c r="Y344" s="9">
        <v>0.0</v>
      </c>
      <c r="Z344" s="9">
        <v>0.0</v>
      </c>
      <c r="AA344" s="9">
        <v>0.0</v>
      </c>
      <c r="AB344" s="9">
        <v>0.0</v>
      </c>
      <c r="AC344" s="9">
        <v>0.0</v>
      </c>
      <c r="AD344" s="9"/>
      <c r="AE344" s="9" t="s">
        <v>57</v>
      </c>
    </row>
    <row r="345">
      <c r="A345" s="7" t="s">
        <v>1067</v>
      </c>
      <c r="B345" s="7" t="s">
        <v>1068</v>
      </c>
      <c r="C345" s="8">
        <v>46108.0</v>
      </c>
      <c r="D345" s="8">
        <v>46115.0</v>
      </c>
      <c r="E345" s="7" t="s">
        <v>416</v>
      </c>
      <c r="F345" s="7" t="s">
        <v>365</v>
      </c>
      <c r="G345" s="7" t="s">
        <v>355</v>
      </c>
      <c r="H345" s="9">
        <v>136397.0</v>
      </c>
      <c r="I345" s="9">
        <v>0.0</v>
      </c>
      <c r="J345" s="9">
        <v>452.0</v>
      </c>
      <c r="K345" s="9">
        <v>85978.0</v>
      </c>
      <c r="L345" s="10">
        <v>1.586417455628184</v>
      </c>
      <c r="M345" s="9">
        <v>1.586417455628184</v>
      </c>
      <c r="N345" s="9">
        <v>86101.0</v>
      </c>
      <c r="O345" s="9">
        <v>85186.0</v>
      </c>
      <c r="P345" s="9">
        <v>16937.0</v>
      </c>
      <c r="Q345" s="9">
        <v>262.0</v>
      </c>
      <c r="R345" s="9">
        <v>173.0</v>
      </c>
      <c r="S345" s="9">
        <v>173.0</v>
      </c>
      <c r="T345" s="9">
        <v>51.0</v>
      </c>
      <c r="U345" s="9">
        <v>49.0</v>
      </c>
      <c r="V345" s="9">
        <v>0.0</v>
      </c>
      <c r="W345" s="9">
        <v>0.0</v>
      </c>
      <c r="X345" s="9">
        <v>0.0</v>
      </c>
      <c r="Y345" s="9">
        <v>0.0</v>
      </c>
      <c r="Z345" s="9">
        <v>0.0</v>
      </c>
      <c r="AA345" s="9">
        <v>0.0</v>
      </c>
      <c r="AB345" s="9">
        <v>0.0</v>
      </c>
      <c r="AC345" s="9">
        <v>0.0</v>
      </c>
      <c r="AD345" s="9"/>
      <c r="AE345" s="9" t="s">
        <v>9</v>
      </c>
    </row>
    <row r="346">
      <c r="A346" s="7" t="s">
        <v>1069</v>
      </c>
      <c r="B346" s="7" t="s">
        <v>1070</v>
      </c>
      <c r="C346" s="8">
        <v>46108.0</v>
      </c>
      <c r="D346" s="8">
        <v>46115.0</v>
      </c>
      <c r="E346" s="7" t="s">
        <v>416</v>
      </c>
      <c r="F346" s="7" t="s">
        <v>594</v>
      </c>
      <c r="G346" s="7" t="s">
        <v>355</v>
      </c>
      <c r="H346" s="9">
        <v>27190.0</v>
      </c>
      <c r="I346" s="9">
        <v>0.0</v>
      </c>
      <c r="J346" s="9">
        <v>120.0</v>
      </c>
      <c r="K346" s="9">
        <v>17667.0</v>
      </c>
      <c r="L346" s="10">
        <v>1.5390275655176318</v>
      </c>
      <c r="M346" s="9">
        <v>1.5390275655176318</v>
      </c>
      <c r="N346" s="9">
        <v>77902.0</v>
      </c>
      <c r="O346" s="9">
        <v>77005.0</v>
      </c>
      <c r="P346" s="9">
        <v>14042.0</v>
      </c>
      <c r="Q346" s="9">
        <v>91.0</v>
      </c>
      <c r="R346" s="9">
        <v>6065.0</v>
      </c>
      <c r="S346" s="9">
        <v>6065.0</v>
      </c>
      <c r="T346" s="9">
        <v>1439.0</v>
      </c>
      <c r="U346" s="9">
        <v>1095.0</v>
      </c>
      <c r="V346" s="9">
        <v>0.0</v>
      </c>
      <c r="W346" s="9">
        <v>0.0</v>
      </c>
      <c r="X346" s="9">
        <v>0.0</v>
      </c>
      <c r="Y346" s="9">
        <v>0.0</v>
      </c>
      <c r="Z346" s="9">
        <v>0.0</v>
      </c>
      <c r="AA346" s="9">
        <v>0.0</v>
      </c>
      <c r="AB346" s="9">
        <v>0.0</v>
      </c>
      <c r="AC346" s="9">
        <v>0.0</v>
      </c>
      <c r="AD346" s="9"/>
      <c r="AE346" s="9" t="s">
        <v>57</v>
      </c>
    </row>
    <row r="347">
      <c r="A347" s="7" t="s">
        <v>1071</v>
      </c>
      <c r="B347" s="7" t="s">
        <v>1072</v>
      </c>
      <c r="C347" s="8">
        <v>46107.0</v>
      </c>
      <c r="D347" s="8">
        <v>46128.0</v>
      </c>
      <c r="E347" s="7" t="s">
        <v>416</v>
      </c>
      <c r="F347" s="7" t="s">
        <v>417</v>
      </c>
      <c r="G347" s="7" t="s">
        <v>355</v>
      </c>
      <c r="H347" s="9">
        <v>2496251.0</v>
      </c>
      <c r="I347" s="9">
        <v>1228899.0</v>
      </c>
      <c r="J347" s="9">
        <v>7078.0</v>
      </c>
      <c r="K347" s="9">
        <v>14434.0</v>
      </c>
      <c r="L347" s="10">
        <v>10.908618539559374</v>
      </c>
      <c r="M347" s="9">
        <v>172.94242760149646</v>
      </c>
      <c r="N347" s="9">
        <v>15380.0</v>
      </c>
      <c r="O347" s="9">
        <v>15217.0</v>
      </c>
      <c r="P347" s="9">
        <v>3035.0</v>
      </c>
      <c r="Q347" s="9">
        <v>127.0</v>
      </c>
      <c r="R347" s="9">
        <v>25.0</v>
      </c>
      <c r="S347" s="9">
        <v>25.0</v>
      </c>
      <c r="T347" s="9">
        <v>22.0</v>
      </c>
      <c r="U347" s="9">
        <v>20.0</v>
      </c>
      <c r="V347" s="9">
        <v>8886.0</v>
      </c>
      <c r="W347" s="9">
        <v>8886.0</v>
      </c>
      <c r="X347" s="9">
        <v>7917.0</v>
      </c>
      <c r="Y347" s="9">
        <v>3604.0</v>
      </c>
      <c r="Z347" s="9">
        <v>25.0</v>
      </c>
      <c r="AA347" s="9">
        <v>0.0</v>
      </c>
      <c r="AB347" s="9">
        <v>0.0</v>
      </c>
      <c r="AC347" s="9">
        <v>0.0</v>
      </c>
      <c r="AD347" s="9"/>
      <c r="AE347" s="9" t="s">
        <v>9</v>
      </c>
    </row>
    <row r="348">
      <c r="A348" s="7" t="s">
        <v>1073</v>
      </c>
      <c r="B348" s="7" t="s">
        <v>1074</v>
      </c>
      <c r="C348" s="8">
        <v>46107.0</v>
      </c>
      <c r="D348" s="8">
        <v>46112.0</v>
      </c>
      <c r="E348" s="7" t="s">
        <v>416</v>
      </c>
      <c r="F348" s="7" t="s">
        <v>354</v>
      </c>
      <c r="G348" s="7" t="s">
        <v>355</v>
      </c>
      <c r="H348" s="9">
        <v>342476.0</v>
      </c>
      <c r="I348" s="9">
        <v>0.0</v>
      </c>
      <c r="J348" s="9">
        <v>323.0</v>
      </c>
      <c r="K348" s="9">
        <v>273914.0</v>
      </c>
      <c r="L348" s="10">
        <v>1.2503048402053198</v>
      </c>
      <c r="M348" s="9">
        <v>1.2503048402053198</v>
      </c>
      <c r="N348" s="9">
        <v>6076.0</v>
      </c>
      <c r="O348" s="9">
        <v>6005.0</v>
      </c>
      <c r="P348" s="9">
        <v>1428.0</v>
      </c>
      <c r="Q348" s="9">
        <v>28.0</v>
      </c>
      <c r="R348" s="9">
        <v>13.0</v>
      </c>
      <c r="S348" s="9">
        <v>13.0</v>
      </c>
      <c r="T348" s="9">
        <v>4.0</v>
      </c>
      <c r="U348" s="9">
        <v>4.0</v>
      </c>
      <c r="V348" s="9">
        <v>0.0</v>
      </c>
      <c r="W348" s="9">
        <v>0.0</v>
      </c>
      <c r="X348" s="9">
        <v>0.0</v>
      </c>
      <c r="Y348" s="9">
        <v>0.0</v>
      </c>
      <c r="Z348" s="9">
        <v>0.0</v>
      </c>
      <c r="AA348" s="9">
        <v>0.0</v>
      </c>
      <c r="AB348" s="9">
        <v>0.0</v>
      </c>
      <c r="AC348" s="9">
        <v>0.0</v>
      </c>
      <c r="AD348" s="9"/>
      <c r="AE348" s="9" t="s">
        <v>9</v>
      </c>
    </row>
    <row r="349">
      <c r="A349" s="7" t="s">
        <v>1075</v>
      </c>
      <c r="B349" s="7" t="s">
        <v>1076</v>
      </c>
      <c r="C349" s="8">
        <v>46108.0</v>
      </c>
      <c r="D349" s="8">
        <v>46112.0</v>
      </c>
      <c r="E349" s="7" t="s">
        <v>416</v>
      </c>
      <c r="F349" s="7" t="s">
        <v>783</v>
      </c>
      <c r="G349" s="7" t="s">
        <v>355</v>
      </c>
      <c r="H349" s="9">
        <v>620593.0</v>
      </c>
      <c r="I349" s="9">
        <v>0.0</v>
      </c>
      <c r="J349" s="9">
        <v>749.0</v>
      </c>
      <c r="K349" s="9">
        <v>299904.0</v>
      </c>
      <c r="L349" s="10">
        <v>2.0693055110968843</v>
      </c>
      <c r="M349" s="9">
        <v>2.0693055110968843</v>
      </c>
      <c r="N349" s="9">
        <v>14026.0</v>
      </c>
      <c r="O349" s="9">
        <v>13776.0</v>
      </c>
      <c r="P349" s="9">
        <v>2629.0</v>
      </c>
      <c r="Q349" s="9">
        <v>37.0</v>
      </c>
      <c r="R349" s="9">
        <v>23.0</v>
      </c>
      <c r="S349" s="9">
        <v>23.0</v>
      </c>
      <c r="T349" s="9">
        <v>10.0</v>
      </c>
      <c r="U349" s="9">
        <v>9.0</v>
      </c>
      <c r="V349" s="9">
        <v>0.0</v>
      </c>
      <c r="W349" s="9">
        <v>0.0</v>
      </c>
      <c r="X349" s="9">
        <v>0.0</v>
      </c>
      <c r="Y349" s="9">
        <v>0.0</v>
      </c>
      <c r="Z349" s="9">
        <v>0.0</v>
      </c>
      <c r="AA349" s="9">
        <v>0.0</v>
      </c>
      <c r="AB349" s="9">
        <v>0.0</v>
      </c>
      <c r="AC349" s="9">
        <v>0.0</v>
      </c>
      <c r="AD349" s="9"/>
      <c r="AE349" s="9" t="s">
        <v>9</v>
      </c>
    </row>
    <row r="350">
      <c r="A350" s="7" t="s">
        <v>1077</v>
      </c>
      <c r="B350" s="7" t="s">
        <v>1078</v>
      </c>
      <c r="C350" s="8">
        <v>46134.0</v>
      </c>
      <c r="D350" s="8">
        <v>46149.0</v>
      </c>
      <c r="E350" s="7" t="s">
        <v>353</v>
      </c>
      <c r="F350" s="7" t="s">
        <v>378</v>
      </c>
      <c r="G350" s="7" t="s">
        <v>355</v>
      </c>
      <c r="H350" s="9">
        <v>5900871.0</v>
      </c>
      <c r="I350" s="9">
        <v>1473069.0</v>
      </c>
      <c r="J350" s="9">
        <v>6066.0</v>
      </c>
      <c r="K350" s="9">
        <v>678481.0</v>
      </c>
      <c r="L350" s="10">
        <v>1.96719878670147</v>
      </c>
      <c r="M350" s="9">
        <v>8.69717943464887</v>
      </c>
      <c r="N350" s="9">
        <v>30001.0</v>
      </c>
      <c r="O350" s="9">
        <v>29261.0</v>
      </c>
      <c r="P350" s="9">
        <v>7713.0</v>
      </c>
      <c r="Q350" s="9">
        <v>539.0</v>
      </c>
      <c r="R350" s="9">
        <v>0.0</v>
      </c>
      <c r="S350" s="9">
        <v>0.0</v>
      </c>
      <c r="T350" s="9">
        <v>0.0</v>
      </c>
      <c r="U350" s="9">
        <v>0.0</v>
      </c>
      <c r="V350" s="9">
        <v>0.0</v>
      </c>
      <c r="W350" s="9">
        <v>0.0</v>
      </c>
      <c r="X350" s="9">
        <v>0.0</v>
      </c>
      <c r="Y350" s="9">
        <v>0.0</v>
      </c>
      <c r="Z350" s="9">
        <v>0.0</v>
      </c>
      <c r="AA350" s="9">
        <v>82.0</v>
      </c>
      <c r="AB350" s="9">
        <v>72.0</v>
      </c>
      <c r="AC350" s="9">
        <v>10.0</v>
      </c>
      <c r="AD350" s="11" t="s">
        <v>58</v>
      </c>
      <c r="AE350" s="9" t="s">
        <v>9</v>
      </c>
    </row>
    <row r="351">
      <c r="A351" s="7" t="s">
        <v>1079</v>
      </c>
      <c r="B351" s="7" t="s">
        <v>1080</v>
      </c>
      <c r="C351" s="8">
        <v>46108.0</v>
      </c>
      <c r="D351" s="8">
        <v>46115.0</v>
      </c>
      <c r="E351" s="7" t="s">
        <v>503</v>
      </c>
      <c r="F351" s="7" t="s">
        <v>783</v>
      </c>
      <c r="G351" s="7" t="s">
        <v>355</v>
      </c>
      <c r="H351" s="9">
        <v>1047964.0</v>
      </c>
      <c r="I351" s="9">
        <v>0.0</v>
      </c>
      <c r="J351" s="9">
        <v>1593.0</v>
      </c>
      <c r="K351" s="9">
        <v>1168828.0</v>
      </c>
      <c r="L351" s="10">
        <v>0.8965938529877792</v>
      </c>
      <c r="M351" s="9">
        <v>0.8965938529877792</v>
      </c>
      <c r="N351" s="9">
        <v>0.0</v>
      </c>
      <c r="O351" s="9">
        <v>0.0</v>
      </c>
      <c r="P351" s="9">
        <v>0.0</v>
      </c>
      <c r="Q351" s="9">
        <v>0.0</v>
      </c>
      <c r="R351" s="9">
        <v>0.0</v>
      </c>
      <c r="S351" s="9">
        <v>0.0</v>
      </c>
      <c r="T351" s="9">
        <v>0.0</v>
      </c>
      <c r="U351" s="9">
        <v>0.0</v>
      </c>
      <c r="V351" s="9">
        <v>0.0</v>
      </c>
      <c r="W351" s="9">
        <v>0.0</v>
      </c>
      <c r="X351" s="9">
        <v>0.0</v>
      </c>
      <c r="Y351" s="9">
        <v>0.0</v>
      </c>
      <c r="Z351" s="9">
        <v>0.0</v>
      </c>
      <c r="AA351" s="9">
        <v>0.0</v>
      </c>
      <c r="AB351" s="9">
        <v>0.0</v>
      </c>
      <c r="AC351" s="9">
        <v>0.0</v>
      </c>
      <c r="AD351" s="9"/>
      <c r="AE351" s="9"/>
    </row>
    <row r="352">
      <c r="A352" s="7" t="s">
        <v>1081</v>
      </c>
      <c r="B352" s="7" t="s">
        <v>1082</v>
      </c>
      <c r="C352" s="8">
        <v>46108.0</v>
      </c>
      <c r="D352" s="8">
        <v>46111.0</v>
      </c>
      <c r="E352" s="7" t="s">
        <v>364</v>
      </c>
      <c r="F352" s="7" t="s">
        <v>365</v>
      </c>
      <c r="G352" s="7" t="s">
        <v>355</v>
      </c>
      <c r="H352" s="9">
        <v>79983.0</v>
      </c>
      <c r="I352" s="9">
        <v>0.0</v>
      </c>
      <c r="J352" s="9">
        <v>691.0</v>
      </c>
      <c r="K352" s="9">
        <v>59029.0</v>
      </c>
      <c r="L352" s="10">
        <v>1.3549780616307239</v>
      </c>
      <c r="M352" s="9">
        <v>1.3549780616307239</v>
      </c>
      <c r="N352" s="9">
        <v>0.0</v>
      </c>
      <c r="O352" s="9">
        <v>0.0</v>
      </c>
      <c r="P352" s="9">
        <v>0.0</v>
      </c>
      <c r="Q352" s="9">
        <v>0.0</v>
      </c>
      <c r="R352" s="9">
        <v>0.0</v>
      </c>
      <c r="S352" s="9">
        <v>0.0</v>
      </c>
      <c r="T352" s="9">
        <v>0.0</v>
      </c>
      <c r="U352" s="9">
        <v>0.0</v>
      </c>
      <c r="V352" s="9">
        <v>0.0</v>
      </c>
      <c r="W352" s="9">
        <v>0.0</v>
      </c>
      <c r="X352" s="9">
        <v>0.0</v>
      </c>
      <c r="Y352" s="9">
        <v>0.0</v>
      </c>
      <c r="Z352" s="9">
        <v>0.0</v>
      </c>
      <c r="AA352" s="9">
        <v>0.0</v>
      </c>
      <c r="AB352" s="9">
        <v>0.0</v>
      </c>
      <c r="AC352" s="9">
        <v>0.0</v>
      </c>
      <c r="AD352" s="9"/>
      <c r="AE352" s="9"/>
    </row>
    <row r="353">
      <c r="A353" s="7" t="s">
        <v>1083</v>
      </c>
      <c r="B353" s="7" t="s">
        <v>1084</v>
      </c>
      <c r="C353" s="8">
        <v>46108.0</v>
      </c>
      <c r="D353" s="8">
        <v>46109.0</v>
      </c>
      <c r="E353" s="7" t="s">
        <v>404</v>
      </c>
      <c r="F353" s="7" t="s">
        <v>405</v>
      </c>
      <c r="G353" s="7" t="s">
        <v>355</v>
      </c>
      <c r="H353" s="9">
        <v>1352340.0</v>
      </c>
      <c r="I353" s="9">
        <v>24682.0</v>
      </c>
      <c r="J353" s="9">
        <v>2873.0</v>
      </c>
      <c r="K353" s="9">
        <v>646488.0</v>
      </c>
      <c r="L353" s="10">
        <v>2.0918253703084977</v>
      </c>
      <c r="M353" s="9">
        <v>2.0918253703084977</v>
      </c>
      <c r="N353" s="9">
        <v>0.0</v>
      </c>
      <c r="O353" s="9">
        <v>0.0</v>
      </c>
      <c r="P353" s="9">
        <v>0.0</v>
      </c>
      <c r="Q353" s="9">
        <v>0.0</v>
      </c>
      <c r="R353" s="9">
        <v>0.0</v>
      </c>
      <c r="S353" s="9">
        <v>0.0</v>
      </c>
      <c r="T353" s="9">
        <v>0.0</v>
      </c>
      <c r="U353" s="9">
        <v>0.0</v>
      </c>
      <c r="V353" s="9">
        <v>0.0</v>
      </c>
      <c r="W353" s="9">
        <v>0.0</v>
      </c>
      <c r="X353" s="9">
        <v>0.0</v>
      </c>
      <c r="Y353" s="9">
        <v>0.0</v>
      </c>
      <c r="Z353" s="9">
        <v>0.0</v>
      </c>
      <c r="AA353" s="9">
        <v>0.0</v>
      </c>
      <c r="AB353" s="9">
        <v>0.0</v>
      </c>
      <c r="AC353" s="9">
        <v>0.0</v>
      </c>
      <c r="AD353" s="9"/>
      <c r="AE353" s="9"/>
    </row>
    <row r="354">
      <c r="A354" s="7" t="s">
        <v>1085</v>
      </c>
      <c r="B354" s="7" t="s">
        <v>1086</v>
      </c>
      <c r="C354" s="8">
        <v>46108.0</v>
      </c>
      <c r="D354" s="8">
        <v>46112.0</v>
      </c>
      <c r="E354" s="7" t="s">
        <v>364</v>
      </c>
      <c r="F354" s="7" t="s">
        <v>365</v>
      </c>
      <c r="G354" s="7" t="s">
        <v>355</v>
      </c>
      <c r="H354" s="9">
        <v>56294.0</v>
      </c>
      <c r="I354" s="9">
        <v>0.0</v>
      </c>
      <c r="J354" s="9">
        <v>4.0</v>
      </c>
      <c r="K354" s="9">
        <v>44806.0</v>
      </c>
      <c r="L354" s="10">
        <v>1.2563942329152347</v>
      </c>
      <c r="M354" s="9">
        <v>1.2563942329152347</v>
      </c>
      <c r="N354" s="9">
        <v>108304.0</v>
      </c>
      <c r="O354" s="9">
        <v>106905.0</v>
      </c>
      <c r="P354" s="9">
        <v>39728.0</v>
      </c>
      <c r="Q354" s="9">
        <v>428.0</v>
      </c>
      <c r="R354" s="9">
        <v>0.0</v>
      </c>
      <c r="S354" s="9">
        <v>0.0</v>
      </c>
      <c r="T354" s="9">
        <v>0.0</v>
      </c>
      <c r="U354" s="9">
        <v>0.0</v>
      </c>
      <c r="V354" s="9">
        <v>0.0</v>
      </c>
      <c r="W354" s="9">
        <v>0.0</v>
      </c>
      <c r="X354" s="9">
        <v>0.0</v>
      </c>
      <c r="Y354" s="9">
        <v>0.0</v>
      </c>
      <c r="Z354" s="9">
        <v>0.0</v>
      </c>
      <c r="AA354" s="9">
        <v>0.0</v>
      </c>
      <c r="AB354" s="9">
        <v>0.0</v>
      </c>
      <c r="AC354" s="9">
        <v>0.0</v>
      </c>
      <c r="AD354" s="9"/>
      <c r="AE354" s="9" t="s">
        <v>9</v>
      </c>
    </row>
    <row r="355">
      <c r="A355" s="7" t="s">
        <v>1087</v>
      </c>
      <c r="B355" s="7" t="s">
        <v>1088</v>
      </c>
      <c r="C355" s="8">
        <v>46108.0</v>
      </c>
      <c r="D355" s="8">
        <v>46131.0</v>
      </c>
      <c r="E355" s="7" t="s">
        <v>416</v>
      </c>
      <c r="F355" s="7" t="s">
        <v>417</v>
      </c>
      <c r="G355" s="7" t="s">
        <v>355</v>
      </c>
      <c r="H355" s="9">
        <v>5946233.0</v>
      </c>
      <c r="I355" s="9">
        <v>2879887.0</v>
      </c>
      <c r="J355" s="9">
        <v>6897.0</v>
      </c>
      <c r="K355" s="9">
        <v>602363.0</v>
      </c>
      <c r="L355" s="10">
        <v>1.478671498747433</v>
      </c>
      <c r="M355" s="9">
        <v>9.871511032384127</v>
      </c>
      <c r="N355" s="9">
        <v>0.0</v>
      </c>
      <c r="O355" s="9">
        <v>0.0</v>
      </c>
      <c r="P355" s="9">
        <v>0.0</v>
      </c>
      <c r="Q355" s="9">
        <v>0.0</v>
      </c>
      <c r="R355" s="9">
        <v>0.0</v>
      </c>
      <c r="S355" s="9">
        <v>0.0</v>
      </c>
      <c r="T355" s="9">
        <v>0.0</v>
      </c>
      <c r="U355" s="9">
        <v>0.0</v>
      </c>
      <c r="V355" s="9">
        <v>0.0</v>
      </c>
      <c r="W355" s="9">
        <v>0.0</v>
      </c>
      <c r="X355" s="9">
        <v>0.0</v>
      </c>
      <c r="Y355" s="9">
        <v>0.0</v>
      </c>
      <c r="Z355" s="9">
        <v>0.0</v>
      </c>
      <c r="AA355" s="9">
        <v>0.0</v>
      </c>
      <c r="AB355" s="9">
        <v>0.0</v>
      </c>
      <c r="AC355" s="9">
        <v>0.0</v>
      </c>
      <c r="AD355" s="9"/>
      <c r="AE355" s="9"/>
    </row>
    <row r="356">
      <c r="A356" s="7" t="s">
        <v>1089</v>
      </c>
      <c r="B356" s="7" t="s">
        <v>1090</v>
      </c>
      <c r="C356" s="8">
        <v>46108.0</v>
      </c>
      <c r="D356" s="8">
        <v>46112.0</v>
      </c>
      <c r="E356" s="7" t="s">
        <v>364</v>
      </c>
      <c r="F356" s="7" t="s">
        <v>365</v>
      </c>
      <c r="G356" s="7" t="s">
        <v>355</v>
      </c>
      <c r="H356" s="9">
        <v>812015.0</v>
      </c>
      <c r="I356" s="9">
        <v>0.0</v>
      </c>
      <c r="J356" s="9">
        <v>1339.0</v>
      </c>
      <c r="K356" s="9">
        <v>531451.0</v>
      </c>
      <c r="L356" s="10">
        <v>1.5279207302272457</v>
      </c>
      <c r="M356" s="9">
        <v>1.5279207302272457</v>
      </c>
      <c r="N356" s="9">
        <v>146476.0</v>
      </c>
      <c r="O356" s="9">
        <v>145059.0</v>
      </c>
      <c r="P356" s="9">
        <v>57719.0</v>
      </c>
      <c r="Q356" s="9">
        <v>252.0</v>
      </c>
      <c r="R356" s="9">
        <v>0.0</v>
      </c>
      <c r="S356" s="9">
        <v>0.0</v>
      </c>
      <c r="T356" s="9">
        <v>0.0</v>
      </c>
      <c r="U356" s="9">
        <v>0.0</v>
      </c>
      <c r="V356" s="9">
        <v>0.0</v>
      </c>
      <c r="W356" s="9">
        <v>0.0</v>
      </c>
      <c r="X356" s="9">
        <v>0.0</v>
      </c>
      <c r="Y356" s="9">
        <v>0.0</v>
      </c>
      <c r="Z356" s="9">
        <v>0.0</v>
      </c>
      <c r="AA356" s="9">
        <v>0.0</v>
      </c>
      <c r="AB356" s="9">
        <v>0.0</v>
      </c>
      <c r="AC356" s="9">
        <v>0.0</v>
      </c>
      <c r="AD356" s="9"/>
      <c r="AE356" s="9" t="s">
        <v>9</v>
      </c>
    </row>
    <row r="357">
      <c r="A357" s="7" t="s">
        <v>1091</v>
      </c>
      <c r="B357" s="7" t="s">
        <v>1092</v>
      </c>
      <c r="C357" s="8">
        <v>46111.0</v>
      </c>
      <c r="D357" s="8">
        <v>46142.0</v>
      </c>
      <c r="E357" s="7" t="s">
        <v>358</v>
      </c>
      <c r="F357" s="7" t="s">
        <v>466</v>
      </c>
      <c r="G357" s="7" t="s">
        <v>355</v>
      </c>
      <c r="H357" s="9">
        <v>3336722.0</v>
      </c>
      <c r="I357" s="9">
        <v>573781.0</v>
      </c>
      <c r="J357" s="9">
        <v>9304.0</v>
      </c>
      <c r="K357" s="9">
        <v>1424069.0</v>
      </c>
      <c r="L357" s="10">
        <v>2.343090117122134</v>
      </c>
      <c r="M357" s="9">
        <v>2.343090117122134</v>
      </c>
      <c r="N357" s="9">
        <v>605823.0</v>
      </c>
      <c r="O357" s="9">
        <v>599869.0</v>
      </c>
      <c r="P357" s="9">
        <v>125555.0</v>
      </c>
      <c r="Q357" s="9">
        <v>1283.0</v>
      </c>
      <c r="R357" s="9">
        <v>0.0</v>
      </c>
      <c r="S357" s="9">
        <v>0.0</v>
      </c>
      <c r="T357" s="9">
        <v>0.0</v>
      </c>
      <c r="U357" s="9">
        <v>0.0</v>
      </c>
      <c r="V357" s="9">
        <v>0.0</v>
      </c>
      <c r="W357" s="9">
        <v>0.0</v>
      </c>
      <c r="X357" s="9">
        <v>0.0</v>
      </c>
      <c r="Y357" s="9">
        <v>0.0</v>
      </c>
      <c r="Z357" s="9">
        <v>0.0</v>
      </c>
      <c r="AA357" s="9">
        <v>0.0</v>
      </c>
      <c r="AB357" s="9">
        <v>0.0</v>
      </c>
      <c r="AC357" s="9">
        <v>0.0</v>
      </c>
      <c r="AD357" s="9"/>
      <c r="AE357" s="9" t="s">
        <v>9</v>
      </c>
    </row>
    <row r="358">
      <c r="A358" s="7" t="s">
        <v>1093</v>
      </c>
      <c r="B358" s="7" t="s">
        <v>1094</v>
      </c>
      <c r="C358" s="8">
        <v>46134.0</v>
      </c>
      <c r="D358" s="8">
        <v>46134.0</v>
      </c>
      <c r="E358" s="7" t="s">
        <v>416</v>
      </c>
      <c r="F358" s="7" t="s">
        <v>430</v>
      </c>
      <c r="G358" s="7" t="s">
        <v>355</v>
      </c>
      <c r="H358" s="9">
        <v>0.0</v>
      </c>
      <c r="I358" s="9">
        <v>0.0</v>
      </c>
      <c r="J358" s="9">
        <v>0.0</v>
      </c>
      <c r="K358" s="9">
        <v>0.0</v>
      </c>
      <c r="L358" s="10">
        <v>0.0</v>
      </c>
      <c r="M358" s="9">
        <v>0.0</v>
      </c>
      <c r="N358" s="9">
        <v>24640.0</v>
      </c>
      <c r="O358" s="9">
        <v>24403.0</v>
      </c>
      <c r="P358" s="9">
        <v>7338.0</v>
      </c>
      <c r="Q358" s="9">
        <v>153.0</v>
      </c>
      <c r="R358" s="9">
        <v>0.0</v>
      </c>
      <c r="S358" s="9">
        <v>0.0</v>
      </c>
      <c r="T358" s="9">
        <v>0.0</v>
      </c>
      <c r="U358" s="9">
        <v>0.0</v>
      </c>
      <c r="V358" s="9">
        <v>0.0</v>
      </c>
      <c r="W358" s="9">
        <v>0.0</v>
      </c>
      <c r="X358" s="9">
        <v>0.0</v>
      </c>
      <c r="Y358" s="9">
        <v>0.0</v>
      </c>
      <c r="Z358" s="9">
        <v>0.0</v>
      </c>
      <c r="AA358" s="9">
        <v>0.0</v>
      </c>
      <c r="AB358" s="9">
        <v>0.0</v>
      </c>
      <c r="AC358" s="9">
        <v>0.0</v>
      </c>
      <c r="AD358" s="9"/>
      <c r="AE358" s="9" t="s">
        <v>9</v>
      </c>
    </row>
    <row r="359">
      <c r="A359" s="7" t="s">
        <v>1095</v>
      </c>
      <c r="B359" s="7" t="s">
        <v>1096</v>
      </c>
      <c r="C359" s="8">
        <v>46113.0</v>
      </c>
      <c r="D359" s="8">
        <v>46113.0</v>
      </c>
      <c r="E359" s="7" t="s">
        <v>416</v>
      </c>
      <c r="F359" s="7" t="s">
        <v>430</v>
      </c>
      <c r="G359" s="7" t="s">
        <v>355</v>
      </c>
      <c r="H359" s="9">
        <v>0.0</v>
      </c>
      <c r="I359" s="9">
        <v>0.0</v>
      </c>
      <c r="J359" s="9">
        <v>0.0</v>
      </c>
      <c r="K359" s="9">
        <v>0.0</v>
      </c>
      <c r="L359" s="10">
        <v>0.0</v>
      </c>
      <c r="M359" s="9">
        <v>0.0</v>
      </c>
      <c r="N359" s="9">
        <v>124481.0</v>
      </c>
      <c r="O359" s="9">
        <v>123079.0</v>
      </c>
      <c r="P359" s="9">
        <v>23846.0</v>
      </c>
      <c r="Q359" s="9">
        <v>51.0</v>
      </c>
      <c r="R359" s="9">
        <v>0.0</v>
      </c>
      <c r="S359" s="9">
        <v>0.0</v>
      </c>
      <c r="T359" s="9">
        <v>0.0</v>
      </c>
      <c r="U359" s="9">
        <v>0.0</v>
      </c>
      <c r="V359" s="9">
        <v>0.0</v>
      </c>
      <c r="W359" s="9">
        <v>0.0</v>
      </c>
      <c r="X359" s="9">
        <v>0.0</v>
      </c>
      <c r="Y359" s="9">
        <v>0.0</v>
      </c>
      <c r="Z359" s="9">
        <v>0.0</v>
      </c>
      <c r="AA359" s="9">
        <v>0.0</v>
      </c>
      <c r="AB359" s="9">
        <v>0.0</v>
      </c>
      <c r="AC359" s="9">
        <v>0.0</v>
      </c>
      <c r="AD359" s="9"/>
      <c r="AE359" s="9" t="s">
        <v>9</v>
      </c>
    </row>
    <row r="360">
      <c r="A360" s="7" t="s">
        <v>1097</v>
      </c>
      <c r="B360" s="7" t="s">
        <v>1098</v>
      </c>
      <c r="C360" s="8">
        <v>46122.0</v>
      </c>
      <c r="D360" s="8">
        <v>46178.0</v>
      </c>
      <c r="E360" s="7" t="s">
        <v>364</v>
      </c>
      <c r="F360" s="7" t="s">
        <v>365</v>
      </c>
      <c r="G360" s="7" t="s">
        <v>355</v>
      </c>
      <c r="H360" s="9">
        <v>0.0</v>
      </c>
      <c r="I360" s="9">
        <v>0.0</v>
      </c>
      <c r="J360" s="9">
        <v>0.0</v>
      </c>
      <c r="K360" s="9">
        <v>0.0</v>
      </c>
      <c r="L360" s="10">
        <v>0.0</v>
      </c>
      <c r="M360" s="9">
        <v>0.0</v>
      </c>
      <c r="N360" s="9">
        <v>29655.0</v>
      </c>
      <c r="O360" s="9">
        <v>29504.0</v>
      </c>
      <c r="P360" s="9">
        <v>15027.0</v>
      </c>
      <c r="Q360" s="9">
        <v>7221.0</v>
      </c>
      <c r="R360" s="9">
        <v>0.0</v>
      </c>
      <c r="S360" s="9">
        <v>0.0</v>
      </c>
      <c r="T360" s="9">
        <v>0.0</v>
      </c>
      <c r="U360" s="9">
        <v>0.0</v>
      </c>
      <c r="V360" s="9">
        <v>0.0</v>
      </c>
      <c r="W360" s="9">
        <v>0.0</v>
      </c>
      <c r="X360" s="9">
        <v>0.0</v>
      </c>
      <c r="Y360" s="9">
        <v>0.0</v>
      </c>
      <c r="Z360" s="9">
        <v>0.0</v>
      </c>
      <c r="AA360" s="9">
        <v>0.0</v>
      </c>
      <c r="AB360" s="9">
        <v>0.0</v>
      </c>
      <c r="AC360" s="9">
        <v>0.0</v>
      </c>
      <c r="AD360" s="9"/>
      <c r="AE360" s="9" t="s">
        <v>9</v>
      </c>
    </row>
    <row r="361">
      <c r="A361" s="7" t="s">
        <v>1099</v>
      </c>
      <c r="B361" s="7" t="s">
        <v>1100</v>
      </c>
      <c r="C361" s="8">
        <v>46112.0</v>
      </c>
      <c r="D361" s="8">
        <v>46119.0</v>
      </c>
      <c r="E361" s="7" t="s">
        <v>416</v>
      </c>
      <c r="F361" s="7" t="s">
        <v>430</v>
      </c>
      <c r="G361" s="7" t="s">
        <v>355</v>
      </c>
      <c r="H361" s="9">
        <v>350616.0</v>
      </c>
      <c r="I361" s="9">
        <v>0.0</v>
      </c>
      <c r="J361" s="9">
        <v>157.0</v>
      </c>
      <c r="K361" s="9">
        <v>796610.0</v>
      </c>
      <c r="L361" s="10">
        <v>0.4401350723691643</v>
      </c>
      <c r="M361" s="9">
        <v>0.4401350723691643</v>
      </c>
      <c r="N361" s="9">
        <v>0.0</v>
      </c>
      <c r="O361" s="9">
        <v>0.0</v>
      </c>
      <c r="P361" s="9">
        <v>0.0</v>
      </c>
      <c r="Q361" s="9">
        <v>0.0</v>
      </c>
      <c r="R361" s="9">
        <v>0.0</v>
      </c>
      <c r="S361" s="9">
        <v>0.0</v>
      </c>
      <c r="T361" s="9">
        <v>0.0</v>
      </c>
      <c r="U361" s="9">
        <v>0.0</v>
      </c>
      <c r="V361" s="9">
        <v>0.0</v>
      </c>
      <c r="W361" s="9">
        <v>0.0</v>
      </c>
      <c r="X361" s="9">
        <v>0.0</v>
      </c>
      <c r="Y361" s="9">
        <v>0.0</v>
      </c>
      <c r="Z361" s="9">
        <v>0.0</v>
      </c>
      <c r="AA361" s="9">
        <v>0.0</v>
      </c>
      <c r="AB361" s="9">
        <v>0.0</v>
      </c>
      <c r="AC361" s="9">
        <v>0.0</v>
      </c>
      <c r="AD361" s="9"/>
      <c r="AE361" s="9"/>
    </row>
    <row r="362">
      <c r="A362" s="7" t="s">
        <v>1101</v>
      </c>
      <c r="B362" s="7" t="s">
        <v>1102</v>
      </c>
      <c r="C362" s="8">
        <v>46120.0</v>
      </c>
      <c r="D362" s="8">
        <v>46136.0</v>
      </c>
      <c r="E362" s="7" t="s">
        <v>353</v>
      </c>
      <c r="F362" s="7" t="s">
        <v>378</v>
      </c>
      <c r="G362" s="7" t="s">
        <v>355</v>
      </c>
      <c r="H362" s="9">
        <v>1.3340048E7</v>
      </c>
      <c r="I362" s="9">
        <v>1475583.0</v>
      </c>
      <c r="J362" s="9">
        <v>25989.0</v>
      </c>
      <c r="K362" s="9">
        <v>1558449.0</v>
      </c>
      <c r="L362" s="10">
        <v>2.237729306509228</v>
      </c>
      <c r="M362" s="9">
        <v>8.559823260177266</v>
      </c>
      <c r="N362" s="9">
        <v>213890.0</v>
      </c>
      <c r="O362" s="9">
        <v>211961.0</v>
      </c>
      <c r="P362" s="9">
        <v>62800.0</v>
      </c>
      <c r="Q362" s="9">
        <v>968.0</v>
      </c>
      <c r="R362" s="9">
        <v>0.0</v>
      </c>
      <c r="S362" s="9">
        <v>0.0</v>
      </c>
      <c r="T362" s="9">
        <v>0.0</v>
      </c>
      <c r="U362" s="9">
        <v>0.0</v>
      </c>
      <c r="V362" s="9">
        <v>0.0</v>
      </c>
      <c r="W362" s="9">
        <v>0.0</v>
      </c>
      <c r="X362" s="9">
        <v>0.0</v>
      </c>
      <c r="Y362" s="9">
        <v>0.0</v>
      </c>
      <c r="Z362" s="9">
        <v>0.0</v>
      </c>
      <c r="AA362" s="9">
        <v>0.0</v>
      </c>
      <c r="AB362" s="9">
        <v>0.0</v>
      </c>
      <c r="AC362" s="9">
        <v>0.0</v>
      </c>
      <c r="AD362" s="11" t="s">
        <v>59</v>
      </c>
      <c r="AE362" s="9" t="s">
        <v>9</v>
      </c>
    </row>
    <row r="363">
      <c r="A363" s="7" t="s">
        <v>1103</v>
      </c>
      <c r="B363" s="7" t="s">
        <v>1104</v>
      </c>
      <c r="C363" s="8">
        <v>46113.0</v>
      </c>
      <c r="D363" s="8">
        <v>46134.0</v>
      </c>
      <c r="E363" s="7" t="s">
        <v>416</v>
      </c>
      <c r="F363" s="7" t="s">
        <v>417</v>
      </c>
      <c r="G363" s="7" t="s">
        <v>355</v>
      </c>
      <c r="H363" s="9">
        <v>3989841.0</v>
      </c>
      <c r="I363" s="9">
        <v>377550.0</v>
      </c>
      <c r="J363" s="9">
        <v>24623.0</v>
      </c>
      <c r="K363" s="9">
        <v>82597.0</v>
      </c>
      <c r="L363" s="10">
        <v>27.26338729009528</v>
      </c>
      <c r="M363" s="9">
        <v>48.304914222066174</v>
      </c>
      <c r="N363" s="9">
        <v>338257.0</v>
      </c>
      <c r="O363" s="9">
        <v>334620.0</v>
      </c>
      <c r="P363" s="9">
        <v>43211.0</v>
      </c>
      <c r="Q363" s="9">
        <v>1036.0</v>
      </c>
      <c r="R363" s="9">
        <v>19005.0</v>
      </c>
      <c r="S363" s="9">
        <v>17059.0</v>
      </c>
      <c r="T363" s="9">
        <v>3803.0</v>
      </c>
      <c r="U363" s="9">
        <v>2760.0</v>
      </c>
      <c r="V363" s="9">
        <v>92895.0</v>
      </c>
      <c r="W363" s="9">
        <v>92895.0</v>
      </c>
      <c r="X363" s="9">
        <v>83564.0</v>
      </c>
      <c r="Y363" s="9">
        <v>35517.0</v>
      </c>
      <c r="Z363" s="9">
        <v>192.0</v>
      </c>
      <c r="AA363" s="9">
        <v>0.0</v>
      </c>
      <c r="AB363" s="9">
        <v>0.0</v>
      </c>
      <c r="AC363" s="9">
        <v>0.0</v>
      </c>
      <c r="AD363" s="11" t="s">
        <v>60</v>
      </c>
      <c r="AE363" s="9" t="s">
        <v>9</v>
      </c>
    </row>
    <row r="364">
      <c r="A364" s="7" t="s">
        <v>1105</v>
      </c>
      <c r="B364" s="7" t="s">
        <v>1106</v>
      </c>
      <c r="C364" s="8">
        <v>46118.0</v>
      </c>
      <c r="D364" s="8">
        <v>46118.0</v>
      </c>
      <c r="E364" s="7" t="s">
        <v>416</v>
      </c>
      <c r="F364" s="7" t="s">
        <v>430</v>
      </c>
      <c r="G364" s="7" t="s">
        <v>355</v>
      </c>
      <c r="H364" s="9">
        <v>0.0</v>
      </c>
      <c r="I364" s="9">
        <v>0.0</v>
      </c>
      <c r="J364" s="9">
        <v>0.0</v>
      </c>
      <c r="K364" s="9">
        <v>0.0</v>
      </c>
      <c r="L364" s="10">
        <v>0.0</v>
      </c>
      <c r="M364" s="9">
        <v>0.0</v>
      </c>
      <c r="N364" s="9">
        <v>53894.0</v>
      </c>
      <c r="O364" s="9">
        <v>52979.0</v>
      </c>
      <c r="P364" s="9">
        <v>12777.0</v>
      </c>
      <c r="Q364" s="9">
        <v>152.0</v>
      </c>
      <c r="R364" s="9">
        <v>0.0</v>
      </c>
      <c r="S364" s="9">
        <v>0.0</v>
      </c>
      <c r="T364" s="9">
        <v>0.0</v>
      </c>
      <c r="U364" s="9">
        <v>0.0</v>
      </c>
      <c r="V364" s="9">
        <v>0.0</v>
      </c>
      <c r="W364" s="9">
        <v>0.0</v>
      </c>
      <c r="X364" s="9">
        <v>0.0</v>
      </c>
      <c r="Y364" s="9">
        <v>0.0</v>
      </c>
      <c r="Z364" s="9">
        <v>0.0</v>
      </c>
      <c r="AA364" s="9">
        <v>0.0</v>
      </c>
      <c r="AB364" s="9">
        <v>0.0</v>
      </c>
      <c r="AC364" s="9">
        <v>0.0</v>
      </c>
      <c r="AD364" s="9"/>
      <c r="AE364" s="9" t="s">
        <v>9</v>
      </c>
    </row>
    <row r="365">
      <c r="A365" s="7" t="s">
        <v>1107</v>
      </c>
      <c r="B365" s="7" t="s">
        <v>1108</v>
      </c>
      <c r="C365" s="8">
        <v>46113.0</v>
      </c>
      <c r="D365" s="8">
        <v>46119.0</v>
      </c>
      <c r="E365" s="7" t="s">
        <v>416</v>
      </c>
      <c r="F365" s="7" t="s">
        <v>594</v>
      </c>
      <c r="G365" s="7" t="s">
        <v>355</v>
      </c>
      <c r="H365" s="9">
        <v>73258.0</v>
      </c>
      <c r="I365" s="9">
        <v>0.0</v>
      </c>
      <c r="J365" s="9">
        <v>457.0</v>
      </c>
      <c r="K365" s="9">
        <v>46177.0</v>
      </c>
      <c r="L365" s="10">
        <v>1.5864607921692617</v>
      </c>
      <c r="M365" s="9">
        <v>1.5864607921692617</v>
      </c>
      <c r="N365" s="9">
        <v>19582.0</v>
      </c>
      <c r="O365" s="9">
        <v>19316.0</v>
      </c>
      <c r="P365" s="9">
        <v>2923.0</v>
      </c>
      <c r="Q365" s="9">
        <v>108.0</v>
      </c>
      <c r="R365" s="9">
        <v>82.0</v>
      </c>
      <c r="S365" s="9">
        <v>82.0</v>
      </c>
      <c r="T365" s="9">
        <v>24.0</v>
      </c>
      <c r="U365" s="9">
        <v>22.0</v>
      </c>
      <c r="V365" s="9">
        <v>0.0</v>
      </c>
      <c r="W365" s="9">
        <v>0.0</v>
      </c>
      <c r="X365" s="9">
        <v>0.0</v>
      </c>
      <c r="Y365" s="9">
        <v>0.0</v>
      </c>
      <c r="Z365" s="9">
        <v>0.0</v>
      </c>
      <c r="AA365" s="9">
        <v>0.0</v>
      </c>
      <c r="AB365" s="9">
        <v>0.0</v>
      </c>
      <c r="AC365" s="9">
        <v>0.0</v>
      </c>
      <c r="AD365" s="11" t="s">
        <v>61</v>
      </c>
      <c r="AE365" s="9" t="s">
        <v>9</v>
      </c>
    </row>
    <row r="366">
      <c r="A366" s="7" t="s">
        <v>1109</v>
      </c>
      <c r="B366" s="7" t="s">
        <v>1110</v>
      </c>
      <c r="C366" s="8">
        <v>46113.0</v>
      </c>
      <c r="D366" s="8">
        <v>46120.0</v>
      </c>
      <c r="E366" s="7" t="s">
        <v>416</v>
      </c>
      <c r="F366" s="7" t="s">
        <v>466</v>
      </c>
      <c r="G366" s="7" t="s">
        <v>355</v>
      </c>
      <c r="H366" s="9">
        <v>209864.0</v>
      </c>
      <c r="I366" s="9">
        <v>0.0</v>
      </c>
      <c r="J366" s="9">
        <v>791.0</v>
      </c>
      <c r="K366" s="9">
        <v>131067.0</v>
      </c>
      <c r="L366" s="10">
        <v>1.601196334699047</v>
      </c>
      <c r="M366" s="9">
        <v>1.601196334699047</v>
      </c>
      <c r="N366" s="9">
        <v>18752.0</v>
      </c>
      <c r="O366" s="9">
        <v>18552.0</v>
      </c>
      <c r="P366" s="9">
        <v>3499.0</v>
      </c>
      <c r="Q366" s="9">
        <v>99.0</v>
      </c>
      <c r="R366" s="9">
        <v>0.0</v>
      </c>
      <c r="S366" s="9">
        <v>0.0</v>
      </c>
      <c r="T366" s="9">
        <v>0.0</v>
      </c>
      <c r="U366" s="9">
        <v>0.0</v>
      </c>
      <c r="V366" s="9">
        <v>0.0</v>
      </c>
      <c r="W366" s="9">
        <v>0.0</v>
      </c>
      <c r="X366" s="9">
        <v>0.0</v>
      </c>
      <c r="Y366" s="9">
        <v>0.0</v>
      </c>
      <c r="Z366" s="9">
        <v>0.0</v>
      </c>
      <c r="AA366" s="9">
        <v>0.0</v>
      </c>
      <c r="AB366" s="9">
        <v>0.0</v>
      </c>
      <c r="AC366" s="9">
        <v>0.0</v>
      </c>
      <c r="AD366" s="11" t="s">
        <v>62</v>
      </c>
      <c r="AE366" s="9" t="s">
        <v>9</v>
      </c>
    </row>
    <row r="367">
      <c r="A367" s="7" t="s">
        <v>1111</v>
      </c>
      <c r="B367" s="7" t="s">
        <v>1112</v>
      </c>
      <c r="C367" s="8">
        <v>46113.0</v>
      </c>
      <c r="D367" s="8">
        <v>46131.0</v>
      </c>
      <c r="E367" s="7" t="s">
        <v>416</v>
      </c>
      <c r="F367" s="7" t="s">
        <v>417</v>
      </c>
      <c r="G367" s="7" t="s">
        <v>355</v>
      </c>
      <c r="H367" s="9">
        <v>3492670.0</v>
      </c>
      <c r="I367" s="9">
        <v>2094489.0</v>
      </c>
      <c r="J367" s="9">
        <v>13569.0</v>
      </c>
      <c r="K367" s="9">
        <v>0.0</v>
      </c>
      <c r="L367" s="10">
        <v>0.0</v>
      </c>
      <c r="M367" s="9">
        <v>0.0</v>
      </c>
      <c r="N367" s="9">
        <v>41074.0</v>
      </c>
      <c r="O367" s="9">
        <v>40751.0</v>
      </c>
      <c r="P367" s="9">
        <v>9714.0</v>
      </c>
      <c r="Q367" s="9">
        <v>304.0</v>
      </c>
      <c r="R367" s="9">
        <v>46.0</v>
      </c>
      <c r="S367" s="9">
        <v>46.0</v>
      </c>
      <c r="T367" s="9">
        <v>28.0</v>
      </c>
      <c r="U367" s="9">
        <v>27.0</v>
      </c>
      <c r="V367" s="9">
        <v>20393.0</v>
      </c>
      <c r="W367" s="9">
        <v>20393.0</v>
      </c>
      <c r="X367" s="9">
        <v>18428.0</v>
      </c>
      <c r="Y367" s="9">
        <v>9088.0</v>
      </c>
      <c r="Z367" s="9">
        <v>46.0</v>
      </c>
      <c r="AA367" s="9">
        <v>0.0</v>
      </c>
      <c r="AB367" s="9">
        <v>0.0</v>
      </c>
      <c r="AC367" s="9">
        <v>0.0</v>
      </c>
      <c r="AD367" s="11" t="s">
        <v>63</v>
      </c>
      <c r="AE367" s="9" t="s">
        <v>64</v>
      </c>
    </row>
    <row r="368">
      <c r="A368" s="7" t="s">
        <v>1113</v>
      </c>
      <c r="B368" s="7" t="s">
        <v>1114</v>
      </c>
      <c r="C368" s="8">
        <v>46113.0</v>
      </c>
      <c r="D368" s="8">
        <v>46120.0</v>
      </c>
      <c r="E368" s="7" t="s">
        <v>416</v>
      </c>
      <c r="F368" s="7" t="s">
        <v>378</v>
      </c>
      <c r="G368" s="7" t="s">
        <v>355</v>
      </c>
      <c r="H368" s="9">
        <v>282291.0</v>
      </c>
      <c r="I368" s="9">
        <v>0.0</v>
      </c>
      <c r="J368" s="9">
        <v>1071.0</v>
      </c>
      <c r="K368" s="9">
        <v>172169.0</v>
      </c>
      <c r="L368" s="10">
        <v>1.6396157264083546</v>
      </c>
      <c r="M368" s="9">
        <v>1.6396157264083546</v>
      </c>
      <c r="N368" s="9">
        <v>62115.0</v>
      </c>
      <c r="O368" s="9">
        <v>60808.0</v>
      </c>
      <c r="P368" s="9">
        <v>6774.0</v>
      </c>
      <c r="Q368" s="9">
        <v>180.0</v>
      </c>
      <c r="R368" s="9">
        <v>5739.0</v>
      </c>
      <c r="S368" s="9">
        <v>4997.0</v>
      </c>
      <c r="T368" s="9">
        <v>844.0</v>
      </c>
      <c r="U368" s="9">
        <v>628.0</v>
      </c>
      <c r="V368" s="9">
        <v>0.0</v>
      </c>
      <c r="W368" s="9">
        <v>0.0</v>
      </c>
      <c r="X368" s="9">
        <v>0.0</v>
      </c>
      <c r="Y368" s="9">
        <v>0.0</v>
      </c>
      <c r="Z368" s="9">
        <v>0.0</v>
      </c>
      <c r="AA368" s="9">
        <v>0.0</v>
      </c>
      <c r="AB368" s="9">
        <v>0.0</v>
      </c>
      <c r="AC368" s="9">
        <v>0.0</v>
      </c>
      <c r="AD368" s="11" t="s">
        <v>65</v>
      </c>
      <c r="AE368" s="9" t="s">
        <v>9</v>
      </c>
    </row>
    <row r="369">
      <c r="A369" s="7" t="s">
        <v>1115</v>
      </c>
      <c r="B369" s="7" t="s">
        <v>1116</v>
      </c>
      <c r="C369" s="8">
        <v>46113.0</v>
      </c>
      <c r="D369" s="8">
        <v>46121.0</v>
      </c>
      <c r="E369" s="7" t="s">
        <v>416</v>
      </c>
      <c r="F369" s="7" t="s">
        <v>725</v>
      </c>
      <c r="G369" s="7" t="s">
        <v>355</v>
      </c>
      <c r="H369" s="9">
        <v>592359.0</v>
      </c>
      <c r="I369" s="9">
        <v>0.0</v>
      </c>
      <c r="J369" s="9">
        <v>730.0</v>
      </c>
      <c r="K369" s="9">
        <v>426765.0</v>
      </c>
      <c r="L369" s="10">
        <v>1.3880215106674634</v>
      </c>
      <c r="M369" s="9">
        <v>1.3880215106674634</v>
      </c>
      <c r="N369" s="9">
        <v>60381.0</v>
      </c>
      <c r="O369" s="9">
        <v>59817.0</v>
      </c>
      <c r="P369" s="9">
        <v>14905.0</v>
      </c>
      <c r="Q369" s="9">
        <v>413.0</v>
      </c>
      <c r="R369" s="9">
        <v>0.0</v>
      </c>
      <c r="S369" s="9">
        <v>0.0</v>
      </c>
      <c r="T369" s="9">
        <v>0.0</v>
      </c>
      <c r="U369" s="9">
        <v>0.0</v>
      </c>
      <c r="V369" s="9">
        <v>0.0</v>
      </c>
      <c r="W369" s="9">
        <v>0.0</v>
      </c>
      <c r="X369" s="9">
        <v>0.0</v>
      </c>
      <c r="Y369" s="9">
        <v>0.0</v>
      </c>
      <c r="Z369" s="9">
        <v>0.0</v>
      </c>
      <c r="AA369" s="9">
        <v>0.0</v>
      </c>
      <c r="AB369" s="9">
        <v>0.0</v>
      </c>
      <c r="AC369" s="9">
        <v>0.0</v>
      </c>
      <c r="AD369" s="11" t="s">
        <v>66</v>
      </c>
      <c r="AE369" s="9" t="s">
        <v>9</v>
      </c>
    </row>
    <row r="370">
      <c r="A370" s="7" t="s">
        <v>1117</v>
      </c>
      <c r="B370" s="7" t="s">
        <v>1118</v>
      </c>
      <c r="C370" s="8">
        <v>46118.0</v>
      </c>
      <c r="D370" s="8">
        <v>46125.0</v>
      </c>
      <c r="E370" s="7" t="s">
        <v>416</v>
      </c>
      <c r="F370" s="7" t="s">
        <v>466</v>
      </c>
      <c r="G370" s="7" t="s">
        <v>355</v>
      </c>
      <c r="H370" s="9">
        <v>163936.0</v>
      </c>
      <c r="I370" s="9">
        <v>0.0</v>
      </c>
      <c r="J370" s="9">
        <v>542.0</v>
      </c>
      <c r="K370" s="9">
        <v>107064.0</v>
      </c>
      <c r="L370" s="10">
        <v>1.5311962938055743</v>
      </c>
      <c r="M370" s="9">
        <v>1.5311962938055743</v>
      </c>
      <c r="N370" s="9">
        <v>33551.0</v>
      </c>
      <c r="O370" s="9">
        <v>33095.0</v>
      </c>
      <c r="P370" s="9">
        <v>11629.0</v>
      </c>
      <c r="Q370" s="9">
        <v>231.0</v>
      </c>
      <c r="R370" s="9">
        <v>127.0</v>
      </c>
      <c r="S370" s="9">
        <v>127.0</v>
      </c>
      <c r="T370" s="9">
        <v>39.0</v>
      </c>
      <c r="U370" s="9">
        <v>35.0</v>
      </c>
      <c r="V370" s="9">
        <v>0.0</v>
      </c>
      <c r="W370" s="9">
        <v>0.0</v>
      </c>
      <c r="X370" s="9">
        <v>0.0</v>
      </c>
      <c r="Y370" s="9">
        <v>0.0</v>
      </c>
      <c r="Z370" s="9">
        <v>0.0</v>
      </c>
      <c r="AA370" s="9">
        <v>0.0</v>
      </c>
      <c r="AB370" s="9">
        <v>0.0</v>
      </c>
      <c r="AC370" s="9">
        <v>0.0</v>
      </c>
      <c r="AD370" s="11" t="s">
        <v>67</v>
      </c>
      <c r="AE370" s="9" t="s">
        <v>9</v>
      </c>
    </row>
    <row r="371">
      <c r="A371" s="7" t="s">
        <v>1119</v>
      </c>
      <c r="B371" s="7" t="s">
        <v>1120</v>
      </c>
      <c r="C371" s="8">
        <v>46118.0</v>
      </c>
      <c r="D371" s="8">
        <v>46122.0</v>
      </c>
      <c r="E371" s="7" t="s">
        <v>416</v>
      </c>
      <c r="F371" s="7" t="s">
        <v>466</v>
      </c>
      <c r="G371" s="7" t="s">
        <v>355</v>
      </c>
      <c r="H371" s="9">
        <v>149887.0</v>
      </c>
      <c r="I371" s="9">
        <v>0.0</v>
      </c>
      <c r="J371" s="9">
        <v>706.0</v>
      </c>
      <c r="K371" s="9">
        <v>97185.0</v>
      </c>
      <c r="L371" s="10">
        <v>1.542285332098575</v>
      </c>
      <c r="M371" s="9">
        <v>1.542285332098575</v>
      </c>
      <c r="N371" s="9">
        <v>38045.0</v>
      </c>
      <c r="O371" s="9">
        <v>37540.0</v>
      </c>
      <c r="P371" s="9">
        <v>6383.0</v>
      </c>
      <c r="Q371" s="9">
        <v>177.0</v>
      </c>
      <c r="R371" s="9">
        <v>0.0</v>
      </c>
      <c r="S371" s="9">
        <v>0.0</v>
      </c>
      <c r="T371" s="9">
        <v>0.0</v>
      </c>
      <c r="U371" s="9">
        <v>0.0</v>
      </c>
      <c r="V371" s="9">
        <v>0.0</v>
      </c>
      <c r="W371" s="9">
        <v>0.0</v>
      </c>
      <c r="X371" s="9">
        <v>0.0</v>
      </c>
      <c r="Y371" s="9">
        <v>0.0</v>
      </c>
      <c r="Z371" s="9">
        <v>0.0</v>
      </c>
      <c r="AA371" s="9">
        <v>0.0</v>
      </c>
      <c r="AB371" s="9">
        <v>0.0</v>
      </c>
      <c r="AC371" s="9">
        <v>0.0</v>
      </c>
      <c r="AD371" s="11" t="s">
        <v>68</v>
      </c>
      <c r="AE371" s="9" t="s">
        <v>9</v>
      </c>
    </row>
    <row r="372">
      <c r="A372" s="7" t="s">
        <v>1121</v>
      </c>
      <c r="B372" s="7" t="s">
        <v>1122</v>
      </c>
      <c r="C372" s="8">
        <v>46118.0</v>
      </c>
      <c r="D372" s="8">
        <v>46125.0</v>
      </c>
      <c r="E372" s="7" t="s">
        <v>416</v>
      </c>
      <c r="F372" s="7" t="s">
        <v>466</v>
      </c>
      <c r="G372" s="7" t="s">
        <v>355</v>
      </c>
      <c r="H372" s="9">
        <v>282773.0</v>
      </c>
      <c r="I372" s="9">
        <v>0.0</v>
      </c>
      <c r="J372" s="9">
        <v>476.0</v>
      </c>
      <c r="K372" s="9">
        <v>242437.0</v>
      </c>
      <c r="L372" s="10">
        <v>1.1663772443975136</v>
      </c>
      <c r="M372" s="9">
        <v>1.1663772443975136</v>
      </c>
      <c r="N372" s="9">
        <v>61845.0</v>
      </c>
      <c r="O372" s="9">
        <v>60604.0</v>
      </c>
      <c r="P372" s="9">
        <v>9820.0</v>
      </c>
      <c r="Q372" s="9">
        <v>130.0</v>
      </c>
      <c r="R372" s="9">
        <v>67.0</v>
      </c>
      <c r="S372" s="9">
        <v>67.0</v>
      </c>
      <c r="T372" s="9">
        <v>21.0</v>
      </c>
      <c r="U372" s="9">
        <v>19.0</v>
      </c>
      <c r="V372" s="9">
        <v>0.0</v>
      </c>
      <c r="W372" s="9">
        <v>0.0</v>
      </c>
      <c r="X372" s="9">
        <v>0.0</v>
      </c>
      <c r="Y372" s="9">
        <v>0.0</v>
      </c>
      <c r="Z372" s="9">
        <v>0.0</v>
      </c>
      <c r="AA372" s="9">
        <v>0.0</v>
      </c>
      <c r="AB372" s="9">
        <v>0.0</v>
      </c>
      <c r="AC372" s="9">
        <v>0.0</v>
      </c>
      <c r="AD372" s="11" t="s">
        <v>69</v>
      </c>
      <c r="AE372" s="9" t="s">
        <v>9</v>
      </c>
    </row>
    <row r="373">
      <c r="A373" s="7" t="s">
        <v>1123</v>
      </c>
      <c r="B373" s="7" t="s">
        <v>1124</v>
      </c>
      <c r="C373" s="8">
        <v>46113.0</v>
      </c>
      <c r="D373" s="8">
        <v>46115.0</v>
      </c>
      <c r="E373" s="7" t="s">
        <v>353</v>
      </c>
      <c r="F373" s="7" t="s">
        <v>808</v>
      </c>
      <c r="G373" s="7" t="s">
        <v>355</v>
      </c>
      <c r="H373" s="9">
        <v>1672304.0</v>
      </c>
      <c r="I373" s="9">
        <v>53045.0</v>
      </c>
      <c r="J373" s="9">
        <v>4.0</v>
      </c>
      <c r="K373" s="9">
        <v>472893.0</v>
      </c>
      <c r="L373" s="10">
        <v>3.53632639941805</v>
      </c>
      <c r="M373" s="9">
        <v>3.53632639941805</v>
      </c>
      <c r="N373" s="9">
        <v>0.0</v>
      </c>
      <c r="O373" s="9">
        <v>0.0</v>
      </c>
      <c r="P373" s="9">
        <v>0.0</v>
      </c>
      <c r="Q373" s="9">
        <v>0.0</v>
      </c>
      <c r="R373" s="9">
        <v>0.0</v>
      </c>
      <c r="S373" s="9">
        <v>0.0</v>
      </c>
      <c r="T373" s="9">
        <v>0.0</v>
      </c>
      <c r="U373" s="9">
        <v>0.0</v>
      </c>
      <c r="V373" s="9">
        <v>0.0</v>
      </c>
      <c r="W373" s="9">
        <v>0.0</v>
      </c>
      <c r="X373" s="9">
        <v>0.0</v>
      </c>
      <c r="Y373" s="9">
        <v>0.0</v>
      </c>
      <c r="Z373" s="9">
        <v>0.0</v>
      </c>
      <c r="AA373" s="9">
        <v>0.0</v>
      </c>
      <c r="AB373" s="9">
        <v>0.0</v>
      </c>
      <c r="AC373" s="9">
        <v>0.0</v>
      </c>
      <c r="AD373" s="11" t="s">
        <v>70</v>
      </c>
      <c r="AE373" s="9"/>
    </row>
    <row r="374">
      <c r="A374" s="7" t="s">
        <v>1125</v>
      </c>
      <c r="B374" s="7" t="s">
        <v>1126</v>
      </c>
      <c r="C374" s="8">
        <v>46118.0</v>
      </c>
      <c r="D374" s="8">
        <v>46122.0</v>
      </c>
      <c r="E374" s="7" t="s">
        <v>416</v>
      </c>
      <c r="F374" s="7" t="s">
        <v>466</v>
      </c>
      <c r="G374" s="7" t="s">
        <v>355</v>
      </c>
      <c r="H374" s="9">
        <v>534771.0</v>
      </c>
      <c r="I374" s="9">
        <v>0.0</v>
      </c>
      <c r="J374" s="9">
        <v>808.0</v>
      </c>
      <c r="K374" s="9">
        <v>440768.0</v>
      </c>
      <c r="L374" s="10">
        <v>1.213270927109046</v>
      </c>
      <c r="M374" s="9">
        <v>1.213270927109046</v>
      </c>
      <c r="N374" s="9">
        <v>65846.0</v>
      </c>
      <c r="O374" s="9">
        <v>64978.0</v>
      </c>
      <c r="P374" s="9">
        <v>11165.0</v>
      </c>
      <c r="Q374" s="9">
        <v>245.0</v>
      </c>
      <c r="R374" s="9">
        <v>164.0</v>
      </c>
      <c r="S374" s="9">
        <v>164.0</v>
      </c>
      <c r="T374" s="9">
        <v>37.0</v>
      </c>
      <c r="U374" s="9">
        <v>35.0</v>
      </c>
      <c r="V374" s="9">
        <v>0.0</v>
      </c>
      <c r="W374" s="9">
        <v>0.0</v>
      </c>
      <c r="X374" s="9">
        <v>0.0</v>
      </c>
      <c r="Y374" s="9">
        <v>0.0</v>
      </c>
      <c r="Z374" s="9">
        <v>0.0</v>
      </c>
      <c r="AA374" s="9">
        <v>0.0</v>
      </c>
      <c r="AB374" s="9">
        <v>0.0</v>
      </c>
      <c r="AC374" s="9">
        <v>0.0</v>
      </c>
      <c r="AD374" s="11" t="s">
        <v>71</v>
      </c>
      <c r="AE374" s="9" t="s">
        <v>9</v>
      </c>
    </row>
    <row r="375">
      <c r="A375" s="7" t="s">
        <v>1127</v>
      </c>
      <c r="B375" s="7" t="s">
        <v>1128</v>
      </c>
      <c r="C375" s="8">
        <v>46121.0</v>
      </c>
      <c r="D375" s="8">
        <v>46134.0</v>
      </c>
      <c r="E375" s="7" t="s">
        <v>364</v>
      </c>
      <c r="F375" s="7" t="s">
        <v>365</v>
      </c>
      <c r="G375" s="7" t="s">
        <v>355</v>
      </c>
      <c r="H375" s="9">
        <v>1322982.0</v>
      </c>
      <c r="I375" s="9">
        <v>0.0</v>
      </c>
      <c r="J375" s="9">
        <v>3357.0</v>
      </c>
      <c r="K375" s="9">
        <v>771120.0</v>
      </c>
      <c r="L375" s="10">
        <v>1.7156629318394023</v>
      </c>
      <c r="M375" s="9">
        <v>1.7156629318394023</v>
      </c>
      <c r="N375" s="9">
        <v>197079.0</v>
      </c>
      <c r="O375" s="9">
        <v>195935.0</v>
      </c>
      <c r="P375" s="9">
        <v>124790.0</v>
      </c>
      <c r="Q375" s="9">
        <v>2949.0</v>
      </c>
      <c r="R375" s="9">
        <v>0.0</v>
      </c>
      <c r="S375" s="9">
        <v>0.0</v>
      </c>
      <c r="T375" s="9">
        <v>0.0</v>
      </c>
      <c r="U375" s="9">
        <v>0.0</v>
      </c>
      <c r="V375" s="9">
        <v>0.0</v>
      </c>
      <c r="W375" s="9">
        <v>0.0</v>
      </c>
      <c r="X375" s="9">
        <v>0.0</v>
      </c>
      <c r="Y375" s="9">
        <v>0.0</v>
      </c>
      <c r="Z375" s="9">
        <v>0.0</v>
      </c>
      <c r="AA375" s="9">
        <v>0.0</v>
      </c>
      <c r="AB375" s="9">
        <v>0.0</v>
      </c>
      <c r="AC375" s="9">
        <v>0.0</v>
      </c>
      <c r="AD375" s="11" t="s">
        <v>72</v>
      </c>
      <c r="AE375" s="9" t="s">
        <v>9</v>
      </c>
    </row>
    <row r="376">
      <c r="A376" s="7" t="s">
        <v>1129</v>
      </c>
      <c r="B376" s="7" t="s">
        <v>1130</v>
      </c>
      <c r="C376" s="8">
        <v>46132.0</v>
      </c>
      <c r="D376" s="8">
        <v>46146.0</v>
      </c>
      <c r="E376" s="7" t="s">
        <v>364</v>
      </c>
      <c r="F376" s="7" t="s">
        <v>365</v>
      </c>
      <c r="G376" s="7" t="s">
        <v>355</v>
      </c>
      <c r="H376" s="9">
        <v>1952573.0</v>
      </c>
      <c r="I376" s="9">
        <v>0.0</v>
      </c>
      <c r="J376" s="9">
        <v>3606.0</v>
      </c>
      <c r="K376" s="9">
        <v>668949.0</v>
      </c>
      <c r="L376" s="10">
        <v>2.9188667596483437</v>
      </c>
      <c r="M376" s="9">
        <v>2.9188667596483437</v>
      </c>
      <c r="N376" s="9">
        <v>106858.0</v>
      </c>
      <c r="O376" s="9">
        <v>105810.0</v>
      </c>
      <c r="P376" s="9">
        <v>43145.0</v>
      </c>
      <c r="Q376" s="9">
        <v>3348.0</v>
      </c>
      <c r="R376" s="9">
        <v>0.0</v>
      </c>
      <c r="S376" s="9">
        <v>0.0</v>
      </c>
      <c r="T376" s="9">
        <v>0.0</v>
      </c>
      <c r="U376" s="9">
        <v>0.0</v>
      </c>
      <c r="V376" s="9">
        <v>0.0</v>
      </c>
      <c r="W376" s="9">
        <v>0.0</v>
      </c>
      <c r="X376" s="9">
        <v>0.0</v>
      </c>
      <c r="Y376" s="9">
        <v>0.0</v>
      </c>
      <c r="Z376" s="9">
        <v>0.0</v>
      </c>
      <c r="AA376" s="9">
        <v>0.0</v>
      </c>
      <c r="AB376" s="9">
        <v>0.0</v>
      </c>
      <c r="AC376" s="9">
        <v>0.0</v>
      </c>
      <c r="AD376" s="11" t="s">
        <v>73</v>
      </c>
      <c r="AE376" s="9" t="s">
        <v>9</v>
      </c>
    </row>
    <row r="377">
      <c r="A377" s="7" t="s">
        <v>1131</v>
      </c>
      <c r="B377" s="7" t="s">
        <v>1132</v>
      </c>
      <c r="C377" s="8">
        <v>46133.0</v>
      </c>
      <c r="D377" s="8">
        <v>46153.0</v>
      </c>
      <c r="E377" s="7" t="s">
        <v>404</v>
      </c>
      <c r="F377" s="7" t="s">
        <v>760</v>
      </c>
      <c r="G377" s="7" t="s">
        <v>355</v>
      </c>
      <c r="H377" s="9">
        <v>1.7288503E7</v>
      </c>
      <c r="I377" s="9">
        <v>4243555.0</v>
      </c>
      <c r="J377" s="9">
        <v>32670.0</v>
      </c>
      <c r="K377" s="9">
        <v>892184.0</v>
      </c>
      <c r="L377" s="10">
        <v>8.52846161778288</v>
      </c>
      <c r="M377" s="9">
        <v>19.377732620177003</v>
      </c>
      <c r="N377" s="9">
        <v>1318022.0</v>
      </c>
      <c r="O377" s="9">
        <v>1304422.0</v>
      </c>
      <c r="P377" s="9">
        <v>346558.0</v>
      </c>
      <c r="Q377" s="9">
        <v>15993.0</v>
      </c>
      <c r="R377" s="9">
        <v>0.0</v>
      </c>
      <c r="S377" s="9">
        <v>0.0</v>
      </c>
      <c r="T377" s="9">
        <v>0.0</v>
      </c>
      <c r="U377" s="9">
        <v>0.0</v>
      </c>
      <c r="V377" s="9">
        <v>0.0</v>
      </c>
      <c r="W377" s="9">
        <v>0.0</v>
      </c>
      <c r="X377" s="9">
        <v>0.0</v>
      </c>
      <c r="Y377" s="9">
        <v>0.0</v>
      </c>
      <c r="Z377" s="9">
        <v>0.0</v>
      </c>
      <c r="AA377" s="9">
        <v>0.0</v>
      </c>
      <c r="AB377" s="9">
        <v>0.0</v>
      </c>
      <c r="AC377" s="9">
        <v>0.0</v>
      </c>
      <c r="AD377" s="11" t="s">
        <v>74</v>
      </c>
      <c r="AE377" s="9" t="s">
        <v>9</v>
      </c>
    </row>
    <row r="378">
      <c r="A378" s="7" t="s">
        <v>1133</v>
      </c>
      <c r="B378" s="7" t="s">
        <v>1134</v>
      </c>
      <c r="C378" s="8">
        <v>46121.0</v>
      </c>
      <c r="D378" s="8">
        <v>46121.0</v>
      </c>
      <c r="E378" s="7" t="s">
        <v>416</v>
      </c>
      <c r="F378" s="7" t="s">
        <v>430</v>
      </c>
      <c r="G378" s="7" t="s">
        <v>355</v>
      </c>
      <c r="H378" s="9">
        <v>0.0</v>
      </c>
      <c r="I378" s="9">
        <v>0.0</v>
      </c>
      <c r="J378" s="9">
        <v>0.0</v>
      </c>
      <c r="K378" s="9">
        <v>0.0</v>
      </c>
      <c r="L378" s="10">
        <v>0.0</v>
      </c>
      <c r="M378" s="9">
        <v>0.0</v>
      </c>
      <c r="N378" s="9">
        <v>18202.0</v>
      </c>
      <c r="O378" s="9">
        <v>17957.0</v>
      </c>
      <c r="P378" s="9">
        <v>3179.0</v>
      </c>
      <c r="Q378" s="9">
        <v>62.0</v>
      </c>
      <c r="R378" s="9">
        <v>0.0</v>
      </c>
      <c r="S378" s="9">
        <v>0.0</v>
      </c>
      <c r="T378" s="9">
        <v>0.0</v>
      </c>
      <c r="U378" s="9">
        <v>0.0</v>
      </c>
      <c r="V378" s="9">
        <v>0.0</v>
      </c>
      <c r="W378" s="9">
        <v>0.0</v>
      </c>
      <c r="X378" s="9">
        <v>0.0</v>
      </c>
      <c r="Y378" s="9">
        <v>0.0</v>
      </c>
      <c r="Z378" s="9">
        <v>0.0</v>
      </c>
      <c r="AA378" s="9">
        <v>0.0</v>
      </c>
      <c r="AB378" s="9">
        <v>0.0</v>
      </c>
      <c r="AC378" s="9">
        <v>0.0</v>
      </c>
      <c r="AD378" s="9"/>
      <c r="AE378" s="9" t="s">
        <v>9</v>
      </c>
    </row>
    <row r="379">
      <c r="A379" s="7" t="s">
        <v>1135</v>
      </c>
      <c r="B379" s="7" t="s">
        <v>1136</v>
      </c>
      <c r="C379" s="8">
        <v>46132.0</v>
      </c>
      <c r="D379" s="8">
        <v>46166.0</v>
      </c>
      <c r="E379" s="7" t="s">
        <v>404</v>
      </c>
      <c r="F379" s="7" t="s">
        <v>667</v>
      </c>
      <c r="G379" s="7" t="s">
        <v>355</v>
      </c>
      <c r="H379" s="9">
        <v>1.7711971E7</v>
      </c>
      <c r="I379" s="9">
        <v>5089940.0</v>
      </c>
      <c r="J379" s="9">
        <v>36175.0</v>
      </c>
      <c r="K379" s="9">
        <v>1302678.0</v>
      </c>
      <c r="L379" s="10">
        <v>3.423972002290666</v>
      </c>
      <c r="M379" s="9">
        <v>13.59658411364896</v>
      </c>
      <c r="N379" s="9">
        <v>313751.0</v>
      </c>
      <c r="O379" s="9">
        <v>311405.0</v>
      </c>
      <c r="P379" s="9">
        <v>137053.0</v>
      </c>
      <c r="Q379" s="9">
        <v>3083.0</v>
      </c>
      <c r="R379" s="9">
        <v>0.0</v>
      </c>
      <c r="S379" s="9">
        <v>0.0</v>
      </c>
      <c r="T379" s="9">
        <v>0.0</v>
      </c>
      <c r="U379" s="9">
        <v>0.0</v>
      </c>
      <c r="V379" s="9">
        <v>0.0</v>
      </c>
      <c r="W379" s="9">
        <v>0.0</v>
      </c>
      <c r="X379" s="9">
        <v>0.0</v>
      </c>
      <c r="Y379" s="9">
        <v>0.0</v>
      </c>
      <c r="Z379" s="9">
        <v>0.0</v>
      </c>
      <c r="AA379" s="9">
        <v>0.0</v>
      </c>
      <c r="AB379" s="9">
        <v>0.0</v>
      </c>
      <c r="AC379" s="9">
        <v>0.0</v>
      </c>
      <c r="AD379" s="11" t="s">
        <v>75</v>
      </c>
      <c r="AE379" s="9" t="s">
        <v>9</v>
      </c>
    </row>
    <row r="380">
      <c r="A380" s="7" t="s">
        <v>1137</v>
      </c>
      <c r="B380" s="7" t="s">
        <v>1138</v>
      </c>
      <c r="C380" s="8">
        <v>46119.0</v>
      </c>
      <c r="D380" s="8">
        <v>46136.0</v>
      </c>
      <c r="E380" s="7" t="s">
        <v>416</v>
      </c>
      <c r="F380" s="7" t="s">
        <v>417</v>
      </c>
      <c r="G380" s="7" t="s">
        <v>355</v>
      </c>
      <c r="H380" s="9">
        <v>2928690.0</v>
      </c>
      <c r="I380" s="9">
        <v>1064923.0</v>
      </c>
      <c r="J380" s="9">
        <v>6238.0</v>
      </c>
      <c r="K380" s="9">
        <v>28402.0</v>
      </c>
      <c r="L380" s="10">
        <v>35.12562495598902</v>
      </c>
      <c r="M380" s="9">
        <v>103.11562566016478</v>
      </c>
      <c r="N380" s="9">
        <v>0.0</v>
      </c>
      <c r="O380" s="9">
        <v>0.0</v>
      </c>
      <c r="P380" s="9">
        <v>0.0</v>
      </c>
      <c r="Q380" s="9">
        <v>0.0</v>
      </c>
      <c r="R380" s="9">
        <v>0.0</v>
      </c>
      <c r="S380" s="9">
        <v>0.0</v>
      </c>
      <c r="T380" s="9">
        <v>0.0</v>
      </c>
      <c r="U380" s="9">
        <v>0.0</v>
      </c>
      <c r="V380" s="9">
        <v>0.0</v>
      </c>
      <c r="W380" s="9">
        <v>0.0</v>
      </c>
      <c r="X380" s="9">
        <v>0.0</v>
      </c>
      <c r="Y380" s="9">
        <v>0.0</v>
      </c>
      <c r="Z380" s="9">
        <v>0.0</v>
      </c>
      <c r="AA380" s="9">
        <v>0.0</v>
      </c>
      <c r="AB380" s="9">
        <v>0.0</v>
      </c>
      <c r="AC380" s="9">
        <v>0.0</v>
      </c>
      <c r="AD380" s="11" t="s">
        <v>76</v>
      </c>
      <c r="AE380" s="9"/>
    </row>
    <row r="381">
      <c r="A381" s="7" t="s">
        <v>1139</v>
      </c>
      <c r="B381" s="7" t="s">
        <v>1140</v>
      </c>
      <c r="C381" s="8">
        <v>46119.0</v>
      </c>
      <c r="D381" s="8">
        <v>46122.0</v>
      </c>
      <c r="E381" s="7" t="s">
        <v>416</v>
      </c>
      <c r="F381" s="7" t="s">
        <v>725</v>
      </c>
      <c r="G381" s="7" t="s">
        <v>355</v>
      </c>
      <c r="H381" s="9">
        <v>581938.0</v>
      </c>
      <c r="I381" s="9">
        <v>0.0</v>
      </c>
      <c r="J381" s="9">
        <v>915.0</v>
      </c>
      <c r="K381" s="9">
        <v>369694.0</v>
      </c>
      <c r="L381" s="10">
        <v>1.5741072346318847</v>
      </c>
      <c r="M381" s="9">
        <v>1.5741072346318847</v>
      </c>
      <c r="N381" s="9">
        <v>23737.0</v>
      </c>
      <c r="O381" s="9">
        <v>23525.0</v>
      </c>
      <c r="P381" s="9">
        <v>8692.0</v>
      </c>
      <c r="Q381" s="9">
        <v>155.0</v>
      </c>
      <c r="R381" s="9">
        <v>0.0</v>
      </c>
      <c r="S381" s="9">
        <v>0.0</v>
      </c>
      <c r="T381" s="9">
        <v>0.0</v>
      </c>
      <c r="U381" s="9">
        <v>0.0</v>
      </c>
      <c r="V381" s="9">
        <v>0.0</v>
      </c>
      <c r="W381" s="9">
        <v>0.0</v>
      </c>
      <c r="X381" s="9">
        <v>0.0</v>
      </c>
      <c r="Y381" s="9">
        <v>0.0</v>
      </c>
      <c r="Z381" s="9">
        <v>0.0</v>
      </c>
      <c r="AA381" s="9">
        <v>0.0</v>
      </c>
      <c r="AB381" s="9">
        <v>0.0</v>
      </c>
      <c r="AC381" s="9">
        <v>0.0</v>
      </c>
      <c r="AD381" s="11" t="s">
        <v>77</v>
      </c>
      <c r="AE381" s="9" t="s">
        <v>9</v>
      </c>
    </row>
    <row r="382">
      <c r="A382" s="7" t="s">
        <v>1141</v>
      </c>
      <c r="B382" s="7" t="s">
        <v>1142</v>
      </c>
      <c r="C382" s="8">
        <v>46120.0</v>
      </c>
      <c r="D382" s="8">
        <v>46120.0</v>
      </c>
      <c r="E382" s="7" t="s">
        <v>416</v>
      </c>
      <c r="F382" s="7" t="s">
        <v>430</v>
      </c>
      <c r="G382" s="7" t="s">
        <v>355</v>
      </c>
      <c r="H382" s="9">
        <v>0.0</v>
      </c>
      <c r="I382" s="9">
        <v>0.0</v>
      </c>
      <c r="J382" s="9">
        <v>0.0</v>
      </c>
      <c r="K382" s="9">
        <v>0.0</v>
      </c>
      <c r="L382" s="10">
        <v>0.0</v>
      </c>
      <c r="M382" s="9">
        <v>0.0</v>
      </c>
      <c r="N382" s="9">
        <v>77728.0</v>
      </c>
      <c r="O382" s="9">
        <v>77015.0</v>
      </c>
      <c r="P382" s="9">
        <v>18982.0</v>
      </c>
      <c r="Q382" s="9">
        <v>279.0</v>
      </c>
      <c r="R382" s="9">
        <v>0.0</v>
      </c>
      <c r="S382" s="9">
        <v>0.0</v>
      </c>
      <c r="T382" s="9">
        <v>0.0</v>
      </c>
      <c r="U382" s="9">
        <v>0.0</v>
      </c>
      <c r="V382" s="9">
        <v>0.0</v>
      </c>
      <c r="W382" s="9">
        <v>0.0</v>
      </c>
      <c r="X382" s="9">
        <v>0.0</v>
      </c>
      <c r="Y382" s="9">
        <v>0.0</v>
      </c>
      <c r="Z382" s="9">
        <v>0.0</v>
      </c>
      <c r="AA382" s="9">
        <v>0.0</v>
      </c>
      <c r="AB382" s="9">
        <v>0.0</v>
      </c>
      <c r="AC382" s="9">
        <v>0.0</v>
      </c>
      <c r="AD382" s="9"/>
      <c r="AE382" s="9" t="s">
        <v>9</v>
      </c>
    </row>
    <row r="383">
      <c r="A383" s="7" t="s">
        <v>1143</v>
      </c>
      <c r="B383" s="7" t="s">
        <v>1144</v>
      </c>
      <c r="C383" s="8">
        <v>46119.0</v>
      </c>
      <c r="D383" s="8">
        <v>46132.0</v>
      </c>
      <c r="E383" s="7" t="s">
        <v>358</v>
      </c>
      <c r="F383" s="7" t="s">
        <v>466</v>
      </c>
      <c r="G383" s="7" t="s">
        <v>355</v>
      </c>
      <c r="H383" s="9">
        <v>5850055.0</v>
      </c>
      <c r="I383" s="9">
        <v>3103237.0</v>
      </c>
      <c r="J383" s="9">
        <v>9185.0</v>
      </c>
      <c r="K383" s="9">
        <v>698692.0</v>
      </c>
      <c r="L383" s="10">
        <v>1.9188755560389985</v>
      </c>
      <c r="M383" s="9">
        <v>8.37286672811482</v>
      </c>
      <c r="N383" s="9">
        <v>0.0</v>
      </c>
      <c r="O383" s="9">
        <v>0.0</v>
      </c>
      <c r="P383" s="9">
        <v>0.0</v>
      </c>
      <c r="Q383" s="9">
        <v>0.0</v>
      </c>
      <c r="R383" s="9">
        <v>0.0</v>
      </c>
      <c r="S383" s="9">
        <v>0.0</v>
      </c>
      <c r="T383" s="9">
        <v>0.0</v>
      </c>
      <c r="U383" s="9">
        <v>0.0</v>
      </c>
      <c r="V383" s="9">
        <v>0.0</v>
      </c>
      <c r="W383" s="9">
        <v>0.0</v>
      </c>
      <c r="X383" s="9">
        <v>0.0</v>
      </c>
      <c r="Y383" s="9">
        <v>0.0</v>
      </c>
      <c r="Z383" s="9">
        <v>0.0</v>
      </c>
      <c r="AA383" s="9">
        <v>0.0</v>
      </c>
      <c r="AB383" s="9">
        <v>0.0</v>
      </c>
      <c r="AC383" s="9">
        <v>0.0</v>
      </c>
      <c r="AD383" s="11" t="s">
        <v>78</v>
      </c>
      <c r="AE383" s="9"/>
    </row>
    <row r="384">
      <c r="A384" s="7" t="s">
        <v>1145</v>
      </c>
      <c r="B384" s="7" t="s">
        <v>1146</v>
      </c>
      <c r="C384" s="8">
        <v>46128.0</v>
      </c>
      <c r="D384" s="8">
        <v>46142.0</v>
      </c>
      <c r="E384" s="7" t="s">
        <v>353</v>
      </c>
      <c r="F384" s="7" t="s">
        <v>378</v>
      </c>
      <c r="G384" s="7" t="s">
        <v>355</v>
      </c>
      <c r="H384" s="9">
        <v>5823516.0</v>
      </c>
      <c r="I384" s="9">
        <v>1196306.0</v>
      </c>
      <c r="J384" s="9">
        <v>21629.0</v>
      </c>
      <c r="K384" s="9">
        <v>783344.0</v>
      </c>
      <c r="L384" s="10">
        <v>2.120254958230356</v>
      </c>
      <c r="M384" s="9">
        <v>7.434174513368329</v>
      </c>
      <c r="N384" s="9">
        <v>117287.0</v>
      </c>
      <c r="O384" s="9">
        <v>116148.0</v>
      </c>
      <c r="P384" s="9">
        <v>44184.0</v>
      </c>
      <c r="Q384" s="9">
        <v>1802.0</v>
      </c>
      <c r="R384" s="9">
        <v>0.0</v>
      </c>
      <c r="S384" s="9">
        <v>0.0</v>
      </c>
      <c r="T384" s="9">
        <v>0.0</v>
      </c>
      <c r="U384" s="9">
        <v>0.0</v>
      </c>
      <c r="V384" s="9">
        <v>0.0</v>
      </c>
      <c r="W384" s="9">
        <v>0.0</v>
      </c>
      <c r="X384" s="9">
        <v>0.0</v>
      </c>
      <c r="Y384" s="9">
        <v>0.0</v>
      </c>
      <c r="Z384" s="9">
        <v>0.0</v>
      </c>
      <c r="AA384" s="9">
        <v>0.0</v>
      </c>
      <c r="AB384" s="9">
        <v>0.0</v>
      </c>
      <c r="AC384" s="9">
        <v>0.0</v>
      </c>
      <c r="AD384" s="11" t="s">
        <v>79</v>
      </c>
      <c r="AE384" s="9" t="s">
        <v>9</v>
      </c>
    </row>
    <row r="385">
      <c r="A385" s="7" t="s">
        <v>1147</v>
      </c>
      <c r="B385" s="7" t="s">
        <v>1148</v>
      </c>
      <c r="C385" s="8">
        <v>46122.0</v>
      </c>
      <c r="D385" s="8">
        <v>46122.0</v>
      </c>
      <c r="E385" s="7" t="s">
        <v>404</v>
      </c>
      <c r="F385" s="7" t="s">
        <v>405</v>
      </c>
      <c r="G385" s="7" t="s">
        <v>355</v>
      </c>
      <c r="H385" s="9">
        <v>0.0</v>
      </c>
      <c r="I385" s="9">
        <v>0.0</v>
      </c>
      <c r="J385" s="9">
        <v>0.0</v>
      </c>
      <c r="K385" s="9">
        <v>0.0</v>
      </c>
      <c r="L385" s="10">
        <v>0.0</v>
      </c>
      <c r="M385" s="9">
        <v>0.0</v>
      </c>
      <c r="N385" s="9">
        <v>127033.0</v>
      </c>
      <c r="O385" s="9">
        <v>125617.0</v>
      </c>
      <c r="P385" s="9">
        <v>40055.0</v>
      </c>
      <c r="Q385" s="9">
        <v>5831.0</v>
      </c>
      <c r="R385" s="9">
        <v>0.0</v>
      </c>
      <c r="S385" s="9">
        <v>0.0</v>
      </c>
      <c r="T385" s="9">
        <v>0.0</v>
      </c>
      <c r="U385" s="9">
        <v>0.0</v>
      </c>
      <c r="V385" s="9">
        <v>0.0</v>
      </c>
      <c r="W385" s="9">
        <v>0.0</v>
      </c>
      <c r="X385" s="9">
        <v>0.0</v>
      </c>
      <c r="Y385" s="9">
        <v>0.0</v>
      </c>
      <c r="Z385" s="9">
        <v>0.0</v>
      </c>
      <c r="AA385" s="9">
        <v>0.0</v>
      </c>
      <c r="AB385" s="9">
        <v>0.0</v>
      </c>
      <c r="AC385" s="9">
        <v>0.0</v>
      </c>
      <c r="AD385" s="9"/>
      <c r="AE385" s="9" t="s">
        <v>9</v>
      </c>
    </row>
    <row r="386">
      <c r="A386" s="7" t="s">
        <v>1149</v>
      </c>
      <c r="B386" s="7" t="s">
        <v>1150</v>
      </c>
      <c r="C386" s="8">
        <v>46137.0</v>
      </c>
      <c r="D386" s="8">
        <v>46160.0</v>
      </c>
      <c r="E386" s="7" t="s">
        <v>404</v>
      </c>
      <c r="F386" s="7" t="s">
        <v>667</v>
      </c>
      <c r="G386" s="7" t="s">
        <v>355</v>
      </c>
      <c r="H386" s="9">
        <v>1.3375934E7</v>
      </c>
      <c r="I386" s="9">
        <v>1007534.0</v>
      </c>
      <c r="J386" s="9">
        <v>294439.0</v>
      </c>
      <c r="K386" s="9">
        <v>2674999.0</v>
      </c>
      <c r="L386" s="10">
        <v>2.86971733447377</v>
      </c>
      <c r="M386" s="9">
        <v>5.000351028168609</v>
      </c>
      <c r="N386" s="9">
        <v>753824.0</v>
      </c>
      <c r="O386" s="9">
        <v>745077.0</v>
      </c>
      <c r="P386" s="9">
        <v>267263.0</v>
      </c>
      <c r="Q386" s="9">
        <v>20560.0</v>
      </c>
      <c r="R386" s="9">
        <v>0.0</v>
      </c>
      <c r="S386" s="9">
        <v>0.0</v>
      </c>
      <c r="T386" s="9">
        <v>0.0</v>
      </c>
      <c r="U386" s="9">
        <v>0.0</v>
      </c>
      <c r="V386" s="9">
        <v>0.0</v>
      </c>
      <c r="W386" s="9">
        <v>0.0</v>
      </c>
      <c r="X386" s="9">
        <v>0.0</v>
      </c>
      <c r="Y386" s="9">
        <v>0.0</v>
      </c>
      <c r="Z386" s="9">
        <v>0.0</v>
      </c>
      <c r="AA386" s="9">
        <v>0.0</v>
      </c>
      <c r="AB386" s="9">
        <v>0.0</v>
      </c>
      <c r="AC386" s="9">
        <v>0.0</v>
      </c>
      <c r="AD386" s="11" t="s">
        <v>80</v>
      </c>
      <c r="AE386" s="9" t="s">
        <v>9</v>
      </c>
    </row>
    <row r="387">
      <c r="A387" s="7" t="s">
        <v>1151</v>
      </c>
      <c r="B387" s="7" t="s">
        <v>1152</v>
      </c>
      <c r="C387" s="8">
        <v>46135.0</v>
      </c>
      <c r="D387" s="8">
        <v>46135.0</v>
      </c>
      <c r="E387" s="7" t="s">
        <v>358</v>
      </c>
      <c r="F387" s="7" t="s">
        <v>365</v>
      </c>
      <c r="G387" s="7" t="s">
        <v>355</v>
      </c>
      <c r="H387" s="9">
        <v>0.0</v>
      </c>
      <c r="I387" s="9">
        <v>0.0</v>
      </c>
      <c r="J387" s="9">
        <v>0.0</v>
      </c>
      <c r="K387" s="9">
        <v>0.0</v>
      </c>
      <c r="L387" s="10">
        <v>0.0</v>
      </c>
      <c r="M387" s="9">
        <v>0.0</v>
      </c>
      <c r="N387" s="9">
        <v>75879.0</v>
      </c>
      <c r="O387" s="9">
        <v>75179.0</v>
      </c>
      <c r="P387" s="9">
        <v>27704.0</v>
      </c>
      <c r="Q387" s="9">
        <v>3790.0</v>
      </c>
      <c r="R387" s="9">
        <v>0.0</v>
      </c>
      <c r="S387" s="9">
        <v>0.0</v>
      </c>
      <c r="T387" s="9">
        <v>0.0</v>
      </c>
      <c r="U387" s="9">
        <v>0.0</v>
      </c>
      <c r="V387" s="9">
        <v>0.0</v>
      </c>
      <c r="W387" s="9">
        <v>0.0</v>
      </c>
      <c r="X387" s="9">
        <v>0.0</v>
      </c>
      <c r="Y387" s="9">
        <v>0.0</v>
      </c>
      <c r="Z387" s="9">
        <v>0.0</v>
      </c>
      <c r="AA387" s="9">
        <v>0.0</v>
      </c>
      <c r="AB387" s="9">
        <v>0.0</v>
      </c>
      <c r="AC387" s="9">
        <v>0.0</v>
      </c>
      <c r="AD387" s="9"/>
      <c r="AE387" s="9" t="s">
        <v>9</v>
      </c>
    </row>
    <row r="388">
      <c r="A388" s="7" t="s">
        <v>1153</v>
      </c>
      <c r="B388" s="7" t="s">
        <v>1154</v>
      </c>
      <c r="C388" s="8">
        <v>46121.0</v>
      </c>
      <c r="D388" s="8">
        <v>46121.0</v>
      </c>
      <c r="E388" s="7" t="s">
        <v>353</v>
      </c>
      <c r="F388" s="7" t="s">
        <v>378</v>
      </c>
      <c r="G388" s="7" t="s">
        <v>355</v>
      </c>
      <c r="H388" s="9">
        <v>0.0</v>
      </c>
      <c r="I388" s="9">
        <v>0.0</v>
      </c>
      <c r="J388" s="9">
        <v>0.0</v>
      </c>
      <c r="K388" s="9">
        <v>0.0</v>
      </c>
      <c r="L388" s="10">
        <v>0.0</v>
      </c>
      <c r="M388" s="9">
        <v>0.0</v>
      </c>
      <c r="N388" s="9">
        <v>1686.0</v>
      </c>
      <c r="O388" s="9">
        <v>1683.0</v>
      </c>
      <c r="P388" s="9">
        <v>753.0</v>
      </c>
      <c r="Q388" s="9">
        <v>122.0</v>
      </c>
      <c r="R388" s="9">
        <v>0.0</v>
      </c>
      <c r="S388" s="9">
        <v>0.0</v>
      </c>
      <c r="T388" s="9">
        <v>0.0</v>
      </c>
      <c r="U388" s="9">
        <v>0.0</v>
      </c>
      <c r="V388" s="9">
        <v>0.0</v>
      </c>
      <c r="W388" s="9">
        <v>0.0</v>
      </c>
      <c r="X388" s="9">
        <v>0.0</v>
      </c>
      <c r="Y388" s="9">
        <v>0.0</v>
      </c>
      <c r="Z388" s="9">
        <v>0.0</v>
      </c>
      <c r="AA388" s="9">
        <v>0.0</v>
      </c>
      <c r="AB388" s="9">
        <v>0.0</v>
      </c>
      <c r="AC388" s="9">
        <v>0.0</v>
      </c>
      <c r="AD388" s="9"/>
      <c r="AE388" s="9" t="s">
        <v>9</v>
      </c>
    </row>
    <row r="389">
      <c r="A389" s="7" t="s">
        <v>1155</v>
      </c>
      <c r="B389" s="7" t="s">
        <v>1156</v>
      </c>
      <c r="C389" s="8">
        <v>46128.0</v>
      </c>
      <c r="D389" s="8">
        <v>46203.0</v>
      </c>
      <c r="E389" s="7" t="s">
        <v>358</v>
      </c>
      <c r="F389" s="7" t="s">
        <v>359</v>
      </c>
      <c r="G389" s="7" t="s">
        <v>355</v>
      </c>
      <c r="H389" s="9">
        <v>8.2540107E7</v>
      </c>
      <c r="I389" s="9">
        <v>1.1203084E7</v>
      </c>
      <c r="J389" s="9">
        <v>155102.0</v>
      </c>
      <c r="K389" s="9">
        <v>4696959.0</v>
      </c>
      <c r="L389" s="10">
        <v>3.397810583400877</v>
      </c>
      <c r="M389" s="9">
        <v>17.57309506001649</v>
      </c>
      <c r="N389" s="9">
        <v>217325.0</v>
      </c>
      <c r="O389" s="9">
        <v>212997.0</v>
      </c>
      <c r="P389" s="9">
        <v>41329.0</v>
      </c>
      <c r="Q389" s="9">
        <v>532.0</v>
      </c>
      <c r="R389" s="9">
        <v>10894.0</v>
      </c>
      <c r="S389" s="9">
        <v>9240.0</v>
      </c>
      <c r="T389" s="9">
        <v>2758.0</v>
      </c>
      <c r="U389" s="9">
        <v>2247.0</v>
      </c>
      <c r="V389" s="9">
        <v>0.0</v>
      </c>
      <c r="W389" s="9">
        <v>0.0</v>
      </c>
      <c r="X389" s="9">
        <v>0.0</v>
      </c>
      <c r="Y389" s="9">
        <v>0.0</v>
      </c>
      <c r="Z389" s="9">
        <v>0.0</v>
      </c>
      <c r="AA389" s="9">
        <v>0.0</v>
      </c>
      <c r="AB389" s="9">
        <v>0.0</v>
      </c>
      <c r="AC389" s="9">
        <v>0.0</v>
      </c>
      <c r="AD389" s="11" t="s">
        <v>81</v>
      </c>
      <c r="AE389" s="9" t="s">
        <v>9</v>
      </c>
    </row>
    <row r="390">
      <c r="A390" s="7" t="s">
        <v>1157</v>
      </c>
      <c r="B390" s="7" t="s">
        <v>1158</v>
      </c>
      <c r="C390" s="8">
        <v>46122.0</v>
      </c>
      <c r="D390" s="8">
        <v>46126.0</v>
      </c>
      <c r="E390" s="7" t="s">
        <v>416</v>
      </c>
      <c r="F390" s="7" t="s">
        <v>413</v>
      </c>
      <c r="G390" s="7" t="s">
        <v>355</v>
      </c>
      <c r="H390" s="9">
        <v>396656.0</v>
      </c>
      <c r="I390" s="9">
        <v>0.0</v>
      </c>
      <c r="J390" s="9">
        <v>492.0</v>
      </c>
      <c r="K390" s="9">
        <v>277953.0</v>
      </c>
      <c r="L390" s="10">
        <v>1.4270614096627847</v>
      </c>
      <c r="M390" s="9">
        <v>1.4270614096627847</v>
      </c>
      <c r="N390" s="9">
        <v>71353.0</v>
      </c>
      <c r="O390" s="9">
        <v>70574.0</v>
      </c>
      <c r="P390" s="9">
        <v>13401.0</v>
      </c>
      <c r="Q390" s="9">
        <v>230.0</v>
      </c>
      <c r="R390" s="9">
        <v>71.0</v>
      </c>
      <c r="S390" s="9">
        <v>71.0</v>
      </c>
      <c r="T390" s="9">
        <v>19.0</v>
      </c>
      <c r="U390" s="9">
        <v>18.0</v>
      </c>
      <c r="V390" s="9">
        <v>0.0</v>
      </c>
      <c r="W390" s="9">
        <v>0.0</v>
      </c>
      <c r="X390" s="9">
        <v>0.0</v>
      </c>
      <c r="Y390" s="9">
        <v>0.0</v>
      </c>
      <c r="Z390" s="9">
        <v>0.0</v>
      </c>
      <c r="AA390" s="9">
        <v>0.0</v>
      </c>
      <c r="AB390" s="9">
        <v>0.0</v>
      </c>
      <c r="AC390" s="9">
        <v>0.0</v>
      </c>
      <c r="AD390" s="11" t="s">
        <v>82</v>
      </c>
      <c r="AE390" s="9" t="s">
        <v>9</v>
      </c>
    </row>
    <row r="391">
      <c r="A391" s="7" t="s">
        <v>1159</v>
      </c>
      <c r="B391" s="7" t="s">
        <v>1160</v>
      </c>
      <c r="C391" s="8">
        <v>46122.0</v>
      </c>
      <c r="D391" s="8">
        <v>46126.0</v>
      </c>
      <c r="E391" s="7" t="s">
        <v>416</v>
      </c>
      <c r="F391" s="7" t="s">
        <v>359</v>
      </c>
      <c r="G391" s="7" t="s">
        <v>355</v>
      </c>
      <c r="H391" s="9">
        <v>668238.0</v>
      </c>
      <c r="I391" s="9">
        <v>0.0</v>
      </c>
      <c r="J391" s="9">
        <v>759.0</v>
      </c>
      <c r="K391" s="9">
        <v>529081.0</v>
      </c>
      <c r="L391" s="10">
        <v>1.2630164379367241</v>
      </c>
      <c r="M391" s="9">
        <v>1.2630164379367241</v>
      </c>
      <c r="N391" s="9">
        <v>67242.0</v>
      </c>
      <c r="O391" s="9">
        <v>66341.0</v>
      </c>
      <c r="P391" s="9">
        <v>9647.0</v>
      </c>
      <c r="Q391" s="9">
        <v>260.0</v>
      </c>
      <c r="R391" s="9">
        <v>125.0</v>
      </c>
      <c r="S391" s="9">
        <v>125.0</v>
      </c>
      <c r="T391" s="9">
        <v>32.0</v>
      </c>
      <c r="U391" s="9">
        <v>30.0</v>
      </c>
      <c r="V391" s="9">
        <v>0.0</v>
      </c>
      <c r="W391" s="9">
        <v>0.0</v>
      </c>
      <c r="X391" s="9">
        <v>0.0</v>
      </c>
      <c r="Y391" s="9">
        <v>0.0</v>
      </c>
      <c r="Z391" s="9">
        <v>0.0</v>
      </c>
      <c r="AA391" s="9">
        <v>0.0</v>
      </c>
      <c r="AB391" s="9">
        <v>0.0</v>
      </c>
      <c r="AC391" s="9">
        <v>0.0</v>
      </c>
      <c r="AD391" s="11" t="s">
        <v>83</v>
      </c>
      <c r="AE391" s="9" t="s">
        <v>9</v>
      </c>
    </row>
    <row r="392">
      <c r="A392" s="7" t="s">
        <v>1161</v>
      </c>
      <c r="B392" s="7" t="s">
        <v>1162</v>
      </c>
      <c r="C392" s="8">
        <v>46122.0</v>
      </c>
      <c r="D392" s="8">
        <v>46127.0</v>
      </c>
      <c r="E392" s="7" t="s">
        <v>416</v>
      </c>
      <c r="F392" s="7" t="s">
        <v>594</v>
      </c>
      <c r="G392" s="7" t="s">
        <v>355</v>
      </c>
      <c r="H392" s="9">
        <v>130389.0</v>
      </c>
      <c r="I392" s="9">
        <v>0.0</v>
      </c>
      <c r="J392" s="9">
        <v>489.0</v>
      </c>
      <c r="K392" s="9">
        <v>83943.0</v>
      </c>
      <c r="L392" s="10">
        <v>1.5533040277331045</v>
      </c>
      <c r="M392" s="9">
        <v>1.5533040277331045</v>
      </c>
      <c r="N392" s="9">
        <v>15690.0</v>
      </c>
      <c r="O392" s="9">
        <v>15474.0</v>
      </c>
      <c r="P392" s="9">
        <v>4022.0</v>
      </c>
      <c r="Q392" s="9">
        <v>101.0</v>
      </c>
      <c r="R392" s="9">
        <v>11641.0</v>
      </c>
      <c r="S392" s="9">
        <v>8585.0</v>
      </c>
      <c r="T392" s="9">
        <v>2219.0</v>
      </c>
      <c r="U392" s="9">
        <v>1653.0</v>
      </c>
      <c r="V392" s="9">
        <v>0.0</v>
      </c>
      <c r="W392" s="9">
        <v>0.0</v>
      </c>
      <c r="X392" s="9">
        <v>0.0</v>
      </c>
      <c r="Y392" s="9">
        <v>0.0</v>
      </c>
      <c r="Z392" s="9">
        <v>0.0</v>
      </c>
      <c r="AA392" s="9">
        <v>0.0</v>
      </c>
      <c r="AB392" s="9">
        <v>0.0</v>
      </c>
      <c r="AC392" s="9">
        <v>0.0</v>
      </c>
      <c r="AD392" s="11" t="s">
        <v>84</v>
      </c>
      <c r="AE392" s="9" t="s">
        <v>9</v>
      </c>
    </row>
    <row r="393">
      <c r="A393" s="7" t="s">
        <v>1163</v>
      </c>
      <c r="B393" s="7" t="s">
        <v>1164</v>
      </c>
      <c r="C393" s="8">
        <v>46125.0</v>
      </c>
      <c r="D393" s="8">
        <v>46133.0</v>
      </c>
      <c r="E393" s="7" t="s">
        <v>416</v>
      </c>
      <c r="F393" s="7" t="s">
        <v>466</v>
      </c>
      <c r="G393" s="7" t="s">
        <v>355</v>
      </c>
      <c r="H393" s="9">
        <v>248529.0</v>
      </c>
      <c r="I393" s="9">
        <v>0.0</v>
      </c>
      <c r="J393" s="9">
        <v>1009.0</v>
      </c>
      <c r="K393" s="9">
        <v>159410.0</v>
      </c>
      <c r="L393" s="10">
        <v>1.5590552662944608</v>
      </c>
      <c r="M393" s="9">
        <v>1.5590552662944608</v>
      </c>
      <c r="N393" s="9">
        <v>82141.0</v>
      </c>
      <c r="O393" s="9">
        <v>80758.0</v>
      </c>
      <c r="P393" s="9">
        <v>13385.0</v>
      </c>
      <c r="Q393" s="9">
        <v>329.0</v>
      </c>
      <c r="R393" s="9">
        <v>0.0</v>
      </c>
      <c r="S393" s="9">
        <v>0.0</v>
      </c>
      <c r="T393" s="9">
        <v>0.0</v>
      </c>
      <c r="U393" s="9">
        <v>0.0</v>
      </c>
      <c r="V393" s="9">
        <v>0.0</v>
      </c>
      <c r="W393" s="9">
        <v>0.0</v>
      </c>
      <c r="X393" s="9">
        <v>0.0</v>
      </c>
      <c r="Y393" s="9">
        <v>0.0</v>
      </c>
      <c r="Z393" s="9">
        <v>0.0</v>
      </c>
      <c r="AA393" s="9">
        <v>0.0</v>
      </c>
      <c r="AB393" s="9">
        <v>0.0</v>
      </c>
      <c r="AC393" s="9">
        <v>0.0</v>
      </c>
      <c r="AD393" s="11" t="s">
        <v>85</v>
      </c>
      <c r="AE393" s="9" t="s">
        <v>9</v>
      </c>
    </row>
    <row r="394">
      <c r="A394" s="7" t="s">
        <v>1165</v>
      </c>
      <c r="B394" s="7" t="s">
        <v>1166</v>
      </c>
      <c r="C394" s="8">
        <v>46121.0</v>
      </c>
      <c r="D394" s="8">
        <v>46121.0</v>
      </c>
      <c r="E394" s="7" t="s">
        <v>358</v>
      </c>
      <c r="F394" s="7" t="s">
        <v>387</v>
      </c>
      <c r="G394" s="7" t="s">
        <v>355</v>
      </c>
      <c r="H394" s="9">
        <v>0.0</v>
      </c>
      <c r="I394" s="9">
        <v>0.0</v>
      </c>
      <c r="J394" s="9">
        <v>0.0</v>
      </c>
      <c r="K394" s="9">
        <v>0.0</v>
      </c>
      <c r="L394" s="10">
        <v>0.0</v>
      </c>
      <c r="M394" s="9">
        <v>0.0</v>
      </c>
      <c r="N394" s="9">
        <v>17002.0</v>
      </c>
      <c r="O394" s="9">
        <v>16769.0</v>
      </c>
      <c r="P394" s="9">
        <v>5755.0</v>
      </c>
      <c r="Q394" s="9">
        <v>292.0</v>
      </c>
      <c r="R394" s="9">
        <v>0.0</v>
      </c>
      <c r="S394" s="9">
        <v>0.0</v>
      </c>
      <c r="T394" s="9">
        <v>0.0</v>
      </c>
      <c r="U394" s="9">
        <v>0.0</v>
      </c>
      <c r="V394" s="9">
        <v>0.0</v>
      </c>
      <c r="W394" s="9">
        <v>0.0</v>
      </c>
      <c r="X394" s="9">
        <v>0.0</v>
      </c>
      <c r="Y394" s="9">
        <v>0.0</v>
      </c>
      <c r="Z394" s="9">
        <v>0.0</v>
      </c>
      <c r="AA394" s="9">
        <v>0.0</v>
      </c>
      <c r="AB394" s="9">
        <v>0.0</v>
      </c>
      <c r="AC394" s="9">
        <v>0.0</v>
      </c>
      <c r="AD394" s="9"/>
      <c r="AE394" s="9" t="s">
        <v>9</v>
      </c>
    </row>
    <row r="395">
      <c r="A395" s="7" t="s">
        <v>1167</v>
      </c>
      <c r="B395" s="7" t="s">
        <v>1168</v>
      </c>
      <c r="C395" s="8">
        <v>46125.0</v>
      </c>
      <c r="D395" s="8">
        <v>46135.0</v>
      </c>
      <c r="E395" s="7" t="s">
        <v>416</v>
      </c>
      <c r="F395" s="7" t="s">
        <v>466</v>
      </c>
      <c r="G395" s="7" t="s">
        <v>355</v>
      </c>
      <c r="H395" s="9">
        <v>519734.0</v>
      </c>
      <c r="I395" s="9">
        <v>0.0</v>
      </c>
      <c r="J395" s="9">
        <v>874.0</v>
      </c>
      <c r="K395" s="9">
        <v>375349.0</v>
      </c>
      <c r="L395" s="10">
        <v>1.3846686683593137</v>
      </c>
      <c r="M395" s="9">
        <v>1.3846686683593137</v>
      </c>
      <c r="N395" s="9">
        <v>73926.0</v>
      </c>
      <c r="O395" s="9">
        <v>73100.0</v>
      </c>
      <c r="P395" s="9">
        <v>12851.0</v>
      </c>
      <c r="Q395" s="9">
        <v>205.0</v>
      </c>
      <c r="R395" s="9">
        <v>0.0</v>
      </c>
      <c r="S395" s="9">
        <v>0.0</v>
      </c>
      <c r="T395" s="9">
        <v>0.0</v>
      </c>
      <c r="U395" s="9">
        <v>0.0</v>
      </c>
      <c r="V395" s="9">
        <v>0.0</v>
      </c>
      <c r="W395" s="9">
        <v>0.0</v>
      </c>
      <c r="X395" s="9">
        <v>0.0</v>
      </c>
      <c r="Y395" s="9">
        <v>0.0</v>
      </c>
      <c r="Z395" s="9">
        <v>0.0</v>
      </c>
      <c r="AA395" s="9">
        <v>0.0</v>
      </c>
      <c r="AB395" s="9">
        <v>0.0</v>
      </c>
      <c r="AC395" s="9">
        <v>0.0</v>
      </c>
      <c r="AD395" s="11" t="s">
        <v>86</v>
      </c>
      <c r="AE395" s="9" t="s">
        <v>9</v>
      </c>
    </row>
    <row r="396">
      <c r="A396" s="7" t="s">
        <v>1169</v>
      </c>
      <c r="B396" s="7" t="s">
        <v>1170</v>
      </c>
      <c r="C396" s="8">
        <v>46125.0</v>
      </c>
      <c r="D396" s="8">
        <v>46129.0</v>
      </c>
      <c r="E396" s="7" t="s">
        <v>416</v>
      </c>
      <c r="F396" s="7" t="s">
        <v>466</v>
      </c>
      <c r="G396" s="7" t="s">
        <v>355</v>
      </c>
      <c r="H396" s="9">
        <v>172415.0</v>
      </c>
      <c r="I396" s="9">
        <v>0.0</v>
      </c>
      <c r="J396" s="9">
        <v>693.0</v>
      </c>
      <c r="K396" s="9">
        <v>108149.0</v>
      </c>
      <c r="L396" s="10">
        <v>1.5942357303350008</v>
      </c>
      <c r="M396" s="9">
        <v>1.5942357303350008</v>
      </c>
      <c r="N396" s="9">
        <v>81959.0</v>
      </c>
      <c r="O396" s="9">
        <v>81177.0</v>
      </c>
      <c r="P396" s="9">
        <v>20934.0</v>
      </c>
      <c r="Q396" s="9">
        <v>380.0</v>
      </c>
      <c r="R396" s="9">
        <v>0.0</v>
      </c>
      <c r="S396" s="9">
        <v>0.0</v>
      </c>
      <c r="T396" s="9">
        <v>0.0</v>
      </c>
      <c r="U396" s="9">
        <v>0.0</v>
      </c>
      <c r="V396" s="9">
        <v>0.0</v>
      </c>
      <c r="W396" s="9">
        <v>0.0</v>
      </c>
      <c r="X396" s="9">
        <v>0.0</v>
      </c>
      <c r="Y396" s="9">
        <v>0.0</v>
      </c>
      <c r="Z396" s="9">
        <v>0.0</v>
      </c>
      <c r="AA396" s="9">
        <v>0.0</v>
      </c>
      <c r="AB396" s="9">
        <v>0.0</v>
      </c>
      <c r="AC396" s="9">
        <v>0.0</v>
      </c>
      <c r="AD396" s="11" t="s">
        <v>87</v>
      </c>
      <c r="AE396" s="9" t="s">
        <v>9</v>
      </c>
    </row>
    <row r="397">
      <c r="A397" s="7" t="s">
        <v>1171</v>
      </c>
      <c r="B397" s="7" t="s">
        <v>1172</v>
      </c>
      <c r="C397" s="8">
        <v>46125.0</v>
      </c>
      <c r="D397" s="8">
        <v>46129.0</v>
      </c>
      <c r="E397" s="7" t="s">
        <v>416</v>
      </c>
      <c r="F397" s="7" t="s">
        <v>466</v>
      </c>
      <c r="G397" s="7" t="s">
        <v>355</v>
      </c>
      <c r="H397" s="9">
        <v>149503.0</v>
      </c>
      <c r="I397" s="9">
        <v>0.0</v>
      </c>
      <c r="J397" s="9">
        <v>690.0</v>
      </c>
      <c r="K397" s="9">
        <v>94044.0</v>
      </c>
      <c r="L397" s="10">
        <v>1.5897133256773426</v>
      </c>
      <c r="M397" s="9">
        <v>1.5897133256773426</v>
      </c>
      <c r="N397" s="9">
        <v>85786.0</v>
      </c>
      <c r="O397" s="9">
        <v>84686.0</v>
      </c>
      <c r="P397" s="9">
        <v>15608.0</v>
      </c>
      <c r="Q397" s="9">
        <v>306.0</v>
      </c>
      <c r="R397" s="9">
        <v>0.0</v>
      </c>
      <c r="S397" s="9">
        <v>0.0</v>
      </c>
      <c r="T397" s="9">
        <v>0.0</v>
      </c>
      <c r="U397" s="9">
        <v>0.0</v>
      </c>
      <c r="V397" s="9">
        <v>0.0</v>
      </c>
      <c r="W397" s="9">
        <v>0.0</v>
      </c>
      <c r="X397" s="9">
        <v>0.0</v>
      </c>
      <c r="Y397" s="9">
        <v>0.0</v>
      </c>
      <c r="Z397" s="9">
        <v>0.0</v>
      </c>
      <c r="AA397" s="9">
        <v>0.0</v>
      </c>
      <c r="AB397" s="9">
        <v>0.0</v>
      </c>
      <c r="AC397" s="9">
        <v>0.0</v>
      </c>
      <c r="AD397" s="11" t="s">
        <v>88</v>
      </c>
      <c r="AE397" s="9" t="s">
        <v>9</v>
      </c>
    </row>
    <row r="398">
      <c r="A398" s="7" t="s">
        <v>1173</v>
      </c>
      <c r="B398" s="7" t="s">
        <v>1174</v>
      </c>
      <c r="C398" s="8">
        <v>46121.0</v>
      </c>
      <c r="D398" s="8">
        <v>46121.0</v>
      </c>
      <c r="E398" s="7" t="s">
        <v>358</v>
      </c>
      <c r="F398" s="7" t="s">
        <v>387</v>
      </c>
      <c r="G398" s="7" t="s">
        <v>355</v>
      </c>
      <c r="H398" s="9">
        <v>0.0</v>
      </c>
      <c r="I398" s="9">
        <v>0.0</v>
      </c>
      <c r="J398" s="9">
        <v>0.0</v>
      </c>
      <c r="K398" s="9">
        <v>0.0</v>
      </c>
      <c r="L398" s="10">
        <v>0.0</v>
      </c>
      <c r="M398" s="9">
        <v>0.0</v>
      </c>
      <c r="N398" s="9">
        <v>28041.0</v>
      </c>
      <c r="O398" s="9">
        <v>27773.0</v>
      </c>
      <c r="P398" s="9">
        <v>9931.0</v>
      </c>
      <c r="Q398" s="9">
        <v>418.0</v>
      </c>
      <c r="R398" s="9">
        <v>0.0</v>
      </c>
      <c r="S398" s="9">
        <v>0.0</v>
      </c>
      <c r="T398" s="9">
        <v>0.0</v>
      </c>
      <c r="U398" s="9">
        <v>0.0</v>
      </c>
      <c r="V398" s="9">
        <v>0.0</v>
      </c>
      <c r="W398" s="9">
        <v>0.0</v>
      </c>
      <c r="X398" s="9">
        <v>0.0</v>
      </c>
      <c r="Y398" s="9">
        <v>0.0</v>
      </c>
      <c r="Z398" s="9">
        <v>0.0</v>
      </c>
      <c r="AA398" s="9">
        <v>0.0</v>
      </c>
      <c r="AB398" s="9">
        <v>0.0</v>
      </c>
      <c r="AC398" s="9">
        <v>0.0</v>
      </c>
      <c r="AD398" s="9"/>
      <c r="AE398" s="9" t="s">
        <v>9</v>
      </c>
    </row>
    <row r="399">
      <c r="A399" s="7" t="s">
        <v>1175</v>
      </c>
      <c r="B399" s="7" t="s">
        <v>1176</v>
      </c>
      <c r="C399" s="8">
        <v>46121.0</v>
      </c>
      <c r="D399" s="8">
        <v>46121.0</v>
      </c>
      <c r="E399" s="7" t="s">
        <v>358</v>
      </c>
      <c r="F399" s="7" t="s">
        <v>387</v>
      </c>
      <c r="G399" s="7" t="s">
        <v>355</v>
      </c>
      <c r="H399" s="9">
        <v>0.0</v>
      </c>
      <c r="I399" s="9">
        <v>0.0</v>
      </c>
      <c r="J399" s="9">
        <v>0.0</v>
      </c>
      <c r="K399" s="9">
        <v>0.0</v>
      </c>
      <c r="L399" s="10">
        <v>0.0</v>
      </c>
      <c r="M399" s="9">
        <v>0.0</v>
      </c>
      <c r="N399" s="9">
        <v>7283.0</v>
      </c>
      <c r="O399" s="9">
        <v>7145.0</v>
      </c>
      <c r="P399" s="9">
        <v>2006.0</v>
      </c>
      <c r="Q399" s="9">
        <v>98.0</v>
      </c>
      <c r="R399" s="9">
        <v>0.0</v>
      </c>
      <c r="S399" s="9">
        <v>0.0</v>
      </c>
      <c r="T399" s="9">
        <v>0.0</v>
      </c>
      <c r="U399" s="9">
        <v>0.0</v>
      </c>
      <c r="V399" s="9">
        <v>0.0</v>
      </c>
      <c r="W399" s="9">
        <v>0.0</v>
      </c>
      <c r="X399" s="9">
        <v>0.0</v>
      </c>
      <c r="Y399" s="9">
        <v>0.0</v>
      </c>
      <c r="Z399" s="9">
        <v>0.0</v>
      </c>
      <c r="AA399" s="9">
        <v>0.0</v>
      </c>
      <c r="AB399" s="9">
        <v>0.0</v>
      </c>
      <c r="AC399" s="9">
        <v>0.0</v>
      </c>
      <c r="AD399" s="9"/>
      <c r="AE399" s="9" t="s">
        <v>9</v>
      </c>
    </row>
    <row r="400">
      <c r="A400" s="7" t="s">
        <v>1177</v>
      </c>
      <c r="B400" s="7" t="s">
        <v>1178</v>
      </c>
      <c r="C400" s="8">
        <v>46125.0</v>
      </c>
      <c r="D400" s="8">
        <v>46125.0</v>
      </c>
      <c r="E400" s="7" t="s">
        <v>358</v>
      </c>
      <c r="F400" s="7" t="s">
        <v>387</v>
      </c>
      <c r="G400" s="7" t="s">
        <v>355</v>
      </c>
      <c r="H400" s="9">
        <v>0.0</v>
      </c>
      <c r="I400" s="9">
        <v>0.0</v>
      </c>
      <c r="J400" s="9">
        <v>0.0</v>
      </c>
      <c r="K400" s="9">
        <v>0.0</v>
      </c>
      <c r="L400" s="10">
        <v>0.0</v>
      </c>
      <c r="M400" s="9">
        <v>0.0</v>
      </c>
      <c r="N400" s="9">
        <v>9882.0</v>
      </c>
      <c r="O400" s="9">
        <v>9778.0</v>
      </c>
      <c r="P400" s="9">
        <v>4012.0</v>
      </c>
      <c r="Q400" s="9">
        <v>256.0</v>
      </c>
      <c r="R400" s="9">
        <v>0.0</v>
      </c>
      <c r="S400" s="9">
        <v>0.0</v>
      </c>
      <c r="T400" s="9">
        <v>0.0</v>
      </c>
      <c r="U400" s="9">
        <v>0.0</v>
      </c>
      <c r="V400" s="9">
        <v>0.0</v>
      </c>
      <c r="W400" s="9">
        <v>0.0</v>
      </c>
      <c r="X400" s="9">
        <v>0.0</v>
      </c>
      <c r="Y400" s="9">
        <v>0.0</v>
      </c>
      <c r="Z400" s="9">
        <v>0.0</v>
      </c>
      <c r="AA400" s="9">
        <v>0.0</v>
      </c>
      <c r="AB400" s="9">
        <v>0.0</v>
      </c>
      <c r="AC400" s="9">
        <v>0.0</v>
      </c>
      <c r="AD400" s="9"/>
      <c r="AE400" s="9" t="s">
        <v>9</v>
      </c>
    </row>
    <row r="401">
      <c r="A401" s="7" t="s">
        <v>1179</v>
      </c>
      <c r="B401" s="7" t="s">
        <v>1180</v>
      </c>
      <c r="C401" s="8">
        <v>46125.0</v>
      </c>
      <c r="D401" s="8">
        <v>46125.0</v>
      </c>
      <c r="E401" s="7" t="s">
        <v>358</v>
      </c>
      <c r="F401" s="7" t="s">
        <v>387</v>
      </c>
      <c r="G401" s="7" t="s">
        <v>355</v>
      </c>
      <c r="H401" s="9">
        <v>0.0</v>
      </c>
      <c r="I401" s="9">
        <v>0.0</v>
      </c>
      <c r="J401" s="9">
        <v>0.0</v>
      </c>
      <c r="K401" s="9">
        <v>0.0</v>
      </c>
      <c r="L401" s="10">
        <v>0.0</v>
      </c>
      <c r="M401" s="9">
        <v>0.0</v>
      </c>
      <c r="N401" s="9">
        <v>16967.0</v>
      </c>
      <c r="O401" s="9">
        <v>16777.0</v>
      </c>
      <c r="P401" s="9">
        <v>6262.0</v>
      </c>
      <c r="Q401" s="9">
        <v>347.0</v>
      </c>
      <c r="R401" s="9">
        <v>0.0</v>
      </c>
      <c r="S401" s="9">
        <v>0.0</v>
      </c>
      <c r="T401" s="9">
        <v>0.0</v>
      </c>
      <c r="U401" s="9">
        <v>0.0</v>
      </c>
      <c r="V401" s="9">
        <v>0.0</v>
      </c>
      <c r="W401" s="9">
        <v>0.0</v>
      </c>
      <c r="X401" s="9">
        <v>0.0</v>
      </c>
      <c r="Y401" s="9">
        <v>0.0</v>
      </c>
      <c r="Z401" s="9">
        <v>0.0</v>
      </c>
      <c r="AA401" s="9">
        <v>0.0</v>
      </c>
      <c r="AB401" s="9">
        <v>0.0</v>
      </c>
      <c r="AC401" s="9">
        <v>0.0</v>
      </c>
      <c r="AD401" s="9"/>
      <c r="AE401" s="9" t="s">
        <v>9</v>
      </c>
    </row>
    <row r="402">
      <c r="A402" s="7" t="s">
        <v>1181</v>
      </c>
      <c r="B402" s="7" t="s">
        <v>1182</v>
      </c>
      <c r="C402" s="8">
        <v>46125.0</v>
      </c>
      <c r="D402" s="8">
        <v>46125.0</v>
      </c>
      <c r="E402" s="7" t="s">
        <v>358</v>
      </c>
      <c r="F402" s="7" t="s">
        <v>387</v>
      </c>
      <c r="G402" s="7" t="s">
        <v>355</v>
      </c>
      <c r="H402" s="9">
        <v>0.0</v>
      </c>
      <c r="I402" s="9">
        <v>0.0</v>
      </c>
      <c r="J402" s="9">
        <v>0.0</v>
      </c>
      <c r="K402" s="9">
        <v>0.0</v>
      </c>
      <c r="L402" s="10">
        <v>0.0</v>
      </c>
      <c r="M402" s="9">
        <v>0.0</v>
      </c>
      <c r="N402" s="9">
        <v>15329.0</v>
      </c>
      <c r="O402" s="9">
        <v>15173.0</v>
      </c>
      <c r="P402" s="9">
        <v>6234.0</v>
      </c>
      <c r="Q402" s="9">
        <v>238.0</v>
      </c>
      <c r="R402" s="9">
        <v>0.0</v>
      </c>
      <c r="S402" s="9">
        <v>0.0</v>
      </c>
      <c r="T402" s="9">
        <v>0.0</v>
      </c>
      <c r="U402" s="9">
        <v>0.0</v>
      </c>
      <c r="V402" s="9">
        <v>0.0</v>
      </c>
      <c r="W402" s="9">
        <v>0.0</v>
      </c>
      <c r="X402" s="9">
        <v>0.0</v>
      </c>
      <c r="Y402" s="9">
        <v>0.0</v>
      </c>
      <c r="Z402" s="9">
        <v>0.0</v>
      </c>
      <c r="AA402" s="9">
        <v>0.0</v>
      </c>
      <c r="AB402" s="9">
        <v>0.0</v>
      </c>
      <c r="AC402" s="9">
        <v>0.0</v>
      </c>
      <c r="AD402" s="9"/>
      <c r="AE402" s="9" t="s">
        <v>9</v>
      </c>
    </row>
    <row r="403">
      <c r="A403" s="7" t="s">
        <v>1183</v>
      </c>
      <c r="B403" s="7" t="s">
        <v>1184</v>
      </c>
      <c r="C403" s="8">
        <v>46122.0</v>
      </c>
      <c r="D403" s="8">
        <v>46139.0</v>
      </c>
      <c r="E403" s="7" t="s">
        <v>416</v>
      </c>
      <c r="F403" s="7" t="s">
        <v>417</v>
      </c>
      <c r="G403" s="7" t="s">
        <v>355</v>
      </c>
      <c r="H403" s="9">
        <v>1438627.0</v>
      </c>
      <c r="I403" s="9">
        <v>570647.0</v>
      </c>
      <c r="J403" s="9">
        <v>6162.0</v>
      </c>
      <c r="K403" s="9">
        <v>26598.0</v>
      </c>
      <c r="L403" s="10">
        <v>13.955710955710956</v>
      </c>
      <c r="M403" s="9">
        <v>54.087788555530494</v>
      </c>
      <c r="N403" s="9">
        <v>24839.0</v>
      </c>
      <c r="O403" s="9">
        <v>24545.0</v>
      </c>
      <c r="P403" s="9">
        <v>3818.0</v>
      </c>
      <c r="Q403" s="9">
        <v>220.0</v>
      </c>
      <c r="R403" s="9">
        <v>0.0</v>
      </c>
      <c r="S403" s="9">
        <v>0.0</v>
      </c>
      <c r="T403" s="9">
        <v>0.0</v>
      </c>
      <c r="U403" s="9">
        <v>0.0</v>
      </c>
      <c r="V403" s="9">
        <v>14387.0</v>
      </c>
      <c r="W403" s="9">
        <v>14387.0</v>
      </c>
      <c r="X403" s="9">
        <v>12817.0</v>
      </c>
      <c r="Y403" s="9">
        <v>6411.0</v>
      </c>
      <c r="Z403" s="9">
        <v>49.0</v>
      </c>
      <c r="AA403" s="9">
        <v>0.0</v>
      </c>
      <c r="AB403" s="9">
        <v>0.0</v>
      </c>
      <c r="AC403" s="9">
        <v>0.0</v>
      </c>
      <c r="AD403" s="11" t="s">
        <v>89</v>
      </c>
      <c r="AE403" s="9" t="s">
        <v>9</v>
      </c>
    </row>
    <row r="404">
      <c r="A404" s="7" t="s">
        <v>1185</v>
      </c>
      <c r="B404" s="7" t="s">
        <v>1186</v>
      </c>
      <c r="C404" s="8">
        <v>46125.0</v>
      </c>
      <c r="D404" s="8">
        <v>46142.0</v>
      </c>
      <c r="E404" s="7" t="s">
        <v>416</v>
      </c>
      <c r="F404" s="7" t="s">
        <v>417</v>
      </c>
      <c r="G404" s="7" t="s">
        <v>355</v>
      </c>
      <c r="H404" s="9">
        <v>5545826.0</v>
      </c>
      <c r="I404" s="9">
        <v>1350233.0</v>
      </c>
      <c r="J404" s="9">
        <v>58071.0</v>
      </c>
      <c r="K404" s="9">
        <v>424051.0</v>
      </c>
      <c r="L404" s="10">
        <v>1.5211991010515244</v>
      </c>
      <c r="M404" s="9">
        <v>13.078205215882052</v>
      </c>
      <c r="N404" s="9">
        <v>272975.0</v>
      </c>
      <c r="O404" s="9">
        <v>270190.0</v>
      </c>
      <c r="P404" s="9">
        <v>66357.0</v>
      </c>
      <c r="Q404" s="9">
        <v>1238.0</v>
      </c>
      <c r="R404" s="9">
        <v>13596.0</v>
      </c>
      <c r="S404" s="9">
        <v>6513.0</v>
      </c>
      <c r="T404" s="9">
        <v>1783.0</v>
      </c>
      <c r="U404" s="9">
        <v>1381.0</v>
      </c>
      <c r="V404" s="9">
        <v>59440.0</v>
      </c>
      <c r="W404" s="9">
        <v>59440.0</v>
      </c>
      <c r="X404" s="9">
        <v>56238.0</v>
      </c>
      <c r="Y404" s="9">
        <v>21500.0</v>
      </c>
      <c r="Z404" s="9">
        <v>176.0</v>
      </c>
      <c r="AA404" s="9">
        <v>0.0</v>
      </c>
      <c r="AB404" s="9">
        <v>0.0</v>
      </c>
      <c r="AC404" s="9">
        <v>0.0</v>
      </c>
      <c r="AD404" s="11" t="s">
        <v>90</v>
      </c>
      <c r="AE404" s="9" t="s">
        <v>9</v>
      </c>
    </row>
    <row r="405">
      <c r="A405" s="7" t="s">
        <v>1187</v>
      </c>
      <c r="B405" s="7" t="s">
        <v>1188</v>
      </c>
      <c r="C405" s="8">
        <v>46125.0</v>
      </c>
      <c r="D405" s="8">
        <v>46145.0</v>
      </c>
      <c r="E405" s="7" t="s">
        <v>416</v>
      </c>
      <c r="F405" s="7" t="s">
        <v>417</v>
      </c>
      <c r="G405" s="7" t="s">
        <v>355</v>
      </c>
      <c r="H405" s="9">
        <v>834461.0</v>
      </c>
      <c r="I405" s="9">
        <v>39299.0</v>
      </c>
      <c r="J405" s="9">
        <v>5097.0</v>
      </c>
      <c r="K405" s="9">
        <v>36543.0</v>
      </c>
      <c r="L405" s="10">
        <v>13.720575760063486</v>
      </c>
      <c r="M405" s="9">
        <v>22.835043647210135</v>
      </c>
      <c r="N405" s="9">
        <v>0.0</v>
      </c>
      <c r="O405" s="9">
        <v>0.0</v>
      </c>
      <c r="P405" s="9">
        <v>0.0</v>
      </c>
      <c r="Q405" s="9">
        <v>0.0</v>
      </c>
      <c r="R405" s="9">
        <v>0.0</v>
      </c>
      <c r="S405" s="9">
        <v>0.0</v>
      </c>
      <c r="T405" s="9">
        <v>0.0</v>
      </c>
      <c r="U405" s="9">
        <v>0.0</v>
      </c>
      <c r="V405" s="9">
        <v>0.0</v>
      </c>
      <c r="W405" s="9">
        <v>0.0</v>
      </c>
      <c r="X405" s="9">
        <v>0.0</v>
      </c>
      <c r="Y405" s="9">
        <v>0.0</v>
      </c>
      <c r="Z405" s="9">
        <v>0.0</v>
      </c>
      <c r="AA405" s="9">
        <v>0.0</v>
      </c>
      <c r="AB405" s="9">
        <v>0.0</v>
      </c>
      <c r="AC405" s="9">
        <v>0.0</v>
      </c>
      <c r="AD405" s="11" t="s">
        <v>91</v>
      </c>
      <c r="AE405" s="9"/>
    </row>
    <row r="406">
      <c r="A406" s="7" t="s">
        <v>1189</v>
      </c>
      <c r="B406" s="7" t="s">
        <v>1190</v>
      </c>
      <c r="C406" s="8">
        <v>46125.0</v>
      </c>
      <c r="D406" s="8">
        <v>46125.0</v>
      </c>
      <c r="E406" s="7" t="s">
        <v>358</v>
      </c>
      <c r="F406" s="7" t="s">
        <v>387</v>
      </c>
      <c r="G406" s="7" t="s">
        <v>355</v>
      </c>
      <c r="H406" s="9">
        <v>0.0</v>
      </c>
      <c r="I406" s="9">
        <v>0.0</v>
      </c>
      <c r="J406" s="9">
        <v>0.0</v>
      </c>
      <c r="K406" s="9">
        <v>0.0</v>
      </c>
      <c r="L406" s="10">
        <v>0.0</v>
      </c>
      <c r="M406" s="9">
        <v>0.0</v>
      </c>
      <c r="N406" s="9">
        <v>5974.0</v>
      </c>
      <c r="O406" s="9">
        <v>5825.0</v>
      </c>
      <c r="P406" s="9">
        <v>1751.0</v>
      </c>
      <c r="Q406" s="9">
        <v>166.0</v>
      </c>
      <c r="R406" s="9">
        <v>0.0</v>
      </c>
      <c r="S406" s="9">
        <v>0.0</v>
      </c>
      <c r="T406" s="9">
        <v>0.0</v>
      </c>
      <c r="U406" s="9">
        <v>0.0</v>
      </c>
      <c r="V406" s="9">
        <v>0.0</v>
      </c>
      <c r="W406" s="9">
        <v>0.0</v>
      </c>
      <c r="X406" s="9">
        <v>0.0</v>
      </c>
      <c r="Y406" s="9">
        <v>0.0</v>
      </c>
      <c r="Z406" s="9">
        <v>0.0</v>
      </c>
      <c r="AA406" s="9">
        <v>0.0</v>
      </c>
      <c r="AB406" s="9">
        <v>0.0</v>
      </c>
      <c r="AC406" s="9">
        <v>0.0</v>
      </c>
      <c r="AD406" s="9"/>
      <c r="AE406" s="9" t="s">
        <v>9</v>
      </c>
    </row>
    <row r="407">
      <c r="A407" s="7" t="s">
        <v>1191</v>
      </c>
      <c r="B407" s="7" t="s">
        <v>1192</v>
      </c>
      <c r="C407" s="8">
        <v>46122.0</v>
      </c>
      <c r="D407" s="8">
        <v>46124.0</v>
      </c>
      <c r="E407" s="7" t="s">
        <v>364</v>
      </c>
      <c r="F407" s="7" t="s">
        <v>365</v>
      </c>
      <c r="G407" s="7" t="s">
        <v>355</v>
      </c>
      <c r="H407" s="9">
        <v>705729.0</v>
      </c>
      <c r="I407" s="9">
        <v>0.0</v>
      </c>
      <c r="J407" s="9">
        <v>1905.0</v>
      </c>
      <c r="K407" s="9">
        <v>496748.0</v>
      </c>
      <c r="L407" s="10">
        <v>1.4206982212308856</v>
      </c>
      <c r="M407" s="9">
        <v>1.4206982212308856</v>
      </c>
      <c r="N407" s="9">
        <v>226292.0</v>
      </c>
      <c r="O407" s="9">
        <v>223872.0</v>
      </c>
      <c r="P407" s="9">
        <v>84657.0</v>
      </c>
      <c r="Q407" s="9">
        <v>2588.0</v>
      </c>
      <c r="R407" s="9">
        <v>0.0</v>
      </c>
      <c r="S407" s="9">
        <v>0.0</v>
      </c>
      <c r="T407" s="9">
        <v>0.0</v>
      </c>
      <c r="U407" s="9">
        <v>0.0</v>
      </c>
      <c r="V407" s="9">
        <v>0.0</v>
      </c>
      <c r="W407" s="9">
        <v>0.0</v>
      </c>
      <c r="X407" s="9">
        <v>0.0</v>
      </c>
      <c r="Y407" s="9">
        <v>0.0</v>
      </c>
      <c r="Z407" s="9">
        <v>0.0</v>
      </c>
      <c r="AA407" s="9">
        <v>0.0</v>
      </c>
      <c r="AB407" s="9">
        <v>0.0</v>
      </c>
      <c r="AC407" s="9">
        <v>0.0</v>
      </c>
      <c r="AD407" s="11" t="s">
        <v>92</v>
      </c>
      <c r="AE407" s="9" t="s">
        <v>9</v>
      </c>
    </row>
    <row r="408">
      <c r="A408" s="7" t="s">
        <v>1193</v>
      </c>
      <c r="B408" s="7" t="s">
        <v>1194</v>
      </c>
      <c r="C408" s="8">
        <v>46132.0</v>
      </c>
      <c r="D408" s="8">
        <v>46150.0</v>
      </c>
      <c r="E408" s="7" t="s">
        <v>353</v>
      </c>
      <c r="F408" s="7" t="s">
        <v>378</v>
      </c>
      <c r="G408" s="7" t="s">
        <v>355</v>
      </c>
      <c r="H408" s="9">
        <v>8604007.0</v>
      </c>
      <c r="I408" s="9">
        <v>0.0</v>
      </c>
      <c r="J408" s="9">
        <v>22139.0</v>
      </c>
      <c r="K408" s="9">
        <v>415608.0</v>
      </c>
      <c r="L408" s="10">
        <v>3.3299768050663126</v>
      </c>
      <c r="M408" s="9">
        <v>20.70221699293565</v>
      </c>
      <c r="N408" s="9">
        <v>5687.0</v>
      </c>
      <c r="O408" s="9">
        <v>5605.0</v>
      </c>
      <c r="P408" s="9">
        <v>1833.0</v>
      </c>
      <c r="Q408" s="9">
        <v>87.0</v>
      </c>
      <c r="R408" s="9">
        <v>0.0</v>
      </c>
      <c r="S408" s="9">
        <v>0.0</v>
      </c>
      <c r="T408" s="9">
        <v>0.0</v>
      </c>
      <c r="U408" s="9">
        <v>0.0</v>
      </c>
      <c r="V408" s="9">
        <v>0.0</v>
      </c>
      <c r="W408" s="9">
        <v>0.0</v>
      </c>
      <c r="X408" s="9">
        <v>0.0</v>
      </c>
      <c r="Y408" s="9">
        <v>0.0</v>
      </c>
      <c r="Z408" s="9">
        <v>0.0</v>
      </c>
      <c r="AA408" s="9">
        <v>0.0</v>
      </c>
      <c r="AB408" s="9">
        <v>0.0</v>
      </c>
      <c r="AC408" s="9">
        <v>0.0</v>
      </c>
      <c r="AD408" s="11" t="s">
        <v>93</v>
      </c>
      <c r="AE408" s="9" t="s">
        <v>9</v>
      </c>
    </row>
    <row r="409">
      <c r="A409" s="7" t="s">
        <v>1195</v>
      </c>
      <c r="B409" s="7" t="s">
        <v>1196</v>
      </c>
      <c r="C409" s="8">
        <v>46133.0</v>
      </c>
      <c r="D409" s="8">
        <v>46146.0</v>
      </c>
      <c r="E409" s="7" t="s">
        <v>364</v>
      </c>
      <c r="F409" s="7" t="s">
        <v>365</v>
      </c>
      <c r="G409" s="7" t="s">
        <v>355</v>
      </c>
      <c r="H409" s="9">
        <v>143090.0</v>
      </c>
      <c r="I409" s="9">
        <v>0.0</v>
      </c>
      <c r="J409" s="9">
        <v>1179.0</v>
      </c>
      <c r="K409" s="9">
        <v>55991.0</v>
      </c>
      <c r="L409" s="10">
        <v>2.5555892911360756</v>
      </c>
      <c r="M409" s="9">
        <v>2.5555892911360756</v>
      </c>
      <c r="N409" s="9">
        <v>35636.0</v>
      </c>
      <c r="O409" s="9">
        <v>35267.0</v>
      </c>
      <c r="P409" s="9">
        <v>11355.0</v>
      </c>
      <c r="Q409" s="9">
        <v>234.0</v>
      </c>
      <c r="R409" s="9">
        <v>0.0</v>
      </c>
      <c r="S409" s="9">
        <v>0.0</v>
      </c>
      <c r="T409" s="9">
        <v>0.0</v>
      </c>
      <c r="U409" s="9">
        <v>0.0</v>
      </c>
      <c r="V409" s="9">
        <v>0.0</v>
      </c>
      <c r="W409" s="9">
        <v>0.0</v>
      </c>
      <c r="X409" s="9">
        <v>0.0</v>
      </c>
      <c r="Y409" s="9">
        <v>0.0</v>
      </c>
      <c r="Z409" s="9">
        <v>0.0</v>
      </c>
      <c r="AA409" s="9">
        <v>0.0</v>
      </c>
      <c r="AB409" s="9">
        <v>0.0</v>
      </c>
      <c r="AC409" s="9">
        <v>0.0</v>
      </c>
      <c r="AD409" s="11" t="s">
        <v>94</v>
      </c>
      <c r="AE409" s="9" t="s">
        <v>9</v>
      </c>
    </row>
    <row r="410">
      <c r="A410" s="7" t="s">
        <v>1197</v>
      </c>
      <c r="B410" s="7" t="s">
        <v>1198</v>
      </c>
      <c r="C410" s="8">
        <v>46128.0</v>
      </c>
      <c r="D410" s="8">
        <v>46128.0</v>
      </c>
      <c r="E410" s="7" t="s">
        <v>416</v>
      </c>
      <c r="F410" s="7" t="s">
        <v>430</v>
      </c>
      <c r="G410" s="7" t="s">
        <v>355</v>
      </c>
      <c r="H410" s="9">
        <v>0.0</v>
      </c>
      <c r="I410" s="9">
        <v>0.0</v>
      </c>
      <c r="J410" s="9">
        <v>0.0</v>
      </c>
      <c r="K410" s="9">
        <v>0.0</v>
      </c>
      <c r="L410" s="10">
        <v>0.0</v>
      </c>
      <c r="M410" s="9">
        <v>0.0</v>
      </c>
      <c r="N410" s="9">
        <v>20288.0</v>
      </c>
      <c r="O410" s="9">
        <v>19950.0</v>
      </c>
      <c r="P410" s="9">
        <v>3177.0</v>
      </c>
      <c r="Q410" s="9">
        <v>128.0</v>
      </c>
      <c r="R410" s="9">
        <v>0.0</v>
      </c>
      <c r="S410" s="9">
        <v>0.0</v>
      </c>
      <c r="T410" s="9">
        <v>0.0</v>
      </c>
      <c r="U410" s="9">
        <v>0.0</v>
      </c>
      <c r="V410" s="9">
        <v>0.0</v>
      </c>
      <c r="W410" s="9">
        <v>0.0</v>
      </c>
      <c r="X410" s="9">
        <v>0.0</v>
      </c>
      <c r="Y410" s="9">
        <v>0.0</v>
      </c>
      <c r="Z410" s="9">
        <v>0.0</v>
      </c>
      <c r="AA410" s="9">
        <v>0.0</v>
      </c>
      <c r="AB410" s="9">
        <v>0.0</v>
      </c>
      <c r="AC410" s="9">
        <v>0.0</v>
      </c>
      <c r="AD410" s="9"/>
      <c r="AE410" s="9" t="s">
        <v>9</v>
      </c>
    </row>
    <row r="411">
      <c r="A411" s="7" t="s">
        <v>1199</v>
      </c>
      <c r="B411" s="7" t="s">
        <v>1200</v>
      </c>
      <c r="C411" s="8">
        <v>46125.0</v>
      </c>
      <c r="D411" s="8">
        <v>46132.0</v>
      </c>
      <c r="E411" s="7" t="s">
        <v>416</v>
      </c>
      <c r="F411" s="7" t="s">
        <v>594</v>
      </c>
      <c r="G411" s="7" t="s">
        <v>355</v>
      </c>
      <c r="H411" s="9">
        <v>606452.0</v>
      </c>
      <c r="I411" s="9">
        <v>0.0</v>
      </c>
      <c r="J411" s="9">
        <v>814.0</v>
      </c>
      <c r="K411" s="9">
        <v>415956.0</v>
      </c>
      <c r="L411" s="10">
        <v>1.4579715162180615</v>
      </c>
      <c r="M411" s="9">
        <v>1.4579715162180615</v>
      </c>
      <c r="N411" s="9">
        <v>91166.0</v>
      </c>
      <c r="O411" s="9">
        <v>90163.0</v>
      </c>
      <c r="P411" s="9">
        <v>26462.0</v>
      </c>
      <c r="Q411" s="9">
        <v>666.0</v>
      </c>
      <c r="R411" s="9">
        <v>271.0</v>
      </c>
      <c r="S411" s="9">
        <v>270.0</v>
      </c>
      <c r="T411" s="9">
        <v>74.0</v>
      </c>
      <c r="U411" s="9">
        <v>70.0</v>
      </c>
      <c r="V411" s="9">
        <v>0.0</v>
      </c>
      <c r="W411" s="9">
        <v>0.0</v>
      </c>
      <c r="X411" s="9">
        <v>0.0</v>
      </c>
      <c r="Y411" s="9">
        <v>0.0</v>
      </c>
      <c r="Z411" s="9">
        <v>0.0</v>
      </c>
      <c r="AA411" s="9">
        <v>0.0</v>
      </c>
      <c r="AB411" s="9">
        <v>0.0</v>
      </c>
      <c r="AC411" s="9">
        <v>0.0</v>
      </c>
      <c r="AD411" s="11" t="s">
        <v>95</v>
      </c>
      <c r="AE411" s="9" t="s">
        <v>9</v>
      </c>
    </row>
    <row r="412">
      <c r="A412" s="7" t="s">
        <v>1201</v>
      </c>
      <c r="B412" s="7" t="s">
        <v>1202</v>
      </c>
      <c r="C412" s="8">
        <v>46132.0</v>
      </c>
      <c r="D412" s="8">
        <v>46139.0</v>
      </c>
      <c r="E412" s="7" t="s">
        <v>364</v>
      </c>
      <c r="F412" s="7" t="s">
        <v>365</v>
      </c>
      <c r="G412" s="7" t="s">
        <v>355</v>
      </c>
      <c r="H412" s="9">
        <v>8213237.0</v>
      </c>
      <c r="I412" s="9">
        <v>0.0</v>
      </c>
      <c r="J412" s="9">
        <v>50470.0</v>
      </c>
      <c r="K412" s="9">
        <v>605662.0</v>
      </c>
      <c r="L412" s="10">
        <v>4.08729951689226</v>
      </c>
      <c r="M412" s="9">
        <v>13.560759961826893</v>
      </c>
      <c r="N412" s="9">
        <v>376677.0</v>
      </c>
      <c r="O412" s="9">
        <v>372667.0</v>
      </c>
      <c r="P412" s="9">
        <v>133937.0</v>
      </c>
      <c r="Q412" s="9">
        <v>5297.0</v>
      </c>
      <c r="R412" s="9">
        <v>0.0</v>
      </c>
      <c r="S412" s="9">
        <v>0.0</v>
      </c>
      <c r="T412" s="9">
        <v>0.0</v>
      </c>
      <c r="U412" s="9">
        <v>0.0</v>
      </c>
      <c r="V412" s="9">
        <v>0.0</v>
      </c>
      <c r="W412" s="9">
        <v>0.0</v>
      </c>
      <c r="X412" s="9">
        <v>0.0</v>
      </c>
      <c r="Y412" s="9">
        <v>0.0</v>
      </c>
      <c r="Z412" s="9">
        <v>0.0</v>
      </c>
      <c r="AA412" s="9">
        <v>0.0</v>
      </c>
      <c r="AB412" s="9">
        <v>0.0</v>
      </c>
      <c r="AC412" s="9">
        <v>0.0</v>
      </c>
      <c r="AD412" s="11" t="s">
        <v>96</v>
      </c>
      <c r="AE412" s="9" t="s">
        <v>9</v>
      </c>
    </row>
    <row r="413">
      <c r="A413" s="7" t="s">
        <v>1203</v>
      </c>
      <c r="B413" s="7" t="s">
        <v>1204</v>
      </c>
      <c r="C413" s="8">
        <v>46125.0</v>
      </c>
      <c r="D413" s="8">
        <v>46126.0</v>
      </c>
      <c r="E413" s="7" t="s">
        <v>364</v>
      </c>
      <c r="F413" s="7" t="s">
        <v>365</v>
      </c>
      <c r="G413" s="7" t="s">
        <v>355</v>
      </c>
      <c r="H413" s="9">
        <v>442197.0</v>
      </c>
      <c r="I413" s="9">
        <v>0.0</v>
      </c>
      <c r="J413" s="9">
        <v>693.0</v>
      </c>
      <c r="K413" s="9">
        <v>358995.0</v>
      </c>
      <c r="L413" s="10">
        <v>1.2317636735887687</v>
      </c>
      <c r="M413" s="9">
        <v>1.2317636735887687</v>
      </c>
      <c r="N413" s="9">
        <v>174291.0</v>
      </c>
      <c r="O413" s="9">
        <v>172584.0</v>
      </c>
      <c r="P413" s="9">
        <v>68787.0</v>
      </c>
      <c r="Q413" s="9">
        <v>609.0</v>
      </c>
      <c r="R413" s="9">
        <v>0.0</v>
      </c>
      <c r="S413" s="9">
        <v>0.0</v>
      </c>
      <c r="T413" s="9">
        <v>0.0</v>
      </c>
      <c r="U413" s="9">
        <v>0.0</v>
      </c>
      <c r="V413" s="9">
        <v>0.0</v>
      </c>
      <c r="W413" s="9">
        <v>0.0</v>
      </c>
      <c r="X413" s="9">
        <v>0.0</v>
      </c>
      <c r="Y413" s="9">
        <v>0.0</v>
      </c>
      <c r="Z413" s="9">
        <v>0.0</v>
      </c>
      <c r="AA413" s="9">
        <v>0.0</v>
      </c>
      <c r="AB413" s="9">
        <v>0.0</v>
      </c>
      <c r="AC413" s="9">
        <v>0.0</v>
      </c>
      <c r="AD413" s="11" t="s">
        <v>97</v>
      </c>
      <c r="AE413" s="9" t="s">
        <v>9</v>
      </c>
    </row>
    <row r="414">
      <c r="A414" s="7" t="s">
        <v>1205</v>
      </c>
      <c r="B414" s="7" t="s">
        <v>1206</v>
      </c>
      <c r="C414" s="8">
        <v>46126.0</v>
      </c>
      <c r="D414" s="8">
        <v>46129.0</v>
      </c>
      <c r="E414" s="7" t="s">
        <v>364</v>
      </c>
      <c r="F414" s="7" t="s">
        <v>365</v>
      </c>
      <c r="G414" s="7" t="s">
        <v>355</v>
      </c>
      <c r="H414" s="9">
        <v>36818.0</v>
      </c>
      <c r="I414" s="9">
        <v>0.0</v>
      </c>
      <c r="J414" s="9">
        <v>280.0</v>
      </c>
      <c r="K414" s="9">
        <v>33010.0</v>
      </c>
      <c r="L414" s="10">
        <v>1.1153589821266283</v>
      </c>
      <c r="M414" s="9">
        <v>1.1153589821266283</v>
      </c>
      <c r="N414" s="9">
        <v>66292.0</v>
      </c>
      <c r="O414" s="9">
        <v>65412.0</v>
      </c>
      <c r="P414" s="9">
        <v>19048.0</v>
      </c>
      <c r="Q414" s="9">
        <v>80.0</v>
      </c>
      <c r="R414" s="9">
        <v>0.0</v>
      </c>
      <c r="S414" s="9">
        <v>0.0</v>
      </c>
      <c r="T414" s="9">
        <v>0.0</v>
      </c>
      <c r="U414" s="9">
        <v>0.0</v>
      </c>
      <c r="V414" s="9">
        <v>0.0</v>
      </c>
      <c r="W414" s="9">
        <v>0.0</v>
      </c>
      <c r="X414" s="9">
        <v>0.0</v>
      </c>
      <c r="Y414" s="9">
        <v>0.0</v>
      </c>
      <c r="Z414" s="9">
        <v>0.0</v>
      </c>
      <c r="AA414" s="9">
        <v>0.0</v>
      </c>
      <c r="AB414" s="9">
        <v>0.0</v>
      </c>
      <c r="AC414" s="9">
        <v>0.0</v>
      </c>
      <c r="AD414" s="11" t="s">
        <v>98</v>
      </c>
      <c r="AE414" s="9" t="s">
        <v>9</v>
      </c>
    </row>
    <row r="415">
      <c r="A415" s="7" t="s">
        <v>1207</v>
      </c>
      <c r="B415" s="7" t="s">
        <v>1208</v>
      </c>
      <c r="C415" s="8">
        <v>46127.0</v>
      </c>
      <c r="D415" s="8">
        <v>46136.0</v>
      </c>
      <c r="E415" s="7" t="s">
        <v>416</v>
      </c>
      <c r="F415" s="7" t="s">
        <v>417</v>
      </c>
      <c r="G415" s="7" t="s">
        <v>355</v>
      </c>
      <c r="H415" s="9">
        <v>0.0</v>
      </c>
      <c r="I415" s="9">
        <v>0.0</v>
      </c>
      <c r="J415" s="9">
        <v>0.0</v>
      </c>
      <c r="K415" s="9">
        <v>0.0</v>
      </c>
      <c r="L415" s="10">
        <v>0.0</v>
      </c>
      <c r="M415" s="9">
        <v>0.0</v>
      </c>
      <c r="N415" s="9">
        <v>555135.0</v>
      </c>
      <c r="O415" s="9">
        <v>549568.0</v>
      </c>
      <c r="P415" s="9">
        <v>116240.0</v>
      </c>
      <c r="Q415" s="9">
        <v>951.0</v>
      </c>
      <c r="R415" s="9">
        <v>0.0</v>
      </c>
      <c r="S415" s="9">
        <v>0.0</v>
      </c>
      <c r="T415" s="9">
        <v>0.0</v>
      </c>
      <c r="U415" s="9">
        <v>0.0</v>
      </c>
      <c r="V415" s="9">
        <v>0.0</v>
      </c>
      <c r="W415" s="9">
        <v>0.0</v>
      </c>
      <c r="X415" s="9">
        <v>0.0</v>
      </c>
      <c r="Y415" s="9">
        <v>0.0</v>
      </c>
      <c r="Z415" s="9">
        <v>0.0</v>
      </c>
      <c r="AA415" s="9">
        <v>0.0</v>
      </c>
      <c r="AB415" s="9">
        <v>0.0</v>
      </c>
      <c r="AC415" s="9">
        <v>0.0</v>
      </c>
      <c r="AD415" s="9"/>
      <c r="AE415" s="9" t="s">
        <v>9</v>
      </c>
    </row>
    <row r="416">
      <c r="A416" s="7" t="s">
        <v>1209</v>
      </c>
      <c r="B416" s="7" t="s">
        <v>1210</v>
      </c>
      <c r="C416" s="8">
        <v>46126.0</v>
      </c>
      <c r="D416" s="8">
        <v>46136.0</v>
      </c>
      <c r="E416" s="7" t="s">
        <v>416</v>
      </c>
      <c r="F416" s="7" t="s">
        <v>430</v>
      </c>
      <c r="G416" s="7" t="s">
        <v>355</v>
      </c>
      <c r="H416" s="9">
        <v>530211.0</v>
      </c>
      <c r="I416" s="9">
        <v>0.0</v>
      </c>
      <c r="J416" s="9">
        <v>7.0</v>
      </c>
      <c r="K416" s="9">
        <v>348156.0</v>
      </c>
      <c r="L416" s="10">
        <v>1.5229121428325234</v>
      </c>
      <c r="M416" s="9">
        <v>1.5229121428325234</v>
      </c>
      <c r="N416" s="9">
        <v>0.0</v>
      </c>
      <c r="O416" s="9">
        <v>0.0</v>
      </c>
      <c r="P416" s="9">
        <v>0.0</v>
      </c>
      <c r="Q416" s="9">
        <v>0.0</v>
      </c>
      <c r="R416" s="9">
        <v>0.0</v>
      </c>
      <c r="S416" s="9">
        <v>0.0</v>
      </c>
      <c r="T416" s="9">
        <v>0.0</v>
      </c>
      <c r="U416" s="9">
        <v>0.0</v>
      </c>
      <c r="V416" s="9">
        <v>0.0</v>
      </c>
      <c r="W416" s="9">
        <v>0.0</v>
      </c>
      <c r="X416" s="9">
        <v>0.0</v>
      </c>
      <c r="Y416" s="9">
        <v>0.0</v>
      </c>
      <c r="Z416" s="9">
        <v>0.0</v>
      </c>
      <c r="AA416" s="9">
        <v>0.0</v>
      </c>
      <c r="AB416" s="9">
        <v>0.0</v>
      </c>
      <c r="AC416" s="9">
        <v>0.0</v>
      </c>
      <c r="AD416" s="11" t="s">
        <v>99</v>
      </c>
      <c r="AE416" s="9"/>
    </row>
    <row r="417">
      <c r="A417" s="7" t="s">
        <v>1211</v>
      </c>
      <c r="B417" s="7" t="s">
        <v>1212</v>
      </c>
      <c r="C417" s="8">
        <v>46140.0</v>
      </c>
      <c r="D417" s="8">
        <v>46140.0</v>
      </c>
      <c r="E417" s="7" t="s">
        <v>358</v>
      </c>
      <c r="F417" s="7" t="s">
        <v>387</v>
      </c>
      <c r="G417" s="7" t="s">
        <v>355</v>
      </c>
      <c r="H417" s="9">
        <v>0.0</v>
      </c>
      <c r="I417" s="9">
        <v>0.0</v>
      </c>
      <c r="J417" s="9">
        <v>0.0</v>
      </c>
      <c r="K417" s="9">
        <v>0.0</v>
      </c>
      <c r="L417" s="10">
        <v>0.0</v>
      </c>
      <c r="M417" s="9">
        <v>0.0</v>
      </c>
      <c r="N417" s="9">
        <v>27998.0</v>
      </c>
      <c r="O417" s="9">
        <v>27691.0</v>
      </c>
      <c r="P417" s="9">
        <v>10566.0</v>
      </c>
      <c r="Q417" s="9">
        <v>600.0</v>
      </c>
      <c r="R417" s="9">
        <v>0.0</v>
      </c>
      <c r="S417" s="9">
        <v>0.0</v>
      </c>
      <c r="T417" s="9">
        <v>0.0</v>
      </c>
      <c r="U417" s="9">
        <v>0.0</v>
      </c>
      <c r="V417" s="9">
        <v>0.0</v>
      </c>
      <c r="W417" s="9">
        <v>0.0</v>
      </c>
      <c r="X417" s="9">
        <v>0.0</v>
      </c>
      <c r="Y417" s="9">
        <v>0.0</v>
      </c>
      <c r="Z417" s="9">
        <v>0.0</v>
      </c>
      <c r="AA417" s="9">
        <v>0.0</v>
      </c>
      <c r="AB417" s="9">
        <v>0.0</v>
      </c>
      <c r="AC417" s="9">
        <v>0.0</v>
      </c>
      <c r="AD417" s="9"/>
      <c r="AE417" s="9" t="s">
        <v>9</v>
      </c>
    </row>
    <row r="418">
      <c r="A418" s="7" t="s">
        <v>1213</v>
      </c>
      <c r="B418" s="7" t="s">
        <v>1214</v>
      </c>
      <c r="C418" s="8">
        <v>46127.0</v>
      </c>
      <c r="D418" s="8">
        <v>46127.0</v>
      </c>
      <c r="E418" s="7" t="s">
        <v>358</v>
      </c>
      <c r="F418" s="7" t="s">
        <v>387</v>
      </c>
      <c r="G418" s="7" t="s">
        <v>355</v>
      </c>
      <c r="H418" s="9">
        <v>0.0</v>
      </c>
      <c r="I418" s="9">
        <v>0.0</v>
      </c>
      <c r="J418" s="9">
        <v>0.0</v>
      </c>
      <c r="K418" s="9">
        <v>0.0</v>
      </c>
      <c r="L418" s="10">
        <v>0.0</v>
      </c>
      <c r="M418" s="9">
        <v>0.0</v>
      </c>
      <c r="N418" s="9">
        <v>18712.0</v>
      </c>
      <c r="O418" s="9">
        <v>18529.0</v>
      </c>
      <c r="P418" s="9">
        <v>7301.0</v>
      </c>
      <c r="Q418" s="9">
        <v>320.0</v>
      </c>
      <c r="R418" s="9">
        <v>0.0</v>
      </c>
      <c r="S418" s="9">
        <v>0.0</v>
      </c>
      <c r="T418" s="9">
        <v>0.0</v>
      </c>
      <c r="U418" s="9">
        <v>0.0</v>
      </c>
      <c r="V418" s="9">
        <v>0.0</v>
      </c>
      <c r="W418" s="9">
        <v>0.0</v>
      </c>
      <c r="X418" s="9">
        <v>0.0</v>
      </c>
      <c r="Y418" s="9">
        <v>0.0</v>
      </c>
      <c r="Z418" s="9">
        <v>0.0</v>
      </c>
      <c r="AA418" s="9">
        <v>0.0</v>
      </c>
      <c r="AB418" s="9">
        <v>0.0</v>
      </c>
      <c r="AC418" s="9">
        <v>0.0</v>
      </c>
      <c r="AD418" s="9"/>
      <c r="AE418" s="9" t="s">
        <v>9</v>
      </c>
    </row>
    <row r="419">
      <c r="A419" s="7" t="s">
        <v>1215</v>
      </c>
      <c r="B419" s="7" t="s">
        <v>1216</v>
      </c>
      <c r="C419" s="8">
        <v>46133.0</v>
      </c>
      <c r="D419" s="8">
        <v>46133.0</v>
      </c>
      <c r="E419" s="7" t="s">
        <v>358</v>
      </c>
      <c r="F419" s="7" t="s">
        <v>387</v>
      </c>
      <c r="G419" s="7" t="s">
        <v>355</v>
      </c>
      <c r="H419" s="9">
        <v>0.0</v>
      </c>
      <c r="I419" s="9">
        <v>0.0</v>
      </c>
      <c r="J419" s="9">
        <v>0.0</v>
      </c>
      <c r="K419" s="9">
        <v>0.0</v>
      </c>
      <c r="L419" s="10">
        <v>0.0</v>
      </c>
      <c r="M419" s="9">
        <v>0.0</v>
      </c>
      <c r="N419" s="9">
        <v>15439.0</v>
      </c>
      <c r="O419" s="9">
        <v>15246.0</v>
      </c>
      <c r="P419" s="9">
        <v>6124.0</v>
      </c>
      <c r="Q419" s="9">
        <v>312.0</v>
      </c>
      <c r="R419" s="9">
        <v>0.0</v>
      </c>
      <c r="S419" s="9">
        <v>0.0</v>
      </c>
      <c r="T419" s="9">
        <v>0.0</v>
      </c>
      <c r="U419" s="9">
        <v>0.0</v>
      </c>
      <c r="V419" s="9">
        <v>0.0</v>
      </c>
      <c r="W419" s="9">
        <v>0.0</v>
      </c>
      <c r="X419" s="9">
        <v>0.0</v>
      </c>
      <c r="Y419" s="9">
        <v>0.0</v>
      </c>
      <c r="Z419" s="9">
        <v>0.0</v>
      </c>
      <c r="AA419" s="9">
        <v>0.0</v>
      </c>
      <c r="AB419" s="9">
        <v>0.0</v>
      </c>
      <c r="AC419" s="9">
        <v>0.0</v>
      </c>
      <c r="AD419" s="9"/>
      <c r="AE419" s="9" t="s">
        <v>9</v>
      </c>
    </row>
    <row r="420">
      <c r="A420" s="7" t="s">
        <v>1217</v>
      </c>
      <c r="B420" s="7" t="s">
        <v>1218</v>
      </c>
      <c r="C420" s="8">
        <v>46133.0</v>
      </c>
      <c r="D420" s="8">
        <v>46133.0</v>
      </c>
      <c r="E420" s="7" t="s">
        <v>358</v>
      </c>
      <c r="F420" s="7" t="s">
        <v>387</v>
      </c>
      <c r="G420" s="7" t="s">
        <v>355</v>
      </c>
      <c r="H420" s="9">
        <v>0.0</v>
      </c>
      <c r="I420" s="9">
        <v>0.0</v>
      </c>
      <c r="J420" s="9">
        <v>0.0</v>
      </c>
      <c r="K420" s="9">
        <v>0.0</v>
      </c>
      <c r="L420" s="10">
        <v>0.0</v>
      </c>
      <c r="M420" s="9">
        <v>0.0</v>
      </c>
      <c r="N420" s="9">
        <v>20581.0</v>
      </c>
      <c r="O420" s="9">
        <v>20300.0</v>
      </c>
      <c r="P420" s="9">
        <v>6563.0</v>
      </c>
      <c r="Q420" s="9">
        <v>286.0</v>
      </c>
      <c r="R420" s="9">
        <v>0.0</v>
      </c>
      <c r="S420" s="9">
        <v>0.0</v>
      </c>
      <c r="T420" s="9">
        <v>0.0</v>
      </c>
      <c r="U420" s="9">
        <v>0.0</v>
      </c>
      <c r="V420" s="9">
        <v>0.0</v>
      </c>
      <c r="W420" s="9">
        <v>0.0</v>
      </c>
      <c r="X420" s="9">
        <v>0.0</v>
      </c>
      <c r="Y420" s="9">
        <v>0.0</v>
      </c>
      <c r="Z420" s="9">
        <v>0.0</v>
      </c>
      <c r="AA420" s="9">
        <v>0.0</v>
      </c>
      <c r="AB420" s="9">
        <v>0.0</v>
      </c>
      <c r="AC420" s="9">
        <v>0.0</v>
      </c>
      <c r="AD420" s="9"/>
      <c r="AE420" s="9" t="s">
        <v>9</v>
      </c>
    </row>
    <row r="421">
      <c r="A421" s="7" t="s">
        <v>1219</v>
      </c>
      <c r="B421" s="7" t="s">
        <v>1220</v>
      </c>
      <c r="C421" s="8">
        <v>46134.0</v>
      </c>
      <c r="D421" s="8">
        <v>46134.0</v>
      </c>
      <c r="E421" s="7" t="s">
        <v>358</v>
      </c>
      <c r="F421" s="7" t="s">
        <v>387</v>
      </c>
      <c r="G421" s="7" t="s">
        <v>355</v>
      </c>
      <c r="H421" s="9">
        <v>0.0</v>
      </c>
      <c r="I421" s="9">
        <v>0.0</v>
      </c>
      <c r="J421" s="9">
        <v>0.0</v>
      </c>
      <c r="K421" s="9">
        <v>0.0</v>
      </c>
      <c r="L421" s="10">
        <v>0.0</v>
      </c>
      <c r="M421" s="9">
        <v>0.0</v>
      </c>
      <c r="N421" s="9">
        <v>38642.0</v>
      </c>
      <c r="O421" s="9">
        <v>38226.0</v>
      </c>
      <c r="P421" s="9">
        <v>16014.0</v>
      </c>
      <c r="Q421" s="9">
        <v>471.0</v>
      </c>
      <c r="R421" s="9">
        <v>0.0</v>
      </c>
      <c r="S421" s="9">
        <v>0.0</v>
      </c>
      <c r="T421" s="9">
        <v>0.0</v>
      </c>
      <c r="U421" s="9">
        <v>0.0</v>
      </c>
      <c r="V421" s="9">
        <v>0.0</v>
      </c>
      <c r="W421" s="9">
        <v>0.0</v>
      </c>
      <c r="X421" s="9">
        <v>0.0</v>
      </c>
      <c r="Y421" s="9">
        <v>0.0</v>
      </c>
      <c r="Z421" s="9">
        <v>0.0</v>
      </c>
      <c r="AA421" s="9">
        <v>0.0</v>
      </c>
      <c r="AB421" s="9">
        <v>0.0</v>
      </c>
      <c r="AC421" s="9">
        <v>0.0</v>
      </c>
      <c r="AD421" s="9"/>
      <c r="AE421" s="9" t="s">
        <v>9</v>
      </c>
    </row>
    <row r="422">
      <c r="A422" s="7" t="s">
        <v>1221</v>
      </c>
      <c r="B422" s="7" t="s">
        <v>1222</v>
      </c>
      <c r="C422" s="8">
        <v>46164.0</v>
      </c>
      <c r="D422" s="8">
        <v>46178.0</v>
      </c>
      <c r="E422" s="7" t="s">
        <v>353</v>
      </c>
      <c r="F422" s="7" t="s">
        <v>378</v>
      </c>
      <c r="G422" s="7" t="s">
        <v>355</v>
      </c>
      <c r="H422" s="9">
        <v>6927563.0</v>
      </c>
      <c r="I422" s="9">
        <v>0.0</v>
      </c>
      <c r="J422" s="9">
        <v>17776.0</v>
      </c>
      <c r="K422" s="9">
        <v>0.0</v>
      </c>
      <c r="L422" s="10">
        <v>0.0</v>
      </c>
      <c r="M422" s="9">
        <v>0.0</v>
      </c>
      <c r="N422" s="9">
        <v>75081.0</v>
      </c>
      <c r="O422" s="9">
        <v>73963.0</v>
      </c>
      <c r="P422" s="9">
        <v>26847.0</v>
      </c>
      <c r="Q422" s="9">
        <v>2079.0</v>
      </c>
      <c r="R422" s="9">
        <v>0.0</v>
      </c>
      <c r="S422" s="9">
        <v>0.0</v>
      </c>
      <c r="T422" s="9">
        <v>0.0</v>
      </c>
      <c r="U422" s="9">
        <v>0.0</v>
      </c>
      <c r="V422" s="9">
        <v>0.0</v>
      </c>
      <c r="W422" s="9">
        <v>0.0</v>
      </c>
      <c r="X422" s="9">
        <v>0.0</v>
      </c>
      <c r="Y422" s="9">
        <v>0.0</v>
      </c>
      <c r="Z422" s="9">
        <v>0.0</v>
      </c>
      <c r="AA422" s="9">
        <v>0.0</v>
      </c>
      <c r="AB422" s="9">
        <v>0.0</v>
      </c>
      <c r="AC422" s="9">
        <v>0.0</v>
      </c>
      <c r="AD422" s="9"/>
      <c r="AE422" s="9" t="s">
        <v>9</v>
      </c>
    </row>
    <row r="423">
      <c r="A423" s="7" t="s">
        <v>1223</v>
      </c>
      <c r="B423" s="7" t="s">
        <v>1224</v>
      </c>
      <c r="C423" s="8">
        <v>46133.0</v>
      </c>
      <c r="D423" s="8">
        <v>46147.0</v>
      </c>
      <c r="E423" s="7" t="s">
        <v>353</v>
      </c>
      <c r="F423" s="7" t="s">
        <v>378</v>
      </c>
      <c r="G423" s="7" t="s">
        <v>355</v>
      </c>
      <c r="H423" s="9">
        <v>7500848.0</v>
      </c>
      <c r="I423" s="9">
        <v>0.0</v>
      </c>
      <c r="J423" s="9">
        <v>27160.0</v>
      </c>
      <c r="K423" s="9">
        <v>482780.0</v>
      </c>
      <c r="L423" s="10">
        <v>3.360215833298811</v>
      </c>
      <c r="M423" s="9">
        <v>15.536782799618875</v>
      </c>
      <c r="N423" s="9">
        <v>65563.0</v>
      </c>
      <c r="O423" s="9">
        <v>64733.0</v>
      </c>
      <c r="P423" s="9">
        <v>20682.0</v>
      </c>
      <c r="Q423" s="9">
        <v>1422.0</v>
      </c>
      <c r="R423" s="9">
        <v>0.0</v>
      </c>
      <c r="S423" s="9">
        <v>0.0</v>
      </c>
      <c r="T423" s="9">
        <v>0.0</v>
      </c>
      <c r="U423" s="9">
        <v>0.0</v>
      </c>
      <c r="V423" s="9">
        <v>0.0</v>
      </c>
      <c r="W423" s="9">
        <v>0.0</v>
      </c>
      <c r="X423" s="9">
        <v>0.0</v>
      </c>
      <c r="Y423" s="9">
        <v>0.0</v>
      </c>
      <c r="Z423" s="9">
        <v>0.0</v>
      </c>
      <c r="AA423" s="9">
        <v>0.0</v>
      </c>
      <c r="AB423" s="9">
        <v>0.0</v>
      </c>
      <c r="AC423" s="9">
        <v>0.0</v>
      </c>
      <c r="AD423" s="11" t="s">
        <v>100</v>
      </c>
      <c r="AE423" s="9" t="s">
        <v>9</v>
      </c>
    </row>
    <row r="424">
      <c r="A424" s="7" t="s">
        <v>1225</v>
      </c>
      <c r="B424" s="7" t="s">
        <v>1226</v>
      </c>
      <c r="C424" s="8">
        <v>46140.0</v>
      </c>
      <c r="D424" s="8">
        <v>46140.0</v>
      </c>
      <c r="E424" s="7" t="s">
        <v>364</v>
      </c>
      <c r="F424" s="7" t="s">
        <v>365</v>
      </c>
      <c r="G424" s="7" t="s">
        <v>355</v>
      </c>
      <c r="H424" s="9">
        <v>0.0</v>
      </c>
      <c r="I424" s="9">
        <v>0.0</v>
      </c>
      <c r="J424" s="9">
        <v>0.0</v>
      </c>
      <c r="K424" s="9">
        <v>0.0</v>
      </c>
      <c r="L424" s="10">
        <v>0.0</v>
      </c>
      <c r="M424" s="9">
        <v>0.0</v>
      </c>
      <c r="N424" s="9">
        <v>229248.0</v>
      </c>
      <c r="O424" s="9">
        <v>228497.0</v>
      </c>
      <c r="P424" s="9">
        <v>43082.0</v>
      </c>
      <c r="Q424" s="9">
        <v>434.0</v>
      </c>
      <c r="R424" s="9">
        <v>0.0</v>
      </c>
      <c r="S424" s="9">
        <v>0.0</v>
      </c>
      <c r="T424" s="9">
        <v>0.0</v>
      </c>
      <c r="U424" s="9">
        <v>0.0</v>
      </c>
      <c r="V424" s="9">
        <v>0.0</v>
      </c>
      <c r="W424" s="9">
        <v>0.0</v>
      </c>
      <c r="X424" s="9">
        <v>0.0</v>
      </c>
      <c r="Y424" s="9">
        <v>0.0</v>
      </c>
      <c r="Z424" s="9">
        <v>0.0</v>
      </c>
      <c r="AA424" s="9">
        <v>0.0</v>
      </c>
      <c r="AB424" s="9">
        <v>0.0</v>
      </c>
      <c r="AC424" s="9">
        <v>0.0</v>
      </c>
      <c r="AD424" s="9"/>
      <c r="AE424" s="9" t="s">
        <v>9</v>
      </c>
    </row>
    <row r="425">
      <c r="A425" s="7" t="s">
        <v>1227</v>
      </c>
      <c r="B425" s="7" t="s">
        <v>1228</v>
      </c>
      <c r="C425" s="8">
        <v>46126.0</v>
      </c>
      <c r="D425" s="8">
        <v>46130.0</v>
      </c>
      <c r="E425" s="7" t="s">
        <v>364</v>
      </c>
      <c r="F425" s="7" t="s">
        <v>365</v>
      </c>
      <c r="G425" s="7" t="s">
        <v>355</v>
      </c>
      <c r="H425" s="9">
        <v>529484.0</v>
      </c>
      <c r="I425" s="9">
        <v>0.0</v>
      </c>
      <c r="J425" s="9">
        <v>929.0</v>
      </c>
      <c r="K425" s="9">
        <v>349621.0</v>
      </c>
      <c r="L425" s="10">
        <v>1.5144513630474141</v>
      </c>
      <c r="M425" s="9">
        <v>1.5144513630474141</v>
      </c>
      <c r="N425" s="9">
        <v>124025.0</v>
      </c>
      <c r="O425" s="9">
        <v>122808.0</v>
      </c>
      <c r="P425" s="9">
        <v>50903.0</v>
      </c>
      <c r="Q425" s="9">
        <v>333.0</v>
      </c>
      <c r="R425" s="9">
        <v>0.0</v>
      </c>
      <c r="S425" s="9">
        <v>0.0</v>
      </c>
      <c r="T425" s="9">
        <v>0.0</v>
      </c>
      <c r="U425" s="9">
        <v>0.0</v>
      </c>
      <c r="V425" s="9">
        <v>0.0</v>
      </c>
      <c r="W425" s="9">
        <v>0.0</v>
      </c>
      <c r="X425" s="9">
        <v>0.0</v>
      </c>
      <c r="Y425" s="9">
        <v>0.0</v>
      </c>
      <c r="Z425" s="9">
        <v>0.0</v>
      </c>
      <c r="AA425" s="9">
        <v>0.0</v>
      </c>
      <c r="AB425" s="9">
        <v>0.0</v>
      </c>
      <c r="AC425" s="9">
        <v>0.0</v>
      </c>
      <c r="AD425" s="11" t="s">
        <v>101</v>
      </c>
      <c r="AE425" s="9" t="s">
        <v>9</v>
      </c>
    </row>
    <row r="426">
      <c r="A426" s="7" t="s">
        <v>1229</v>
      </c>
      <c r="B426" s="7" t="s">
        <v>1230</v>
      </c>
      <c r="C426" s="8">
        <v>46126.0</v>
      </c>
      <c r="D426" s="8">
        <v>46129.0</v>
      </c>
      <c r="E426" s="7" t="s">
        <v>416</v>
      </c>
      <c r="F426" s="7" t="s">
        <v>725</v>
      </c>
      <c r="G426" s="7" t="s">
        <v>355</v>
      </c>
      <c r="H426" s="9">
        <v>1023937.0</v>
      </c>
      <c r="I426" s="9">
        <v>0.0</v>
      </c>
      <c r="J426" s="9">
        <v>1306.0</v>
      </c>
      <c r="K426" s="9">
        <v>245180.0</v>
      </c>
      <c r="L426" s="10">
        <v>4.176266416510319</v>
      </c>
      <c r="M426" s="9">
        <v>4.176266416510319</v>
      </c>
      <c r="N426" s="9">
        <v>3435.0</v>
      </c>
      <c r="O426" s="9">
        <v>3399.0</v>
      </c>
      <c r="P426" s="9">
        <v>818.0</v>
      </c>
      <c r="Q426" s="9">
        <v>25.0</v>
      </c>
      <c r="R426" s="9">
        <v>0.0</v>
      </c>
      <c r="S426" s="9">
        <v>0.0</v>
      </c>
      <c r="T426" s="9">
        <v>0.0</v>
      </c>
      <c r="U426" s="9">
        <v>0.0</v>
      </c>
      <c r="V426" s="9">
        <v>0.0</v>
      </c>
      <c r="W426" s="9">
        <v>0.0</v>
      </c>
      <c r="X426" s="9">
        <v>0.0</v>
      </c>
      <c r="Y426" s="9">
        <v>0.0</v>
      </c>
      <c r="Z426" s="9">
        <v>0.0</v>
      </c>
      <c r="AA426" s="9">
        <v>0.0</v>
      </c>
      <c r="AB426" s="9">
        <v>0.0</v>
      </c>
      <c r="AC426" s="9">
        <v>0.0</v>
      </c>
      <c r="AD426" s="11" t="s">
        <v>102</v>
      </c>
      <c r="AE426" s="9" t="s">
        <v>9</v>
      </c>
    </row>
    <row r="427">
      <c r="A427" s="7" t="s">
        <v>1231</v>
      </c>
      <c r="B427" s="7" t="s">
        <v>1232</v>
      </c>
      <c r="C427" s="8">
        <v>46127.0</v>
      </c>
      <c r="D427" s="8">
        <v>46131.0</v>
      </c>
      <c r="E427" s="7" t="s">
        <v>364</v>
      </c>
      <c r="F427" s="7" t="s">
        <v>365</v>
      </c>
      <c r="G427" s="7" t="s">
        <v>355</v>
      </c>
      <c r="H427" s="9">
        <v>80270.0</v>
      </c>
      <c r="I427" s="9">
        <v>0.0</v>
      </c>
      <c r="J427" s="9">
        <v>1704.0</v>
      </c>
      <c r="K427" s="9">
        <v>54520.0</v>
      </c>
      <c r="L427" s="10">
        <v>1.4723037417461482</v>
      </c>
      <c r="M427" s="9">
        <v>1.4723037417461482</v>
      </c>
      <c r="N427" s="9">
        <v>0.0</v>
      </c>
      <c r="O427" s="9">
        <v>0.0</v>
      </c>
      <c r="P427" s="9">
        <v>0.0</v>
      </c>
      <c r="Q427" s="9">
        <v>0.0</v>
      </c>
      <c r="R427" s="9">
        <v>0.0</v>
      </c>
      <c r="S427" s="9">
        <v>0.0</v>
      </c>
      <c r="T427" s="9">
        <v>0.0</v>
      </c>
      <c r="U427" s="9">
        <v>0.0</v>
      </c>
      <c r="V427" s="9">
        <v>0.0</v>
      </c>
      <c r="W427" s="9">
        <v>0.0</v>
      </c>
      <c r="X427" s="9">
        <v>0.0</v>
      </c>
      <c r="Y427" s="9">
        <v>0.0</v>
      </c>
      <c r="Z427" s="9">
        <v>0.0</v>
      </c>
      <c r="AA427" s="9">
        <v>0.0</v>
      </c>
      <c r="AB427" s="9">
        <v>0.0</v>
      </c>
      <c r="AC427" s="9">
        <v>0.0</v>
      </c>
      <c r="AD427" s="11" t="s">
        <v>103</v>
      </c>
      <c r="AE427" s="9"/>
    </row>
    <row r="428">
      <c r="A428" s="7" t="s">
        <v>1233</v>
      </c>
      <c r="B428" s="7" t="s">
        <v>1234</v>
      </c>
      <c r="C428" s="8">
        <v>46133.0</v>
      </c>
      <c r="D428" s="8">
        <v>46136.0</v>
      </c>
      <c r="E428" s="7" t="s">
        <v>404</v>
      </c>
      <c r="F428" s="7" t="s">
        <v>405</v>
      </c>
      <c r="G428" s="7" t="s">
        <v>355</v>
      </c>
      <c r="H428" s="9">
        <v>2406894.0</v>
      </c>
      <c r="I428" s="9">
        <v>651581.0</v>
      </c>
      <c r="J428" s="9">
        <v>1993.0</v>
      </c>
      <c r="K428" s="9">
        <v>419090.0</v>
      </c>
      <c r="L428" s="10">
        <v>1.3413109355985589</v>
      </c>
      <c r="M428" s="9">
        <v>5.743143477534659</v>
      </c>
      <c r="N428" s="9">
        <v>102712.0</v>
      </c>
      <c r="O428" s="9">
        <v>101476.0</v>
      </c>
      <c r="P428" s="9">
        <v>32001.0</v>
      </c>
      <c r="Q428" s="9">
        <v>3007.0</v>
      </c>
      <c r="R428" s="9">
        <v>0.0</v>
      </c>
      <c r="S428" s="9">
        <v>0.0</v>
      </c>
      <c r="T428" s="9">
        <v>0.0</v>
      </c>
      <c r="U428" s="9">
        <v>0.0</v>
      </c>
      <c r="V428" s="9">
        <v>0.0</v>
      </c>
      <c r="W428" s="9">
        <v>0.0</v>
      </c>
      <c r="X428" s="9">
        <v>0.0</v>
      </c>
      <c r="Y428" s="9">
        <v>0.0</v>
      </c>
      <c r="Z428" s="9">
        <v>0.0</v>
      </c>
      <c r="AA428" s="9">
        <v>0.0</v>
      </c>
      <c r="AB428" s="9">
        <v>0.0</v>
      </c>
      <c r="AC428" s="9">
        <v>0.0</v>
      </c>
      <c r="AD428" s="11" t="s">
        <v>104</v>
      </c>
      <c r="AE428" s="9" t="s">
        <v>9</v>
      </c>
    </row>
    <row r="429">
      <c r="A429" s="7" t="s">
        <v>1235</v>
      </c>
      <c r="B429" s="7" t="s">
        <v>1236</v>
      </c>
      <c r="C429" s="8">
        <v>46128.0</v>
      </c>
      <c r="D429" s="8">
        <v>46128.0</v>
      </c>
      <c r="E429" s="7" t="s">
        <v>353</v>
      </c>
      <c r="F429" s="7" t="s">
        <v>378</v>
      </c>
      <c r="G429" s="7" t="s">
        <v>355</v>
      </c>
      <c r="H429" s="9">
        <v>0.0</v>
      </c>
      <c r="I429" s="9">
        <v>0.0</v>
      </c>
      <c r="J429" s="9">
        <v>0.0</v>
      </c>
      <c r="K429" s="9">
        <v>0.0</v>
      </c>
      <c r="L429" s="10">
        <v>0.0</v>
      </c>
      <c r="M429" s="9">
        <v>0.0</v>
      </c>
      <c r="N429" s="9">
        <v>497.0</v>
      </c>
      <c r="O429" s="9">
        <v>493.0</v>
      </c>
      <c r="P429" s="9">
        <v>182.0</v>
      </c>
      <c r="Q429" s="9">
        <v>37.0</v>
      </c>
      <c r="R429" s="9">
        <v>0.0</v>
      </c>
      <c r="S429" s="9">
        <v>0.0</v>
      </c>
      <c r="T429" s="9">
        <v>0.0</v>
      </c>
      <c r="U429" s="9">
        <v>0.0</v>
      </c>
      <c r="V429" s="9">
        <v>0.0</v>
      </c>
      <c r="W429" s="9">
        <v>0.0</v>
      </c>
      <c r="X429" s="9">
        <v>0.0</v>
      </c>
      <c r="Y429" s="9">
        <v>0.0</v>
      </c>
      <c r="Z429" s="9">
        <v>0.0</v>
      </c>
      <c r="AA429" s="9">
        <v>0.0</v>
      </c>
      <c r="AB429" s="9">
        <v>0.0</v>
      </c>
      <c r="AC429" s="9">
        <v>0.0</v>
      </c>
      <c r="AD429" s="9"/>
      <c r="AE429" s="9" t="s">
        <v>9</v>
      </c>
    </row>
    <row r="430">
      <c r="A430" s="7" t="s">
        <v>1237</v>
      </c>
      <c r="B430" s="7" t="s">
        <v>1238</v>
      </c>
      <c r="C430" s="8">
        <v>46128.0</v>
      </c>
      <c r="D430" s="8">
        <v>46128.0</v>
      </c>
      <c r="E430" s="7" t="s">
        <v>353</v>
      </c>
      <c r="F430" s="7" t="s">
        <v>378</v>
      </c>
      <c r="G430" s="7" t="s">
        <v>355</v>
      </c>
      <c r="H430" s="9">
        <v>0.0</v>
      </c>
      <c r="I430" s="9">
        <v>0.0</v>
      </c>
      <c r="J430" s="9">
        <v>0.0</v>
      </c>
      <c r="K430" s="9">
        <v>0.0</v>
      </c>
      <c r="L430" s="10">
        <v>0.0</v>
      </c>
      <c r="M430" s="9">
        <v>0.0</v>
      </c>
      <c r="N430" s="9">
        <v>6577.0</v>
      </c>
      <c r="O430" s="9">
        <v>6551.0</v>
      </c>
      <c r="P430" s="9">
        <v>1125.0</v>
      </c>
      <c r="Q430" s="9">
        <v>86.0</v>
      </c>
      <c r="R430" s="9">
        <v>0.0</v>
      </c>
      <c r="S430" s="9">
        <v>0.0</v>
      </c>
      <c r="T430" s="9">
        <v>0.0</v>
      </c>
      <c r="U430" s="9">
        <v>0.0</v>
      </c>
      <c r="V430" s="9">
        <v>0.0</v>
      </c>
      <c r="W430" s="9">
        <v>0.0</v>
      </c>
      <c r="X430" s="9">
        <v>0.0</v>
      </c>
      <c r="Y430" s="9">
        <v>0.0</v>
      </c>
      <c r="Z430" s="9">
        <v>0.0</v>
      </c>
      <c r="AA430" s="9">
        <v>0.0</v>
      </c>
      <c r="AB430" s="9">
        <v>0.0</v>
      </c>
      <c r="AC430" s="9">
        <v>0.0</v>
      </c>
      <c r="AD430" s="9"/>
      <c r="AE430" s="9" t="s">
        <v>9</v>
      </c>
    </row>
    <row r="431">
      <c r="A431" s="7" t="s">
        <v>1239</v>
      </c>
      <c r="B431" s="7" t="s">
        <v>1240</v>
      </c>
      <c r="C431" s="8">
        <v>46128.0</v>
      </c>
      <c r="D431" s="8">
        <v>46130.0</v>
      </c>
      <c r="E431" s="7" t="s">
        <v>364</v>
      </c>
      <c r="F431" s="7" t="s">
        <v>365</v>
      </c>
      <c r="G431" s="7" t="s">
        <v>355</v>
      </c>
      <c r="H431" s="9">
        <v>183756.0</v>
      </c>
      <c r="I431" s="9">
        <v>0.0</v>
      </c>
      <c r="J431" s="9">
        <v>1457.0</v>
      </c>
      <c r="K431" s="9">
        <v>118296.0</v>
      </c>
      <c r="L431" s="10">
        <v>1.5533576790424022</v>
      </c>
      <c r="M431" s="9">
        <v>1.5533576790424022</v>
      </c>
      <c r="N431" s="9">
        <v>0.0</v>
      </c>
      <c r="O431" s="9">
        <v>0.0</v>
      </c>
      <c r="P431" s="9">
        <v>0.0</v>
      </c>
      <c r="Q431" s="9">
        <v>0.0</v>
      </c>
      <c r="R431" s="9">
        <v>0.0</v>
      </c>
      <c r="S431" s="9">
        <v>0.0</v>
      </c>
      <c r="T431" s="9">
        <v>0.0</v>
      </c>
      <c r="U431" s="9">
        <v>0.0</v>
      </c>
      <c r="V431" s="9">
        <v>0.0</v>
      </c>
      <c r="W431" s="9">
        <v>0.0</v>
      </c>
      <c r="X431" s="9">
        <v>0.0</v>
      </c>
      <c r="Y431" s="9">
        <v>0.0</v>
      </c>
      <c r="Z431" s="9">
        <v>0.0</v>
      </c>
      <c r="AA431" s="9">
        <v>0.0</v>
      </c>
      <c r="AB431" s="9">
        <v>0.0</v>
      </c>
      <c r="AC431" s="9">
        <v>0.0</v>
      </c>
      <c r="AD431" s="11" t="s">
        <v>105</v>
      </c>
      <c r="AE431" s="9"/>
    </row>
    <row r="432">
      <c r="A432" s="7" t="s">
        <v>1241</v>
      </c>
      <c r="B432" s="7" t="s">
        <v>1242</v>
      </c>
      <c r="C432" s="8">
        <v>46128.0</v>
      </c>
      <c r="D432" s="8">
        <v>46131.0</v>
      </c>
      <c r="E432" s="7" t="s">
        <v>364</v>
      </c>
      <c r="F432" s="7" t="s">
        <v>365</v>
      </c>
      <c r="G432" s="7" t="s">
        <v>355</v>
      </c>
      <c r="H432" s="9">
        <v>402764.0</v>
      </c>
      <c r="I432" s="9">
        <v>0.0</v>
      </c>
      <c r="J432" s="9">
        <v>615.0</v>
      </c>
      <c r="K432" s="9">
        <v>280559.0</v>
      </c>
      <c r="L432" s="10">
        <v>1.4355768305418826</v>
      </c>
      <c r="M432" s="9">
        <v>1.4355768305418826</v>
      </c>
      <c r="N432" s="9">
        <v>162828.0</v>
      </c>
      <c r="O432" s="9">
        <v>161254.0</v>
      </c>
      <c r="P432" s="9">
        <v>66675.0</v>
      </c>
      <c r="Q432" s="9">
        <v>973.0</v>
      </c>
      <c r="R432" s="9">
        <v>0.0</v>
      </c>
      <c r="S432" s="9">
        <v>0.0</v>
      </c>
      <c r="T432" s="9">
        <v>0.0</v>
      </c>
      <c r="U432" s="9">
        <v>0.0</v>
      </c>
      <c r="V432" s="9">
        <v>0.0</v>
      </c>
      <c r="W432" s="9">
        <v>0.0</v>
      </c>
      <c r="X432" s="9">
        <v>0.0</v>
      </c>
      <c r="Y432" s="9">
        <v>0.0</v>
      </c>
      <c r="Z432" s="9">
        <v>0.0</v>
      </c>
      <c r="AA432" s="9">
        <v>0.0</v>
      </c>
      <c r="AB432" s="9">
        <v>0.0</v>
      </c>
      <c r="AC432" s="9">
        <v>0.0</v>
      </c>
      <c r="AD432" s="11" t="s">
        <v>106</v>
      </c>
      <c r="AE432" s="9" t="s">
        <v>9</v>
      </c>
    </row>
    <row r="433">
      <c r="A433" s="7" t="s">
        <v>1243</v>
      </c>
      <c r="B433" s="7" t="s">
        <v>1244</v>
      </c>
      <c r="C433" s="8">
        <v>46127.0</v>
      </c>
      <c r="D433" s="8">
        <v>46142.0</v>
      </c>
      <c r="E433" s="7" t="s">
        <v>358</v>
      </c>
      <c r="F433" s="7" t="s">
        <v>466</v>
      </c>
      <c r="G433" s="7" t="s">
        <v>355</v>
      </c>
      <c r="H433" s="9">
        <v>4255739.0</v>
      </c>
      <c r="I433" s="9">
        <v>2075140.0</v>
      </c>
      <c r="J433" s="9">
        <v>4051.0</v>
      </c>
      <c r="K433" s="9">
        <v>835680.0</v>
      </c>
      <c r="L433" s="10">
        <v>1.9084470132107985</v>
      </c>
      <c r="M433" s="9">
        <v>5.092546189929159</v>
      </c>
      <c r="N433" s="9">
        <v>176386.0</v>
      </c>
      <c r="O433" s="9">
        <v>174485.0</v>
      </c>
      <c r="P433" s="9">
        <v>45581.0</v>
      </c>
      <c r="Q433" s="9">
        <v>555.0</v>
      </c>
      <c r="R433" s="9">
        <v>0.0</v>
      </c>
      <c r="S433" s="9">
        <v>0.0</v>
      </c>
      <c r="T433" s="9">
        <v>0.0</v>
      </c>
      <c r="U433" s="9">
        <v>0.0</v>
      </c>
      <c r="V433" s="9">
        <v>0.0</v>
      </c>
      <c r="W433" s="9">
        <v>0.0</v>
      </c>
      <c r="X433" s="9">
        <v>0.0</v>
      </c>
      <c r="Y433" s="9">
        <v>0.0</v>
      </c>
      <c r="Z433" s="9">
        <v>0.0</v>
      </c>
      <c r="AA433" s="9">
        <v>0.0</v>
      </c>
      <c r="AB433" s="9">
        <v>0.0</v>
      </c>
      <c r="AC433" s="9">
        <v>0.0</v>
      </c>
      <c r="AD433" s="11" t="s">
        <v>107</v>
      </c>
      <c r="AE433" s="9" t="s">
        <v>9</v>
      </c>
    </row>
    <row r="434">
      <c r="A434" s="7" t="s">
        <v>1245</v>
      </c>
      <c r="B434" s="7" t="s">
        <v>1246</v>
      </c>
      <c r="C434" s="8">
        <v>46128.0</v>
      </c>
      <c r="D434" s="8">
        <v>46135.0</v>
      </c>
      <c r="E434" s="7" t="s">
        <v>416</v>
      </c>
      <c r="F434" s="7" t="s">
        <v>783</v>
      </c>
      <c r="G434" s="7" t="s">
        <v>355</v>
      </c>
      <c r="H434" s="9">
        <v>491808.0</v>
      </c>
      <c r="I434" s="9">
        <v>0.0</v>
      </c>
      <c r="J434" s="9">
        <v>856.0</v>
      </c>
      <c r="K434" s="9">
        <v>97790.0</v>
      </c>
      <c r="L434" s="10">
        <v>5.029225892218018</v>
      </c>
      <c r="M434" s="9">
        <v>5.029225892218018</v>
      </c>
      <c r="N434" s="9">
        <v>18784.0</v>
      </c>
      <c r="O434" s="9">
        <v>18429.0</v>
      </c>
      <c r="P434" s="9">
        <v>3045.0</v>
      </c>
      <c r="Q434" s="9">
        <v>53.0</v>
      </c>
      <c r="R434" s="9">
        <v>0.0</v>
      </c>
      <c r="S434" s="9">
        <v>0.0</v>
      </c>
      <c r="T434" s="9">
        <v>0.0</v>
      </c>
      <c r="U434" s="9">
        <v>0.0</v>
      </c>
      <c r="V434" s="9">
        <v>0.0</v>
      </c>
      <c r="W434" s="9">
        <v>0.0</v>
      </c>
      <c r="X434" s="9">
        <v>0.0</v>
      </c>
      <c r="Y434" s="9">
        <v>0.0</v>
      </c>
      <c r="Z434" s="9">
        <v>0.0</v>
      </c>
      <c r="AA434" s="9">
        <v>0.0</v>
      </c>
      <c r="AB434" s="9">
        <v>0.0</v>
      </c>
      <c r="AC434" s="9">
        <v>0.0</v>
      </c>
      <c r="AD434" s="11" t="s">
        <v>108</v>
      </c>
      <c r="AE434" s="9" t="s">
        <v>9</v>
      </c>
    </row>
    <row r="435">
      <c r="A435" s="7" t="s">
        <v>1247</v>
      </c>
      <c r="B435" s="7" t="s">
        <v>1248</v>
      </c>
      <c r="C435" s="8">
        <v>46128.0</v>
      </c>
      <c r="D435" s="8">
        <v>46134.0</v>
      </c>
      <c r="E435" s="7" t="s">
        <v>416</v>
      </c>
      <c r="F435" s="7" t="s">
        <v>365</v>
      </c>
      <c r="G435" s="7" t="s">
        <v>355</v>
      </c>
      <c r="H435" s="9">
        <v>150395.0</v>
      </c>
      <c r="I435" s="9">
        <v>0.0</v>
      </c>
      <c r="J435" s="9">
        <v>637.0</v>
      </c>
      <c r="K435" s="9">
        <v>98609.0</v>
      </c>
      <c r="L435" s="10">
        <v>1.5251650457868957</v>
      </c>
      <c r="M435" s="9">
        <v>1.5251650457868957</v>
      </c>
      <c r="N435" s="9">
        <v>69638.0</v>
      </c>
      <c r="O435" s="9">
        <v>68676.0</v>
      </c>
      <c r="P435" s="9">
        <v>12374.0</v>
      </c>
      <c r="Q435" s="9">
        <v>336.0</v>
      </c>
      <c r="R435" s="9">
        <v>0.0</v>
      </c>
      <c r="S435" s="9">
        <v>0.0</v>
      </c>
      <c r="T435" s="9">
        <v>0.0</v>
      </c>
      <c r="U435" s="9">
        <v>0.0</v>
      </c>
      <c r="V435" s="9">
        <v>0.0</v>
      </c>
      <c r="W435" s="9">
        <v>0.0</v>
      </c>
      <c r="X435" s="9">
        <v>0.0</v>
      </c>
      <c r="Y435" s="9">
        <v>0.0</v>
      </c>
      <c r="Z435" s="9">
        <v>0.0</v>
      </c>
      <c r="AA435" s="9">
        <v>0.0</v>
      </c>
      <c r="AB435" s="9">
        <v>0.0</v>
      </c>
      <c r="AC435" s="9">
        <v>0.0</v>
      </c>
      <c r="AD435" s="11" t="s">
        <v>109</v>
      </c>
      <c r="AE435" s="9" t="s">
        <v>9</v>
      </c>
    </row>
    <row r="436">
      <c r="A436" s="7" t="s">
        <v>1249</v>
      </c>
      <c r="B436" s="7" t="s">
        <v>1250</v>
      </c>
      <c r="C436" s="8">
        <v>46128.0</v>
      </c>
      <c r="D436" s="8">
        <v>46135.0</v>
      </c>
      <c r="E436" s="7" t="s">
        <v>416</v>
      </c>
      <c r="F436" s="7" t="s">
        <v>387</v>
      </c>
      <c r="G436" s="7" t="s">
        <v>355</v>
      </c>
      <c r="H436" s="9">
        <v>161460.0</v>
      </c>
      <c r="I436" s="9">
        <v>0.0</v>
      </c>
      <c r="J436" s="9">
        <v>468.0</v>
      </c>
      <c r="K436" s="9">
        <v>104370.0</v>
      </c>
      <c r="L436" s="10">
        <v>1.54699626329405</v>
      </c>
      <c r="M436" s="9">
        <v>1.54699626329405</v>
      </c>
      <c r="N436" s="9">
        <v>72735.0</v>
      </c>
      <c r="O436" s="9">
        <v>71733.0</v>
      </c>
      <c r="P436" s="9">
        <v>15384.0</v>
      </c>
      <c r="Q436" s="9">
        <v>433.0</v>
      </c>
      <c r="R436" s="9">
        <v>0.0</v>
      </c>
      <c r="S436" s="9">
        <v>0.0</v>
      </c>
      <c r="T436" s="9">
        <v>0.0</v>
      </c>
      <c r="U436" s="9">
        <v>0.0</v>
      </c>
      <c r="V436" s="9">
        <v>0.0</v>
      </c>
      <c r="W436" s="9">
        <v>0.0</v>
      </c>
      <c r="X436" s="9">
        <v>0.0</v>
      </c>
      <c r="Y436" s="9">
        <v>0.0</v>
      </c>
      <c r="Z436" s="9">
        <v>0.0</v>
      </c>
      <c r="AA436" s="9">
        <v>0.0</v>
      </c>
      <c r="AB436" s="9">
        <v>0.0</v>
      </c>
      <c r="AC436" s="9">
        <v>0.0</v>
      </c>
      <c r="AD436" s="11" t="s">
        <v>110</v>
      </c>
      <c r="AE436" s="9" t="s">
        <v>9</v>
      </c>
    </row>
    <row r="437">
      <c r="A437" s="7" t="s">
        <v>1251</v>
      </c>
      <c r="B437" s="7" t="s">
        <v>1252</v>
      </c>
      <c r="C437" s="8">
        <v>46128.0</v>
      </c>
      <c r="D437" s="8">
        <v>46133.0</v>
      </c>
      <c r="E437" s="7" t="s">
        <v>416</v>
      </c>
      <c r="F437" s="7" t="s">
        <v>594</v>
      </c>
      <c r="G437" s="7" t="s">
        <v>355</v>
      </c>
      <c r="H437" s="9">
        <v>81647.0</v>
      </c>
      <c r="I437" s="9">
        <v>0.0</v>
      </c>
      <c r="J437" s="9">
        <v>351.0</v>
      </c>
      <c r="K437" s="9">
        <v>49353.0</v>
      </c>
      <c r="L437" s="10">
        <v>1.6543472534597694</v>
      </c>
      <c r="M437" s="9">
        <v>1.6543472534597694</v>
      </c>
      <c r="N437" s="9">
        <v>19340.0</v>
      </c>
      <c r="O437" s="9">
        <v>19155.0</v>
      </c>
      <c r="P437" s="9">
        <v>3778.0</v>
      </c>
      <c r="Q437" s="9">
        <v>117.0</v>
      </c>
      <c r="R437" s="9">
        <v>57.0</v>
      </c>
      <c r="S437" s="9">
        <v>57.0</v>
      </c>
      <c r="T437" s="9">
        <v>14.0</v>
      </c>
      <c r="U437" s="9">
        <v>14.0</v>
      </c>
      <c r="V437" s="9">
        <v>0.0</v>
      </c>
      <c r="W437" s="9">
        <v>0.0</v>
      </c>
      <c r="X437" s="9">
        <v>0.0</v>
      </c>
      <c r="Y437" s="9">
        <v>0.0</v>
      </c>
      <c r="Z437" s="9">
        <v>0.0</v>
      </c>
      <c r="AA437" s="9">
        <v>0.0</v>
      </c>
      <c r="AB437" s="9">
        <v>0.0</v>
      </c>
      <c r="AC437" s="9">
        <v>0.0</v>
      </c>
      <c r="AD437" s="11" t="s">
        <v>111</v>
      </c>
      <c r="AE437" s="9" t="s">
        <v>9</v>
      </c>
    </row>
    <row r="438">
      <c r="A438" s="7" t="s">
        <v>1253</v>
      </c>
      <c r="B438" s="7" t="s">
        <v>1254</v>
      </c>
      <c r="C438" s="8">
        <v>46132.0</v>
      </c>
      <c r="D438" s="8">
        <v>46139.0</v>
      </c>
      <c r="E438" s="7" t="s">
        <v>416</v>
      </c>
      <c r="F438" s="7" t="s">
        <v>594</v>
      </c>
      <c r="G438" s="7" t="s">
        <v>355</v>
      </c>
      <c r="H438" s="9">
        <v>96246.0</v>
      </c>
      <c r="I438" s="9">
        <v>0.0</v>
      </c>
      <c r="J438" s="9">
        <v>363.0</v>
      </c>
      <c r="K438" s="9">
        <v>55499.0</v>
      </c>
      <c r="L438" s="10">
        <v>1.7341934088902502</v>
      </c>
      <c r="M438" s="9">
        <v>1.7341934088902502</v>
      </c>
      <c r="N438" s="9">
        <v>63657.0</v>
      </c>
      <c r="O438" s="9">
        <v>63065.0</v>
      </c>
      <c r="P438" s="9">
        <v>18892.0</v>
      </c>
      <c r="Q438" s="9">
        <v>585.0</v>
      </c>
      <c r="R438" s="9">
        <v>402.0</v>
      </c>
      <c r="S438" s="9">
        <v>277.0</v>
      </c>
      <c r="T438" s="9">
        <v>78.0</v>
      </c>
      <c r="U438" s="9">
        <v>74.0</v>
      </c>
      <c r="V438" s="9">
        <v>0.0</v>
      </c>
      <c r="W438" s="9">
        <v>0.0</v>
      </c>
      <c r="X438" s="9">
        <v>0.0</v>
      </c>
      <c r="Y438" s="9">
        <v>0.0</v>
      </c>
      <c r="Z438" s="9">
        <v>0.0</v>
      </c>
      <c r="AA438" s="9">
        <v>0.0</v>
      </c>
      <c r="AB438" s="9">
        <v>0.0</v>
      </c>
      <c r="AC438" s="9">
        <v>0.0</v>
      </c>
      <c r="AD438" s="11" t="s">
        <v>112</v>
      </c>
      <c r="AE438" s="9" t="s">
        <v>9</v>
      </c>
    </row>
    <row r="439">
      <c r="A439" s="7" t="s">
        <v>1255</v>
      </c>
      <c r="B439" s="7" t="s">
        <v>1256</v>
      </c>
      <c r="C439" s="8">
        <v>46129.0</v>
      </c>
      <c r="D439" s="8">
        <v>46135.0</v>
      </c>
      <c r="E439" s="7" t="s">
        <v>416</v>
      </c>
      <c r="F439" s="7" t="s">
        <v>667</v>
      </c>
      <c r="G439" s="7" t="s">
        <v>355</v>
      </c>
      <c r="H439" s="9">
        <v>320469.0</v>
      </c>
      <c r="I439" s="9">
        <v>0.0</v>
      </c>
      <c r="J439" s="9">
        <v>309.0</v>
      </c>
      <c r="K439" s="9">
        <v>97096.0</v>
      </c>
      <c r="L439" s="10">
        <v>3.3005376122600314</v>
      </c>
      <c r="M439" s="9">
        <v>3.3005376122600314</v>
      </c>
      <c r="N439" s="9">
        <v>32215.0</v>
      </c>
      <c r="O439" s="9">
        <v>31853.0</v>
      </c>
      <c r="P439" s="9">
        <v>8656.0</v>
      </c>
      <c r="Q439" s="9">
        <v>164.0</v>
      </c>
      <c r="R439" s="9">
        <v>54.0</v>
      </c>
      <c r="S439" s="9">
        <v>54.0</v>
      </c>
      <c r="T439" s="9">
        <v>14.0</v>
      </c>
      <c r="U439" s="9">
        <v>14.0</v>
      </c>
      <c r="V439" s="9">
        <v>0.0</v>
      </c>
      <c r="W439" s="9">
        <v>0.0</v>
      </c>
      <c r="X439" s="9">
        <v>0.0</v>
      </c>
      <c r="Y439" s="9">
        <v>0.0</v>
      </c>
      <c r="Z439" s="9">
        <v>0.0</v>
      </c>
      <c r="AA439" s="9">
        <v>0.0</v>
      </c>
      <c r="AB439" s="9">
        <v>0.0</v>
      </c>
      <c r="AC439" s="9">
        <v>0.0</v>
      </c>
      <c r="AD439" s="11" t="s">
        <v>113</v>
      </c>
      <c r="AE439" s="9" t="s">
        <v>9</v>
      </c>
    </row>
    <row r="440">
      <c r="A440" s="7" t="s">
        <v>1257</v>
      </c>
      <c r="B440" s="7" t="s">
        <v>1258</v>
      </c>
      <c r="C440" s="8">
        <v>46132.0</v>
      </c>
      <c r="D440" s="8">
        <v>46142.0</v>
      </c>
      <c r="E440" s="7" t="s">
        <v>416</v>
      </c>
      <c r="F440" s="7" t="s">
        <v>466</v>
      </c>
      <c r="G440" s="7" t="s">
        <v>355</v>
      </c>
      <c r="H440" s="9">
        <v>19358.0</v>
      </c>
      <c r="I440" s="9">
        <v>0.0</v>
      </c>
      <c r="J440" s="9">
        <v>49.0</v>
      </c>
      <c r="K440" s="9">
        <v>257363.0</v>
      </c>
      <c r="L440" s="10">
        <v>0.07521671724373745</v>
      </c>
      <c r="M440" s="9">
        <v>0.07521671724373745</v>
      </c>
      <c r="N440" s="9">
        <v>62625.0</v>
      </c>
      <c r="O440" s="9">
        <v>61342.0</v>
      </c>
      <c r="P440" s="9">
        <v>7992.0</v>
      </c>
      <c r="Q440" s="9">
        <v>154.0</v>
      </c>
      <c r="R440" s="9">
        <v>85.0</v>
      </c>
      <c r="S440" s="9">
        <v>85.0</v>
      </c>
      <c r="T440" s="9">
        <v>39.0</v>
      </c>
      <c r="U440" s="9">
        <v>34.0</v>
      </c>
      <c r="V440" s="9">
        <v>0.0</v>
      </c>
      <c r="W440" s="9">
        <v>0.0</v>
      </c>
      <c r="X440" s="9">
        <v>0.0</v>
      </c>
      <c r="Y440" s="9">
        <v>0.0</v>
      </c>
      <c r="Z440" s="9">
        <v>0.0</v>
      </c>
      <c r="AA440" s="9">
        <v>0.0</v>
      </c>
      <c r="AB440" s="9">
        <v>0.0</v>
      </c>
      <c r="AC440" s="9">
        <v>0.0</v>
      </c>
      <c r="AD440" s="11" t="s">
        <v>114</v>
      </c>
      <c r="AE440" s="9" t="s">
        <v>9</v>
      </c>
    </row>
    <row r="441">
      <c r="A441" s="7" t="s">
        <v>1259</v>
      </c>
      <c r="B441" s="7" t="s">
        <v>1260</v>
      </c>
      <c r="C441" s="8">
        <v>46132.0</v>
      </c>
      <c r="D441" s="8">
        <v>46140.0</v>
      </c>
      <c r="E441" s="7" t="s">
        <v>416</v>
      </c>
      <c r="F441" s="7" t="s">
        <v>466</v>
      </c>
      <c r="G441" s="7" t="s">
        <v>355</v>
      </c>
      <c r="H441" s="9">
        <v>106418.0</v>
      </c>
      <c r="I441" s="9">
        <v>0.0</v>
      </c>
      <c r="J441" s="9">
        <v>436.0</v>
      </c>
      <c r="K441" s="9">
        <v>81866.0</v>
      </c>
      <c r="L441" s="10">
        <v>1.2999047223511593</v>
      </c>
      <c r="M441" s="9">
        <v>1.2999047223511593</v>
      </c>
      <c r="N441" s="9">
        <v>69430.0</v>
      </c>
      <c r="O441" s="9">
        <v>68491.0</v>
      </c>
      <c r="P441" s="9">
        <v>11426.0</v>
      </c>
      <c r="Q441" s="9">
        <v>193.0</v>
      </c>
      <c r="R441" s="9">
        <v>83.0</v>
      </c>
      <c r="S441" s="9">
        <v>83.0</v>
      </c>
      <c r="T441" s="9">
        <v>19.0</v>
      </c>
      <c r="U441" s="9">
        <v>19.0</v>
      </c>
      <c r="V441" s="9">
        <v>0.0</v>
      </c>
      <c r="W441" s="9">
        <v>0.0</v>
      </c>
      <c r="X441" s="9">
        <v>0.0</v>
      </c>
      <c r="Y441" s="9">
        <v>0.0</v>
      </c>
      <c r="Z441" s="9">
        <v>0.0</v>
      </c>
      <c r="AA441" s="9">
        <v>0.0</v>
      </c>
      <c r="AB441" s="9">
        <v>0.0</v>
      </c>
      <c r="AC441" s="9">
        <v>0.0</v>
      </c>
      <c r="AD441" s="11" t="s">
        <v>115</v>
      </c>
      <c r="AE441" s="9" t="s">
        <v>9</v>
      </c>
    </row>
    <row r="442">
      <c r="A442" s="7" t="s">
        <v>1261</v>
      </c>
      <c r="B442" s="7" t="s">
        <v>1262</v>
      </c>
      <c r="C442" s="8">
        <v>46132.0</v>
      </c>
      <c r="D442" s="8">
        <v>46136.0</v>
      </c>
      <c r="E442" s="7" t="s">
        <v>416</v>
      </c>
      <c r="F442" s="7" t="s">
        <v>466</v>
      </c>
      <c r="G442" s="7" t="s">
        <v>355</v>
      </c>
      <c r="H442" s="9">
        <v>123217.0</v>
      </c>
      <c r="I442" s="9">
        <v>0.0</v>
      </c>
      <c r="J442" s="9">
        <v>477.0</v>
      </c>
      <c r="K442" s="9">
        <v>14933.0</v>
      </c>
      <c r="L442" s="10">
        <v>8.251322574164602</v>
      </c>
      <c r="M442" s="9">
        <v>8.251322574164602</v>
      </c>
      <c r="N442" s="9">
        <v>69378.0</v>
      </c>
      <c r="O442" s="9">
        <v>68633.0</v>
      </c>
      <c r="P442" s="9">
        <v>13271.0</v>
      </c>
      <c r="Q442" s="9">
        <v>263.0</v>
      </c>
      <c r="R442" s="9">
        <v>136.0</v>
      </c>
      <c r="S442" s="9">
        <v>136.0</v>
      </c>
      <c r="T442" s="9">
        <v>44.0</v>
      </c>
      <c r="U442" s="9">
        <v>41.0</v>
      </c>
      <c r="V442" s="9">
        <v>0.0</v>
      </c>
      <c r="W442" s="9">
        <v>0.0</v>
      </c>
      <c r="X442" s="9">
        <v>0.0</v>
      </c>
      <c r="Y442" s="9">
        <v>0.0</v>
      </c>
      <c r="Z442" s="9">
        <v>0.0</v>
      </c>
      <c r="AA442" s="9">
        <v>0.0</v>
      </c>
      <c r="AB442" s="9">
        <v>0.0</v>
      </c>
      <c r="AC442" s="9">
        <v>0.0</v>
      </c>
      <c r="AD442" s="11" t="s">
        <v>116</v>
      </c>
      <c r="AE442" s="9" t="s">
        <v>9</v>
      </c>
    </row>
    <row r="443">
      <c r="A443" s="7" t="s">
        <v>1263</v>
      </c>
      <c r="B443" s="7" t="s">
        <v>1264</v>
      </c>
      <c r="C443" s="8">
        <v>46132.0</v>
      </c>
      <c r="D443" s="8">
        <v>46136.0</v>
      </c>
      <c r="E443" s="7" t="s">
        <v>416</v>
      </c>
      <c r="F443" s="7" t="s">
        <v>466</v>
      </c>
      <c r="G443" s="7" t="s">
        <v>355</v>
      </c>
      <c r="H443" s="9">
        <v>134497.0</v>
      </c>
      <c r="I443" s="9">
        <v>0.0</v>
      </c>
      <c r="J443" s="9">
        <v>344.0</v>
      </c>
      <c r="K443" s="9">
        <v>44608.0</v>
      </c>
      <c r="L443" s="10">
        <v>3.015086979913917</v>
      </c>
      <c r="M443" s="9">
        <v>3.015086979913917</v>
      </c>
      <c r="N443" s="9">
        <v>81835.0</v>
      </c>
      <c r="O443" s="9">
        <v>81002.0</v>
      </c>
      <c r="P443" s="9">
        <v>18343.0</v>
      </c>
      <c r="Q443" s="9">
        <v>339.0</v>
      </c>
      <c r="R443" s="9">
        <v>125.0</v>
      </c>
      <c r="S443" s="9">
        <v>125.0</v>
      </c>
      <c r="T443" s="9">
        <v>40.0</v>
      </c>
      <c r="U443" s="9">
        <v>40.0</v>
      </c>
      <c r="V443" s="9">
        <v>0.0</v>
      </c>
      <c r="W443" s="9">
        <v>0.0</v>
      </c>
      <c r="X443" s="9">
        <v>0.0</v>
      </c>
      <c r="Y443" s="9">
        <v>0.0</v>
      </c>
      <c r="Z443" s="9">
        <v>0.0</v>
      </c>
      <c r="AA443" s="9">
        <v>0.0</v>
      </c>
      <c r="AB443" s="9">
        <v>0.0</v>
      </c>
      <c r="AC443" s="9">
        <v>0.0</v>
      </c>
      <c r="AD443" s="11" t="s">
        <v>117</v>
      </c>
      <c r="AE443" s="9" t="s">
        <v>9</v>
      </c>
    </row>
    <row r="444">
      <c r="A444" s="7" t="s">
        <v>1265</v>
      </c>
      <c r="B444" s="7" t="s">
        <v>1266</v>
      </c>
      <c r="C444" s="8">
        <v>46128.0</v>
      </c>
      <c r="D444" s="8">
        <v>46142.0</v>
      </c>
      <c r="E444" s="7" t="s">
        <v>404</v>
      </c>
      <c r="F444" s="7" t="s">
        <v>783</v>
      </c>
      <c r="G444" s="7" t="s">
        <v>355</v>
      </c>
      <c r="H444" s="9">
        <v>5513371.0</v>
      </c>
      <c r="I444" s="9">
        <v>205508.0</v>
      </c>
      <c r="J444" s="9">
        <v>37965.0</v>
      </c>
      <c r="K444" s="9">
        <v>153243.0</v>
      </c>
      <c r="L444" s="10">
        <v>13.301821290368892</v>
      </c>
      <c r="M444" s="9">
        <v>35.97796310435061</v>
      </c>
      <c r="N444" s="9">
        <v>96709.0</v>
      </c>
      <c r="O444" s="9">
        <v>95762.0</v>
      </c>
      <c r="P444" s="9">
        <v>40295.0</v>
      </c>
      <c r="Q444" s="9">
        <v>685.0</v>
      </c>
      <c r="R444" s="9">
        <v>0.0</v>
      </c>
      <c r="S444" s="9">
        <v>0.0</v>
      </c>
      <c r="T444" s="9">
        <v>0.0</v>
      </c>
      <c r="U444" s="9">
        <v>0.0</v>
      </c>
      <c r="V444" s="9">
        <v>0.0</v>
      </c>
      <c r="W444" s="9">
        <v>0.0</v>
      </c>
      <c r="X444" s="9">
        <v>0.0</v>
      </c>
      <c r="Y444" s="9">
        <v>0.0</v>
      </c>
      <c r="Z444" s="9">
        <v>0.0</v>
      </c>
      <c r="AA444" s="9">
        <v>0.0</v>
      </c>
      <c r="AB444" s="9">
        <v>0.0</v>
      </c>
      <c r="AC444" s="9">
        <v>0.0</v>
      </c>
      <c r="AD444" s="11" t="s">
        <v>118</v>
      </c>
      <c r="AE444" s="9" t="s">
        <v>9</v>
      </c>
    </row>
    <row r="445">
      <c r="A445" s="7" t="s">
        <v>1267</v>
      </c>
      <c r="B445" s="7" t="s">
        <v>1268</v>
      </c>
      <c r="C445" s="8">
        <v>46129.0</v>
      </c>
      <c r="D445" s="8">
        <v>46149.0</v>
      </c>
      <c r="E445" s="7" t="s">
        <v>416</v>
      </c>
      <c r="F445" s="7" t="s">
        <v>417</v>
      </c>
      <c r="G445" s="7" t="s">
        <v>355</v>
      </c>
      <c r="H445" s="9">
        <v>814955.0</v>
      </c>
      <c r="I445" s="9">
        <v>194731.0</v>
      </c>
      <c r="J445" s="9">
        <v>1257.0</v>
      </c>
      <c r="K445" s="9">
        <v>364289.0</v>
      </c>
      <c r="L445" s="10">
        <v>0.9161297760843726</v>
      </c>
      <c r="M445" s="9">
        <v>2.237111194683342</v>
      </c>
      <c r="N445" s="9">
        <v>0.0</v>
      </c>
      <c r="O445" s="9">
        <v>0.0</v>
      </c>
      <c r="P445" s="9">
        <v>0.0</v>
      </c>
      <c r="Q445" s="9">
        <v>0.0</v>
      </c>
      <c r="R445" s="9">
        <v>0.0</v>
      </c>
      <c r="S445" s="9">
        <v>0.0</v>
      </c>
      <c r="T445" s="9">
        <v>0.0</v>
      </c>
      <c r="U445" s="9">
        <v>0.0</v>
      </c>
      <c r="V445" s="9">
        <v>0.0</v>
      </c>
      <c r="W445" s="9">
        <v>0.0</v>
      </c>
      <c r="X445" s="9">
        <v>0.0</v>
      </c>
      <c r="Y445" s="9">
        <v>0.0</v>
      </c>
      <c r="Z445" s="9">
        <v>0.0</v>
      </c>
      <c r="AA445" s="9">
        <v>0.0</v>
      </c>
      <c r="AB445" s="9">
        <v>0.0</v>
      </c>
      <c r="AC445" s="9">
        <v>0.0</v>
      </c>
      <c r="AD445" s="11" t="s">
        <v>119</v>
      </c>
      <c r="AE445" s="9"/>
    </row>
    <row r="446">
      <c r="A446" s="7" t="s">
        <v>1269</v>
      </c>
      <c r="B446" s="7" t="s">
        <v>1270</v>
      </c>
      <c r="C446" s="8">
        <v>46132.0</v>
      </c>
      <c r="D446" s="8">
        <v>46133.0</v>
      </c>
      <c r="E446" s="7" t="s">
        <v>416</v>
      </c>
      <c r="F446" s="7" t="s">
        <v>430</v>
      </c>
      <c r="G446" s="7" t="s">
        <v>355</v>
      </c>
      <c r="H446" s="9">
        <v>0.0</v>
      </c>
      <c r="I446" s="9">
        <v>0.0</v>
      </c>
      <c r="J446" s="9">
        <v>0.0</v>
      </c>
      <c r="K446" s="9">
        <v>0.0</v>
      </c>
      <c r="L446" s="10">
        <v>0.0</v>
      </c>
      <c r="M446" s="9">
        <v>0.0</v>
      </c>
      <c r="N446" s="9">
        <v>117025.0</v>
      </c>
      <c r="O446" s="9">
        <v>115107.0</v>
      </c>
      <c r="P446" s="9">
        <v>19376.0</v>
      </c>
      <c r="Q446" s="9">
        <v>350.0</v>
      </c>
      <c r="R446" s="9">
        <v>0.0</v>
      </c>
      <c r="S446" s="9">
        <v>0.0</v>
      </c>
      <c r="T446" s="9">
        <v>0.0</v>
      </c>
      <c r="U446" s="9">
        <v>0.0</v>
      </c>
      <c r="V446" s="9">
        <v>0.0</v>
      </c>
      <c r="W446" s="9">
        <v>0.0</v>
      </c>
      <c r="X446" s="9">
        <v>0.0</v>
      </c>
      <c r="Y446" s="9">
        <v>0.0</v>
      </c>
      <c r="Z446" s="9">
        <v>0.0</v>
      </c>
      <c r="AA446" s="9">
        <v>0.0</v>
      </c>
      <c r="AB446" s="9">
        <v>0.0</v>
      </c>
      <c r="AC446" s="9">
        <v>0.0</v>
      </c>
      <c r="AD446" s="9"/>
      <c r="AE446" s="9" t="s">
        <v>9</v>
      </c>
    </row>
    <row r="447">
      <c r="A447" s="7" t="s">
        <v>1271</v>
      </c>
      <c r="B447" s="7" t="s">
        <v>1272</v>
      </c>
      <c r="C447" s="8">
        <v>46128.0</v>
      </c>
      <c r="D447" s="8">
        <v>46134.0</v>
      </c>
      <c r="E447" s="7" t="s">
        <v>416</v>
      </c>
      <c r="F447" s="7" t="s">
        <v>378</v>
      </c>
      <c r="G447" s="7" t="s">
        <v>355</v>
      </c>
      <c r="H447" s="9">
        <v>178446.0</v>
      </c>
      <c r="I447" s="9">
        <v>0.0</v>
      </c>
      <c r="J447" s="9">
        <v>581.0</v>
      </c>
      <c r="K447" s="9">
        <v>106845.0</v>
      </c>
      <c r="L447" s="10">
        <v>1.6701389863821423</v>
      </c>
      <c r="M447" s="9">
        <v>1.6701389863821423</v>
      </c>
      <c r="N447" s="9">
        <v>82114.0</v>
      </c>
      <c r="O447" s="9">
        <v>80765.0</v>
      </c>
      <c r="P447" s="9">
        <v>10887.0</v>
      </c>
      <c r="Q447" s="9">
        <v>311.0</v>
      </c>
      <c r="R447" s="9">
        <v>2159.0</v>
      </c>
      <c r="S447" s="9">
        <v>1034.0</v>
      </c>
      <c r="T447" s="9">
        <v>217.0</v>
      </c>
      <c r="U447" s="9">
        <v>172.0</v>
      </c>
      <c r="V447" s="9">
        <v>0.0</v>
      </c>
      <c r="W447" s="9">
        <v>0.0</v>
      </c>
      <c r="X447" s="9">
        <v>0.0</v>
      </c>
      <c r="Y447" s="9">
        <v>0.0</v>
      </c>
      <c r="Z447" s="9">
        <v>0.0</v>
      </c>
      <c r="AA447" s="9">
        <v>0.0</v>
      </c>
      <c r="AB447" s="9">
        <v>0.0</v>
      </c>
      <c r="AC447" s="9">
        <v>0.0</v>
      </c>
      <c r="AD447" s="11" t="s">
        <v>120</v>
      </c>
      <c r="AE447" s="9" t="s">
        <v>9</v>
      </c>
    </row>
    <row r="448">
      <c r="A448" s="7" t="s">
        <v>1273</v>
      </c>
      <c r="B448" s="7" t="s">
        <v>1274</v>
      </c>
      <c r="C448" s="8">
        <v>46132.0</v>
      </c>
      <c r="D448" s="8">
        <v>46132.0</v>
      </c>
      <c r="E448" s="7" t="s">
        <v>353</v>
      </c>
      <c r="F448" s="7" t="s">
        <v>378</v>
      </c>
      <c r="G448" s="7" t="s">
        <v>355</v>
      </c>
      <c r="H448" s="9">
        <v>0.0</v>
      </c>
      <c r="I448" s="9">
        <v>0.0</v>
      </c>
      <c r="J448" s="9">
        <v>0.0</v>
      </c>
      <c r="K448" s="9">
        <v>0.0</v>
      </c>
      <c r="L448" s="10">
        <v>0.0</v>
      </c>
      <c r="M448" s="9">
        <v>0.0</v>
      </c>
      <c r="N448" s="9">
        <v>3490.0</v>
      </c>
      <c r="O448" s="9">
        <v>3486.0</v>
      </c>
      <c r="P448" s="9">
        <v>1279.0</v>
      </c>
      <c r="Q448" s="9">
        <v>81.0</v>
      </c>
      <c r="R448" s="9">
        <v>0.0</v>
      </c>
      <c r="S448" s="9">
        <v>0.0</v>
      </c>
      <c r="T448" s="9">
        <v>0.0</v>
      </c>
      <c r="U448" s="9">
        <v>0.0</v>
      </c>
      <c r="V448" s="9">
        <v>0.0</v>
      </c>
      <c r="W448" s="9">
        <v>0.0</v>
      </c>
      <c r="X448" s="9">
        <v>0.0</v>
      </c>
      <c r="Y448" s="9">
        <v>0.0</v>
      </c>
      <c r="Z448" s="9">
        <v>0.0</v>
      </c>
      <c r="AA448" s="9">
        <v>0.0</v>
      </c>
      <c r="AB448" s="9">
        <v>0.0</v>
      </c>
      <c r="AC448" s="9">
        <v>0.0</v>
      </c>
      <c r="AD448" s="9"/>
      <c r="AE448" s="9" t="s">
        <v>9</v>
      </c>
    </row>
    <row r="449">
      <c r="A449" s="7" t="s">
        <v>1275</v>
      </c>
      <c r="B449" s="7" t="s">
        <v>1276</v>
      </c>
      <c r="C449" s="8">
        <v>46147.0</v>
      </c>
      <c r="D449" s="8">
        <v>46173.0</v>
      </c>
      <c r="E449" s="7" t="s">
        <v>353</v>
      </c>
      <c r="F449" s="7" t="s">
        <v>378</v>
      </c>
      <c r="G449" s="7" t="s">
        <v>355</v>
      </c>
      <c r="H449" s="9">
        <v>2.2406148E7</v>
      </c>
      <c r="I449" s="9">
        <v>5548145.0</v>
      </c>
      <c r="J449" s="9">
        <v>103252.0</v>
      </c>
      <c r="K449" s="9">
        <v>1145833.0</v>
      </c>
      <c r="L449" s="10">
        <v>2.6436138599603956</v>
      </c>
      <c r="M449" s="9">
        <v>19.554462124934435</v>
      </c>
      <c r="N449" s="9">
        <v>183961.0</v>
      </c>
      <c r="O449" s="9">
        <v>180707.0</v>
      </c>
      <c r="P449" s="9">
        <v>56229.0</v>
      </c>
      <c r="Q449" s="9">
        <v>1620.0</v>
      </c>
      <c r="R449" s="9">
        <v>0.0</v>
      </c>
      <c r="S449" s="9">
        <v>0.0</v>
      </c>
      <c r="T449" s="9">
        <v>0.0</v>
      </c>
      <c r="U449" s="9">
        <v>0.0</v>
      </c>
      <c r="V449" s="9">
        <v>0.0</v>
      </c>
      <c r="W449" s="9">
        <v>0.0</v>
      </c>
      <c r="X449" s="9">
        <v>0.0</v>
      </c>
      <c r="Y449" s="9">
        <v>0.0</v>
      </c>
      <c r="Z449" s="9">
        <v>0.0</v>
      </c>
      <c r="AA449" s="9">
        <v>0.0</v>
      </c>
      <c r="AB449" s="9">
        <v>0.0</v>
      </c>
      <c r="AC449" s="9">
        <v>0.0</v>
      </c>
      <c r="AD449" s="11" t="s">
        <v>121</v>
      </c>
      <c r="AE449" s="9" t="s">
        <v>9</v>
      </c>
    </row>
    <row r="450">
      <c r="A450" s="7" t="s">
        <v>1277</v>
      </c>
      <c r="B450" s="7" t="s">
        <v>1278</v>
      </c>
      <c r="C450" s="8">
        <v>46148.0</v>
      </c>
      <c r="D450" s="8">
        <v>46163.0</v>
      </c>
      <c r="E450" s="7" t="s">
        <v>353</v>
      </c>
      <c r="F450" s="7" t="s">
        <v>378</v>
      </c>
      <c r="G450" s="7" t="s">
        <v>355</v>
      </c>
      <c r="H450" s="9">
        <v>7177717.0</v>
      </c>
      <c r="I450" s="9">
        <v>297930.0</v>
      </c>
      <c r="J450" s="9">
        <v>66445.0</v>
      </c>
      <c r="K450" s="9">
        <v>770067.0</v>
      </c>
      <c r="L450" s="10">
        <v>1.7249563998976711</v>
      </c>
      <c r="M450" s="9">
        <v>9.320899350316271</v>
      </c>
      <c r="N450" s="9">
        <v>53468.0</v>
      </c>
      <c r="O450" s="9">
        <v>52836.0</v>
      </c>
      <c r="P450" s="9">
        <v>15732.0</v>
      </c>
      <c r="Q450" s="9">
        <v>788.0</v>
      </c>
      <c r="R450" s="9">
        <v>0.0</v>
      </c>
      <c r="S450" s="9">
        <v>0.0</v>
      </c>
      <c r="T450" s="9">
        <v>0.0</v>
      </c>
      <c r="U450" s="9">
        <v>0.0</v>
      </c>
      <c r="V450" s="9">
        <v>0.0</v>
      </c>
      <c r="W450" s="9">
        <v>0.0</v>
      </c>
      <c r="X450" s="9">
        <v>0.0</v>
      </c>
      <c r="Y450" s="9">
        <v>0.0</v>
      </c>
      <c r="Z450" s="9">
        <v>0.0</v>
      </c>
      <c r="AA450" s="9">
        <v>0.0</v>
      </c>
      <c r="AB450" s="9">
        <v>0.0</v>
      </c>
      <c r="AC450" s="9">
        <v>0.0</v>
      </c>
      <c r="AD450" s="11" t="s">
        <v>122</v>
      </c>
      <c r="AE450" s="9" t="s">
        <v>9</v>
      </c>
    </row>
    <row r="451">
      <c r="A451" s="7" t="s">
        <v>1279</v>
      </c>
      <c r="B451" s="7" t="s">
        <v>1280</v>
      </c>
      <c r="C451" s="8">
        <v>46140.0</v>
      </c>
      <c r="D451" s="8">
        <v>46154.0</v>
      </c>
      <c r="E451" s="7" t="s">
        <v>353</v>
      </c>
      <c r="F451" s="7" t="s">
        <v>378</v>
      </c>
      <c r="G451" s="7" t="s">
        <v>355</v>
      </c>
      <c r="H451" s="9">
        <v>4496683.0</v>
      </c>
      <c r="I451" s="9">
        <v>5015.0</v>
      </c>
      <c r="J451" s="9">
        <v>10215.0</v>
      </c>
      <c r="K451" s="9">
        <v>297007.0</v>
      </c>
      <c r="L451" s="10">
        <v>2.004885406741255</v>
      </c>
      <c r="M451" s="9">
        <v>15.139989966566445</v>
      </c>
      <c r="N451" s="9">
        <v>207057.0</v>
      </c>
      <c r="O451" s="9">
        <v>206650.0</v>
      </c>
      <c r="P451" s="9">
        <v>117428.0</v>
      </c>
      <c r="Q451" s="9">
        <v>2485.0</v>
      </c>
      <c r="R451" s="9">
        <v>0.0</v>
      </c>
      <c r="S451" s="9">
        <v>0.0</v>
      </c>
      <c r="T451" s="9">
        <v>0.0</v>
      </c>
      <c r="U451" s="9">
        <v>0.0</v>
      </c>
      <c r="V451" s="9">
        <v>0.0</v>
      </c>
      <c r="W451" s="9">
        <v>0.0</v>
      </c>
      <c r="X451" s="9">
        <v>0.0</v>
      </c>
      <c r="Y451" s="9">
        <v>0.0</v>
      </c>
      <c r="Z451" s="9">
        <v>0.0</v>
      </c>
      <c r="AA451" s="9">
        <v>0.0</v>
      </c>
      <c r="AB451" s="9">
        <v>0.0</v>
      </c>
      <c r="AC451" s="9">
        <v>0.0</v>
      </c>
      <c r="AD451" s="11" t="s">
        <v>123</v>
      </c>
      <c r="AE451" s="9" t="s">
        <v>9</v>
      </c>
    </row>
    <row r="452">
      <c r="A452" s="7" t="s">
        <v>1281</v>
      </c>
      <c r="B452" s="7" t="s">
        <v>1282</v>
      </c>
      <c r="C452" s="8">
        <v>46129.0</v>
      </c>
      <c r="D452" s="8">
        <v>46140.0</v>
      </c>
      <c r="E452" s="7" t="s">
        <v>416</v>
      </c>
      <c r="F452" s="7" t="s">
        <v>725</v>
      </c>
      <c r="G452" s="7" t="s">
        <v>355</v>
      </c>
      <c r="H452" s="9">
        <v>147503.0</v>
      </c>
      <c r="I452" s="9">
        <v>0.0</v>
      </c>
      <c r="J452" s="9">
        <v>352.0</v>
      </c>
      <c r="K452" s="9">
        <v>97096.0</v>
      </c>
      <c r="L452" s="10">
        <v>1.5191459998352146</v>
      </c>
      <c r="M452" s="9">
        <v>1.5191459998352146</v>
      </c>
      <c r="N452" s="9">
        <v>81281.0</v>
      </c>
      <c r="O452" s="9">
        <v>80510.0</v>
      </c>
      <c r="P452" s="9">
        <v>16633.0</v>
      </c>
      <c r="Q452" s="9">
        <v>464.0</v>
      </c>
      <c r="R452" s="9">
        <v>0.0</v>
      </c>
      <c r="S452" s="9">
        <v>0.0</v>
      </c>
      <c r="T452" s="9">
        <v>0.0</v>
      </c>
      <c r="U452" s="9">
        <v>0.0</v>
      </c>
      <c r="V452" s="9">
        <v>0.0</v>
      </c>
      <c r="W452" s="9">
        <v>0.0</v>
      </c>
      <c r="X452" s="9">
        <v>0.0</v>
      </c>
      <c r="Y452" s="9">
        <v>0.0</v>
      </c>
      <c r="Z452" s="9">
        <v>0.0</v>
      </c>
      <c r="AA452" s="9">
        <v>0.0</v>
      </c>
      <c r="AB452" s="9">
        <v>0.0</v>
      </c>
      <c r="AC452" s="9">
        <v>0.0</v>
      </c>
      <c r="AD452" s="11" t="s">
        <v>124</v>
      </c>
      <c r="AE452" s="9" t="s">
        <v>9</v>
      </c>
    </row>
    <row r="453">
      <c r="A453" s="7" t="s">
        <v>1283</v>
      </c>
      <c r="B453" s="7" t="s">
        <v>1284</v>
      </c>
      <c r="C453" s="8">
        <v>46129.0</v>
      </c>
      <c r="D453" s="8">
        <v>46159.0</v>
      </c>
      <c r="E453" s="7" t="s">
        <v>503</v>
      </c>
      <c r="F453" s="7" t="s">
        <v>928</v>
      </c>
      <c r="G453" s="7" t="s">
        <v>355</v>
      </c>
      <c r="H453" s="9">
        <v>1.1253893E7</v>
      </c>
      <c r="I453" s="9">
        <v>0.0</v>
      </c>
      <c r="J453" s="9">
        <v>29624.0</v>
      </c>
      <c r="K453" s="9">
        <v>1128627.0</v>
      </c>
      <c r="L453" s="10">
        <v>1.9437599844767137</v>
      </c>
      <c r="M453" s="9">
        <v>9.971312931553117</v>
      </c>
      <c r="N453" s="9">
        <v>261244.0</v>
      </c>
      <c r="O453" s="9">
        <v>259970.0</v>
      </c>
      <c r="P453" s="9">
        <v>126146.0</v>
      </c>
      <c r="Q453" s="9">
        <v>2517.0</v>
      </c>
      <c r="R453" s="9">
        <v>0.0</v>
      </c>
      <c r="S453" s="9">
        <v>0.0</v>
      </c>
      <c r="T453" s="9">
        <v>0.0</v>
      </c>
      <c r="U453" s="9">
        <v>0.0</v>
      </c>
      <c r="V453" s="9">
        <v>0.0</v>
      </c>
      <c r="W453" s="9">
        <v>0.0</v>
      </c>
      <c r="X453" s="9">
        <v>0.0</v>
      </c>
      <c r="Y453" s="9">
        <v>0.0</v>
      </c>
      <c r="Z453" s="9">
        <v>0.0</v>
      </c>
      <c r="AA453" s="9">
        <v>0.0</v>
      </c>
      <c r="AB453" s="9">
        <v>0.0</v>
      </c>
      <c r="AC453" s="9">
        <v>0.0</v>
      </c>
      <c r="AD453" s="11" t="s">
        <v>125</v>
      </c>
      <c r="AE453" s="9" t="s">
        <v>9</v>
      </c>
    </row>
    <row r="454">
      <c r="A454" s="7" t="s">
        <v>1285</v>
      </c>
      <c r="B454" s="7" t="s">
        <v>1286</v>
      </c>
      <c r="C454" s="8">
        <v>46133.0</v>
      </c>
      <c r="D454" s="8">
        <v>46133.0</v>
      </c>
      <c r="E454" s="7" t="s">
        <v>404</v>
      </c>
      <c r="F454" s="7" t="s">
        <v>474</v>
      </c>
      <c r="G454" s="7" t="s">
        <v>355</v>
      </c>
      <c r="H454" s="9">
        <v>0.0</v>
      </c>
      <c r="I454" s="9">
        <v>0.0</v>
      </c>
      <c r="J454" s="9">
        <v>0.0</v>
      </c>
      <c r="K454" s="9">
        <v>0.0</v>
      </c>
      <c r="L454" s="10">
        <v>0.0</v>
      </c>
      <c r="M454" s="9">
        <v>0.0</v>
      </c>
      <c r="N454" s="9">
        <v>333.0</v>
      </c>
      <c r="O454" s="9">
        <v>316.0</v>
      </c>
      <c r="P454" s="9">
        <v>137.0</v>
      </c>
      <c r="Q454" s="9">
        <v>19.0</v>
      </c>
      <c r="R454" s="9">
        <v>0.0</v>
      </c>
      <c r="S454" s="9">
        <v>0.0</v>
      </c>
      <c r="T454" s="9">
        <v>0.0</v>
      </c>
      <c r="U454" s="9">
        <v>0.0</v>
      </c>
      <c r="V454" s="9">
        <v>0.0</v>
      </c>
      <c r="W454" s="9">
        <v>0.0</v>
      </c>
      <c r="X454" s="9">
        <v>0.0</v>
      </c>
      <c r="Y454" s="9">
        <v>0.0</v>
      </c>
      <c r="Z454" s="9">
        <v>0.0</v>
      </c>
      <c r="AA454" s="9">
        <v>0.0</v>
      </c>
      <c r="AB454" s="9">
        <v>0.0</v>
      </c>
      <c r="AC454" s="9">
        <v>0.0</v>
      </c>
      <c r="AD454" s="9"/>
      <c r="AE454" s="9" t="s">
        <v>9</v>
      </c>
    </row>
    <row r="455">
      <c r="A455" s="7" t="s">
        <v>1287</v>
      </c>
      <c r="B455" s="7" t="s">
        <v>1288</v>
      </c>
      <c r="C455" s="8">
        <v>46139.0</v>
      </c>
      <c r="D455" s="8">
        <v>46139.0</v>
      </c>
      <c r="E455" s="7" t="s">
        <v>404</v>
      </c>
      <c r="F455" s="7" t="s">
        <v>474</v>
      </c>
      <c r="G455" s="7" t="s">
        <v>355</v>
      </c>
      <c r="H455" s="9">
        <v>0.0</v>
      </c>
      <c r="I455" s="9">
        <v>0.0</v>
      </c>
      <c r="J455" s="9">
        <v>0.0</v>
      </c>
      <c r="K455" s="9">
        <v>0.0</v>
      </c>
      <c r="L455" s="10">
        <v>0.0</v>
      </c>
      <c r="M455" s="9">
        <v>0.0</v>
      </c>
      <c r="N455" s="9">
        <v>395.0</v>
      </c>
      <c r="O455" s="9">
        <v>380.0</v>
      </c>
      <c r="P455" s="9">
        <v>173.0</v>
      </c>
      <c r="Q455" s="9">
        <v>71.0</v>
      </c>
      <c r="R455" s="9">
        <v>0.0</v>
      </c>
      <c r="S455" s="9">
        <v>0.0</v>
      </c>
      <c r="T455" s="9">
        <v>0.0</v>
      </c>
      <c r="U455" s="9">
        <v>0.0</v>
      </c>
      <c r="V455" s="9">
        <v>0.0</v>
      </c>
      <c r="W455" s="9">
        <v>0.0</v>
      </c>
      <c r="X455" s="9">
        <v>0.0</v>
      </c>
      <c r="Y455" s="9">
        <v>0.0</v>
      </c>
      <c r="Z455" s="9">
        <v>0.0</v>
      </c>
      <c r="AA455" s="9">
        <v>0.0</v>
      </c>
      <c r="AB455" s="9">
        <v>0.0</v>
      </c>
      <c r="AC455" s="9">
        <v>0.0</v>
      </c>
      <c r="AD455" s="9"/>
      <c r="AE455" s="9" t="s">
        <v>9</v>
      </c>
    </row>
    <row r="456">
      <c r="A456" s="7" t="s">
        <v>1289</v>
      </c>
      <c r="B456" s="7" t="s">
        <v>1290</v>
      </c>
      <c r="C456" s="8">
        <v>46128.0</v>
      </c>
      <c r="D456" s="8">
        <v>46149.0</v>
      </c>
      <c r="E456" s="7" t="s">
        <v>364</v>
      </c>
      <c r="F456" s="7" t="s">
        <v>365</v>
      </c>
      <c r="G456" s="7" t="s">
        <v>355</v>
      </c>
      <c r="H456" s="9">
        <v>6367811.0</v>
      </c>
      <c r="I456" s="9">
        <v>3323446.0</v>
      </c>
      <c r="J456" s="9">
        <v>4911.0</v>
      </c>
      <c r="K456" s="9">
        <v>745285.0</v>
      </c>
      <c r="L456" s="10">
        <v>2.422332396331605</v>
      </c>
      <c r="M456" s="9">
        <v>8.544128756113434</v>
      </c>
      <c r="N456" s="9">
        <v>196010.0</v>
      </c>
      <c r="O456" s="9">
        <v>194141.0</v>
      </c>
      <c r="P456" s="9">
        <v>68191.0</v>
      </c>
      <c r="Q456" s="9">
        <v>1839.0</v>
      </c>
      <c r="R456" s="9">
        <v>0.0</v>
      </c>
      <c r="S456" s="9">
        <v>0.0</v>
      </c>
      <c r="T456" s="9">
        <v>0.0</v>
      </c>
      <c r="U456" s="9">
        <v>0.0</v>
      </c>
      <c r="V456" s="9">
        <v>0.0</v>
      </c>
      <c r="W456" s="9">
        <v>0.0</v>
      </c>
      <c r="X456" s="9">
        <v>0.0</v>
      </c>
      <c r="Y456" s="9">
        <v>0.0</v>
      </c>
      <c r="Z456" s="9">
        <v>0.0</v>
      </c>
      <c r="AA456" s="9">
        <v>58654.0</v>
      </c>
      <c r="AB456" s="9">
        <v>55436.0</v>
      </c>
      <c r="AC456" s="9">
        <v>563.0</v>
      </c>
      <c r="AD456" s="11" t="s">
        <v>126</v>
      </c>
      <c r="AE456" s="9" t="s">
        <v>9</v>
      </c>
    </row>
    <row r="457">
      <c r="A457" s="7" t="s">
        <v>1291</v>
      </c>
      <c r="B457" s="7" t="s">
        <v>1292</v>
      </c>
      <c r="C457" s="8">
        <v>46132.0</v>
      </c>
      <c r="D457" s="8">
        <v>46265.0</v>
      </c>
      <c r="E457" s="7" t="s">
        <v>353</v>
      </c>
      <c r="F457" s="7" t="s">
        <v>354</v>
      </c>
      <c r="G457" s="7" t="s">
        <v>410</v>
      </c>
      <c r="H457" s="9">
        <v>1.8716003E7</v>
      </c>
      <c r="I457" s="9">
        <v>714414.0</v>
      </c>
      <c r="J457" s="9">
        <v>25250.0</v>
      </c>
      <c r="K457" s="9">
        <v>47819.0</v>
      </c>
      <c r="L457" s="10">
        <v>4.851899872435642</v>
      </c>
      <c r="M457" s="9">
        <v>391.39260544971665</v>
      </c>
      <c r="N457" s="9">
        <v>139660.0</v>
      </c>
      <c r="O457" s="9">
        <v>138324.0</v>
      </c>
      <c r="P457" s="9">
        <v>31978.0</v>
      </c>
      <c r="Q457" s="9">
        <v>502.0</v>
      </c>
      <c r="R457" s="9">
        <v>0.0</v>
      </c>
      <c r="S457" s="9">
        <v>0.0</v>
      </c>
      <c r="T457" s="9">
        <v>0.0</v>
      </c>
      <c r="U457" s="9">
        <v>0.0</v>
      </c>
      <c r="V457" s="9">
        <v>0.0</v>
      </c>
      <c r="W457" s="9">
        <v>0.0</v>
      </c>
      <c r="X457" s="9">
        <v>0.0</v>
      </c>
      <c r="Y457" s="9">
        <v>0.0</v>
      </c>
      <c r="Z457" s="9">
        <v>0.0</v>
      </c>
      <c r="AA457" s="9">
        <v>0.0</v>
      </c>
      <c r="AB457" s="9">
        <v>0.0</v>
      </c>
      <c r="AC457" s="9">
        <v>0.0</v>
      </c>
      <c r="AD457" s="11" t="s">
        <v>127</v>
      </c>
      <c r="AE457" s="9" t="s">
        <v>9</v>
      </c>
    </row>
    <row r="458">
      <c r="A458" s="7" t="s">
        <v>1293</v>
      </c>
      <c r="B458" s="7" t="s">
        <v>1294</v>
      </c>
      <c r="C458" s="8">
        <v>46129.0</v>
      </c>
      <c r="D458" s="8">
        <v>46167.0</v>
      </c>
      <c r="E458" s="7" t="s">
        <v>364</v>
      </c>
      <c r="F458" s="7" t="s">
        <v>365</v>
      </c>
      <c r="G458" s="7" t="s">
        <v>355</v>
      </c>
      <c r="H458" s="9">
        <v>1306417.0</v>
      </c>
      <c r="I458" s="9">
        <v>0.0</v>
      </c>
      <c r="J458" s="9">
        <v>1584.0</v>
      </c>
      <c r="K458" s="9">
        <v>381381.0</v>
      </c>
      <c r="L458" s="10">
        <v>3.425490519978709</v>
      </c>
      <c r="M458" s="9">
        <v>3.425490519978709</v>
      </c>
      <c r="N458" s="9">
        <v>146320.0</v>
      </c>
      <c r="O458" s="9">
        <v>144859.0</v>
      </c>
      <c r="P458" s="9">
        <v>54131.0</v>
      </c>
      <c r="Q458" s="9">
        <v>524.0</v>
      </c>
      <c r="R458" s="9">
        <v>0.0</v>
      </c>
      <c r="S458" s="9">
        <v>0.0</v>
      </c>
      <c r="T458" s="9">
        <v>0.0</v>
      </c>
      <c r="U458" s="9">
        <v>0.0</v>
      </c>
      <c r="V458" s="9">
        <v>0.0</v>
      </c>
      <c r="W458" s="9">
        <v>0.0</v>
      </c>
      <c r="X458" s="9">
        <v>0.0</v>
      </c>
      <c r="Y458" s="9">
        <v>0.0</v>
      </c>
      <c r="Z458" s="9">
        <v>0.0</v>
      </c>
      <c r="AA458" s="9">
        <v>0.0</v>
      </c>
      <c r="AB458" s="9">
        <v>0.0</v>
      </c>
      <c r="AC458" s="9">
        <v>0.0</v>
      </c>
      <c r="AD458" s="11" t="s">
        <v>128</v>
      </c>
      <c r="AE458" s="9" t="s">
        <v>9</v>
      </c>
    </row>
    <row r="459">
      <c r="A459" s="7" t="s">
        <v>1295</v>
      </c>
      <c r="B459" s="7" t="s">
        <v>1296</v>
      </c>
      <c r="C459" s="8">
        <v>46129.0</v>
      </c>
      <c r="D459" s="8">
        <v>46133.0</v>
      </c>
      <c r="E459" s="7" t="s">
        <v>364</v>
      </c>
      <c r="F459" s="7" t="s">
        <v>365</v>
      </c>
      <c r="G459" s="7" t="s">
        <v>355</v>
      </c>
      <c r="H459" s="9">
        <v>36430.0</v>
      </c>
      <c r="I459" s="9">
        <v>0.0</v>
      </c>
      <c r="J459" s="9">
        <v>544.0</v>
      </c>
      <c r="K459" s="9">
        <v>14854.0</v>
      </c>
      <c r="L459" s="10">
        <v>2.4525380368924194</v>
      </c>
      <c r="M459" s="9">
        <v>2.4525380368924194</v>
      </c>
      <c r="N459" s="9">
        <v>115260.0</v>
      </c>
      <c r="O459" s="9">
        <v>114063.0</v>
      </c>
      <c r="P459" s="9">
        <v>34449.0</v>
      </c>
      <c r="Q459" s="9">
        <v>345.0</v>
      </c>
      <c r="R459" s="9">
        <v>0.0</v>
      </c>
      <c r="S459" s="9">
        <v>0.0</v>
      </c>
      <c r="T459" s="9">
        <v>0.0</v>
      </c>
      <c r="U459" s="9">
        <v>0.0</v>
      </c>
      <c r="V459" s="9">
        <v>0.0</v>
      </c>
      <c r="W459" s="9">
        <v>0.0</v>
      </c>
      <c r="X459" s="9">
        <v>0.0</v>
      </c>
      <c r="Y459" s="9">
        <v>0.0</v>
      </c>
      <c r="Z459" s="9">
        <v>0.0</v>
      </c>
      <c r="AA459" s="9">
        <v>0.0</v>
      </c>
      <c r="AB459" s="9">
        <v>0.0</v>
      </c>
      <c r="AC459" s="9">
        <v>0.0</v>
      </c>
      <c r="AD459" s="11" t="s">
        <v>129</v>
      </c>
      <c r="AE459" s="9" t="s">
        <v>9</v>
      </c>
    </row>
    <row r="460">
      <c r="A460" s="7" t="s">
        <v>1297</v>
      </c>
      <c r="B460" s="7" t="s">
        <v>1298</v>
      </c>
      <c r="C460" s="8">
        <v>46133.0</v>
      </c>
      <c r="D460" s="8">
        <v>46139.0</v>
      </c>
      <c r="E460" s="7" t="s">
        <v>404</v>
      </c>
      <c r="F460" s="7" t="s">
        <v>405</v>
      </c>
      <c r="G460" s="7" t="s">
        <v>355</v>
      </c>
      <c r="H460" s="9">
        <v>3480810.0</v>
      </c>
      <c r="I460" s="9">
        <v>1613816.0</v>
      </c>
      <c r="J460" s="9">
        <v>3926.0</v>
      </c>
      <c r="K460" s="9">
        <v>423241.0</v>
      </c>
      <c r="L460" s="10">
        <v>2.3441750681054057</v>
      </c>
      <c r="M460" s="9">
        <v>8.224179604527917</v>
      </c>
      <c r="N460" s="9">
        <v>0.0</v>
      </c>
      <c r="O460" s="9">
        <v>0.0</v>
      </c>
      <c r="P460" s="9">
        <v>0.0</v>
      </c>
      <c r="Q460" s="9">
        <v>0.0</v>
      </c>
      <c r="R460" s="9">
        <v>0.0</v>
      </c>
      <c r="S460" s="9">
        <v>0.0</v>
      </c>
      <c r="T460" s="9">
        <v>0.0</v>
      </c>
      <c r="U460" s="9">
        <v>0.0</v>
      </c>
      <c r="V460" s="9">
        <v>0.0</v>
      </c>
      <c r="W460" s="9">
        <v>0.0</v>
      </c>
      <c r="X460" s="9">
        <v>0.0</v>
      </c>
      <c r="Y460" s="9">
        <v>0.0</v>
      </c>
      <c r="Z460" s="9">
        <v>0.0</v>
      </c>
      <c r="AA460" s="9">
        <v>0.0</v>
      </c>
      <c r="AB460" s="9">
        <v>0.0</v>
      </c>
      <c r="AC460" s="9">
        <v>0.0</v>
      </c>
      <c r="AD460" s="11" t="s">
        <v>130</v>
      </c>
      <c r="AE460" s="9"/>
    </row>
    <row r="461">
      <c r="A461" s="7" t="s">
        <v>1299</v>
      </c>
      <c r="B461" s="7" t="s">
        <v>1300</v>
      </c>
      <c r="C461" s="8">
        <v>46133.0</v>
      </c>
      <c r="D461" s="8">
        <v>46159.0</v>
      </c>
      <c r="E461" s="7" t="s">
        <v>364</v>
      </c>
      <c r="F461" s="7" t="s">
        <v>688</v>
      </c>
      <c r="G461" s="7" t="s">
        <v>355</v>
      </c>
      <c r="H461" s="9">
        <v>4142115.0</v>
      </c>
      <c r="I461" s="9">
        <v>341879.0</v>
      </c>
      <c r="J461" s="9">
        <v>4179.0</v>
      </c>
      <c r="K461" s="9">
        <v>1616763.0</v>
      </c>
      <c r="L461" s="10">
        <v>2.1508984310007095</v>
      </c>
      <c r="M461" s="9">
        <v>2.561980327357813</v>
      </c>
      <c r="N461" s="9">
        <v>0.0</v>
      </c>
      <c r="O461" s="9">
        <v>0.0</v>
      </c>
      <c r="P461" s="9">
        <v>0.0</v>
      </c>
      <c r="Q461" s="9">
        <v>0.0</v>
      </c>
      <c r="R461" s="9">
        <v>0.0</v>
      </c>
      <c r="S461" s="9">
        <v>0.0</v>
      </c>
      <c r="T461" s="9">
        <v>0.0</v>
      </c>
      <c r="U461" s="9">
        <v>0.0</v>
      </c>
      <c r="V461" s="9">
        <v>0.0</v>
      </c>
      <c r="W461" s="9">
        <v>0.0</v>
      </c>
      <c r="X461" s="9">
        <v>0.0</v>
      </c>
      <c r="Y461" s="9">
        <v>0.0</v>
      </c>
      <c r="Z461" s="9">
        <v>0.0</v>
      </c>
      <c r="AA461" s="9">
        <v>0.0</v>
      </c>
      <c r="AB461" s="9">
        <v>0.0</v>
      </c>
      <c r="AC461" s="9">
        <v>0.0</v>
      </c>
      <c r="AD461" s="11" t="s">
        <v>131</v>
      </c>
      <c r="AE461" s="9"/>
    </row>
    <row r="462">
      <c r="A462" s="7" t="s">
        <v>1301</v>
      </c>
      <c r="B462" s="7" t="s">
        <v>1302</v>
      </c>
      <c r="C462" s="8">
        <v>46134.0</v>
      </c>
      <c r="D462" s="8">
        <v>46134.0</v>
      </c>
      <c r="E462" s="7" t="s">
        <v>416</v>
      </c>
      <c r="F462" s="7" t="s">
        <v>430</v>
      </c>
      <c r="G462" s="7" t="s">
        <v>355</v>
      </c>
      <c r="H462" s="9">
        <v>0.0</v>
      </c>
      <c r="I462" s="9">
        <v>0.0</v>
      </c>
      <c r="J462" s="9">
        <v>0.0</v>
      </c>
      <c r="K462" s="9">
        <v>0.0</v>
      </c>
      <c r="L462" s="10">
        <v>0.0</v>
      </c>
      <c r="M462" s="9">
        <v>0.0</v>
      </c>
      <c r="N462" s="9">
        <v>62309.0</v>
      </c>
      <c r="O462" s="9">
        <v>61665.0</v>
      </c>
      <c r="P462" s="9">
        <v>19384.0</v>
      </c>
      <c r="Q462" s="9">
        <v>511.0</v>
      </c>
      <c r="R462" s="9">
        <v>0.0</v>
      </c>
      <c r="S462" s="9">
        <v>0.0</v>
      </c>
      <c r="T462" s="9">
        <v>0.0</v>
      </c>
      <c r="U462" s="9">
        <v>0.0</v>
      </c>
      <c r="V462" s="9">
        <v>0.0</v>
      </c>
      <c r="W462" s="9">
        <v>0.0</v>
      </c>
      <c r="X462" s="9">
        <v>0.0</v>
      </c>
      <c r="Y462" s="9">
        <v>0.0</v>
      </c>
      <c r="Z462" s="9">
        <v>0.0</v>
      </c>
      <c r="AA462" s="9">
        <v>0.0</v>
      </c>
      <c r="AB462" s="9">
        <v>0.0</v>
      </c>
      <c r="AC462" s="9">
        <v>0.0</v>
      </c>
      <c r="AD462" s="9"/>
      <c r="AE462" s="9" t="s">
        <v>9</v>
      </c>
    </row>
    <row r="463">
      <c r="A463" s="7" t="s">
        <v>1303</v>
      </c>
      <c r="B463" s="7" t="s">
        <v>1304</v>
      </c>
      <c r="C463" s="8">
        <v>46134.0</v>
      </c>
      <c r="D463" s="8">
        <v>46134.0</v>
      </c>
      <c r="E463" s="7" t="s">
        <v>416</v>
      </c>
      <c r="F463" s="7" t="s">
        <v>430</v>
      </c>
      <c r="G463" s="7" t="s">
        <v>355</v>
      </c>
      <c r="H463" s="9">
        <v>0.0</v>
      </c>
      <c r="I463" s="9">
        <v>0.0</v>
      </c>
      <c r="J463" s="9">
        <v>0.0</v>
      </c>
      <c r="K463" s="9">
        <v>0.0</v>
      </c>
      <c r="L463" s="10">
        <v>0.0</v>
      </c>
      <c r="M463" s="9">
        <v>0.0</v>
      </c>
      <c r="N463" s="9">
        <v>14657.0</v>
      </c>
      <c r="O463" s="9">
        <v>14426.0</v>
      </c>
      <c r="P463" s="9">
        <v>2816.0</v>
      </c>
      <c r="Q463" s="9">
        <v>113.0</v>
      </c>
      <c r="R463" s="9">
        <v>0.0</v>
      </c>
      <c r="S463" s="9">
        <v>0.0</v>
      </c>
      <c r="T463" s="9">
        <v>0.0</v>
      </c>
      <c r="U463" s="9">
        <v>0.0</v>
      </c>
      <c r="V463" s="9">
        <v>0.0</v>
      </c>
      <c r="W463" s="9">
        <v>0.0</v>
      </c>
      <c r="X463" s="9">
        <v>0.0</v>
      </c>
      <c r="Y463" s="9">
        <v>0.0</v>
      </c>
      <c r="Z463" s="9">
        <v>0.0</v>
      </c>
      <c r="AA463" s="9">
        <v>0.0</v>
      </c>
      <c r="AB463" s="9">
        <v>0.0</v>
      </c>
      <c r="AC463" s="9">
        <v>0.0</v>
      </c>
      <c r="AD463" s="9"/>
      <c r="AE463" s="9" t="s">
        <v>9</v>
      </c>
    </row>
    <row r="464">
      <c r="A464" s="7" t="s">
        <v>1305</v>
      </c>
      <c r="B464" s="7" t="s">
        <v>1306</v>
      </c>
      <c r="C464" s="8">
        <v>46135.0</v>
      </c>
      <c r="D464" s="8">
        <v>46149.0</v>
      </c>
      <c r="E464" s="7" t="s">
        <v>353</v>
      </c>
      <c r="F464" s="7" t="s">
        <v>378</v>
      </c>
      <c r="G464" s="7" t="s">
        <v>355</v>
      </c>
      <c r="H464" s="9">
        <v>5345645.0</v>
      </c>
      <c r="I464" s="9">
        <v>1385.0</v>
      </c>
      <c r="J464" s="9">
        <v>8700.0</v>
      </c>
      <c r="K464" s="9">
        <v>658825.0</v>
      </c>
      <c r="L464" s="10">
        <v>1.8992828141008613</v>
      </c>
      <c r="M464" s="9">
        <v>8.11390733502827</v>
      </c>
      <c r="N464" s="9">
        <v>61659.0</v>
      </c>
      <c r="O464" s="9">
        <v>60637.0</v>
      </c>
      <c r="P464" s="9">
        <v>16446.0</v>
      </c>
      <c r="Q464" s="9">
        <v>117.0</v>
      </c>
      <c r="R464" s="9">
        <v>0.0</v>
      </c>
      <c r="S464" s="9">
        <v>0.0</v>
      </c>
      <c r="T464" s="9">
        <v>0.0</v>
      </c>
      <c r="U464" s="9">
        <v>0.0</v>
      </c>
      <c r="V464" s="9">
        <v>0.0</v>
      </c>
      <c r="W464" s="9">
        <v>0.0</v>
      </c>
      <c r="X464" s="9">
        <v>0.0</v>
      </c>
      <c r="Y464" s="9">
        <v>0.0</v>
      </c>
      <c r="Z464" s="9">
        <v>0.0</v>
      </c>
      <c r="AA464" s="9">
        <v>0.0</v>
      </c>
      <c r="AB464" s="9">
        <v>0.0</v>
      </c>
      <c r="AC464" s="9">
        <v>0.0</v>
      </c>
      <c r="AD464" s="11" t="s">
        <v>132</v>
      </c>
      <c r="AE464" s="9" t="s">
        <v>9</v>
      </c>
    </row>
    <row r="465">
      <c r="A465" s="7" t="s">
        <v>1307</v>
      </c>
      <c r="B465" s="7" t="s">
        <v>1308</v>
      </c>
      <c r="C465" s="8">
        <v>46134.0</v>
      </c>
      <c r="D465" s="8">
        <v>46152.0</v>
      </c>
      <c r="E465" s="7" t="s">
        <v>416</v>
      </c>
      <c r="F465" s="7" t="s">
        <v>417</v>
      </c>
      <c r="G465" s="7" t="s">
        <v>355</v>
      </c>
      <c r="H465" s="9">
        <v>2879294.0</v>
      </c>
      <c r="I465" s="9">
        <v>430727.0</v>
      </c>
      <c r="J465" s="9">
        <v>11790.0</v>
      </c>
      <c r="K465" s="9">
        <v>265810.0</v>
      </c>
      <c r="L465" s="10">
        <v>6.076287573830932</v>
      </c>
      <c r="M465" s="9">
        <v>10.832150784394868</v>
      </c>
      <c r="N465" s="9">
        <v>101057.0</v>
      </c>
      <c r="O465" s="9">
        <v>99354.0</v>
      </c>
      <c r="P465" s="9">
        <v>21142.0</v>
      </c>
      <c r="Q465" s="9">
        <v>1044.0</v>
      </c>
      <c r="R465" s="9">
        <v>9305.0</v>
      </c>
      <c r="S465" s="9">
        <v>9124.0</v>
      </c>
      <c r="T465" s="9">
        <v>2087.0</v>
      </c>
      <c r="U465" s="9">
        <v>1762.0</v>
      </c>
      <c r="V465" s="9">
        <v>62676.0</v>
      </c>
      <c r="W465" s="9">
        <v>62676.0</v>
      </c>
      <c r="X465" s="9">
        <v>58952.0</v>
      </c>
      <c r="Y465" s="9">
        <v>26514.0</v>
      </c>
      <c r="Z465" s="9">
        <v>175.0</v>
      </c>
      <c r="AA465" s="9">
        <v>0.0</v>
      </c>
      <c r="AB465" s="9">
        <v>0.0</v>
      </c>
      <c r="AC465" s="9">
        <v>0.0</v>
      </c>
      <c r="AD465" s="11" t="s">
        <v>133</v>
      </c>
      <c r="AE465" s="9" t="s">
        <v>9</v>
      </c>
    </row>
    <row r="466">
      <c r="A466" s="7" t="s">
        <v>1309</v>
      </c>
      <c r="B466" s="7" t="s">
        <v>1310</v>
      </c>
      <c r="C466" s="8">
        <v>46168.0</v>
      </c>
      <c r="D466" s="8">
        <v>46189.0</v>
      </c>
      <c r="E466" s="7" t="s">
        <v>353</v>
      </c>
      <c r="F466" s="7" t="s">
        <v>378</v>
      </c>
      <c r="G466" s="7" t="s">
        <v>355</v>
      </c>
      <c r="H466" s="9">
        <v>299543.0</v>
      </c>
      <c r="I466" s="9">
        <v>0.0</v>
      </c>
      <c r="J466" s="9">
        <v>5108.0</v>
      </c>
      <c r="K466" s="9">
        <v>101248.0</v>
      </c>
      <c r="L466" s="10">
        <v>1.0799521965865992</v>
      </c>
      <c r="M466" s="9">
        <v>2.9585078223767383</v>
      </c>
      <c r="N466" s="9">
        <v>192271.0</v>
      </c>
      <c r="O466" s="9">
        <v>189942.0</v>
      </c>
      <c r="P466" s="9">
        <v>62087.0</v>
      </c>
      <c r="Q466" s="9">
        <v>1754.0</v>
      </c>
      <c r="R466" s="9">
        <v>0.0</v>
      </c>
      <c r="S466" s="9">
        <v>0.0</v>
      </c>
      <c r="T466" s="9">
        <v>0.0</v>
      </c>
      <c r="U466" s="9">
        <v>0.0</v>
      </c>
      <c r="V466" s="9">
        <v>0.0</v>
      </c>
      <c r="W466" s="9">
        <v>0.0</v>
      </c>
      <c r="X466" s="9">
        <v>0.0</v>
      </c>
      <c r="Y466" s="9">
        <v>0.0</v>
      </c>
      <c r="Z466" s="9">
        <v>0.0</v>
      </c>
      <c r="AA466" s="9">
        <v>0.0</v>
      </c>
      <c r="AB466" s="9">
        <v>0.0</v>
      </c>
      <c r="AC466" s="9">
        <v>0.0</v>
      </c>
      <c r="AD466" s="11" t="s">
        <v>134</v>
      </c>
      <c r="AE466" s="9" t="s">
        <v>9</v>
      </c>
    </row>
    <row r="467">
      <c r="A467" s="7" t="s">
        <v>1311</v>
      </c>
      <c r="B467" s="7" t="s">
        <v>1312</v>
      </c>
      <c r="C467" s="8">
        <v>46135.0</v>
      </c>
      <c r="D467" s="8">
        <v>46138.0</v>
      </c>
      <c r="E467" s="7" t="s">
        <v>364</v>
      </c>
      <c r="F467" s="7" t="s">
        <v>365</v>
      </c>
      <c r="G467" s="7" t="s">
        <v>355</v>
      </c>
      <c r="H467" s="9">
        <v>18221.0</v>
      </c>
      <c r="I467" s="9">
        <v>0.0</v>
      </c>
      <c r="J467" s="9">
        <v>261.0</v>
      </c>
      <c r="K467" s="9">
        <v>3741.0</v>
      </c>
      <c r="L467" s="10">
        <v>4.8706228281208235</v>
      </c>
      <c r="M467" s="9">
        <v>4.8706228281208235</v>
      </c>
      <c r="N467" s="9">
        <v>45136.0</v>
      </c>
      <c r="O467" s="9">
        <v>44611.0</v>
      </c>
      <c r="P467" s="9">
        <v>13464.0</v>
      </c>
      <c r="Q467" s="9">
        <v>208.0</v>
      </c>
      <c r="R467" s="9">
        <v>0.0</v>
      </c>
      <c r="S467" s="9">
        <v>0.0</v>
      </c>
      <c r="T467" s="9">
        <v>0.0</v>
      </c>
      <c r="U467" s="9">
        <v>0.0</v>
      </c>
      <c r="V467" s="9">
        <v>0.0</v>
      </c>
      <c r="W467" s="9">
        <v>0.0</v>
      </c>
      <c r="X467" s="9">
        <v>0.0</v>
      </c>
      <c r="Y467" s="9">
        <v>0.0</v>
      </c>
      <c r="Z467" s="9">
        <v>0.0</v>
      </c>
      <c r="AA467" s="9">
        <v>0.0</v>
      </c>
      <c r="AB467" s="9">
        <v>0.0</v>
      </c>
      <c r="AC467" s="9">
        <v>0.0</v>
      </c>
      <c r="AD467" s="11" t="s">
        <v>135</v>
      </c>
      <c r="AE467" s="9" t="s">
        <v>9</v>
      </c>
    </row>
    <row r="468">
      <c r="A468" s="7" t="s">
        <v>1313</v>
      </c>
      <c r="B468" s="7" t="s">
        <v>1314</v>
      </c>
      <c r="C468" s="8">
        <v>46132.0</v>
      </c>
      <c r="D468" s="8">
        <v>46142.0</v>
      </c>
      <c r="E468" s="7" t="s">
        <v>416</v>
      </c>
      <c r="F468" s="7" t="s">
        <v>430</v>
      </c>
      <c r="G468" s="7" t="s">
        <v>355</v>
      </c>
      <c r="H468" s="9">
        <v>1971099.0</v>
      </c>
      <c r="I468" s="9">
        <v>121436.0</v>
      </c>
      <c r="J468" s="9">
        <v>620.0</v>
      </c>
      <c r="K468" s="9">
        <v>1126189.0</v>
      </c>
      <c r="L468" s="10">
        <v>1.7502381927012252</v>
      </c>
      <c r="M468" s="9">
        <v>1.7502381927012252</v>
      </c>
      <c r="N468" s="9">
        <v>0.0</v>
      </c>
      <c r="O468" s="9">
        <v>0.0</v>
      </c>
      <c r="P468" s="9">
        <v>0.0</v>
      </c>
      <c r="Q468" s="9">
        <v>0.0</v>
      </c>
      <c r="R468" s="9">
        <v>0.0</v>
      </c>
      <c r="S468" s="9">
        <v>0.0</v>
      </c>
      <c r="T468" s="9">
        <v>0.0</v>
      </c>
      <c r="U468" s="9">
        <v>0.0</v>
      </c>
      <c r="V468" s="9">
        <v>0.0</v>
      </c>
      <c r="W468" s="9">
        <v>0.0</v>
      </c>
      <c r="X468" s="9">
        <v>0.0</v>
      </c>
      <c r="Y468" s="9">
        <v>0.0</v>
      </c>
      <c r="Z468" s="9">
        <v>0.0</v>
      </c>
      <c r="AA468" s="9">
        <v>0.0</v>
      </c>
      <c r="AB468" s="9">
        <v>0.0</v>
      </c>
      <c r="AC468" s="9">
        <v>0.0</v>
      </c>
      <c r="AD468" s="11" t="s">
        <v>136</v>
      </c>
      <c r="AE468" s="9"/>
    </row>
    <row r="469">
      <c r="A469" s="7" t="s">
        <v>1315</v>
      </c>
      <c r="B469" s="7" t="s">
        <v>1316</v>
      </c>
      <c r="C469" s="8">
        <v>46133.0</v>
      </c>
      <c r="D469" s="8">
        <v>46140.0</v>
      </c>
      <c r="E469" s="7" t="s">
        <v>416</v>
      </c>
      <c r="F469" s="7" t="s">
        <v>725</v>
      </c>
      <c r="G469" s="7" t="s">
        <v>355</v>
      </c>
      <c r="H469" s="9">
        <v>1132964.0</v>
      </c>
      <c r="I469" s="9">
        <v>0.0</v>
      </c>
      <c r="J469" s="9">
        <v>1859.0</v>
      </c>
      <c r="K469" s="9">
        <v>747158.0</v>
      </c>
      <c r="L469" s="10">
        <v>1.5163646778860695</v>
      </c>
      <c r="M469" s="9">
        <v>1.5163646778860695</v>
      </c>
      <c r="N469" s="9">
        <v>23578.0</v>
      </c>
      <c r="O469" s="9">
        <v>23337.0</v>
      </c>
      <c r="P469" s="9">
        <v>6152.0</v>
      </c>
      <c r="Q469" s="9">
        <v>117.0</v>
      </c>
      <c r="R469" s="9">
        <v>0.0</v>
      </c>
      <c r="S469" s="9">
        <v>0.0</v>
      </c>
      <c r="T469" s="9">
        <v>0.0</v>
      </c>
      <c r="U469" s="9">
        <v>0.0</v>
      </c>
      <c r="V469" s="9">
        <v>0.0</v>
      </c>
      <c r="W469" s="9">
        <v>0.0</v>
      </c>
      <c r="X469" s="9">
        <v>0.0</v>
      </c>
      <c r="Y469" s="9">
        <v>0.0</v>
      </c>
      <c r="Z469" s="9">
        <v>0.0</v>
      </c>
      <c r="AA469" s="9">
        <v>0.0</v>
      </c>
      <c r="AB469" s="9">
        <v>0.0</v>
      </c>
      <c r="AC469" s="9">
        <v>0.0</v>
      </c>
      <c r="AD469" s="11" t="s">
        <v>137</v>
      </c>
      <c r="AE469" s="9" t="s">
        <v>9</v>
      </c>
    </row>
    <row r="470">
      <c r="A470" s="7" t="s">
        <v>1317</v>
      </c>
      <c r="B470" s="7" t="s">
        <v>1318</v>
      </c>
      <c r="C470" s="8">
        <v>46136.0</v>
      </c>
      <c r="D470" s="8">
        <v>46136.0</v>
      </c>
      <c r="E470" s="7" t="s">
        <v>416</v>
      </c>
      <c r="F470" s="7" t="s">
        <v>430</v>
      </c>
      <c r="G470" s="7" t="s">
        <v>355</v>
      </c>
      <c r="H470" s="9">
        <v>0.0</v>
      </c>
      <c r="I470" s="9">
        <v>0.0</v>
      </c>
      <c r="J470" s="9">
        <v>0.0</v>
      </c>
      <c r="K470" s="9">
        <v>0.0</v>
      </c>
      <c r="L470" s="10">
        <v>0.0</v>
      </c>
      <c r="M470" s="9">
        <v>0.0</v>
      </c>
      <c r="N470" s="9">
        <v>531.0</v>
      </c>
      <c r="O470" s="9">
        <v>527.0</v>
      </c>
      <c r="P470" s="9">
        <v>166.0</v>
      </c>
      <c r="Q470" s="9">
        <v>3.0</v>
      </c>
      <c r="R470" s="9">
        <v>0.0</v>
      </c>
      <c r="S470" s="9">
        <v>0.0</v>
      </c>
      <c r="T470" s="9">
        <v>0.0</v>
      </c>
      <c r="U470" s="9">
        <v>0.0</v>
      </c>
      <c r="V470" s="9">
        <v>0.0</v>
      </c>
      <c r="W470" s="9">
        <v>0.0</v>
      </c>
      <c r="X470" s="9">
        <v>0.0</v>
      </c>
      <c r="Y470" s="9">
        <v>0.0</v>
      </c>
      <c r="Z470" s="9">
        <v>0.0</v>
      </c>
      <c r="AA470" s="9">
        <v>0.0</v>
      </c>
      <c r="AB470" s="9">
        <v>0.0</v>
      </c>
      <c r="AC470" s="9">
        <v>0.0</v>
      </c>
      <c r="AD470" s="9"/>
      <c r="AE470" s="9" t="s">
        <v>9</v>
      </c>
    </row>
    <row r="471">
      <c r="A471" s="7" t="s">
        <v>1319</v>
      </c>
      <c r="B471" s="7" t="s">
        <v>1320</v>
      </c>
      <c r="C471" s="8">
        <v>46136.0</v>
      </c>
      <c r="D471" s="8">
        <v>46139.0</v>
      </c>
      <c r="E471" s="7" t="s">
        <v>416</v>
      </c>
      <c r="F471" s="7" t="s">
        <v>430</v>
      </c>
      <c r="G471" s="7" t="s">
        <v>355</v>
      </c>
      <c r="H471" s="9">
        <v>0.0</v>
      </c>
      <c r="I471" s="9">
        <v>0.0</v>
      </c>
      <c r="J471" s="9">
        <v>0.0</v>
      </c>
      <c r="K471" s="9">
        <v>0.0</v>
      </c>
      <c r="L471" s="10">
        <v>0.0</v>
      </c>
      <c r="M471" s="9">
        <v>0.0</v>
      </c>
      <c r="N471" s="9">
        <v>70367.0</v>
      </c>
      <c r="O471" s="9">
        <v>69281.0</v>
      </c>
      <c r="P471" s="9">
        <v>15628.0</v>
      </c>
      <c r="Q471" s="9">
        <v>162.0</v>
      </c>
      <c r="R471" s="9">
        <v>0.0</v>
      </c>
      <c r="S471" s="9">
        <v>0.0</v>
      </c>
      <c r="T471" s="9">
        <v>0.0</v>
      </c>
      <c r="U471" s="9">
        <v>0.0</v>
      </c>
      <c r="V471" s="9">
        <v>0.0</v>
      </c>
      <c r="W471" s="9">
        <v>0.0</v>
      </c>
      <c r="X471" s="9">
        <v>0.0</v>
      </c>
      <c r="Y471" s="9">
        <v>0.0</v>
      </c>
      <c r="Z471" s="9">
        <v>0.0</v>
      </c>
      <c r="AA471" s="9">
        <v>0.0</v>
      </c>
      <c r="AB471" s="9">
        <v>0.0</v>
      </c>
      <c r="AC471" s="9">
        <v>0.0</v>
      </c>
      <c r="AD471" s="9"/>
      <c r="AE471" s="9" t="s">
        <v>9</v>
      </c>
    </row>
    <row r="472">
      <c r="A472" s="7" t="s">
        <v>1321</v>
      </c>
      <c r="B472" s="7" t="s">
        <v>1322</v>
      </c>
      <c r="C472" s="8">
        <v>46178.0</v>
      </c>
      <c r="D472" s="8">
        <v>46195.0</v>
      </c>
      <c r="E472" s="7" t="s">
        <v>416</v>
      </c>
      <c r="F472" s="7" t="s">
        <v>417</v>
      </c>
      <c r="G472" s="7" t="s">
        <v>355</v>
      </c>
      <c r="H472" s="9">
        <v>1690842.0</v>
      </c>
      <c r="I472" s="9">
        <v>0.0</v>
      </c>
      <c r="J472" s="9">
        <v>3086.0</v>
      </c>
      <c r="K472" s="9">
        <v>98243.0</v>
      </c>
      <c r="L472" s="10">
        <v>2.756756206549067</v>
      </c>
      <c r="M472" s="9">
        <v>17.21081400201541</v>
      </c>
      <c r="N472" s="9">
        <v>182647.0</v>
      </c>
      <c r="O472" s="9">
        <v>180974.0</v>
      </c>
      <c r="P472" s="9">
        <v>49229.0</v>
      </c>
      <c r="Q472" s="9">
        <v>808.0</v>
      </c>
      <c r="R472" s="9">
        <v>0.0</v>
      </c>
      <c r="S472" s="9">
        <v>0.0</v>
      </c>
      <c r="T472" s="9">
        <v>0.0</v>
      </c>
      <c r="U472" s="9">
        <v>0.0</v>
      </c>
      <c r="V472" s="9">
        <v>0.0</v>
      </c>
      <c r="W472" s="9">
        <v>0.0</v>
      </c>
      <c r="X472" s="9">
        <v>0.0</v>
      </c>
      <c r="Y472" s="9">
        <v>0.0</v>
      </c>
      <c r="Z472" s="9">
        <v>0.0</v>
      </c>
      <c r="AA472" s="9">
        <v>40505.0</v>
      </c>
      <c r="AB472" s="9">
        <v>37280.0</v>
      </c>
      <c r="AC472" s="9">
        <v>0.0</v>
      </c>
      <c r="AD472" s="11" t="s">
        <v>138</v>
      </c>
      <c r="AE472" s="9" t="s">
        <v>9</v>
      </c>
    </row>
    <row r="473">
      <c r="A473" s="7" t="s">
        <v>1323</v>
      </c>
      <c r="B473" s="7" t="s">
        <v>1324</v>
      </c>
      <c r="C473" s="8">
        <v>46136.0</v>
      </c>
      <c r="D473" s="8">
        <v>46136.0</v>
      </c>
      <c r="E473" s="7" t="s">
        <v>358</v>
      </c>
      <c r="F473" s="7" t="s">
        <v>387</v>
      </c>
      <c r="G473" s="7" t="s">
        <v>355</v>
      </c>
      <c r="H473" s="9">
        <v>0.0</v>
      </c>
      <c r="I473" s="9">
        <v>0.0</v>
      </c>
      <c r="J473" s="9">
        <v>0.0</v>
      </c>
      <c r="K473" s="9">
        <v>0.0</v>
      </c>
      <c r="L473" s="10">
        <v>0.0</v>
      </c>
      <c r="M473" s="9">
        <v>0.0</v>
      </c>
      <c r="N473" s="9">
        <v>12163.0</v>
      </c>
      <c r="O473" s="9">
        <v>11980.0</v>
      </c>
      <c r="P473" s="9">
        <v>3076.0</v>
      </c>
      <c r="Q473" s="9">
        <v>205.0</v>
      </c>
      <c r="R473" s="9">
        <v>0.0</v>
      </c>
      <c r="S473" s="9">
        <v>0.0</v>
      </c>
      <c r="T473" s="9">
        <v>0.0</v>
      </c>
      <c r="U473" s="9">
        <v>0.0</v>
      </c>
      <c r="V473" s="9">
        <v>0.0</v>
      </c>
      <c r="W473" s="9">
        <v>0.0</v>
      </c>
      <c r="X473" s="9">
        <v>0.0</v>
      </c>
      <c r="Y473" s="9">
        <v>0.0</v>
      </c>
      <c r="Z473" s="9">
        <v>0.0</v>
      </c>
      <c r="AA473" s="9">
        <v>0.0</v>
      </c>
      <c r="AB473" s="9">
        <v>0.0</v>
      </c>
      <c r="AC473" s="9">
        <v>0.0</v>
      </c>
      <c r="AD473" s="9"/>
      <c r="AE473" s="9" t="s">
        <v>9</v>
      </c>
    </row>
    <row r="474">
      <c r="A474" s="7" t="s">
        <v>1325</v>
      </c>
      <c r="B474" s="7" t="s">
        <v>1326</v>
      </c>
      <c r="C474" s="8">
        <v>46136.0</v>
      </c>
      <c r="D474" s="8">
        <v>46136.0</v>
      </c>
      <c r="E474" s="7" t="s">
        <v>358</v>
      </c>
      <c r="F474" s="7" t="s">
        <v>387</v>
      </c>
      <c r="G474" s="7" t="s">
        <v>355</v>
      </c>
      <c r="H474" s="9">
        <v>0.0</v>
      </c>
      <c r="I474" s="9">
        <v>0.0</v>
      </c>
      <c r="J474" s="9">
        <v>0.0</v>
      </c>
      <c r="K474" s="9">
        <v>0.0</v>
      </c>
      <c r="L474" s="10">
        <v>0.0</v>
      </c>
      <c r="M474" s="9">
        <v>0.0</v>
      </c>
      <c r="N474" s="9">
        <v>14837.0</v>
      </c>
      <c r="O474" s="9">
        <v>14693.0</v>
      </c>
      <c r="P474" s="9">
        <v>5185.0</v>
      </c>
      <c r="Q474" s="9">
        <v>276.0</v>
      </c>
      <c r="R474" s="9">
        <v>0.0</v>
      </c>
      <c r="S474" s="9">
        <v>0.0</v>
      </c>
      <c r="T474" s="9">
        <v>0.0</v>
      </c>
      <c r="U474" s="9">
        <v>0.0</v>
      </c>
      <c r="V474" s="9">
        <v>0.0</v>
      </c>
      <c r="W474" s="9">
        <v>0.0</v>
      </c>
      <c r="X474" s="9">
        <v>0.0</v>
      </c>
      <c r="Y474" s="9">
        <v>0.0</v>
      </c>
      <c r="Z474" s="9">
        <v>0.0</v>
      </c>
      <c r="AA474" s="9">
        <v>0.0</v>
      </c>
      <c r="AB474" s="9">
        <v>0.0</v>
      </c>
      <c r="AC474" s="9">
        <v>0.0</v>
      </c>
      <c r="AD474" s="9"/>
      <c r="AE474" s="9" t="s">
        <v>9</v>
      </c>
    </row>
    <row r="475">
      <c r="A475" s="7" t="s">
        <v>1327</v>
      </c>
      <c r="B475" s="7" t="s">
        <v>1328</v>
      </c>
      <c r="C475" s="8">
        <v>46136.0</v>
      </c>
      <c r="D475" s="8">
        <v>46136.0</v>
      </c>
      <c r="E475" s="7" t="s">
        <v>358</v>
      </c>
      <c r="F475" s="7" t="s">
        <v>387</v>
      </c>
      <c r="G475" s="7" t="s">
        <v>355</v>
      </c>
      <c r="H475" s="9">
        <v>0.0</v>
      </c>
      <c r="I475" s="9">
        <v>0.0</v>
      </c>
      <c r="J475" s="9">
        <v>0.0</v>
      </c>
      <c r="K475" s="9">
        <v>0.0</v>
      </c>
      <c r="L475" s="10">
        <v>0.0</v>
      </c>
      <c r="M475" s="9">
        <v>0.0</v>
      </c>
      <c r="N475" s="9">
        <v>7494.0</v>
      </c>
      <c r="O475" s="9">
        <v>7417.0</v>
      </c>
      <c r="P475" s="9">
        <v>2359.0</v>
      </c>
      <c r="Q475" s="9">
        <v>125.0</v>
      </c>
      <c r="R475" s="9">
        <v>0.0</v>
      </c>
      <c r="S475" s="9">
        <v>0.0</v>
      </c>
      <c r="T475" s="9">
        <v>0.0</v>
      </c>
      <c r="U475" s="9">
        <v>0.0</v>
      </c>
      <c r="V475" s="9">
        <v>0.0</v>
      </c>
      <c r="W475" s="9">
        <v>0.0</v>
      </c>
      <c r="X475" s="9">
        <v>0.0</v>
      </c>
      <c r="Y475" s="9">
        <v>0.0</v>
      </c>
      <c r="Z475" s="9">
        <v>0.0</v>
      </c>
      <c r="AA475" s="9">
        <v>0.0</v>
      </c>
      <c r="AB475" s="9">
        <v>0.0</v>
      </c>
      <c r="AC475" s="9">
        <v>0.0</v>
      </c>
      <c r="AD475" s="9"/>
      <c r="AE475" s="9" t="s">
        <v>9</v>
      </c>
    </row>
    <row r="476">
      <c r="A476" s="7" t="s">
        <v>1329</v>
      </c>
      <c r="B476" s="7" t="s">
        <v>1330</v>
      </c>
      <c r="C476" s="8">
        <v>46139.0</v>
      </c>
      <c r="D476" s="8">
        <v>46139.0</v>
      </c>
      <c r="E476" s="7" t="s">
        <v>358</v>
      </c>
      <c r="F476" s="7" t="s">
        <v>387</v>
      </c>
      <c r="G476" s="7" t="s">
        <v>355</v>
      </c>
      <c r="H476" s="9">
        <v>0.0</v>
      </c>
      <c r="I476" s="9">
        <v>0.0</v>
      </c>
      <c r="J476" s="9">
        <v>0.0</v>
      </c>
      <c r="K476" s="9">
        <v>0.0</v>
      </c>
      <c r="L476" s="10">
        <v>0.0</v>
      </c>
      <c r="M476" s="9">
        <v>0.0</v>
      </c>
      <c r="N476" s="9">
        <v>17438.0</v>
      </c>
      <c r="O476" s="9">
        <v>17272.0</v>
      </c>
      <c r="P476" s="9">
        <v>6728.0</v>
      </c>
      <c r="Q476" s="9">
        <v>280.0</v>
      </c>
      <c r="R476" s="9">
        <v>0.0</v>
      </c>
      <c r="S476" s="9">
        <v>0.0</v>
      </c>
      <c r="T476" s="9">
        <v>0.0</v>
      </c>
      <c r="U476" s="9">
        <v>0.0</v>
      </c>
      <c r="V476" s="9">
        <v>0.0</v>
      </c>
      <c r="W476" s="9">
        <v>0.0</v>
      </c>
      <c r="X476" s="9">
        <v>0.0</v>
      </c>
      <c r="Y476" s="9">
        <v>0.0</v>
      </c>
      <c r="Z476" s="9">
        <v>0.0</v>
      </c>
      <c r="AA476" s="9">
        <v>0.0</v>
      </c>
      <c r="AB476" s="9">
        <v>0.0</v>
      </c>
      <c r="AC476" s="9">
        <v>0.0</v>
      </c>
      <c r="AD476" s="9"/>
      <c r="AE476" s="9" t="s">
        <v>9</v>
      </c>
    </row>
    <row r="477">
      <c r="A477" s="7" t="s">
        <v>1331</v>
      </c>
      <c r="B477" s="7" t="s">
        <v>1332</v>
      </c>
      <c r="C477" s="8">
        <v>46135.0</v>
      </c>
      <c r="D477" s="8">
        <v>46140.0</v>
      </c>
      <c r="E477" s="7" t="s">
        <v>416</v>
      </c>
      <c r="F477" s="7" t="s">
        <v>359</v>
      </c>
      <c r="G477" s="7" t="s">
        <v>355</v>
      </c>
      <c r="H477" s="9">
        <v>126204.0</v>
      </c>
      <c r="I477" s="9">
        <v>0.0</v>
      </c>
      <c r="J477" s="9">
        <v>459.0</v>
      </c>
      <c r="K477" s="9">
        <v>26323.0</v>
      </c>
      <c r="L477" s="10">
        <v>4.794438323899252</v>
      </c>
      <c r="M477" s="9">
        <v>4.794438323899252</v>
      </c>
      <c r="N477" s="9">
        <v>74089.0</v>
      </c>
      <c r="O477" s="9">
        <v>73332.0</v>
      </c>
      <c r="P477" s="9">
        <v>11317.0</v>
      </c>
      <c r="Q477" s="9">
        <v>307.0</v>
      </c>
      <c r="R477" s="9">
        <v>169.0</v>
      </c>
      <c r="S477" s="9">
        <v>169.0</v>
      </c>
      <c r="T477" s="9">
        <v>54.0</v>
      </c>
      <c r="U477" s="9">
        <v>51.0</v>
      </c>
      <c r="V477" s="9">
        <v>0.0</v>
      </c>
      <c r="W477" s="9">
        <v>0.0</v>
      </c>
      <c r="X477" s="9">
        <v>0.0</v>
      </c>
      <c r="Y477" s="9">
        <v>0.0</v>
      </c>
      <c r="Z477" s="9">
        <v>0.0</v>
      </c>
      <c r="AA477" s="9">
        <v>0.0</v>
      </c>
      <c r="AB477" s="9">
        <v>0.0</v>
      </c>
      <c r="AC477" s="9">
        <v>0.0</v>
      </c>
      <c r="AD477" s="11" t="s">
        <v>139</v>
      </c>
      <c r="AE477" s="9" t="s">
        <v>9</v>
      </c>
    </row>
    <row r="478">
      <c r="A478" s="7" t="s">
        <v>1333</v>
      </c>
      <c r="B478" s="7" t="s">
        <v>1334</v>
      </c>
      <c r="C478" s="8">
        <v>46135.0</v>
      </c>
      <c r="D478" s="8">
        <v>46140.0</v>
      </c>
      <c r="E478" s="7" t="s">
        <v>416</v>
      </c>
      <c r="F478" s="7" t="s">
        <v>594</v>
      </c>
      <c r="G478" s="7" t="s">
        <v>355</v>
      </c>
      <c r="H478" s="9">
        <v>98318.0</v>
      </c>
      <c r="I478" s="9">
        <v>0.0</v>
      </c>
      <c r="J478" s="9">
        <v>495.0</v>
      </c>
      <c r="K478" s="9">
        <v>24380.0</v>
      </c>
      <c r="L478" s="10">
        <v>4.03273174733388</v>
      </c>
      <c r="M478" s="9">
        <v>4.03273174733388</v>
      </c>
      <c r="N478" s="9">
        <v>42217.0</v>
      </c>
      <c r="O478" s="9">
        <v>41446.0</v>
      </c>
      <c r="P478" s="9">
        <v>5302.0</v>
      </c>
      <c r="Q478" s="9">
        <v>138.0</v>
      </c>
      <c r="R478" s="9">
        <v>96.0</v>
      </c>
      <c r="S478" s="9">
        <v>96.0</v>
      </c>
      <c r="T478" s="9">
        <v>28.0</v>
      </c>
      <c r="U478" s="9">
        <v>28.0</v>
      </c>
      <c r="V478" s="9">
        <v>0.0</v>
      </c>
      <c r="W478" s="9">
        <v>0.0</v>
      </c>
      <c r="X478" s="9">
        <v>0.0</v>
      </c>
      <c r="Y478" s="9">
        <v>0.0</v>
      </c>
      <c r="Z478" s="9">
        <v>0.0</v>
      </c>
      <c r="AA478" s="9">
        <v>0.0</v>
      </c>
      <c r="AB478" s="9">
        <v>0.0</v>
      </c>
      <c r="AC478" s="9">
        <v>0.0</v>
      </c>
      <c r="AD478" s="11" t="s">
        <v>140</v>
      </c>
      <c r="AE478" s="9" t="s">
        <v>9</v>
      </c>
    </row>
    <row r="479">
      <c r="A479" s="7" t="s">
        <v>1335</v>
      </c>
      <c r="B479" s="7" t="s">
        <v>1336</v>
      </c>
      <c r="C479" s="8">
        <v>46135.0</v>
      </c>
      <c r="D479" s="8">
        <v>46141.0</v>
      </c>
      <c r="E479" s="7" t="s">
        <v>416</v>
      </c>
      <c r="F479" s="7" t="s">
        <v>594</v>
      </c>
      <c r="G479" s="7" t="s">
        <v>355</v>
      </c>
      <c r="H479" s="9">
        <v>43755.0</v>
      </c>
      <c r="I479" s="9">
        <v>0.0</v>
      </c>
      <c r="J479" s="9">
        <v>219.0</v>
      </c>
      <c r="K479" s="9"/>
      <c r="L479" s="10">
        <v>0.0</v>
      </c>
      <c r="M479" s="9">
        <v>0.0</v>
      </c>
      <c r="N479" s="9">
        <v>23423.0</v>
      </c>
      <c r="O479" s="9">
        <v>23195.0</v>
      </c>
      <c r="P479" s="9">
        <v>5887.0</v>
      </c>
      <c r="Q479" s="9">
        <v>211.0</v>
      </c>
      <c r="R479" s="9">
        <v>98.0</v>
      </c>
      <c r="S479" s="9">
        <v>98.0</v>
      </c>
      <c r="T479" s="9">
        <v>26.0</v>
      </c>
      <c r="U479" s="9">
        <v>25.0</v>
      </c>
      <c r="V479" s="9">
        <v>0.0</v>
      </c>
      <c r="W479" s="9">
        <v>0.0</v>
      </c>
      <c r="X479" s="9">
        <v>0.0</v>
      </c>
      <c r="Y479" s="9">
        <v>0.0</v>
      </c>
      <c r="Z479" s="9">
        <v>0.0</v>
      </c>
      <c r="AA479" s="9">
        <v>0.0</v>
      </c>
      <c r="AB479" s="9">
        <v>0.0</v>
      </c>
      <c r="AC479" s="9">
        <v>0.0</v>
      </c>
      <c r="AD479" s="11" t="s">
        <v>141</v>
      </c>
      <c r="AE479" s="9" t="s">
        <v>9</v>
      </c>
    </row>
    <row r="480">
      <c r="A480" s="7" t="s">
        <v>1337</v>
      </c>
      <c r="B480" s="7" t="s">
        <v>1338</v>
      </c>
      <c r="C480" s="8">
        <v>46135.0</v>
      </c>
      <c r="D480" s="8">
        <v>46142.0</v>
      </c>
      <c r="E480" s="7" t="s">
        <v>353</v>
      </c>
      <c r="F480" s="7" t="s">
        <v>378</v>
      </c>
      <c r="G480" s="7" t="s">
        <v>355</v>
      </c>
      <c r="H480" s="9">
        <v>140394.0</v>
      </c>
      <c r="I480" s="9">
        <v>0.0</v>
      </c>
      <c r="J480" s="9">
        <v>582.0</v>
      </c>
      <c r="K480" s="9">
        <v>26063.0</v>
      </c>
      <c r="L480" s="10">
        <v>5.386716801596132</v>
      </c>
      <c r="M480" s="9">
        <v>5.386716801596132</v>
      </c>
      <c r="N480" s="9">
        <v>85243.0</v>
      </c>
      <c r="O480" s="9">
        <v>84196.0</v>
      </c>
      <c r="P480" s="9">
        <v>14663.0</v>
      </c>
      <c r="Q480" s="9">
        <v>210.0</v>
      </c>
      <c r="R480" s="9">
        <v>105.0</v>
      </c>
      <c r="S480" s="9">
        <v>105.0</v>
      </c>
      <c r="T480" s="9">
        <v>27.0</v>
      </c>
      <c r="U480" s="9">
        <v>26.0</v>
      </c>
      <c r="V480" s="9">
        <v>0.0</v>
      </c>
      <c r="W480" s="9">
        <v>0.0</v>
      </c>
      <c r="X480" s="9">
        <v>0.0</v>
      </c>
      <c r="Y480" s="9">
        <v>0.0</v>
      </c>
      <c r="Z480" s="9">
        <v>0.0</v>
      </c>
      <c r="AA480" s="9">
        <v>0.0</v>
      </c>
      <c r="AB480" s="9">
        <v>0.0</v>
      </c>
      <c r="AC480" s="9">
        <v>0.0</v>
      </c>
      <c r="AD480" s="11" t="s">
        <v>142</v>
      </c>
      <c r="AE480" s="9" t="s">
        <v>9</v>
      </c>
    </row>
    <row r="481">
      <c r="A481" s="7" t="s">
        <v>1339</v>
      </c>
      <c r="B481" s="7" t="s">
        <v>1340</v>
      </c>
      <c r="C481" s="8">
        <v>46135.0</v>
      </c>
      <c r="D481" s="8">
        <v>46142.0</v>
      </c>
      <c r="E481" s="7" t="s">
        <v>416</v>
      </c>
      <c r="F481" s="7" t="s">
        <v>354</v>
      </c>
      <c r="G481" s="7" t="s">
        <v>355</v>
      </c>
      <c r="H481" s="9">
        <v>142535.0</v>
      </c>
      <c r="I481" s="9">
        <v>0.0</v>
      </c>
      <c r="J481" s="9">
        <v>426.0</v>
      </c>
      <c r="K481" s="9">
        <v>21664.0</v>
      </c>
      <c r="L481" s="10">
        <v>6.579348227474151</v>
      </c>
      <c r="M481" s="9">
        <v>6.579348227474151</v>
      </c>
      <c r="N481" s="9">
        <v>15735.0</v>
      </c>
      <c r="O481" s="9">
        <v>15550.0</v>
      </c>
      <c r="P481" s="9">
        <v>2689.0</v>
      </c>
      <c r="Q481" s="9">
        <v>49.0</v>
      </c>
      <c r="R481" s="9">
        <v>32.0</v>
      </c>
      <c r="S481" s="9">
        <v>32.0</v>
      </c>
      <c r="T481" s="9">
        <v>12.0</v>
      </c>
      <c r="U481" s="9">
        <v>12.0</v>
      </c>
      <c r="V481" s="9">
        <v>0.0</v>
      </c>
      <c r="W481" s="9">
        <v>0.0</v>
      </c>
      <c r="X481" s="9">
        <v>0.0</v>
      </c>
      <c r="Y481" s="9">
        <v>0.0</v>
      </c>
      <c r="Z481" s="9">
        <v>0.0</v>
      </c>
      <c r="AA481" s="9">
        <v>0.0</v>
      </c>
      <c r="AB481" s="9">
        <v>0.0</v>
      </c>
      <c r="AC481" s="9">
        <v>0.0</v>
      </c>
      <c r="AD481" s="11" t="s">
        <v>143</v>
      </c>
      <c r="AE481" s="9" t="s">
        <v>9</v>
      </c>
    </row>
    <row r="482">
      <c r="A482" s="7" t="s">
        <v>1341</v>
      </c>
      <c r="B482" s="7" t="s">
        <v>1342</v>
      </c>
      <c r="C482" s="8">
        <v>46142.0</v>
      </c>
      <c r="D482" s="8">
        <v>46142.0</v>
      </c>
      <c r="E482" s="7" t="s">
        <v>416</v>
      </c>
      <c r="F482" s="7" t="s">
        <v>430</v>
      </c>
      <c r="G482" s="7" t="s">
        <v>355</v>
      </c>
      <c r="H482" s="9">
        <v>0.0</v>
      </c>
      <c r="I482" s="9">
        <v>0.0</v>
      </c>
      <c r="J482" s="9">
        <v>0.0</v>
      </c>
      <c r="K482" s="9">
        <v>0.0</v>
      </c>
      <c r="L482" s="10">
        <v>0.0</v>
      </c>
      <c r="M482" s="9">
        <v>0.0</v>
      </c>
      <c r="N482" s="9">
        <v>78461.0</v>
      </c>
      <c r="O482" s="9">
        <v>77713.0</v>
      </c>
      <c r="P482" s="9">
        <v>23042.0</v>
      </c>
      <c r="Q482" s="9">
        <v>900.0</v>
      </c>
      <c r="R482" s="9">
        <v>0.0</v>
      </c>
      <c r="S482" s="9">
        <v>0.0</v>
      </c>
      <c r="T482" s="9">
        <v>0.0</v>
      </c>
      <c r="U482" s="9">
        <v>0.0</v>
      </c>
      <c r="V482" s="9">
        <v>0.0</v>
      </c>
      <c r="W482" s="9">
        <v>0.0</v>
      </c>
      <c r="X482" s="9">
        <v>0.0</v>
      </c>
      <c r="Y482" s="9">
        <v>0.0</v>
      </c>
      <c r="Z482" s="9">
        <v>0.0</v>
      </c>
      <c r="AA482" s="9">
        <v>0.0</v>
      </c>
      <c r="AB482" s="9">
        <v>0.0</v>
      </c>
      <c r="AC482" s="9">
        <v>0.0</v>
      </c>
      <c r="AD482" s="9"/>
      <c r="AE482" s="9" t="s">
        <v>9</v>
      </c>
    </row>
    <row r="483">
      <c r="A483" s="7" t="s">
        <v>1343</v>
      </c>
      <c r="B483" s="7" t="s">
        <v>1344</v>
      </c>
      <c r="C483" s="8">
        <v>46142.0</v>
      </c>
      <c r="D483" s="8">
        <v>46142.0</v>
      </c>
      <c r="E483" s="7" t="s">
        <v>416</v>
      </c>
      <c r="F483" s="7" t="s">
        <v>430</v>
      </c>
      <c r="G483" s="7" t="s">
        <v>355</v>
      </c>
      <c r="H483" s="9">
        <v>0.0</v>
      </c>
      <c r="I483" s="9">
        <v>0.0</v>
      </c>
      <c r="J483" s="9">
        <v>0.0</v>
      </c>
      <c r="K483" s="9">
        <v>0.0</v>
      </c>
      <c r="L483" s="10">
        <v>0.0</v>
      </c>
      <c r="M483" s="9">
        <v>0.0</v>
      </c>
      <c r="N483" s="9">
        <v>72474.0</v>
      </c>
      <c r="O483" s="9">
        <v>71456.0</v>
      </c>
      <c r="P483" s="9">
        <v>14342.0</v>
      </c>
      <c r="Q483" s="9">
        <v>776.0</v>
      </c>
      <c r="R483" s="9">
        <v>0.0</v>
      </c>
      <c r="S483" s="9">
        <v>0.0</v>
      </c>
      <c r="T483" s="9">
        <v>0.0</v>
      </c>
      <c r="U483" s="9">
        <v>0.0</v>
      </c>
      <c r="V483" s="9">
        <v>0.0</v>
      </c>
      <c r="W483" s="9">
        <v>0.0</v>
      </c>
      <c r="X483" s="9">
        <v>0.0</v>
      </c>
      <c r="Y483" s="9">
        <v>0.0</v>
      </c>
      <c r="Z483" s="9">
        <v>0.0</v>
      </c>
      <c r="AA483" s="9">
        <v>0.0</v>
      </c>
      <c r="AB483" s="9">
        <v>0.0</v>
      </c>
      <c r="AC483" s="9">
        <v>0.0</v>
      </c>
      <c r="AD483" s="9"/>
      <c r="AE483" s="9" t="s">
        <v>9</v>
      </c>
    </row>
    <row r="484">
      <c r="A484" s="7" t="s">
        <v>1345</v>
      </c>
      <c r="B484" s="7" t="s">
        <v>1346</v>
      </c>
      <c r="C484" s="8">
        <v>46135.0</v>
      </c>
      <c r="D484" s="8">
        <v>46156.0</v>
      </c>
      <c r="E484" s="7" t="s">
        <v>416</v>
      </c>
      <c r="F484" s="7" t="s">
        <v>417</v>
      </c>
      <c r="G484" s="7" t="s">
        <v>355</v>
      </c>
      <c r="H484" s="9">
        <v>435139.0</v>
      </c>
      <c r="I484" s="9">
        <v>178725.0</v>
      </c>
      <c r="J484" s="9">
        <v>1162.0</v>
      </c>
      <c r="K484" s="9">
        <v>8293.0</v>
      </c>
      <c r="L484" s="10">
        <v>26.173158085132037</v>
      </c>
      <c r="M484" s="9">
        <v>52.47063788737489</v>
      </c>
      <c r="N484" s="9">
        <v>0.0</v>
      </c>
      <c r="O484" s="9">
        <v>0.0</v>
      </c>
      <c r="P484" s="9">
        <v>0.0</v>
      </c>
      <c r="Q484" s="9">
        <v>0.0</v>
      </c>
      <c r="R484" s="9">
        <v>0.0</v>
      </c>
      <c r="S484" s="9">
        <v>0.0</v>
      </c>
      <c r="T484" s="9">
        <v>0.0</v>
      </c>
      <c r="U484" s="9">
        <v>0.0</v>
      </c>
      <c r="V484" s="9">
        <v>0.0</v>
      </c>
      <c r="W484" s="9">
        <v>0.0</v>
      </c>
      <c r="X484" s="9">
        <v>0.0</v>
      </c>
      <c r="Y484" s="9">
        <v>0.0</v>
      </c>
      <c r="Z484" s="9">
        <v>0.0</v>
      </c>
      <c r="AA484" s="9">
        <v>0.0</v>
      </c>
      <c r="AB484" s="9">
        <v>0.0</v>
      </c>
      <c r="AC484" s="9">
        <v>0.0</v>
      </c>
      <c r="AD484" s="11" t="s">
        <v>144</v>
      </c>
      <c r="AE484" s="9"/>
    </row>
    <row r="485">
      <c r="A485" s="7" t="s">
        <v>1347</v>
      </c>
      <c r="B485" s="7" t="s">
        <v>1348</v>
      </c>
      <c r="C485" s="8">
        <v>46142.0</v>
      </c>
      <c r="D485" s="8">
        <v>46177.0</v>
      </c>
      <c r="E485" s="7" t="s">
        <v>364</v>
      </c>
      <c r="F485" s="7" t="s">
        <v>365</v>
      </c>
      <c r="G485" s="7" t="s">
        <v>355</v>
      </c>
      <c r="H485" s="9">
        <v>232038.0</v>
      </c>
      <c r="I485" s="9">
        <v>0.0</v>
      </c>
      <c r="J485" s="9">
        <v>1856.0</v>
      </c>
      <c r="K485" s="9">
        <v>90035.0</v>
      </c>
      <c r="L485" s="10">
        <v>2.5771977564280557</v>
      </c>
      <c r="M485" s="9">
        <v>2.5771977564280557</v>
      </c>
      <c r="N485" s="9">
        <v>106742.0</v>
      </c>
      <c r="O485" s="9">
        <v>105386.0</v>
      </c>
      <c r="P485" s="9">
        <v>34841.0</v>
      </c>
      <c r="Q485" s="9">
        <v>836.0</v>
      </c>
      <c r="R485" s="9">
        <v>0.0</v>
      </c>
      <c r="S485" s="9">
        <v>0.0</v>
      </c>
      <c r="T485" s="9">
        <v>0.0</v>
      </c>
      <c r="U485" s="9">
        <v>0.0</v>
      </c>
      <c r="V485" s="9">
        <v>0.0</v>
      </c>
      <c r="W485" s="9">
        <v>0.0</v>
      </c>
      <c r="X485" s="9">
        <v>0.0</v>
      </c>
      <c r="Y485" s="9">
        <v>0.0</v>
      </c>
      <c r="Z485" s="9">
        <v>0.0</v>
      </c>
      <c r="AA485" s="9">
        <v>0.0</v>
      </c>
      <c r="AB485" s="9">
        <v>0.0</v>
      </c>
      <c r="AC485" s="9">
        <v>0.0</v>
      </c>
      <c r="AD485" s="11" t="s">
        <v>145</v>
      </c>
      <c r="AE485" s="9" t="s">
        <v>9</v>
      </c>
    </row>
    <row r="486">
      <c r="A486" s="7" t="s">
        <v>1349</v>
      </c>
      <c r="B486" s="7" t="s">
        <v>1350</v>
      </c>
      <c r="C486" s="8">
        <v>46135.0</v>
      </c>
      <c r="D486" s="8">
        <v>46138.0</v>
      </c>
      <c r="E486" s="7" t="s">
        <v>364</v>
      </c>
      <c r="F486" s="7" t="s">
        <v>365</v>
      </c>
      <c r="G486" s="7" t="s">
        <v>355</v>
      </c>
      <c r="H486" s="9">
        <v>40513.0</v>
      </c>
      <c r="I486" s="9">
        <v>0.0</v>
      </c>
      <c r="J486" s="9">
        <v>581.0</v>
      </c>
      <c r="K486" s="9"/>
      <c r="L486" s="10">
        <v>0.0</v>
      </c>
      <c r="M486" s="9">
        <v>0.0</v>
      </c>
      <c r="N486" s="9">
        <v>0.0</v>
      </c>
      <c r="O486" s="9">
        <v>0.0</v>
      </c>
      <c r="P486" s="9">
        <v>0.0</v>
      </c>
      <c r="Q486" s="9">
        <v>0.0</v>
      </c>
      <c r="R486" s="9">
        <v>0.0</v>
      </c>
      <c r="S486" s="9">
        <v>0.0</v>
      </c>
      <c r="T486" s="9">
        <v>0.0</v>
      </c>
      <c r="U486" s="9">
        <v>0.0</v>
      </c>
      <c r="V486" s="9">
        <v>0.0</v>
      </c>
      <c r="W486" s="9">
        <v>0.0</v>
      </c>
      <c r="X486" s="9">
        <v>0.0</v>
      </c>
      <c r="Y486" s="9">
        <v>0.0</v>
      </c>
      <c r="Z486" s="9">
        <v>0.0</v>
      </c>
      <c r="AA486" s="9">
        <v>0.0</v>
      </c>
      <c r="AB486" s="9">
        <v>0.0</v>
      </c>
      <c r="AC486" s="9">
        <v>0.0</v>
      </c>
      <c r="AD486" s="11" t="s">
        <v>146</v>
      </c>
      <c r="AE486" s="9"/>
    </row>
    <row r="487">
      <c r="A487" s="7" t="s">
        <v>1351</v>
      </c>
      <c r="B487" s="7" t="s">
        <v>1352</v>
      </c>
      <c r="C487" s="8">
        <v>46136.0</v>
      </c>
      <c r="D487" s="8">
        <v>46156.0</v>
      </c>
      <c r="E487" s="7" t="s">
        <v>416</v>
      </c>
      <c r="F487" s="7" t="s">
        <v>417</v>
      </c>
      <c r="G487" s="7" t="s">
        <v>355</v>
      </c>
      <c r="H487" s="9">
        <v>1454086.0</v>
      </c>
      <c r="I487" s="9">
        <v>569136.0</v>
      </c>
      <c r="J487" s="9">
        <v>7848.0</v>
      </c>
      <c r="K487" s="9"/>
      <c r="L487" s="10">
        <v>0.0</v>
      </c>
      <c r="M487" s="9">
        <v>0.0</v>
      </c>
      <c r="N487" s="9">
        <v>32551.0</v>
      </c>
      <c r="O487" s="9">
        <v>32065.0</v>
      </c>
      <c r="P487" s="9">
        <v>4123.0</v>
      </c>
      <c r="Q487" s="9">
        <v>134.0</v>
      </c>
      <c r="R487" s="9">
        <v>66.0</v>
      </c>
      <c r="S487" s="9">
        <v>66.0</v>
      </c>
      <c r="T487" s="9">
        <v>39.0</v>
      </c>
      <c r="U487" s="9">
        <v>38.0</v>
      </c>
      <c r="V487" s="9">
        <v>11641.0</v>
      </c>
      <c r="W487" s="9">
        <v>11641.0</v>
      </c>
      <c r="X487" s="9">
        <v>10616.0</v>
      </c>
      <c r="Y487" s="9">
        <v>4281.0</v>
      </c>
      <c r="Z487" s="9">
        <v>66.0</v>
      </c>
      <c r="AA487" s="9">
        <v>0.0</v>
      </c>
      <c r="AB487" s="9">
        <v>0.0</v>
      </c>
      <c r="AC487" s="9">
        <v>0.0</v>
      </c>
      <c r="AD487" s="11" t="s">
        <v>80</v>
      </c>
      <c r="AE487" s="9" t="s">
        <v>9</v>
      </c>
    </row>
    <row r="488">
      <c r="A488" s="7" t="s">
        <v>1353</v>
      </c>
      <c r="B488" s="7" t="s">
        <v>1354</v>
      </c>
      <c r="C488" s="8">
        <v>46136.0</v>
      </c>
      <c r="D488" s="8">
        <v>46147.0</v>
      </c>
      <c r="E488" s="7" t="s">
        <v>416</v>
      </c>
      <c r="F488" s="7" t="s">
        <v>466</v>
      </c>
      <c r="G488" s="7" t="s">
        <v>355</v>
      </c>
      <c r="H488" s="9">
        <v>105912.0</v>
      </c>
      <c r="I488" s="9">
        <v>0.0</v>
      </c>
      <c r="J488" s="9">
        <v>254.0</v>
      </c>
      <c r="K488" s="9">
        <v>66097.0</v>
      </c>
      <c r="L488" s="10">
        <v>1.602372271056175</v>
      </c>
      <c r="M488" s="9">
        <v>1.602372271056175</v>
      </c>
      <c r="N488" s="9">
        <v>97472.0</v>
      </c>
      <c r="O488" s="9">
        <v>96517.0</v>
      </c>
      <c r="P488" s="9">
        <v>20106.0</v>
      </c>
      <c r="Q488" s="9">
        <v>266.0</v>
      </c>
      <c r="R488" s="9">
        <v>111.0</v>
      </c>
      <c r="S488" s="9">
        <v>111.0</v>
      </c>
      <c r="T488" s="9">
        <v>29.0</v>
      </c>
      <c r="U488" s="9">
        <v>27.0</v>
      </c>
      <c r="V488" s="9">
        <v>0.0</v>
      </c>
      <c r="W488" s="9">
        <v>0.0</v>
      </c>
      <c r="X488" s="9">
        <v>0.0</v>
      </c>
      <c r="Y488" s="9">
        <v>0.0</v>
      </c>
      <c r="Z488" s="9">
        <v>0.0</v>
      </c>
      <c r="AA488" s="9">
        <v>0.0</v>
      </c>
      <c r="AB488" s="9">
        <v>0.0</v>
      </c>
      <c r="AC488" s="9">
        <v>0.0</v>
      </c>
      <c r="AD488" s="11" t="s">
        <v>147</v>
      </c>
      <c r="AE488" s="9" t="s">
        <v>9</v>
      </c>
    </row>
    <row r="489">
      <c r="A489" s="7" t="s">
        <v>1355</v>
      </c>
      <c r="B489" s="7" t="s">
        <v>1356</v>
      </c>
      <c r="C489" s="8">
        <v>46136.0</v>
      </c>
      <c r="D489" s="8">
        <v>46147.0</v>
      </c>
      <c r="E489" s="7" t="s">
        <v>416</v>
      </c>
      <c r="F489" s="7" t="s">
        <v>466</v>
      </c>
      <c r="G489" s="7" t="s">
        <v>355</v>
      </c>
      <c r="H489" s="9">
        <v>90039.0</v>
      </c>
      <c r="I489" s="9">
        <v>0.0</v>
      </c>
      <c r="J489" s="9">
        <v>229.0</v>
      </c>
      <c r="K489" s="9">
        <v>54447.0</v>
      </c>
      <c r="L489" s="10">
        <v>1.6536999283707092</v>
      </c>
      <c r="M489" s="9">
        <v>1.6536999283707092</v>
      </c>
      <c r="N489" s="9">
        <v>109481.0</v>
      </c>
      <c r="O489" s="9">
        <v>108489.0</v>
      </c>
      <c r="P489" s="9">
        <v>32635.0</v>
      </c>
      <c r="Q489" s="9">
        <v>512.0</v>
      </c>
      <c r="R489" s="9">
        <v>139.0</v>
      </c>
      <c r="S489" s="9">
        <v>139.0</v>
      </c>
      <c r="T489" s="9">
        <v>32.0</v>
      </c>
      <c r="U489" s="9">
        <v>28.0</v>
      </c>
      <c r="V489" s="9">
        <v>0.0</v>
      </c>
      <c r="W489" s="9">
        <v>0.0</v>
      </c>
      <c r="X489" s="9">
        <v>0.0</v>
      </c>
      <c r="Y489" s="9">
        <v>0.0</v>
      </c>
      <c r="Z489" s="9">
        <v>0.0</v>
      </c>
      <c r="AA489" s="9">
        <v>0.0</v>
      </c>
      <c r="AB489" s="9">
        <v>0.0</v>
      </c>
      <c r="AC489" s="9">
        <v>0.0</v>
      </c>
      <c r="AD489" s="11" t="s">
        <v>148</v>
      </c>
      <c r="AE489" s="9" t="s">
        <v>9</v>
      </c>
    </row>
    <row r="490">
      <c r="A490" s="7" t="s">
        <v>1357</v>
      </c>
      <c r="B490" s="7" t="s">
        <v>1358</v>
      </c>
      <c r="C490" s="8">
        <v>46136.0</v>
      </c>
      <c r="D490" s="8">
        <v>46146.0</v>
      </c>
      <c r="E490" s="7" t="s">
        <v>416</v>
      </c>
      <c r="F490" s="7" t="s">
        <v>466</v>
      </c>
      <c r="G490" s="7" t="s">
        <v>355</v>
      </c>
      <c r="H490" s="9">
        <v>164487.0</v>
      </c>
      <c r="I490" s="9">
        <v>0.0</v>
      </c>
      <c r="J490" s="9">
        <v>174.0</v>
      </c>
      <c r="K490" s="9">
        <v>107000.0</v>
      </c>
      <c r="L490" s="10">
        <v>1.5372616822429908</v>
      </c>
      <c r="M490" s="9">
        <v>1.5372616822429908</v>
      </c>
      <c r="N490" s="9">
        <v>91111.0</v>
      </c>
      <c r="O490" s="9">
        <v>90173.0</v>
      </c>
      <c r="P490" s="9">
        <v>25318.0</v>
      </c>
      <c r="Q490" s="9">
        <v>442.0</v>
      </c>
      <c r="R490" s="9">
        <v>133.0</v>
      </c>
      <c r="S490" s="9">
        <v>133.0</v>
      </c>
      <c r="T490" s="9">
        <v>32.0</v>
      </c>
      <c r="U490" s="9">
        <v>30.0</v>
      </c>
      <c r="V490" s="9">
        <v>0.0</v>
      </c>
      <c r="W490" s="9">
        <v>0.0</v>
      </c>
      <c r="X490" s="9">
        <v>0.0</v>
      </c>
      <c r="Y490" s="9">
        <v>0.0</v>
      </c>
      <c r="Z490" s="9">
        <v>0.0</v>
      </c>
      <c r="AA490" s="9">
        <v>0.0</v>
      </c>
      <c r="AB490" s="9">
        <v>0.0</v>
      </c>
      <c r="AC490" s="9">
        <v>0.0</v>
      </c>
      <c r="AD490" s="11" t="s">
        <v>149</v>
      </c>
      <c r="AE490" s="9" t="s">
        <v>9</v>
      </c>
    </row>
    <row r="491">
      <c r="A491" s="7" t="s">
        <v>1359</v>
      </c>
      <c r="B491" s="7" t="s">
        <v>1360</v>
      </c>
      <c r="C491" s="8">
        <v>46136.0</v>
      </c>
      <c r="D491" s="8">
        <v>46146.0</v>
      </c>
      <c r="E491" s="7" t="s">
        <v>416</v>
      </c>
      <c r="F491" s="7" t="s">
        <v>466</v>
      </c>
      <c r="G491" s="7" t="s">
        <v>355</v>
      </c>
      <c r="H491" s="9">
        <v>84681.0</v>
      </c>
      <c r="I491" s="9">
        <v>0.0</v>
      </c>
      <c r="J491" s="9">
        <v>228.0</v>
      </c>
      <c r="K491" s="9">
        <v>49295.0</v>
      </c>
      <c r="L491" s="10">
        <v>1.7178415660817528</v>
      </c>
      <c r="M491" s="9">
        <v>1.7178415660817528</v>
      </c>
      <c r="N491" s="9">
        <v>84765.0</v>
      </c>
      <c r="O491" s="9">
        <v>83831.0</v>
      </c>
      <c r="P491" s="9">
        <v>16133.0</v>
      </c>
      <c r="Q491" s="9">
        <v>292.0</v>
      </c>
      <c r="R491" s="9">
        <v>109.0</v>
      </c>
      <c r="S491" s="9">
        <v>109.0</v>
      </c>
      <c r="T491" s="9">
        <v>26.0</v>
      </c>
      <c r="U491" s="9">
        <v>26.0</v>
      </c>
      <c r="V491" s="9">
        <v>0.0</v>
      </c>
      <c r="W491" s="9">
        <v>0.0</v>
      </c>
      <c r="X491" s="9">
        <v>0.0</v>
      </c>
      <c r="Y491" s="9">
        <v>0.0</v>
      </c>
      <c r="Z491" s="9">
        <v>0.0</v>
      </c>
      <c r="AA491" s="9">
        <v>0.0</v>
      </c>
      <c r="AB491" s="9">
        <v>0.0</v>
      </c>
      <c r="AC491" s="9">
        <v>0.0</v>
      </c>
      <c r="AD491" s="11" t="s">
        <v>150</v>
      </c>
      <c r="AE491" s="9" t="s">
        <v>9</v>
      </c>
    </row>
    <row r="492">
      <c r="A492" s="7" t="s">
        <v>1361</v>
      </c>
      <c r="B492" s="7" t="s">
        <v>1362</v>
      </c>
      <c r="C492" s="8">
        <v>46156.0</v>
      </c>
      <c r="D492" s="8">
        <v>46170.0</v>
      </c>
      <c r="E492" s="7" t="s">
        <v>353</v>
      </c>
      <c r="F492" s="7" t="s">
        <v>378</v>
      </c>
      <c r="G492" s="7" t="s">
        <v>355</v>
      </c>
      <c r="H492" s="9">
        <v>5793439.0</v>
      </c>
      <c r="I492" s="9">
        <v>0.0</v>
      </c>
      <c r="J492" s="9">
        <v>13110.0</v>
      </c>
      <c r="K492" s="9">
        <v>398013.0</v>
      </c>
      <c r="L492" s="10">
        <v>1.8898829937715602</v>
      </c>
      <c r="M492" s="9">
        <v>14.555903952885961</v>
      </c>
      <c r="N492" s="9">
        <v>87255.0</v>
      </c>
      <c r="O492" s="9">
        <v>86023.0</v>
      </c>
      <c r="P492" s="9">
        <v>21790.0</v>
      </c>
      <c r="Q492" s="9">
        <v>332.0</v>
      </c>
      <c r="R492" s="9">
        <v>0.0</v>
      </c>
      <c r="S492" s="9">
        <v>0.0</v>
      </c>
      <c r="T492" s="9">
        <v>0.0</v>
      </c>
      <c r="U492" s="9">
        <v>0.0</v>
      </c>
      <c r="V492" s="9">
        <v>0.0</v>
      </c>
      <c r="W492" s="9">
        <v>0.0</v>
      </c>
      <c r="X492" s="9">
        <v>0.0</v>
      </c>
      <c r="Y492" s="9">
        <v>0.0</v>
      </c>
      <c r="Z492" s="9">
        <v>0.0</v>
      </c>
      <c r="AA492" s="9">
        <v>0.0</v>
      </c>
      <c r="AB492" s="9">
        <v>0.0</v>
      </c>
      <c r="AC492" s="9">
        <v>0.0</v>
      </c>
      <c r="AD492" s="11" t="s">
        <v>151</v>
      </c>
      <c r="AE492" s="9" t="s">
        <v>9</v>
      </c>
    </row>
    <row r="493">
      <c r="A493" s="7" t="s">
        <v>1363</v>
      </c>
      <c r="B493" s="7" t="s">
        <v>1364</v>
      </c>
      <c r="C493" s="8">
        <v>46136.0</v>
      </c>
      <c r="D493" s="8">
        <v>46136.0</v>
      </c>
      <c r="E493" s="7" t="s">
        <v>416</v>
      </c>
      <c r="F493" s="7" t="s">
        <v>430</v>
      </c>
      <c r="G493" s="7" t="s">
        <v>355</v>
      </c>
      <c r="H493" s="9">
        <v>0.0</v>
      </c>
      <c r="I493" s="9">
        <v>0.0</v>
      </c>
      <c r="J493" s="9">
        <v>0.0</v>
      </c>
      <c r="K493" s="9">
        <v>0.0</v>
      </c>
      <c r="L493" s="10">
        <v>0.0</v>
      </c>
      <c r="M493" s="9">
        <v>0.0</v>
      </c>
      <c r="N493" s="9">
        <v>106015.0</v>
      </c>
      <c r="O493" s="9">
        <v>104639.0</v>
      </c>
      <c r="P493" s="9">
        <v>19719.0</v>
      </c>
      <c r="Q493" s="9">
        <v>51.0</v>
      </c>
      <c r="R493" s="9">
        <v>0.0</v>
      </c>
      <c r="S493" s="9">
        <v>0.0</v>
      </c>
      <c r="T493" s="9">
        <v>0.0</v>
      </c>
      <c r="U493" s="9">
        <v>0.0</v>
      </c>
      <c r="V493" s="9">
        <v>0.0</v>
      </c>
      <c r="W493" s="9">
        <v>0.0</v>
      </c>
      <c r="X493" s="9">
        <v>0.0</v>
      </c>
      <c r="Y493" s="9">
        <v>0.0</v>
      </c>
      <c r="Z493" s="9">
        <v>0.0</v>
      </c>
      <c r="AA493" s="9">
        <v>0.0</v>
      </c>
      <c r="AB493" s="9">
        <v>0.0</v>
      </c>
      <c r="AC493" s="9">
        <v>0.0</v>
      </c>
      <c r="AD493" s="9"/>
      <c r="AE493" s="9" t="s">
        <v>9</v>
      </c>
    </row>
    <row r="494">
      <c r="A494" s="7" t="s">
        <v>1365</v>
      </c>
      <c r="B494" s="7" t="s">
        <v>1366</v>
      </c>
      <c r="C494" s="8">
        <v>46136.0</v>
      </c>
      <c r="D494" s="8">
        <v>46142.0</v>
      </c>
      <c r="E494" s="7" t="s">
        <v>353</v>
      </c>
      <c r="F494" s="7" t="s">
        <v>725</v>
      </c>
      <c r="G494" s="7" t="s">
        <v>355</v>
      </c>
      <c r="H494" s="9">
        <v>273941.0</v>
      </c>
      <c r="I494" s="9">
        <v>0.0</v>
      </c>
      <c r="J494" s="9">
        <v>361.0</v>
      </c>
      <c r="K494" s="9"/>
      <c r="L494" s="10">
        <v>0.0</v>
      </c>
      <c r="M494" s="9">
        <v>0.0</v>
      </c>
      <c r="N494" s="9">
        <v>59756.0</v>
      </c>
      <c r="O494" s="9">
        <v>59163.0</v>
      </c>
      <c r="P494" s="9">
        <v>15022.0</v>
      </c>
      <c r="Q494" s="9">
        <v>353.0</v>
      </c>
      <c r="R494" s="9">
        <v>0.0</v>
      </c>
      <c r="S494" s="9">
        <v>0.0</v>
      </c>
      <c r="T494" s="9">
        <v>0.0</v>
      </c>
      <c r="U494" s="9">
        <v>0.0</v>
      </c>
      <c r="V494" s="9">
        <v>0.0</v>
      </c>
      <c r="W494" s="9">
        <v>0.0</v>
      </c>
      <c r="X494" s="9">
        <v>0.0</v>
      </c>
      <c r="Y494" s="9">
        <v>0.0</v>
      </c>
      <c r="Z494" s="9">
        <v>0.0</v>
      </c>
      <c r="AA494" s="9">
        <v>0.0</v>
      </c>
      <c r="AB494" s="9">
        <v>0.0</v>
      </c>
      <c r="AC494" s="9">
        <v>0.0</v>
      </c>
      <c r="AD494" s="11" t="s">
        <v>152</v>
      </c>
      <c r="AE494" s="9" t="s">
        <v>9</v>
      </c>
    </row>
    <row r="495">
      <c r="A495" s="7" t="s">
        <v>1367</v>
      </c>
      <c r="B495" s="7" t="s">
        <v>1368</v>
      </c>
      <c r="C495" s="8">
        <v>46146.0</v>
      </c>
      <c r="D495" s="8">
        <v>46146.0</v>
      </c>
      <c r="E495" s="7" t="s">
        <v>416</v>
      </c>
      <c r="F495" s="7" t="s">
        <v>430</v>
      </c>
      <c r="G495" s="7" t="s">
        <v>355</v>
      </c>
      <c r="H495" s="9">
        <v>0.0</v>
      </c>
      <c r="I495" s="9">
        <v>0.0</v>
      </c>
      <c r="J495" s="9">
        <v>0.0</v>
      </c>
      <c r="K495" s="9">
        <v>0.0</v>
      </c>
      <c r="L495" s="10">
        <v>0.0</v>
      </c>
      <c r="M495" s="9">
        <v>0.0</v>
      </c>
      <c r="N495" s="9">
        <v>56055.0</v>
      </c>
      <c r="O495" s="9">
        <v>55410.0</v>
      </c>
      <c r="P495" s="9">
        <v>14517.0</v>
      </c>
      <c r="Q495" s="9">
        <v>922.0</v>
      </c>
      <c r="R495" s="9">
        <v>0.0</v>
      </c>
      <c r="S495" s="9">
        <v>0.0</v>
      </c>
      <c r="T495" s="9">
        <v>0.0</v>
      </c>
      <c r="U495" s="9">
        <v>0.0</v>
      </c>
      <c r="V495" s="9">
        <v>0.0</v>
      </c>
      <c r="W495" s="9">
        <v>0.0</v>
      </c>
      <c r="X495" s="9">
        <v>0.0</v>
      </c>
      <c r="Y495" s="9">
        <v>0.0</v>
      </c>
      <c r="Z495" s="9">
        <v>0.0</v>
      </c>
      <c r="AA495" s="9">
        <v>0.0</v>
      </c>
      <c r="AB495" s="9">
        <v>0.0</v>
      </c>
      <c r="AC495" s="9">
        <v>0.0</v>
      </c>
      <c r="AD495" s="9"/>
      <c r="AE495" s="9" t="s">
        <v>9</v>
      </c>
    </row>
    <row r="496">
      <c r="A496" s="7" t="s">
        <v>1369</v>
      </c>
      <c r="B496" s="7" t="s">
        <v>1370</v>
      </c>
      <c r="C496" s="8">
        <v>46141.0</v>
      </c>
      <c r="D496" s="8">
        <v>46157.0</v>
      </c>
      <c r="E496" s="7" t="s">
        <v>353</v>
      </c>
      <c r="F496" s="7" t="s">
        <v>378</v>
      </c>
      <c r="G496" s="7" t="s">
        <v>355</v>
      </c>
      <c r="H496" s="9">
        <v>9041750.0</v>
      </c>
      <c r="I496" s="9">
        <v>1426780.0</v>
      </c>
      <c r="J496" s="9">
        <v>35888.0</v>
      </c>
      <c r="K496" s="9">
        <v>469522.0</v>
      </c>
      <c r="L496" s="10">
        <v>3.015560506216961</v>
      </c>
      <c r="M496" s="9">
        <v>19.257351093239507</v>
      </c>
      <c r="N496" s="9">
        <v>194549.0</v>
      </c>
      <c r="O496" s="9">
        <v>192400.0</v>
      </c>
      <c r="P496" s="9">
        <v>50558.0</v>
      </c>
      <c r="Q496" s="9">
        <v>590.0</v>
      </c>
      <c r="R496" s="9">
        <v>0.0</v>
      </c>
      <c r="S496" s="9">
        <v>0.0</v>
      </c>
      <c r="T496" s="9">
        <v>0.0</v>
      </c>
      <c r="U496" s="9">
        <v>0.0</v>
      </c>
      <c r="V496" s="9">
        <v>0.0</v>
      </c>
      <c r="W496" s="9">
        <v>0.0</v>
      </c>
      <c r="X496" s="9">
        <v>0.0</v>
      </c>
      <c r="Y496" s="9">
        <v>0.0</v>
      </c>
      <c r="Z496" s="9">
        <v>0.0</v>
      </c>
      <c r="AA496" s="9">
        <v>0.0</v>
      </c>
      <c r="AB496" s="9">
        <v>0.0</v>
      </c>
      <c r="AC496" s="9">
        <v>0.0</v>
      </c>
      <c r="AD496" s="11" t="s">
        <v>153</v>
      </c>
      <c r="AE496" s="9" t="s">
        <v>9</v>
      </c>
    </row>
    <row r="497">
      <c r="A497" s="7" t="s">
        <v>1371</v>
      </c>
      <c r="B497" s="7" t="s">
        <v>1372</v>
      </c>
      <c r="C497" s="8">
        <v>46140.0</v>
      </c>
      <c r="D497" s="8">
        <v>46153.0</v>
      </c>
      <c r="E497" s="7" t="s">
        <v>358</v>
      </c>
      <c r="F497" s="7" t="s">
        <v>466</v>
      </c>
      <c r="G497" s="7" t="s">
        <v>355</v>
      </c>
      <c r="H497" s="9">
        <v>8291655.0</v>
      </c>
      <c r="I497" s="9">
        <v>2648821.0</v>
      </c>
      <c r="J497" s="9">
        <v>7292.0</v>
      </c>
      <c r="K497" s="9">
        <v>1551566.0</v>
      </c>
      <c r="L497" s="10">
        <v>2.3010313451055255</v>
      </c>
      <c r="M497" s="9">
        <v>5.344055618645935</v>
      </c>
      <c r="N497" s="9">
        <v>200070.0</v>
      </c>
      <c r="O497" s="9">
        <v>198400.0</v>
      </c>
      <c r="P497" s="9">
        <v>33795.0</v>
      </c>
      <c r="Q497" s="9">
        <v>1291.0</v>
      </c>
      <c r="R497" s="9">
        <v>0.0</v>
      </c>
      <c r="S497" s="9">
        <v>0.0</v>
      </c>
      <c r="T497" s="9">
        <v>0.0</v>
      </c>
      <c r="U497" s="9">
        <v>0.0</v>
      </c>
      <c r="V497" s="9">
        <v>0.0</v>
      </c>
      <c r="W497" s="9">
        <v>0.0</v>
      </c>
      <c r="X497" s="9">
        <v>0.0</v>
      </c>
      <c r="Y497" s="9">
        <v>0.0</v>
      </c>
      <c r="Z497" s="9">
        <v>0.0</v>
      </c>
      <c r="AA497" s="9">
        <v>0.0</v>
      </c>
      <c r="AB497" s="9">
        <v>0.0</v>
      </c>
      <c r="AC497" s="9">
        <v>0.0</v>
      </c>
      <c r="AD497" s="11" t="s">
        <v>154</v>
      </c>
      <c r="AE497" s="9" t="s">
        <v>9</v>
      </c>
    </row>
    <row r="498">
      <c r="A498" s="7" t="s">
        <v>1373</v>
      </c>
      <c r="B498" s="7" t="s">
        <v>1374</v>
      </c>
      <c r="C498" s="8">
        <v>46143.0</v>
      </c>
      <c r="D498" s="8">
        <v>46173.0</v>
      </c>
      <c r="E498" s="7" t="s">
        <v>364</v>
      </c>
      <c r="F498" s="7" t="s">
        <v>365</v>
      </c>
      <c r="G498" s="7" t="s">
        <v>355</v>
      </c>
      <c r="H498" s="9">
        <v>4312122.0</v>
      </c>
      <c r="I498" s="9">
        <v>1330035.0</v>
      </c>
      <c r="J498" s="9">
        <v>24568.0</v>
      </c>
      <c r="K498" s="9">
        <v>832283.0</v>
      </c>
      <c r="L498" s="10">
        <v>2.2401514869341317</v>
      </c>
      <c r="M498" s="9">
        <v>5.1810766289831705</v>
      </c>
      <c r="N498" s="9">
        <v>549711.0</v>
      </c>
      <c r="O498" s="9">
        <v>545251.0</v>
      </c>
      <c r="P498" s="9">
        <v>162583.0</v>
      </c>
      <c r="Q498" s="9">
        <v>4715.0</v>
      </c>
      <c r="R498" s="9">
        <v>0.0</v>
      </c>
      <c r="S498" s="9">
        <v>0.0</v>
      </c>
      <c r="T498" s="9">
        <v>0.0</v>
      </c>
      <c r="U498" s="9">
        <v>0.0</v>
      </c>
      <c r="V498" s="9">
        <v>0.0</v>
      </c>
      <c r="W498" s="9">
        <v>0.0</v>
      </c>
      <c r="X498" s="9">
        <v>0.0</v>
      </c>
      <c r="Y498" s="9">
        <v>0.0</v>
      </c>
      <c r="Z498" s="9">
        <v>0.0</v>
      </c>
      <c r="AA498" s="9">
        <v>0.0</v>
      </c>
      <c r="AB498" s="9">
        <v>0.0</v>
      </c>
      <c r="AC498" s="9">
        <v>0.0</v>
      </c>
      <c r="AD498" s="11" t="s">
        <v>155</v>
      </c>
      <c r="AE498" s="9" t="s">
        <v>9</v>
      </c>
    </row>
    <row r="499">
      <c r="A499" s="7" t="s">
        <v>1375</v>
      </c>
      <c r="B499" s="7" t="s">
        <v>1376</v>
      </c>
      <c r="C499" s="8">
        <v>46182.0</v>
      </c>
      <c r="D499" s="8">
        <v>46196.0</v>
      </c>
      <c r="E499" s="7" t="s">
        <v>353</v>
      </c>
      <c r="F499" s="7" t="s">
        <v>378</v>
      </c>
      <c r="G499" s="7" t="s">
        <v>355</v>
      </c>
      <c r="H499" s="9">
        <v>2413720.0</v>
      </c>
      <c r="I499" s="9">
        <v>0.0</v>
      </c>
      <c r="J499" s="9">
        <v>15946.0</v>
      </c>
      <c r="K499" s="9">
        <v>390890.0</v>
      </c>
      <c r="L499" s="10">
        <v>2.4432474609225103</v>
      </c>
      <c r="M499" s="9">
        <v>6.174934124689811</v>
      </c>
      <c r="N499" s="9">
        <v>104888.0</v>
      </c>
      <c r="O499" s="9">
        <v>103804.0</v>
      </c>
      <c r="P499" s="9">
        <v>40091.0</v>
      </c>
      <c r="Q499" s="9">
        <v>2486.0</v>
      </c>
      <c r="R499" s="9">
        <v>0.0</v>
      </c>
      <c r="S499" s="9">
        <v>0.0</v>
      </c>
      <c r="T499" s="9">
        <v>0.0</v>
      </c>
      <c r="U499" s="9">
        <v>0.0</v>
      </c>
      <c r="V499" s="9">
        <v>0.0</v>
      </c>
      <c r="W499" s="9">
        <v>0.0</v>
      </c>
      <c r="X499" s="9">
        <v>0.0</v>
      </c>
      <c r="Y499" s="9">
        <v>0.0</v>
      </c>
      <c r="Z499" s="9">
        <v>0.0</v>
      </c>
      <c r="AA499" s="9">
        <v>0.0</v>
      </c>
      <c r="AB499" s="9">
        <v>0.0</v>
      </c>
      <c r="AC499" s="9">
        <v>0.0</v>
      </c>
      <c r="AD499" s="11" t="s">
        <v>156</v>
      </c>
      <c r="AE499" s="9" t="s">
        <v>9</v>
      </c>
    </row>
    <row r="500">
      <c r="A500" s="7" t="s">
        <v>1377</v>
      </c>
      <c r="B500" s="7" t="s">
        <v>1378</v>
      </c>
      <c r="C500" s="8">
        <v>46140.0</v>
      </c>
      <c r="D500" s="8">
        <v>46142.0</v>
      </c>
      <c r="E500" s="7" t="s">
        <v>358</v>
      </c>
      <c r="F500" s="7" t="s">
        <v>387</v>
      </c>
      <c r="G500" s="7" t="s">
        <v>355</v>
      </c>
      <c r="H500" s="9">
        <v>0.0</v>
      </c>
      <c r="I500" s="9">
        <v>0.0</v>
      </c>
      <c r="J500" s="9">
        <v>0.0</v>
      </c>
      <c r="K500" s="9">
        <v>0.0</v>
      </c>
      <c r="L500" s="10">
        <v>0.0</v>
      </c>
      <c r="M500" s="9">
        <v>0.0</v>
      </c>
      <c r="N500" s="9">
        <v>2713.0</v>
      </c>
      <c r="O500" s="9">
        <v>2612.0</v>
      </c>
      <c r="P500" s="9">
        <v>709.0</v>
      </c>
      <c r="Q500" s="9">
        <v>73.0</v>
      </c>
      <c r="R500" s="9">
        <v>0.0</v>
      </c>
      <c r="S500" s="9">
        <v>0.0</v>
      </c>
      <c r="T500" s="9">
        <v>0.0</v>
      </c>
      <c r="U500" s="9">
        <v>0.0</v>
      </c>
      <c r="V500" s="9">
        <v>0.0</v>
      </c>
      <c r="W500" s="9">
        <v>0.0</v>
      </c>
      <c r="X500" s="9">
        <v>0.0</v>
      </c>
      <c r="Y500" s="9">
        <v>0.0</v>
      </c>
      <c r="Z500" s="9">
        <v>0.0</v>
      </c>
      <c r="AA500" s="9">
        <v>20947.0</v>
      </c>
      <c r="AB500" s="9">
        <v>19354.0</v>
      </c>
      <c r="AC500" s="9">
        <v>471.0</v>
      </c>
      <c r="AD500" s="9"/>
      <c r="AE500" s="9" t="s">
        <v>9</v>
      </c>
    </row>
    <row r="501">
      <c r="A501" s="7" t="s">
        <v>1379</v>
      </c>
      <c r="B501" s="7" t="s">
        <v>1380</v>
      </c>
      <c r="C501" s="8">
        <v>46142.0</v>
      </c>
      <c r="D501" s="8">
        <v>46142.0</v>
      </c>
      <c r="E501" s="7" t="s">
        <v>358</v>
      </c>
      <c r="F501" s="7" t="s">
        <v>387</v>
      </c>
      <c r="G501" s="7" t="s">
        <v>355</v>
      </c>
      <c r="H501" s="9">
        <v>0.0</v>
      </c>
      <c r="I501" s="9">
        <v>0.0</v>
      </c>
      <c r="J501" s="9">
        <v>0.0</v>
      </c>
      <c r="K501" s="9">
        <v>0.0</v>
      </c>
      <c r="L501" s="10">
        <v>0.0</v>
      </c>
      <c r="M501" s="9">
        <v>0.0</v>
      </c>
      <c r="N501" s="9">
        <v>16625.0</v>
      </c>
      <c r="O501" s="9">
        <v>16446.0</v>
      </c>
      <c r="P501" s="9">
        <v>5969.0</v>
      </c>
      <c r="Q501" s="9">
        <v>195.0</v>
      </c>
      <c r="R501" s="9">
        <v>0.0</v>
      </c>
      <c r="S501" s="9">
        <v>0.0</v>
      </c>
      <c r="T501" s="9">
        <v>0.0</v>
      </c>
      <c r="U501" s="9">
        <v>0.0</v>
      </c>
      <c r="V501" s="9">
        <v>0.0</v>
      </c>
      <c r="W501" s="9">
        <v>0.0</v>
      </c>
      <c r="X501" s="9">
        <v>0.0</v>
      </c>
      <c r="Y501" s="9">
        <v>0.0</v>
      </c>
      <c r="Z501" s="9">
        <v>0.0</v>
      </c>
      <c r="AA501" s="9">
        <v>0.0</v>
      </c>
      <c r="AB501" s="9">
        <v>0.0</v>
      </c>
      <c r="AC501" s="9">
        <v>0.0</v>
      </c>
      <c r="AD501" s="9"/>
      <c r="AE501" s="9" t="s">
        <v>9</v>
      </c>
    </row>
    <row r="502">
      <c r="A502" s="7" t="s">
        <v>1381</v>
      </c>
      <c r="B502" s="7" t="s">
        <v>1382</v>
      </c>
      <c r="C502" s="8">
        <v>46142.0</v>
      </c>
      <c r="D502" s="8">
        <v>46142.0</v>
      </c>
      <c r="E502" s="7" t="s">
        <v>358</v>
      </c>
      <c r="F502" s="7" t="s">
        <v>387</v>
      </c>
      <c r="G502" s="7" t="s">
        <v>355</v>
      </c>
      <c r="H502" s="9">
        <v>0.0</v>
      </c>
      <c r="I502" s="9">
        <v>0.0</v>
      </c>
      <c r="J502" s="9">
        <v>0.0</v>
      </c>
      <c r="K502" s="9">
        <v>0.0</v>
      </c>
      <c r="L502" s="10">
        <v>0.0</v>
      </c>
      <c r="M502" s="9">
        <v>0.0</v>
      </c>
      <c r="N502" s="9">
        <v>25942.0</v>
      </c>
      <c r="O502" s="9">
        <v>25634.0</v>
      </c>
      <c r="P502" s="9">
        <v>7394.0</v>
      </c>
      <c r="Q502" s="9">
        <v>296.0</v>
      </c>
      <c r="R502" s="9">
        <v>0.0</v>
      </c>
      <c r="S502" s="9">
        <v>0.0</v>
      </c>
      <c r="T502" s="9">
        <v>0.0</v>
      </c>
      <c r="U502" s="9">
        <v>0.0</v>
      </c>
      <c r="V502" s="9">
        <v>0.0</v>
      </c>
      <c r="W502" s="9">
        <v>0.0</v>
      </c>
      <c r="X502" s="9">
        <v>0.0</v>
      </c>
      <c r="Y502" s="9">
        <v>0.0</v>
      </c>
      <c r="Z502" s="9">
        <v>0.0</v>
      </c>
      <c r="AA502" s="9">
        <v>0.0</v>
      </c>
      <c r="AB502" s="9">
        <v>0.0</v>
      </c>
      <c r="AC502" s="9">
        <v>0.0</v>
      </c>
      <c r="AD502" s="9"/>
      <c r="AE502" s="9" t="s">
        <v>9</v>
      </c>
    </row>
    <row r="503">
      <c r="A503" s="7" t="s">
        <v>1383</v>
      </c>
      <c r="B503" s="7" t="s">
        <v>1384</v>
      </c>
      <c r="C503" s="8">
        <v>46146.0</v>
      </c>
      <c r="D503" s="8">
        <v>46146.0</v>
      </c>
      <c r="E503" s="7" t="s">
        <v>358</v>
      </c>
      <c r="F503" s="7" t="s">
        <v>387</v>
      </c>
      <c r="G503" s="7" t="s">
        <v>355</v>
      </c>
      <c r="H503" s="9">
        <v>0.0</v>
      </c>
      <c r="I503" s="9">
        <v>0.0</v>
      </c>
      <c r="J503" s="9">
        <v>0.0</v>
      </c>
      <c r="K503" s="9">
        <v>0.0</v>
      </c>
      <c r="L503" s="10">
        <v>0.0</v>
      </c>
      <c r="M503" s="9">
        <v>0.0</v>
      </c>
      <c r="N503" s="9">
        <v>14181.0</v>
      </c>
      <c r="O503" s="9">
        <v>14023.0</v>
      </c>
      <c r="P503" s="9">
        <v>5108.0</v>
      </c>
      <c r="Q503" s="9">
        <v>255.0</v>
      </c>
      <c r="R503" s="9">
        <v>0.0</v>
      </c>
      <c r="S503" s="9">
        <v>0.0</v>
      </c>
      <c r="T503" s="9">
        <v>0.0</v>
      </c>
      <c r="U503" s="9">
        <v>0.0</v>
      </c>
      <c r="V503" s="9">
        <v>0.0</v>
      </c>
      <c r="W503" s="9">
        <v>0.0</v>
      </c>
      <c r="X503" s="9">
        <v>0.0</v>
      </c>
      <c r="Y503" s="9">
        <v>0.0</v>
      </c>
      <c r="Z503" s="9">
        <v>0.0</v>
      </c>
      <c r="AA503" s="9">
        <v>0.0</v>
      </c>
      <c r="AB503" s="9">
        <v>0.0</v>
      </c>
      <c r="AC503" s="9">
        <v>0.0</v>
      </c>
      <c r="AD503" s="9"/>
      <c r="AE503" s="9" t="s">
        <v>9</v>
      </c>
    </row>
    <row r="504">
      <c r="A504" s="7" t="s">
        <v>1385</v>
      </c>
      <c r="B504" s="7" t="s">
        <v>1386</v>
      </c>
      <c r="C504" s="8">
        <v>46146.0</v>
      </c>
      <c r="D504" s="8">
        <v>46146.0</v>
      </c>
      <c r="E504" s="7" t="s">
        <v>358</v>
      </c>
      <c r="F504" s="7" t="s">
        <v>387</v>
      </c>
      <c r="G504" s="7" t="s">
        <v>355</v>
      </c>
      <c r="H504" s="9">
        <v>0.0</v>
      </c>
      <c r="I504" s="9">
        <v>0.0</v>
      </c>
      <c r="J504" s="9">
        <v>0.0</v>
      </c>
      <c r="K504" s="9">
        <v>0.0</v>
      </c>
      <c r="L504" s="10">
        <v>0.0</v>
      </c>
      <c r="M504" s="9">
        <v>0.0</v>
      </c>
      <c r="N504" s="9">
        <v>33457.0</v>
      </c>
      <c r="O504" s="9">
        <v>33166.0</v>
      </c>
      <c r="P504" s="9">
        <v>12792.0</v>
      </c>
      <c r="Q504" s="9">
        <v>550.0</v>
      </c>
      <c r="R504" s="9">
        <v>0.0</v>
      </c>
      <c r="S504" s="9">
        <v>0.0</v>
      </c>
      <c r="T504" s="9">
        <v>0.0</v>
      </c>
      <c r="U504" s="9">
        <v>0.0</v>
      </c>
      <c r="V504" s="9">
        <v>0.0</v>
      </c>
      <c r="W504" s="9">
        <v>0.0</v>
      </c>
      <c r="X504" s="9">
        <v>0.0</v>
      </c>
      <c r="Y504" s="9">
        <v>0.0</v>
      </c>
      <c r="Z504" s="9">
        <v>0.0</v>
      </c>
      <c r="AA504" s="9">
        <v>0.0</v>
      </c>
      <c r="AB504" s="9">
        <v>0.0</v>
      </c>
      <c r="AC504" s="9">
        <v>0.0</v>
      </c>
      <c r="AD504" s="9"/>
      <c r="AE504" s="9" t="s">
        <v>9</v>
      </c>
    </row>
    <row r="505">
      <c r="A505" s="7" t="s">
        <v>1387</v>
      </c>
      <c r="B505" s="7" t="s">
        <v>1388</v>
      </c>
      <c r="C505" s="8">
        <v>46149.0</v>
      </c>
      <c r="D505" s="8">
        <v>46164.0</v>
      </c>
      <c r="E505" s="7" t="s">
        <v>353</v>
      </c>
      <c r="F505" s="7" t="s">
        <v>725</v>
      </c>
      <c r="G505" s="7" t="s">
        <v>355</v>
      </c>
      <c r="H505" s="9">
        <v>1125960.0</v>
      </c>
      <c r="I505" s="9">
        <v>0.0</v>
      </c>
      <c r="J505" s="9">
        <v>17844.0</v>
      </c>
      <c r="K505" s="9">
        <v>503692.0</v>
      </c>
      <c r="L505" s="10">
        <v>1.602705621689445</v>
      </c>
      <c r="M505" s="9">
        <v>2.235413705200797</v>
      </c>
      <c r="N505" s="9">
        <v>302778.0</v>
      </c>
      <c r="O505" s="9">
        <v>300333.0</v>
      </c>
      <c r="P505" s="9">
        <v>127044.0</v>
      </c>
      <c r="Q505" s="9">
        <v>5460.0</v>
      </c>
      <c r="R505" s="9">
        <v>0.0</v>
      </c>
      <c r="S505" s="9">
        <v>0.0</v>
      </c>
      <c r="T505" s="9">
        <v>0.0</v>
      </c>
      <c r="U505" s="9">
        <v>0.0</v>
      </c>
      <c r="V505" s="9">
        <v>0.0</v>
      </c>
      <c r="W505" s="9">
        <v>0.0</v>
      </c>
      <c r="X505" s="9">
        <v>0.0</v>
      </c>
      <c r="Y505" s="9">
        <v>0.0</v>
      </c>
      <c r="Z505" s="9">
        <v>0.0</v>
      </c>
      <c r="AA505" s="9">
        <v>0.0</v>
      </c>
      <c r="AB505" s="9">
        <v>0.0</v>
      </c>
      <c r="AC505" s="9">
        <v>0.0</v>
      </c>
      <c r="AD505" s="11" t="s">
        <v>157</v>
      </c>
      <c r="AE505" s="9" t="s">
        <v>9</v>
      </c>
    </row>
    <row r="506">
      <c r="A506" s="7" t="s">
        <v>1389</v>
      </c>
      <c r="B506" s="7" t="s">
        <v>1390</v>
      </c>
      <c r="C506" s="8">
        <v>46146.0</v>
      </c>
      <c r="D506" s="8">
        <v>46146.0</v>
      </c>
      <c r="E506" s="7" t="s">
        <v>416</v>
      </c>
      <c r="F506" s="7" t="s">
        <v>430</v>
      </c>
      <c r="G506" s="7" t="s">
        <v>355</v>
      </c>
      <c r="H506" s="9">
        <v>0.0</v>
      </c>
      <c r="I506" s="9">
        <v>0.0</v>
      </c>
      <c r="J506" s="9">
        <v>0.0</v>
      </c>
      <c r="K506" s="9">
        <v>0.0</v>
      </c>
      <c r="L506" s="10">
        <v>0.0</v>
      </c>
      <c r="M506" s="9">
        <v>0.0</v>
      </c>
      <c r="N506" s="9">
        <v>87994.0</v>
      </c>
      <c r="O506" s="9">
        <v>86925.0</v>
      </c>
      <c r="P506" s="9">
        <v>17290.0</v>
      </c>
      <c r="Q506" s="9">
        <v>409.0</v>
      </c>
      <c r="R506" s="9">
        <v>0.0</v>
      </c>
      <c r="S506" s="9">
        <v>0.0</v>
      </c>
      <c r="T506" s="9">
        <v>0.0</v>
      </c>
      <c r="U506" s="9">
        <v>0.0</v>
      </c>
      <c r="V506" s="9">
        <v>0.0</v>
      </c>
      <c r="W506" s="9">
        <v>0.0</v>
      </c>
      <c r="X506" s="9">
        <v>0.0</v>
      </c>
      <c r="Y506" s="9">
        <v>0.0</v>
      </c>
      <c r="Z506" s="9">
        <v>0.0</v>
      </c>
      <c r="AA506" s="9">
        <v>0.0</v>
      </c>
      <c r="AB506" s="9">
        <v>0.0</v>
      </c>
      <c r="AC506" s="9">
        <v>0.0</v>
      </c>
      <c r="AD506" s="9"/>
      <c r="AE506" s="9" t="s">
        <v>9</v>
      </c>
    </row>
    <row r="507">
      <c r="A507" s="7" t="s">
        <v>1391</v>
      </c>
      <c r="B507" s="7" t="s">
        <v>1392</v>
      </c>
      <c r="C507" s="8">
        <v>46141.0</v>
      </c>
      <c r="D507" s="8">
        <v>46168.0</v>
      </c>
      <c r="E507" s="7" t="s">
        <v>353</v>
      </c>
      <c r="F507" s="7" t="s">
        <v>378</v>
      </c>
      <c r="G507" s="7" t="s">
        <v>355</v>
      </c>
      <c r="H507" s="9">
        <v>1.0695843E7</v>
      </c>
      <c r="I507" s="9">
        <v>2850721.0</v>
      </c>
      <c r="J507" s="9">
        <v>23759.0</v>
      </c>
      <c r="K507" s="9">
        <v>880457.0</v>
      </c>
      <c r="L507" s="10">
        <v>2.550767385573628</v>
      </c>
      <c r="M507" s="9">
        <v>12.148058337885894</v>
      </c>
      <c r="N507" s="9">
        <v>241049.0</v>
      </c>
      <c r="O507" s="9">
        <v>239636.0</v>
      </c>
      <c r="P507" s="9">
        <v>122751.0</v>
      </c>
      <c r="Q507" s="9">
        <v>1565.0</v>
      </c>
      <c r="R507" s="9">
        <v>0.0</v>
      </c>
      <c r="S507" s="9">
        <v>0.0</v>
      </c>
      <c r="T507" s="9">
        <v>0.0</v>
      </c>
      <c r="U507" s="9">
        <v>0.0</v>
      </c>
      <c r="V507" s="9">
        <v>0.0</v>
      </c>
      <c r="W507" s="9">
        <v>0.0</v>
      </c>
      <c r="X507" s="9">
        <v>0.0</v>
      </c>
      <c r="Y507" s="9">
        <v>0.0</v>
      </c>
      <c r="Z507" s="9">
        <v>0.0</v>
      </c>
      <c r="AA507" s="9">
        <v>0.0</v>
      </c>
      <c r="AB507" s="9">
        <v>0.0</v>
      </c>
      <c r="AC507" s="9">
        <v>0.0</v>
      </c>
      <c r="AD507" s="11" t="s">
        <v>158</v>
      </c>
      <c r="AE507" s="9" t="s">
        <v>9</v>
      </c>
    </row>
    <row r="508">
      <c r="A508" s="7" t="s">
        <v>1393</v>
      </c>
      <c r="B508" s="7" t="s">
        <v>1394</v>
      </c>
      <c r="C508" s="8">
        <v>46157.0</v>
      </c>
      <c r="D508" s="8">
        <v>46171.0</v>
      </c>
      <c r="E508" s="7" t="s">
        <v>353</v>
      </c>
      <c r="F508" s="7" t="s">
        <v>378</v>
      </c>
      <c r="G508" s="7" t="s">
        <v>355</v>
      </c>
      <c r="H508" s="9">
        <v>3384569.0</v>
      </c>
      <c r="I508" s="9">
        <v>1224475.0</v>
      </c>
      <c r="J508" s="9">
        <v>15169.0</v>
      </c>
      <c r="K508" s="9">
        <v>186455.0</v>
      </c>
      <c r="L508" s="10">
        <v>2.02094875439114</v>
      </c>
      <c r="M508" s="9">
        <v>18.15220294441018</v>
      </c>
      <c r="N508" s="9">
        <v>11075.0</v>
      </c>
      <c r="O508" s="9">
        <v>10968.0</v>
      </c>
      <c r="P508" s="9">
        <v>3518.0</v>
      </c>
      <c r="Q508" s="9">
        <v>160.0</v>
      </c>
      <c r="R508" s="9">
        <v>0.0</v>
      </c>
      <c r="S508" s="9">
        <v>0.0</v>
      </c>
      <c r="T508" s="9">
        <v>0.0</v>
      </c>
      <c r="U508" s="9">
        <v>0.0</v>
      </c>
      <c r="V508" s="9">
        <v>0.0</v>
      </c>
      <c r="W508" s="9">
        <v>0.0</v>
      </c>
      <c r="X508" s="9">
        <v>0.0</v>
      </c>
      <c r="Y508" s="9">
        <v>0.0</v>
      </c>
      <c r="Z508" s="9">
        <v>0.0</v>
      </c>
      <c r="AA508" s="9">
        <v>0.0</v>
      </c>
      <c r="AB508" s="9">
        <v>0.0</v>
      </c>
      <c r="AC508" s="9">
        <v>0.0</v>
      </c>
      <c r="AD508" s="11" t="s">
        <v>159</v>
      </c>
      <c r="AE508" s="9" t="s">
        <v>9</v>
      </c>
    </row>
    <row r="509">
      <c r="A509" s="7" t="s">
        <v>1395</v>
      </c>
      <c r="B509" s="7" t="s">
        <v>1396</v>
      </c>
      <c r="C509" s="8">
        <v>46142.0</v>
      </c>
      <c r="D509" s="8">
        <v>46170.0</v>
      </c>
      <c r="E509" s="7" t="s">
        <v>358</v>
      </c>
      <c r="F509" s="7" t="s">
        <v>466</v>
      </c>
      <c r="G509" s="7" t="s">
        <v>355</v>
      </c>
      <c r="H509" s="9">
        <v>9275238.0</v>
      </c>
      <c r="I509" s="9">
        <v>2812807.0</v>
      </c>
      <c r="J509" s="9">
        <v>7483.0</v>
      </c>
      <c r="K509" s="9">
        <v>487539.0</v>
      </c>
      <c r="L509" s="10">
        <v>1.9330802253768415</v>
      </c>
      <c r="M509" s="9">
        <v>19.024607262188255</v>
      </c>
      <c r="N509" s="9">
        <v>94442.0</v>
      </c>
      <c r="O509" s="9">
        <v>93592.0</v>
      </c>
      <c r="P509" s="9">
        <v>19619.0</v>
      </c>
      <c r="Q509" s="9">
        <v>1061.0</v>
      </c>
      <c r="R509" s="9">
        <v>0.0</v>
      </c>
      <c r="S509" s="9">
        <v>0.0</v>
      </c>
      <c r="T509" s="9">
        <v>0.0</v>
      </c>
      <c r="U509" s="9">
        <v>0.0</v>
      </c>
      <c r="V509" s="9">
        <v>0.0</v>
      </c>
      <c r="W509" s="9">
        <v>0.0</v>
      </c>
      <c r="X509" s="9">
        <v>0.0</v>
      </c>
      <c r="Y509" s="9">
        <v>0.0</v>
      </c>
      <c r="Z509" s="9">
        <v>0.0</v>
      </c>
      <c r="AA509" s="9">
        <v>0.0</v>
      </c>
      <c r="AB509" s="9">
        <v>0.0</v>
      </c>
      <c r="AC509" s="9">
        <v>0.0</v>
      </c>
      <c r="AD509" s="11" t="s">
        <v>160</v>
      </c>
      <c r="AE509" s="9" t="s">
        <v>9</v>
      </c>
    </row>
    <row r="510">
      <c r="A510" s="7" t="s">
        <v>1397</v>
      </c>
      <c r="B510" s="7" t="s">
        <v>1398</v>
      </c>
      <c r="C510" s="8">
        <v>46142.0</v>
      </c>
      <c r="D510" s="8">
        <v>46159.0</v>
      </c>
      <c r="E510" s="7" t="s">
        <v>416</v>
      </c>
      <c r="F510" s="7" t="s">
        <v>417</v>
      </c>
      <c r="G510" s="7" t="s">
        <v>355</v>
      </c>
      <c r="H510" s="9">
        <v>548694.0</v>
      </c>
      <c r="I510" s="9">
        <v>272784.0</v>
      </c>
      <c r="J510" s="9">
        <v>6614.0</v>
      </c>
      <c r="K510" s="9"/>
      <c r="L510" s="10">
        <v>0.0</v>
      </c>
      <c r="M510" s="9">
        <v>0.0</v>
      </c>
      <c r="N510" s="9">
        <v>37858.0</v>
      </c>
      <c r="O510" s="9">
        <v>37571.0</v>
      </c>
      <c r="P510" s="9">
        <v>9923.0</v>
      </c>
      <c r="Q510" s="9">
        <v>292.0</v>
      </c>
      <c r="R510" s="9">
        <v>152.0</v>
      </c>
      <c r="S510" s="9">
        <v>76.0</v>
      </c>
      <c r="T510" s="9">
        <v>29.0</v>
      </c>
      <c r="U510" s="9">
        <v>24.0</v>
      </c>
      <c r="V510" s="9">
        <v>20162.0</v>
      </c>
      <c r="W510" s="9">
        <v>20161.0</v>
      </c>
      <c r="X510" s="9">
        <v>19106.0</v>
      </c>
      <c r="Y510" s="9">
        <v>7747.0</v>
      </c>
      <c r="Z510" s="9">
        <v>76.0</v>
      </c>
      <c r="AA510" s="9">
        <v>0.0</v>
      </c>
      <c r="AB510" s="9">
        <v>0.0</v>
      </c>
      <c r="AC510" s="9">
        <v>0.0</v>
      </c>
      <c r="AD510" s="11" t="s">
        <v>161</v>
      </c>
      <c r="AE510" s="9" t="s">
        <v>9</v>
      </c>
    </row>
    <row r="511">
      <c r="A511" s="7" t="s">
        <v>1399</v>
      </c>
      <c r="B511" s="7" t="s">
        <v>1400</v>
      </c>
      <c r="C511" s="8">
        <v>46143.0</v>
      </c>
      <c r="D511" s="8">
        <v>46164.0</v>
      </c>
      <c r="E511" s="7" t="s">
        <v>416</v>
      </c>
      <c r="F511" s="7" t="s">
        <v>417</v>
      </c>
      <c r="G511" s="7" t="s">
        <v>355</v>
      </c>
      <c r="H511" s="9">
        <v>527671.0</v>
      </c>
      <c r="I511" s="9">
        <v>182802.0</v>
      </c>
      <c r="J511" s="9">
        <v>1358.0</v>
      </c>
      <c r="K511" s="9">
        <v>276182.0</v>
      </c>
      <c r="L511" s="10">
        <v>0.6474679740171336</v>
      </c>
      <c r="M511" s="9">
        <v>1.910591566430832</v>
      </c>
      <c r="N511" s="9">
        <v>0.0</v>
      </c>
      <c r="O511" s="9">
        <v>0.0</v>
      </c>
      <c r="P511" s="9">
        <v>0.0</v>
      </c>
      <c r="Q511" s="9">
        <v>0.0</v>
      </c>
      <c r="R511" s="9">
        <v>0.0</v>
      </c>
      <c r="S511" s="9">
        <v>0.0</v>
      </c>
      <c r="T511" s="9">
        <v>0.0</v>
      </c>
      <c r="U511" s="9">
        <v>0.0</v>
      </c>
      <c r="V511" s="9">
        <v>0.0</v>
      </c>
      <c r="W511" s="9">
        <v>0.0</v>
      </c>
      <c r="X511" s="9">
        <v>0.0</v>
      </c>
      <c r="Y511" s="9">
        <v>0.0</v>
      </c>
      <c r="Z511" s="9">
        <v>0.0</v>
      </c>
      <c r="AA511" s="9">
        <v>0.0</v>
      </c>
      <c r="AB511" s="9">
        <v>0.0</v>
      </c>
      <c r="AC511" s="9">
        <v>0.0</v>
      </c>
      <c r="AD511" s="11" t="s">
        <v>162</v>
      </c>
      <c r="AE511" s="9"/>
    </row>
    <row r="512">
      <c r="A512" s="7" t="s">
        <v>1401</v>
      </c>
      <c r="B512" s="7" t="s">
        <v>1402</v>
      </c>
      <c r="C512" s="8">
        <v>46157.0</v>
      </c>
      <c r="D512" s="8">
        <v>46265.0</v>
      </c>
      <c r="E512" s="7" t="s">
        <v>358</v>
      </c>
      <c r="F512" s="7" t="s">
        <v>466</v>
      </c>
      <c r="G512" s="7" t="s">
        <v>410</v>
      </c>
      <c r="H512" s="9">
        <v>3.22757517E8</v>
      </c>
      <c r="I512" s="9">
        <v>2.4053246E7</v>
      </c>
      <c r="J512" s="9">
        <v>683205.0</v>
      </c>
      <c r="K512" s="9">
        <v>9116107.0</v>
      </c>
      <c r="L512" s="10">
        <v>9.638462448937908</v>
      </c>
      <c r="M512" s="9">
        <v>35.40519182146502</v>
      </c>
      <c r="N512" s="9">
        <v>1804633.0</v>
      </c>
      <c r="O512" s="9">
        <v>1783741.0</v>
      </c>
      <c r="P512" s="9">
        <v>346473.0</v>
      </c>
      <c r="Q512" s="9">
        <v>3169.0</v>
      </c>
      <c r="R512" s="9">
        <v>43388.0</v>
      </c>
      <c r="S512" s="9">
        <v>41000.0</v>
      </c>
      <c r="T512" s="9">
        <v>11931.0</v>
      </c>
      <c r="U512" s="9">
        <v>8866.0</v>
      </c>
      <c r="V512" s="9">
        <v>104073.0</v>
      </c>
      <c r="W512" s="9">
        <v>104073.0</v>
      </c>
      <c r="X512" s="9">
        <v>98868.0</v>
      </c>
      <c r="Y512" s="9">
        <v>23797.0</v>
      </c>
      <c r="Z512" s="9">
        <v>85.0</v>
      </c>
      <c r="AA512" s="9">
        <v>0.0</v>
      </c>
      <c r="AB512" s="9">
        <v>0.0</v>
      </c>
      <c r="AC512" s="9">
        <v>0.0</v>
      </c>
      <c r="AD512" s="11" t="s">
        <v>163</v>
      </c>
      <c r="AE512" s="9" t="s">
        <v>9</v>
      </c>
    </row>
    <row r="513">
      <c r="A513" s="7" t="s">
        <v>1403</v>
      </c>
      <c r="B513" s="7" t="s">
        <v>1404</v>
      </c>
      <c r="C513" s="8">
        <v>46142.0</v>
      </c>
      <c r="D513" s="8">
        <v>46149.0</v>
      </c>
      <c r="E513" s="7" t="s">
        <v>416</v>
      </c>
      <c r="F513" s="7" t="s">
        <v>928</v>
      </c>
      <c r="G513" s="7" t="s">
        <v>355</v>
      </c>
      <c r="H513" s="9">
        <v>755385.0</v>
      </c>
      <c r="I513" s="9">
        <v>0.0</v>
      </c>
      <c r="J513" s="9">
        <v>763.0</v>
      </c>
      <c r="K513" s="9">
        <v>119329.0</v>
      </c>
      <c r="L513" s="10">
        <v>6.330271769645266</v>
      </c>
      <c r="M513" s="9">
        <v>6.330271769645266</v>
      </c>
      <c r="N513" s="9">
        <v>18230.0</v>
      </c>
      <c r="O513" s="9">
        <v>17866.0</v>
      </c>
      <c r="P513" s="9">
        <v>2569.0</v>
      </c>
      <c r="Q513" s="9">
        <v>29.0</v>
      </c>
      <c r="R513" s="9">
        <v>8.0</v>
      </c>
      <c r="S513" s="9">
        <v>8.0</v>
      </c>
      <c r="T513" s="9">
        <v>3.0</v>
      </c>
      <c r="U513" s="9">
        <v>3.0</v>
      </c>
      <c r="V513" s="9">
        <v>0.0</v>
      </c>
      <c r="W513" s="9">
        <v>0.0</v>
      </c>
      <c r="X513" s="9">
        <v>0.0</v>
      </c>
      <c r="Y513" s="9">
        <v>0.0</v>
      </c>
      <c r="Z513" s="9">
        <v>0.0</v>
      </c>
      <c r="AA513" s="9">
        <v>0.0</v>
      </c>
      <c r="AB513" s="9">
        <v>0.0</v>
      </c>
      <c r="AC513" s="9">
        <v>0.0</v>
      </c>
      <c r="AD513" s="11" t="s">
        <v>164</v>
      </c>
      <c r="AE513" s="9" t="s">
        <v>9</v>
      </c>
    </row>
    <row r="514">
      <c r="A514" s="7" t="s">
        <v>1405</v>
      </c>
      <c r="B514" s="7" t="s">
        <v>1406</v>
      </c>
      <c r="C514" s="8">
        <v>46142.0</v>
      </c>
      <c r="D514" s="8">
        <v>46149.0</v>
      </c>
      <c r="E514" s="7" t="s">
        <v>416</v>
      </c>
      <c r="F514" s="7" t="s">
        <v>667</v>
      </c>
      <c r="G514" s="7" t="s">
        <v>355</v>
      </c>
      <c r="H514" s="9">
        <v>240458.0</v>
      </c>
      <c r="I514" s="9">
        <v>0.0</v>
      </c>
      <c r="J514" s="9">
        <v>849.0</v>
      </c>
      <c r="K514" s="9">
        <v>34608.0</v>
      </c>
      <c r="L514" s="10">
        <v>6.948046694405917</v>
      </c>
      <c r="M514" s="9">
        <v>6.948046694405917</v>
      </c>
      <c r="N514" s="9">
        <v>31161.0</v>
      </c>
      <c r="O514" s="9">
        <v>30855.0</v>
      </c>
      <c r="P514" s="9">
        <v>6654.0</v>
      </c>
      <c r="Q514" s="9">
        <v>131.0</v>
      </c>
      <c r="R514" s="9">
        <v>67.0</v>
      </c>
      <c r="S514" s="9">
        <v>67.0</v>
      </c>
      <c r="T514" s="9">
        <v>17.0</v>
      </c>
      <c r="U514" s="9">
        <v>17.0</v>
      </c>
      <c r="V514" s="9">
        <v>0.0</v>
      </c>
      <c r="W514" s="9">
        <v>0.0</v>
      </c>
      <c r="X514" s="9">
        <v>0.0</v>
      </c>
      <c r="Y514" s="9">
        <v>0.0</v>
      </c>
      <c r="Z514" s="9">
        <v>0.0</v>
      </c>
      <c r="AA514" s="9">
        <v>0.0</v>
      </c>
      <c r="AB514" s="9">
        <v>0.0</v>
      </c>
      <c r="AC514" s="9">
        <v>0.0</v>
      </c>
      <c r="AD514" s="11" t="s">
        <v>165</v>
      </c>
      <c r="AE514" s="9" t="s">
        <v>9</v>
      </c>
    </row>
    <row r="515">
      <c r="A515" s="7" t="s">
        <v>1407</v>
      </c>
      <c r="B515" s="7" t="s">
        <v>1408</v>
      </c>
      <c r="C515" s="8">
        <v>46142.0</v>
      </c>
      <c r="D515" s="8">
        <v>46147.0</v>
      </c>
      <c r="E515" s="7" t="s">
        <v>416</v>
      </c>
      <c r="F515" s="7" t="s">
        <v>594</v>
      </c>
      <c r="G515" s="7" t="s">
        <v>355</v>
      </c>
      <c r="H515" s="9">
        <v>2969.0</v>
      </c>
      <c r="I515" s="9">
        <v>0.0</v>
      </c>
      <c r="J515" s="9">
        <v>9.0</v>
      </c>
      <c r="K515" s="9"/>
      <c r="L515" s="10">
        <v>0.0</v>
      </c>
      <c r="M515" s="9">
        <v>0.0</v>
      </c>
      <c r="N515" s="9">
        <v>12876.0</v>
      </c>
      <c r="O515" s="9">
        <v>12677.0</v>
      </c>
      <c r="P515" s="9">
        <v>1892.0</v>
      </c>
      <c r="Q515" s="9">
        <v>83.0</v>
      </c>
      <c r="R515" s="9">
        <v>51.0</v>
      </c>
      <c r="S515" s="9">
        <v>51.0</v>
      </c>
      <c r="T515" s="9">
        <v>17.0</v>
      </c>
      <c r="U515" s="9">
        <v>17.0</v>
      </c>
      <c r="V515" s="9">
        <v>0.0</v>
      </c>
      <c r="W515" s="9">
        <v>0.0</v>
      </c>
      <c r="X515" s="9">
        <v>0.0</v>
      </c>
      <c r="Y515" s="9">
        <v>0.0</v>
      </c>
      <c r="Z515" s="9">
        <v>0.0</v>
      </c>
      <c r="AA515" s="9">
        <v>0.0</v>
      </c>
      <c r="AB515" s="9">
        <v>0.0</v>
      </c>
      <c r="AC515" s="9">
        <v>0.0</v>
      </c>
      <c r="AD515" s="11" t="s">
        <v>166</v>
      </c>
      <c r="AE515" s="9" t="s">
        <v>9</v>
      </c>
    </row>
    <row r="516">
      <c r="A516" s="7" t="s">
        <v>1409</v>
      </c>
      <c r="B516" s="7" t="s">
        <v>1410</v>
      </c>
      <c r="C516" s="8">
        <v>46142.0</v>
      </c>
      <c r="D516" s="8">
        <v>46147.0</v>
      </c>
      <c r="E516" s="7" t="s">
        <v>416</v>
      </c>
      <c r="F516" s="7" t="s">
        <v>365</v>
      </c>
      <c r="G516" s="7" t="s">
        <v>355</v>
      </c>
      <c r="H516" s="9">
        <v>144196.0</v>
      </c>
      <c r="I516" s="9">
        <v>0.0</v>
      </c>
      <c r="J516" s="9">
        <v>514.0</v>
      </c>
      <c r="K516" s="9"/>
      <c r="L516" s="10">
        <v>0.0</v>
      </c>
      <c r="M516" s="9">
        <v>0.0</v>
      </c>
      <c r="N516" s="9">
        <v>84920.0</v>
      </c>
      <c r="O516" s="9">
        <v>83994.0</v>
      </c>
      <c r="P516" s="9">
        <v>15559.0</v>
      </c>
      <c r="Q516" s="9">
        <v>372.0</v>
      </c>
      <c r="R516" s="9">
        <v>152.0</v>
      </c>
      <c r="S516" s="9">
        <v>152.0</v>
      </c>
      <c r="T516" s="9">
        <v>45.0</v>
      </c>
      <c r="U516" s="9">
        <v>42.0</v>
      </c>
      <c r="V516" s="9">
        <v>0.0</v>
      </c>
      <c r="W516" s="9">
        <v>0.0</v>
      </c>
      <c r="X516" s="9">
        <v>0.0</v>
      </c>
      <c r="Y516" s="9">
        <v>0.0</v>
      </c>
      <c r="Z516" s="9">
        <v>0.0</v>
      </c>
      <c r="AA516" s="9">
        <v>0.0</v>
      </c>
      <c r="AB516" s="9">
        <v>0.0</v>
      </c>
      <c r="AC516" s="9">
        <v>0.0</v>
      </c>
      <c r="AD516" s="11" t="s">
        <v>167</v>
      </c>
      <c r="AE516" s="9" t="s">
        <v>9</v>
      </c>
    </row>
    <row r="517">
      <c r="A517" s="7" t="s">
        <v>1411</v>
      </c>
      <c r="B517" s="7" t="s">
        <v>1412</v>
      </c>
      <c r="C517" s="8">
        <v>46142.0</v>
      </c>
      <c r="D517" s="8">
        <v>46149.0</v>
      </c>
      <c r="E517" s="7" t="s">
        <v>416</v>
      </c>
      <c r="F517" s="7" t="s">
        <v>378</v>
      </c>
      <c r="G517" s="7" t="s">
        <v>355</v>
      </c>
      <c r="H517" s="9">
        <v>137796.0</v>
      </c>
      <c r="I517" s="9">
        <v>0.0</v>
      </c>
      <c r="J517" s="9">
        <v>630.0</v>
      </c>
      <c r="K517" s="9">
        <v>20763.0</v>
      </c>
      <c r="L517" s="10">
        <v>6.6366132061840775</v>
      </c>
      <c r="M517" s="9">
        <v>6.6366132061840775</v>
      </c>
      <c r="N517" s="9">
        <v>109766.0</v>
      </c>
      <c r="O517" s="9">
        <v>108772.0</v>
      </c>
      <c r="P517" s="9">
        <v>24539.0</v>
      </c>
      <c r="Q517" s="9">
        <v>571.0</v>
      </c>
      <c r="R517" s="9">
        <v>190.0</v>
      </c>
      <c r="S517" s="9">
        <v>190.0</v>
      </c>
      <c r="T517" s="9">
        <v>56.0</v>
      </c>
      <c r="U517" s="9">
        <v>53.0</v>
      </c>
      <c r="V517" s="9">
        <v>0.0</v>
      </c>
      <c r="W517" s="9">
        <v>0.0</v>
      </c>
      <c r="X517" s="9">
        <v>0.0</v>
      </c>
      <c r="Y517" s="9">
        <v>0.0</v>
      </c>
      <c r="Z517" s="9">
        <v>0.0</v>
      </c>
      <c r="AA517" s="9">
        <v>0.0</v>
      </c>
      <c r="AB517" s="9">
        <v>0.0</v>
      </c>
      <c r="AC517" s="9">
        <v>0.0</v>
      </c>
      <c r="AD517" s="11" t="s">
        <v>168</v>
      </c>
      <c r="AE517" s="9" t="s">
        <v>9</v>
      </c>
    </row>
    <row r="518">
      <c r="A518" s="7" t="s">
        <v>1413</v>
      </c>
      <c r="B518" s="7" t="s">
        <v>1414</v>
      </c>
      <c r="C518" s="8">
        <v>46142.0</v>
      </c>
      <c r="D518" s="8">
        <v>46149.0</v>
      </c>
      <c r="E518" s="7" t="s">
        <v>416</v>
      </c>
      <c r="F518" s="7" t="s">
        <v>725</v>
      </c>
      <c r="G518" s="7" t="s">
        <v>355</v>
      </c>
      <c r="H518" s="9">
        <v>80850.0</v>
      </c>
      <c r="I518" s="9">
        <v>0.0</v>
      </c>
      <c r="J518" s="9">
        <v>178.0</v>
      </c>
      <c r="K518" s="9">
        <v>51781.0</v>
      </c>
      <c r="L518" s="10">
        <v>1.5613835190513896</v>
      </c>
      <c r="M518" s="9">
        <v>1.5613835190513896</v>
      </c>
      <c r="N518" s="9">
        <v>15411.0</v>
      </c>
      <c r="O518" s="9">
        <v>15211.0</v>
      </c>
      <c r="P518" s="9">
        <v>3655.0</v>
      </c>
      <c r="Q518" s="9">
        <v>114.0</v>
      </c>
      <c r="R518" s="9">
        <v>0.0</v>
      </c>
      <c r="S518" s="9">
        <v>0.0</v>
      </c>
      <c r="T518" s="9">
        <v>0.0</v>
      </c>
      <c r="U518" s="9">
        <v>0.0</v>
      </c>
      <c r="V518" s="9">
        <v>0.0</v>
      </c>
      <c r="W518" s="9">
        <v>0.0</v>
      </c>
      <c r="X518" s="9">
        <v>0.0</v>
      </c>
      <c r="Y518" s="9">
        <v>0.0</v>
      </c>
      <c r="Z518" s="9">
        <v>0.0</v>
      </c>
      <c r="AA518" s="9">
        <v>0.0</v>
      </c>
      <c r="AB518" s="9">
        <v>0.0</v>
      </c>
      <c r="AC518" s="9">
        <v>0.0</v>
      </c>
      <c r="AD518" s="11" t="s">
        <v>169</v>
      </c>
      <c r="AE518" s="9" t="s">
        <v>9</v>
      </c>
    </row>
    <row r="519">
      <c r="A519" s="7" t="s">
        <v>1415</v>
      </c>
      <c r="B519" s="7" t="s">
        <v>1416</v>
      </c>
      <c r="C519" s="8">
        <v>46146.0</v>
      </c>
      <c r="D519" s="8">
        <v>46153.0</v>
      </c>
      <c r="E519" s="7" t="s">
        <v>416</v>
      </c>
      <c r="F519" s="7" t="s">
        <v>466</v>
      </c>
      <c r="G519" s="7" t="s">
        <v>355</v>
      </c>
      <c r="H519" s="9">
        <v>160512.0</v>
      </c>
      <c r="I519" s="9">
        <v>0.0</v>
      </c>
      <c r="J519" s="9">
        <v>293.0</v>
      </c>
      <c r="K519" s="9">
        <v>154346.0</v>
      </c>
      <c r="L519" s="10">
        <v>1.0399492050328483</v>
      </c>
      <c r="M519" s="9">
        <v>1.0399492050328483</v>
      </c>
      <c r="N519" s="9">
        <v>66595.0</v>
      </c>
      <c r="O519" s="9">
        <v>65736.0</v>
      </c>
      <c r="P519" s="9">
        <v>11488.0</v>
      </c>
      <c r="Q519" s="9">
        <v>275.0</v>
      </c>
      <c r="R519" s="9">
        <v>125.0</v>
      </c>
      <c r="S519" s="9">
        <v>125.0</v>
      </c>
      <c r="T519" s="9">
        <v>27.0</v>
      </c>
      <c r="U519" s="9">
        <v>25.0</v>
      </c>
      <c r="V519" s="9">
        <v>0.0</v>
      </c>
      <c r="W519" s="9">
        <v>0.0</v>
      </c>
      <c r="X519" s="9">
        <v>0.0</v>
      </c>
      <c r="Y519" s="9">
        <v>0.0</v>
      </c>
      <c r="Z519" s="9">
        <v>0.0</v>
      </c>
      <c r="AA519" s="9">
        <v>0.0</v>
      </c>
      <c r="AB519" s="9">
        <v>0.0</v>
      </c>
      <c r="AC519" s="9">
        <v>0.0</v>
      </c>
      <c r="AD519" s="11" t="s">
        <v>170</v>
      </c>
      <c r="AE519" s="9" t="s">
        <v>9</v>
      </c>
    </row>
    <row r="520">
      <c r="A520" s="7" t="s">
        <v>1417</v>
      </c>
      <c r="B520" s="7" t="s">
        <v>1418</v>
      </c>
      <c r="C520" s="8">
        <v>46146.0</v>
      </c>
      <c r="D520" s="8">
        <v>46153.0</v>
      </c>
      <c r="E520" s="7" t="s">
        <v>416</v>
      </c>
      <c r="F520" s="7" t="s">
        <v>466</v>
      </c>
      <c r="G520" s="7" t="s">
        <v>355</v>
      </c>
      <c r="H520" s="9">
        <v>313207.0</v>
      </c>
      <c r="I520" s="9">
        <v>0.0</v>
      </c>
      <c r="J520" s="9">
        <v>415.0</v>
      </c>
      <c r="K520" s="9">
        <v>245739.0</v>
      </c>
      <c r="L520" s="10">
        <v>1.274551454999003</v>
      </c>
      <c r="M520" s="9">
        <v>1.274551454999003</v>
      </c>
      <c r="N520" s="9">
        <v>59988.0</v>
      </c>
      <c r="O520" s="9">
        <v>59368.0</v>
      </c>
      <c r="P520" s="9">
        <v>16582.0</v>
      </c>
      <c r="Q520" s="9">
        <v>233.0</v>
      </c>
      <c r="R520" s="9">
        <v>66.0</v>
      </c>
      <c r="S520" s="9">
        <v>66.0</v>
      </c>
      <c r="T520" s="9">
        <v>13.0</v>
      </c>
      <c r="U520" s="9">
        <v>13.0</v>
      </c>
      <c r="V520" s="9">
        <v>0.0</v>
      </c>
      <c r="W520" s="9">
        <v>0.0</v>
      </c>
      <c r="X520" s="9">
        <v>0.0</v>
      </c>
      <c r="Y520" s="9">
        <v>0.0</v>
      </c>
      <c r="Z520" s="9">
        <v>0.0</v>
      </c>
      <c r="AA520" s="9">
        <v>0.0</v>
      </c>
      <c r="AB520" s="9">
        <v>0.0</v>
      </c>
      <c r="AC520" s="9">
        <v>0.0</v>
      </c>
      <c r="AD520" s="11" t="s">
        <v>171</v>
      </c>
      <c r="AE520" s="9" t="s">
        <v>9</v>
      </c>
    </row>
    <row r="521">
      <c r="A521" s="7" t="s">
        <v>1419</v>
      </c>
      <c r="B521" s="7" t="s">
        <v>1420</v>
      </c>
      <c r="C521" s="8">
        <v>46146.0</v>
      </c>
      <c r="D521" s="8">
        <v>46150.0</v>
      </c>
      <c r="E521" s="7" t="s">
        <v>416</v>
      </c>
      <c r="F521" s="7" t="s">
        <v>466</v>
      </c>
      <c r="G521" s="7" t="s">
        <v>355</v>
      </c>
      <c r="H521" s="9">
        <v>159514.0</v>
      </c>
      <c r="I521" s="9">
        <v>0.0</v>
      </c>
      <c r="J521" s="9">
        <v>464.0</v>
      </c>
      <c r="K521" s="9">
        <v>105517.0</v>
      </c>
      <c r="L521" s="10">
        <v>1.5117374451510184</v>
      </c>
      <c r="M521" s="9">
        <v>1.5117374451510184</v>
      </c>
      <c r="N521" s="9">
        <v>32199.0</v>
      </c>
      <c r="O521" s="9">
        <v>31801.0</v>
      </c>
      <c r="P521" s="9">
        <v>8317.0</v>
      </c>
      <c r="Q521" s="9">
        <v>168.0</v>
      </c>
      <c r="R521" s="9">
        <v>73.0</v>
      </c>
      <c r="S521" s="9">
        <v>73.0</v>
      </c>
      <c r="T521" s="9">
        <v>30.0</v>
      </c>
      <c r="U521" s="9">
        <v>29.0</v>
      </c>
      <c r="V521" s="9">
        <v>0.0</v>
      </c>
      <c r="W521" s="9">
        <v>0.0</v>
      </c>
      <c r="X521" s="9">
        <v>0.0</v>
      </c>
      <c r="Y521" s="9">
        <v>0.0</v>
      </c>
      <c r="Z521" s="9">
        <v>0.0</v>
      </c>
      <c r="AA521" s="9">
        <v>0.0</v>
      </c>
      <c r="AB521" s="9">
        <v>0.0</v>
      </c>
      <c r="AC521" s="9">
        <v>0.0</v>
      </c>
      <c r="AD521" s="11" t="s">
        <v>172</v>
      </c>
      <c r="AE521" s="9" t="s">
        <v>9</v>
      </c>
    </row>
    <row r="522">
      <c r="A522" s="7" t="s">
        <v>1421</v>
      </c>
      <c r="B522" s="7" t="s">
        <v>1422</v>
      </c>
      <c r="C522" s="8">
        <v>46146.0</v>
      </c>
      <c r="D522" s="8">
        <v>46150.0</v>
      </c>
      <c r="E522" s="7" t="s">
        <v>416</v>
      </c>
      <c r="F522" s="7" t="s">
        <v>466</v>
      </c>
      <c r="G522" s="7" t="s">
        <v>355</v>
      </c>
      <c r="H522" s="9">
        <v>128925.0</v>
      </c>
      <c r="I522" s="9">
        <v>0.0</v>
      </c>
      <c r="J522" s="9">
        <v>480.0</v>
      </c>
      <c r="K522" s="9">
        <v>85443.0</v>
      </c>
      <c r="L522" s="10">
        <v>1.5089006706225203</v>
      </c>
      <c r="M522" s="9">
        <v>1.5089006706225203</v>
      </c>
      <c r="N522" s="9">
        <v>38895.0</v>
      </c>
      <c r="O522" s="9">
        <v>38348.0</v>
      </c>
      <c r="P522" s="9">
        <v>6670.0</v>
      </c>
      <c r="Q522" s="9">
        <v>177.0</v>
      </c>
      <c r="R522" s="9">
        <v>111.0</v>
      </c>
      <c r="S522" s="9">
        <v>111.0</v>
      </c>
      <c r="T522" s="9">
        <v>28.0</v>
      </c>
      <c r="U522" s="9">
        <v>26.0</v>
      </c>
      <c r="V522" s="9">
        <v>0.0</v>
      </c>
      <c r="W522" s="9">
        <v>0.0</v>
      </c>
      <c r="X522" s="9">
        <v>0.0</v>
      </c>
      <c r="Y522" s="9">
        <v>0.0</v>
      </c>
      <c r="Z522" s="9">
        <v>0.0</v>
      </c>
      <c r="AA522" s="9">
        <v>0.0</v>
      </c>
      <c r="AB522" s="9">
        <v>0.0</v>
      </c>
      <c r="AC522" s="9">
        <v>0.0</v>
      </c>
      <c r="AD522" s="11" t="s">
        <v>173</v>
      </c>
      <c r="AE522" s="9" t="s">
        <v>9</v>
      </c>
    </row>
    <row r="523">
      <c r="A523" s="7" t="s">
        <v>1423</v>
      </c>
      <c r="B523" s="7" t="s">
        <v>1424</v>
      </c>
      <c r="C523" s="8">
        <v>46161.0</v>
      </c>
      <c r="D523" s="8">
        <v>46175.0</v>
      </c>
      <c r="E523" s="7" t="s">
        <v>358</v>
      </c>
      <c r="F523" s="7" t="s">
        <v>466</v>
      </c>
      <c r="G523" s="7" t="s">
        <v>355</v>
      </c>
      <c r="H523" s="9">
        <v>1.2056624E7</v>
      </c>
      <c r="I523" s="9">
        <v>214767.0</v>
      </c>
      <c r="J523" s="9">
        <v>18657.0</v>
      </c>
      <c r="K523" s="9">
        <v>1037711.0</v>
      </c>
      <c r="L523" s="10">
        <v>2.5616448124766915</v>
      </c>
      <c r="M523" s="9">
        <v>11.618479518864115</v>
      </c>
      <c r="N523" s="9">
        <v>257690.0</v>
      </c>
      <c r="O523" s="9">
        <v>255686.0</v>
      </c>
      <c r="P523" s="9">
        <v>94523.0</v>
      </c>
      <c r="Q523" s="9">
        <v>2252.0</v>
      </c>
      <c r="R523" s="9">
        <v>0.0</v>
      </c>
      <c r="S523" s="9">
        <v>0.0</v>
      </c>
      <c r="T523" s="9">
        <v>0.0</v>
      </c>
      <c r="U523" s="9">
        <v>0.0</v>
      </c>
      <c r="V523" s="9">
        <v>0.0</v>
      </c>
      <c r="W523" s="9">
        <v>0.0</v>
      </c>
      <c r="X523" s="9">
        <v>0.0</v>
      </c>
      <c r="Y523" s="9">
        <v>0.0</v>
      </c>
      <c r="Z523" s="9">
        <v>0.0</v>
      </c>
      <c r="AA523" s="9">
        <v>0.0</v>
      </c>
      <c r="AB523" s="9">
        <v>0.0</v>
      </c>
      <c r="AC523" s="9">
        <v>0.0</v>
      </c>
      <c r="AD523" s="11" t="s">
        <v>174</v>
      </c>
      <c r="AE523" s="9" t="s">
        <v>9</v>
      </c>
    </row>
    <row r="524">
      <c r="A524" s="7" t="s">
        <v>1425</v>
      </c>
      <c r="B524" s="7" t="s">
        <v>1426</v>
      </c>
      <c r="C524" s="8">
        <v>46150.0</v>
      </c>
      <c r="D524" s="8">
        <v>46170.0</v>
      </c>
      <c r="E524" s="7" t="s">
        <v>358</v>
      </c>
      <c r="F524" s="7" t="s">
        <v>466</v>
      </c>
      <c r="G524" s="7" t="s">
        <v>355</v>
      </c>
      <c r="H524" s="9">
        <v>5430694.0</v>
      </c>
      <c r="I524" s="9">
        <v>925514.0</v>
      </c>
      <c r="J524" s="9">
        <v>30797.0</v>
      </c>
      <c r="K524" s="9"/>
      <c r="L524" s="10">
        <v>0.0</v>
      </c>
      <c r="M524" s="9">
        <v>0.0</v>
      </c>
      <c r="N524" s="9">
        <v>222647.0</v>
      </c>
      <c r="O524" s="9">
        <v>221061.0</v>
      </c>
      <c r="P524" s="9">
        <v>96838.0</v>
      </c>
      <c r="Q524" s="9">
        <v>546.0</v>
      </c>
      <c r="R524" s="9">
        <v>0.0</v>
      </c>
      <c r="S524" s="9">
        <v>0.0</v>
      </c>
      <c r="T524" s="9">
        <v>0.0</v>
      </c>
      <c r="U524" s="9">
        <v>0.0</v>
      </c>
      <c r="V524" s="9">
        <v>0.0</v>
      </c>
      <c r="W524" s="9">
        <v>0.0</v>
      </c>
      <c r="X524" s="9">
        <v>0.0</v>
      </c>
      <c r="Y524" s="9">
        <v>0.0</v>
      </c>
      <c r="Z524" s="9">
        <v>0.0</v>
      </c>
      <c r="AA524" s="9">
        <v>0.0</v>
      </c>
      <c r="AB524" s="9">
        <v>0.0</v>
      </c>
      <c r="AC524" s="9">
        <v>0.0</v>
      </c>
      <c r="AD524" s="11" t="s">
        <v>175</v>
      </c>
      <c r="AE524" s="9" t="s">
        <v>9</v>
      </c>
    </row>
    <row r="525">
      <c r="A525" s="7" t="s">
        <v>1427</v>
      </c>
      <c r="B525" s="7" t="s">
        <v>1428</v>
      </c>
      <c r="C525" s="8">
        <v>46150.0</v>
      </c>
      <c r="D525" s="8">
        <v>46164.0</v>
      </c>
      <c r="E525" s="7" t="s">
        <v>358</v>
      </c>
      <c r="F525" s="7" t="s">
        <v>466</v>
      </c>
      <c r="G525" s="7" t="s">
        <v>355</v>
      </c>
      <c r="H525" s="9">
        <v>7125611.0</v>
      </c>
      <c r="I525" s="9">
        <v>754097.0</v>
      </c>
      <c r="J525" s="9">
        <v>13438.0</v>
      </c>
      <c r="K525" s="9">
        <v>632648.0</v>
      </c>
      <c r="L525" s="10">
        <v>1.4583386021926885</v>
      </c>
      <c r="M525" s="9">
        <v>11.263152653608326</v>
      </c>
      <c r="N525" s="9">
        <v>535210.0</v>
      </c>
      <c r="O525" s="9">
        <v>527830.0</v>
      </c>
      <c r="P525" s="9">
        <v>104269.0</v>
      </c>
      <c r="Q525" s="9">
        <v>1498.0</v>
      </c>
      <c r="R525" s="9">
        <v>0.0</v>
      </c>
      <c r="S525" s="9">
        <v>0.0</v>
      </c>
      <c r="T525" s="9">
        <v>0.0</v>
      </c>
      <c r="U525" s="9">
        <v>0.0</v>
      </c>
      <c r="V525" s="9">
        <v>0.0</v>
      </c>
      <c r="W525" s="9">
        <v>0.0</v>
      </c>
      <c r="X525" s="9">
        <v>0.0</v>
      </c>
      <c r="Y525" s="9">
        <v>0.0</v>
      </c>
      <c r="Z525" s="9">
        <v>0.0</v>
      </c>
      <c r="AA525" s="9">
        <v>0.0</v>
      </c>
      <c r="AB525" s="9">
        <v>0.0</v>
      </c>
      <c r="AC525" s="9">
        <v>0.0</v>
      </c>
      <c r="AD525" s="11" t="s">
        <v>176</v>
      </c>
      <c r="AE525" s="9" t="s">
        <v>9</v>
      </c>
    </row>
    <row r="526">
      <c r="A526" s="7" t="s">
        <v>1429</v>
      </c>
      <c r="B526" s="7" t="s">
        <v>1430</v>
      </c>
      <c r="C526" s="8">
        <v>46177.0</v>
      </c>
      <c r="D526" s="8">
        <v>46387.0</v>
      </c>
      <c r="E526" s="7" t="s">
        <v>416</v>
      </c>
      <c r="F526" s="7" t="s">
        <v>430</v>
      </c>
      <c r="G526" s="7" t="s">
        <v>410</v>
      </c>
      <c r="H526" s="9">
        <v>2.9263455E7</v>
      </c>
      <c r="I526" s="9">
        <v>1.0322362E7</v>
      </c>
      <c r="J526" s="9">
        <v>65641.0</v>
      </c>
      <c r="K526" s="9">
        <v>29208.0</v>
      </c>
      <c r="L526" s="10">
        <v>2.5155094494659</v>
      </c>
      <c r="M526" s="9">
        <v>1001.8986236647494</v>
      </c>
      <c r="N526" s="9">
        <v>0.0</v>
      </c>
      <c r="O526" s="9">
        <v>0.0</v>
      </c>
      <c r="P526" s="9">
        <v>0.0</v>
      </c>
      <c r="Q526" s="9">
        <v>0.0</v>
      </c>
      <c r="R526" s="9">
        <v>0.0</v>
      </c>
      <c r="S526" s="9">
        <v>0.0</v>
      </c>
      <c r="T526" s="9">
        <v>0.0</v>
      </c>
      <c r="U526" s="9">
        <v>0.0</v>
      </c>
      <c r="V526" s="9">
        <v>0.0</v>
      </c>
      <c r="W526" s="9">
        <v>0.0</v>
      </c>
      <c r="X526" s="9">
        <v>0.0</v>
      </c>
      <c r="Y526" s="9">
        <v>0.0</v>
      </c>
      <c r="Z526" s="9">
        <v>0.0</v>
      </c>
      <c r="AA526" s="9">
        <v>0.0</v>
      </c>
      <c r="AB526" s="9">
        <v>0.0</v>
      </c>
      <c r="AC526" s="9">
        <v>0.0</v>
      </c>
      <c r="AD526" s="11" t="s">
        <v>177</v>
      </c>
      <c r="AE526" s="9"/>
    </row>
    <row r="527">
      <c r="A527" s="7" t="s">
        <v>1431</v>
      </c>
      <c r="B527" s="7" t="s">
        <v>1432</v>
      </c>
      <c r="C527" s="8">
        <v>46177.0</v>
      </c>
      <c r="D527" s="8">
        <v>46387.0</v>
      </c>
      <c r="E527" s="7" t="s">
        <v>416</v>
      </c>
      <c r="F527" s="7" t="s">
        <v>430</v>
      </c>
      <c r="G527" s="7" t="s">
        <v>410</v>
      </c>
      <c r="H527" s="9">
        <v>2.8024201E7</v>
      </c>
      <c r="I527" s="9">
        <v>1.0468804E7</v>
      </c>
      <c r="J527" s="9">
        <v>40798.0</v>
      </c>
      <c r="K527" s="9">
        <v>75463.0</v>
      </c>
      <c r="L527" s="10">
        <v>3.897539191391808</v>
      </c>
      <c r="M527" s="9">
        <v>371.36346288909795</v>
      </c>
      <c r="N527" s="9">
        <v>0.0</v>
      </c>
      <c r="O527" s="9">
        <v>0.0</v>
      </c>
      <c r="P527" s="9">
        <v>0.0</v>
      </c>
      <c r="Q527" s="9">
        <v>0.0</v>
      </c>
      <c r="R527" s="9">
        <v>0.0</v>
      </c>
      <c r="S527" s="9">
        <v>0.0</v>
      </c>
      <c r="T527" s="9">
        <v>0.0</v>
      </c>
      <c r="U527" s="9">
        <v>0.0</v>
      </c>
      <c r="V527" s="9">
        <v>0.0</v>
      </c>
      <c r="W527" s="9">
        <v>0.0</v>
      </c>
      <c r="X527" s="9">
        <v>0.0</v>
      </c>
      <c r="Y527" s="9">
        <v>0.0</v>
      </c>
      <c r="Z527" s="9">
        <v>0.0</v>
      </c>
      <c r="AA527" s="9">
        <v>0.0</v>
      </c>
      <c r="AB527" s="9">
        <v>0.0</v>
      </c>
      <c r="AC527" s="9">
        <v>0.0</v>
      </c>
      <c r="AD527" s="11" t="s">
        <v>178</v>
      </c>
      <c r="AE527" s="9"/>
    </row>
    <row r="528">
      <c r="A528" s="7" t="s">
        <v>1433</v>
      </c>
      <c r="B528" s="7" t="s">
        <v>1434</v>
      </c>
      <c r="C528" s="8">
        <v>46146.0</v>
      </c>
      <c r="D528" s="8">
        <v>46153.0</v>
      </c>
      <c r="E528" s="7" t="s">
        <v>416</v>
      </c>
      <c r="F528" s="7" t="s">
        <v>354</v>
      </c>
      <c r="G528" s="7" t="s">
        <v>355</v>
      </c>
      <c r="H528" s="9">
        <v>462114.0</v>
      </c>
      <c r="I528" s="9">
        <v>0.0</v>
      </c>
      <c r="J528" s="9">
        <v>487.0</v>
      </c>
      <c r="K528" s="9">
        <v>303089.0</v>
      </c>
      <c r="L528" s="10">
        <v>1.5246808693156135</v>
      </c>
      <c r="M528" s="9">
        <v>1.5246808693156135</v>
      </c>
      <c r="N528" s="9">
        <v>11440.0</v>
      </c>
      <c r="O528" s="9">
        <v>11298.0</v>
      </c>
      <c r="P528" s="9">
        <v>2766.0</v>
      </c>
      <c r="Q528" s="9">
        <v>46.0</v>
      </c>
      <c r="R528" s="9">
        <v>20.0</v>
      </c>
      <c r="S528" s="9">
        <v>20.0</v>
      </c>
      <c r="T528" s="9">
        <v>8.0</v>
      </c>
      <c r="U528" s="9">
        <v>7.0</v>
      </c>
      <c r="V528" s="9">
        <v>0.0</v>
      </c>
      <c r="W528" s="9">
        <v>0.0</v>
      </c>
      <c r="X528" s="9">
        <v>0.0</v>
      </c>
      <c r="Y528" s="9">
        <v>0.0</v>
      </c>
      <c r="Z528" s="9">
        <v>0.0</v>
      </c>
      <c r="AA528" s="9">
        <v>0.0</v>
      </c>
      <c r="AB528" s="9">
        <v>0.0</v>
      </c>
      <c r="AC528" s="9">
        <v>0.0</v>
      </c>
      <c r="AD528" s="11" t="s">
        <v>179</v>
      </c>
      <c r="AE528" s="9" t="s">
        <v>9</v>
      </c>
    </row>
    <row r="529">
      <c r="A529" s="7" t="s">
        <v>1435</v>
      </c>
      <c r="B529" s="7" t="s">
        <v>1436</v>
      </c>
      <c r="C529" s="8">
        <v>46146.0</v>
      </c>
      <c r="D529" s="8">
        <v>46160.0</v>
      </c>
      <c r="E529" s="7" t="s">
        <v>358</v>
      </c>
      <c r="F529" s="7" t="s">
        <v>466</v>
      </c>
      <c r="G529" s="7" t="s">
        <v>355</v>
      </c>
      <c r="H529" s="9">
        <v>1076680.0</v>
      </c>
      <c r="I529" s="9">
        <v>121361.0</v>
      </c>
      <c r="J529" s="9">
        <v>2375.0</v>
      </c>
      <c r="K529" s="9">
        <v>382977.0</v>
      </c>
      <c r="L529" s="10">
        <v>2.8113437621580406</v>
      </c>
      <c r="M529" s="9">
        <v>2.8113437621580406</v>
      </c>
      <c r="N529" s="9">
        <v>0.0</v>
      </c>
      <c r="O529" s="9">
        <v>0.0</v>
      </c>
      <c r="P529" s="9">
        <v>0.0</v>
      </c>
      <c r="Q529" s="9">
        <v>0.0</v>
      </c>
      <c r="R529" s="9">
        <v>0.0</v>
      </c>
      <c r="S529" s="9">
        <v>0.0</v>
      </c>
      <c r="T529" s="9">
        <v>0.0</v>
      </c>
      <c r="U529" s="9">
        <v>0.0</v>
      </c>
      <c r="V529" s="9">
        <v>0.0</v>
      </c>
      <c r="W529" s="9">
        <v>0.0</v>
      </c>
      <c r="X529" s="9">
        <v>0.0</v>
      </c>
      <c r="Y529" s="9">
        <v>0.0</v>
      </c>
      <c r="Z529" s="9">
        <v>0.0</v>
      </c>
      <c r="AA529" s="9">
        <v>0.0</v>
      </c>
      <c r="AB529" s="9">
        <v>0.0</v>
      </c>
      <c r="AC529" s="9">
        <v>0.0</v>
      </c>
      <c r="AD529" s="11" t="s">
        <v>180</v>
      </c>
      <c r="AE529" s="9"/>
    </row>
    <row r="530">
      <c r="A530" s="7" t="s">
        <v>1437</v>
      </c>
      <c r="B530" s="7" t="s">
        <v>1438</v>
      </c>
      <c r="C530" s="8">
        <v>46146.0</v>
      </c>
      <c r="D530" s="8">
        <v>46160.0</v>
      </c>
      <c r="E530" s="7" t="s">
        <v>358</v>
      </c>
      <c r="F530" s="7" t="s">
        <v>466</v>
      </c>
      <c r="G530" s="7" t="s">
        <v>355</v>
      </c>
      <c r="H530" s="9">
        <v>1120954.0</v>
      </c>
      <c r="I530" s="9">
        <v>88397.0</v>
      </c>
      <c r="J530" s="9">
        <v>2225.0</v>
      </c>
      <c r="K530" s="9">
        <v>412098.0</v>
      </c>
      <c r="L530" s="10">
        <v>2.720115118248572</v>
      </c>
      <c r="M530" s="9">
        <v>2.720115118248572</v>
      </c>
      <c r="N530" s="9">
        <v>0.0</v>
      </c>
      <c r="O530" s="9">
        <v>0.0</v>
      </c>
      <c r="P530" s="9">
        <v>0.0</v>
      </c>
      <c r="Q530" s="9">
        <v>0.0</v>
      </c>
      <c r="R530" s="9">
        <v>0.0</v>
      </c>
      <c r="S530" s="9">
        <v>0.0</v>
      </c>
      <c r="T530" s="9">
        <v>0.0</v>
      </c>
      <c r="U530" s="9">
        <v>0.0</v>
      </c>
      <c r="V530" s="9">
        <v>0.0</v>
      </c>
      <c r="W530" s="9">
        <v>0.0</v>
      </c>
      <c r="X530" s="9">
        <v>0.0</v>
      </c>
      <c r="Y530" s="9">
        <v>0.0</v>
      </c>
      <c r="Z530" s="9">
        <v>0.0</v>
      </c>
      <c r="AA530" s="9">
        <v>0.0</v>
      </c>
      <c r="AB530" s="9">
        <v>0.0</v>
      </c>
      <c r="AC530" s="9">
        <v>0.0</v>
      </c>
      <c r="AD530" s="11" t="s">
        <v>181</v>
      </c>
      <c r="AE530" s="9"/>
    </row>
    <row r="531">
      <c r="A531" s="7" t="s">
        <v>1439</v>
      </c>
      <c r="B531" s="7" t="s">
        <v>1440</v>
      </c>
      <c r="C531" s="8">
        <v>46146.0</v>
      </c>
      <c r="D531" s="8">
        <v>46149.0</v>
      </c>
      <c r="E531" s="7" t="s">
        <v>364</v>
      </c>
      <c r="F531" s="7" t="s">
        <v>365</v>
      </c>
      <c r="G531" s="7" t="s">
        <v>355</v>
      </c>
      <c r="H531" s="9">
        <v>33308.0</v>
      </c>
      <c r="I531" s="9">
        <v>0.0</v>
      </c>
      <c r="J531" s="9">
        <v>798.0</v>
      </c>
      <c r="K531" s="9">
        <v>23895.0</v>
      </c>
      <c r="L531" s="10">
        <v>1.3939317848922368</v>
      </c>
      <c r="M531" s="9">
        <v>1.3939317848922368</v>
      </c>
      <c r="N531" s="9">
        <v>98998.0</v>
      </c>
      <c r="O531" s="9">
        <v>97833.0</v>
      </c>
      <c r="P531" s="9">
        <v>33891.0</v>
      </c>
      <c r="Q531" s="9">
        <v>314.0</v>
      </c>
      <c r="R531" s="9">
        <v>0.0</v>
      </c>
      <c r="S531" s="9">
        <v>0.0</v>
      </c>
      <c r="T531" s="9">
        <v>0.0</v>
      </c>
      <c r="U531" s="9">
        <v>0.0</v>
      </c>
      <c r="V531" s="9">
        <v>0.0</v>
      </c>
      <c r="W531" s="9">
        <v>0.0</v>
      </c>
      <c r="X531" s="9">
        <v>0.0</v>
      </c>
      <c r="Y531" s="9">
        <v>0.0</v>
      </c>
      <c r="Z531" s="9">
        <v>0.0</v>
      </c>
      <c r="AA531" s="9">
        <v>0.0</v>
      </c>
      <c r="AB531" s="9">
        <v>0.0</v>
      </c>
      <c r="AC531" s="9">
        <v>0.0</v>
      </c>
      <c r="AD531" s="11" t="s">
        <v>182</v>
      </c>
      <c r="AE531" s="9" t="s">
        <v>9</v>
      </c>
    </row>
    <row r="532">
      <c r="A532" s="7" t="s">
        <v>1441</v>
      </c>
      <c r="B532" s="7" t="s">
        <v>1442</v>
      </c>
      <c r="C532" s="8">
        <v>46149.0</v>
      </c>
      <c r="D532" s="8">
        <v>46149.0</v>
      </c>
      <c r="E532" s="7" t="s">
        <v>416</v>
      </c>
      <c r="F532" s="7" t="s">
        <v>430</v>
      </c>
      <c r="G532" s="7" t="s">
        <v>355</v>
      </c>
      <c r="H532" s="9">
        <v>0.0</v>
      </c>
      <c r="I532" s="9">
        <v>0.0</v>
      </c>
      <c r="J532" s="9">
        <v>0.0</v>
      </c>
      <c r="K532" s="9">
        <v>0.0</v>
      </c>
      <c r="L532" s="10">
        <v>0.0</v>
      </c>
      <c r="M532" s="9">
        <v>0.0</v>
      </c>
      <c r="N532" s="9">
        <v>18985.0</v>
      </c>
      <c r="O532" s="9">
        <v>18652.0</v>
      </c>
      <c r="P532" s="9">
        <v>3484.0</v>
      </c>
      <c r="Q532" s="9">
        <v>252.0</v>
      </c>
      <c r="R532" s="9">
        <v>0.0</v>
      </c>
      <c r="S532" s="9">
        <v>0.0</v>
      </c>
      <c r="T532" s="9">
        <v>0.0</v>
      </c>
      <c r="U532" s="9">
        <v>0.0</v>
      </c>
      <c r="V532" s="9">
        <v>0.0</v>
      </c>
      <c r="W532" s="9">
        <v>0.0</v>
      </c>
      <c r="X532" s="9">
        <v>0.0</v>
      </c>
      <c r="Y532" s="9">
        <v>0.0</v>
      </c>
      <c r="Z532" s="9">
        <v>0.0</v>
      </c>
      <c r="AA532" s="9">
        <v>0.0</v>
      </c>
      <c r="AB532" s="9">
        <v>0.0</v>
      </c>
      <c r="AC532" s="9">
        <v>0.0</v>
      </c>
      <c r="AD532" s="9"/>
      <c r="AE532" s="9" t="s">
        <v>9</v>
      </c>
    </row>
    <row r="533">
      <c r="A533" s="7" t="s">
        <v>1443</v>
      </c>
      <c r="B533" s="7" t="s">
        <v>1444</v>
      </c>
      <c r="C533" s="8">
        <v>46148.0</v>
      </c>
      <c r="D533" s="8">
        <v>46163.0</v>
      </c>
      <c r="E533" s="7" t="s">
        <v>404</v>
      </c>
      <c r="F533" s="7" t="s">
        <v>783</v>
      </c>
      <c r="G533" s="7" t="s">
        <v>355</v>
      </c>
      <c r="H533" s="9">
        <v>3252876.0</v>
      </c>
      <c r="I533" s="9">
        <v>115483.0</v>
      </c>
      <c r="J533" s="9">
        <v>26804.0</v>
      </c>
      <c r="K533" s="9">
        <v>667045.0</v>
      </c>
      <c r="L533" s="10">
        <v>2.4780202235231505</v>
      </c>
      <c r="M533" s="9">
        <v>4.876546559827298</v>
      </c>
      <c r="N533" s="9">
        <v>299444.0</v>
      </c>
      <c r="O533" s="9">
        <v>296542.0</v>
      </c>
      <c r="P533" s="9">
        <v>117298.0</v>
      </c>
      <c r="Q533" s="9">
        <v>3604.0</v>
      </c>
      <c r="R533" s="9">
        <v>0.0</v>
      </c>
      <c r="S533" s="9">
        <v>0.0</v>
      </c>
      <c r="T533" s="9">
        <v>0.0</v>
      </c>
      <c r="U533" s="9">
        <v>0.0</v>
      </c>
      <c r="V533" s="9">
        <v>0.0</v>
      </c>
      <c r="W533" s="9">
        <v>0.0</v>
      </c>
      <c r="X533" s="9">
        <v>0.0</v>
      </c>
      <c r="Y533" s="9">
        <v>0.0</v>
      </c>
      <c r="Z533" s="9">
        <v>0.0</v>
      </c>
      <c r="AA533" s="9">
        <v>0.0</v>
      </c>
      <c r="AB533" s="9">
        <v>0.0</v>
      </c>
      <c r="AC533" s="9">
        <v>0.0</v>
      </c>
      <c r="AD533" s="11" t="s">
        <v>183</v>
      </c>
      <c r="AE533" s="9" t="s">
        <v>9</v>
      </c>
    </row>
    <row r="534">
      <c r="A534" s="7" t="s">
        <v>1445</v>
      </c>
      <c r="B534" s="7" t="s">
        <v>1446</v>
      </c>
      <c r="C534" s="8">
        <v>46148.0</v>
      </c>
      <c r="D534" s="8">
        <v>46148.0</v>
      </c>
      <c r="E534" s="7" t="s">
        <v>404</v>
      </c>
      <c r="F534" s="7" t="s">
        <v>474</v>
      </c>
      <c r="G534" s="7" t="s">
        <v>355</v>
      </c>
      <c r="H534" s="9">
        <v>0.0</v>
      </c>
      <c r="I534" s="9">
        <v>0.0</v>
      </c>
      <c r="J534" s="9">
        <v>0.0</v>
      </c>
      <c r="K534" s="9">
        <v>0.0</v>
      </c>
      <c r="L534" s="10">
        <v>0.0</v>
      </c>
      <c r="M534" s="9">
        <v>0.0</v>
      </c>
      <c r="N534" s="9">
        <v>6568.0</v>
      </c>
      <c r="O534" s="9">
        <v>6564.0</v>
      </c>
      <c r="P534" s="9">
        <v>1548.0</v>
      </c>
      <c r="Q534" s="9">
        <v>504.0</v>
      </c>
      <c r="R534" s="9">
        <v>0.0</v>
      </c>
      <c r="S534" s="9">
        <v>0.0</v>
      </c>
      <c r="T534" s="9">
        <v>0.0</v>
      </c>
      <c r="U534" s="9">
        <v>0.0</v>
      </c>
      <c r="V534" s="9">
        <v>0.0</v>
      </c>
      <c r="W534" s="9">
        <v>0.0</v>
      </c>
      <c r="X534" s="9">
        <v>0.0</v>
      </c>
      <c r="Y534" s="9">
        <v>0.0</v>
      </c>
      <c r="Z534" s="9">
        <v>0.0</v>
      </c>
      <c r="AA534" s="9">
        <v>0.0</v>
      </c>
      <c r="AB534" s="9">
        <v>0.0</v>
      </c>
      <c r="AC534" s="9">
        <v>0.0</v>
      </c>
      <c r="AD534" s="9"/>
      <c r="AE534" s="9" t="s">
        <v>9</v>
      </c>
    </row>
    <row r="535">
      <c r="A535" s="7" t="s">
        <v>1447</v>
      </c>
      <c r="B535" s="7" t="s">
        <v>1448</v>
      </c>
      <c r="C535" s="8">
        <v>46147.0</v>
      </c>
      <c r="D535" s="8">
        <v>46154.0</v>
      </c>
      <c r="E535" s="7" t="s">
        <v>416</v>
      </c>
      <c r="F535" s="7" t="s">
        <v>725</v>
      </c>
      <c r="G535" s="7" t="s">
        <v>355</v>
      </c>
      <c r="H535" s="9">
        <v>415669.0</v>
      </c>
      <c r="I535" s="9">
        <v>0.0</v>
      </c>
      <c r="J535" s="9">
        <v>949.0</v>
      </c>
      <c r="K535" s="9">
        <v>285685.0</v>
      </c>
      <c r="L535" s="10">
        <v>1.4549906365402454</v>
      </c>
      <c r="M535" s="9">
        <v>1.4549906365402454</v>
      </c>
      <c r="N535" s="9">
        <v>9762.0</v>
      </c>
      <c r="O535" s="9">
        <v>9655.0</v>
      </c>
      <c r="P535" s="9">
        <v>2865.0</v>
      </c>
      <c r="Q535" s="9">
        <v>60.0</v>
      </c>
      <c r="R535" s="9">
        <v>0.0</v>
      </c>
      <c r="S535" s="9">
        <v>0.0</v>
      </c>
      <c r="T535" s="9">
        <v>0.0</v>
      </c>
      <c r="U535" s="9">
        <v>0.0</v>
      </c>
      <c r="V535" s="9">
        <v>0.0</v>
      </c>
      <c r="W535" s="9">
        <v>0.0</v>
      </c>
      <c r="X535" s="9">
        <v>0.0</v>
      </c>
      <c r="Y535" s="9">
        <v>0.0</v>
      </c>
      <c r="Z535" s="9">
        <v>0.0</v>
      </c>
      <c r="AA535" s="9">
        <v>0.0</v>
      </c>
      <c r="AB535" s="9">
        <v>0.0</v>
      </c>
      <c r="AC535" s="9">
        <v>0.0</v>
      </c>
      <c r="AD535" s="11" t="s">
        <v>184</v>
      </c>
      <c r="AE535" s="9" t="s">
        <v>9</v>
      </c>
    </row>
    <row r="536">
      <c r="A536" s="7" t="s">
        <v>1449</v>
      </c>
      <c r="B536" s="7" t="s">
        <v>1450</v>
      </c>
      <c r="C536" s="8">
        <v>46147.0</v>
      </c>
      <c r="D536" s="8">
        <v>46153.0</v>
      </c>
      <c r="E536" s="7" t="s">
        <v>416</v>
      </c>
      <c r="F536" s="7" t="s">
        <v>594</v>
      </c>
      <c r="G536" s="7" t="s">
        <v>355</v>
      </c>
      <c r="H536" s="9">
        <v>32890.0</v>
      </c>
      <c r="I536" s="9">
        <v>0.0</v>
      </c>
      <c r="J536" s="9">
        <v>141.0</v>
      </c>
      <c r="K536" s="9">
        <v>21966.0</v>
      </c>
      <c r="L536" s="10">
        <v>1.4973140307748338</v>
      </c>
      <c r="M536" s="9">
        <v>1.4973140307748338</v>
      </c>
      <c r="N536" s="9">
        <v>6178.0</v>
      </c>
      <c r="O536" s="9">
        <v>6122.0</v>
      </c>
      <c r="P536" s="9">
        <v>1248.0</v>
      </c>
      <c r="Q536" s="9">
        <v>52.0</v>
      </c>
      <c r="R536" s="9">
        <v>71.0</v>
      </c>
      <c r="S536" s="9">
        <v>70.0</v>
      </c>
      <c r="T536" s="9">
        <v>19.0</v>
      </c>
      <c r="U536" s="9">
        <v>19.0</v>
      </c>
      <c r="V536" s="9">
        <v>0.0</v>
      </c>
      <c r="W536" s="9">
        <v>0.0</v>
      </c>
      <c r="X536" s="9">
        <v>0.0</v>
      </c>
      <c r="Y536" s="9">
        <v>0.0</v>
      </c>
      <c r="Z536" s="9">
        <v>0.0</v>
      </c>
      <c r="AA536" s="9">
        <v>0.0</v>
      </c>
      <c r="AB536" s="9">
        <v>0.0</v>
      </c>
      <c r="AC536" s="9">
        <v>0.0</v>
      </c>
      <c r="AD536" s="11" t="s">
        <v>185</v>
      </c>
      <c r="AE536" s="9" t="s">
        <v>9</v>
      </c>
    </row>
    <row r="537">
      <c r="A537" s="7" t="s">
        <v>1451</v>
      </c>
      <c r="B537" s="7" t="s">
        <v>1452</v>
      </c>
      <c r="C537" s="8">
        <v>46148.0</v>
      </c>
      <c r="D537" s="8">
        <v>46152.0</v>
      </c>
      <c r="E537" s="7" t="s">
        <v>364</v>
      </c>
      <c r="F537" s="7" t="s">
        <v>365</v>
      </c>
      <c r="G537" s="7" t="s">
        <v>355</v>
      </c>
      <c r="H537" s="9">
        <v>648571.0</v>
      </c>
      <c r="I537" s="9">
        <v>0.0</v>
      </c>
      <c r="J537" s="9">
        <v>1084.0</v>
      </c>
      <c r="K537" s="9">
        <v>236329.0</v>
      </c>
      <c r="L537" s="10">
        <v>2.7443563845317334</v>
      </c>
      <c r="M537" s="9">
        <v>2.7443563845317334</v>
      </c>
      <c r="N537" s="9">
        <v>130030.0</v>
      </c>
      <c r="O537" s="9">
        <v>128883.0</v>
      </c>
      <c r="P537" s="9">
        <v>54087.0</v>
      </c>
      <c r="Q537" s="9">
        <v>430.0</v>
      </c>
      <c r="R537" s="9">
        <v>0.0</v>
      </c>
      <c r="S537" s="9">
        <v>0.0</v>
      </c>
      <c r="T537" s="9">
        <v>0.0</v>
      </c>
      <c r="U537" s="9">
        <v>0.0</v>
      </c>
      <c r="V537" s="9">
        <v>0.0</v>
      </c>
      <c r="W537" s="9">
        <v>0.0</v>
      </c>
      <c r="X537" s="9">
        <v>0.0</v>
      </c>
      <c r="Y537" s="9">
        <v>0.0</v>
      </c>
      <c r="Z537" s="9">
        <v>0.0</v>
      </c>
      <c r="AA537" s="9">
        <v>0.0</v>
      </c>
      <c r="AB537" s="9">
        <v>0.0</v>
      </c>
      <c r="AC537" s="9">
        <v>0.0</v>
      </c>
      <c r="AD537" s="11" t="s">
        <v>186</v>
      </c>
      <c r="AE537" s="9" t="s">
        <v>9</v>
      </c>
    </row>
    <row r="538">
      <c r="A538" s="7" t="s">
        <v>1453</v>
      </c>
      <c r="B538" s="7" t="s">
        <v>1454</v>
      </c>
      <c r="C538" s="8">
        <v>46148.0</v>
      </c>
      <c r="D538" s="8">
        <v>46162.0</v>
      </c>
      <c r="E538" s="7" t="s">
        <v>358</v>
      </c>
      <c r="F538" s="7" t="s">
        <v>466</v>
      </c>
      <c r="G538" s="7" t="s">
        <v>355</v>
      </c>
      <c r="H538" s="9">
        <v>5643792.0</v>
      </c>
      <c r="I538" s="9">
        <v>2761381.0</v>
      </c>
      <c r="J538" s="9">
        <v>29930.0</v>
      </c>
      <c r="K538" s="9">
        <v>572360.0</v>
      </c>
      <c r="L538" s="10">
        <v>2.099543993290936</v>
      </c>
      <c r="M538" s="9">
        <v>9.860563281850583</v>
      </c>
      <c r="N538" s="9">
        <v>190553.0</v>
      </c>
      <c r="O538" s="9">
        <v>188913.0</v>
      </c>
      <c r="P538" s="9">
        <v>36101.0</v>
      </c>
      <c r="Q538" s="9">
        <v>150.0</v>
      </c>
      <c r="R538" s="9">
        <v>0.0</v>
      </c>
      <c r="S538" s="9">
        <v>0.0</v>
      </c>
      <c r="T538" s="9">
        <v>0.0</v>
      </c>
      <c r="U538" s="9">
        <v>0.0</v>
      </c>
      <c r="V538" s="9">
        <v>0.0</v>
      </c>
      <c r="W538" s="9">
        <v>0.0</v>
      </c>
      <c r="X538" s="9">
        <v>0.0</v>
      </c>
      <c r="Y538" s="9">
        <v>0.0</v>
      </c>
      <c r="Z538" s="9">
        <v>0.0</v>
      </c>
      <c r="AA538" s="9">
        <v>0.0</v>
      </c>
      <c r="AB538" s="9">
        <v>0.0</v>
      </c>
      <c r="AC538" s="9">
        <v>0.0</v>
      </c>
      <c r="AD538" s="11" t="s">
        <v>187</v>
      </c>
      <c r="AE538" s="9" t="s">
        <v>9</v>
      </c>
    </row>
    <row r="539">
      <c r="A539" s="7" t="s">
        <v>1455</v>
      </c>
      <c r="B539" s="7" t="s">
        <v>1456</v>
      </c>
      <c r="C539" s="8">
        <v>46149.0</v>
      </c>
      <c r="D539" s="8">
        <v>46166.0</v>
      </c>
      <c r="E539" s="7" t="s">
        <v>416</v>
      </c>
      <c r="F539" s="7" t="s">
        <v>417</v>
      </c>
      <c r="G539" s="7" t="s">
        <v>355</v>
      </c>
      <c r="H539" s="9">
        <v>2980749.0</v>
      </c>
      <c r="I539" s="9">
        <v>1340613.0</v>
      </c>
      <c r="J539" s="9">
        <v>5199.0</v>
      </c>
      <c r="K539" s="9"/>
      <c r="L539" s="10">
        <v>0.0</v>
      </c>
      <c r="M539" s="9">
        <v>0.0</v>
      </c>
      <c r="N539" s="9">
        <v>0.0</v>
      </c>
      <c r="O539" s="9">
        <v>0.0</v>
      </c>
      <c r="P539" s="9">
        <v>0.0</v>
      </c>
      <c r="Q539" s="9">
        <v>0.0</v>
      </c>
      <c r="R539" s="9">
        <v>0.0</v>
      </c>
      <c r="S539" s="9">
        <v>0.0</v>
      </c>
      <c r="T539" s="9">
        <v>0.0</v>
      </c>
      <c r="U539" s="9">
        <v>0.0</v>
      </c>
      <c r="V539" s="9">
        <v>0.0</v>
      </c>
      <c r="W539" s="9">
        <v>0.0</v>
      </c>
      <c r="X539" s="9">
        <v>0.0</v>
      </c>
      <c r="Y539" s="9">
        <v>0.0</v>
      </c>
      <c r="Z539" s="9">
        <v>0.0</v>
      </c>
      <c r="AA539" s="9">
        <v>0.0</v>
      </c>
      <c r="AB539" s="9">
        <v>0.0</v>
      </c>
      <c r="AC539" s="9">
        <v>0.0</v>
      </c>
      <c r="AD539" s="11" t="s">
        <v>188</v>
      </c>
      <c r="AE539" s="9"/>
    </row>
    <row r="540">
      <c r="A540" s="7" t="s">
        <v>1457</v>
      </c>
      <c r="B540" s="7" t="s">
        <v>1458</v>
      </c>
      <c r="C540" s="8">
        <v>46150.0</v>
      </c>
      <c r="D540" s="8">
        <v>46150.0</v>
      </c>
      <c r="E540" s="7" t="s">
        <v>358</v>
      </c>
      <c r="F540" s="7" t="s">
        <v>387</v>
      </c>
      <c r="G540" s="7" t="s">
        <v>355</v>
      </c>
      <c r="H540" s="9">
        <v>0.0</v>
      </c>
      <c r="I540" s="9">
        <v>0.0</v>
      </c>
      <c r="J540" s="9">
        <v>0.0</v>
      </c>
      <c r="K540" s="9">
        <v>0.0</v>
      </c>
      <c r="L540" s="10">
        <v>0.0</v>
      </c>
      <c r="M540" s="9">
        <v>0.0</v>
      </c>
      <c r="N540" s="9">
        <v>22491.0</v>
      </c>
      <c r="O540" s="9">
        <v>22292.0</v>
      </c>
      <c r="P540" s="9">
        <v>8391.0</v>
      </c>
      <c r="Q540" s="9">
        <v>324.0</v>
      </c>
      <c r="R540" s="9">
        <v>0.0</v>
      </c>
      <c r="S540" s="9">
        <v>0.0</v>
      </c>
      <c r="T540" s="9">
        <v>0.0</v>
      </c>
      <c r="U540" s="9">
        <v>0.0</v>
      </c>
      <c r="V540" s="9">
        <v>0.0</v>
      </c>
      <c r="W540" s="9">
        <v>0.0</v>
      </c>
      <c r="X540" s="9">
        <v>0.0</v>
      </c>
      <c r="Y540" s="9">
        <v>0.0</v>
      </c>
      <c r="Z540" s="9">
        <v>0.0</v>
      </c>
      <c r="AA540" s="9">
        <v>0.0</v>
      </c>
      <c r="AB540" s="9">
        <v>0.0</v>
      </c>
      <c r="AC540" s="9">
        <v>0.0</v>
      </c>
      <c r="AD540" s="9"/>
      <c r="AE540" s="9" t="s">
        <v>9</v>
      </c>
    </row>
    <row r="541">
      <c r="A541" s="7" t="s">
        <v>1459</v>
      </c>
      <c r="B541" s="7" t="s">
        <v>1460</v>
      </c>
      <c r="C541" s="8">
        <v>46150.0</v>
      </c>
      <c r="D541" s="8">
        <v>46150.0</v>
      </c>
      <c r="E541" s="7" t="s">
        <v>358</v>
      </c>
      <c r="F541" s="7" t="s">
        <v>387</v>
      </c>
      <c r="G541" s="7" t="s">
        <v>355</v>
      </c>
      <c r="H541" s="9">
        <v>0.0</v>
      </c>
      <c r="I541" s="9">
        <v>0.0</v>
      </c>
      <c r="J541" s="9">
        <v>0.0</v>
      </c>
      <c r="K541" s="9">
        <v>0.0</v>
      </c>
      <c r="L541" s="10">
        <v>0.0</v>
      </c>
      <c r="M541" s="9">
        <v>0.0</v>
      </c>
      <c r="N541" s="9">
        <v>25792.0</v>
      </c>
      <c r="O541" s="9">
        <v>25563.0</v>
      </c>
      <c r="P541" s="9">
        <v>10100.0</v>
      </c>
      <c r="Q541" s="9">
        <v>361.0</v>
      </c>
      <c r="R541" s="9">
        <v>0.0</v>
      </c>
      <c r="S541" s="9">
        <v>0.0</v>
      </c>
      <c r="T541" s="9">
        <v>0.0</v>
      </c>
      <c r="U541" s="9">
        <v>0.0</v>
      </c>
      <c r="V541" s="9">
        <v>0.0</v>
      </c>
      <c r="W541" s="9">
        <v>0.0</v>
      </c>
      <c r="X541" s="9">
        <v>0.0</v>
      </c>
      <c r="Y541" s="9">
        <v>0.0</v>
      </c>
      <c r="Z541" s="9">
        <v>0.0</v>
      </c>
      <c r="AA541" s="9">
        <v>0.0</v>
      </c>
      <c r="AB541" s="9">
        <v>0.0</v>
      </c>
      <c r="AC541" s="9">
        <v>0.0</v>
      </c>
      <c r="AD541" s="9"/>
      <c r="AE541" s="9" t="s">
        <v>9</v>
      </c>
    </row>
    <row r="542">
      <c r="A542" s="7" t="s">
        <v>1461</v>
      </c>
      <c r="B542" s="7" t="s">
        <v>1462</v>
      </c>
      <c r="C542" s="8">
        <v>46154.0</v>
      </c>
      <c r="D542" s="8">
        <v>46154.0</v>
      </c>
      <c r="E542" s="7" t="s">
        <v>358</v>
      </c>
      <c r="F542" s="7" t="s">
        <v>387</v>
      </c>
      <c r="G542" s="7" t="s">
        <v>355</v>
      </c>
      <c r="H542" s="9">
        <v>0.0</v>
      </c>
      <c r="I542" s="9">
        <v>0.0</v>
      </c>
      <c r="J542" s="9">
        <v>0.0</v>
      </c>
      <c r="K542" s="9">
        <v>0.0</v>
      </c>
      <c r="L542" s="10">
        <v>0.0</v>
      </c>
      <c r="M542" s="9">
        <v>0.0</v>
      </c>
      <c r="N542" s="9">
        <v>18631.0</v>
      </c>
      <c r="O542" s="9">
        <v>18444.0</v>
      </c>
      <c r="P542" s="9">
        <v>6524.0</v>
      </c>
      <c r="Q542" s="9">
        <v>285.0</v>
      </c>
      <c r="R542" s="9">
        <v>0.0</v>
      </c>
      <c r="S542" s="9">
        <v>0.0</v>
      </c>
      <c r="T542" s="9">
        <v>0.0</v>
      </c>
      <c r="U542" s="9">
        <v>0.0</v>
      </c>
      <c r="V542" s="9">
        <v>0.0</v>
      </c>
      <c r="W542" s="9">
        <v>0.0</v>
      </c>
      <c r="X542" s="9">
        <v>0.0</v>
      </c>
      <c r="Y542" s="9">
        <v>0.0</v>
      </c>
      <c r="Z542" s="9">
        <v>0.0</v>
      </c>
      <c r="AA542" s="9">
        <v>0.0</v>
      </c>
      <c r="AB542" s="9">
        <v>0.0</v>
      </c>
      <c r="AC542" s="9">
        <v>0.0</v>
      </c>
      <c r="AD542" s="9"/>
      <c r="AE542" s="9" t="s">
        <v>9</v>
      </c>
    </row>
    <row r="543">
      <c r="A543" s="7" t="s">
        <v>1463</v>
      </c>
      <c r="B543" s="7" t="s">
        <v>1464</v>
      </c>
      <c r="C543" s="8">
        <v>46154.0</v>
      </c>
      <c r="D543" s="8">
        <v>46154.0</v>
      </c>
      <c r="E543" s="7" t="s">
        <v>358</v>
      </c>
      <c r="F543" s="7" t="s">
        <v>387</v>
      </c>
      <c r="G543" s="7" t="s">
        <v>355</v>
      </c>
      <c r="H543" s="9">
        <v>0.0</v>
      </c>
      <c r="I543" s="9">
        <v>0.0</v>
      </c>
      <c r="J543" s="9">
        <v>0.0</v>
      </c>
      <c r="K543" s="9">
        <v>0.0</v>
      </c>
      <c r="L543" s="10">
        <v>0.0</v>
      </c>
      <c r="M543" s="9">
        <v>0.0</v>
      </c>
      <c r="N543" s="9">
        <v>11006.0</v>
      </c>
      <c r="O543" s="9">
        <v>10857.0</v>
      </c>
      <c r="P543" s="9">
        <v>3482.0</v>
      </c>
      <c r="Q543" s="9">
        <v>207.0</v>
      </c>
      <c r="R543" s="9">
        <v>0.0</v>
      </c>
      <c r="S543" s="9">
        <v>0.0</v>
      </c>
      <c r="T543" s="9">
        <v>0.0</v>
      </c>
      <c r="U543" s="9">
        <v>0.0</v>
      </c>
      <c r="V543" s="9">
        <v>0.0</v>
      </c>
      <c r="W543" s="9">
        <v>0.0</v>
      </c>
      <c r="X543" s="9">
        <v>0.0</v>
      </c>
      <c r="Y543" s="9">
        <v>0.0</v>
      </c>
      <c r="Z543" s="9">
        <v>0.0</v>
      </c>
      <c r="AA543" s="9">
        <v>0.0</v>
      </c>
      <c r="AB543" s="9">
        <v>0.0</v>
      </c>
      <c r="AC543" s="9">
        <v>0.0</v>
      </c>
      <c r="AD543" s="9"/>
      <c r="AE543" s="9" t="s">
        <v>9</v>
      </c>
    </row>
    <row r="544">
      <c r="A544" s="7" t="s">
        <v>1465</v>
      </c>
      <c r="B544" s="7" t="s">
        <v>1466</v>
      </c>
      <c r="C544" s="8">
        <v>46148.0</v>
      </c>
      <c r="D544" s="8">
        <v>46148.0</v>
      </c>
      <c r="E544" s="7" t="s">
        <v>353</v>
      </c>
      <c r="F544" s="7" t="s">
        <v>808</v>
      </c>
      <c r="G544" s="7" t="s">
        <v>355</v>
      </c>
      <c r="H544" s="9">
        <v>250676.0</v>
      </c>
      <c r="I544" s="9">
        <v>12309.0</v>
      </c>
      <c r="J544" s="9">
        <v>2.0</v>
      </c>
      <c r="K544" s="9">
        <v>250676.0</v>
      </c>
      <c r="L544" s="10">
        <v>1.0</v>
      </c>
      <c r="M544" s="9">
        <v>1.0</v>
      </c>
      <c r="N544" s="9">
        <v>0.0</v>
      </c>
      <c r="O544" s="9">
        <v>0.0</v>
      </c>
      <c r="P544" s="9">
        <v>0.0</v>
      </c>
      <c r="Q544" s="9">
        <v>0.0</v>
      </c>
      <c r="R544" s="9">
        <v>0.0</v>
      </c>
      <c r="S544" s="9">
        <v>0.0</v>
      </c>
      <c r="T544" s="9">
        <v>0.0</v>
      </c>
      <c r="U544" s="9">
        <v>0.0</v>
      </c>
      <c r="V544" s="9">
        <v>0.0</v>
      </c>
      <c r="W544" s="9">
        <v>0.0</v>
      </c>
      <c r="X544" s="9">
        <v>0.0</v>
      </c>
      <c r="Y544" s="9">
        <v>0.0</v>
      </c>
      <c r="Z544" s="9">
        <v>0.0</v>
      </c>
      <c r="AA544" s="9">
        <v>0.0</v>
      </c>
      <c r="AB544" s="9">
        <v>0.0</v>
      </c>
      <c r="AC544" s="9">
        <v>0.0</v>
      </c>
      <c r="AD544" s="11" t="s">
        <v>189</v>
      </c>
      <c r="AE544" s="9"/>
    </row>
    <row r="545">
      <c r="A545" s="7" t="s">
        <v>1467</v>
      </c>
      <c r="B545" s="7" t="s">
        <v>1468</v>
      </c>
      <c r="C545" s="8">
        <v>46154.0</v>
      </c>
      <c r="D545" s="8">
        <v>46220.0</v>
      </c>
      <c r="E545" s="7" t="s">
        <v>358</v>
      </c>
      <c r="F545" s="7" t="s">
        <v>359</v>
      </c>
      <c r="G545" s="7" t="s">
        <v>355</v>
      </c>
      <c r="H545" s="9">
        <v>0.0</v>
      </c>
      <c r="I545" s="9">
        <v>0.0</v>
      </c>
      <c r="J545" s="9">
        <v>0.0</v>
      </c>
      <c r="K545" s="9">
        <v>0.0</v>
      </c>
      <c r="L545" s="10">
        <v>0.0</v>
      </c>
      <c r="M545" s="9">
        <v>0.0</v>
      </c>
      <c r="N545" s="9">
        <v>34676.0</v>
      </c>
      <c r="O545" s="9">
        <v>34281.0</v>
      </c>
      <c r="P545" s="9">
        <v>10476.0</v>
      </c>
      <c r="Q545" s="9">
        <v>933.0</v>
      </c>
      <c r="R545" s="9">
        <v>0.0</v>
      </c>
      <c r="S545" s="9">
        <v>0.0</v>
      </c>
      <c r="T545" s="9">
        <v>0.0</v>
      </c>
      <c r="U545" s="9">
        <v>0.0</v>
      </c>
      <c r="V545" s="9">
        <v>0.0</v>
      </c>
      <c r="W545" s="9">
        <v>0.0</v>
      </c>
      <c r="X545" s="9">
        <v>0.0</v>
      </c>
      <c r="Y545" s="9">
        <v>0.0</v>
      </c>
      <c r="Z545" s="9">
        <v>0.0</v>
      </c>
      <c r="AA545" s="9">
        <v>0.0</v>
      </c>
      <c r="AB545" s="9">
        <v>0.0</v>
      </c>
      <c r="AC545" s="9">
        <v>0.0</v>
      </c>
      <c r="AD545" s="9"/>
      <c r="AE545" s="9" t="s">
        <v>9</v>
      </c>
    </row>
    <row r="546">
      <c r="A546" s="7" t="s">
        <v>1469</v>
      </c>
      <c r="B546" s="7" t="s">
        <v>1470</v>
      </c>
      <c r="C546" s="8">
        <v>46148.0</v>
      </c>
      <c r="D546" s="8">
        <v>46148.0</v>
      </c>
      <c r="E546" s="7" t="s">
        <v>353</v>
      </c>
      <c r="F546" s="7" t="s">
        <v>808</v>
      </c>
      <c r="G546" s="7" t="s">
        <v>355</v>
      </c>
      <c r="H546" s="9">
        <v>954502.0</v>
      </c>
      <c r="I546" s="9">
        <v>0.0</v>
      </c>
      <c r="J546" s="9">
        <v>2157.0</v>
      </c>
      <c r="K546" s="9">
        <v>924873.0</v>
      </c>
      <c r="L546" s="10">
        <v>1.032035749773212</v>
      </c>
      <c r="M546" s="9">
        <v>1.032035749773212</v>
      </c>
      <c r="N546" s="9">
        <v>252454.0</v>
      </c>
      <c r="O546" s="9">
        <v>248803.0</v>
      </c>
      <c r="P546" s="9">
        <v>70896.0</v>
      </c>
      <c r="Q546" s="9">
        <v>165.0</v>
      </c>
      <c r="R546" s="9">
        <v>0.0</v>
      </c>
      <c r="S546" s="9">
        <v>0.0</v>
      </c>
      <c r="T546" s="9">
        <v>0.0</v>
      </c>
      <c r="U546" s="9">
        <v>0.0</v>
      </c>
      <c r="V546" s="9">
        <v>48931.0</v>
      </c>
      <c r="W546" s="9">
        <v>48931.0</v>
      </c>
      <c r="X546" s="9">
        <v>41350.0</v>
      </c>
      <c r="Y546" s="9">
        <v>16496.0</v>
      </c>
      <c r="Z546" s="9">
        <v>0.0</v>
      </c>
      <c r="AA546" s="9">
        <v>161679.0</v>
      </c>
      <c r="AB546" s="9">
        <v>131691.0</v>
      </c>
      <c r="AC546" s="9">
        <v>1729.0</v>
      </c>
      <c r="AD546" s="11" t="s">
        <v>190</v>
      </c>
      <c r="AE546" s="9" t="s">
        <v>9</v>
      </c>
    </row>
    <row r="547">
      <c r="A547" s="7" t="s">
        <v>1471</v>
      </c>
      <c r="B547" s="7" t="s">
        <v>1472</v>
      </c>
      <c r="C547" s="8">
        <v>46157.0</v>
      </c>
      <c r="D547" s="8">
        <v>46165.0</v>
      </c>
      <c r="E547" s="7" t="s">
        <v>404</v>
      </c>
      <c r="F547" s="7" t="s">
        <v>405</v>
      </c>
      <c r="G547" s="7" t="s">
        <v>355</v>
      </c>
      <c r="H547" s="9">
        <v>1.1947753E7</v>
      </c>
      <c r="I547" s="9">
        <v>2145752.0</v>
      </c>
      <c r="J547" s="9">
        <v>57312.0</v>
      </c>
      <c r="K547" s="9">
        <v>836300.0</v>
      </c>
      <c r="L547" s="10">
        <v>2.3574518713380366</v>
      </c>
      <c r="M547" s="9">
        <v>14.286443859858903</v>
      </c>
      <c r="N547" s="9">
        <v>207110.0</v>
      </c>
      <c r="O547" s="9">
        <v>205916.0</v>
      </c>
      <c r="P547" s="9">
        <v>77985.0</v>
      </c>
      <c r="Q547" s="9">
        <v>2883.0</v>
      </c>
      <c r="R547" s="9">
        <v>0.0</v>
      </c>
      <c r="S547" s="9">
        <v>0.0</v>
      </c>
      <c r="T547" s="9">
        <v>0.0</v>
      </c>
      <c r="U547" s="9">
        <v>0.0</v>
      </c>
      <c r="V547" s="9">
        <v>0.0</v>
      </c>
      <c r="W547" s="9">
        <v>0.0</v>
      </c>
      <c r="X547" s="9">
        <v>0.0</v>
      </c>
      <c r="Y547" s="9">
        <v>0.0</v>
      </c>
      <c r="Z547" s="9">
        <v>0.0</v>
      </c>
      <c r="AA547" s="9">
        <v>0.0</v>
      </c>
      <c r="AB547" s="9">
        <v>0.0</v>
      </c>
      <c r="AC547" s="9">
        <v>0.0</v>
      </c>
      <c r="AD547" s="11" t="s">
        <v>191</v>
      </c>
      <c r="AE547" s="9" t="s">
        <v>9</v>
      </c>
    </row>
    <row r="548">
      <c r="A548" s="7" t="s">
        <v>1473</v>
      </c>
      <c r="B548" s="7" t="s">
        <v>1474</v>
      </c>
      <c r="C548" s="8">
        <v>46153.0</v>
      </c>
      <c r="D548" s="8">
        <v>46157.0</v>
      </c>
      <c r="E548" s="7" t="s">
        <v>416</v>
      </c>
      <c r="F548" s="7" t="s">
        <v>466</v>
      </c>
      <c r="G548" s="7" t="s">
        <v>355</v>
      </c>
      <c r="H548" s="9">
        <v>327232.0</v>
      </c>
      <c r="I548" s="9">
        <v>0.0</v>
      </c>
      <c r="J548" s="9">
        <v>359.0</v>
      </c>
      <c r="K548" s="9">
        <v>233106.0</v>
      </c>
      <c r="L548" s="10">
        <v>1.4037905502217876</v>
      </c>
      <c r="M548" s="9">
        <v>1.4037905502217876</v>
      </c>
      <c r="N548" s="9">
        <v>75651.0</v>
      </c>
      <c r="O548" s="9">
        <v>74813.0</v>
      </c>
      <c r="P548" s="9">
        <v>13866.0</v>
      </c>
      <c r="Q548" s="9">
        <v>235.0</v>
      </c>
      <c r="R548" s="9">
        <v>0.0</v>
      </c>
      <c r="S548" s="9">
        <v>0.0</v>
      </c>
      <c r="T548" s="9">
        <v>0.0</v>
      </c>
      <c r="U548" s="9">
        <v>0.0</v>
      </c>
      <c r="V548" s="9">
        <v>0.0</v>
      </c>
      <c r="W548" s="9">
        <v>0.0</v>
      </c>
      <c r="X548" s="9">
        <v>0.0</v>
      </c>
      <c r="Y548" s="9">
        <v>0.0</v>
      </c>
      <c r="Z548" s="9">
        <v>0.0</v>
      </c>
      <c r="AA548" s="9">
        <v>0.0</v>
      </c>
      <c r="AB548" s="9">
        <v>0.0</v>
      </c>
      <c r="AC548" s="9">
        <v>0.0</v>
      </c>
      <c r="AD548" s="9"/>
      <c r="AE548" s="9" t="s">
        <v>9</v>
      </c>
    </row>
    <row r="549">
      <c r="A549" s="7" t="s">
        <v>1475</v>
      </c>
      <c r="B549" s="7" t="s">
        <v>1476</v>
      </c>
      <c r="C549" s="8">
        <v>46153.0</v>
      </c>
      <c r="D549" s="8">
        <v>46157.0</v>
      </c>
      <c r="E549" s="7" t="s">
        <v>416</v>
      </c>
      <c r="F549" s="7" t="s">
        <v>466</v>
      </c>
      <c r="G549" s="7" t="s">
        <v>355</v>
      </c>
      <c r="H549" s="9">
        <v>106346.0</v>
      </c>
      <c r="I549" s="9">
        <v>0.0</v>
      </c>
      <c r="J549" s="9">
        <v>415.0</v>
      </c>
      <c r="K549" s="9">
        <v>69928.0</v>
      </c>
      <c r="L549" s="10">
        <v>1.5207928154673378</v>
      </c>
      <c r="M549" s="9">
        <v>1.5207928154673378</v>
      </c>
      <c r="N549" s="9">
        <v>81069.0</v>
      </c>
      <c r="O549" s="9">
        <v>80318.0</v>
      </c>
      <c r="P549" s="9">
        <v>16446.0</v>
      </c>
      <c r="Q549" s="9">
        <v>192.0</v>
      </c>
      <c r="R549" s="9">
        <v>88.0</v>
      </c>
      <c r="S549" s="9">
        <v>88.0</v>
      </c>
      <c r="T549" s="9">
        <v>17.0</v>
      </c>
      <c r="U549" s="9">
        <v>17.0</v>
      </c>
      <c r="V549" s="9">
        <v>0.0</v>
      </c>
      <c r="W549" s="9">
        <v>0.0</v>
      </c>
      <c r="X549" s="9">
        <v>0.0</v>
      </c>
      <c r="Y549" s="9">
        <v>0.0</v>
      </c>
      <c r="Z549" s="9">
        <v>0.0</v>
      </c>
      <c r="AA549" s="9">
        <v>0.0</v>
      </c>
      <c r="AB549" s="9">
        <v>0.0</v>
      </c>
      <c r="AC549" s="9">
        <v>0.0</v>
      </c>
      <c r="AD549" s="9"/>
      <c r="AE549" s="9" t="s">
        <v>9</v>
      </c>
    </row>
    <row r="550">
      <c r="A550" s="7" t="s">
        <v>1477</v>
      </c>
      <c r="B550" s="7" t="s">
        <v>1478</v>
      </c>
      <c r="C550" s="8">
        <v>46153.0</v>
      </c>
      <c r="D550" s="8">
        <v>46157.0</v>
      </c>
      <c r="E550" s="7" t="s">
        <v>416</v>
      </c>
      <c r="F550" s="7" t="s">
        <v>466</v>
      </c>
      <c r="G550" s="7" t="s">
        <v>355</v>
      </c>
      <c r="H550" s="9">
        <v>112041.0</v>
      </c>
      <c r="I550" s="9">
        <v>0.0</v>
      </c>
      <c r="J550" s="9">
        <v>467.0</v>
      </c>
      <c r="K550" s="9">
        <v>70734.0</v>
      </c>
      <c r="L550" s="10">
        <v>1.5839765883450674</v>
      </c>
      <c r="M550" s="9">
        <v>1.5839765883450674</v>
      </c>
      <c r="N550" s="9">
        <v>85514.0</v>
      </c>
      <c r="O550" s="9">
        <v>84498.0</v>
      </c>
      <c r="P550" s="9">
        <v>12763.0</v>
      </c>
      <c r="Q550" s="9">
        <v>192.0</v>
      </c>
      <c r="R550" s="9">
        <v>114.0</v>
      </c>
      <c r="S550" s="9">
        <v>114.0</v>
      </c>
      <c r="T550" s="9">
        <v>33.0</v>
      </c>
      <c r="U550" s="9">
        <v>32.0</v>
      </c>
      <c r="V550" s="9">
        <v>0.0</v>
      </c>
      <c r="W550" s="9">
        <v>0.0</v>
      </c>
      <c r="X550" s="9">
        <v>0.0</v>
      </c>
      <c r="Y550" s="9">
        <v>0.0</v>
      </c>
      <c r="Z550" s="9">
        <v>0.0</v>
      </c>
      <c r="AA550" s="9">
        <v>0.0</v>
      </c>
      <c r="AB550" s="9">
        <v>0.0</v>
      </c>
      <c r="AC550" s="9">
        <v>0.0</v>
      </c>
      <c r="AD550" s="9"/>
      <c r="AE550" s="9" t="s">
        <v>9</v>
      </c>
    </row>
    <row r="551">
      <c r="A551" s="7" t="s">
        <v>1479</v>
      </c>
      <c r="B551" s="7" t="s">
        <v>1480</v>
      </c>
      <c r="C551" s="8">
        <v>46153.0</v>
      </c>
      <c r="D551" s="8">
        <v>46162.0</v>
      </c>
      <c r="E551" s="7" t="s">
        <v>416</v>
      </c>
      <c r="F551" s="7" t="s">
        <v>466</v>
      </c>
      <c r="G551" s="7" t="s">
        <v>355</v>
      </c>
      <c r="H551" s="9">
        <v>148414.0</v>
      </c>
      <c r="I551" s="9">
        <v>0.0</v>
      </c>
      <c r="J551" s="9">
        <v>557.0</v>
      </c>
      <c r="K551" s="9">
        <v>102557.0</v>
      </c>
      <c r="L551" s="10">
        <v>1.4471367142174596</v>
      </c>
      <c r="M551" s="9">
        <v>1.4471367142174596</v>
      </c>
      <c r="N551" s="9">
        <v>70328.0</v>
      </c>
      <c r="O551" s="9">
        <v>69397.0</v>
      </c>
      <c r="P551" s="9">
        <v>10485.0</v>
      </c>
      <c r="Q551" s="9">
        <v>169.0</v>
      </c>
      <c r="R551" s="9">
        <v>94.0</v>
      </c>
      <c r="S551" s="9">
        <v>94.0</v>
      </c>
      <c r="T551" s="9">
        <v>24.0</v>
      </c>
      <c r="U551" s="9">
        <v>23.0</v>
      </c>
      <c r="V551" s="9">
        <v>0.0</v>
      </c>
      <c r="W551" s="9">
        <v>0.0</v>
      </c>
      <c r="X551" s="9">
        <v>0.0</v>
      </c>
      <c r="Y551" s="9">
        <v>0.0</v>
      </c>
      <c r="Z551" s="9">
        <v>0.0</v>
      </c>
      <c r="AA551" s="9">
        <v>0.0</v>
      </c>
      <c r="AB551" s="9">
        <v>0.0</v>
      </c>
      <c r="AC551" s="9">
        <v>0.0</v>
      </c>
      <c r="AD551" s="9"/>
      <c r="AE551" s="9" t="s">
        <v>9</v>
      </c>
    </row>
    <row r="552">
      <c r="A552" s="7" t="s">
        <v>1481</v>
      </c>
      <c r="B552" s="7" t="s">
        <v>1482</v>
      </c>
      <c r="C552" s="8">
        <v>46150.0</v>
      </c>
      <c r="D552" s="8">
        <v>46150.0</v>
      </c>
      <c r="E552" s="7" t="s">
        <v>358</v>
      </c>
      <c r="F552" s="7" t="s">
        <v>387</v>
      </c>
      <c r="G552" s="7" t="s">
        <v>355</v>
      </c>
      <c r="H552" s="9">
        <v>0.0</v>
      </c>
      <c r="I552" s="9">
        <v>0.0</v>
      </c>
      <c r="J552" s="9">
        <v>0.0</v>
      </c>
      <c r="K552" s="9">
        <v>0.0</v>
      </c>
      <c r="L552" s="10">
        <v>0.0</v>
      </c>
      <c r="M552" s="9">
        <v>0.0</v>
      </c>
      <c r="N552" s="9">
        <v>9778.0</v>
      </c>
      <c r="O552" s="9">
        <v>9677.0</v>
      </c>
      <c r="P552" s="9">
        <v>3488.0</v>
      </c>
      <c r="Q552" s="9">
        <v>129.0</v>
      </c>
      <c r="R552" s="9">
        <v>0.0</v>
      </c>
      <c r="S552" s="9">
        <v>0.0</v>
      </c>
      <c r="T552" s="9">
        <v>0.0</v>
      </c>
      <c r="U552" s="9">
        <v>0.0</v>
      </c>
      <c r="V552" s="9">
        <v>0.0</v>
      </c>
      <c r="W552" s="9">
        <v>0.0</v>
      </c>
      <c r="X552" s="9">
        <v>0.0</v>
      </c>
      <c r="Y552" s="9">
        <v>0.0</v>
      </c>
      <c r="Z552" s="9">
        <v>0.0</v>
      </c>
      <c r="AA552" s="9">
        <v>0.0</v>
      </c>
      <c r="AB552" s="9">
        <v>0.0</v>
      </c>
      <c r="AC552" s="9">
        <v>0.0</v>
      </c>
      <c r="AD552" s="9"/>
      <c r="AE552" s="9" t="s">
        <v>9</v>
      </c>
    </row>
    <row r="553">
      <c r="A553" s="7" t="s">
        <v>1483</v>
      </c>
      <c r="B553" s="7" t="s">
        <v>1484</v>
      </c>
      <c r="C553" s="8">
        <v>46154.0</v>
      </c>
      <c r="D553" s="8">
        <v>46154.0</v>
      </c>
      <c r="E553" s="7" t="s">
        <v>358</v>
      </c>
      <c r="F553" s="7" t="s">
        <v>387</v>
      </c>
      <c r="G553" s="7" t="s">
        <v>355</v>
      </c>
      <c r="H553" s="9">
        <v>0.0</v>
      </c>
      <c r="I553" s="9">
        <v>0.0</v>
      </c>
      <c r="J553" s="9">
        <v>0.0</v>
      </c>
      <c r="K553" s="9">
        <v>0.0</v>
      </c>
      <c r="L553" s="10">
        <v>0.0</v>
      </c>
      <c r="M553" s="9">
        <v>0.0</v>
      </c>
      <c r="N553" s="9">
        <v>6917.0</v>
      </c>
      <c r="O553" s="9">
        <v>6810.0</v>
      </c>
      <c r="P553" s="9">
        <v>2038.0</v>
      </c>
      <c r="Q553" s="9">
        <v>79.0</v>
      </c>
      <c r="R553" s="9">
        <v>0.0</v>
      </c>
      <c r="S553" s="9">
        <v>0.0</v>
      </c>
      <c r="T553" s="9">
        <v>0.0</v>
      </c>
      <c r="U553" s="9">
        <v>0.0</v>
      </c>
      <c r="V553" s="9">
        <v>0.0</v>
      </c>
      <c r="W553" s="9">
        <v>0.0</v>
      </c>
      <c r="X553" s="9">
        <v>0.0</v>
      </c>
      <c r="Y553" s="9">
        <v>0.0</v>
      </c>
      <c r="Z553" s="9">
        <v>0.0</v>
      </c>
      <c r="AA553" s="9">
        <v>0.0</v>
      </c>
      <c r="AB553" s="9">
        <v>0.0</v>
      </c>
      <c r="AC553" s="9">
        <v>0.0</v>
      </c>
      <c r="AD553" s="9"/>
      <c r="AE553" s="9" t="s">
        <v>9</v>
      </c>
    </row>
    <row r="554">
      <c r="A554" s="7" t="s">
        <v>1485</v>
      </c>
      <c r="B554" s="7" t="s">
        <v>1486</v>
      </c>
      <c r="C554" s="8">
        <v>46150.0</v>
      </c>
      <c r="D554" s="8">
        <v>46154.0</v>
      </c>
      <c r="E554" s="7" t="s">
        <v>416</v>
      </c>
      <c r="F554" s="7" t="s">
        <v>466</v>
      </c>
      <c r="G554" s="7" t="s">
        <v>355</v>
      </c>
      <c r="H554" s="9">
        <v>0.0</v>
      </c>
      <c r="I554" s="9">
        <v>0.0</v>
      </c>
      <c r="J554" s="9">
        <v>0.0</v>
      </c>
      <c r="K554" s="9">
        <v>0.0</v>
      </c>
      <c r="L554" s="10">
        <v>0.0</v>
      </c>
      <c r="M554" s="9">
        <v>0.0</v>
      </c>
      <c r="N554" s="9">
        <v>81124.0</v>
      </c>
      <c r="O554" s="9">
        <v>79762.0</v>
      </c>
      <c r="P554" s="9">
        <v>10421.0</v>
      </c>
      <c r="Q554" s="9">
        <v>279.0</v>
      </c>
      <c r="R554" s="9">
        <v>149.0</v>
      </c>
      <c r="S554" s="9">
        <v>149.0</v>
      </c>
      <c r="T554" s="9">
        <v>46.0</v>
      </c>
      <c r="U554" s="9">
        <v>41.0</v>
      </c>
      <c r="V554" s="9">
        <v>0.0</v>
      </c>
      <c r="W554" s="9">
        <v>0.0</v>
      </c>
      <c r="X554" s="9">
        <v>0.0</v>
      </c>
      <c r="Y554" s="9">
        <v>0.0</v>
      </c>
      <c r="Z554" s="9">
        <v>0.0</v>
      </c>
      <c r="AA554" s="9">
        <v>0.0</v>
      </c>
      <c r="AB554" s="9">
        <v>0.0</v>
      </c>
      <c r="AC554" s="9">
        <v>0.0</v>
      </c>
      <c r="AD554" s="9"/>
      <c r="AE554" s="9" t="s">
        <v>9</v>
      </c>
    </row>
    <row r="555">
      <c r="A555" s="7" t="s">
        <v>1487</v>
      </c>
      <c r="B555" s="7" t="s">
        <v>1488</v>
      </c>
      <c r="C555" s="8">
        <v>46150.0</v>
      </c>
      <c r="D555" s="8">
        <v>46157.0</v>
      </c>
      <c r="E555" s="7" t="s">
        <v>416</v>
      </c>
      <c r="F555" s="7" t="s">
        <v>466</v>
      </c>
      <c r="G555" s="7" t="s">
        <v>355</v>
      </c>
      <c r="H555" s="9">
        <v>180622.0</v>
      </c>
      <c r="I555" s="9">
        <v>0.0</v>
      </c>
      <c r="J555" s="9">
        <v>460.0</v>
      </c>
      <c r="K555" s="9">
        <v>23887.0</v>
      </c>
      <c r="L555" s="10">
        <v>7.561518817766986</v>
      </c>
      <c r="M555" s="9">
        <v>7.561518817766986</v>
      </c>
      <c r="N555" s="9">
        <v>109058.0</v>
      </c>
      <c r="O555" s="9">
        <v>108078.0</v>
      </c>
      <c r="P555" s="9">
        <v>24691.0</v>
      </c>
      <c r="Q555" s="9">
        <v>523.0</v>
      </c>
      <c r="R555" s="9">
        <v>235.0</v>
      </c>
      <c r="S555" s="9">
        <v>235.0</v>
      </c>
      <c r="T555" s="9">
        <v>78.0</v>
      </c>
      <c r="U555" s="9">
        <v>76.0</v>
      </c>
      <c r="V555" s="9">
        <v>0.0</v>
      </c>
      <c r="W555" s="9">
        <v>0.0</v>
      </c>
      <c r="X555" s="9">
        <v>0.0</v>
      </c>
      <c r="Y555" s="9">
        <v>0.0</v>
      </c>
      <c r="Z555" s="9">
        <v>0.0</v>
      </c>
      <c r="AA555" s="9">
        <v>0.0</v>
      </c>
      <c r="AB555" s="9">
        <v>0.0</v>
      </c>
      <c r="AC555" s="9">
        <v>0.0</v>
      </c>
      <c r="AD555" s="9"/>
      <c r="AE555" s="9" t="s">
        <v>9</v>
      </c>
    </row>
    <row r="556">
      <c r="A556" s="7" t="s">
        <v>1489</v>
      </c>
      <c r="B556" s="7" t="s">
        <v>1490</v>
      </c>
      <c r="C556" s="8">
        <v>46150.0</v>
      </c>
      <c r="D556" s="8">
        <v>46157.0</v>
      </c>
      <c r="E556" s="7" t="s">
        <v>416</v>
      </c>
      <c r="F556" s="7" t="s">
        <v>594</v>
      </c>
      <c r="G556" s="7" t="s">
        <v>355</v>
      </c>
      <c r="H556" s="9">
        <v>24980.0</v>
      </c>
      <c r="I556" s="9">
        <v>0.0</v>
      </c>
      <c r="J556" s="9">
        <v>140.0</v>
      </c>
      <c r="K556" s="9">
        <v>10893.0</v>
      </c>
      <c r="L556" s="10">
        <v>2.2932158266776828</v>
      </c>
      <c r="M556" s="9">
        <v>2.2932158266776828</v>
      </c>
      <c r="N556" s="9">
        <v>24533.0</v>
      </c>
      <c r="O556" s="9">
        <v>24265.0</v>
      </c>
      <c r="P556" s="9">
        <v>3915.0</v>
      </c>
      <c r="Q556" s="9">
        <v>81.0</v>
      </c>
      <c r="R556" s="9">
        <v>110.0</v>
      </c>
      <c r="S556" s="9">
        <v>110.0</v>
      </c>
      <c r="T556" s="9">
        <v>24.0</v>
      </c>
      <c r="U556" s="9">
        <v>22.0</v>
      </c>
      <c r="V556" s="9">
        <v>0.0</v>
      </c>
      <c r="W556" s="9">
        <v>0.0</v>
      </c>
      <c r="X556" s="9">
        <v>0.0</v>
      </c>
      <c r="Y556" s="9">
        <v>0.0</v>
      </c>
      <c r="Z556" s="9">
        <v>0.0</v>
      </c>
      <c r="AA556" s="9">
        <v>0.0</v>
      </c>
      <c r="AB556" s="9">
        <v>0.0</v>
      </c>
      <c r="AC556" s="9">
        <v>0.0</v>
      </c>
      <c r="AD556" s="9"/>
      <c r="AE556" s="9" t="s">
        <v>9</v>
      </c>
    </row>
    <row r="557">
      <c r="A557" s="7" t="s">
        <v>1491</v>
      </c>
      <c r="B557" s="7" t="s">
        <v>1492</v>
      </c>
      <c r="C557" s="8">
        <v>46153.0</v>
      </c>
      <c r="D557" s="8">
        <v>46153.0</v>
      </c>
      <c r="E557" s="7" t="s">
        <v>358</v>
      </c>
      <c r="F557" s="7" t="s">
        <v>466</v>
      </c>
      <c r="G557" s="7" t="s">
        <v>355</v>
      </c>
      <c r="H557" s="9">
        <v>0.0</v>
      </c>
      <c r="I557" s="9">
        <v>0.0</v>
      </c>
      <c r="J557" s="9">
        <v>0.0</v>
      </c>
      <c r="K557" s="9">
        <v>0.0</v>
      </c>
      <c r="L557" s="10">
        <v>0.0</v>
      </c>
      <c r="M557" s="9">
        <v>0.0</v>
      </c>
      <c r="N557" s="9">
        <v>28280.0</v>
      </c>
      <c r="O557" s="9">
        <v>11201.0</v>
      </c>
      <c r="P557" s="9">
        <v>2672.0</v>
      </c>
      <c r="Q557" s="9">
        <v>421.0</v>
      </c>
      <c r="R557" s="9">
        <v>0.0</v>
      </c>
      <c r="S557" s="9">
        <v>0.0</v>
      </c>
      <c r="T557" s="9">
        <v>0.0</v>
      </c>
      <c r="U557" s="9">
        <v>0.0</v>
      </c>
      <c r="V557" s="9">
        <v>0.0</v>
      </c>
      <c r="W557" s="9">
        <v>0.0</v>
      </c>
      <c r="X557" s="9">
        <v>0.0</v>
      </c>
      <c r="Y557" s="9">
        <v>0.0</v>
      </c>
      <c r="Z557" s="9">
        <v>0.0</v>
      </c>
      <c r="AA557" s="9">
        <v>0.0</v>
      </c>
      <c r="AB557" s="9">
        <v>0.0</v>
      </c>
      <c r="AC557" s="9">
        <v>0.0</v>
      </c>
      <c r="AD557" s="9"/>
      <c r="AE557" s="9" t="s">
        <v>9</v>
      </c>
    </row>
    <row r="558">
      <c r="A558" s="7" t="s">
        <v>1493</v>
      </c>
      <c r="B558" s="7" t="s">
        <v>1494</v>
      </c>
      <c r="C558" s="8">
        <v>46155.0</v>
      </c>
      <c r="D558" s="8">
        <v>46155.0</v>
      </c>
      <c r="E558" s="7" t="s">
        <v>416</v>
      </c>
      <c r="F558" s="7" t="s">
        <v>430</v>
      </c>
      <c r="G558" s="7" t="s">
        <v>355</v>
      </c>
      <c r="H558" s="9">
        <v>0.0</v>
      </c>
      <c r="I558" s="9">
        <v>0.0</v>
      </c>
      <c r="J558" s="9">
        <v>0.0</v>
      </c>
      <c r="K558" s="9">
        <v>0.0</v>
      </c>
      <c r="L558" s="10">
        <v>0.0</v>
      </c>
      <c r="M558" s="9">
        <v>0.0</v>
      </c>
      <c r="N558" s="9">
        <v>39084.0</v>
      </c>
      <c r="O558" s="9">
        <v>38585.0</v>
      </c>
      <c r="P558" s="9">
        <v>10211.0</v>
      </c>
      <c r="Q558" s="9">
        <v>257.0</v>
      </c>
      <c r="R558" s="9">
        <v>0.0</v>
      </c>
      <c r="S558" s="9">
        <v>0.0</v>
      </c>
      <c r="T558" s="9">
        <v>0.0</v>
      </c>
      <c r="U558" s="9">
        <v>0.0</v>
      </c>
      <c r="V558" s="9">
        <v>0.0</v>
      </c>
      <c r="W558" s="9">
        <v>0.0</v>
      </c>
      <c r="X558" s="9">
        <v>0.0</v>
      </c>
      <c r="Y558" s="9">
        <v>0.0</v>
      </c>
      <c r="Z558" s="9">
        <v>0.0</v>
      </c>
      <c r="AA558" s="9">
        <v>0.0</v>
      </c>
      <c r="AB558" s="9">
        <v>0.0</v>
      </c>
      <c r="AC558" s="9">
        <v>0.0</v>
      </c>
      <c r="AD558" s="9"/>
      <c r="AE558" s="9" t="s">
        <v>9</v>
      </c>
    </row>
    <row r="559">
      <c r="A559" s="7" t="s">
        <v>1495</v>
      </c>
      <c r="B559" s="7" t="s">
        <v>1496</v>
      </c>
      <c r="C559" s="8">
        <v>46150.0</v>
      </c>
      <c r="D559" s="8">
        <v>46173.0</v>
      </c>
      <c r="E559" s="7" t="s">
        <v>503</v>
      </c>
      <c r="F559" s="7" t="s">
        <v>504</v>
      </c>
      <c r="G559" s="7" t="s">
        <v>355</v>
      </c>
      <c r="H559" s="9">
        <v>1596684.0</v>
      </c>
      <c r="I559" s="9">
        <v>174029.0</v>
      </c>
      <c r="J559" s="9">
        <v>3095.0</v>
      </c>
      <c r="K559" s="9">
        <v>729072.0</v>
      </c>
      <c r="L559" s="10">
        <v>2.190022384620449</v>
      </c>
      <c r="M559" s="9">
        <v>2.190022384620449</v>
      </c>
      <c r="N559" s="9">
        <v>0.0</v>
      </c>
      <c r="O559" s="9">
        <v>0.0</v>
      </c>
      <c r="P559" s="9">
        <v>0.0</v>
      </c>
      <c r="Q559" s="9">
        <v>0.0</v>
      </c>
      <c r="R559" s="9">
        <v>0.0</v>
      </c>
      <c r="S559" s="9">
        <v>0.0</v>
      </c>
      <c r="T559" s="9">
        <v>0.0</v>
      </c>
      <c r="U559" s="9">
        <v>0.0</v>
      </c>
      <c r="V559" s="9">
        <v>0.0</v>
      </c>
      <c r="W559" s="9">
        <v>0.0</v>
      </c>
      <c r="X559" s="9">
        <v>0.0</v>
      </c>
      <c r="Y559" s="9">
        <v>0.0</v>
      </c>
      <c r="Z559" s="9">
        <v>0.0</v>
      </c>
      <c r="AA559" s="9">
        <v>0.0</v>
      </c>
      <c r="AB559" s="9">
        <v>0.0</v>
      </c>
      <c r="AC559" s="9">
        <v>0.0</v>
      </c>
      <c r="AD559" s="11" t="s">
        <v>192</v>
      </c>
      <c r="AE559" s="9"/>
    </row>
    <row r="560">
      <c r="A560" s="7" t="s">
        <v>1497</v>
      </c>
      <c r="B560" s="7" t="s">
        <v>1498</v>
      </c>
      <c r="C560" s="8">
        <v>46176.0</v>
      </c>
      <c r="D560" s="8">
        <v>46220.0</v>
      </c>
      <c r="E560" s="7" t="s">
        <v>404</v>
      </c>
      <c r="F560" s="7" t="s">
        <v>405</v>
      </c>
      <c r="G560" s="7" t="s">
        <v>355</v>
      </c>
      <c r="H560" s="9">
        <v>1.6855665E7</v>
      </c>
      <c r="I560" s="9">
        <v>2511126.0</v>
      </c>
      <c r="J560" s="9">
        <v>57464.0</v>
      </c>
      <c r="K560" s="9">
        <v>2220857.0</v>
      </c>
      <c r="L560" s="10">
        <v>2.612756697076849</v>
      </c>
      <c r="M560" s="9">
        <v>7.5897119895607865</v>
      </c>
      <c r="N560" s="9">
        <v>404210.0</v>
      </c>
      <c r="O560" s="9">
        <v>400014.0</v>
      </c>
      <c r="P560" s="9">
        <v>160569.0</v>
      </c>
      <c r="Q560" s="9">
        <v>10885.0</v>
      </c>
      <c r="R560" s="9">
        <v>0.0</v>
      </c>
      <c r="S560" s="9">
        <v>0.0</v>
      </c>
      <c r="T560" s="9">
        <v>0.0</v>
      </c>
      <c r="U560" s="9">
        <v>0.0</v>
      </c>
      <c r="V560" s="9">
        <v>0.0</v>
      </c>
      <c r="W560" s="9">
        <v>0.0</v>
      </c>
      <c r="X560" s="9">
        <v>0.0</v>
      </c>
      <c r="Y560" s="9">
        <v>0.0</v>
      </c>
      <c r="Z560" s="9">
        <v>0.0</v>
      </c>
      <c r="AA560" s="9">
        <v>0.0</v>
      </c>
      <c r="AB560" s="9">
        <v>0.0</v>
      </c>
      <c r="AC560" s="9">
        <v>0.0</v>
      </c>
      <c r="AD560" s="11" t="s">
        <v>193</v>
      </c>
      <c r="AE560" s="9" t="s">
        <v>9</v>
      </c>
    </row>
    <row r="561">
      <c r="A561" s="7" t="s">
        <v>1499</v>
      </c>
      <c r="B561" s="7" t="s">
        <v>1500</v>
      </c>
      <c r="C561" s="8">
        <v>46153.0</v>
      </c>
      <c r="D561" s="8">
        <v>46160.0</v>
      </c>
      <c r="E561" s="7" t="s">
        <v>416</v>
      </c>
      <c r="F561" s="7" t="s">
        <v>413</v>
      </c>
      <c r="G561" s="7" t="s">
        <v>355</v>
      </c>
      <c r="H561" s="9">
        <v>81819.0</v>
      </c>
      <c r="I561" s="9">
        <v>0.0</v>
      </c>
      <c r="J561" s="9">
        <v>298.0</v>
      </c>
      <c r="K561" s="9">
        <v>50522.0</v>
      </c>
      <c r="L561" s="10">
        <v>1.6194727049602153</v>
      </c>
      <c r="M561" s="9">
        <v>1.6194727049602153</v>
      </c>
      <c r="N561" s="9">
        <v>81801.0</v>
      </c>
      <c r="O561" s="9">
        <v>81083.0</v>
      </c>
      <c r="P561" s="9">
        <v>14978.0</v>
      </c>
      <c r="Q561" s="9">
        <v>190.0</v>
      </c>
      <c r="R561" s="9">
        <v>108.0</v>
      </c>
      <c r="S561" s="9">
        <v>108.0</v>
      </c>
      <c r="T561" s="9">
        <v>28.0</v>
      </c>
      <c r="U561" s="9">
        <v>24.0</v>
      </c>
      <c r="V561" s="9">
        <v>0.0</v>
      </c>
      <c r="W561" s="9">
        <v>0.0</v>
      </c>
      <c r="X561" s="9">
        <v>0.0</v>
      </c>
      <c r="Y561" s="9">
        <v>0.0</v>
      </c>
      <c r="Z561" s="9">
        <v>0.0</v>
      </c>
      <c r="AA561" s="9">
        <v>0.0</v>
      </c>
      <c r="AB561" s="9">
        <v>0.0</v>
      </c>
      <c r="AC561" s="9">
        <v>0.0</v>
      </c>
      <c r="AD561" s="9"/>
      <c r="AE561" s="9" t="s">
        <v>9</v>
      </c>
    </row>
    <row r="562">
      <c r="A562" s="7" t="s">
        <v>1501</v>
      </c>
      <c r="B562" s="7" t="s">
        <v>1502</v>
      </c>
      <c r="C562" s="8">
        <v>46153.0</v>
      </c>
      <c r="D562" s="8">
        <v>46160.0</v>
      </c>
      <c r="E562" s="7" t="s">
        <v>416</v>
      </c>
      <c r="F562" s="7" t="s">
        <v>594</v>
      </c>
      <c r="G562" s="7" t="s">
        <v>355</v>
      </c>
      <c r="H562" s="9">
        <v>32076.0</v>
      </c>
      <c r="I562" s="9">
        <v>0.0</v>
      </c>
      <c r="J562" s="9">
        <v>149.0</v>
      </c>
      <c r="K562" s="9">
        <v>20413.0</v>
      </c>
      <c r="L562" s="10">
        <v>1.5713515896732475</v>
      </c>
      <c r="M562" s="9">
        <v>1.5713515896732475</v>
      </c>
      <c r="N562" s="9">
        <v>31763.0</v>
      </c>
      <c r="O562" s="9">
        <v>31488.0</v>
      </c>
      <c r="P562" s="9">
        <v>7057.0</v>
      </c>
      <c r="Q562" s="9">
        <v>202.0</v>
      </c>
      <c r="R562" s="9">
        <v>106.0</v>
      </c>
      <c r="S562" s="9">
        <v>106.0</v>
      </c>
      <c r="T562" s="9">
        <v>36.0</v>
      </c>
      <c r="U562" s="9">
        <v>34.0</v>
      </c>
      <c r="V562" s="9">
        <v>0.0</v>
      </c>
      <c r="W562" s="9">
        <v>0.0</v>
      </c>
      <c r="X562" s="9">
        <v>0.0</v>
      </c>
      <c r="Y562" s="9">
        <v>0.0</v>
      </c>
      <c r="Z562" s="9">
        <v>0.0</v>
      </c>
      <c r="AA562" s="9">
        <v>0.0</v>
      </c>
      <c r="AB562" s="9">
        <v>0.0</v>
      </c>
      <c r="AC562" s="9">
        <v>0.0</v>
      </c>
      <c r="AD562" s="9"/>
      <c r="AE562" s="9" t="s">
        <v>9</v>
      </c>
    </row>
    <row r="563">
      <c r="A563" s="7" t="s">
        <v>1503</v>
      </c>
      <c r="B563" s="7" t="s">
        <v>1504</v>
      </c>
      <c r="C563" s="8">
        <v>46161.0</v>
      </c>
      <c r="D563" s="8">
        <v>46161.0</v>
      </c>
      <c r="E563" s="7" t="s">
        <v>404</v>
      </c>
      <c r="F563" s="7" t="s">
        <v>474</v>
      </c>
      <c r="G563" s="7" t="s">
        <v>355</v>
      </c>
      <c r="H563" s="9">
        <v>0.0</v>
      </c>
      <c r="I563" s="9">
        <v>0.0</v>
      </c>
      <c r="J563" s="9">
        <v>0.0</v>
      </c>
      <c r="K563" s="9">
        <v>0.0</v>
      </c>
      <c r="L563" s="10">
        <v>0.0</v>
      </c>
      <c r="M563" s="9">
        <v>0.0</v>
      </c>
      <c r="N563" s="9">
        <v>392.0</v>
      </c>
      <c r="O563" s="9">
        <v>382.0</v>
      </c>
      <c r="P563" s="9">
        <v>178.0</v>
      </c>
      <c r="Q563" s="9">
        <v>74.0</v>
      </c>
      <c r="R563" s="9">
        <v>0.0</v>
      </c>
      <c r="S563" s="9">
        <v>0.0</v>
      </c>
      <c r="T563" s="9">
        <v>0.0</v>
      </c>
      <c r="U563" s="9">
        <v>0.0</v>
      </c>
      <c r="V563" s="9">
        <v>0.0</v>
      </c>
      <c r="W563" s="9">
        <v>0.0</v>
      </c>
      <c r="X563" s="9">
        <v>0.0</v>
      </c>
      <c r="Y563" s="9">
        <v>0.0</v>
      </c>
      <c r="Z563" s="9">
        <v>0.0</v>
      </c>
      <c r="AA563" s="9">
        <v>0.0</v>
      </c>
      <c r="AB563" s="9">
        <v>0.0</v>
      </c>
      <c r="AC563" s="9">
        <v>0.0</v>
      </c>
      <c r="AD563" s="9"/>
      <c r="AE563" s="9" t="s">
        <v>9</v>
      </c>
    </row>
    <row r="564">
      <c r="A564" s="7" t="s">
        <v>1505</v>
      </c>
      <c r="B564" s="7" t="s">
        <v>1506</v>
      </c>
      <c r="C564" s="8">
        <v>46176.0</v>
      </c>
      <c r="D564" s="8">
        <v>46222.0</v>
      </c>
      <c r="E564" s="7" t="s">
        <v>404</v>
      </c>
      <c r="F564" s="7" t="s">
        <v>405</v>
      </c>
      <c r="G564" s="7" t="s">
        <v>355</v>
      </c>
      <c r="H564" s="9">
        <v>4.8469396E7</v>
      </c>
      <c r="I564" s="9">
        <v>9931202.0</v>
      </c>
      <c r="J564" s="9">
        <v>169159.0</v>
      </c>
      <c r="K564" s="9">
        <v>3653770.0</v>
      </c>
      <c r="L564" s="10">
        <v>3.455964661158201</v>
      </c>
      <c r="M564" s="9">
        <v>13.265584861663433</v>
      </c>
      <c r="N564" s="9">
        <v>112431.0</v>
      </c>
      <c r="O564" s="9">
        <v>111274.0</v>
      </c>
      <c r="P564" s="9">
        <v>38066.0</v>
      </c>
      <c r="Q564" s="9">
        <v>950.0</v>
      </c>
      <c r="R564" s="9">
        <v>0.0</v>
      </c>
      <c r="S564" s="9">
        <v>0.0</v>
      </c>
      <c r="T564" s="9">
        <v>0.0</v>
      </c>
      <c r="U564" s="9">
        <v>0.0</v>
      </c>
      <c r="V564" s="9">
        <v>0.0</v>
      </c>
      <c r="W564" s="9">
        <v>0.0</v>
      </c>
      <c r="X564" s="9">
        <v>0.0</v>
      </c>
      <c r="Y564" s="9">
        <v>0.0</v>
      </c>
      <c r="Z564" s="9">
        <v>0.0</v>
      </c>
      <c r="AA564" s="9">
        <v>0.0</v>
      </c>
      <c r="AB564" s="9">
        <v>0.0</v>
      </c>
      <c r="AC564" s="9">
        <v>0.0</v>
      </c>
      <c r="AD564" s="11" t="s">
        <v>194</v>
      </c>
      <c r="AE564" s="9" t="s">
        <v>9</v>
      </c>
    </row>
    <row r="565">
      <c r="A565" s="7" t="s">
        <v>1507</v>
      </c>
      <c r="B565" s="7" t="s">
        <v>1508</v>
      </c>
      <c r="C565" s="8">
        <v>46184.0</v>
      </c>
      <c r="D565" s="8">
        <v>46220.0</v>
      </c>
      <c r="E565" s="7" t="s">
        <v>404</v>
      </c>
      <c r="F565" s="7" t="s">
        <v>405</v>
      </c>
      <c r="G565" s="7" t="s">
        <v>355</v>
      </c>
      <c r="H565" s="9">
        <v>8833222.0</v>
      </c>
      <c r="I565" s="9">
        <v>1162315.0</v>
      </c>
      <c r="J565" s="9">
        <v>56940.0</v>
      </c>
      <c r="K565" s="9">
        <v>313331.0</v>
      </c>
      <c r="L565" s="10">
        <v>2.3551196657847453</v>
      </c>
      <c r="M565" s="9">
        <v>28.191343978093453</v>
      </c>
      <c r="N565" s="9">
        <v>1640707.0</v>
      </c>
      <c r="O565" s="9">
        <v>1599875.0</v>
      </c>
      <c r="P565" s="9">
        <v>556444.0</v>
      </c>
      <c r="Q565" s="9">
        <v>5494.0</v>
      </c>
      <c r="R565" s="9">
        <v>0.0</v>
      </c>
      <c r="S565" s="9">
        <v>0.0</v>
      </c>
      <c r="T565" s="9">
        <v>0.0</v>
      </c>
      <c r="U565" s="9">
        <v>0.0</v>
      </c>
      <c r="V565" s="9">
        <v>0.0</v>
      </c>
      <c r="W565" s="9">
        <v>0.0</v>
      </c>
      <c r="X565" s="9">
        <v>0.0</v>
      </c>
      <c r="Y565" s="9">
        <v>0.0</v>
      </c>
      <c r="Z565" s="9">
        <v>0.0</v>
      </c>
      <c r="AA565" s="9">
        <v>0.0</v>
      </c>
      <c r="AB565" s="9">
        <v>0.0</v>
      </c>
      <c r="AC565" s="9">
        <v>0.0</v>
      </c>
      <c r="AD565" s="11" t="s">
        <v>195</v>
      </c>
      <c r="AE565" s="9"/>
    </row>
    <row r="566">
      <c r="A566" s="7" t="s">
        <v>1509</v>
      </c>
      <c r="B566" s="7" t="s">
        <v>1510</v>
      </c>
      <c r="C566" s="8">
        <v>46157.0</v>
      </c>
      <c r="D566" s="8">
        <v>46171.0</v>
      </c>
      <c r="E566" s="7" t="s">
        <v>353</v>
      </c>
      <c r="F566" s="7" t="s">
        <v>725</v>
      </c>
      <c r="G566" s="7" t="s">
        <v>355</v>
      </c>
      <c r="H566" s="9">
        <v>2696663.0</v>
      </c>
      <c r="I566" s="9">
        <v>0.0</v>
      </c>
      <c r="J566" s="9">
        <v>6058.0</v>
      </c>
      <c r="K566" s="9">
        <v>218082.0</v>
      </c>
      <c r="L566" s="10">
        <v>1.5176905934465017</v>
      </c>
      <c r="M566" s="9">
        <v>12.36536257004246</v>
      </c>
      <c r="N566" s="9">
        <v>384358.0</v>
      </c>
      <c r="O566" s="9">
        <v>381912.0</v>
      </c>
      <c r="P566" s="9">
        <v>175663.0</v>
      </c>
      <c r="Q566" s="9">
        <v>7382.0</v>
      </c>
      <c r="R566" s="9">
        <v>0.0</v>
      </c>
      <c r="S566" s="9">
        <v>0.0</v>
      </c>
      <c r="T566" s="9">
        <v>0.0</v>
      </c>
      <c r="U566" s="9">
        <v>0.0</v>
      </c>
      <c r="V566" s="9">
        <v>0.0</v>
      </c>
      <c r="W566" s="9">
        <v>0.0</v>
      </c>
      <c r="X566" s="9">
        <v>0.0</v>
      </c>
      <c r="Y566" s="9">
        <v>0.0</v>
      </c>
      <c r="Z566" s="9">
        <v>0.0</v>
      </c>
      <c r="AA566" s="9">
        <v>0.0</v>
      </c>
      <c r="AB566" s="9">
        <v>0.0</v>
      </c>
      <c r="AC566" s="9">
        <v>0.0</v>
      </c>
      <c r="AD566" s="11" t="s">
        <v>196</v>
      </c>
      <c r="AE566" s="9" t="s">
        <v>9</v>
      </c>
    </row>
    <row r="567">
      <c r="A567" s="7" t="s">
        <v>1511</v>
      </c>
      <c r="B567" s="7" t="s">
        <v>1512</v>
      </c>
      <c r="C567" s="8">
        <v>46177.0</v>
      </c>
      <c r="D567" s="8">
        <v>46191.0</v>
      </c>
      <c r="E567" s="7" t="s">
        <v>353</v>
      </c>
      <c r="F567" s="7" t="s">
        <v>354</v>
      </c>
      <c r="G567" s="7" t="s">
        <v>355</v>
      </c>
      <c r="H567" s="9">
        <v>3694725.0</v>
      </c>
      <c r="I567" s="9">
        <v>0.0</v>
      </c>
      <c r="J567" s="9">
        <v>26054.0</v>
      </c>
      <c r="K567" s="9">
        <v>209286.0</v>
      </c>
      <c r="L567" s="10">
        <v>1.5179515113289948</v>
      </c>
      <c r="M567" s="9">
        <v>17.653952008256645</v>
      </c>
      <c r="N567" s="9">
        <v>219278.0</v>
      </c>
      <c r="O567" s="9">
        <v>215595.0</v>
      </c>
      <c r="P567" s="9">
        <v>64804.0</v>
      </c>
      <c r="Q567" s="9">
        <v>2184.0</v>
      </c>
      <c r="R567" s="9">
        <v>0.0</v>
      </c>
      <c r="S567" s="9">
        <v>0.0</v>
      </c>
      <c r="T567" s="9">
        <v>0.0</v>
      </c>
      <c r="U567" s="9">
        <v>0.0</v>
      </c>
      <c r="V567" s="9">
        <v>0.0</v>
      </c>
      <c r="W567" s="9">
        <v>0.0</v>
      </c>
      <c r="X567" s="9">
        <v>0.0</v>
      </c>
      <c r="Y567" s="9">
        <v>0.0</v>
      </c>
      <c r="Z567" s="9">
        <v>0.0</v>
      </c>
      <c r="AA567" s="9">
        <v>0.0</v>
      </c>
      <c r="AB567" s="9">
        <v>0.0</v>
      </c>
      <c r="AC567" s="9">
        <v>0.0</v>
      </c>
      <c r="AD567" s="11" t="s">
        <v>197</v>
      </c>
      <c r="AE567" s="9" t="s">
        <v>9</v>
      </c>
    </row>
    <row r="568">
      <c r="A568" s="7" t="s">
        <v>1513</v>
      </c>
      <c r="B568" s="7" t="s">
        <v>1514</v>
      </c>
      <c r="C568" s="8">
        <v>46157.0</v>
      </c>
      <c r="D568" s="8">
        <v>46157.0</v>
      </c>
      <c r="E568" s="7" t="s">
        <v>358</v>
      </c>
      <c r="F568" s="7" t="s">
        <v>387</v>
      </c>
      <c r="G568" s="7" t="s">
        <v>355</v>
      </c>
      <c r="H568" s="9">
        <v>0.0</v>
      </c>
      <c r="I568" s="9">
        <v>0.0</v>
      </c>
      <c r="J568" s="9">
        <v>0.0</v>
      </c>
      <c r="K568" s="9">
        <v>0.0</v>
      </c>
      <c r="L568" s="10">
        <v>0.0</v>
      </c>
      <c r="M568" s="9">
        <v>0.0</v>
      </c>
      <c r="N568" s="9">
        <v>32499.0</v>
      </c>
      <c r="O568" s="9">
        <v>32109.0</v>
      </c>
      <c r="P568" s="9">
        <v>10683.0</v>
      </c>
      <c r="Q568" s="9">
        <v>364.0</v>
      </c>
      <c r="R568" s="9">
        <v>0.0</v>
      </c>
      <c r="S568" s="9">
        <v>0.0</v>
      </c>
      <c r="T568" s="9">
        <v>0.0</v>
      </c>
      <c r="U568" s="9">
        <v>0.0</v>
      </c>
      <c r="V568" s="9">
        <v>0.0</v>
      </c>
      <c r="W568" s="9">
        <v>0.0</v>
      </c>
      <c r="X568" s="9">
        <v>0.0</v>
      </c>
      <c r="Y568" s="9">
        <v>0.0</v>
      </c>
      <c r="Z568" s="9">
        <v>0.0</v>
      </c>
      <c r="AA568" s="9">
        <v>0.0</v>
      </c>
      <c r="AB568" s="9">
        <v>0.0</v>
      </c>
      <c r="AC568" s="9">
        <v>0.0</v>
      </c>
      <c r="AD568" s="9"/>
      <c r="AE568" s="9" t="s">
        <v>9</v>
      </c>
    </row>
    <row r="569">
      <c r="A569" s="7" t="s">
        <v>1515</v>
      </c>
      <c r="B569" s="7" t="s">
        <v>1516</v>
      </c>
      <c r="C569" s="8">
        <v>46157.0</v>
      </c>
      <c r="D569" s="8">
        <v>46157.0</v>
      </c>
      <c r="E569" s="7" t="s">
        <v>358</v>
      </c>
      <c r="F569" s="7" t="s">
        <v>387</v>
      </c>
      <c r="G569" s="7" t="s">
        <v>355</v>
      </c>
      <c r="H569" s="9">
        <v>0.0</v>
      </c>
      <c r="I569" s="9">
        <v>0.0</v>
      </c>
      <c r="J569" s="9">
        <v>0.0</v>
      </c>
      <c r="K569" s="9">
        <v>0.0</v>
      </c>
      <c r="L569" s="10">
        <v>0.0</v>
      </c>
      <c r="M569" s="9">
        <v>0.0</v>
      </c>
      <c r="N569" s="9">
        <v>16795.0</v>
      </c>
      <c r="O569" s="9">
        <v>16613.0</v>
      </c>
      <c r="P569" s="9">
        <v>5391.0</v>
      </c>
      <c r="Q569" s="9">
        <v>242.0</v>
      </c>
      <c r="R569" s="9">
        <v>0.0</v>
      </c>
      <c r="S569" s="9">
        <v>0.0</v>
      </c>
      <c r="T569" s="9">
        <v>0.0</v>
      </c>
      <c r="U569" s="9">
        <v>0.0</v>
      </c>
      <c r="V569" s="9">
        <v>0.0</v>
      </c>
      <c r="W569" s="9">
        <v>0.0</v>
      </c>
      <c r="X569" s="9">
        <v>0.0</v>
      </c>
      <c r="Y569" s="9">
        <v>0.0</v>
      </c>
      <c r="Z569" s="9">
        <v>0.0</v>
      </c>
      <c r="AA569" s="9">
        <v>0.0</v>
      </c>
      <c r="AB569" s="9">
        <v>0.0</v>
      </c>
      <c r="AC569" s="9">
        <v>0.0</v>
      </c>
      <c r="AD569" s="9"/>
      <c r="AE569" s="9" t="s">
        <v>9</v>
      </c>
    </row>
    <row r="570">
      <c r="A570" s="7" t="s">
        <v>1517</v>
      </c>
      <c r="B570" s="7" t="s">
        <v>1518</v>
      </c>
      <c r="C570" s="8">
        <v>46162.0</v>
      </c>
      <c r="D570" s="8">
        <v>46162.0</v>
      </c>
      <c r="E570" s="7" t="s">
        <v>358</v>
      </c>
      <c r="F570" s="7" t="s">
        <v>387</v>
      </c>
      <c r="G570" s="7" t="s">
        <v>355</v>
      </c>
      <c r="H570" s="9">
        <v>0.0</v>
      </c>
      <c r="I570" s="9">
        <v>0.0</v>
      </c>
      <c r="J570" s="9">
        <v>0.0</v>
      </c>
      <c r="K570" s="9">
        <v>0.0</v>
      </c>
      <c r="L570" s="10">
        <v>0.0</v>
      </c>
      <c r="M570" s="9">
        <v>0.0</v>
      </c>
      <c r="N570" s="9">
        <v>9629.0</v>
      </c>
      <c r="O570" s="9">
        <v>9445.0</v>
      </c>
      <c r="P570" s="9">
        <v>2129.0</v>
      </c>
      <c r="Q570" s="9">
        <v>63.0</v>
      </c>
      <c r="R570" s="9">
        <v>0.0</v>
      </c>
      <c r="S570" s="9">
        <v>0.0</v>
      </c>
      <c r="T570" s="9">
        <v>0.0</v>
      </c>
      <c r="U570" s="9">
        <v>0.0</v>
      </c>
      <c r="V570" s="9">
        <v>0.0</v>
      </c>
      <c r="W570" s="9">
        <v>0.0</v>
      </c>
      <c r="X570" s="9">
        <v>0.0</v>
      </c>
      <c r="Y570" s="9">
        <v>0.0</v>
      </c>
      <c r="Z570" s="9">
        <v>0.0</v>
      </c>
      <c r="AA570" s="9">
        <v>0.0</v>
      </c>
      <c r="AB570" s="9">
        <v>0.0</v>
      </c>
      <c r="AC570" s="9">
        <v>0.0</v>
      </c>
      <c r="AD570" s="9"/>
      <c r="AE570" s="9" t="s">
        <v>9</v>
      </c>
    </row>
    <row r="571">
      <c r="A571" s="7" t="s">
        <v>1519</v>
      </c>
      <c r="B571" s="7" t="s">
        <v>1520</v>
      </c>
      <c r="C571" s="8">
        <v>46162.0</v>
      </c>
      <c r="D571" s="8">
        <v>46162.0</v>
      </c>
      <c r="E571" s="7" t="s">
        <v>358</v>
      </c>
      <c r="F571" s="7" t="s">
        <v>387</v>
      </c>
      <c r="G571" s="7" t="s">
        <v>355</v>
      </c>
      <c r="H571" s="9">
        <v>0.0</v>
      </c>
      <c r="I571" s="9">
        <v>0.0</v>
      </c>
      <c r="J571" s="9">
        <v>0.0</v>
      </c>
      <c r="K571" s="9">
        <v>0.0</v>
      </c>
      <c r="L571" s="10">
        <v>0.0</v>
      </c>
      <c r="M571" s="9">
        <v>0.0</v>
      </c>
      <c r="N571" s="9">
        <v>15808.0</v>
      </c>
      <c r="O571" s="9">
        <v>15627.0</v>
      </c>
      <c r="P571" s="9">
        <v>5301.0</v>
      </c>
      <c r="Q571" s="9">
        <v>322.0</v>
      </c>
      <c r="R571" s="9">
        <v>0.0</v>
      </c>
      <c r="S571" s="9">
        <v>0.0</v>
      </c>
      <c r="T571" s="9">
        <v>0.0</v>
      </c>
      <c r="U571" s="9">
        <v>0.0</v>
      </c>
      <c r="V571" s="9">
        <v>0.0</v>
      </c>
      <c r="W571" s="9">
        <v>0.0</v>
      </c>
      <c r="X571" s="9">
        <v>0.0</v>
      </c>
      <c r="Y571" s="9">
        <v>0.0</v>
      </c>
      <c r="Z571" s="9">
        <v>0.0</v>
      </c>
      <c r="AA571" s="9">
        <v>0.0</v>
      </c>
      <c r="AB571" s="9">
        <v>0.0</v>
      </c>
      <c r="AC571" s="9">
        <v>0.0</v>
      </c>
      <c r="AD571" s="9"/>
      <c r="AE571" s="9" t="s">
        <v>9</v>
      </c>
    </row>
    <row r="572">
      <c r="A572" s="7" t="s">
        <v>1521</v>
      </c>
      <c r="B572" s="7" t="s">
        <v>1522</v>
      </c>
      <c r="C572" s="8">
        <v>46160.0</v>
      </c>
      <c r="D572" s="8">
        <v>46160.0</v>
      </c>
      <c r="E572" s="7" t="s">
        <v>358</v>
      </c>
      <c r="F572" s="7" t="s">
        <v>387</v>
      </c>
      <c r="G572" s="7" t="s">
        <v>355</v>
      </c>
      <c r="H572" s="9">
        <v>0.0</v>
      </c>
      <c r="I572" s="9">
        <v>0.0</v>
      </c>
      <c r="J572" s="9">
        <v>0.0</v>
      </c>
      <c r="K572" s="9">
        <v>0.0</v>
      </c>
      <c r="L572" s="10">
        <v>0.0</v>
      </c>
      <c r="M572" s="9">
        <v>0.0</v>
      </c>
      <c r="N572" s="9">
        <v>20723.0</v>
      </c>
      <c r="O572" s="9">
        <v>20473.0</v>
      </c>
      <c r="P572" s="9">
        <v>6662.0</v>
      </c>
      <c r="Q572" s="9">
        <v>360.0</v>
      </c>
      <c r="R572" s="9">
        <v>0.0</v>
      </c>
      <c r="S572" s="9">
        <v>0.0</v>
      </c>
      <c r="T572" s="9">
        <v>0.0</v>
      </c>
      <c r="U572" s="9">
        <v>0.0</v>
      </c>
      <c r="V572" s="9">
        <v>0.0</v>
      </c>
      <c r="W572" s="9">
        <v>0.0</v>
      </c>
      <c r="X572" s="9">
        <v>0.0</v>
      </c>
      <c r="Y572" s="9">
        <v>0.0</v>
      </c>
      <c r="Z572" s="9">
        <v>0.0</v>
      </c>
      <c r="AA572" s="9">
        <v>0.0</v>
      </c>
      <c r="AB572" s="9">
        <v>0.0</v>
      </c>
      <c r="AC572" s="9">
        <v>0.0</v>
      </c>
      <c r="AD572" s="9"/>
      <c r="AE572" s="9" t="s">
        <v>9</v>
      </c>
    </row>
    <row r="573">
      <c r="A573" s="7" t="s">
        <v>1523</v>
      </c>
      <c r="B573" s="7" t="s">
        <v>1524</v>
      </c>
      <c r="C573" s="8">
        <v>46162.0</v>
      </c>
      <c r="D573" s="8">
        <v>46218.0</v>
      </c>
      <c r="E573" s="7" t="s">
        <v>364</v>
      </c>
      <c r="F573" s="7" t="s">
        <v>365</v>
      </c>
      <c r="G573" s="7" t="s">
        <v>355</v>
      </c>
      <c r="H573" s="9">
        <v>3.4442214E7</v>
      </c>
      <c r="I573" s="9">
        <v>1.2431004E7</v>
      </c>
      <c r="J573" s="9">
        <v>29060.0</v>
      </c>
      <c r="K573" s="9">
        <v>1910847.0</v>
      </c>
      <c r="L573" s="10">
        <v>4.649639662411485</v>
      </c>
      <c r="M573" s="9">
        <v>18.024579675923817</v>
      </c>
      <c r="N573" s="9">
        <v>0.0</v>
      </c>
      <c r="O573" s="9">
        <v>0.0</v>
      </c>
      <c r="P573" s="9">
        <v>0.0</v>
      </c>
      <c r="Q573" s="9">
        <v>0.0</v>
      </c>
      <c r="R573" s="9">
        <v>0.0</v>
      </c>
      <c r="S573" s="9">
        <v>0.0</v>
      </c>
      <c r="T573" s="9">
        <v>0.0</v>
      </c>
      <c r="U573" s="9">
        <v>0.0</v>
      </c>
      <c r="V573" s="9">
        <v>0.0</v>
      </c>
      <c r="W573" s="9">
        <v>0.0</v>
      </c>
      <c r="X573" s="9">
        <v>0.0</v>
      </c>
      <c r="Y573" s="9">
        <v>0.0</v>
      </c>
      <c r="Z573" s="9">
        <v>0.0</v>
      </c>
      <c r="AA573" s="9">
        <v>0.0</v>
      </c>
      <c r="AB573" s="9">
        <v>0.0</v>
      </c>
      <c r="AC573" s="9">
        <v>0.0</v>
      </c>
      <c r="AD573" s="11" t="s">
        <v>198</v>
      </c>
      <c r="AE573" s="9"/>
    </row>
    <row r="574">
      <c r="A574" s="7" t="s">
        <v>1525</v>
      </c>
      <c r="B574" s="7" t="s">
        <v>1526</v>
      </c>
      <c r="C574" s="8">
        <v>46154.0</v>
      </c>
      <c r="D574" s="8">
        <v>46168.0</v>
      </c>
      <c r="E574" s="7" t="s">
        <v>503</v>
      </c>
      <c r="F574" s="7" t="s">
        <v>688</v>
      </c>
      <c r="G574" s="7" t="s">
        <v>355</v>
      </c>
      <c r="H574" s="9">
        <v>1991889.0</v>
      </c>
      <c r="I574" s="9">
        <v>504200.0</v>
      </c>
      <c r="J574" s="9">
        <v>1855.0</v>
      </c>
      <c r="K574" s="9">
        <v>220397.0</v>
      </c>
      <c r="L574" s="10">
        <v>2.153545647173056</v>
      </c>
      <c r="M574" s="9">
        <v>9.03773191105142</v>
      </c>
      <c r="N574" s="9">
        <v>0.0</v>
      </c>
      <c r="O574" s="9">
        <v>0.0</v>
      </c>
      <c r="P574" s="9">
        <v>0.0</v>
      </c>
      <c r="Q574" s="9">
        <v>0.0</v>
      </c>
      <c r="R574" s="9">
        <v>0.0</v>
      </c>
      <c r="S574" s="9">
        <v>0.0</v>
      </c>
      <c r="T574" s="9">
        <v>0.0</v>
      </c>
      <c r="U574" s="9">
        <v>0.0</v>
      </c>
      <c r="V574" s="9">
        <v>0.0</v>
      </c>
      <c r="W574" s="9">
        <v>0.0</v>
      </c>
      <c r="X574" s="9">
        <v>0.0</v>
      </c>
      <c r="Y574" s="9">
        <v>0.0</v>
      </c>
      <c r="Z574" s="9">
        <v>0.0</v>
      </c>
      <c r="AA574" s="9">
        <v>0.0</v>
      </c>
      <c r="AB574" s="9">
        <v>0.0</v>
      </c>
      <c r="AC574" s="9">
        <v>0.0</v>
      </c>
      <c r="AD574" s="11" t="s">
        <v>199</v>
      </c>
      <c r="AE574" s="9"/>
    </row>
    <row r="575">
      <c r="A575" s="7" t="s">
        <v>1527</v>
      </c>
      <c r="B575" s="7" t="s">
        <v>1528</v>
      </c>
      <c r="C575" s="8">
        <v>46168.0</v>
      </c>
      <c r="D575" s="8">
        <v>46171.0</v>
      </c>
      <c r="E575" s="7" t="s">
        <v>416</v>
      </c>
      <c r="F575" s="7" t="s">
        <v>430</v>
      </c>
      <c r="G575" s="7" t="s">
        <v>355</v>
      </c>
      <c r="H575" s="9">
        <v>0.0</v>
      </c>
      <c r="I575" s="9">
        <v>0.0</v>
      </c>
      <c r="J575" s="9">
        <v>0.0</v>
      </c>
      <c r="K575" s="9">
        <v>0.0</v>
      </c>
      <c r="L575" s="10">
        <v>0.0</v>
      </c>
      <c r="M575" s="9">
        <v>0.0</v>
      </c>
      <c r="N575" s="9">
        <v>13364.0</v>
      </c>
      <c r="O575" s="9">
        <v>13124.0</v>
      </c>
      <c r="P575" s="9">
        <v>2747.0</v>
      </c>
      <c r="Q575" s="9">
        <v>510.0</v>
      </c>
      <c r="R575" s="9">
        <v>0.0</v>
      </c>
      <c r="S575" s="9">
        <v>0.0</v>
      </c>
      <c r="T575" s="9">
        <v>0.0</v>
      </c>
      <c r="U575" s="9">
        <v>0.0</v>
      </c>
      <c r="V575" s="9">
        <v>0.0</v>
      </c>
      <c r="W575" s="9">
        <v>0.0</v>
      </c>
      <c r="X575" s="9">
        <v>0.0</v>
      </c>
      <c r="Y575" s="9">
        <v>0.0</v>
      </c>
      <c r="Z575" s="9">
        <v>0.0</v>
      </c>
      <c r="AA575" s="9">
        <v>0.0</v>
      </c>
      <c r="AB575" s="9">
        <v>0.0</v>
      </c>
      <c r="AC575" s="9">
        <v>0.0</v>
      </c>
      <c r="AD575" s="9"/>
      <c r="AE575" s="9" t="s">
        <v>9</v>
      </c>
    </row>
    <row r="576">
      <c r="A576" s="7" t="s">
        <v>1529</v>
      </c>
      <c r="B576" s="7" t="s">
        <v>1530</v>
      </c>
      <c r="C576" s="8">
        <v>46169.0</v>
      </c>
      <c r="D576" s="8">
        <v>46179.0</v>
      </c>
      <c r="E576" s="7" t="s">
        <v>364</v>
      </c>
      <c r="F576" s="7" t="s">
        <v>365</v>
      </c>
      <c r="G576" s="7" t="s">
        <v>355</v>
      </c>
      <c r="H576" s="9">
        <v>87186.0</v>
      </c>
      <c r="I576" s="9">
        <v>0.0</v>
      </c>
      <c r="J576" s="9">
        <v>1238.0</v>
      </c>
      <c r="K576" s="9">
        <v>42193.0</v>
      </c>
      <c r="L576" s="10">
        <v>2.066361718768516</v>
      </c>
      <c r="M576" s="9">
        <v>2.066361718768516</v>
      </c>
      <c r="N576" s="9">
        <v>99151.0</v>
      </c>
      <c r="O576" s="9">
        <v>98289.0</v>
      </c>
      <c r="P576" s="9">
        <v>38873.0</v>
      </c>
      <c r="Q576" s="9">
        <v>901.0</v>
      </c>
      <c r="R576" s="9">
        <v>0.0</v>
      </c>
      <c r="S576" s="9">
        <v>0.0</v>
      </c>
      <c r="T576" s="9">
        <v>0.0</v>
      </c>
      <c r="U576" s="9">
        <v>0.0</v>
      </c>
      <c r="V576" s="9">
        <v>0.0</v>
      </c>
      <c r="W576" s="9">
        <v>0.0</v>
      </c>
      <c r="X576" s="9">
        <v>0.0</v>
      </c>
      <c r="Y576" s="9">
        <v>0.0</v>
      </c>
      <c r="Z576" s="9">
        <v>0.0</v>
      </c>
      <c r="AA576" s="9">
        <v>0.0</v>
      </c>
      <c r="AB576" s="9">
        <v>0.0</v>
      </c>
      <c r="AC576" s="9">
        <v>0.0</v>
      </c>
      <c r="AD576" s="11" t="s">
        <v>200</v>
      </c>
      <c r="AE576" s="9" t="s">
        <v>9</v>
      </c>
    </row>
    <row r="577">
      <c r="A577" s="7" t="s">
        <v>1531</v>
      </c>
      <c r="B577" s="7" t="s">
        <v>1532</v>
      </c>
      <c r="C577" s="8">
        <v>46156.0</v>
      </c>
      <c r="D577" s="8">
        <v>46159.0</v>
      </c>
      <c r="E577" s="7" t="s">
        <v>404</v>
      </c>
      <c r="F577" s="7" t="s">
        <v>405</v>
      </c>
      <c r="G577" s="7" t="s">
        <v>355</v>
      </c>
      <c r="H577" s="9">
        <v>677263.0</v>
      </c>
      <c r="I577" s="9">
        <v>0.0</v>
      </c>
      <c r="J577" s="9">
        <v>24964.0</v>
      </c>
      <c r="K577" s="9">
        <v>38945.0</v>
      </c>
      <c r="L577" s="10">
        <v>4.4038002310951345</v>
      </c>
      <c r="M577" s="9">
        <v>17.390242649890872</v>
      </c>
      <c r="N577" s="9">
        <v>113388.0</v>
      </c>
      <c r="O577" s="9">
        <v>112052.0</v>
      </c>
      <c r="P577" s="9">
        <v>43563.0</v>
      </c>
      <c r="Q577" s="9">
        <v>2546.0</v>
      </c>
      <c r="R577" s="9">
        <v>0.0</v>
      </c>
      <c r="S577" s="9">
        <v>0.0</v>
      </c>
      <c r="T577" s="9">
        <v>0.0</v>
      </c>
      <c r="U577" s="9">
        <v>0.0</v>
      </c>
      <c r="V577" s="9">
        <v>0.0</v>
      </c>
      <c r="W577" s="9">
        <v>0.0</v>
      </c>
      <c r="X577" s="9">
        <v>0.0</v>
      </c>
      <c r="Y577" s="9">
        <v>0.0</v>
      </c>
      <c r="Z577" s="9">
        <v>0.0</v>
      </c>
      <c r="AA577" s="9">
        <v>0.0</v>
      </c>
      <c r="AB577" s="9">
        <v>0.0</v>
      </c>
      <c r="AC577" s="9">
        <v>0.0</v>
      </c>
      <c r="AD577" s="11" t="s">
        <v>201</v>
      </c>
      <c r="AE577" s="9" t="s">
        <v>9</v>
      </c>
    </row>
    <row r="578">
      <c r="A578" s="7" t="s">
        <v>1533</v>
      </c>
      <c r="B578" s="7" t="s">
        <v>1534</v>
      </c>
      <c r="C578" s="8">
        <v>46157.0</v>
      </c>
      <c r="D578" s="8">
        <v>46171.0</v>
      </c>
      <c r="E578" s="7" t="s">
        <v>358</v>
      </c>
      <c r="F578" s="7" t="s">
        <v>466</v>
      </c>
      <c r="G578" s="7" t="s">
        <v>355</v>
      </c>
      <c r="H578" s="9">
        <v>4109332.0</v>
      </c>
      <c r="I578" s="9">
        <v>2456507.0</v>
      </c>
      <c r="J578" s="9">
        <v>3175.0</v>
      </c>
      <c r="K578" s="9">
        <v>398144.0</v>
      </c>
      <c r="L578" s="10">
        <v>1.7784670872850024</v>
      </c>
      <c r="M578" s="9">
        <v>10.321220462948078</v>
      </c>
      <c r="N578" s="9">
        <v>208197.0</v>
      </c>
      <c r="O578" s="9">
        <v>207588.0</v>
      </c>
      <c r="P578" s="9">
        <v>73121.0</v>
      </c>
      <c r="Q578" s="9">
        <v>410.0</v>
      </c>
      <c r="R578" s="9">
        <v>0.0</v>
      </c>
      <c r="S578" s="9">
        <v>0.0</v>
      </c>
      <c r="T578" s="9">
        <v>0.0</v>
      </c>
      <c r="U578" s="9">
        <v>0.0</v>
      </c>
      <c r="V578" s="9">
        <v>0.0</v>
      </c>
      <c r="W578" s="9">
        <v>0.0</v>
      </c>
      <c r="X578" s="9">
        <v>0.0</v>
      </c>
      <c r="Y578" s="9">
        <v>0.0</v>
      </c>
      <c r="Z578" s="9">
        <v>0.0</v>
      </c>
      <c r="AA578" s="9">
        <v>0.0</v>
      </c>
      <c r="AB578" s="9">
        <v>0.0</v>
      </c>
      <c r="AC578" s="9">
        <v>0.0</v>
      </c>
      <c r="AD578" s="11" t="s">
        <v>202</v>
      </c>
      <c r="AE578" s="9" t="s">
        <v>9</v>
      </c>
    </row>
    <row r="579">
      <c r="A579" s="7" t="s">
        <v>1535</v>
      </c>
      <c r="B579" s="7" t="s">
        <v>1536</v>
      </c>
      <c r="C579" s="8">
        <v>46157.0</v>
      </c>
      <c r="D579" s="8">
        <v>46192.0</v>
      </c>
      <c r="E579" s="7" t="s">
        <v>404</v>
      </c>
      <c r="F579" s="7" t="s">
        <v>474</v>
      </c>
      <c r="G579" s="7" t="s">
        <v>355</v>
      </c>
      <c r="H579" s="9">
        <v>0.0</v>
      </c>
      <c r="I579" s="9">
        <v>0.0</v>
      </c>
      <c r="J579" s="9">
        <v>0.0</v>
      </c>
      <c r="K579" s="9">
        <v>0.0</v>
      </c>
      <c r="L579" s="10">
        <v>0.0</v>
      </c>
      <c r="M579" s="9">
        <v>0.0</v>
      </c>
      <c r="N579" s="9">
        <v>661.0</v>
      </c>
      <c r="O579" s="9">
        <v>645.0</v>
      </c>
      <c r="P579" s="9">
        <v>259.0</v>
      </c>
      <c r="Q579" s="9">
        <v>21.0</v>
      </c>
      <c r="R579" s="9">
        <v>0.0</v>
      </c>
      <c r="S579" s="9">
        <v>0.0</v>
      </c>
      <c r="T579" s="9">
        <v>0.0</v>
      </c>
      <c r="U579" s="9">
        <v>0.0</v>
      </c>
      <c r="V579" s="9">
        <v>0.0</v>
      </c>
      <c r="W579" s="9">
        <v>0.0</v>
      </c>
      <c r="X579" s="9">
        <v>0.0</v>
      </c>
      <c r="Y579" s="9">
        <v>0.0</v>
      </c>
      <c r="Z579" s="9">
        <v>0.0</v>
      </c>
      <c r="AA579" s="9">
        <v>0.0</v>
      </c>
      <c r="AB579" s="9">
        <v>0.0</v>
      </c>
      <c r="AC579" s="9">
        <v>0.0</v>
      </c>
      <c r="AD579" s="9"/>
      <c r="AE579" s="9" t="s">
        <v>9</v>
      </c>
    </row>
    <row r="580">
      <c r="A580" s="7" t="s">
        <v>1537</v>
      </c>
      <c r="B580" s="7" t="s">
        <v>1538</v>
      </c>
      <c r="C580" s="8">
        <v>46157.0</v>
      </c>
      <c r="D580" s="8">
        <v>46186.0</v>
      </c>
      <c r="E580" s="7" t="s">
        <v>416</v>
      </c>
      <c r="F580" s="7" t="s">
        <v>417</v>
      </c>
      <c r="G580" s="7" t="s">
        <v>355</v>
      </c>
      <c r="H580" s="9">
        <v>4417753.0</v>
      </c>
      <c r="I580" s="9">
        <v>1540950.0</v>
      </c>
      <c r="J580" s="9">
        <v>39627.0</v>
      </c>
      <c r="K580" s="9">
        <v>81450.0</v>
      </c>
      <c r="L580" s="10">
        <v>6.148839779005525</v>
      </c>
      <c r="M580" s="9">
        <v>54.2388336402701</v>
      </c>
      <c r="N580" s="9">
        <v>372500.0</v>
      </c>
      <c r="O580" s="9">
        <v>368241.0</v>
      </c>
      <c r="P580" s="9">
        <v>53890.0</v>
      </c>
      <c r="Q580" s="9">
        <v>1245.0</v>
      </c>
      <c r="R580" s="9">
        <v>11526.0</v>
      </c>
      <c r="S580" s="9">
        <v>11526.0</v>
      </c>
      <c r="T580" s="9">
        <v>3331.0</v>
      </c>
      <c r="U580" s="9">
        <v>2557.0</v>
      </c>
      <c r="V580" s="9">
        <v>60079.0</v>
      </c>
      <c r="W580" s="9">
        <v>60079.0</v>
      </c>
      <c r="X580" s="9">
        <v>56659.0</v>
      </c>
      <c r="Y580" s="9">
        <v>19613.0</v>
      </c>
      <c r="Z580" s="9">
        <v>287.0</v>
      </c>
      <c r="AA580" s="9">
        <v>0.0</v>
      </c>
      <c r="AB580" s="9">
        <v>0.0</v>
      </c>
      <c r="AC580" s="9">
        <v>0.0</v>
      </c>
      <c r="AD580" s="11" t="s">
        <v>203</v>
      </c>
      <c r="AE580" s="9" t="s">
        <v>9</v>
      </c>
    </row>
    <row r="581">
      <c r="A581" s="7" t="s">
        <v>1539</v>
      </c>
      <c r="B581" s="7" t="s">
        <v>1540</v>
      </c>
      <c r="C581" s="8">
        <v>46156.0</v>
      </c>
      <c r="D581" s="8">
        <v>46179.0</v>
      </c>
      <c r="E581" s="7" t="s">
        <v>416</v>
      </c>
      <c r="F581" s="7" t="s">
        <v>417</v>
      </c>
      <c r="G581" s="7" t="s">
        <v>355</v>
      </c>
      <c r="H581" s="9">
        <v>2322536.0</v>
      </c>
      <c r="I581" s="9">
        <v>1098894.0</v>
      </c>
      <c r="J581" s="9">
        <v>3757.0</v>
      </c>
      <c r="K581" s="9">
        <v>10008.0</v>
      </c>
      <c r="L581" s="10">
        <v>30.264288569144686</v>
      </c>
      <c r="M581" s="9">
        <v>232.06794564348522</v>
      </c>
      <c r="N581" s="9">
        <v>0.0</v>
      </c>
      <c r="O581" s="9">
        <v>0.0</v>
      </c>
      <c r="P581" s="9">
        <v>0.0</v>
      </c>
      <c r="Q581" s="9">
        <v>0.0</v>
      </c>
      <c r="R581" s="9">
        <v>0.0</v>
      </c>
      <c r="S581" s="9">
        <v>0.0</v>
      </c>
      <c r="T581" s="9">
        <v>0.0</v>
      </c>
      <c r="U581" s="9">
        <v>0.0</v>
      </c>
      <c r="V581" s="9">
        <v>0.0</v>
      </c>
      <c r="W581" s="9">
        <v>0.0</v>
      </c>
      <c r="X581" s="9">
        <v>0.0</v>
      </c>
      <c r="Y581" s="9">
        <v>0.0</v>
      </c>
      <c r="Z581" s="9">
        <v>0.0</v>
      </c>
      <c r="AA581" s="9">
        <v>0.0</v>
      </c>
      <c r="AB581" s="9">
        <v>0.0</v>
      </c>
      <c r="AC581" s="9">
        <v>0.0</v>
      </c>
      <c r="AD581" s="11" t="s">
        <v>204</v>
      </c>
      <c r="AE581" s="9"/>
    </row>
    <row r="582">
      <c r="A582" s="7" t="s">
        <v>1541</v>
      </c>
      <c r="B582" s="7" t="s">
        <v>1542</v>
      </c>
      <c r="C582" s="8">
        <v>46156.0</v>
      </c>
      <c r="D582" s="8">
        <v>46171.0</v>
      </c>
      <c r="E582" s="7" t="s">
        <v>416</v>
      </c>
      <c r="F582" s="7" t="s">
        <v>378</v>
      </c>
      <c r="G582" s="7" t="s">
        <v>355</v>
      </c>
      <c r="H582" s="9">
        <v>339735.0</v>
      </c>
      <c r="I582" s="9">
        <v>0.0</v>
      </c>
      <c r="J582" s="9">
        <v>479.0</v>
      </c>
      <c r="K582" s="9">
        <v>274952.0</v>
      </c>
      <c r="L582" s="10">
        <v>1.2356156710989554</v>
      </c>
      <c r="M582" s="9">
        <v>1.2356156710989554</v>
      </c>
      <c r="N582" s="9">
        <v>66371.0</v>
      </c>
      <c r="O582" s="9">
        <v>65519.0</v>
      </c>
      <c r="P582" s="9">
        <v>9378.0</v>
      </c>
      <c r="Q582" s="9">
        <v>296.0</v>
      </c>
      <c r="R582" s="9">
        <v>224.0</v>
      </c>
      <c r="S582" s="9">
        <v>224.0</v>
      </c>
      <c r="T582" s="9">
        <v>58.0</v>
      </c>
      <c r="U582" s="9">
        <v>56.0</v>
      </c>
      <c r="V582" s="9">
        <v>0.0</v>
      </c>
      <c r="W582" s="9">
        <v>0.0</v>
      </c>
      <c r="X582" s="9">
        <v>0.0</v>
      </c>
      <c r="Y582" s="9">
        <v>0.0</v>
      </c>
      <c r="Z582" s="9">
        <v>0.0</v>
      </c>
      <c r="AA582" s="9">
        <v>0.0</v>
      </c>
      <c r="AB582" s="9">
        <v>0.0</v>
      </c>
      <c r="AC582" s="9">
        <v>0.0</v>
      </c>
      <c r="AD582" s="9"/>
      <c r="AE582" s="9" t="s">
        <v>9</v>
      </c>
    </row>
    <row r="583">
      <c r="A583" s="7" t="s">
        <v>1543</v>
      </c>
      <c r="B583" s="7" t="s">
        <v>1544</v>
      </c>
      <c r="C583" s="8">
        <v>46156.0</v>
      </c>
      <c r="D583" s="8">
        <v>46163.0</v>
      </c>
      <c r="E583" s="7" t="s">
        <v>416</v>
      </c>
      <c r="F583" s="7" t="s">
        <v>594</v>
      </c>
      <c r="G583" s="7" t="s">
        <v>355</v>
      </c>
      <c r="H583" s="9">
        <v>222274.0</v>
      </c>
      <c r="I583" s="9">
        <v>0.0</v>
      </c>
      <c r="J583" s="9">
        <v>211.0</v>
      </c>
      <c r="K583" s="9">
        <v>162514.0</v>
      </c>
      <c r="L583" s="10">
        <v>1.3677221654749745</v>
      </c>
      <c r="M583" s="9">
        <v>1.3677221654749745</v>
      </c>
      <c r="N583" s="9">
        <v>59646.0</v>
      </c>
      <c r="O583" s="9">
        <v>59058.0</v>
      </c>
      <c r="P583" s="9">
        <v>15259.0</v>
      </c>
      <c r="Q583" s="9">
        <v>317.0</v>
      </c>
      <c r="R583" s="9">
        <v>159.0</v>
      </c>
      <c r="S583" s="9">
        <v>158.0</v>
      </c>
      <c r="T583" s="9">
        <v>38.0</v>
      </c>
      <c r="U583" s="9">
        <v>37.0</v>
      </c>
      <c r="V583" s="9">
        <v>0.0</v>
      </c>
      <c r="W583" s="9">
        <v>0.0</v>
      </c>
      <c r="X583" s="9">
        <v>0.0</v>
      </c>
      <c r="Y583" s="9">
        <v>0.0</v>
      </c>
      <c r="Z583" s="9">
        <v>0.0</v>
      </c>
      <c r="AA583" s="9">
        <v>0.0</v>
      </c>
      <c r="AB583" s="9">
        <v>0.0</v>
      </c>
      <c r="AC583" s="9">
        <v>0.0</v>
      </c>
      <c r="AD583" s="9"/>
      <c r="AE583" s="9" t="s">
        <v>9</v>
      </c>
    </row>
    <row r="584">
      <c r="A584" s="7" t="s">
        <v>1545</v>
      </c>
      <c r="B584" s="7" t="s">
        <v>1546</v>
      </c>
      <c r="C584" s="8">
        <v>46161.0</v>
      </c>
      <c r="D584" s="8">
        <v>46165.0</v>
      </c>
      <c r="E584" s="7" t="s">
        <v>416</v>
      </c>
      <c r="F584" s="7" t="s">
        <v>594</v>
      </c>
      <c r="G584" s="7" t="s">
        <v>355</v>
      </c>
      <c r="H584" s="9">
        <v>53018.0</v>
      </c>
      <c r="I584" s="9">
        <v>0.0</v>
      </c>
      <c r="J584" s="9">
        <v>301.0</v>
      </c>
      <c r="K584" s="9">
        <v>33618.0</v>
      </c>
      <c r="L584" s="10">
        <v>1.5770718067701825</v>
      </c>
      <c r="M584" s="9">
        <v>1.5770718067701825</v>
      </c>
      <c r="N584" s="9">
        <v>44082.0</v>
      </c>
      <c r="O584" s="9">
        <v>43648.0</v>
      </c>
      <c r="P584" s="9">
        <v>9901.0</v>
      </c>
      <c r="Q584" s="9">
        <v>248.0</v>
      </c>
      <c r="R584" s="9">
        <v>109.0</v>
      </c>
      <c r="S584" s="9">
        <v>109.0</v>
      </c>
      <c r="T584" s="9">
        <v>37.0</v>
      </c>
      <c r="U584" s="9">
        <v>37.0</v>
      </c>
      <c r="V584" s="9">
        <v>0.0</v>
      </c>
      <c r="W584" s="9">
        <v>0.0</v>
      </c>
      <c r="X584" s="9">
        <v>0.0</v>
      </c>
      <c r="Y584" s="9">
        <v>0.0</v>
      </c>
      <c r="Z584" s="9">
        <v>0.0</v>
      </c>
      <c r="AA584" s="9">
        <v>0.0</v>
      </c>
      <c r="AB584" s="9">
        <v>0.0</v>
      </c>
      <c r="AC584" s="9">
        <v>0.0</v>
      </c>
      <c r="AD584" s="9"/>
      <c r="AE584" s="9" t="s">
        <v>9</v>
      </c>
    </row>
    <row r="585">
      <c r="A585" s="7" t="s">
        <v>1547</v>
      </c>
      <c r="B585" s="7" t="s">
        <v>1548</v>
      </c>
      <c r="C585" s="8">
        <v>46160.0</v>
      </c>
      <c r="D585" s="8">
        <v>46160.0</v>
      </c>
      <c r="E585" s="7" t="s">
        <v>358</v>
      </c>
      <c r="F585" s="7" t="s">
        <v>387</v>
      </c>
      <c r="G585" s="7" t="s">
        <v>355</v>
      </c>
      <c r="H585" s="9">
        <v>0.0</v>
      </c>
      <c r="I585" s="9">
        <v>0.0</v>
      </c>
      <c r="J585" s="9">
        <v>0.0</v>
      </c>
      <c r="K585" s="9">
        <v>0.0</v>
      </c>
      <c r="L585" s="10">
        <v>0.0</v>
      </c>
      <c r="M585" s="9">
        <v>0.0</v>
      </c>
      <c r="N585" s="9">
        <v>21557.0</v>
      </c>
      <c r="O585" s="9">
        <v>21351.0</v>
      </c>
      <c r="P585" s="9">
        <v>8409.0</v>
      </c>
      <c r="Q585" s="9">
        <v>265.0</v>
      </c>
      <c r="R585" s="9">
        <v>0.0</v>
      </c>
      <c r="S585" s="9">
        <v>0.0</v>
      </c>
      <c r="T585" s="9">
        <v>0.0</v>
      </c>
      <c r="U585" s="9">
        <v>0.0</v>
      </c>
      <c r="V585" s="9">
        <v>0.0</v>
      </c>
      <c r="W585" s="9">
        <v>0.0</v>
      </c>
      <c r="X585" s="9">
        <v>0.0</v>
      </c>
      <c r="Y585" s="9">
        <v>0.0</v>
      </c>
      <c r="Z585" s="9">
        <v>0.0</v>
      </c>
      <c r="AA585" s="9">
        <v>0.0</v>
      </c>
      <c r="AB585" s="9">
        <v>0.0</v>
      </c>
      <c r="AC585" s="9">
        <v>0.0</v>
      </c>
      <c r="AD585" s="9"/>
      <c r="AE585" s="9" t="s">
        <v>9</v>
      </c>
    </row>
    <row r="586">
      <c r="A586" s="7" t="s">
        <v>1549</v>
      </c>
      <c r="B586" s="7" t="s">
        <v>1550</v>
      </c>
      <c r="C586" s="8">
        <v>46157.0</v>
      </c>
      <c r="D586" s="8">
        <v>46159.0</v>
      </c>
      <c r="E586" s="7" t="s">
        <v>364</v>
      </c>
      <c r="F586" s="7" t="s">
        <v>365</v>
      </c>
      <c r="G586" s="7" t="s">
        <v>355</v>
      </c>
      <c r="H586" s="9">
        <v>70194.0</v>
      </c>
      <c r="I586" s="9">
        <v>0.0</v>
      </c>
      <c r="J586" s="9">
        <v>720.0</v>
      </c>
      <c r="K586" s="9">
        <v>60184.0</v>
      </c>
      <c r="L586" s="10">
        <v>1.1663232752891133</v>
      </c>
      <c r="M586" s="9">
        <v>1.1663232752891133</v>
      </c>
      <c r="N586" s="9">
        <v>37677.0</v>
      </c>
      <c r="O586" s="9">
        <v>37404.0</v>
      </c>
      <c r="P586" s="9">
        <v>12702.0</v>
      </c>
      <c r="Q586" s="9">
        <v>207.0</v>
      </c>
      <c r="R586" s="9">
        <v>0.0</v>
      </c>
      <c r="S586" s="9">
        <v>0.0</v>
      </c>
      <c r="T586" s="9">
        <v>0.0</v>
      </c>
      <c r="U586" s="9">
        <v>0.0</v>
      </c>
      <c r="V586" s="9">
        <v>0.0</v>
      </c>
      <c r="W586" s="9">
        <v>0.0</v>
      </c>
      <c r="X586" s="9">
        <v>0.0</v>
      </c>
      <c r="Y586" s="9">
        <v>0.0</v>
      </c>
      <c r="Z586" s="9">
        <v>0.0</v>
      </c>
      <c r="AA586" s="9">
        <v>0.0</v>
      </c>
      <c r="AB586" s="9">
        <v>0.0</v>
      </c>
      <c r="AC586" s="9">
        <v>0.0</v>
      </c>
      <c r="AD586" s="11" t="s">
        <v>205</v>
      </c>
      <c r="AE586" s="9" t="s">
        <v>9</v>
      </c>
    </row>
    <row r="587">
      <c r="A587" s="7" t="s">
        <v>1551</v>
      </c>
      <c r="B587" s="7" t="s">
        <v>1552</v>
      </c>
      <c r="C587" s="8">
        <v>46157.0</v>
      </c>
      <c r="D587" s="8">
        <v>46160.0</v>
      </c>
      <c r="E587" s="7" t="s">
        <v>364</v>
      </c>
      <c r="F587" s="7" t="s">
        <v>365</v>
      </c>
      <c r="G587" s="7" t="s">
        <v>355</v>
      </c>
      <c r="H587" s="9">
        <v>16429.0</v>
      </c>
      <c r="I587" s="9">
        <v>0.0</v>
      </c>
      <c r="J587" s="9">
        <v>285.0</v>
      </c>
      <c r="K587" s="9">
        <v>12092.0</v>
      </c>
      <c r="L587" s="10">
        <v>1.3586668871981475</v>
      </c>
      <c r="M587" s="9">
        <v>1.3586668871981475</v>
      </c>
      <c r="N587" s="9">
        <v>68485.0</v>
      </c>
      <c r="O587" s="9">
        <v>67850.0</v>
      </c>
      <c r="P587" s="9">
        <v>19301.0</v>
      </c>
      <c r="Q587" s="9">
        <v>381.0</v>
      </c>
      <c r="R587" s="9">
        <v>0.0</v>
      </c>
      <c r="S587" s="9">
        <v>0.0</v>
      </c>
      <c r="T587" s="9">
        <v>0.0</v>
      </c>
      <c r="U587" s="9">
        <v>0.0</v>
      </c>
      <c r="V587" s="9">
        <v>0.0</v>
      </c>
      <c r="W587" s="9">
        <v>0.0</v>
      </c>
      <c r="X587" s="9">
        <v>0.0</v>
      </c>
      <c r="Y587" s="9">
        <v>0.0</v>
      </c>
      <c r="Z587" s="9">
        <v>0.0</v>
      </c>
      <c r="AA587" s="9">
        <v>0.0</v>
      </c>
      <c r="AB587" s="9">
        <v>0.0</v>
      </c>
      <c r="AC587" s="9">
        <v>0.0</v>
      </c>
      <c r="AD587" s="11" t="s">
        <v>206</v>
      </c>
      <c r="AE587" s="9" t="s">
        <v>9</v>
      </c>
    </row>
    <row r="588">
      <c r="A588" s="7" t="s">
        <v>1553</v>
      </c>
      <c r="B588" s="7" t="s">
        <v>1554</v>
      </c>
      <c r="C588" s="8">
        <v>46163.0</v>
      </c>
      <c r="D588" s="8">
        <v>46177.0</v>
      </c>
      <c r="E588" s="7" t="s">
        <v>364</v>
      </c>
      <c r="F588" s="7" t="s">
        <v>365</v>
      </c>
      <c r="G588" s="7" t="s">
        <v>355</v>
      </c>
      <c r="H588" s="9">
        <v>0.0</v>
      </c>
      <c r="I588" s="9">
        <v>0.0</v>
      </c>
      <c r="J588" s="9">
        <v>0.0</v>
      </c>
      <c r="K588" s="9">
        <v>0.0</v>
      </c>
      <c r="L588" s="10">
        <v>0.0</v>
      </c>
      <c r="M588" s="9">
        <v>0.0</v>
      </c>
      <c r="N588" s="9">
        <v>102739.0</v>
      </c>
      <c r="O588" s="9">
        <v>102006.0</v>
      </c>
      <c r="P588" s="9">
        <v>33003.0</v>
      </c>
      <c r="Q588" s="9">
        <v>347.0</v>
      </c>
      <c r="R588" s="9">
        <v>0.0</v>
      </c>
      <c r="S588" s="9">
        <v>0.0</v>
      </c>
      <c r="T588" s="9">
        <v>0.0</v>
      </c>
      <c r="U588" s="9">
        <v>0.0</v>
      </c>
      <c r="V588" s="9">
        <v>0.0</v>
      </c>
      <c r="W588" s="9">
        <v>0.0</v>
      </c>
      <c r="X588" s="9">
        <v>0.0</v>
      </c>
      <c r="Y588" s="9">
        <v>0.0</v>
      </c>
      <c r="Z588" s="9">
        <v>0.0</v>
      </c>
      <c r="AA588" s="9">
        <v>0.0</v>
      </c>
      <c r="AB588" s="9">
        <v>0.0</v>
      </c>
      <c r="AC588" s="9">
        <v>0.0</v>
      </c>
      <c r="AD588" s="9"/>
      <c r="AE588" s="9" t="s">
        <v>9</v>
      </c>
    </row>
    <row r="589">
      <c r="A589" s="7" t="s">
        <v>1555</v>
      </c>
      <c r="B589" s="7" t="s">
        <v>1556</v>
      </c>
      <c r="C589" s="8">
        <v>46184.0</v>
      </c>
      <c r="D589" s="8">
        <v>46222.0</v>
      </c>
      <c r="E589" s="7" t="s">
        <v>404</v>
      </c>
      <c r="F589" s="7" t="s">
        <v>760</v>
      </c>
      <c r="G589" s="7" t="s">
        <v>355</v>
      </c>
      <c r="H589" s="9">
        <v>1.8708869E7</v>
      </c>
      <c r="I589" s="9">
        <v>4348895.0</v>
      </c>
      <c r="J589" s="9">
        <v>29425.0</v>
      </c>
      <c r="K589" s="9">
        <v>418390.0</v>
      </c>
      <c r="L589" s="10">
        <v>3.762185998709338</v>
      </c>
      <c r="M589" s="9">
        <v>44.7163388226296</v>
      </c>
      <c r="N589" s="9">
        <v>235256.0</v>
      </c>
      <c r="O589" s="9">
        <v>232624.0</v>
      </c>
      <c r="P589" s="9">
        <v>74245.0</v>
      </c>
      <c r="Q589" s="9">
        <v>1769.0</v>
      </c>
      <c r="R589" s="9">
        <v>0.0</v>
      </c>
      <c r="S589" s="9">
        <v>0.0</v>
      </c>
      <c r="T589" s="9">
        <v>0.0</v>
      </c>
      <c r="U589" s="9">
        <v>0.0</v>
      </c>
      <c r="V589" s="9">
        <v>0.0</v>
      </c>
      <c r="W589" s="9">
        <v>0.0</v>
      </c>
      <c r="X589" s="9">
        <v>0.0</v>
      </c>
      <c r="Y589" s="9">
        <v>0.0</v>
      </c>
      <c r="Z589" s="9">
        <v>0.0</v>
      </c>
      <c r="AA589" s="9">
        <v>0.0</v>
      </c>
      <c r="AB589" s="9">
        <v>0.0</v>
      </c>
      <c r="AC589" s="9">
        <v>0.0</v>
      </c>
      <c r="AD589" s="11" t="s">
        <v>207</v>
      </c>
      <c r="AE589" s="9" t="s">
        <v>9</v>
      </c>
    </row>
    <row r="590">
      <c r="A590" s="7" t="s">
        <v>1557</v>
      </c>
      <c r="B590" s="7" t="s">
        <v>1558</v>
      </c>
      <c r="C590" s="8">
        <v>46160.0</v>
      </c>
      <c r="D590" s="8">
        <v>46164.0</v>
      </c>
      <c r="E590" s="7" t="s">
        <v>416</v>
      </c>
      <c r="F590" s="7" t="s">
        <v>466</v>
      </c>
      <c r="G590" s="7" t="s">
        <v>355</v>
      </c>
      <c r="H590" s="9">
        <v>117543.0</v>
      </c>
      <c r="I590" s="9">
        <v>0.0</v>
      </c>
      <c r="J590" s="9">
        <v>415.0</v>
      </c>
      <c r="K590" s="9">
        <v>80435.0</v>
      </c>
      <c r="L590" s="10">
        <v>1.461341455833903</v>
      </c>
      <c r="M590" s="9">
        <v>1.461341455833903</v>
      </c>
      <c r="N590" s="9">
        <v>68530.0</v>
      </c>
      <c r="O590" s="9">
        <v>67827.0</v>
      </c>
      <c r="P590" s="9">
        <v>11857.0</v>
      </c>
      <c r="Q590" s="9">
        <v>177.0</v>
      </c>
      <c r="R590" s="9">
        <v>78.0</v>
      </c>
      <c r="S590" s="9">
        <v>78.0</v>
      </c>
      <c r="T590" s="9">
        <v>29.0</v>
      </c>
      <c r="U590" s="9">
        <v>28.0</v>
      </c>
      <c r="V590" s="9">
        <v>0.0</v>
      </c>
      <c r="W590" s="9">
        <v>0.0</v>
      </c>
      <c r="X590" s="9">
        <v>0.0</v>
      </c>
      <c r="Y590" s="9">
        <v>0.0</v>
      </c>
      <c r="Z590" s="9">
        <v>0.0</v>
      </c>
      <c r="AA590" s="9">
        <v>0.0</v>
      </c>
      <c r="AB590" s="9">
        <v>0.0</v>
      </c>
      <c r="AC590" s="9">
        <v>0.0</v>
      </c>
      <c r="AD590" s="9"/>
      <c r="AE590" s="9" t="s">
        <v>9</v>
      </c>
    </row>
    <row r="591">
      <c r="A591" s="7" t="s">
        <v>1559</v>
      </c>
      <c r="B591" s="7" t="s">
        <v>1560</v>
      </c>
      <c r="C591" s="8">
        <v>46160.0</v>
      </c>
      <c r="D591" s="8">
        <v>46164.0</v>
      </c>
      <c r="E591" s="7" t="s">
        <v>416</v>
      </c>
      <c r="F591" s="7" t="s">
        <v>466</v>
      </c>
      <c r="G591" s="7" t="s">
        <v>355</v>
      </c>
      <c r="H591" s="9">
        <v>145485.0</v>
      </c>
      <c r="I591" s="9">
        <v>0.0</v>
      </c>
      <c r="J591" s="9">
        <v>513.0</v>
      </c>
      <c r="K591" s="9">
        <v>98176.0</v>
      </c>
      <c r="L591" s="10">
        <v>1.4818794817470664</v>
      </c>
      <c r="M591" s="9">
        <v>1.4818794817470664</v>
      </c>
      <c r="N591" s="9">
        <v>86430.0</v>
      </c>
      <c r="O591" s="9">
        <v>85542.0</v>
      </c>
      <c r="P591" s="9">
        <v>17313.0</v>
      </c>
      <c r="Q591" s="9">
        <v>265.0</v>
      </c>
      <c r="R591" s="9">
        <v>127.0</v>
      </c>
      <c r="S591" s="9">
        <v>127.0</v>
      </c>
      <c r="T591" s="9">
        <v>42.0</v>
      </c>
      <c r="U591" s="9">
        <v>42.0</v>
      </c>
      <c r="V591" s="9">
        <v>0.0</v>
      </c>
      <c r="W591" s="9">
        <v>0.0</v>
      </c>
      <c r="X591" s="9">
        <v>0.0</v>
      </c>
      <c r="Y591" s="9">
        <v>0.0</v>
      </c>
      <c r="Z591" s="9">
        <v>0.0</v>
      </c>
      <c r="AA591" s="9">
        <v>0.0</v>
      </c>
      <c r="AB591" s="9">
        <v>0.0</v>
      </c>
      <c r="AC591" s="9">
        <v>0.0</v>
      </c>
      <c r="AD591" s="9"/>
      <c r="AE591" s="9" t="s">
        <v>9</v>
      </c>
    </row>
    <row r="592">
      <c r="A592" s="7" t="s">
        <v>1561</v>
      </c>
      <c r="B592" s="7" t="s">
        <v>1562</v>
      </c>
      <c r="C592" s="8">
        <v>46157.0</v>
      </c>
      <c r="D592" s="8">
        <v>46171.0</v>
      </c>
      <c r="E592" s="7" t="s">
        <v>358</v>
      </c>
      <c r="F592" s="7" t="s">
        <v>466</v>
      </c>
      <c r="G592" s="7" t="s">
        <v>355</v>
      </c>
      <c r="H592" s="9">
        <v>4307675.0</v>
      </c>
      <c r="I592" s="9">
        <v>2525750.0</v>
      </c>
      <c r="J592" s="9">
        <v>2812.0</v>
      </c>
      <c r="K592" s="9">
        <v>400345.0</v>
      </c>
      <c r="L592" s="10">
        <v>1.957953764877793</v>
      </c>
      <c r="M592" s="9">
        <v>10.759907080143376</v>
      </c>
      <c r="N592" s="9">
        <v>184357.0</v>
      </c>
      <c r="O592" s="9">
        <v>183123.0</v>
      </c>
      <c r="P592" s="9">
        <v>44406.0</v>
      </c>
      <c r="Q592" s="9">
        <v>909.0</v>
      </c>
      <c r="R592" s="9">
        <v>0.0</v>
      </c>
      <c r="S592" s="9">
        <v>0.0</v>
      </c>
      <c r="T592" s="9">
        <v>0.0</v>
      </c>
      <c r="U592" s="9">
        <v>0.0</v>
      </c>
      <c r="V592" s="9">
        <v>0.0</v>
      </c>
      <c r="W592" s="9">
        <v>0.0</v>
      </c>
      <c r="X592" s="9">
        <v>0.0</v>
      </c>
      <c r="Y592" s="9">
        <v>0.0</v>
      </c>
      <c r="Z592" s="9">
        <v>0.0</v>
      </c>
      <c r="AA592" s="9">
        <v>0.0</v>
      </c>
      <c r="AB592" s="9">
        <v>0.0</v>
      </c>
      <c r="AC592" s="9">
        <v>0.0</v>
      </c>
      <c r="AD592" s="11" t="s">
        <v>208</v>
      </c>
      <c r="AE592" s="9" t="s">
        <v>9</v>
      </c>
    </row>
    <row r="593">
      <c r="A593" s="7" t="s">
        <v>1563</v>
      </c>
      <c r="B593" s="7" t="s">
        <v>1564</v>
      </c>
      <c r="C593" s="8">
        <v>46160.0</v>
      </c>
      <c r="D593" s="8">
        <v>46168.0</v>
      </c>
      <c r="E593" s="7" t="s">
        <v>416</v>
      </c>
      <c r="F593" s="7" t="s">
        <v>466</v>
      </c>
      <c r="G593" s="7" t="s">
        <v>355</v>
      </c>
      <c r="H593" s="9">
        <v>169941.0</v>
      </c>
      <c r="I593" s="9">
        <v>0.0</v>
      </c>
      <c r="J593" s="9">
        <v>593.0</v>
      </c>
      <c r="K593" s="9">
        <v>109391.0</v>
      </c>
      <c r="L593" s="10">
        <v>1.5535190280736075</v>
      </c>
      <c r="M593" s="9">
        <v>1.5535190280736075</v>
      </c>
      <c r="N593" s="9">
        <v>80660.0</v>
      </c>
      <c r="O593" s="9">
        <v>79318.0</v>
      </c>
      <c r="P593" s="9">
        <v>11614.0</v>
      </c>
      <c r="Q593" s="9">
        <v>239.0</v>
      </c>
      <c r="R593" s="9">
        <v>138.0</v>
      </c>
      <c r="S593" s="9">
        <v>138.0</v>
      </c>
      <c r="T593" s="9">
        <v>39.0</v>
      </c>
      <c r="U593" s="9">
        <v>39.0</v>
      </c>
      <c r="V593" s="9">
        <v>0.0</v>
      </c>
      <c r="W593" s="9">
        <v>0.0</v>
      </c>
      <c r="X593" s="9">
        <v>0.0</v>
      </c>
      <c r="Y593" s="9">
        <v>0.0</v>
      </c>
      <c r="Z593" s="9">
        <v>0.0</v>
      </c>
      <c r="AA593" s="9">
        <v>0.0</v>
      </c>
      <c r="AB593" s="9">
        <v>0.0</v>
      </c>
      <c r="AC593" s="9">
        <v>0.0</v>
      </c>
      <c r="AD593" s="9"/>
      <c r="AE593" s="9" t="s">
        <v>9</v>
      </c>
    </row>
    <row r="594">
      <c r="A594" s="7" t="s">
        <v>1565</v>
      </c>
      <c r="B594" s="7" t="s">
        <v>1566</v>
      </c>
      <c r="C594" s="8">
        <v>46160.0</v>
      </c>
      <c r="D594" s="8">
        <v>46168.0</v>
      </c>
      <c r="E594" s="7" t="s">
        <v>416</v>
      </c>
      <c r="F594" s="7" t="s">
        <v>466</v>
      </c>
      <c r="G594" s="7" t="s">
        <v>355</v>
      </c>
      <c r="H594" s="9">
        <v>144522.0</v>
      </c>
      <c r="I594" s="9">
        <v>0.0</v>
      </c>
      <c r="J594" s="9">
        <v>449.0</v>
      </c>
      <c r="K594" s="9">
        <v>96521.0</v>
      </c>
      <c r="L594" s="10">
        <v>1.4973114658986126</v>
      </c>
      <c r="M594" s="9">
        <v>1.4973114658986126</v>
      </c>
      <c r="N594" s="9">
        <v>61407.0</v>
      </c>
      <c r="O594" s="9">
        <v>60174.0</v>
      </c>
      <c r="P594" s="9">
        <v>7257.0</v>
      </c>
      <c r="Q594" s="9">
        <v>110.0</v>
      </c>
      <c r="R594" s="9">
        <v>71.0</v>
      </c>
      <c r="S594" s="9">
        <v>71.0</v>
      </c>
      <c r="T594" s="9">
        <v>24.0</v>
      </c>
      <c r="U594" s="9">
        <v>24.0</v>
      </c>
      <c r="V594" s="9">
        <v>0.0</v>
      </c>
      <c r="W594" s="9">
        <v>0.0</v>
      </c>
      <c r="X594" s="9">
        <v>0.0</v>
      </c>
      <c r="Y594" s="9">
        <v>0.0</v>
      </c>
      <c r="Z594" s="9">
        <v>0.0</v>
      </c>
      <c r="AA594" s="9">
        <v>0.0</v>
      </c>
      <c r="AB594" s="9">
        <v>0.0</v>
      </c>
      <c r="AC594" s="9">
        <v>0.0</v>
      </c>
      <c r="AD594" s="9"/>
      <c r="AE594" s="9" t="s">
        <v>9</v>
      </c>
    </row>
    <row r="595">
      <c r="A595" s="7" t="s">
        <v>1567</v>
      </c>
      <c r="B595" s="7" t="s">
        <v>1568</v>
      </c>
      <c r="C595" s="8">
        <v>46157.0</v>
      </c>
      <c r="D595" s="8">
        <v>46203.0</v>
      </c>
      <c r="E595" s="7" t="s">
        <v>358</v>
      </c>
      <c r="F595" s="7" t="s">
        <v>466</v>
      </c>
      <c r="G595" s="7" t="s">
        <v>355</v>
      </c>
      <c r="H595" s="9">
        <v>2.5138589E7</v>
      </c>
      <c r="I595" s="9">
        <v>1.1192101E7</v>
      </c>
      <c r="J595" s="9">
        <v>32336.0</v>
      </c>
      <c r="K595" s="9">
        <v>3508628.0</v>
      </c>
      <c r="L595" s="10">
        <v>2.9436643041097548</v>
      </c>
      <c r="M595" s="9">
        <v>7.16479176475819</v>
      </c>
      <c r="N595" s="9">
        <v>1882440.0</v>
      </c>
      <c r="O595" s="9">
        <v>1864537.0</v>
      </c>
      <c r="P595" s="9">
        <v>332715.0</v>
      </c>
      <c r="Q595" s="9">
        <v>8238.0</v>
      </c>
      <c r="R595" s="9">
        <v>0.0</v>
      </c>
      <c r="S595" s="9">
        <v>0.0</v>
      </c>
      <c r="T595" s="9">
        <v>0.0</v>
      </c>
      <c r="U595" s="9">
        <v>0.0</v>
      </c>
      <c r="V595" s="9">
        <v>0.0</v>
      </c>
      <c r="W595" s="9">
        <v>0.0</v>
      </c>
      <c r="X595" s="9">
        <v>0.0</v>
      </c>
      <c r="Y595" s="9">
        <v>0.0</v>
      </c>
      <c r="Z595" s="9">
        <v>0.0</v>
      </c>
      <c r="AA595" s="9">
        <v>0.0</v>
      </c>
      <c r="AB595" s="9">
        <v>0.0</v>
      </c>
      <c r="AC595" s="9">
        <v>0.0</v>
      </c>
      <c r="AD595" s="11" t="s">
        <v>209</v>
      </c>
      <c r="AE595" s="9" t="s">
        <v>9</v>
      </c>
    </row>
    <row r="596">
      <c r="A596" s="7" t="s">
        <v>1569</v>
      </c>
      <c r="B596" s="7" t="s">
        <v>1570</v>
      </c>
      <c r="C596" s="8">
        <v>46160.0</v>
      </c>
      <c r="D596" s="8">
        <v>46164.0</v>
      </c>
      <c r="E596" s="7" t="s">
        <v>404</v>
      </c>
      <c r="F596" s="7" t="s">
        <v>405</v>
      </c>
      <c r="G596" s="7" t="s">
        <v>355</v>
      </c>
      <c r="H596" s="9">
        <v>1414411.0</v>
      </c>
      <c r="I596" s="9">
        <v>0.0</v>
      </c>
      <c r="J596" s="9">
        <v>25333.0</v>
      </c>
      <c r="K596" s="9">
        <v>165711.0</v>
      </c>
      <c r="L596" s="10">
        <v>1.2626319314951935</v>
      </c>
      <c r="M596" s="9">
        <v>8.535408029641967</v>
      </c>
      <c r="N596" s="9">
        <v>130377.0</v>
      </c>
      <c r="O596" s="9">
        <v>128716.0</v>
      </c>
      <c r="P596" s="9">
        <v>47695.0</v>
      </c>
      <c r="Q596" s="9">
        <v>7070.0</v>
      </c>
      <c r="R596" s="9">
        <v>0.0</v>
      </c>
      <c r="S596" s="9">
        <v>0.0</v>
      </c>
      <c r="T596" s="9">
        <v>0.0</v>
      </c>
      <c r="U596" s="9">
        <v>0.0</v>
      </c>
      <c r="V596" s="9">
        <v>0.0</v>
      </c>
      <c r="W596" s="9">
        <v>0.0</v>
      </c>
      <c r="X596" s="9">
        <v>0.0</v>
      </c>
      <c r="Y596" s="9">
        <v>0.0</v>
      </c>
      <c r="Z596" s="9">
        <v>0.0</v>
      </c>
      <c r="AA596" s="9">
        <v>0.0</v>
      </c>
      <c r="AB596" s="9">
        <v>0.0</v>
      </c>
      <c r="AC596" s="9">
        <v>0.0</v>
      </c>
      <c r="AD596" s="11" t="s">
        <v>210</v>
      </c>
      <c r="AE596" s="9" t="s">
        <v>9</v>
      </c>
    </row>
    <row r="597">
      <c r="A597" s="7" t="s">
        <v>1571</v>
      </c>
      <c r="B597" s="7" t="s">
        <v>1572</v>
      </c>
      <c r="C597" s="8">
        <v>46160.0</v>
      </c>
      <c r="D597" s="8">
        <v>46165.0</v>
      </c>
      <c r="E597" s="7" t="s">
        <v>404</v>
      </c>
      <c r="F597" s="7" t="s">
        <v>405</v>
      </c>
      <c r="G597" s="7" t="s">
        <v>355</v>
      </c>
      <c r="H597" s="9">
        <v>823457.0</v>
      </c>
      <c r="I597" s="9">
        <v>0.0</v>
      </c>
      <c r="J597" s="9">
        <v>12593.0</v>
      </c>
      <c r="K597" s="9">
        <v>60378.0</v>
      </c>
      <c r="L597" s="10">
        <v>1.6025042233926265</v>
      </c>
      <c r="M597" s="9">
        <v>13.638361654907417</v>
      </c>
      <c r="N597" s="9">
        <v>72400.0</v>
      </c>
      <c r="O597" s="9">
        <v>71665.0</v>
      </c>
      <c r="P597" s="9">
        <v>30435.0</v>
      </c>
      <c r="Q597" s="9">
        <v>2788.0</v>
      </c>
      <c r="R597" s="9">
        <v>0.0</v>
      </c>
      <c r="S597" s="9">
        <v>0.0</v>
      </c>
      <c r="T597" s="9">
        <v>0.0</v>
      </c>
      <c r="U597" s="9">
        <v>0.0</v>
      </c>
      <c r="V597" s="9">
        <v>0.0</v>
      </c>
      <c r="W597" s="9">
        <v>0.0</v>
      </c>
      <c r="X597" s="9">
        <v>0.0</v>
      </c>
      <c r="Y597" s="9">
        <v>0.0</v>
      </c>
      <c r="Z597" s="9">
        <v>0.0</v>
      </c>
      <c r="AA597" s="9">
        <v>0.0</v>
      </c>
      <c r="AB597" s="9">
        <v>0.0</v>
      </c>
      <c r="AC597" s="9">
        <v>0.0</v>
      </c>
      <c r="AD597" s="11" t="s">
        <v>211</v>
      </c>
      <c r="AE597" s="9" t="s">
        <v>9</v>
      </c>
    </row>
    <row r="598">
      <c r="A598" s="7" t="s">
        <v>1573</v>
      </c>
      <c r="B598" s="7" t="s">
        <v>1574</v>
      </c>
      <c r="C598" s="8">
        <v>46160.0</v>
      </c>
      <c r="D598" s="8">
        <v>46166.0</v>
      </c>
      <c r="E598" s="7" t="s">
        <v>404</v>
      </c>
      <c r="F598" s="7" t="s">
        <v>405</v>
      </c>
      <c r="G598" s="7" t="s">
        <v>355</v>
      </c>
      <c r="H598" s="9">
        <v>798147.0</v>
      </c>
      <c r="I598" s="9">
        <v>0.0</v>
      </c>
      <c r="J598" s="9">
        <v>10150.0</v>
      </c>
      <c r="K598" s="9">
        <v>50861.0</v>
      </c>
      <c r="L598" s="10">
        <v>1.4940130945124948</v>
      </c>
      <c r="M598" s="9">
        <v>15.69271150783508</v>
      </c>
      <c r="N598" s="9">
        <v>10.0</v>
      </c>
      <c r="O598" s="9">
        <v>10.0</v>
      </c>
      <c r="P598" s="9">
        <v>10.0</v>
      </c>
      <c r="Q598" s="9">
        <v>8.0</v>
      </c>
      <c r="R598" s="9">
        <v>0.0</v>
      </c>
      <c r="S598" s="9">
        <v>0.0</v>
      </c>
      <c r="T598" s="9">
        <v>0.0</v>
      </c>
      <c r="U598" s="9">
        <v>0.0</v>
      </c>
      <c r="V598" s="9">
        <v>0.0</v>
      </c>
      <c r="W598" s="9">
        <v>0.0</v>
      </c>
      <c r="X598" s="9">
        <v>0.0</v>
      </c>
      <c r="Y598" s="9">
        <v>0.0</v>
      </c>
      <c r="Z598" s="9">
        <v>0.0</v>
      </c>
      <c r="AA598" s="9">
        <v>0.0</v>
      </c>
      <c r="AB598" s="9">
        <v>0.0</v>
      </c>
      <c r="AC598" s="9">
        <v>0.0</v>
      </c>
      <c r="AD598" s="11" t="s">
        <v>212</v>
      </c>
      <c r="AE598" s="9" t="s">
        <v>9</v>
      </c>
    </row>
    <row r="599">
      <c r="A599" s="7" t="s">
        <v>1575</v>
      </c>
      <c r="B599" s="7" t="s">
        <v>1576</v>
      </c>
      <c r="C599" s="8">
        <v>46163.0</v>
      </c>
      <c r="D599" s="8">
        <v>46167.0</v>
      </c>
      <c r="E599" s="7" t="s">
        <v>404</v>
      </c>
      <c r="F599" s="7" t="s">
        <v>405</v>
      </c>
      <c r="G599" s="7" t="s">
        <v>355</v>
      </c>
      <c r="H599" s="9">
        <v>964396.0</v>
      </c>
      <c r="I599" s="9">
        <v>99115.0</v>
      </c>
      <c r="J599" s="9">
        <v>11490.0</v>
      </c>
      <c r="K599" s="9">
        <v>267324.0</v>
      </c>
      <c r="L599" s="10">
        <v>2.1174978677559815</v>
      </c>
      <c r="M599" s="9">
        <v>3.6075922850174322</v>
      </c>
      <c r="N599" s="9">
        <v>100359.0</v>
      </c>
      <c r="O599" s="9">
        <v>99607.0</v>
      </c>
      <c r="P599" s="9">
        <v>30678.0</v>
      </c>
      <c r="Q599" s="9">
        <v>2381.0</v>
      </c>
      <c r="R599" s="9">
        <v>0.0</v>
      </c>
      <c r="S599" s="9">
        <v>0.0</v>
      </c>
      <c r="T599" s="9">
        <v>0.0</v>
      </c>
      <c r="U599" s="9">
        <v>0.0</v>
      </c>
      <c r="V599" s="9">
        <v>0.0</v>
      </c>
      <c r="W599" s="9">
        <v>0.0</v>
      </c>
      <c r="X599" s="9">
        <v>0.0</v>
      </c>
      <c r="Y599" s="9">
        <v>0.0</v>
      </c>
      <c r="Z599" s="9">
        <v>0.0</v>
      </c>
      <c r="AA599" s="9">
        <v>0.0</v>
      </c>
      <c r="AB599" s="9">
        <v>0.0</v>
      </c>
      <c r="AC599" s="9">
        <v>0.0</v>
      </c>
      <c r="AD599" s="11" t="s">
        <v>213</v>
      </c>
      <c r="AE599" s="9" t="s">
        <v>9</v>
      </c>
    </row>
    <row r="600">
      <c r="A600" s="7" t="s">
        <v>1577</v>
      </c>
      <c r="B600" s="7" t="s">
        <v>1578</v>
      </c>
      <c r="C600" s="8">
        <v>46160.0</v>
      </c>
      <c r="D600" s="8">
        <v>46169.0</v>
      </c>
      <c r="E600" s="7" t="s">
        <v>404</v>
      </c>
      <c r="F600" s="7" t="s">
        <v>405</v>
      </c>
      <c r="G600" s="7" t="s">
        <v>355</v>
      </c>
      <c r="H600" s="9">
        <v>1588008.0</v>
      </c>
      <c r="I600" s="9">
        <v>0.0</v>
      </c>
      <c r="J600" s="9">
        <v>35464.0</v>
      </c>
      <c r="K600" s="9">
        <v>222255.0</v>
      </c>
      <c r="L600" s="10">
        <v>1.6117837618951205</v>
      </c>
      <c r="M600" s="9">
        <v>7.144982115138017</v>
      </c>
      <c r="N600" s="9">
        <v>120544.0</v>
      </c>
      <c r="O600" s="9">
        <v>119426.0</v>
      </c>
      <c r="P600" s="9">
        <v>51603.0</v>
      </c>
      <c r="Q600" s="9">
        <v>10870.0</v>
      </c>
      <c r="R600" s="9">
        <v>0.0</v>
      </c>
      <c r="S600" s="9">
        <v>0.0</v>
      </c>
      <c r="T600" s="9">
        <v>0.0</v>
      </c>
      <c r="U600" s="9">
        <v>0.0</v>
      </c>
      <c r="V600" s="9">
        <v>0.0</v>
      </c>
      <c r="W600" s="9">
        <v>0.0</v>
      </c>
      <c r="X600" s="9">
        <v>0.0</v>
      </c>
      <c r="Y600" s="9">
        <v>0.0</v>
      </c>
      <c r="Z600" s="9">
        <v>0.0</v>
      </c>
      <c r="AA600" s="9">
        <v>0.0</v>
      </c>
      <c r="AB600" s="9">
        <v>0.0</v>
      </c>
      <c r="AC600" s="9">
        <v>0.0</v>
      </c>
      <c r="AD600" s="11" t="s">
        <v>214</v>
      </c>
      <c r="AE600" s="9" t="s">
        <v>9</v>
      </c>
    </row>
    <row r="601">
      <c r="A601" s="7" t="s">
        <v>1579</v>
      </c>
      <c r="B601" s="7" t="s">
        <v>1580</v>
      </c>
      <c r="C601" s="8">
        <v>46169.0</v>
      </c>
      <c r="D601" s="8">
        <v>46183.0</v>
      </c>
      <c r="E601" s="7" t="s">
        <v>353</v>
      </c>
      <c r="F601" s="7" t="s">
        <v>378</v>
      </c>
      <c r="G601" s="7" t="s">
        <v>355</v>
      </c>
      <c r="H601" s="9">
        <v>4359089.0</v>
      </c>
      <c r="I601" s="9">
        <v>44650.0</v>
      </c>
      <c r="J601" s="9">
        <v>25720.0</v>
      </c>
      <c r="K601" s="9">
        <v>371938.0</v>
      </c>
      <c r="L601" s="10">
        <v>1.4570304728207388</v>
      </c>
      <c r="M601" s="9">
        <v>11.719934505213235</v>
      </c>
      <c r="N601" s="9">
        <v>190037.0</v>
      </c>
      <c r="O601" s="9">
        <v>188046.0</v>
      </c>
      <c r="P601" s="9">
        <v>34634.0</v>
      </c>
      <c r="Q601" s="9">
        <v>171.0</v>
      </c>
      <c r="R601" s="9">
        <v>0.0</v>
      </c>
      <c r="S601" s="9">
        <v>0.0</v>
      </c>
      <c r="T601" s="9">
        <v>0.0</v>
      </c>
      <c r="U601" s="9">
        <v>0.0</v>
      </c>
      <c r="V601" s="9">
        <v>0.0</v>
      </c>
      <c r="W601" s="9">
        <v>0.0</v>
      </c>
      <c r="X601" s="9">
        <v>0.0</v>
      </c>
      <c r="Y601" s="9">
        <v>0.0</v>
      </c>
      <c r="Z601" s="9">
        <v>0.0</v>
      </c>
      <c r="AA601" s="9">
        <v>0.0</v>
      </c>
      <c r="AB601" s="9">
        <v>0.0</v>
      </c>
      <c r="AC601" s="9">
        <v>0.0</v>
      </c>
      <c r="AD601" s="11" t="s">
        <v>215</v>
      </c>
      <c r="AE601" s="9" t="s">
        <v>9</v>
      </c>
    </row>
    <row r="602">
      <c r="A602" s="7" t="s">
        <v>1581</v>
      </c>
      <c r="B602" s="7" t="s">
        <v>1582</v>
      </c>
      <c r="C602" s="8">
        <v>46162.0</v>
      </c>
      <c r="D602" s="8">
        <v>46162.0</v>
      </c>
      <c r="E602" s="7" t="s">
        <v>364</v>
      </c>
      <c r="F602" s="7" t="s">
        <v>365</v>
      </c>
      <c r="G602" s="7" t="s">
        <v>355</v>
      </c>
      <c r="H602" s="9">
        <v>0.0</v>
      </c>
      <c r="I602" s="9">
        <v>0.0</v>
      </c>
      <c r="J602" s="9">
        <v>0.0</v>
      </c>
      <c r="K602" s="9">
        <v>0.0</v>
      </c>
      <c r="L602" s="10">
        <v>0.0</v>
      </c>
      <c r="M602" s="9">
        <v>0.0</v>
      </c>
      <c r="N602" s="9">
        <v>95857.0</v>
      </c>
      <c r="O602" s="9">
        <v>95342.0</v>
      </c>
      <c r="P602" s="9">
        <v>35381.0</v>
      </c>
      <c r="Q602" s="9">
        <v>244.0</v>
      </c>
      <c r="R602" s="9">
        <v>0.0</v>
      </c>
      <c r="S602" s="9">
        <v>0.0</v>
      </c>
      <c r="T602" s="9">
        <v>0.0</v>
      </c>
      <c r="U602" s="9">
        <v>0.0</v>
      </c>
      <c r="V602" s="9">
        <v>0.0</v>
      </c>
      <c r="W602" s="9">
        <v>0.0</v>
      </c>
      <c r="X602" s="9">
        <v>0.0</v>
      </c>
      <c r="Y602" s="9">
        <v>0.0</v>
      </c>
      <c r="Z602" s="9">
        <v>0.0</v>
      </c>
      <c r="AA602" s="9">
        <v>27248.0</v>
      </c>
      <c r="AB602" s="9">
        <v>25948.0</v>
      </c>
      <c r="AC602" s="9">
        <v>0.0</v>
      </c>
      <c r="AD602" s="9"/>
      <c r="AE602" s="9" t="s">
        <v>9</v>
      </c>
    </row>
    <row r="603">
      <c r="A603" s="7" t="s">
        <v>1583</v>
      </c>
      <c r="B603" s="7" t="s">
        <v>1584</v>
      </c>
      <c r="C603" s="8">
        <v>46168.0</v>
      </c>
      <c r="D603" s="8">
        <v>46168.0</v>
      </c>
      <c r="E603" s="7" t="s">
        <v>416</v>
      </c>
      <c r="F603" s="7" t="s">
        <v>430</v>
      </c>
      <c r="G603" s="7" t="s">
        <v>355</v>
      </c>
      <c r="H603" s="9">
        <v>0.0</v>
      </c>
      <c r="I603" s="9">
        <v>0.0</v>
      </c>
      <c r="J603" s="9">
        <v>0.0</v>
      </c>
      <c r="K603" s="9">
        <v>0.0</v>
      </c>
      <c r="L603" s="10">
        <v>0.0</v>
      </c>
      <c r="M603" s="9">
        <v>0.0</v>
      </c>
      <c r="N603" s="9">
        <v>198.0</v>
      </c>
      <c r="O603" s="9">
        <v>197.0</v>
      </c>
      <c r="P603" s="9">
        <v>81.0</v>
      </c>
      <c r="Q603" s="9">
        <v>2.0</v>
      </c>
      <c r="R603" s="9">
        <v>0.0</v>
      </c>
      <c r="S603" s="9">
        <v>0.0</v>
      </c>
      <c r="T603" s="9">
        <v>0.0</v>
      </c>
      <c r="U603" s="9">
        <v>0.0</v>
      </c>
      <c r="V603" s="9">
        <v>0.0</v>
      </c>
      <c r="W603" s="9">
        <v>0.0</v>
      </c>
      <c r="X603" s="9">
        <v>0.0</v>
      </c>
      <c r="Y603" s="9">
        <v>0.0</v>
      </c>
      <c r="Z603" s="9">
        <v>0.0</v>
      </c>
      <c r="AA603" s="9">
        <v>0.0</v>
      </c>
      <c r="AB603" s="9">
        <v>0.0</v>
      </c>
      <c r="AC603" s="9">
        <v>0.0</v>
      </c>
      <c r="AD603" s="9"/>
      <c r="AE603" s="9" t="s">
        <v>9</v>
      </c>
    </row>
    <row r="604">
      <c r="A604" s="7" t="s">
        <v>1585</v>
      </c>
      <c r="B604" s="7" t="s">
        <v>1586</v>
      </c>
      <c r="C604" s="8">
        <v>46172.0</v>
      </c>
      <c r="D604" s="8">
        <v>46172.0</v>
      </c>
      <c r="E604" s="7" t="s">
        <v>416</v>
      </c>
      <c r="F604" s="7" t="s">
        <v>430</v>
      </c>
      <c r="G604" s="7" t="s">
        <v>355</v>
      </c>
      <c r="H604" s="9">
        <v>0.0</v>
      </c>
      <c r="I604" s="9">
        <v>0.0</v>
      </c>
      <c r="J604" s="9">
        <v>0.0</v>
      </c>
      <c r="K604" s="9">
        <v>0.0</v>
      </c>
      <c r="L604" s="10">
        <v>0.0</v>
      </c>
      <c r="M604" s="9">
        <v>0.0</v>
      </c>
      <c r="N604" s="9">
        <v>51319.0</v>
      </c>
      <c r="O604" s="9">
        <v>50775.0</v>
      </c>
      <c r="P604" s="9">
        <v>10421.0</v>
      </c>
      <c r="Q604" s="9">
        <v>169.0</v>
      </c>
      <c r="R604" s="9">
        <v>0.0</v>
      </c>
      <c r="S604" s="9">
        <v>0.0</v>
      </c>
      <c r="T604" s="9">
        <v>0.0</v>
      </c>
      <c r="U604" s="9">
        <v>0.0</v>
      </c>
      <c r="V604" s="9">
        <v>0.0</v>
      </c>
      <c r="W604" s="9">
        <v>0.0</v>
      </c>
      <c r="X604" s="9">
        <v>0.0</v>
      </c>
      <c r="Y604" s="9">
        <v>0.0</v>
      </c>
      <c r="Z604" s="9">
        <v>0.0</v>
      </c>
      <c r="AA604" s="9">
        <v>0.0</v>
      </c>
      <c r="AB604" s="9">
        <v>0.0</v>
      </c>
      <c r="AC604" s="9">
        <v>0.0</v>
      </c>
      <c r="AD604" s="9"/>
      <c r="AE604" s="9" t="s">
        <v>9</v>
      </c>
    </row>
    <row r="605">
      <c r="A605" s="7" t="s">
        <v>1587</v>
      </c>
      <c r="B605" s="7" t="s">
        <v>1588</v>
      </c>
      <c r="C605" s="8">
        <v>46163.0</v>
      </c>
      <c r="D605" s="8">
        <v>46163.0</v>
      </c>
      <c r="E605" s="7" t="s">
        <v>353</v>
      </c>
      <c r="F605" s="7" t="s">
        <v>378</v>
      </c>
      <c r="G605" s="7" t="s">
        <v>355</v>
      </c>
      <c r="H605" s="9">
        <v>0.0</v>
      </c>
      <c r="I605" s="9">
        <v>0.0</v>
      </c>
      <c r="J605" s="9">
        <v>0.0</v>
      </c>
      <c r="K605" s="9">
        <v>0.0</v>
      </c>
      <c r="L605" s="10">
        <v>0.0</v>
      </c>
      <c r="M605" s="9">
        <v>0.0</v>
      </c>
      <c r="N605" s="9">
        <v>7070.0</v>
      </c>
      <c r="O605" s="9">
        <v>7038.0</v>
      </c>
      <c r="P605" s="9">
        <v>1254.0</v>
      </c>
      <c r="Q605" s="9">
        <v>16.0</v>
      </c>
      <c r="R605" s="9">
        <v>0.0</v>
      </c>
      <c r="S605" s="9">
        <v>0.0</v>
      </c>
      <c r="T605" s="9">
        <v>0.0</v>
      </c>
      <c r="U605" s="9">
        <v>0.0</v>
      </c>
      <c r="V605" s="9">
        <v>0.0</v>
      </c>
      <c r="W605" s="9">
        <v>0.0</v>
      </c>
      <c r="X605" s="9">
        <v>0.0</v>
      </c>
      <c r="Y605" s="9">
        <v>0.0</v>
      </c>
      <c r="Z605" s="9">
        <v>0.0</v>
      </c>
      <c r="AA605" s="9">
        <v>0.0</v>
      </c>
      <c r="AB605" s="9">
        <v>0.0</v>
      </c>
      <c r="AC605" s="9">
        <v>0.0</v>
      </c>
      <c r="AD605" s="9"/>
      <c r="AE605" s="9" t="s">
        <v>9</v>
      </c>
    </row>
    <row r="606">
      <c r="A606" s="7" t="s">
        <v>1589</v>
      </c>
      <c r="B606" s="7" t="s">
        <v>1590</v>
      </c>
      <c r="C606" s="8">
        <v>46162.0</v>
      </c>
      <c r="D606" s="8">
        <v>46162.0</v>
      </c>
      <c r="E606" s="7" t="s">
        <v>364</v>
      </c>
      <c r="F606" s="7" t="s">
        <v>365</v>
      </c>
      <c r="G606" s="7" t="s">
        <v>355</v>
      </c>
      <c r="H606" s="9">
        <v>0.0</v>
      </c>
      <c r="I606" s="9">
        <v>0.0</v>
      </c>
      <c r="J606" s="9">
        <v>0.0</v>
      </c>
      <c r="K606" s="9">
        <v>0.0</v>
      </c>
      <c r="L606" s="10">
        <v>0.0</v>
      </c>
      <c r="M606" s="9">
        <v>0.0</v>
      </c>
      <c r="N606" s="9">
        <v>75632.0</v>
      </c>
      <c r="O606" s="9">
        <v>74755.0</v>
      </c>
      <c r="P606" s="9">
        <v>17151.0</v>
      </c>
      <c r="Q606" s="9">
        <v>950.0</v>
      </c>
      <c r="R606" s="9">
        <v>0.0</v>
      </c>
      <c r="S606" s="9">
        <v>0.0</v>
      </c>
      <c r="T606" s="9">
        <v>0.0</v>
      </c>
      <c r="U606" s="9">
        <v>0.0</v>
      </c>
      <c r="V606" s="9">
        <v>0.0</v>
      </c>
      <c r="W606" s="9">
        <v>0.0</v>
      </c>
      <c r="X606" s="9">
        <v>0.0</v>
      </c>
      <c r="Y606" s="9">
        <v>0.0</v>
      </c>
      <c r="Z606" s="9">
        <v>0.0</v>
      </c>
      <c r="AA606" s="9">
        <v>0.0</v>
      </c>
      <c r="AB606" s="9">
        <v>0.0</v>
      </c>
      <c r="AC606" s="9">
        <v>0.0</v>
      </c>
      <c r="AD606" s="9"/>
      <c r="AE606" s="9" t="s">
        <v>9</v>
      </c>
    </row>
    <row r="607">
      <c r="A607" s="7" t="s">
        <v>1591</v>
      </c>
      <c r="B607" s="7" t="s">
        <v>1592</v>
      </c>
      <c r="C607" s="8">
        <v>46164.0</v>
      </c>
      <c r="D607" s="8">
        <v>46164.0</v>
      </c>
      <c r="E607" s="7" t="s">
        <v>358</v>
      </c>
      <c r="F607" s="7" t="s">
        <v>387</v>
      </c>
      <c r="G607" s="7" t="s">
        <v>355</v>
      </c>
      <c r="H607" s="9">
        <v>0.0</v>
      </c>
      <c r="I607" s="9">
        <v>0.0</v>
      </c>
      <c r="J607" s="9">
        <v>0.0</v>
      </c>
      <c r="K607" s="9">
        <v>0.0</v>
      </c>
      <c r="L607" s="10">
        <v>0.0</v>
      </c>
      <c r="M607" s="9">
        <v>0.0</v>
      </c>
      <c r="N607" s="9">
        <v>27.0</v>
      </c>
      <c r="O607" s="9">
        <v>27.0</v>
      </c>
      <c r="P607" s="9">
        <v>5.0</v>
      </c>
      <c r="Q607" s="9">
        <v>2.0</v>
      </c>
      <c r="R607" s="9">
        <v>0.0</v>
      </c>
      <c r="S607" s="9">
        <v>0.0</v>
      </c>
      <c r="T607" s="9">
        <v>0.0</v>
      </c>
      <c r="U607" s="9">
        <v>0.0</v>
      </c>
      <c r="V607" s="9">
        <v>0.0</v>
      </c>
      <c r="W607" s="9">
        <v>0.0</v>
      </c>
      <c r="X607" s="9">
        <v>0.0</v>
      </c>
      <c r="Y607" s="9">
        <v>0.0</v>
      </c>
      <c r="Z607" s="9">
        <v>0.0</v>
      </c>
      <c r="AA607" s="9">
        <v>0.0</v>
      </c>
      <c r="AB607" s="9">
        <v>0.0</v>
      </c>
      <c r="AC607" s="9">
        <v>0.0</v>
      </c>
      <c r="AD607" s="9"/>
      <c r="AE607" s="9" t="s">
        <v>9</v>
      </c>
    </row>
    <row r="608">
      <c r="A608" s="7" t="s">
        <v>1593</v>
      </c>
      <c r="B608" s="7" t="s">
        <v>1594</v>
      </c>
      <c r="C608" s="8">
        <v>46168.0</v>
      </c>
      <c r="D608" s="8">
        <v>46168.0</v>
      </c>
      <c r="E608" s="7" t="s">
        <v>358</v>
      </c>
      <c r="F608" s="7" t="s">
        <v>387</v>
      </c>
      <c r="G608" s="7" t="s">
        <v>355</v>
      </c>
      <c r="H608" s="9">
        <v>0.0</v>
      </c>
      <c r="I608" s="9">
        <v>0.0</v>
      </c>
      <c r="J608" s="9">
        <v>0.0</v>
      </c>
      <c r="K608" s="9">
        <v>0.0</v>
      </c>
      <c r="L608" s="10">
        <v>0.0</v>
      </c>
      <c r="M608" s="9">
        <v>0.0</v>
      </c>
      <c r="N608" s="9">
        <v>8166.0</v>
      </c>
      <c r="O608" s="9">
        <v>8076.0</v>
      </c>
      <c r="P608" s="9">
        <v>2195.0</v>
      </c>
      <c r="Q608" s="9">
        <v>134.0</v>
      </c>
      <c r="R608" s="9">
        <v>0.0</v>
      </c>
      <c r="S608" s="9">
        <v>0.0</v>
      </c>
      <c r="T608" s="9">
        <v>0.0</v>
      </c>
      <c r="U608" s="9">
        <v>0.0</v>
      </c>
      <c r="V608" s="9">
        <v>0.0</v>
      </c>
      <c r="W608" s="9">
        <v>0.0</v>
      </c>
      <c r="X608" s="9">
        <v>0.0</v>
      </c>
      <c r="Y608" s="9">
        <v>0.0</v>
      </c>
      <c r="Z608" s="9">
        <v>0.0</v>
      </c>
      <c r="AA608" s="9">
        <v>0.0</v>
      </c>
      <c r="AB608" s="9">
        <v>0.0</v>
      </c>
      <c r="AC608" s="9">
        <v>0.0</v>
      </c>
      <c r="AD608" s="9"/>
      <c r="AE608" s="9" t="s">
        <v>9</v>
      </c>
    </row>
    <row r="609">
      <c r="A609" s="7" t="s">
        <v>1595</v>
      </c>
      <c r="B609" s="7" t="s">
        <v>1596</v>
      </c>
      <c r="C609" s="8">
        <v>46168.0</v>
      </c>
      <c r="D609" s="8">
        <v>46168.0</v>
      </c>
      <c r="E609" s="7" t="s">
        <v>358</v>
      </c>
      <c r="F609" s="7" t="s">
        <v>387</v>
      </c>
      <c r="G609" s="7" t="s">
        <v>355</v>
      </c>
      <c r="H609" s="9">
        <v>0.0</v>
      </c>
      <c r="I609" s="9">
        <v>0.0</v>
      </c>
      <c r="J609" s="9">
        <v>0.0</v>
      </c>
      <c r="K609" s="9">
        <v>0.0</v>
      </c>
      <c r="L609" s="10">
        <v>0.0</v>
      </c>
      <c r="M609" s="9">
        <v>0.0</v>
      </c>
      <c r="N609" s="9">
        <v>17148.0</v>
      </c>
      <c r="O609" s="9">
        <v>16984.0</v>
      </c>
      <c r="P609" s="9">
        <v>6495.0</v>
      </c>
      <c r="Q609" s="9">
        <v>239.0</v>
      </c>
      <c r="R609" s="9">
        <v>0.0</v>
      </c>
      <c r="S609" s="9">
        <v>0.0</v>
      </c>
      <c r="T609" s="9">
        <v>0.0</v>
      </c>
      <c r="U609" s="9">
        <v>0.0</v>
      </c>
      <c r="V609" s="9">
        <v>0.0</v>
      </c>
      <c r="W609" s="9">
        <v>0.0</v>
      </c>
      <c r="X609" s="9">
        <v>0.0</v>
      </c>
      <c r="Y609" s="9">
        <v>0.0</v>
      </c>
      <c r="Z609" s="9">
        <v>0.0</v>
      </c>
      <c r="AA609" s="9">
        <v>0.0</v>
      </c>
      <c r="AB609" s="9">
        <v>0.0</v>
      </c>
      <c r="AC609" s="9">
        <v>0.0</v>
      </c>
      <c r="AD609" s="9"/>
      <c r="AE609" s="9" t="s">
        <v>9</v>
      </c>
    </row>
    <row r="610">
      <c r="A610" s="7" t="s">
        <v>1597</v>
      </c>
      <c r="B610" s="7" t="s">
        <v>1598</v>
      </c>
      <c r="C610" s="8">
        <v>46168.0</v>
      </c>
      <c r="D610" s="8">
        <v>46168.0</v>
      </c>
      <c r="E610" s="7" t="s">
        <v>358</v>
      </c>
      <c r="F610" s="7" t="s">
        <v>387</v>
      </c>
      <c r="G610" s="7" t="s">
        <v>355</v>
      </c>
      <c r="H610" s="9">
        <v>0.0</v>
      </c>
      <c r="I610" s="9">
        <v>0.0</v>
      </c>
      <c r="J610" s="9">
        <v>0.0</v>
      </c>
      <c r="K610" s="9">
        <v>0.0</v>
      </c>
      <c r="L610" s="10">
        <v>0.0</v>
      </c>
      <c r="M610" s="9">
        <v>0.0</v>
      </c>
      <c r="N610" s="9">
        <v>11792.0</v>
      </c>
      <c r="O610" s="9">
        <v>11668.0</v>
      </c>
      <c r="P610" s="9">
        <v>4485.0</v>
      </c>
      <c r="Q610" s="9">
        <v>287.0</v>
      </c>
      <c r="R610" s="9">
        <v>0.0</v>
      </c>
      <c r="S610" s="9">
        <v>0.0</v>
      </c>
      <c r="T610" s="9">
        <v>0.0</v>
      </c>
      <c r="U610" s="9">
        <v>0.0</v>
      </c>
      <c r="V610" s="9">
        <v>0.0</v>
      </c>
      <c r="W610" s="9">
        <v>0.0</v>
      </c>
      <c r="X610" s="9">
        <v>0.0</v>
      </c>
      <c r="Y610" s="9">
        <v>0.0</v>
      </c>
      <c r="Z610" s="9">
        <v>0.0</v>
      </c>
      <c r="AA610" s="9">
        <v>0.0</v>
      </c>
      <c r="AB610" s="9">
        <v>0.0</v>
      </c>
      <c r="AC610" s="9">
        <v>0.0</v>
      </c>
      <c r="AD610" s="9"/>
      <c r="AE610" s="9" t="s">
        <v>9</v>
      </c>
    </row>
    <row r="611">
      <c r="A611" s="7" t="s">
        <v>1599</v>
      </c>
      <c r="B611" s="7" t="s">
        <v>1600</v>
      </c>
      <c r="C611" s="8">
        <v>46163.0</v>
      </c>
      <c r="D611" s="8">
        <v>46173.0</v>
      </c>
      <c r="E611" s="7" t="s">
        <v>364</v>
      </c>
      <c r="F611" s="7" t="s">
        <v>365</v>
      </c>
      <c r="G611" s="7" t="s">
        <v>355</v>
      </c>
      <c r="H611" s="9">
        <v>133236.0</v>
      </c>
      <c r="I611" s="9">
        <v>0.0</v>
      </c>
      <c r="J611" s="9">
        <v>1739.0</v>
      </c>
      <c r="K611" s="9">
        <v>57929.0</v>
      </c>
      <c r="L611" s="10">
        <v>2.2999879162422965</v>
      </c>
      <c r="M611" s="9">
        <v>2.2999879162422965</v>
      </c>
      <c r="N611" s="9">
        <v>0.0</v>
      </c>
      <c r="O611" s="9">
        <v>0.0</v>
      </c>
      <c r="P611" s="9">
        <v>0.0</v>
      </c>
      <c r="Q611" s="9">
        <v>0.0</v>
      </c>
      <c r="R611" s="9">
        <v>0.0</v>
      </c>
      <c r="S611" s="9">
        <v>0.0</v>
      </c>
      <c r="T611" s="9">
        <v>0.0</v>
      </c>
      <c r="U611" s="9">
        <v>0.0</v>
      </c>
      <c r="V611" s="9">
        <v>0.0</v>
      </c>
      <c r="W611" s="9">
        <v>0.0</v>
      </c>
      <c r="X611" s="9">
        <v>0.0</v>
      </c>
      <c r="Y611" s="9">
        <v>0.0</v>
      </c>
      <c r="Z611" s="9">
        <v>0.0</v>
      </c>
      <c r="AA611" s="9">
        <v>0.0</v>
      </c>
      <c r="AB611" s="9">
        <v>0.0</v>
      </c>
      <c r="AC611" s="9">
        <v>0.0</v>
      </c>
      <c r="AD611" s="11" t="s">
        <v>216</v>
      </c>
      <c r="AE611" s="9"/>
    </row>
    <row r="612">
      <c r="A612" s="7" t="s">
        <v>1601</v>
      </c>
      <c r="B612" s="7" t="s">
        <v>1602</v>
      </c>
      <c r="C612" s="8">
        <v>46157.0</v>
      </c>
      <c r="D612" s="8">
        <v>46173.0</v>
      </c>
      <c r="E612" s="7" t="s">
        <v>404</v>
      </c>
      <c r="F612" s="7" t="s">
        <v>405</v>
      </c>
      <c r="G612" s="7" t="s">
        <v>355</v>
      </c>
      <c r="H612" s="9">
        <v>1440842.0</v>
      </c>
      <c r="I612" s="9">
        <v>535384.0</v>
      </c>
      <c r="J612" s="9">
        <v>1597.0</v>
      </c>
      <c r="K612" s="9">
        <v>210932.0</v>
      </c>
      <c r="L612" s="10">
        <v>1.9570809549997155</v>
      </c>
      <c r="M612" s="9">
        <v>6.830836478106688</v>
      </c>
      <c r="N612" s="9">
        <v>185551.0</v>
      </c>
      <c r="O612" s="9">
        <v>184351.0</v>
      </c>
      <c r="P612" s="9">
        <v>77479.0</v>
      </c>
      <c r="Q612" s="9">
        <v>1423.0</v>
      </c>
      <c r="R612" s="9">
        <v>0.0</v>
      </c>
      <c r="S612" s="9">
        <v>0.0</v>
      </c>
      <c r="T612" s="9">
        <v>0.0</v>
      </c>
      <c r="U612" s="9">
        <v>0.0</v>
      </c>
      <c r="V612" s="9">
        <v>0.0</v>
      </c>
      <c r="W612" s="9">
        <v>0.0</v>
      </c>
      <c r="X612" s="9">
        <v>0.0</v>
      </c>
      <c r="Y612" s="9">
        <v>0.0</v>
      </c>
      <c r="Z612" s="9">
        <v>0.0</v>
      </c>
      <c r="AA612" s="9">
        <v>0.0</v>
      </c>
      <c r="AB612" s="9">
        <v>0.0</v>
      </c>
      <c r="AC612" s="9">
        <v>0.0</v>
      </c>
      <c r="AD612" s="11" t="s">
        <v>217</v>
      </c>
      <c r="AE612" s="9" t="s">
        <v>9</v>
      </c>
    </row>
    <row r="613">
      <c r="A613" s="7" t="s">
        <v>1603</v>
      </c>
      <c r="B613" s="7" t="s">
        <v>1604</v>
      </c>
      <c r="C613" s="8">
        <v>46163.0</v>
      </c>
      <c r="D613" s="8">
        <v>46169.0</v>
      </c>
      <c r="E613" s="7" t="s">
        <v>416</v>
      </c>
      <c r="F613" s="7" t="s">
        <v>667</v>
      </c>
      <c r="G613" s="7" t="s">
        <v>355</v>
      </c>
      <c r="H613" s="9">
        <v>294198.0</v>
      </c>
      <c r="I613" s="9">
        <v>0.0</v>
      </c>
      <c r="J613" s="9">
        <v>345.0</v>
      </c>
      <c r="K613" s="9">
        <v>207245.0</v>
      </c>
      <c r="L613" s="10">
        <v>1.4195662139014211</v>
      </c>
      <c r="M613" s="9">
        <v>1.4195662139014211</v>
      </c>
      <c r="N613" s="9">
        <v>27280.0</v>
      </c>
      <c r="O613" s="9">
        <v>26938.0</v>
      </c>
      <c r="P613" s="9">
        <v>5066.0</v>
      </c>
      <c r="Q613" s="9">
        <v>118.0</v>
      </c>
      <c r="R613" s="9">
        <v>0.0</v>
      </c>
      <c r="S613" s="9">
        <v>0.0</v>
      </c>
      <c r="T613" s="9">
        <v>0.0</v>
      </c>
      <c r="U613" s="9">
        <v>0.0</v>
      </c>
      <c r="V613" s="9">
        <v>0.0</v>
      </c>
      <c r="W613" s="9">
        <v>0.0</v>
      </c>
      <c r="X613" s="9">
        <v>0.0</v>
      </c>
      <c r="Y613" s="9">
        <v>0.0</v>
      </c>
      <c r="Z613" s="9">
        <v>0.0</v>
      </c>
      <c r="AA613" s="9">
        <v>0.0</v>
      </c>
      <c r="AB613" s="9">
        <v>0.0</v>
      </c>
      <c r="AC613" s="9">
        <v>0.0</v>
      </c>
      <c r="AD613" s="9"/>
      <c r="AE613" s="9" t="s">
        <v>9</v>
      </c>
    </row>
    <row r="614">
      <c r="A614" s="7" t="s">
        <v>1605</v>
      </c>
      <c r="B614" s="7" t="s">
        <v>1606</v>
      </c>
      <c r="C614" s="8">
        <v>46164.0</v>
      </c>
      <c r="D614" s="8">
        <v>46187.0</v>
      </c>
      <c r="E614" s="7" t="s">
        <v>416</v>
      </c>
      <c r="F614" s="7" t="s">
        <v>417</v>
      </c>
      <c r="G614" s="7" t="s">
        <v>355</v>
      </c>
      <c r="H614" s="9">
        <v>1073722.0</v>
      </c>
      <c r="I614" s="9">
        <v>388490.0</v>
      </c>
      <c r="J614" s="9">
        <v>2899.0</v>
      </c>
      <c r="K614" s="9">
        <v>12889.0</v>
      </c>
      <c r="L614" s="10">
        <v>6.944293583676003</v>
      </c>
      <c r="M614" s="9">
        <v>83.3052990922492</v>
      </c>
      <c r="N614" s="9">
        <v>27008.0</v>
      </c>
      <c r="O614" s="9">
        <v>26784.0</v>
      </c>
      <c r="P614" s="9">
        <v>6396.0</v>
      </c>
      <c r="Q614" s="9">
        <v>103.0</v>
      </c>
      <c r="R614" s="9">
        <v>0.0</v>
      </c>
      <c r="S614" s="9">
        <v>0.0</v>
      </c>
      <c r="T614" s="9">
        <v>0.0</v>
      </c>
      <c r="U614" s="9">
        <v>0.0</v>
      </c>
      <c r="V614" s="9">
        <v>6292.0</v>
      </c>
      <c r="W614" s="9">
        <v>6292.0</v>
      </c>
      <c r="X614" s="9">
        <v>5359.0</v>
      </c>
      <c r="Y614" s="9">
        <v>2335.0</v>
      </c>
      <c r="Z614" s="9">
        <v>11.0</v>
      </c>
      <c r="AA614" s="9">
        <v>0.0</v>
      </c>
      <c r="AB614" s="9">
        <v>0.0</v>
      </c>
      <c r="AC614" s="9">
        <v>0.0</v>
      </c>
      <c r="AD614" s="11" t="s">
        <v>218</v>
      </c>
      <c r="AE614" s="9" t="s">
        <v>9</v>
      </c>
    </row>
    <row r="615">
      <c r="A615" s="7" t="s">
        <v>1607</v>
      </c>
      <c r="B615" s="7" t="s">
        <v>1608</v>
      </c>
      <c r="C615" s="8">
        <v>46164.0</v>
      </c>
      <c r="D615" s="8">
        <v>46186.0</v>
      </c>
      <c r="E615" s="7" t="s">
        <v>416</v>
      </c>
      <c r="F615" s="7" t="s">
        <v>417</v>
      </c>
      <c r="G615" s="7" t="s">
        <v>355</v>
      </c>
      <c r="H615" s="9">
        <v>4757280.0</v>
      </c>
      <c r="I615" s="9">
        <v>1489363.0</v>
      </c>
      <c r="J615" s="9">
        <v>24561.0</v>
      </c>
      <c r="K615" s="9">
        <v>200673.0</v>
      </c>
      <c r="L615" s="10">
        <v>3.725219635925112</v>
      </c>
      <c r="M615" s="9">
        <v>23.706627199473772</v>
      </c>
      <c r="N615" s="9">
        <v>402834.0</v>
      </c>
      <c r="O615" s="9">
        <v>397607.0</v>
      </c>
      <c r="P615" s="9">
        <v>56489.0</v>
      </c>
      <c r="Q615" s="9">
        <v>1432.0</v>
      </c>
      <c r="R615" s="9">
        <v>12131.0</v>
      </c>
      <c r="S615" s="9">
        <v>12108.0</v>
      </c>
      <c r="T615" s="9">
        <v>2796.0</v>
      </c>
      <c r="U615" s="9">
        <v>2128.0</v>
      </c>
      <c r="V615" s="9">
        <v>153326.0</v>
      </c>
      <c r="W615" s="9">
        <v>153326.0</v>
      </c>
      <c r="X615" s="9">
        <v>140588.0</v>
      </c>
      <c r="Y615" s="9">
        <v>72013.0</v>
      </c>
      <c r="Z615" s="9">
        <v>236.0</v>
      </c>
      <c r="AA615" s="9">
        <v>0.0</v>
      </c>
      <c r="AB615" s="9">
        <v>0.0</v>
      </c>
      <c r="AC615" s="9">
        <v>0.0</v>
      </c>
      <c r="AD615" s="11" t="s">
        <v>219</v>
      </c>
      <c r="AE615" s="9" t="s">
        <v>9</v>
      </c>
    </row>
    <row r="616">
      <c r="A616" s="7" t="s">
        <v>1609</v>
      </c>
      <c r="B616" s="7" t="s">
        <v>1610</v>
      </c>
      <c r="C616" s="8">
        <v>46164.0</v>
      </c>
      <c r="D616" s="8">
        <v>46169.0</v>
      </c>
      <c r="E616" s="7" t="s">
        <v>416</v>
      </c>
      <c r="F616" s="7" t="s">
        <v>359</v>
      </c>
      <c r="G616" s="7" t="s">
        <v>355</v>
      </c>
      <c r="H616" s="9">
        <v>144574.0</v>
      </c>
      <c r="I616" s="9">
        <v>0.0</v>
      </c>
      <c r="J616" s="9">
        <v>501.0</v>
      </c>
      <c r="K616" s="9">
        <v>93081.0</v>
      </c>
      <c r="L616" s="10">
        <v>1.5532063471600004</v>
      </c>
      <c r="M616" s="9">
        <v>1.5532063471600004</v>
      </c>
      <c r="N616" s="9">
        <v>80454.0</v>
      </c>
      <c r="O616" s="9">
        <v>79106.0</v>
      </c>
      <c r="P616" s="9">
        <v>9201.0</v>
      </c>
      <c r="Q616" s="9">
        <v>343.0</v>
      </c>
      <c r="R616" s="9">
        <v>166.0</v>
      </c>
      <c r="S616" s="9">
        <v>166.0</v>
      </c>
      <c r="T616" s="9">
        <v>36.0</v>
      </c>
      <c r="U616" s="9">
        <v>35.0</v>
      </c>
      <c r="V616" s="9">
        <v>0.0</v>
      </c>
      <c r="W616" s="9">
        <v>0.0</v>
      </c>
      <c r="X616" s="9">
        <v>0.0</v>
      </c>
      <c r="Y616" s="9">
        <v>0.0</v>
      </c>
      <c r="Z616" s="9">
        <v>0.0</v>
      </c>
      <c r="AA616" s="9">
        <v>0.0</v>
      </c>
      <c r="AB616" s="9">
        <v>0.0</v>
      </c>
      <c r="AC616" s="9">
        <v>0.0</v>
      </c>
      <c r="AD616" s="9"/>
      <c r="AE616" s="9" t="s">
        <v>9</v>
      </c>
    </row>
    <row r="617">
      <c r="A617" s="7" t="s">
        <v>1611</v>
      </c>
      <c r="B617" s="7" t="s">
        <v>1612</v>
      </c>
      <c r="C617" s="8">
        <v>46168.0</v>
      </c>
      <c r="D617" s="8">
        <v>46174.0</v>
      </c>
      <c r="E617" s="7" t="s">
        <v>416</v>
      </c>
      <c r="F617" s="7" t="s">
        <v>354</v>
      </c>
      <c r="G617" s="7" t="s">
        <v>355</v>
      </c>
      <c r="H617" s="9">
        <v>106318.0</v>
      </c>
      <c r="I617" s="9">
        <v>0.0</v>
      </c>
      <c r="J617" s="9">
        <v>456.0</v>
      </c>
      <c r="K617" s="9">
        <v>67137.0</v>
      </c>
      <c r="L617" s="10">
        <v>1.5835977180988128</v>
      </c>
      <c r="M617" s="9">
        <v>1.5835977180988128</v>
      </c>
      <c r="N617" s="9">
        <v>15319.0</v>
      </c>
      <c r="O617" s="9">
        <v>14912.0</v>
      </c>
      <c r="P617" s="9">
        <v>1571.0</v>
      </c>
      <c r="Q617" s="9">
        <v>57.0</v>
      </c>
      <c r="R617" s="9">
        <v>48.0</v>
      </c>
      <c r="S617" s="9">
        <v>48.0</v>
      </c>
      <c r="T617" s="9">
        <v>18.0</v>
      </c>
      <c r="U617" s="9">
        <v>18.0</v>
      </c>
      <c r="V617" s="9">
        <v>0.0</v>
      </c>
      <c r="W617" s="9">
        <v>0.0</v>
      </c>
      <c r="X617" s="9">
        <v>0.0</v>
      </c>
      <c r="Y617" s="9">
        <v>0.0</v>
      </c>
      <c r="Z617" s="9">
        <v>0.0</v>
      </c>
      <c r="AA617" s="9">
        <v>0.0</v>
      </c>
      <c r="AB617" s="9">
        <v>0.0</v>
      </c>
      <c r="AC617" s="9">
        <v>0.0</v>
      </c>
      <c r="AD617" s="9"/>
      <c r="AE617" s="9" t="s">
        <v>9</v>
      </c>
    </row>
    <row r="618">
      <c r="A618" s="7" t="s">
        <v>1613</v>
      </c>
      <c r="B618" s="7" t="s">
        <v>1614</v>
      </c>
      <c r="C618" s="8">
        <v>46164.0</v>
      </c>
      <c r="D618" s="8">
        <v>46170.0</v>
      </c>
      <c r="E618" s="7" t="s">
        <v>416</v>
      </c>
      <c r="F618" s="7" t="s">
        <v>365</v>
      </c>
      <c r="G618" s="7" t="s">
        <v>355</v>
      </c>
      <c r="H618" s="9">
        <v>104469.0</v>
      </c>
      <c r="I618" s="9">
        <v>0.0</v>
      </c>
      <c r="J618" s="9">
        <v>356.0</v>
      </c>
      <c r="K618" s="9">
        <v>64009.0</v>
      </c>
      <c r="L618" s="10">
        <v>1.6320986111328095</v>
      </c>
      <c r="M618" s="9">
        <v>1.6320986111328095</v>
      </c>
      <c r="N618" s="9">
        <v>73270.0</v>
      </c>
      <c r="O618" s="9">
        <v>72484.0</v>
      </c>
      <c r="P618" s="9">
        <v>12102.0</v>
      </c>
      <c r="Q618" s="9">
        <v>291.0</v>
      </c>
      <c r="R618" s="9">
        <v>166.0</v>
      </c>
      <c r="S618" s="9">
        <v>166.0</v>
      </c>
      <c r="T618" s="9">
        <v>53.0</v>
      </c>
      <c r="U618" s="9">
        <v>49.0</v>
      </c>
      <c r="V618" s="9">
        <v>0.0</v>
      </c>
      <c r="W618" s="9">
        <v>0.0</v>
      </c>
      <c r="X618" s="9">
        <v>0.0</v>
      </c>
      <c r="Y618" s="9">
        <v>0.0</v>
      </c>
      <c r="Z618" s="9">
        <v>0.0</v>
      </c>
      <c r="AA618" s="9">
        <v>0.0</v>
      </c>
      <c r="AB618" s="9">
        <v>0.0</v>
      </c>
      <c r="AC618" s="9">
        <v>0.0</v>
      </c>
      <c r="AD618" s="9"/>
      <c r="AE618" s="9" t="s">
        <v>9</v>
      </c>
    </row>
    <row r="619">
      <c r="A619" s="7" t="s">
        <v>1615</v>
      </c>
      <c r="B619" s="7" t="s">
        <v>1616</v>
      </c>
      <c r="C619" s="8">
        <v>46169.0</v>
      </c>
      <c r="D619" s="8">
        <v>46173.0</v>
      </c>
      <c r="E619" s="7" t="s">
        <v>404</v>
      </c>
      <c r="F619" s="7" t="s">
        <v>783</v>
      </c>
      <c r="G619" s="7" t="s">
        <v>355</v>
      </c>
      <c r="H619" s="9">
        <v>1475395.0</v>
      </c>
      <c r="I619" s="9">
        <v>0.0</v>
      </c>
      <c r="J619" s="9">
        <v>15349.0</v>
      </c>
      <c r="K619" s="9">
        <v>126275.0</v>
      </c>
      <c r="L619" s="10">
        <v>1.1907978618095427</v>
      </c>
      <c r="M619" s="9">
        <v>11.683983369629777</v>
      </c>
      <c r="N619" s="9">
        <v>56195.0</v>
      </c>
      <c r="O619" s="9">
        <v>55522.0</v>
      </c>
      <c r="P619" s="9">
        <v>18382.0</v>
      </c>
      <c r="Q619" s="9">
        <v>659.0</v>
      </c>
      <c r="R619" s="9">
        <v>0.0</v>
      </c>
      <c r="S619" s="9">
        <v>0.0</v>
      </c>
      <c r="T619" s="9">
        <v>0.0</v>
      </c>
      <c r="U619" s="9">
        <v>0.0</v>
      </c>
      <c r="V619" s="9">
        <v>0.0</v>
      </c>
      <c r="W619" s="9">
        <v>0.0</v>
      </c>
      <c r="X619" s="9">
        <v>0.0</v>
      </c>
      <c r="Y619" s="9">
        <v>0.0</v>
      </c>
      <c r="Z619" s="9">
        <v>0.0</v>
      </c>
      <c r="AA619" s="9">
        <v>0.0</v>
      </c>
      <c r="AB619" s="9">
        <v>0.0</v>
      </c>
      <c r="AC619" s="9">
        <v>0.0</v>
      </c>
      <c r="AD619" s="11" t="s">
        <v>220</v>
      </c>
      <c r="AE619" s="9" t="s">
        <v>9</v>
      </c>
    </row>
    <row r="620">
      <c r="A620" s="7" t="s">
        <v>1617</v>
      </c>
      <c r="B620" s="7" t="s">
        <v>1618</v>
      </c>
      <c r="C620" s="8">
        <v>46164.0</v>
      </c>
      <c r="D620" s="8">
        <v>46170.0</v>
      </c>
      <c r="E620" s="7" t="s">
        <v>416</v>
      </c>
      <c r="F620" s="7" t="s">
        <v>413</v>
      </c>
      <c r="G620" s="7" t="s">
        <v>355</v>
      </c>
      <c r="H620" s="9">
        <v>429369.0</v>
      </c>
      <c r="I620" s="9">
        <v>0.0</v>
      </c>
      <c r="J620" s="9">
        <v>499.0</v>
      </c>
      <c r="K620" s="9">
        <v>274037.0</v>
      </c>
      <c r="L620" s="10">
        <v>1.5668285669453395</v>
      </c>
      <c r="M620" s="9">
        <v>1.5668285669453395</v>
      </c>
      <c r="N620" s="9">
        <v>88846.0</v>
      </c>
      <c r="O620" s="9">
        <v>87920.0</v>
      </c>
      <c r="P620" s="9">
        <v>22861.0</v>
      </c>
      <c r="Q620" s="9">
        <v>262.0</v>
      </c>
      <c r="R620" s="9">
        <v>0.0</v>
      </c>
      <c r="S620" s="9">
        <v>0.0</v>
      </c>
      <c r="T620" s="9">
        <v>0.0</v>
      </c>
      <c r="U620" s="9">
        <v>0.0</v>
      </c>
      <c r="V620" s="9">
        <v>0.0</v>
      </c>
      <c r="W620" s="9">
        <v>0.0</v>
      </c>
      <c r="X620" s="9">
        <v>0.0</v>
      </c>
      <c r="Y620" s="9">
        <v>0.0</v>
      </c>
      <c r="Z620" s="9">
        <v>0.0</v>
      </c>
      <c r="AA620" s="9">
        <v>0.0</v>
      </c>
      <c r="AB620" s="9">
        <v>0.0</v>
      </c>
      <c r="AC620" s="9">
        <v>0.0</v>
      </c>
      <c r="AD620" s="9"/>
      <c r="AE620" s="9" t="s">
        <v>9</v>
      </c>
    </row>
    <row r="621">
      <c r="A621" s="7" t="s">
        <v>1619</v>
      </c>
      <c r="B621" s="7" t="s">
        <v>1620</v>
      </c>
      <c r="C621" s="8">
        <v>46164.0</v>
      </c>
      <c r="D621" s="8">
        <v>46167.0</v>
      </c>
      <c r="E621" s="7" t="s">
        <v>364</v>
      </c>
      <c r="F621" s="7" t="s">
        <v>365</v>
      </c>
      <c r="G621" s="7" t="s">
        <v>355</v>
      </c>
      <c r="H621" s="9">
        <v>17564.0</v>
      </c>
      <c r="I621" s="9">
        <v>0.0</v>
      </c>
      <c r="J621" s="9">
        <v>145.0</v>
      </c>
      <c r="K621" s="9">
        <v>11756.0</v>
      </c>
      <c r="L621" s="10">
        <v>1.494045593739367</v>
      </c>
      <c r="M621" s="9">
        <v>1.494045593739367</v>
      </c>
      <c r="N621" s="9">
        <v>0.0</v>
      </c>
      <c r="O621" s="9">
        <v>0.0</v>
      </c>
      <c r="P621" s="9">
        <v>0.0</v>
      </c>
      <c r="Q621" s="9">
        <v>0.0</v>
      </c>
      <c r="R621" s="9">
        <v>0.0</v>
      </c>
      <c r="S621" s="9">
        <v>0.0</v>
      </c>
      <c r="T621" s="9">
        <v>0.0</v>
      </c>
      <c r="U621" s="9">
        <v>0.0</v>
      </c>
      <c r="V621" s="9">
        <v>0.0</v>
      </c>
      <c r="W621" s="9">
        <v>0.0</v>
      </c>
      <c r="X621" s="9">
        <v>0.0</v>
      </c>
      <c r="Y621" s="9">
        <v>0.0</v>
      </c>
      <c r="Z621" s="9">
        <v>0.0</v>
      </c>
      <c r="AA621" s="9">
        <v>0.0</v>
      </c>
      <c r="AB621" s="9">
        <v>0.0</v>
      </c>
      <c r="AC621" s="9">
        <v>0.0</v>
      </c>
      <c r="AD621" s="11" t="s">
        <v>221</v>
      </c>
      <c r="AE621" s="9"/>
    </row>
    <row r="622">
      <c r="A622" s="7" t="s">
        <v>1621</v>
      </c>
      <c r="B622" s="7" t="s">
        <v>1622</v>
      </c>
      <c r="C622" s="8">
        <v>46164.0</v>
      </c>
      <c r="D622" s="8">
        <v>46166.0</v>
      </c>
      <c r="E622" s="7" t="s">
        <v>364</v>
      </c>
      <c r="F622" s="7" t="s">
        <v>365</v>
      </c>
      <c r="G622" s="7" t="s">
        <v>355</v>
      </c>
      <c r="H622" s="9">
        <v>231363.0</v>
      </c>
      <c r="I622" s="9">
        <v>0.0</v>
      </c>
      <c r="J622" s="9">
        <v>717.0</v>
      </c>
      <c r="K622" s="9">
        <v>202011.0</v>
      </c>
      <c r="L622" s="10">
        <v>1.1452990183702867</v>
      </c>
      <c r="M622" s="9">
        <v>1.1452990183702867</v>
      </c>
      <c r="N622" s="9">
        <v>118029.0</v>
      </c>
      <c r="O622" s="9">
        <v>117458.0</v>
      </c>
      <c r="P622" s="9">
        <v>31452.0</v>
      </c>
      <c r="Q622" s="9">
        <v>454.0</v>
      </c>
      <c r="R622" s="9">
        <v>0.0</v>
      </c>
      <c r="S622" s="9">
        <v>0.0</v>
      </c>
      <c r="T622" s="9">
        <v>0.0</v>
      </c>
      <c r="U622" s="9">
        <v>0.0</v>
      </c>
      <c r="V622" s="9">
        <v>0.0</v>
      </c>
      <c r="W622" s="9">
        <v>0.0</v>
      </c>
      <c r="X622" s="9">
        <v>0.0</v>
      </c>
      <c r="Y622" s="9">
        <v>0.0</v>
      </c>
      <c r="Z622" s="9">
        <v>0.0</v>
      </c>
      <c r="AA622" s="9">
        <v>0.0</v>
      </c>
      <c r="AB622" s="9">
        <v>0.0</v>
      </c>
      <c r="AC622" s="9">
        <v>0.0</v>
      </c>
      <c r="AD622" s="11" t="s">
        <v>222</v>
      </c>
      <c r="AE622" s="9" t="s">
        <v>9</v>
      </c>
    </row>
    <row r="623">
      <c r="A623" s="7" t="s">
        <v>1623</v>
      </c>
      <c r="B623" s="7" t="s">
        <v>1624</v>
      </c>
      <c r="C623" s="8">
        <v>46164.0</v>
      </c>
      <c r="D623" s="8">
        <v>46171.0</v>
      </c>
      <c r="E623" s="7" t="s">
        <v>416</v>
      </c>
      <c r="F623" s="7" t="s">
        <v>466</v>
      </c>
      <c r="G623" s="7" t="s">
        <v>355</v>
      </c>
      <c r="H623" s="9">
        <v>157612.0</v>
      </c>
      <c r="I623" s="9">
        <v>0.0</v>
      </c>
      <c r="J623" s="9">
        <v>448.0</v>
      </c>
      <c r="K623" s="9">
        <v>95664.0</v>
      </c>
      <c r="L623" s="10">
        <v>1.6475581200869711</v>
      </c>
      <c r="M623" s="9">
        <v>1.6475581200869711</v>
      </c>
      <c r="N623" s="9">
        <v>94883.0</v>
      </c>
      <c r="O623" s="9">
        <v>93953.0</v>
      </c>
      <c r="P623" s="9">
        <v>25301.0</v>
      </c>
      <c r="Q623" s="9">
        <v>268.0</v>
      </c>
      <c r="R623" s="9">
        <v>151.0</v>
      </c>
      <c r="S623" s="9">
        <v>151.0</v>
      </c>
      <c r="T623" s="9">
        <v>37.0</v>
      </c>
      <c r="U623" s="9">
        <v>35.0</v>
      </c>
      <c r="V623" s="9">
        <v>0.0</v>
      </c>
      <c r="W623" s="9">
        <v>0.0</v>
      </c>
      <c r="X623" s="9">
        <v>0.0</v>
      </c>
      <c r="Y623" s="9">
        <v>0.0</v>
      </c>
      <c r="Z623" s="9">
        <v>0.0</v>
      </c>
      <c r="AA623" s="9">
        <v>0.0</v>
      </c>
      <c r="AB623" s="9">
        <v>0.0</v>
      </c>
      <c r="AC623" s="9">
        <v>0.0</v>
      </c>
      <c r="AD623" s="9"/>
      <c r="AE623" s="9" t="s">
        <v>9</v>
      </c>
    </row>
    <row r="624">
      <c r="A624" s="7" t="s">
        <v>1625</v>
      </c>
      <c r="B624" s="7" t="s">
        <v>1626</v>
      </c>
      <c r="C624" s="8">
        <v>46164.0</v>
      </c>
      <c r="D624" s="8">
        <v>46171.0</v>
      </c>
      <c r="E624" s="7" t="s">
        <v>416</v>
      </c>
      <c r="F624" s="7" t="s">
        <v>466</v>
      </c>
      <c r="G624" s="7" t="s">
        <v>355</v>
      </c>
      <c r="H624" s="9">
        <v>153670.0</v>
      </c>
      <c r="I624" s="9">
        <v>0.0</v>
      </c>
      <c r="J624" s="9">
        <v>461.0</v>
      </c>
      <c r="K624" s="9">
        <v>95443.0</v>
      </c>
      <c r="L624" s="10">
        <v>1.610070932388965</v>
      </c>
      <c r="M624" s="9">
        <v>1.610070932388965</v>
      </c>
      <c r="N624" s="9">
        <v>80323.0</v>
      </c>
      <c r="O624" s="9">
        <v>79697.0</v>
      </c>
      <c r="P624" s="9">
        <v>13464.0</v>
      </c>
      <c r="Q624" s="9">
        <v>192.0</v>
      </c>
      <c r="R624" s="9">
        <v>106.0</v>
      </c>
      <c r="S624" s="9">
        <v>106.0</v>
      </c>
      <c r="T624" s="9">
        <v>31.0</v>
      </c>
      <c r="U624" s="9">
        <v>29.0</v>
      </c>
      <c r="V624" s="9">
        <v>0.0</v>
      </c>
      <c r="W624" s="9">
        <v>0.0</v>
      </c>
      <c r="X624" s="9">
        <v>0.0</v>
      </c>
      <c r="Y624" s="9">
        <v>0.0</v>
      </c>
      <c r="Z624" s="9">
        <v>0.0</v>
      </c>
      <c r="AA624" s="9">
        <v>0.0</v>
      </c>
      <c r="AB624" s="9">
        <v>0.0</v>
      </c>
      <c r="AC624" s="9">
        <v>0.0</v>
      </c>
      <c r="AD624" s="9"/>
      <c r="AE624" s="9" t="s">
        <v>9</v>
      </c>
    </row>
    <row r="625">
      <c r="A625" s="7" t="s">
        <v>1627</v>
      </c>
      <c r="B625" s="7" t="s">
        <v>1628</v>
      </c>
      <c r="C625" s="8">
        <v>46164.0</v>
      </c>
      <c r="D625" s="8">
        <v>46171.0</v>
      </c>
      <c r="E625" s="7" t="s">
        <v>416</v>
      </c>
      <c r="F625" s="7" t="s">
        <v>466</v>
      </c>
      <c r="G625" s="7" t="s">
        <v>355</v>
      </c>
      <c r="H625" s="9">
        <v>402288.0</v>
      </c>
      <c r="I625" s="9">
        <v>0.0</v>
      </c>
      <c r="J625" s="9">
        <v>480.0</v>
      </c>
      <c r="K625" s="9">
        <v>260478.0</v>
      </c>
      <c r="L625" s="10">
        <v>1.5444221776887108</v>
      </c>
      <c r="M625" s="9">
        <v>1.5444221776887108</v>
      </c>
      <c r="N625" s="9">
        <v>89917.0</v>
      </c>
      <c r="O625" s="9">
        <v>89640.0</v>
      </c>
      <c r="P625" s="9">
        <v>24296.0</v>
      </c>
      <c r="Q625" s="9">
        <v>246.0</v>
      </c>
      <c r="R625" s="9">
        <v>77.0</v>
      </c>
      <c r="S625" s="9">
        <v>77.0</v>
      </c>
      <c r="T625" s="9">
        <v>8.0</v>
      </c>
      <c r="U625" s="9">
        <v>8.0</v>
      </c>
      <c r="V625" s="9">
        <v>0.0</v>
      </c>
      <c r="W625" s="9">
        <v>0.0</v>
      </c>
      <c r="X625" s="9">
        <v>0.0</v>
      </c>
      <c r="Y625" s="9">
        <v>0.0</v>
      </c>
      <c r="Z625" s="9">
        <v>0.0</v>
      </c>
      <c r="AA625" s="9">
        <v>0.0</v>
      </c>
      <c r="AB625" s="9">
        <v>0.0</v>
      </c>
      <c r="AC625" s="9">
        <v>0.0</v>
      </c>
      <c r="AD625" s="9"/>
      <c r="AE625" s="9" t="s">
        <v>9</v>
      </c>
    </row>
    <row r="626">
      <c r="A626" s="7" t="s">
        <v>1629</v>
      </c>
      <c r="B626" s="7" t="s">
        <v>1630</v>
      </c>
      <c r="C626" s="8">
        <v>46164.0</v>
      </c>
      <c r="D626" s="8">
        <v>46171.0</v>
      </c>
      <c r="E626" s="7" t="s">
        <v>416</v>
      </c>
      <c r="F626" s="7" t="s">
        <v>466</v>
      </c>
      <c r="G626" s="7" t="s">
        <v>355</v>
      </c>
      <c r="H626" s="9">
        <v>0.0</v>
      </c>
      <c r="I626" s="9">
        <v>0.0</v>
      </c>
      <c r="J626" s="9">
        <v>0.0</v>
      </c>
      <c r="K626" s="9">
        <v>0.0</v>
      </c>
      <c r="L626" s="10">
        <v>0.0</v>
      </c>
      <c r="M626" s="9">
        <v>0.0</v>
      </c>
      <c r="N626" s="9">
        <v>61905.0</v>
      </c>
      <c r="O626" s="9">
        <v>61737.0</v>
      </c>
      <c r="P626" s="9">
        <v>17173.0</v>
      </c>
      <c r="Q626" s="9">
        <v>204.0</v>
      </c>
      <c r="R626" s="9">
        <v>88.0</v>
      </c>
      <c r="S626" s="9">
        <v>88.0</v>
      </c>
      <c r="T626" s="9">
        <v>22.0</v>
      </c>
      <c r="U626" s="9">
        <v>22.0</v>
      </c>
      <c r="V626" s="9">
        <v>0.0</v>
      </c>
      <c r="W626" s="9">
        <v>0.0</v>
      </c>
      <c r="X626" s="9">
        <v>0.0</v>
      </c>
      <c r="Y626" s="9">
        <v>0.0</v>
      </c>
      <c r="Z626" s="9">
        <v>0.0</v>
      </c>
      <c r="AA626" s="9">
        <v>0.0</v>
      </c>
      <c r="AB626" s="9">
        <v>0.0</v>
      </c>
      <c r="AC626" s="9">
        <v>0.0</v>
      </c>
      <c r="AD626" s="9"/>
      <c r="AE626" s="9" t="s">
        <v>9</v>
      </c>
    </row>
    <row r="627">
      <c r="A627" s="7" t="s">
        <v>1631</v>
      </c>
      <c r="B627" s="7" t="s">
        <v>1632</v>
      </c>
      <c r="C627" s="8">
        <v>46163.0</v>
      </c>
      <c r="D627" s="8">
        <v>46185.0</v>
      </c>
      <c r="E627" s="7" t="s">
        <v>416</v>
      </c>
      <c r="F627" s="7" t="s">
        <v>417</v>
      </c>
      <c r="G627" s="7" t="s">
        <v>355</v>
      </c>
      <c r="H627" s="9">
        <v>746070.0</v>
      </c>
      <c r="I627" s="9">
        <v>511470.0</v>
      </c>
      <c r="J627" s="9">
        <v>842.0</v>
      </c>
      <c r="K627" s="9">
        <v>3737.0</v>
      </c>
      <c r="L627" s="10">
        <v>38.25234145036125</v>
      </c>
      <c r="M627" s="9">
        <v>199.64409954508963</v>
      </c>
      <c r="N627" s="9">
        <v>0.0</v>
      </c>
      <c r="O627" s="9">
        <v>0.0</v>
      </c>
      <c r="P627" s="9">
        <v>0.0</v>
      </c>
      <c r="Q627" s="9">
        <v>0.0</v>
      </c>
      <c r="R627" s="9">
        <v>0.0</v>
      </c>
      <c r="S627" s="9">
        <v>0.0</v>
      </c>
      <c r="T627" s="9">
        <v>0.0</v>
      </c>
      <c r="U627" s="9">
        <v>0.0</v>
      </c>
      <c r="V627" s="9">
        <v>0.0</v>
      </c>
      <c r="W627" s="9">
        <v>0.0</v>
      </c>
      <c r="X627" s="9">
        <v>0.0</v>
      </c>
      <c r="Y627" s="9">
        <v>0.0</v>
      </c>
      <c r="Z627" s="9">
        <v>0.0</v>
      </c>
      <c r="AA627" s="9">
        <v>0.0</v>
      </c>
      <c r="AB627" s="9">
        <v>0.0</v>
      </c>
      <c r="AC627" s="9">
        <v>0.0</v>
      </c>
      <c r="AD627" s="11" t="s">
        <v>223</v>
      </c>
      <c r="AE627" s="9"/>
    </row>
    <row r="628">
      <c r="A628" s="7" t="s">
        <v>1633</v>
      </c>
      <c r="B628" s="7" t="s">
        <v>1634</v>
      </c>
      <c r="C628" s="8">
        <v>46164.0</v>
      </c>
      <c r="D628" s="8">
        <v>46169.0</v>
      </c>
      <c r="E628" s="7" t="s">
        <v>364</v>
      </c>
      <c r="F628" s="7" t="s">
        <v>365</v>
      </c>
      <c r="G628" s="7" t="s">
        <v>355</v>
      </c>
      <c r="H628" s="9">
        <v>341482.0</v>
      </c>
      <c r="I628" s="9">
        <v>0.0</v>
      </c>
      <c r="J628" s="9">
        <v>542.0</v>
      </c>
      <c r="K628" s="9">
        <v>233008.0</v>
      </c>
      <c r="L628" s="10">
        <v>1.465537663942869</v>
      </c>
      <c r="M628" s="9">
        <v>1.465537663942869</v>
      </c>
      <c r="N628" s="9">
        <v>114645.0</v>
      </c>
      <c r="O628" s="9">
        <v>113635.0</v>
      </c>
      <c r="P628" s="9">
        <v>45295.0</v>
      </c>
      <c r="Q628" s="9">
        <v>861.0</v>
      </c>
      <c r="R628" s="9">
        <v>0.0</v>
      </c>
      <c r="S628" s="9">
        <v>0.0</v>
      </c>
      <c r="T628" s="9">
        <v>0.0</v>
      </c>
      <c r="U628" s="9">
        <v>0.0</v>
      </c>
      <c r="V628" s="9">
        <v>0.0</v>
      </c>
      <c r="W628" s="9">
        <v>0.0</v>
      </c>
      <c r="X628" s="9">
        <v>0.0</v>
      </c>
      <c r="Y628" s="9">
        <v>0.0</v>
      </c>
      <c r="Z628" s="9">
        <v>0.0</v>
      </c>
      <c r="AA628" s="9">
        <v>0.0</v>
      </c>
      <c r="AB628" s="9">
        <v>0.0</v>
      </c>
      <c r="AC628" s="9">
        <v>0.0</v>
      </c>
      <c r="AD628" s="11" t="s">
        <v>224</v>
      </c>
      <c r="AE628" s="9" t="s">
        <v>9</v>
      </c>
    </row>
    <row r="629">
      <c r="A629" s="7" t="s">
        <v>1635</v>
      </c>
      <c r="B629" s="7" t="s">
        <v>1636</v>
      </c>
      <c r="C629" s="8">
        <v>46168.0</v>
      </c>
      <c r="D629" s="8">
        <v>46168.0</v>
      </c>
      <c r="E629" s="7" t="s">
        <v>353</v>
      </c>
      <c r="F629" s="7" t="s">
        <v>378</v>
      </c>
      <c r="G629" s="7" t="s">
        <v>355</v>
      </c>
      <c r="H629" s="9">
        <v>0.0</v>
      </c>
      <c r="I629" s="9">
        <v>0.0</v>
      </c>
      <c r="J629" s="9">
        <v>0.0</v>
      </c>
      <c r="K629" s="9">
        <v>0.0</v>
      </c>
      <c r="L629" s="10">
        <v>0.0</v>
      </c>
      <c r="M629" s="9">
        <v>0.0</v>
      </c>
      <c r="N629" s="9">
        <v>988.0</v>
      </c>
      <c r="O629" s="9">
        <v>984.0</v>
      </c>
      <c r="P629" s="9">
        <v>433.0</v>
      </c>
      <c r="Q629" s="9">
        <v>46.0</v>
      </c>
      <c r="R629" s="9">
        <v>0.0</v>
      </c>
      <c r="S629" s="9">
        <v>0.0</v>
      </c>
      <c r="T629" s="9">
        <v>0.0</v>
      </c>
      <c r="U629" s="9">
        <v>0.0</v>
      </c>
      <c r="V629" s="9">
        <v>0.0</v>
      </c>
      <c r="W629" s="9">
        <v>0.0</v>
      </c>
      <c r="X629" s="9">
        <v>0.0</v>
      </c>
      <c r="Y629" s="9">
        <v>0.0</v>
      </c>
      <c r="Z629" s="9">
        <v>0.0</v>
      </c>
      <c r="AA629" s="9">
        <v>0.0</v>
      </c>
      <c r="AB629" s="9">
        <v>0.0</v>
      </c>
      <c r="AC629" s="9">
        <v>0.0</v>
      </c>
      <c r="AD629" s="9"/>
      <c r="AE629" s="9" t="s">
        <v>9</v>
      </c>
    </row>
    <row r="630">
      <c r="A630" s="7" t="s">
        <v>1637</v>
      </c>
      <c r="B630" s="7" t="s">
        <v>1638</v>
      </c>
      <c r="C630" s="8">
        <v>46168.0</v>
      </c>
      <c r="D630" s="8">
        <v>46183.0</v>
      </c>
      <c r="E630" s="7" t="s">
        <v>364</v>
      </c>
      <c r="F630" s="7" t="s">
        <v>365</v>
      </c>
      <c r="G630" s="7" t="s">
        <v>355</v>
      </c>
      <c r="H630" s="9">
        <v>109949.0</v>
      </c>
      <c r="I630" s="9">
        <v>0.0</v>
      </c>
      <c r="J630" s="9">
        <v>1315.0</v>
      </c>
      <c r="K630" s="9">
        <v>49869.0</v>
      </c>
      <c r="L630" s="10">
        <v>2.2047564619302573</v>
      </c>
      <c r="M630" s="9">
        <v>2.2047564619302573</v>
      </c>
      <c r="N630" s="9">
        <v>108747.0</v>
      </c>
      <c r="O630" s="9">
        <v>107489.0</v>
      </c>
      <c r="P630" s="9">
        <v>34431.0</v>
      </c>
      <c r="Q630" s="9">
        <v>480.0</v>
      </c>
      <c r="R630" s="9">
        <v>0.0</v>
      </c>
      <c r="S630" s="9">
        <v>0.0</v>
      </c>
      <c r="T630" s="9">
        <v>0.0</v>
      </c>
      <c r="U630" s="9">
        <v>0.0</v>
      </c>
      <c r="V630" s="9">
        <v>0.0</v>
      </c>
      <c r="W630" s="9">
        <v>0.0</v>
      </c>
      <c r="X630" s="9">
        <v>0.0</v>
      </c>
      <c r="Y630" s="9">
        <v>0.0</v>
      </c>
      <c r="Z630" s="9">
        <v>0.0</v>
      </c>
      <c r="AA630" s="9">
        <v>0.0</v>
      </c>
      <c r="AB630" s="9">
        <v>0.0</v>
      </c>
      <c r="AC630" s="9">
        <v>0.0</v>
      </c>
      <c r="AD630" s="11" t="s">
        <v>225</v>
      </c>
      <c r="AE630" s="9" t="s">
        <v>9</v>
      </c>
    </row>
    <row r="631">
      <c r="A631" s="7" t="s">
        <v>1639</v>
      </c>
      <c r="B631" s="7" t="s">
        <v>1640</v>
      </c>
      <c r="C631" s="8">
        <v>46189.0</v>
      </c>
      <c r="D631" s="8">
        <v>46203.0</v>
      </c>
      <c r="E631" s="7" t="s">
        <v>404</v>
      </c>
      <c r="F631" s="7" t="s">
        <v>667</v>
      </c>
      <c r="G631" s="7" t="s">
        <v>355</v>
      </c>
      <c r="H631" s="9">
        <v>3252966.0</v>
      </c>
      <c r="I631" s="9">
        <v>1300322.0</v>
      </c>
      <c r="J631" s="9">
        <v>4118.0</v>
      </c>
      <c r="K631" s="9">
        <v>91230.0</v>
      </c>
      <c r="L631" s="10">
        <v>2.2338046695166063</v>
      </c>
      <c r="M631" s="9">
        <v>35.65675764551135</v>
      </c>
      <c r="N631" s="9">
        <v>175778.0</v>
      </c>
      <c r="O631" s="9">
        <v>173954.0</v>
      </c>
      <c r="P631" s="9">
        <v>57914.0</v>
      </c>
      <c r="Q631" s="9">
        <v>5759.0</v>
      </c>
      <c r="R631" s="9">
        <v>0.0</v>
      </c>
      <c r="S631" s="9">
        <v>0.0</v>
      </c>
      <c r="T631" s="9">
        <v>0.0</v>
      </c>
      <c r="U631" s="9">
        <v>0.0</v>
      </c>
      <c r="V631" s="9">
        <v>0.0</v>
      </c>
      <c r="W631" s="9">
        <v>0.0</v>
      </c>
      <c r="X631" s="9">
        <v>0.0</v>
      </c>
      <c r="Y631" s="9">
        <v>0.0</v>
      </c>
      <c r="Z631" s="9">
        <v>0.0</v>
      </c>
      <c r="AA631" s="9">
        <v>0.0</v>
      </c>
      <c r="AB631" s="9">
        <v>0.0</v>
      </c>
      <c r="AC631" s="9">
        <v>0.0</v>
      </c>
      <c r="AD631" s="11" t="s">
        <v>226</v>
      </c>
      <c r="AE631" s="9" t="s">
        <v>9</v>
      </c>
    </row>
    <row r="632">
      <c r="A632" s="7" t="s">
        <v>1641</v>
      </c>
      <c r="B632" s="7" t="s">
        <v>1642</v>
      </c>
      <c r="C632" s="8">
        <v>46174.0</v>
      </c>
      <c r="D632" s="8">
        <v>46176.0</v>
      </c>
      <c r="E632" s="7" t="s">
        <v>416</v>
      </c>
      <c r="F632" s="7" t="s">
        <v>430</v>
      </c>
      <c r="G632" s="7" t="s">
        <v>355</v>
      </c>
      <c r="H632" s="9">
        <v>0.0</v>
      </c>
      <c r="I632" s="9">
        <v>0.0</v>
      </c>
      <c r="J632" s="9">
        <v>0.0</v>
      </c>
      <c r="K632" s="9">
        <v>0.0</v>
      </c>
      <c r="L632" s="10">
        <v>0.0</v>
      </c>
      <c r="M632" s="9">
        <v>0.0</v>
      </c>
      <c r="N632" s="9">
        <v>887.0</v>
      </c>
      <c r="O632" s="9">
        <v>887.0</v>
      </c>
      <c r="P632" s="9">
        <v>494.0</v>
      </c>
      <c r="Q632" s="9">
        <v>80.0</v>
      </c>
      <c r="R632" s="9">
        <v>0.0</v>
      </c>
      <c r="S632" s="9">
        <v>0.0</v>
      </c>
      <c r="T632" s="9">
        <v>0.0</v>
      </c>
      <c r="U632" s="9">
        <v>0.0</v>
      </c>
      <c r="V632" s="9">
        <v>0.0</v>
      </c>
      <c r="W632" s="9">
        <v>0.0</v>
      </c>
      <c r="X632" s="9">
        <v>0.0</v>
      </c>
      <c r="Y632" s="9">
        <v>0.0</v>
      </c>
      <c r="Z632" s="9">
        <v>0.0</v>
      </c>
      <c r="AA632" s="9">
        <v>0.0</v>
      </c>
      <c r="AB632" s="9">
        <v>0.0</v>
      </c>
      <c r="AC632" s="9">
        <v>0.0</v>
      </c>
      <c r="AD632" s="9"/>
      <c r="AE632" s="9" t="s">
        <v>9</v>
      </c>
    </row>
    <row r="633">
      <c r="A633" s="7" t="s">
        <v>1643</v>
      </c>
      <c r="B633" s="7" t="s">
        <v>1644</v>
      </c>
      <c r="C633" s="8">
        <v>46171.0</v>
      </c>
      <c r="D633" s="8">
        <v>46171.0</v>
      </c>
      <c r="E633" s="7" t="s">
        <v>358</v>
      </c>
      <c r="F633" s="7" t="s">
        <v>387</v>
      </c>
      <c r="G633" s="7" t="s">
        <v>355</v>
      </c>
      <c r="H633" s="9">
        <v>0.0</v>
      </c>
      <c r="I633" s="9">
        <v>0.0</v>
      </c>
      <c r="J633" s="9">
        <v>0.0</v>
      </c>
      <c r="K633" s="9">
        <v>0.0</v>
      </c>
      <c r="L633" s="10">
        <v>0.0</v>
      </c>
      <c r="M633" s="9">
        <v>0.0</v>
      </c>
      <c r="N633" s="9">
        <v>10439.0</v>
      </c>
      <c r="O633" s="9">
        <v>10378.0</v>
      </c>
      <c r="P633" s="9">
        <v>3365.0</v>
      </c>
      <c r="Q633" s="9">
        <v>155.0</v>
      </c>
      <c r="R633" s="9">
        <v>0.0</v>
      </c>
      <c r="S633" s="9">
        <v>0.0</v>
      </c>
      <c r="T633" s="9">
        <v>0.0</v>
      </c>
      <c r="U633" s="9">
        <v>0.0</v>
      </c>
      <c r="V633" s="9">
        <v>0.0</v>
      </c>
      <c r="W633" s="9">
        <v>0.0</v>
      </c>
      <c r="X633" s="9">
        <v>0.0</v>
      </c>
      <c r="Y633" s="9">
        <v>0.0</v>
      </c>
      <c r="Z633" s="9">
        <v>0.0</v>
      </c>
      <c r="AA633" s="9">
        <v>0.0</v>
      </c>
      <c r="AB633" s="9">
        <v>0.0</v>
      </c>
      <c r="AC633" s="9">
        <v>0.0</v>
      </c>
      <c r="AD633" s="9"/>
      <c r="AE633" s="9" t="s">
        <v>9</v>
      </c>
    </row>
    <row r="634">
      <c r="A634" s="7" t="s">
        <v>1645</v>
      </c>
      <c r="B634" s="7" t="s">
        <v>1646</v>
      </c>
      <c r="C634" s="8">
        <v>46171.0</v>
      </c>
      <c r="D634" s="8">
        <v>46171.0</v>
      </c>
      <c r="E634" s="7" t="s">
        <v>358</v>
      </c>
      <c r="F634" s="7" t="s">
        <v>387</v>
      </c>
      <c r="G634" s="7" t="s">
        <v>355</v>
      </c>
      <c r="H634" s="9">
        <v>0.0</v>
      </c>
      <c r="I634" s="9">
        <v>0.0</v>
      </c>
      <c r="J634" s="9">
        <v>0.0</v>
      </c>
      <c r="K634" s="9">
        <v>0.0</v>
      </c>
      <c r="L634" s="10">
        <v>0.0</v>
      </c>
      <c r="M634" s="9">
        <v>0.0</v>
      </c>
      <c r="N634" s="9">
        <v>14291.0</v>
      </c>
      <c r="O634" s="9">
        <v>14146.0</v>
      </c>
      <c r="P634" s="9">
        <v>4032.0</v>
      </c>
      <c r="Q634" s="9">
        <v>174.0</v>
      </c>
      <c r="R634" s="9">
        <v>0.0</v>
      </c>
      <c r="S634" s="9">
        <v>0.0</v>
      </c>
      <c r="T634" s="9">
        <v>0.0</v>
      </c>
      <c r="U634" s="9">
        <v>0.0</v>
      </c>
      <c r="V634" s="9">
        <v>0.0</v>
      </c>
      <c r="W634" s="9">
        <v>0.0</v>
      </c>
      <c r="X634" s="9">
        <v>0.0</v>
      </c>
      <c r="Y634" s="9">
        <v>0.0</v>
      </c>
      <c r="Z634" s="9">
        <v>0.0</v>
      </c>
      <c r="AA634" s="9">
        <v>0.0</v>
      </c>
      <c r="AB634" s="9">
        <v>0.0</v>
      </c>
      <c r="AC634" s="9">
        <v>0.0</v>
      </c>
      <c r="AD634" s="9"/>
      <c r="AE634" s="9" t="s">
        <v>9</v>
      </c>
    </row>
    <row r="635">
      <c r="A635" s="7" t="s">
        <v>1647</v>
      </c>
      <c r="B635" s="7" t="s">
        <v>1648</v>
      </c>
      <c r="C635" s="8">
        <v>46175.0</v>
      </c>
      <c r="D635" s="8">
        <v>46175.0</v>
      </c>
      <c r="E635" s="7" t="s">
        <v>358</v>
      </c>
      <c r="F635" s="7" t="s">
        <v>387</v>
      </c>
      <c r="G635" s="7" t="s">
        <v>355</v>
      </c>
      <c r="H635" s="9">
        <v>0.0</v>
      </c>
      <c r="I635" s="9">
        <v>0.0</v>
      </c>
      <c r="J635" s="9">
        <v>0.0</v>
      </c>
      <c r="K635" s="9">
        <v>0.0</v>
      </c>
      <c r="L635" s="10">
        <v>0.0</v>
      </c>
      <c r="M635" s="9">
        <v>0.0</v>
      </c>
      <c r="N635" s="9">
        <v>23966.0</v>
      </c>
      <c r="O635" s="9">
        <v>23657.0</v>
      </c>
      <c r="P635" s="9">
        <v>7489.0</v>
      </c>
      <c r="Q635" s="9">
        <v>246.0</v>
      </c>
      <c r="R635" s="9">
        <v>0.0</v>
      </c>
      <c r="S635" s="9">
        <v>0.0</v>
      </c>
      <c r="T635" s="9">
        <v>0.0</v>
      </c>
      <c r="U635" s="9">
        <v>0.0</v>
      </c>
      <c r="V635" s="9">
        <v>0.0</v>
      </c>
      <c r="W635" s="9">
        <v>0.0</v>
      </c>
      <c r="X635" s="9">
        <v>0.0</v>
      </c>
      <c r="Y635" s="9">
        <v>0.0</v>
      </c>
      <c r="Z635" s="9">
        <v>0.0</v>
      </c>
      <c r="AA635" s="9">
        <v>0.0</v>
      </c>
      <c r="AB635" s="9">
        <v>0.0</v>
      </c>
      <c r="AC635" s="9">
        <v>0.0</v>
      </c>
      <c r="AD635" s="9"/>
      <c r="AE635" s="9" t="s">
        <v>9</v>
      </c>
    </row>
    <row r="636">
      <c r="A636" s="7" t="s">
        <v>1649</v>
      </c>
      <c r="B636" s="7" t="s">
        <v>1650</v>
      </c>
      <c r="C636" s="8">
        <v>46175.0</v>
      </c>
      <c r="D636" s="8">
        <v>46175.0</v>
      </c>
      <c r="E636" s="7" t="s">
        <v>358</v>
      </c>
      <c r="F636" s="7" t="s">
        <v>387</v>
      </c>
      <c r="G636" s="7" t="s">
        <v>355</v>
      </c>
      <c r="H636" s="9">
        <v>0.0</v>
      </c>
      <c r="I636" s="9">
        <v>0.0</v>
      </c>
      <c r="J636" s="9">
        <v>0.0</v>
      </c>
      <c r="K636" s="9">
        <v>0.0</v>
      </c>
      <c r="L636" s="10">
        <v>0.0</v>
      </c>
      <c r="M636" s="9">
        <v>0.0</v>
      </c>
      <c r="N636" s="9">
        <v>1126.0</v>
      </c>
      <c r="O636" s="9">
        <v>1091.0</v>
      </c>
      <c r="P636" s="9">
        <v>224.0</v>
      </c>
      <c r="Q636" s="9">
        <v>12.0</v>
      </c>
      <c r="R636" s="9">
        <v>0.0</v>
      </c>
      <c r="S636" s="9">
        <v>0.0</v>
      </c>
      <c r="T636" s="9">
        <v>0.0</v>
      </c>
      <c r="U636" s="9">
        <v>0.0</v>
      </c>
      <c r="V636" s="9">
        <v>0.0</v>
      </c>
      <c r="W636" s="9">
        <v>0.0</v>
      </c>
      <c r="X636" s="9">
        <v>0.0</v>
      </c>
      <c r="Y636" s="9">
        <v>0.0</v>
      </c>
      <c r="Z636" s="9">
        <v>0.0</v>
      </c>
      <c r="AA636" s="9">
        <v>1128.0</v>
      </c>
      <c r="AB636" s="9">
        <v>1043.0</v>
      </c>
      <c r="AC636" s="9">
        <v>32.0</v>
      </c>
      <c r="AD636" s="9"/>
      <c r="AE636" s="9" t="s">
        <v>9</v>
      </c>
    </row>
    <row r="637">
      <c r="A637" s="7" t="s">
        <v>1651</v>
      </c>
      <c r="B637" s="7" t="s">
        <v>1652</v>
      </c>
      <c r="C637" s="8">
        <v>46175.0</v>
      </c>
      <c r="D637" s="8">
        <v>46175.0</v>
      </c>
      <c r="E637" s="7" t="s">
        <v>358</v>
      </c>
      <c r="F637" s="7" t="s">
        <v>387</v>
      </c>
      <c r="G637" s="7" t="s">
        <v>355</v>
      </c>
      <c r="H637" s="9">
        <v>0.0</v>
      </c>
      <c r="I637" s="9">
        <v>0.0</v>
      </c>
      <c r="J637" s="9">
        <v>0.0</v>
      </c>
      <c r="K637" s="9">
        <v>0.0</v>
      </c>
      <c r="L637" s="10">
        <v>0.0</v>
      </c>
      <c r="M637" s="9">
        <v>0.0</v>
      </c>
      <c r="N637" s="9">
        <v>16691.0</v>
      </c>
      <c r="O637" s="9">
        <v>16470.0</v>
      </c>
      <c r="P637" s="9">
        <v>5323.0</v>
      </c>
      <c r="Q637" s="9">
        <v>203.0</v>
      </c>
      <c r="R637" s="9">
        <v>0.0</v>
      </c>
      <c r="S637" s="9">
        <v>0.0</v>
      </c>
      <c r="T637" s="9">
        <v>0.0</v>
      </c>
      <c r="U637" s="9">
        <v>0.0</v>
      </c>
      <c r="V637" s="9">
        <v>0.0</v>
      </c>
      <c r="W637" s="9">
        <v>0.0</v>
      </c>
      <c r="X637" s="9">
        <v>0.0</v>
      </c>
      <c r="Y637" s="9">
        <v>0.0</v>
      </c>
      <c r="Z637" s="9">
        <v>0.0</v>
      </c>
      <c r="AA637" s="9">
        <v>0.0</v>
      </c>
      <c r="AB637" s="9">
        <v>0.0</v>
      </c>
      <c r="AC637" s="9">
        <v>0.0</v>
      </c>
      <c r="AD637" s="9"/>
      <c r="AE637" s="9" t="s">
        <v>9</v>
      </c>
    </row>
    <row r="638">
      <c r="A638" s="7" t="s">
        <v>1653</v>
      </c>
      <c r="B638" s="7" t="s">
        <v>1654</v>
      </c>
      <c r="C638" s="8">
        <v>46168.0</v>
      </c>
      <c r="D638" s="8">
        <v>46169.0</v>
      </c>
      <c r="E638" s="7" t="s">
        <v>353</v>
      </c>
      <c r="F638" s="7" t="s">
        <v>808</v>
      </c>
      <c r="G638" s="7" t="s">
        <v>355</v>
      </c>
      <c r="H638" s="9">
        <v>534980.0</v>
      </c>
      <c r="I638" s="9">
        <v>0.0</v>
      </c>
      <c r="J638" s="9">
        <v>1499.0</v>
      </c>
      <c r="K638" s="9">
        <v>519280.0</v>
      </c>
      <c r="L638" s="10">
        <v>1.0302341703897704</v>
      </c>
      <c r="M638" s="9">
        <v>1.0302341703897704</v>
      </c>
      <c r="N638" s="9">
        <v>0.0</v>
      </c>
      <c r="O638" s="9">
        <v>0.0</v>
      </c>
      <c r="P638" s="9">
        <v>0.0</v>
      </c>
      <c r="Q638" s="9">
        <v>0.0</v>
      </c>
      <c r="R638" s="9">
        <v>0.0</v>
      </c>
      <c r="S638" s="9">
        <v>0.0</v>
      </c>
      <c r="T638" s="9">
        <v>0.0</v>
      </c>
      <c r="U638" s="9">
        <v>0.0</v>
      </c>
      <c r="V638" s="9">
        <v>0.0</v>
      </c>
      <c r="W638" s="9">
        <v>0.0</v>
      </c>
      <c r="X638" s="9">
        <v>0.0</v>
      </c>
      <c r="Y638" s="9">
        <v>0.0</v>
      </c>
      <c r="Z638" s="9">
        <v>0.0</v>
      </c>
      <c r="AA638" s="9">
        <v>0.0</v>
      </c>
      <c r="AB638" s="9">
        <v>0.0</v>
      </c>
      <c r="AC638" s="9">
        <v>0.0</v>
      </c>
      <c r="AD638" s="11" t="s">
        <v>227</v>
      </c>
      <c r="AE638" s="9"/>
    </row>
    <row r="639">
      <c r="A639" s="7" t="s">
        <v>1655</v>
      </c>
      <c r="B639" s="7" t="s">
        <v>1656</v>
      </c>
      <c r="C639" s="8">
        <v>46169.0</v>
      </c>
      <c r="D639" s="8">
        <v>46180.0</v>
      </c>
      <c r="E639" s="7" t="s">
        <v>364</v>
      </c>
      <c r="F639" s="7" t="s">
        <v>365</v>
      </c>
      <c r="G639" s="7" t="s">
        <v>355</v>
      </c>
      <c r="H639" s="9">
        <v>120082.0</v>
      </c>
      <c r="I639" s="9">
        <v>0.0</v>
      </c>
      <c r="J639" s="9">
        <v>1964.0</v>
      </c>
      <c r="K639" s="9">
        <v>49853.0</v>
      </c>
      <c r="L639" s="10">
        <v>2.4087216416263817</v>
      </c>
      <c r="M639" s="9">
        <v>2.4087216416263817</v>
      </c>
      <c r="N639" s="9">
        <v>75406.0</v>
      </c>
      <c r="O639" s="9">
        <v>74805.0</v>
      </c>
      <c r="P639" s="9">
        <v>30307.0</v>
      </c>
      <c r="Q639" s="9">
        <v>251.0</v>
      </c>
      <c r="R639" s="9">
        <v>0.0</v>
      </c>
      <c r="S639" s="9">
        <v>0.0</v>
      </c>
      <c r="T639" s="9">
        <v>0.0</v>
      </c>
      <c r="U639" s="9">
        <v>0.0</v>
      </c>
      <c r="V639" s="9">
        <v>0.0</v>
      </c>
      <c r="W639" s="9">
        <v>0.0</v>
      </c>
      <c r="X639" s="9">
        <v>0.0</v>
      </c>
      <c r="Y639" s="9">
        <v>0.0</v>
      </c>
      <c r="Z639" s="9">
        <v>0.0</v>
      </c>
      <c r="AA639" s="9">
        <v>33075.0</v>
      </c>
      <c r="AB639" s="9">
        <v>31744.0</v>
      </c>
      <c r="AC639" s="9">
        <v>649.0</v>
      </c>
      <c r="AD639" s="11" t="s">
        <v>228</v>
      </c>
      <c r="AE639" s="9" t="s">
        <v>9</v>
      </c>
    </row>
    <row r="640">
      <c r="A640" s="7" t="s">
        <v>1657</v>
      </c>
      <c r="B640" s="7" t="s">
        <v>1658</v>
      </c>
      <c r="C640" s="8">
        <v>46171.0</v>
      </c>
      <c r="D640" s="8">
        <v>46184.0</v>
      </c>
      <c r="E640" s="7" t="s">
        <v>358</v>
      </c>
      <c r="F640" s="7" t="s">
        <v>466</v>
      </c>
      <c r="G640" s="7" t="s">
        <v>355</v>
      </c>
      <c r="H640" s="9">
        <v>3901300.0</v>
      </c>
      <c r="I640" s="9">
        <v>1892978.0</v>
      </c>
      <c r="J640" s="9">
        <v>3454.0</v>
      </c>
      <c r="K640" s="9">
        <v>552347.0</v>
      </c>
      <c r="L640" s="10">
        <v>1.708445958790398</v>
      </c>
      <c r="M640" s="9">
        <v>7.063132414949298</v>
      </c>
      <c r="N640" s="9">
        <v>373076.0</v>
      </c>
      <c r="O640" s="9">
        <v>371436.0</v>
      </c>
      <c r="P640" s="9">
        <v>140614.0</v>
      </c>
      <c r="Q640" s="9">
        <v>1516.0</v>
      </c>
      <c r="R640" s="9">
        <v>0.0</v>
      </c>
      <c r="S640" s="9">
        <v>0.0</v>
      </c>
      <c r="T640" s="9">
        <v>0.0</v>
      </c>
      <c r="U640" s="9">
        <v>0.0</v>
      </c>
      <c r="V640" s="9">
        <v>0.0</v>
      </c>
      <c r="W640" s="9">
        <v>0.0</v>
      </c>
      <c r="X640" s="9">
        <v>0.0</v>
      </c>
      <c r="Y640" s="9">
        <v>0.0</v>
      </c>
      <c r="Z640" s="9">
        <v>0.0</v>
      </c>
      <c r="AA640" s="9">
        <v>0.0</v>
      </c>
      <c r="AB640" s="9">
        <v>0.0</v>
      </c>
      <c r="AC640" s="9">
        <v>0.0</v>
      </c>
      <c r="AD640" s="11" t="s">
        <v>229</v>
      </c>
      <c r="AE640" s="9" t="s">
        <v>9</v>
      </c>
    </row>
    <row r="641">
      <c r="A641" s="7" t="s">
        <v>1659</v>
      </c>
      <c r="B641" s="7" t="s">
        <v>1660</v>
      </c>
      <c r="C641" s="8">
        <v>46174.0</v>
      </c>
      <c r="D641" s="8">
        <v>46188.0</v>
      </c>
      <c r="E641" s="7" t="s">
        <v>364</v>
      </c>
      <c r="F641" s="7" t="s">
        <v>365</v>
      </c>
      <c r="G641" s="7" t="s">
        <v>355</v>
      </c>
      <c r="H641" s="9">
        <v>68571.0</v>
      </c>
      <c r="I641" s="9">
        <v>0.0</v>
      </c>
      <c r="J641" s="9">
        <v>3.0</v>
      </c>
      <c r="K641" s="9">
        <v>28687.0</v>
      </c>
      <c r="L641" s="10">
        <v>2.390316171087949</v>
      </c>
      <c r="M641" s="9">
        <v>2.390316171087949</v>
      </c>
      <c r="N641" s="9">
        <v>101184.0</v>
      </c>
      <c r="O641" s="9">
        <v>100314.0</v>
      </c>
      <c r="P641" s="9">
        <v>39773.0</v>
      </c>
      <c r="Q641" s="9">
        <v>356.0</v>
      </c>
      <c r="R641" s="9">
        <v>0.0</v>
      </c>
      <c r="S641" s="9">
        <v>0.0</v>
      </c>
      <c r="T641" s="9">
        <v>0.0</v>
      </c>
      <c r="U641" s="9">
        <v>0.0</v>
      </c>
      <c r="V641" s="9">
        <v>0.0</v>
      </c>
      <c r="W641" s="9">
        <v>0.0</v>
      </c>
      <c r="X641" s="9">
        <v>0.0</v>
      </c>
      <c r="Y641" s="9">
        <v>0.0</v>
      </c>
      <c r="Z641" s="9">
        <v>0.0</v>
      </c>
      <c r="AA641" s="9">
        <v>0.0</v>
      </c>
      <c r="AB641" s="9">
        <v>0.0</v>
      </c>
      <c r="AC641" s="9">
        <v>0.0</v>
      </c>
      <c r="AD641" s="11" t="s">
        <v>230</v>
      </c>
      <c r="AE641" s="9" t="s">
        <v>9</v>
      </c>
    </row>
    <row r="642">
      <c r="A642" s="7" t="s">
        <v>1661</v>
      </c>
      <c r="B642" s="7" t="s">
        <v>1662</v>
      </c>
      <c r="C642" s="8">
        <v>46169.0</v>
      </c>
      <c r="D642" s="8">
        <v>46192.0</v>
      </c>
      <c r="E642" s="7" t="s">
        <v>416</v>
      </c>
      <c r="F642" s="7" t="s">
        <v>417</v>
      </c>
      <c r="G642" s="7" t="s">
        <v>355</v>
      </c>
      <c r="H642" s="9">
        <v>2536574.0</v>
      </c>
      <c r="I642" s="9">
        <v>1540972.0</v>
      </c>
      <c r="J642" s="9">
        <v>8098.0</v>
      </c>
      <c r="K642" s="9">
        <v>66212.0</v>
      </c>
      <c r="L642" s="10">
        <v>2.8288678789343322</v>
      </c>
      <c r="M642" s="9">
        <v>38.30988340482088</v>
      </c>
      <c r="N642" s="9">
        <v>131641.0</v>
      </c>
      <c r="O642" s="9">
        <v>129894.0</v>
      </c>
      <c r="P642" s="9">
        <v>26718.0</v>
      </c>
      <c r="Q642" s="9">
        <v>1536.0</v>
      </c>
      <c r="R642" s="9">
        <v>17946.0</v>
      </c>
      <c r="S642" s="9">
        <v>7188.0</v>
      </c>
      <c r="T642" s="9">
        <v>1653.0</v>
      </c>
      <c r="U642" s="9">
        <v>1395.0</v>
      </c>
      <c r="V642" s="9">
        <v>33371.0</v>
      </c>
      <c r="W642" s="9">
        <v>24967.0</v>
      </c>
      <c r="X642" s="9">
        <v>22524.0</v>
      </c>
      <c r="Y642" s="9">
        <v>9579.0</v>
      </c>
      <c r="Z642" s="9">
        <v>19.0</v>
      </c>
      <c r="AA642" s="9">
        <v>0.0</v>
      </c>
      <c r="AB642" s="9">
        <v>0.0</v>
      </c>
      <c r="AC642" s="9">
        <v>0.0</v>
      </c>
      <c r="AD642" s="11" t="s">
        <v>231</v>
      </c>
      <c r="AE642" s="9" t="s">
        <v>9</v>
      </c>
    </row>
    <row r="643">
      <c r="A643" s="7" t="s">
        <v>1663</v>
      </c>
      <c r="B643" s="7" t="s">
        <v>1664</v>
      </c>
      <c r="C643" s="8">
        <v>46174.0</v>
      </c>
      <c r="D643" s="8">
        <v>46220.0</v>
      </c>
      <c r="E643" s="7" t="s">
        <v>358</v>
      </c>
      <c r="F643" s="7" t="s">
        <v>1665</v>
      </c>
      <c r="G643" s="7" t="s">
        <v>355</v>
      </c>
      <c r="H643" s="9">
        <v>0.0</v>
      </c>
      <c r="I643" s="9">
        <v>0.0</v>
      </c>
      <c r="J643" s="9">
        <v>0.0</v>
      </c>
      <c r="K643" s="9">
        <v>0.0</v>
      </c>
      <c r="L643" s="10">
        <v>0.0</v>
      </c>
      <c r="M643" s="9">
        <v>0.0</v>
      </c>
      <c r="N643" s="9">
        <v>156745.0</v>
      </c>
      <c r="O643" s="9">
        <v>154393.0</v>
      </c>
      <c r="P643" s="9">
        <v>40564.0</v>
      </c>
      <c r="Q643" s="9">
        <v>1056.0</v>
      </c>
      <c r="R643" s="9">
        <v>0.0</v>
      </c>
      <c r="S643" s="9">
        <v>0.0</v>
      </c>
      <c r="T643" s="9">
        <v>0.0</v>
      </c>
      <c r="U643" s="9">
        <v>0.0</v>
      </c>
      <c r="V643" s="9">
        <v>0.0</v>
      </c>
      <c r="W643" s="9">
        <v>0.0</v>
      </c>
      <c r="X643" s="9">
        <v>0.0</v>
      </c>
      <c r="Y643" s="9">
        <v>0.0</v>
      </c>
      <c r="Z643" s="9">
        <v>0.0</v>
      </c>
      <c r="AA643" s="9">
        <v>0.0</v>
      </c>
      <c r="AB643" s="9">
        <v>0.0</v>
      </c>
      <c r="AC643" s="9">
        <v>0.0</v>
      </c>
      <c r="AD643" s="9"/>
      <c r="AE643" s="9" t="s">
        <v>9</v>
      </c>
    </row>
    <row r="644">
      <c r="A644" s="7" t="s">
        <v>1666</v>
      </c>
      <c r="B644" s="7" t="s">
        <v>1667</v>
      </c>
      <c r="C644" s="8">
        <v>46190.0</v>
      </c>
      <c r="D644" s="8">
        <v>46199.0</v>
      </c>
      <c r="E644" s="7" t="s">
        <v>404</v>
      </c>
      <c r="F644" s="7" t="s">
        <v>783</v>
      </c>
      <c r="G644" s="7" t="s">
        <v>355</v>
      </c>
      <c r="H644" s="9">
        <v>105786.0</v>
      </c>
      <c r="I644" s="9">
        <v>0.0</v>
      </c>
      <c r="J644" s="9">
        <v>317.0</v>
      </c>
      <c r="K644" s="9">
        <v>51384.0</v>
      </c>
      <c r="L644" s="10">
        <v>2.0587342363381596</v>
      </c>
      <c r="M644" s="9">
        <v>2.0587342363381596</v>
      </c>
      <c r="N644" s="9">
        <v>0.0</v>
      </c>
      <c r="O644" s="9">
        <v>0.0</v>
      </c>
      <c r="P644" s="9">
        <v>0.0</v>
      </c>
      <c r="Q644" s="9">
        <v>0.0</v>
      </c>
      <c r="R644" s="9">
        <v>0.0</v>
      </c>
      <c r="S644" s="9">
        <v>0.0</v>
      </c>
      <c r="T644" s="9">
        <v>0.0</v>
      </c>
      <c r="U644" s="9">
        <v>0.0</v>
      </c>
      <c r="V644" s="9">
        <v>0.0</v>
      </c>
      <c r="W644" s="9">
        <v>0.0</v>
      </c>
      <c r="X644" s="9">
        <v>0.0</v>
      </c>
      <c r="Y644" s="9">
        <v>0.0</v>
      </c>
      <c r="Z644" s="9">
        <v>0.0</v>
      </c>
      <c r="AA644" s="9">
        <v>0.0</v>
      </c>
      <c r="AB644" s="9">
        <v>0.0</v>
      </c>
      <c r="AC644" s="9">
        <v>0.0</v>
      </c>
      <c r="AD644" s="11" t="s">
        <v>232</v>
      </c>
      <c r="AE644" s="9"/>
    </row>
    <row r="645">
      <c r="A645" s="7" t="s">
        <v>1668</v>
      </c>
      <c r="B645" s="7" t="s">
        <v>1669</v>
      </c>
      <c r="C645" s="8">
        <v>46175.0</v>
      </c>
      <c r="D645" s="8">
        <v>46175.0</v>
      </c>
      <c r="E645" s="7" t="s">
        <v>416</v>
      </c>
      <c r="F645" s="7" t="s">
        <v>430</v>
      </c>
      <c r="G645" s="7" t="s">
        <v>355</v>
      </c>
      <c r="H645" s="9">
        <v>0.0</v>
      </c>
      <c r="I645" s="9">
        <v>0.0</v>
      </c>
      <c r="J645" s="9">
        <v>0.0</v>
      </c>
      <c r="K645" s="9">
        <v>0.0</v>
      </c>
      <c r="L645" s="10">
        <v>0.0</v>
      </c>
      <c r="M645" s="9">
        <v>0.0</v>
      </c>
      <c r="N645" s="9">
        <v>97244.0</v>
      </c>
      <c r="O645" s="9">
        <v>96091.0</v>
      </c>
      <c r="P645" s="9">
        <v>29219.0</v>
      </c>
      <c r="Q645" s="9">
        <v>705.0</v>
      </c>
      <c r="R645" s="9">
        <v>0.0</v>
      </c>
      <c r="S645" s="9">
        <v>0.0</v>
      </c>
      <c r="T645" s="9">
        <v>0.0</v>
      </c>
      <c r="U645" s="9">
        <v>0.0</v>
      </c>
      <c r="V645" s="9">
        <v>0.0</v>
      </c>
      <c r="W645" s="9">
        <v>0.0</v>
      </c>
      <c r="X645" s="9">
        <v>0.0</v>
      </c>
      <c r="Y645" s="9">
        <v>0.0</v>
      </c>
      <c r="Z645" s="9">
        <v>0.0</v>
      </c>
      <c r="AA645" s="9">
        <v>0.0</v>
      </c>
      <c r="AB645" s="9">
        <v>0.0</v>
      </c>
      <c r="AC645" s="9">
        <v>0.0</v>
      </c>
      <c r="AD645" s="9"/>
      <c r="AE645" s="9" t="s">
        <v>9</v>
      </c>
    </row>
    <row r="646">
      <c r="A646" s="7" t="s">
        <v>1670</v>
      </c>
      <c r="B646" s="7" t="s">
        <v>1671</v>
      </c>
      <c r="C646" s="8">
        <v>46170.0</v>
      </c>
      <c r="D646" s="8">
        <v>46175.0</v>
      </c>
      <c r="E646" s="7" t="s">
        <v>416</v>
      </c>
      <c r="F646" s="7" t="s">
        <v>594</v>
      </c>
      <c r="G646" s="7" t="s">
        <v>355</v>
      </c>
      <c r="H646" s="9">
        <v>0.0</v>
      </c>
      <c r="I646" s="9">
        <v>0.0</v>
      </c>
      <c r="J646" s="9">
        <v>0.0</v>
      </c>
      <c r="K646" s="9">
        <v>0.0</v>
      </c>
      <c r="L646" s="10">
        <v>0.0</v>
      </c>
      <c r="M646" s="9">
        <v>0.0</v>
      </c>
      <c r="N646" s="9">
        <v>34316.0</v>
      </c>
      <c r="O646" s="9">
        <v>33930.0</v>
      </c>
      <c r="P646" s="9">
        <v>6094.0</v>
      </c>
      <c r="Q646" s="9">
        <v>153.0</v>
      </c>
      <c r="R646" s="9">
        <v>63.0</v>
      </c>
      <c r="S646" s="9">
        <v>63.0</v>
      </c>
      <c r="T646" s="9">
        <v>27.0</v>
      </c>
      <c r="U646" s="9">
        <v>27.0</v>
      </c>
      <c r="V646" s="9">
        <v>0.0</v>
      </c>
      <c r="W646" s="9">
        <v>0.0</v>
      </c>
      <c r="X646" s="9">
        <v>0.0</v>
      </c>
      <c r="Y646" s="9">
        <v>0.0</v>
      </c>
      <c r="Z646" s="9">
        <v>0.0</v>
      </c>
      <c r="AA646" s="9">
        <v>0.0</v>
      </c>
      <c r="AB646" s="9">
        <v>0.0</v>
      </c>
      <c r="AC646" s="9">
        <v>0.0</v>
      </c>
      <c r="AD646" s="9"/>
      <c r="AE646" s="9" t="s">
        <v>9</v>
      </c>
    </row>
    <row r="647">
      <c r="A647" s="7" t="s">
        <v>1672</v>
      </c>
      <c r="B647" s="7" t="s">
        <v>1673</v>
      </c>
      <c r="C647" s="8">
        <v>46170.0</v>
      </c>
      <c r="D647" s="8">
        <v>46177.0</v>
      </c>
      <c r="E647" s="7" t="s">
        <v>416</v>
      </c>
      <c r="F647" s="7" t="s">
        <v>378</v>
      </c>
      <c r="G647" s="7" t="s">
        <v>355</v>
      </c>
      <c r="H647" s="9">
        <v>131288.0</v>
      </c>
      <c r="I647" s="9">
        <v>0.0</v>
      </c>
      <c r="J647" s="9">
        <v>734.0</v>
      </c>
      <c r="K647" s="9">
        <v>75181.0</v>
      </c>
      <c r="L647" s="10">
        <v>1.746292281294476</v>
      </c>
      <c r="M647" s="9">
        <v>1.746292281294476</v>
      </c>
      <c r="N647" s="9">
        <v>68628.0</v>
      </c>
      <c r="O647" s="9">
        <v>67639.0</v>
      </c>
      <c r="P647" s="9">
        <v>8768.0</v>
      </c>
      <c r="Q647" s="9">
        <v>222.0</v>
      </c>
      <c r="R647" s="9">
        <v>100.0</v>
      </c>
      <c r="S647" s="9">
        <v>100.0</v>
      </c>
      <c r="T647" s="9">
        <v>26.0</v>
      </c>
      <c r="U647" s="9">
        <v>26.0</v>
      </c>
      <c r="V647" s="9">
        <v>0.0</v>
      </c>
      <c r="W647" s="9">
        <v>0.0</v>
      </c>
      <c r="X647" s="9">
        <v>0.0</v>
      </c>
      <c r="Y647" s="9">
        <v>0.0</v>
      </c>
      <c r="Z647" s="9">
        <v>0.0</v>
      </c>
      <c r="AA647" s="9">
        <v>0.0</v>
      </c>
      <c r="AB647" s="9">
        <v>0.0</v>
      </c>
      <c r="AC647" s="9">
        <v>0.0</v>
      </c>
      <c r="AD647" s="9"/>
      <c r="AE647" s="9" t="s">
        <v>9</v>
      </c>
    </row>
    <row r="648">
      <c r="A648" s="7" t="s">
        <v>1674</v>
      </c>
      <c r="B648" s="7" t="s">
        <v>1675</v>
      </c>
      <c r="C648" s="8">
        <v>46171.0</v>
      </c>
      <c r="D648" s="8">
        <v>46178.0</v>
      </c>
      <c r="E648" s="7" t="s">
        <v>416</v>
      </c>
      <c r="F648" s="7" t="s">
        <v>725</v>
      </c>
      <c r="G648" s="7" t="s">
        <v>355</v>
      </c>
      <c r="H648" s="9">
        <v>838024.0</v>
      </c>
      <c r="I648" s="9">
        <v>0.0</v>
      </c>
      <c r="J648" s="9">
        <v>1020.0</v>
      </c>
      <c r="K648" s="9">
        <v>510562.0</v>
      </c>
      <c r="L648" s="10">
        <v>1.6413755822015739</v>
      </c>
      <c r="M648" s="9">
        <v>1.6413755822015739</v>
      </c>
      <c r="N648" s="9">
        <v>88124.0</v>
      </c>
      <c r="O648" s="9">
        <v>87174.0</v>
      </c>
      <c r="P648" s="9">
        <v>22285.0</v>
      </c>
      <c r="Q648" s="9">
        <v>445.0</v>
      </c>
      <c r="R648" s="9">
        <v>0.0</v>
      </c>
      <c r="S648" s="9">
        <v>0.0</v>
      </c>
      <c r="T648" s="9">
        <v>0.0</v>
      </c>
      <c r="U648" s="9">
        <v>0.0</v>
      </c>
      <c r="V648" s="9">
        <v>0.0</v>
      </c>
      <c r="W648" s="9">
        <v>0.0</v>
      </c>
      <c r="X648" s="9">
        <v>0.0</v>
      </c>
      <c r="Y648" s="9">
        <v>0.0</v>
      </c>
      <c r="Z648" s="9">
        <v>0.0</v>
      </c>
      <c r="AA648" s="9">
        <v>0.0</v>
      </c>
      <c r="AB648" s="9">
        <v>0.0</v>
      </c>
      <c r="AC648" s="9">
        <v>0.0</v>
      </c>
      <c r="AD648" s="9"/>
      <c r="AE648" s="9" t="s">
        <v>9</v>
      </c>
    </row>
    <row r="649">
      <c r="A649" s="7" t="s">
        <v>1676</v>
      </c>
      <c r="B649" s="7" t="s">
        <v>1677</v>
      </c>
      <c r="C649" s="8">
        <v>46170.0</v>
      </c>
      <c r="D649" s="8">
        <v>46192.0</v>
      </c>
      <c r="E649" s="7" t="s">
        <v>416</v>
      </c>
      <c r="F649" s="7" t="s">
        <v>417</v>
      </c>
      <c r="G649" s="7" t="s">
        <v>355</v>
      </c>
      <c r="H649" s="9">
        <v>5335999.0</v>
      </c>
      <c r="I649" s="9">
        <v>1742337.0</v>
      </c>
      <c r="J649" s="9">
        <v>48091.0</v>
      </c>
      <c r="K649" s="9">
        <v>94621.0</v>
      </c>
      <c r="L649" s="10">
        <v>10.931843882436246</v>
      </c>
      <c r="M649" s="9">
        <v>56.39339047357352</v>
      </c>
      <c r="N649" s="9">
        <v>109921.0</v>
      </c>
      <c r="O649" s="9">
        <v>108192.0</v>
      </c>
      <c r="P649" s="9">
        <v>13480.0</v>
      </c>
      <c r="Q649" s="9">
        <v>680.0</v>
      </c>
      <c r="R649" s="9">
        <v>11911.0</v>
      </c>
      <c r="S649" s="9">
        <v>9824.0</v>
      </c>
      <c r="T649" s="9">
        <v>1858.0</v>
      </c>
      <c r="U649" s="9">
        <v>1563.0</v>
      </c>
      <c r="V649" s="9">
        <v>51143.0</v>
      </c>
      <c r="W649" s="9">
        <v>51143.0</v>
      </c>
      <c r="X649" s="9">
        <v>46079.0</v>
      </c>
      <c r="Y649" s="9">
        <v>17743.0</v>
      </c>
      <c r="Z649" s="9">
        <v>201.0</v>
      </c>
      <c r="AA649" s="9">
        <v>0.0</v>
      </c>
      <c r="AB649" s="9">
        <v>0.0</v>
      </c>
      <c r="AC649" s="9">
        <v>0.0</v>
      </c>
      <c r="AD649" s="11" t="s">
        <v>233</v>
      </c>
      <c r="AE649" s="9" t="s">
        <v>9</v>
      </c>
    </row>
    <row r="650">
      <c r="A650" s="7" t="s">
        <v>1678</v>
      </c>
      <c r="B650" s="7" t="s">
        <v>1679</v>
      </c>
      <c r="C650" s="8">
        <v>46169.0</v>
      </c>
      <c r="D650" s="8">
        <v>46193.0</v>
      </c>
      <c r="E650" s="7" t="s">
        <v>416</v>
      </c>
      <c r="F650" s="7" t="s">
        <v>417</v>
      </c>
      <c r="G650" s="7" t="s">
        <v>355</v>
      </c>
      <c r="H650" s="9">
        <v>2916882.0</v>
      </c>
      <c r="I650" s="9">
        <v>1876825.0</v>
      </c>
      <c r="J650" s="9">
        <v>4583.0</v>
      </c>
      <c r="K650" s="9">
        <v>11108.0</v>
      </c>
      <c r="L650" s="10">
        <v>19.71453006841916</v>
      </c>
      <c r="M650" s="9">
        <v>262.59290601368383</v>
      </c>
      <c r="N650" s="9">
        <v>0.0</v>
      </c>
      <c r="O650" s="9">
        <v>0.0</v>
      </c>
      <c r="P650" s="9">
        <v>0.0</v>
      </c>
      <c r="Q650" s="9">
        <v>0.0</v>
      </c>
      <c r="R650" s="9">
        <v>0.0</v>
      </c>
      <c r="S650" s="9">
        <v>0.0</v>
      </c>
      <c r="T650" s="9">
        <v>0.0</v>
      </c>
      <c r="U650" s="9">
        <v>0.0</v>
      </c>
      <c r="V650" s="9">
        <v>0.0</v>
      </c>
      <c r="W650" s="9">
        <v>0.0</v>
      </c>
      <c r="X650" s="9">
        <v>0.0</v>
      </c>
      <c r="Y650" s="9">
        <v>0.0</v>
      </c>
      <c r="Z650" s="9">
        <v>0.0</v>
      </c>
      <c r="AA650" s="9">
        <v>0.0</v>
      </c>
      <c r="AB650" s="9">
        <v>0.0</v>
      </c>
      <c r="AC650" s="9">
        <v>0.0</v>
      </c>
      <c r="AD650" s="11" t="s">
        <v>234</v>
      </c>
      <c r="AE650" s="9"/>
    </row>
    <row r="651">
      <c r="A651" s="7" t="s">
        <v>1680</v>
      </c>
      <c r="B651" s="7" t="s">
        <v>1681</v>
      </c>
      <c r="C651" s="8">
        <v>46171.0</v>
      </c>
      <c r="D651" s="8">
        <v>46178.0</v>
      </c>
      <c r="E651" s="7" t="s">
        <v>353</v>
      </c>
      <c r="F651" s="7" t="s">
        <v>378</v>
      </c>
      <c r="G651" s="7" t="s">
        <v>355</v>
      </c>
      <c r="H651" s="9">
        <v>709656.0</v>
      </c>
      <c r="I651" s="9">
        <v>0.0</v>
      </c>
      <c r="J651" s="9">
        <v>8173.0</v>
      </c>
      <c r="K651" s="9">
        <v>66662.0</v>
      </c>
      <c r="L651" s="10">
        <v>1.9075635294470612</v>
      </c>
      <c r="M651" s="9">
        <v>10.645585190963368</v>
      </c>
      <c r="N651" s="9">
        <v>0.0</v>
      </c>
      <c r="O651" s="9">
        <v>0.0</v>
      </c>
      <c r="P651" s="9">
        <v>0.0</v>
      </c>
      <c r="Q651" s="9">
        <v>0.0</v>
      </c>
      <c r="R651" s="9">
        <v>0.0</v>
      </c>
      <c r="S651" s="9">
        <v>0.0</v>
      </c>
      <c r="T651" s="9">
        <v>0.0</v>
      </c>
      <c r="U651" s="9">
        <v>0.0</v>
      </c>
      <c r="V651" s="9">
        <v>0.0</v>
      </c>
      <c r="W651" s="9">
        <v>0.0</v>
      </c>
      <c r="X651" s="9">
        <v>0.0</v>
      </c>
      <c r="Y651" s="9">
        <v>0.0</v>
      </c>
      <c r="Z651" s="9">
        <v>0.0</v>
      </c>
      <c r="AA651" s="9">
        <v>0.0</v>
      </c>
      <c r="AB651" s="9">
        <v>0.0</v>
      </c>
      <c r="AC651" s="9">
        <v>0.0</v>
      </c>
      <c r="AD651" s="11" t="s">
        <v>235</v>
      </c>
      <c r="AE651" s="9"/>
    </row>
    <row r="652">
      <c r="A652" s="7" t="s">
        <v>1682</v>
      </c>
      <c r="B652" s="7" t="s">
        <v>1683</v>
      </c>
      <c r="C652" s="8">
        <v>46171.0</v>
      </c>
      <c r="D652" s="8">
        <v>46177.0</v>
      </c>
      <c r="E652" s="7" t="s">
        <v>416</v>
      </c>
      <c r="F652" s="7" t="s">
        <v>783</v>
      </c>
      <c r="G652" s="7" t="s">
        <v>355</v>
      </c>
      <c r="H652" s="9">
        <v>286279.0</v>
      </c>
      <c r="I652" s="9">
        <v>0.0</v>
      </c>
      <c r="J652" s="9">
        <v>914.0</v>
      </c>
      <c r="K652" s="9">
        <v>196823.0</v>
      </c>
      <c r="L652" s="10">
        <v>1.4544997281821739</v>
      </c>
      <c r="M652" s="9">
        <v>1.4544997281821739</v>
      </c>
      <c r="N652" s="9">
        <v>15629.0</v>
      </c>
      <c r="O652" s="9">
        <v>15222.0</v>
      </c>
      <c r="P652" s="9">
        <v>1849.0</v>
      </c>
      <c r="Q652" s="9">
        <v>22.0</v>
      </c>
      <c r="R652" s="9">
        <v>0.0</v>
      </c>
      <c r="S652" s="9">
        <v>0.0</v>
      </c>
      <c r="T652" s="9">
        <v>0.0</v>
      </c>
      <c r="U652" s="9">
        <v>0.0</v>
      </c>
      <c r="V652" s="9">
        <v>0.0</v>
      </c>
      <c r="W652" s="9">
        <v>0.0</v>
      </c>
      <c r="X652" s="9">
        <v>0.0</v>
      </c>
      <c r="Y652" s="9">
        <v>0.0</v>
      </c>
      <c r="Z652" s="9">
        <v>0.0</v>
      </c>
      <c r="AA652" s="9">
        <v>0.0</v>
      </c>
      <c r="AB652" s="9">
        <v>0.0</v>
      </c>
      <c r="AC652" s="9">
        <v>0.0</v>
      </c>
      <c r="AD652" s="9"/>
      <c r="AE652" s="9" t="s">
        <v>9</v>
      </c>
    </row>
    <row r="653">
      <c r="A653" s="7" t="s">
        <v>1684</v>
      </c>
      <c r="B653" s="7" t="s">
        <v>1685</v>
      </c>
      <c r="C653" s="8">
        <v>46171.0</v>
      </c>
      <c r="D653" s="8">
        <v>46178.0</v>
      </c>
      <c r="E653" s="7" t="s">
        <v>416</v>
      </c>
      <c r="F653" s="7" t="s">
        <v>466</v>
      </c>
      <c r="G653" s="7" t="s">
        <v>355</v>
      </c>
      <c r="H653" s="9">
        <v>137221.0</v>
      </c>
      <c r="I653" s="9">
        <v>0.0</v>
      </c>
      <c r="J653" s="9">
        <v>516.0</v>
      </c>
      <c r="K653" s="9">
        <v>83973.0</v>
      </c>
      <c r="L653" s="10">
        <v>1.6341085825205721</v>
      </c>
      <c r="M653" s="9">
        <v>1.6341085825205721</v>
      </c>
      <c r="N653" s="9">
        <v>80162.0</v>
      </c>
      <c r="O653" s="9">
        <v>79454.0</v>
      </c>
      <c r="P653" s="9">
        <v>13278.0</v>
      </c>
      <c r="Q653" s="9">
        <v>210.0</v>
      </c>
      <c r="R653" s="9">
        <v>106.0</v>
      </c>
      <c r="S653" s="9">
        <v>106.0</v>
      </c>
      <c r="T653" s="9">
        <v>27.0</v>
      </c>
      <c r="U653" s="9">
        <v>26.0</v>
      </c>
      <c r="V653" s="9">
        <v>0.0</v>
      </c>
      <c r="W653" s="9">
        <v>0.0</v>
      </c>
      <c r="X653" s="9">
        <v>0.0</v>
      </c>
      <c r="Y653" s="9">
        <v>0.0</v>
      </c>
      <c r="Z653" s="9">
        <v>0.0</v>
      </c>
      <c r="AA653" s="9">
        <v>0.0</v>
      </c>
      <c r="AB653" s="9">
        <v>0.0</v>
      </c>
      <c r="AC653" s="9">
        <v>0.0</v>
      </c>
      <c r="AD653" s="9"/>
      <c r="AE653" s="9" t="s">
        <v>9</v>
      </c>
    </row>
    <row r="654">
      <c r="A654" s="7" t="s">
        <v>1686</v>
      </c>
      <c r="B654" s="7" t="s">
        <v>1687</v>
      </c>
      <c r="C654" s="8">
        <v>46171.0</v>
      </c>
      <c r="D654" s="8">
        <v>46186.0</v>
      </c>
      <c r="E654" s="7" t="s">
        <v>364</v>
      </c>
      <c r="F654" s="7" t="s">
        <v>365</v>
      </c>
      <c r="G654" s="7" t="s">
        <v>355</v>
      </c>
      <c r="H654" s="9">
        <v>7932268.0</v>
      </c>
      <c r="I654" s="9">
        <v>4521126.0</v>
      </c>
      <c r="J654" s="9">
        <v>6930.0</v>
      </c>
      <c r="K654" s="9">
        <v>748204.0</v>
      </c>
      <c r="L654" s="10">
        <v>1.8633193620991066</v>
      </c>
      <c r="M654" s="9">
        <v>10.601744978642188</v>
      </c>
      <c r="N654" s="9">
        <v>0.0</v>
      </c>
      <c r="O654" s="9">
        <v>0.0</v>
      </c>
      <c r="P654" s="9">
        <v>0.0</v>
      </c>
      <c r="Q654" s="9">
        <v>0.0</v>
      </c>
      <c r="R654" s="9">
        <v>0.0</v>
      </c>
      <c r="S654" s="9">
        <v>0.0</v>
      </c>
      <c r="T654" s="9">
        <v>0.0</v>
      </c>
      <c r="U654" s="9">
        <v>0.0</v>
      </c>
      <c r="V654" s="9">
        <v>0.0</v>
      </c>
      <c r="W654" s="9">
        <v>0.0</v>
      </c>
      <c r="X654" s="9">
        <v>0.0</v>
      </c>
      <c r="Y654" s="9">
        <v>0.0</v>
      </c>
      <c r="Z654" s="9">
        <v>0.0</v>
      </c>
      <c r="AA654" s="9">
        <v>0.0</v>
      </c>
      <c r="AB654" s="9">
        <v>0.0</v>
      </c>
      <c r="AC654" s="9">
        <v>0.0</v>
      </c>
      <c r="AD654" s="9"/>
      <c r="AE654" s="9"/>
    </row>
    <row r="655">
      <c r="A655" s="7" t="s">
        <v>1688</v>
      </c>
      <c r="B655" s="7" t="s">
        <v>1689</v>
      </c>
      <c r="C655" s="8">
        <v>46170.0</v>
      </c>
      <c r="D655" s="8">
        <v>46170.0</v>
      </c>
      <c r="E655" s="7" t="s">
        <v>353</v>
      </c>
      <c r="F655" s="7" t="s">
        <v>1690</v>
      </c>
      <c r="G655" s="7" t="s">
        <v>355</v>
      </c>
      <c r="H655" s="9">
        <v>0.0</v>
      </c>
      <c r="I655" s="9">
        <v>0.0</v>
      </c>
      <c r="J655" s="9">
        <v>0.0</v>
      </c>
      <c r="K655" s="9">
        <v>0.0</v>
      </c>
      <c r="L655" s="10">
        <v>0.0</v>
      </c>
      <c r="M655" s="9">
        <v>0.0</v>
      </c>
      <c r="N655" s="9">
        <v>43553.0</v>
      </c>
      <c r="O655" s="9">
        <v>43060.0</v>
      </c>
      <c r="P655" s="9">
        <v>16304.0</v>
      </c>
      <c r="Q655" s="9">
        <v>37.0</v>
      </c>
      <c r="R655" s="9">
        <v>0.0</v>
      </c>
      <c r="S655" s="9">
        <v>0.0</v>
      </c>
      <c r="T655" s="9">
        <v>0.0</v>
      </c>
      <c r="U655" s="9">
        <v>0.0</v>
      </c>
      <c r="V655" s="9">
        <v>0.0</v>
      </c>
      <c r="W655" s="9">
        <v>0.0</v>
      </c>
      <c r="X655" s="9">
        <v>0.0</v>
      </c>
      <c r="Y655" s="9">
        <v>0.0</v>
      </c>
      <c r="Z655" s="9">
        <v>0.0</v>
      </c>
      <c r="AA655" s="9">
        <v>0.0</v>
      </c>
      <c r="AB655" s="9">
        <v>0.0</v>
      </c>
      <c r="AC655" s="9">
        <v>0.0</v>
      </c>
      <c r="AD655" s="9"/>
      <c r="AE655" s="9" t="s">
        <v>9</v>
      </c>
    </row>
    <row r="656">
      <c r="A656" s="7" t="s">
        <v>1691</v>
      </c>
      <c r="B656" s="7" t="s">
        <v>1692</v>
      </c>
      <c r="C656" s="8">
        <v>46171.0</v>
      </c>
      <c r="D656" s="8">
        <v>46203.0</v>
      </c>
      <c r="E656" s="7" t="s">
        <v>364</v>
      </c>
      <c r="F656" s="7" t="s">
        <v>365</v>
      </c>
      <c r="G656" s="7" t="s">
        <v>355</v>
      </c>
      <c r="H656" s="9">
        <v>9552479.0</v>
      </c>
      <c r="I656" s="9">
        <v>4679878.0</v>
      </c>
      <c r="J656" s="9">
        <v>10092.0</v>
      </c>
      <c r="K656" s="9">
        <v>1376182.0</v>
      </c>
      <c r="L656" s="10">
        <v>2.8444522599481754</v>
      </c>
      <c r="M656" s="9">
        <v>6.94129046884787</v>
      </c>
      <c r="N656" s="9">
        <v>111268.0</v>
      </c>
      <c r="O656" s="9">
        <v>110369.0</v>
      </c>
      <c r="P656" s="9">
        <v>23289.0</v>
      </c>
      <c r="Q656" s="9">
        <v>63.0</v>
      </c>
      <c r="R656" s="9">
        <v>0.0</v>
      </c>
      <c r="S656" s="9">
        <v>0.0</v>
      </c>
      <c r="T656" s="9">
        <v>0.0</v>
      </c>
      <c r="U656" s="9">
        <v>0.0</v>
      </c>
      <c r="V656" s="9">
        <v>0.0</v>
      </c>
      <c r="W656" s="9">
        <v>0.0</v>
      </c>
      <c r="X656" s="9">
        <v>0.0</v>
      </c>
      <c r="Y656" s="9">
        <v>0.0</v>
      </c>
      <c r="Z656" s="9">
        <v>0.0</v>
      </c>
      <c r="AA656" s="9">
        <v>0.0</v>
      </c>
      <c r="AB656" s="9">
        <v>0.0</v>
      </c>
      <c r="AC656" s="9">
        <v>0.0</v>
      </c>
      <c r="AD656" s="11" t="s">
        <v>236</v>
      </c>
      <c r="AE656" s="9" t="s">
        <v>9</v>
      </c>
    </row>
    <row r="657">
      <c r="A657" s="7" t="s">
        <v>1693</v>
      </c>
      <c r="B657" s="7" t="s">
        <v>1694</v>
      </c>
      <c r="C657" s="8">
        <v>46174.0</v>
      </c>
      <c r="D657" s="8">
        <v>46178.0</v>
      </c>
      <c r="E657" s="7" t="s">
        <v>416</v>
      </c>
      <c r="F657" s="7" t="s">
        <v>466</v>
      </c>
      <c r="G657" s="7" t="s">
        <v>355</v>
      </c>
      <c r="H657" s="9">
        <v>101723.0</v>
      </c>
      <c r="I657" s="9">
        <v>0.0</v>
      </c>
      <c r="J657" s="9">
        <v>416.0</v>
      </c>
      <c r="K657" s="9">
        <v>64685.0</v>
      </c>
      <c r="L657" s="10">
        <v>1.5725902450336244</v>
      </c>
      <c r="M657" s="9">
        <v>1.5725902450336244</v>
      </c>
      <c r="N657" s="9">
        <v>38474.0</v>
      </c>
      <c r="O657" s="9">
        <v>37892.0</v>
      </c>
      <c r="P657" s="9">
        <v>5892.0</v>
      </c>
      <c r="Q657" s="9">
        <v>153.0</v>
      </c>
      <c r="R657" s="9">
        <v>115.0</v>
      </c>
      <c r="S657" s="9">
        <v>115.0</v>
      </c>
      <c r="T657" s="9">
        <v>32.0</v>
      </c>
      <c r="U657" s="9">
        <v>30.0</v>
      </c>
      <c r="V657" s="9">
        <v>0.0</v>
      </c>
      <c r="W657" s="9">
        <v>0.0</v>
      </c>
      <c r="X657" s="9">
        <v>0.0</v>
      </c>
      <c r="Y657" s="9">
        <v>0.0</v>
      </c>
      <c r="Z657" s="9">
        <v>0.0</v>
      </c>
      <c r="AA657" s="9">
        <v>0.0</v>
      </c>
      <c r="AB657" s="9">
        <v>0.0</v>
      </c>
      <c r="AC657" s="9">
        <v>0.0</v>
      </c>
      <c r="AD657" s="9"/>
      <c r="AE657" s="9" t="s">
        <v>9</v>
      </c>
    </row>
    <row r="658">
      <c r="A658" s="7" t="s">
        <v>1695</v>
      </c>
      <c r="B658" s="7" t="s">
        <v>1696</v>
      </c>
      <c r="C658" s="8">
        <v>46174.0</v>
      </c>
      <c r="D658" s="8">
        <v>46178.0</v>
      </c>
      <c r="E658" s="7" t="s">
        <v>416</v>
      </c>
      <c r="F658" s="7" t="s">
        <v>466</v>
      </c>
      <c r="G658" s="7" t="s">
        <v>355</v>
      </c>
      <c r="H658" s="9">
        <v>122255.0</v>
      </c>
      <c r="I658" s="9">
        <v>0.0</v>
      </c>
      <c r="J658" s="9">
        <v>422.0</v>
      </c>
      <c r="K658" s="9">
        <v>76735.0</v>
      </c>
      <c r="L658" s="10">
        <v>1.593210399426598</v>
      </c>
      <c r="M658" s="9">
        <v>1.593210399426598</v>
      </c>
      <c r="N658" s="9">
        <v>31486.0</v>
      </c>
      <c r="O658" s="9">
        <v>31048.0</v>
      </c>
      <c r="P658" s="9">
        <v>7384.0</v>
      </c>
      <c r="Q658" s="9">
        <v>97.0</v>
      </c>
      <c r="R658" s="9">
        <v>49.0</v>
      </c>
      <c r="S658" s="9">
        <v>49.0</v>
      </c>
      <c r="T658" s="9">
        <v>14.0</v>
      </c>
      <c r="U658" s="9">
        <v>14.0</v>
      </c>
      <c r="V658" s="9">
        <v>0.0</v>
      </c>
      <c r="W658" s="9">
        <v>0.0</v>
      </c>
      <c r="X658" s="9">
        <v>0.0</v>
      </c>
      <c r="Y658" s="9">
        <v>0.0</v>
      </c>
      <c r="Z658" s="9">
        <v>0.0</v>
      </c>
      <c r="AA658" s="9">
        <v>0.0</v>
      </c>
      <c r="AB658" s="9">
        <v>0.0</v>
      </c>
      <c r="AC658" s="9">
        <v>0.0</v>
      </c>
      <c r="AD658" s="9"/>
      <c r="AE658" s="9" t="s">
        <v>9</v>
      </c>
    </row>
    <row r="659">
      <c r="A659" s="7" t="s">
        <v>1697</v>
      </c>
      <c r="B659" s="7" t="s">
        <v>1698</v>
      </c>
      <c r="C659" s="8">
        <v>46174.0</v>
      </c>
      <c r="D659" s="8">
        <v>46178.0</v>
      </c>
      <c r="E659" s="7" t="s">
        <v>416</v>
      </c>
      <c r="F659" s="7" t="s">
        <v>466</v>
      </c>
      <c r="G659" s="7" t="s">
        <v>355</v>
      </c>
      <c r="H659" s="9">
        <v>418731.0</v>
      </c>
      <c r="I659" s="9">
        <v>0.0</v>
      </c>
      <c r="J659" s="9">
        <v>871.0</v>
      </c>
      <c r="K659" s="9">
        <v>342292.0</v>
      </c>
      <c r="L659" s="10">
        <v>1.2233151811903287</v>
      </c>
      <c r="M659" s="9">
        <v>1.2233151811903287</v>
      </c>
      <c r="N659" s="9">
        <v>65463.0</v>
      </c>
      <c r="O659" s="9">
        <v>64583.0</v>
      </c>
      <c r="P659" s="9">
        <v>10945.0</v>
      </c>
      <c r="Q659" s="9">
        <v>209.0</v>
      </c>
      <c r="R659" s="9">
        <v>138.0</v>
      </c>
      <c r="S659" s="9">
        <v>138.0</v>
      </c>
      <c r="T659" s="9">
        <v>32.0</v>
      </c>
      <c r="U659" s="9">
        <v>30.0</v>
      </c>
      <c r="V659" s="9">
        <v>0.0</v>
      </c>
      <c r="W659" s="9">
        <v>0.0</v>
      </c>
      <c r="X659" s="9">
        <v>0.0</v>
      </c>
      <c r="Y659" s="9">
        <v>0.0</v>
      </c>
      <c r="Z659" s="9">
        <v>0.0</v>
      </c>
      <c r="AA659" s="9">
        <v>0.0</v>
      </c>
      <c r="AB659" s="9">
        <v>0.0</v>
      </c>
      <c r="AC659" s="9">
        <v>0.0</v>
      </c>
      <c r="AD659" s="9"/>
      <c r="AE659" s="9" t="s">
        <v>9</v>
      </c>
    </row>
    <row r="660">
      <c r="A660" s="7" t="s">
        <v>1699</v>
      </c>
      <c r="B660" s="7" t="s">
        <v>1700</v>
      </c>
      <c r="C660" s="8">
        <v>46174.0</v>
      </c>
      <c r="D660" s="8">
        <v>46178.0</v>
      </c>
      <c r="E660" s="7" t="s">
        <v>416</v>
      </c>
      <c r="F660" s="7" t="s">
        <v>466</v>
      </c>
      <c r="G660" s="7" t="s">
        <v>355</v>
      </c>
      <c r="H660" s="9">
        <v>257380.0</v>
      </c>
      <c r="I660" s="9">
        <v>0.0</v>
      </c>
      <c r="J660" s="9">
        <v>359.0</v>
      </c>
      <c r="K660" s="9">
        <v>219626.0</v>
      </c>
      <c r="L660" s="10">
        <v>1.1719013231584603</v>
      </c>
      <c r="M660" s="9">
        <v>1.1719013231584603</v>
      </c>
      <c r="N660" s="9">
        <v>58759.0</v>
      </c>
      <c r="O660" s="9">
        <v>58154.0</v>
      </c>
      <c r="P660" s="9">
        <v>20543.0</v>
      </c>
      <c r="Q660" s="9">
        <v>274.0</v>
      </c>
      <c r="R660" s="9">
        <v>116.0</v>
      </c>
      <c r="S660" s="9">
        <v>115.0</v>
      </c>
      <c r="T660" s="9">
        <v>28.0</v>
      </c>
      <c r="U660" s="9">
        <v>27.0</v>
      </c>
      <c r="V660" s="9">
        <v>0.0</v>
      </c>
      <c r="W660" s="9">
        <v>0.0</v>
      </c>
      <c r="X660" s="9">
        <v>0.0</v>
      </c>
      <c r="Y660" s="9">
        <v>0.0</v>
      </c>
      <c r="Z660" s="9">
        <v>0.0</v>
      </c>
      <c r="AA660" s="9">
        <v>0.0</v>
      </c>
      <c r="AB660" s="9">
        <v>0.0</v>
      </c>
      <c r="AC660" s="9">
        <v>0.0</v>
      </c>
      <c r="AD660" s="9"/>
      <c r="AE660" s="9" t="s">
        <v>9</v>
      </c>
    </row>
    <row r="661">
      <c r="A661" s="7" t="s">
        <v>1701</v>
      </c>
      <c r="B661" s="7" t="s">
        <v>1702</v>
      </c>
      <c r="C661" s="8">
        <v>46190.0</v>
      </c>
      <c r="D661" s="8">
        <v>46190.0</v>
      </c>
      <c r="E661" s="7" t="s">
        <v>416</v>
      </c>
      <c r="F661" s="7" t="s">
        <v>430</v>
      </c>
      <c r="G661" s="7" t="s">
        <v>355</v>
      </c>
      <c r="H661" s="9">
        <v>0.0</v>
      </c>
      <c r="I661" s="9">
        <v>0.0</v>
      </c>
      <c r="J661" s="9">
        <v>0.0</v>
      </c>
      <c r="K661" s="9">
        <v>0.0</v>
      </c>
      <c r="L661" s="10">
        <v>0.0</v>
      </c>
      <c r="M661" s="9">
        <v>0.0</v>
      </c>
      <c r="N661" s="9">
        <v>134868.0</v>
      </c>
      <c r="O661" s="9">
        <v>133039.0</v>
      </c>
      <c r="P661" s="9">
        <v>30753.0</v>
      </c>
      <c r="Q661" s="9">
        <v>1664.0</v>
      </c>
      <c r="R661" s="9">
        <v>0.0</v>
      </c>
      <c r="S661" s="9">
        <v>0.0</v>
      </c>
      <c r="T661" s="9">
        <v>0.0</v>
      </c>
      <c r="U661" s="9">
        <v>0.0</v>
      </c>
      <c r="V661" s="9">
        <v>0.0</v>
      </c>
      <c r="W661" s="9">
        <v>0.0</v>
      </c>
      <c r="X661" s="9">
        <v>0.0</v>
      </c>
      <c r="Y661" s="9">
        <v>0.0</v>
      </c>
      <c r="Z661" s="9">
        <v>0.0</v>
      </c>
      <c r="AA661" s="9">
        <v>0.0</v>
      </c>
      <c r="AB661" s="9">
        <v>0.0</v>
      </c>
      <c r="AC661" s="9">
        <v>0.0</v>
      </c>
      <c r="AD661" s="9"/>
      <c r="AE661" s="9" t="s">
        <v>9</v>
      </c>
    </row>
    <row r="662">
      <c r="A662" s="7" t="s">
        <v>1703</v>
      </c>
      <c r="B662" s="7" t="s">
        <v>1704</v>
      </c>
      <c r="C662" s="8">
        <v>46150.0</v>
      </c>
      <c r="D662" s="8">
        <v>46178.0</v>
      </c>
      <c r="E662" s="7" t="s">
        <v>416</v>
      </c>
      <c r="F662" s="7" t="s">
        <v>725</v>
      </c>
      <c r="G662" s="7" t="s">
        <v>355</v>
      </c>
      <c r="H662" s="9">
        <v>26425.0</v>
      </c>
      <c r="I662" s="9">
        <v>0.0</v>
      </c>
      <c r="J662" s="9">
        <v>176.0</v>
      </c>
      <c r="K662" s="9">
        <v>18547.0</v>
      </c>
      <c r="L662" s="10">
        <v>1.4247587210869683</v>
      </c>
      <c r="M662" s="9">
        <v>1.4247587210869683</v>
      </c>
      <c r="N662" s="9">
        <v>6979.0</v>
      </c>
      <c r="O662" s="9">
        <v>6927.0</v>
      </c>
      <c r="P662" s="9">
        <v>2423.0</v>
      </c>
      <c r="Q662" s="9">
        <v>60.0</v>
      </c>
      <c r="R662" s="9">
        <v>0.0</v>
      </c>
      <c r="S662" s="9">
        <v>0.0</v>
      </c>
      <c r="T662" s="9">
        <v>0.0</v>
      </c>
      <c r="U662" s="9">
        <v>0.0</v>
      </c>
      <c r="V662" s="9">
        <v>0.0</v>
      </c>
      <c r="W662" s="9">
        <v>0.0</v>
      </c>
      <c r="X662" s="9">
        <v>0.0</v>
      </c>
      <c r="Y662" s="9">
        <v>0.0</v>
      </c>
      <c r="Z662" s="9">
        <v>0.0</v>
      </c>
      <c r="AA662" s="9">
        <v>0.0</v>
      </c>
      <c r="AB662" s="9">
        <v>0.0</v>
      </c>
      <c r="AC662" s="9">
        <v>0.0</v>
      </c>
      <c r="AD662" s="9"/>
      <c r="AE662" s="9" t="s">
        <v>9</v>
      </c>
    </row>
    <row r="663">
      <c r="A663" s="7" t="s">
        <v>1705</v>
      </c>
      <c r="B663" s="7" t="s">
        <v>1706</v>
      </c>
      <c r="C663" s="8">
        <v>46177.0</v>
      </c>
      <c r="D663" s="8">
        <v>46191.0</v>
      </c>
      <c r="E663" s="7" t="s">
        <v>364</v>
      </c>
      <c r="F663" s="7" t="s">
        <v>365</v>
      </c>
      <c r="G663" s="7" t="s">
        <v>355</v>
      </c>
      <c r="H663" s="9">
        <v>3463672.0</v>
      </c>
      <c r="I663" s="9">
        <v>1953013.0</v>
      </c>
      <c r="J663" s="9">
        <v>2959.0</v>
      </c>
      <c r="K663" s="9">
        <v>490780.0</v>
      </c>
      <c r="L663" s="10">
        <v>2.1830372060801175</v>
      </c>
      <c r="M663" s="9">
        <v>7.057484005053181</v>
      </c>
      <c r="N663" s="9">
        <v>0.0</v>
      </c>
      <c r="O663" s="9">
        <v>0.0</v>
      </c>
      <c r="P663" s="9">
        <v>0.0</v>
      </c>
      <c r="Q663" s="9">
        <v>0.0</v>
      </c>
      <c r="R663" s="9">
        <v>0.0</v>
      </c>
      <c r="S663" s="9">
        <v>0.0</v>
      </c>
      <c r="T663" s="9">
        <v>0.0</v>
      </c>
      <c r="U663" s="9">
        <v>0.0</v>
      </c>
      <c r="V663" s="9">
        <v>0.0</v>
      </c>
      <c r="W663" s="9">
        <v>0.0</v>
      </c>
      <c r="X663" s="9">
        <v>0.0</v>
      </c>
      <c r="Y663" s="9">
        <v>0.0</v>
      </c>
      <c r="Z663" s="9">
        <v>0.0</v>
      </c>
      <c r="AA663" s="9">
        <v>0.0</v>
      </c>
      <c r="AB663" s="9">
        <v>0.0</v>
      </c>
      <c r="AC663" s="9">
        <v>0.0</v>
      </c>
      <c r="AD663" s="11" t="s">
        <v>237</v>
      </c>
      <c r="AE663" s="9"/>
    </row>
    <row r="664">
      <c r="A664" s="7" t="s">
        <v>1707</v>
      </c>
      <c r="B664" s="7" t="s">
        <v>1708</v>
      </c>
      <c r="C664" s="8">
        <v>46171.0</v>
      </c>
      <c r="D664" s="8">
        <v>46175.0</v>
      </c>
      <c r="E664" s="7" t="s">
        <v>353</v>
      </c>
      <c r="F664" s="7" t="s">
        <v>417</v>
      </c>
      <c r="G664" s="7" t="s">
        <v>355</v>
      </c>
      <c r="H664" s="9">
        <v>0.0</v>
      </c>
      <c r="I664" s="9">
        <v>0.0</v>
      </c>
      <c r="J664" s="9">
        <v>0.0</v>
      </c>
      <c r="K664" s="9">
        <v>0.0</v>
      </c>
      <c r="L664" s="10">
        <v>0.0</v>
      </c>
      <c r="M664" s="9">
        <v>0.0</v>
      </c>
      <c r="N664" s="9">
        <v>181223.0</v>
      </c>
      <c r="O664" s="9">
        <v>178108.0</v>
      </c>
      <c r="P664" s="9">
        <v>28551.0</v>
      </c>
      <c r="Q664" s="9">
        <v>198.0</v>
      </c>
      <c r="R664" s="9">
        <v>0.0</v>
      </c>
      <c r="S664" s="9">
        <v>0.0</v>
      </c>
      <c r="T664" s="9">
        <v>0.0</v>
      </c>
      <c r="U664" s="9">
        <v>0.0</v>
      </c>
      <c r="V664" s="9">
        <v>0.0</v>
      </c>
      <c r="W664" s="9">
        <v>0.0</v>
      </c>
      <c r="X664" s="9">
        <v>0.0</v>
      </c>
      <c r="Y664" s="9">
        <v>0.0</v>
      </c>
      <c r="Z664" s="9">
        <v>0.0</v>
      </c>
      <c r="AA664" s="9">
        <v>0.0</v>
      </c>
      <c r="AB664" s="9">
        <v>0.0</v>
      </c>
      <c r="AC664" s="9">
        <v>0.0</v>
      </c>
      <c r="AD664" s="9"/>
      <c r="AE664" s="9" t="s">
        <v>9</v>
      </c>
    </row>
    <row r="665">
      <c r="A665" s="7" t="s">
        <v>1709</v>
      </c>
      <c r="B665" s="7" t="s">
        <v>1710</v>
      </c>
      <c r="C665" s="8">
        <v>46182.0</v>
      </c>
      <c r="D665" s="8">
        <v>46182.0</v>
      </c>
      <c r="E665" s="7" t="s">
        <v>404</v>
      </c>
      <c r="F665" s="7" t="s">
        <v>474</v>
      </c>
      <c r="G665" s="7" t="s">
        <v>355</v>
      </c>
      <c r="H665" s="9">
        <v>0.0</v>
      </c>
      <c r="I665" s="9">
        <v>0.0</v>
      </c>
      <c r="J665" s="9">
        <v>0.0</v>
      </c>
      <c r="K665" s="9">
        <v>0.0</v>
      </c>
      <c r="L665" s="10">
        <v>0.0</v>
      </c>
      <c r="M665" s="9">
        <v>0.0</v>
      </c>
      <c r="N665" s="9">
        <v>389.0</v>
      </c>
      <c r="O665" s="9">
        <v>383.0</v>
      </c>
      <c r="P665" s="9">
        <v>168.0</v>
      </c>
      <c r="Q665" s="9">
        <v>72.0</v>
      </c>
      <c r="R665" s="9">
        <v>0.0</v>
      </c>
      <c r="S665" s="9">
        <v>0.0</v>
      </c>
      <c r="T665" s="9">
        <v>0.0</v>
      </c>
      <c r="U665" s="9">
        <v>0.0</v>
      </c>
      <c r="V665" s="9">
        <v>0.0</v>
      </c>
      <c r="W665" s="9">
        <v>0.0</v>
      </c>
      <c r="X665" s="9">
        <v>0.0</v>
      </c>
      <c r="Y665" s="9">
        <v>0.0</v>
      </c>
      <c r="Z665" s="9">
        <v>0.0</v>
      </c>
      <c r="AA665" s="9">
        <v>0.0</v>
      </c>
      <c r="AB665" s="9">
        <v>0.0</v>
      </c>
      <c r="AC665" s="9">
        <v>0.0</v>
      </c>
      <c r="AD665" s="9"/>
      <c r="AE665" s="9" t="s">
        <v>9</v>
      </c>
    </row>
    <row r="666">
      <c r="A666" s="7" t="s">
        <v>1711</v>
      </c>
      <c r="B666" s="7" t="s">
        <v>1712</v>
      </c>
      <c r="C666" s="8">
        <v>46177.0</v>
      </c>
      <c r="D666" s="8">
        <v>46196.0</v>
      </c>
      <c r="E666" s="7" t="s">
        <v>404</v>
      </c>
      <c r="F666" s="7" t="s">
        <v>667</v>
      </c>
      <c r="G666" s="7" t="s">
        <v>355</v>
      </c>
      <c r="H666" s="9">
        <v>1029410.0</v>
      </c>
      <c r="I666" s="9">
        <v>0.0</v>
      </c>
      <c r="J666" s="9">
        <v>27650.0</v>
      </c>
      <c r="K666" s="9">
        <v>79397.0</v>
      </c>
      <c r="L666" s="10">
        <v>2.242641409625049</v>
      </c>
      <c r="M666" s="9">
        <v>12.965351335692784</v>
      </c>
      <c r="N666" s="9">
        <v>103997.0</v>
      </c>
      <c r="O666" s="9">
        <v>102794.0</v>
      </c>
      <c r="P666" s="9">
        <v>35951.0</v>
      </c>
      <c r="Q666" s="9">
        <v>9610.0</v>
      </c>
      <c r="R666" s="9">
        <v>0.0</v>
      </c>
      <c r="S666" s="9">
        <v>0.0</v>
      </c>
      <c r="T666" s="9">
        <v>0.0</v>
      </c>
      <c r="U666" s="9">
        <v>0.0</v>
      </c>
      <c r="V666" s="9">
        <v>0.0</v>
      </c>
      <c r="W666" s="9">
        <v>0.0</v>
      </c>
      <c r="X666" s="9">
        <v>0.0</v>
      </c>
      <c r="Y666" s="9">
        <v>0.0</v>
      </c>
      <c r="Z666" s="9">
        <v>0.0</v>
      </c>
      <c r="AA666" s="9">
        <v>0.0</v>
      </c>
      <c r="AB666" s="9">
        <v>0.0</v>
      </c>
      <c r="AC666" s="9">
        <v>0.0</v>
      </c>
      <c r="AD666" s="11" t="s">
        <v>238</v>
      </c>
      <c r="AE666" s="9" t="s">
        <v>9</v>
      </c>
    </row>
    <row r="667">
      <c r="A667" s="7" t="s">
        <v>1713</v>
      </c>
      <c r="B667" s="7" t="s">
        <v>1714</v>
      </c>
      <c r="C667" s="8">
        <v>46185.0</v>
      </c>
      <c r="D667" s="8">
        <v>46185.0</v>
      </c>
      <c r="E667" s="7" t="s">
        <v>416</v>
      </c>
      <c r="F667" s="7" t="s">
        <v>430</v>
      </c>
      <c r="G667" s="7" t="s">
        <v>355</v>
      </c>
      <c r="H667" s="9">
        <v>0.0</v>
      </c>
      <c r="I667" s="9">
        <v>0.0</v>
      </c>
      <c r="J667" s="9">
        <v>0.0</v>
      </c>
      <c r="K667" s="9">
        <v>0.0</v>
      </c>
      <c r="L667" s="10">
        <v>0.0</v>
      </c>
      <c r="M667" s="9">
        <v>0.0</v>
      </c>
      <c r="N667" s="9">
        <v>97712.0</v>
      </c>
      <c r="O667" s="9">
        <v>96708.0</v>
      </c>
      <c r="P667" s="9">
        <v>28503.0</v>
      </c>
      <c r="Q667" s="9">
        <v>433.0</v>
      </c>
      <c r="R667" s="9">
        <v>0.0</v>
      </c>
      <c r="S667" s="9">
        <v>0.0</v>
      </c>
      <c r="T667" s="9">
        <v>0.0</v>
      </c>
      <c r="U667" s="9">
        <v>0.0</v>
      </c>
      <c r="V667" s="9">
        <v>0.0</v>
      </c>
      <c r="W667" s="9">
        <v>0.0</v>
      </c>
      <c r="X667" s="9">
        <v>0.0</v>
      </c>
      <c r="Y667" s="9">
        <v>0.0</v>
      </c>
      <c r="Z667" s="9">
        <v>0.0</v>
      </c>
      <c r="AA667" s="9">
        <v>0.0</v>
      </c>
      <c r="AB667" s="9">
        <v>0.0</v>
      </c>
      <c r="AC667" s="9">
        <v>0.0</v>
      </c>
      <c r="AD667" s="9"/>
      <c r="AE667" s="9" t="s">
        <v>9</v>
      </c>
    </row>
    <row r="668">
      <c r="A668" s="7" t="s">
        <v>1715</v>
      </c>
      <c r="B668" s="7" t="s">
        <v>1716</v>
      </c>
      <c r="C668" s="8">
        <v>46174.0</v>
      </c>
      <c r="D668" s="8">
        <v>46174.0</v>
      </c>
      <c r="E668" s="7" t="s">
        <v>358</v>
      </c>
      <c r="F668" s="7" t="s">
        <v>387</v>
      </c>
      <c r="G668" s="7" t="s">
        <v>355</v>
      </c>
      <c r="H668" s="9">
        <v>0.0</v>
      </c>
      <c r="I668" s="9">
        <v>0.0</v>
      </c>
      <c r="J668" s="9">
        <v>0.0</v>
      </c>
      <c r="K668" s="9">
        <v>0.0</v>
      </c>
      <c r="L668" s="10">
        <v>0.0</v>
      </c>
      <c r="M668" s="9">
        <v>0.0</v>
      </c>
      <c r="N668" s="9">
        <v>10146.0</v>
      </c>
      <c r="O668" s="9">
        <v>9957.0</v>
      </c>
      <c r="P668" s="9">
        <v>2542.0</v>
      </c>
      <c r="Q668" s="9">
        <v>153.0</v>
      </c>
      <c r="R668" s="9">
        <v>0.0</v>
      </c>
      <c r="S668" s="9">
        <v>0.0</v>
      </c>
      <c r="T668" s="9">
        <v>0.0</v>
      </c>
      <c r="U668" s="9">
        <v>0.0</v>
      </c>
      <c r="V668" s="9">
        <v>0.0</v>
      </c>
      <c r="W668" s="9">
        <v>0.0</v>
      </c>
      <c r="X668" s="9">
        <v>0.0</v>
      </c>
      <c r="Y668" s="9">
        <v>0.0</v>
      </c>
      <c r="Z668" s="9">
        <v>0.0</v>
      </c>
      <c r="AA668" s="9">
        <v>0.0</v>
      </c>
      <c r="AB668" s="9">
        <v>0.0</v>
      </c>
      <c r="AC668" s="9">
        <v>0.0</v>
      </c>
      <c r="AD668" s="9"/>
      <c r="AE668" s="9" t="s">
        <v>9</v>
      </c>
    </row>
    <row r="669">
      <c r="A669" s="7" t="s">
        <v>1717</v>
      </c>
      <c r="B669" s="7" t="s">
        <v>1718</v>
      </c>
      <c r="C669" s="8">
        <v>46177.0</v>
      </c>
      <c r="D669" s="8">
        <v>46177.0</v>
      </c>
      <c r="E669" s="7" t="s">
        <v>358</v>
      </c>
      <c r="F669" s="7" t="s">
        <v>387</v>
      </c>
      <c r="G669" s="7" t="s">
        <v>355</v>
      </c>
      <c r="H669" s="9">
        <v>0.0</v>
      </c>
      <c r="I669" s="9">
        <v>0.0</v>
      </c>
      <c r="J669" s="9">
        <v>0.0</v>
      </c>
      <c r="K669" s="9">
        <v>0.0</v>
      </c>
      <c r="L669" s="10">
        <v>0.0</v>
      </c>
      <c r="M669" s="9">
        <v>0.0</v>
      </c>
      <c r="N669" s="9">
        <v>10217.0</v>
      </c>
      <c r="O669" s="9">
        <v>10067.0</v>
      </c>
      <c r="P669" s="9">
        <v>2969.0</v>
      </c>
      <c r="Q669" s="9">
        <v>125.0</v>
      </c>
      <c r="R669" s="9">
        <v>0.0</v>
      </c>
      <c r="S669" s="9">
        <v>0.0</v>
      </c>
      <c r="T669" s="9">
        <v>0.0</v>
      </c>
      <c r="U669" s="9">
        <v>0.0</v>
      </c>
      <c r="V669" s="9">
        <v>0.0</v>
      </c>
      <c r="W669" s="9">
        <v>0.0</v>
      </c>
      <c r="X669" s="9">
        <v>0.0</v>
      </c>
      <c r="Y669" s="9">
        <v>0.0</v>
      </c>
      <c r="Z669" s="9">
        <v>0.0</v>
      </c>
      <c r="AA669" s="9">
        <v>0.0</v>
      </c>
      <c r="AB669" s="9">
        <v>0.0</v>
      </c>
      <c r="AC669" s="9">
        <v>0.0</v>
      </c>
      <c r="AD669" s="9"/>
      <c r="AE669" s="9" t="s">
        <v>9</v>
      </c>
    </row>
    <row r="670">
      <c r="A670" s="7" t="s">
        <v>1719</v>
      </c>
      <c r="B670" s="7" t="s">
        <v>1720</v>
      </c>
      <c r="C670" s="8">
        <v>46181.0</v>
      </c>
      <c r="D670" s="8">
        <v>46181.0</v>
      </c>
      <c r="E670" s="7" t="s">
        <v>358</v>
      </c>
      <c r="F670" s="7" t="s">
        <v>387</v>
      </c>
      <c r="G670" s="7" t="s">
        <v>355</v>
      </c>
      <c r="H670" s="9">
        <v>0.0</v>
      </c>
      <c r="I670" s="9">
        <v>0.0</v>
      </c>
      <c r="J670" s="9">
        <v>0.0</v>
      </c>
      <c r="K670" s="9">
        <v>0.0</v>
      </c>
      <c r="L670" s="10">
        <v>0.0</v>
      </c>
      <c r="M670" s="9">
        <v>0.0</v>
      </c>
      <c r="N670" s="9">
        <v>14545.0</v>
      </c>
      <c r="O670" s="9">
        <v>14379.0</v>
      </c>
      <c r="P670" s="9">
        <v>5263.0</v>
      </c>
      <c r="Q670" s="9">
        <v>256.0</v>
      </c>
      <c r="R670" s="9">
        <v>0.0</v>
      </c>
      <c r="S670" s="9">
        <v>0.0</v>
      </c>
      <c r="T670" s="9">
        <v>0.0</v>
      </c>
      <c r="U670" s="9">
        <v>0.0</v>
      </c>
      <c r="V670" s="9">
        <v>0.0</v>
      </c>
      <c r="W670" s="9">
        <v>0.0</v>
      </c>
      <c r="X670" s="9">
        <v>0.0</v>
      </c>
      <c r="Y670" s="9">
        <v>0.0</v>
      </c>
      <c r="Z670" s="9">
        <v>0.0</v>
      </c>
      <c r="AA670" s="9">
        <v>0.0</v>
      </c>
      <c r="AB670" s="9">
        <v>0.0</v>
      </c>
      <c r="AC670" s="9">
        <v>0.0</v>
      </c>
      <c r="AD670" s="9"/>
      <c r="AE670" s="9" t="s">
        <v>9</v>
      </c>
    </row>
    <row r="671">
      <c r="A671" s="7" t="s">
        <v>1721</v>
      </c>
      <c r="B671" s="7" t="s">
        <v>1722</v>
      </c>
      <c r="C671" s="8">
        <v>46181.0</v>
      </c>
      <c r="D671" s="8">
        <v>46181.0</v>
      </c>
      <c r="E671" s="7" t="s">
        <v>358</v>
      </c>
      <c r="F671" s="7" t="s">
        <v>387</v>
      </c>
      <c r="G671" s="7" t="s">
        <v>355</v>
      </c>
      <c r="H671" s="9">
        <v>0.0</v>
      </c>
      <c r="I671" s="9">
        <v>0.0</v>
      </c>
      <c r="J671" s="9">
        <v>0.0</v>
      </c>
      <c r="K671" s="9">
        <v>0.0</v>
      </c>
      <c r="L671" s="10">
        <v>0.0</v>
      </c>
      <c r="M671" s="9">
        <v>0.0</v>
      </c>
      <c r="N671" s="9">
        <v>13637.0</v>
      </c>
      <c r="O671" s="9">
        <v>13469.0</v>
      </c>
      <c r="P671" s="9">
        <v>4328.0</v>
      </c>
      <c r="Q671" s="9">
        <v>178.0</v>
      </c>
      <c r="R671" s="9">
        <v>0.0</v>
      </c>
      <c r="S671" s="9">
        <v>0.0</v>
      </c>
      <c r="T671" s="9">
        <v>0.0</v>
      </c>
      <c r="U671" s="9">
        <v>0.0</v>
      </c>
      <c r="V671" s="9">
        <v>0.0</v>
      </c>
      <c r="W671" s="9">
        <v>0.0</v>
      </c>
      <c r="X671" s="9">
        <v>0.0</v>
      </c>
      <c r="Y671" s="9">
        <v>0.0</v>
      </c>
      <c r="Z671" s="9">
        <v>0.0</v>
      </c>
      <c r="AA671" s="9">
        <v>0.0</v>
      </c>
      <c r="AB671" s="9">
        <v>0.0</v>
      </c>
      <c r="AC671" s="9">
        <v>0.0</v>
      </c>
      <c r="AD671" s="9"/>
      <c r="AE671" s="9" t="s">
        <v>9</v>
      </c>
    </row>
    <row r="672">
      <c r="A672" s="7" t="s">
        <v>1723</v>
      </c>
      <c r="B672" s="7" t="s">
        <v>1724</v>
      </c>
      <c r="C672" s="8">
        <v>46192.0</v>
      </c>
      <c r="D672" s="8">
        <v>46220.0</v>
      </c>
      <c r="E672" s="7" t="s">
        <v>353</v>
      </c>
      <c r="F672" s="7" t="s">
        <v>413</v>
      </c>
      <c r="G672" s="7" t="s">
        <v>355</v>
      </c>
      <c r="H672" s="9">
        <v>9117501.0</v>
      </c>
      <c r="I672" s="9">
        <v>0.0</v>
      </c>
      <c r="J672" s="9">
        <v>20148.0</v>
      </c>
      <c r="K672" s="9">
        <v>439429.0</v>
      </c>
      <c r="L672" s="10">
        <v>2.5233359655370946</v>
      </c>
      <c r="M672" s="9">
        <v>20.748519100924153</v>
      </c>
      <c r="N672" s="9">
        <v>321439.0</v>
      </c>
      <c r="O672" s="9">
        <v>320390.0</v>
      </c>
      <c r="P672" s="9">
        <v>114626.0</v>
      </c>
      <c r="Q672" s="9">
        <v>8597.0</v>
      </c>
      <c r="R672" s="9">
        <v>0.0</v>
      </c>
      <c r="S672" s="9">
        <v>0.0</v>
      </c>
      <c r="T672" s="9">
        <v>0.0</v>
      </c>
      <c r="U672" s="9">
        <v>0.0</v>
      </c>
      <c r="V672" s="9">
        <v>0.0</v>
      </c>
      <c r="W672" s="9">
        <v>0.0</v>
      </c>
      <c r="X672" s="9">
        <v>0.0</v>
      </c>
      <c r="Y672" s="9">
        <v>0.0</v>
      </c>
      <c r="Z672" s="9">
        <v>0.0</v>
      </c>
      <c r="AA672" s="9">
        <v>0.0</v>
      </c>
      <c r="AB672" s="9">
        <v>0.0</v>
      </c>
      <c r="AC672" s="9">
        <v>0.0</v>
      </c>
      <c r="AD672" s="11" t="s">
        <v>239</v>
      </c>
      <c r="AE672" s="9" t="s">
        <v>9</v>
      </c>
    </row>
    <row r="673">
      <c r="A673" s="7" t="s">
        <v>1725</v>
      </c>
      <c r="B673" s="7" t="s">
        <v>1726</v>
      </c>
      <c r="C673" s="8">
        <v>46197.0</v>
      </c>
      <c r="D673" s="8">
        <v>46387.0</v>
      </c>
      <c r="E673" s="7" t="s">
        <v>353</v>
      </c>
      <c r="F673" s="7" t="s">
        <v>378</v>
      </c>
      <c r="G673" s="7" t="s">
        <v>410</v>
      </c>
      <c r="H673" s="9">
        <v>2.1636959E7</v>
      </c>
      <c r="I673" s="9">
        <v>6654759.0</v>
      </c>
      <c r="J673" s="9">
        <v>22091.0</v>
      </c>
      <c r="K673" s="9">
        <v>442734.0</v>
      </c>
      <c r="L673" s="10">
        <v>2.5194970343366445</v>
      </c>
      <c r="M673" s="9">
        <v>48.87123871218384</v>
      </c>
      <c r="N673" s="9">
        <v>0.0</v>
      </c>
      <c r="O673" s="9">
        <v>0.0</v>
      </c>
      <c r="P673" s="9">
        <v>0.0</v>
      </c>
      <c r="Q673" s="9">
        <v>0.0</v>
      </c>
      <c r="R673" s="9">
        <v>0.0</v>
      </c>
      <c r="S673" s="9">
        <v>0.0</v>
      </c>
      <c r="T673" s="9">
        <v>0.0</v>
      </c>
      <c r="U673" s="9">
        <v>0.0</v>
      </c>
      <c r="V673" s="9">
        <v>0.0</v>
      </c>
      <c r="W673" s="9">
        <v>0.0</v>
      </c>
      <c r="X673" s="9">
        <v>0.0</v>
      </c>
      <c r="Y673" s="9">
        <v>0.0</v>
      </c>
      <c r="Z673" s="9">
        <v>0.0</v>
      </c>
      <c r="AA673" s="9">
        <v>0.0</v>
      </c>
      <c r="AB673" s="9">
        <v>0.0</v>
      </c>
      <c r="AC673" s="9">
        <v>0.0</v>
      </c>
      <c r="AD673" s="11" t="s">
        <v>240</v>
      </c>
      <c r="AE673" s="9"/>
    </row>
    <row r="674">
      <c r="A674" s="7" t="s">
        <v>1727</v>
      </c>
      <c r="B674" s="7" t="s">
        <v>1728</v>
      </c>
      <c r="C674" s="8">
        <v>46183.0</v>
      </c>
      <c r="D674" s="8">
        <v>46183.0</v>
      </c>
      <c r="E674" s="7" t="s">
        <v>364</v>
      </c>
      <c r="F674" s="7" t="s">
        <v>365</v>
      </c>
      <c r="G674" s="7" t="s">
        <v>355</v>
      </c>
      <c r="H674" s="9">
        <v>0.0</v>
      </c>
      <c r="I674" s="9">
        <v>0.0</v>
      </c>
      <c r="J674" s="9">
        <v>0.0</v>
      </c>
      <c r="K674" s="9">
        <v>0.0</v>
      </c>
      <c r="L674" s="10">
        <v>0.0</v>
      </c>
      <c r="M674" s="9">
        <v>0.0</v>
      </c>
      <c r="N674" s="9">
        <v>32034.0</v>
      </c>
      <c r="O674" s="9">
        <v>31725.0</v>
      </c>
      <c r="P674" s="9">
        <v>10983.0</v>
      </c>
      <c r="Q674" s="9">
        <v>228.0</v>
      </c>
      <c r="R674" s="9">
        <v>0.0</v>
      </c>
      <c r="S674" s="9">
        <v>0.0</v>
      </c>
      <c r="T674" s="9">
        <v>0.0</v>
      </c>
      <c r="U674" s="9">
        <v>0.0</v>
      </c>
      <c r="V674" s="9">
        <v>0.0</v>
      </c>
      <c r="W674" s="9">
        <v>0.0</v>
      </c>
      <c r="X674" s="9">
        <v>0.0</v>
      </c>
      <c r="Y674" s="9">
        <v>0.0</v>
      </c>
      <c r="Z674" s="9">
        <v>0.0</v>
      </c>
      <c r="AA674" s="9">
        <v>0.0</v>
      </c>
      <c r="AB674" s="9">
        <v>0.0</v>
      </c>
      <c r="AC674" s="9">
        <v>0.0</v>
      </c>
      <c r="AD674" s="9"/>
      <c r="AE674" s="9" t="s">
        <v>9</v>
      </c>
    </row>
    <row r="675">
      <c r="A675" s="7" t="s">
        <v>1729</v>
      </c>
      <c r="B675" s="7" t="s">
        <v>1730</v>
      </c>
      <c r="C675" s="8">
        <v>46176.0</v>
      </c>
      <c r="D675" s="8">
        <v>46181.0</v>
      </c>
      <c r="E675" s="7" t="s">
        <v>404</v>
      </c>
      <c r="F675" s="7" t="s">
        <v>405</v>
      </c>
      <c r="G675" s="7" t="s">
        <v>355</v>
      </c>
      <c r="H675" s="9">
        <v>1095238.0</v>
      </c>
      <c r="I675" s="9">
        <v>0.0</v>
      </c>
      <c r="J675" s="9">
        <v>23214.0</v>
      </c>
      <c r="K675" s="9">
        <v>56133.0</v>
      </c>
      <c r="L675" s="10">
        <v>4.156200452496749</v>
      </c>
      <c r="M675" s="9">
        <v>19.51148165962981</v>
      </c>
      <c r="N675" s="9">
        <v>116601.0</v>
      </c>
      <c r="O675" s="9">
        <v>115039.0</v>
      </c>
      <c r="P675" s="9">
        <v>39231.0</v>
      </c>
      <c r="Q675" s="9">
        <v>10431.0</v>
      </c>
      <c r="R675" s="9">
        <v>0.0</v>
      </c>
      <c r="S675" s="9">
        <v>0.0</v>
      </c>
      <c r="T675" s="9">
        <v>0.0</v>
      </c>
      <c r="U675" s="9">
        <v>0.0</v>
      </c>
      <c r="V675" s="9">
        <v>0.0</v>
      </c>
      <c r="W675" s="9">
        <v>0.0</v>
      </c>
      <c r="X675" s="9">
        <v>0.0</v>
      </c>
      <c r="Y675" s="9">
        <v>0.0</v>
      </c>
      <c r="Z675" s="9">
        <v>0.0</v>
      </c>
      <c r="AA675" s="9">
        <v>0.0</v>
      </c>
      <c r="AB675" s="9">
        <v>0.0</v>
      </c>
      <c r="AC675" s="9">
        <v>0.0</v>
      </c>
      <c r="AD675" s="11" t="s">
        <v>241</v>
      </c>
      <c r="AE675" s="9" t="s">
        <v>9</v>
      </c>
    </row>
    <row r="676">
      <c r="A676" s="7" t="s">
        <v>1731</v>
      </c>
      <c r="B676" s="7" t="s">
        <v>1732</v>
      </c>
      <c r="C676" s="8">
        <v>46177.0</v>
      </c>
      <c r="D676" s="8">
        <v>46199.0</v>
      </c>
      <c r="E676" s="7" t="s">
        <v>416</v>
      </c>
      <c r="F676" s="7" t="s">
        <v>417</v>
      </c>
      <c r="G676" s="7" t="s">
        <v>355</v>
      </c>
      <c r="H676" s="9">
        <v>3162793.0</v>
      </c>
      <c r="I676" s="9">
        <v>1333568.0</v>
      </c>
      <c r="J676" s="9">
        <v>9832.0</v>
      </c>
      <c r="K676" s="9">
        <v>72912.0</v>
      </c>
      <c r="L676" s="10">
        <v>16.327038073293835</v>
      </c>
      <c r="M676" s="9">
        <v>43.378223063418915</v>
      </c>
      <c r="N676" s="9">
        <v>419837.0</v>
      </c>
      <c r="O676" s="9">
        <v>416081.0</v>
      </c>
      <c r="P676" s="9">
        <v>102758.0</v>
      </c>
      <c r="Q676" s="9">
        <v>1347.0</v>
      </c>
      <c r="R676" s="9">
        <v>7575.0</v>
      </c>
      <c r="S676" s="9">
        <v>7564.0</v>
      </c>
      <c r="T676" s="9">
        <v>1597.0</v>
      </c>
      <c r="U676" s="9">
        <v>1282.0</v>
      </c>
      <c r="V676" s="9">
        <v>53042.0</v>
      </c>
      <c r="W676" s="9">
        <v>53042.0</v>
      </c>
      <c r="X676" s="9">
        <v>44012.0</v>
      </c>
      <c r="Y676" s="9">
        <v>17242.0</v>
      </c>
      <c r="Z676" s="9">
        <v>38.0</v>
      </c>
      <c r="AA676" s="9">
        <v>0.0</v>
      </c>
      <c r="AB676" s="9">
        <v>0.0</v>
      </c>
      <c r="AC676" s="9">
        <v>0.0</v>
      </c>
      <c r="AD676" s="11" t="s">
        <v>242</v>
      </c>
      <c r="AE676" s="9" t="s">
        <v>9</v>
      </c>
    </row>
    <row r="677">
      <c r="A677" s="7" t="s">
        <v>1733</v>
      </c>
      <c r="B677" s="7" t="s">
        <v>1734</v>
      </c>
      <c r="C677" s="8">
        <v>46190.0</v>
      </c>
      <c r="D677" s="8">
        <v>46234.0</v>
      </c>
      <c r="E677" s="7" t="s">
        <v>353</v>
      </c>
      <c r="F677" s="7" t="s">
        <v>378</v>
      </c>
      <c r="G677" s="7" t="s">
        <v>410</v>
      </c>
      <c r="H677" s="9">
        <v>1.2071746E7</v>
      </c>
      <c r="I677" s="9">
        <v>0.0</v>
      </c>
      <c r="J677" s="9">
        <v>12647.0</v>
      </c>
      <c r="K677" s="9">
        <v>824428.0</v>
      </c>
      <c r="L677" s="10">
        <v>1.9274090642239226</v>
      </c>
      <c r="M677" s="9">
        <v>14.642571576899378</v>
      </c>
      <c r="N677" s="9">
        <v>514097.0</v>
      </c>
      <c r="O677" s="9">
        <v>509040.0</v>
      </c>
      <c r="P677" s="9">
        <v>161738.0</v>
      </c>
      <c r="Q677" s="9">
        <v>1004.0</v>
      </c>
      <c r="R677" s="9">
        <v>32976.0</v>
      </c>
      <c r="S677" s="9">
        <v>30092.0</v>
      </c>
      <c r="T677" s="9">
        <v>7294.0</v>
      </c>
      <c r="U677" s="9">
        <v>5780.0</v>
      </c>
      <c r="V677" s="9">
        <v>291240.0</v>
      </c>
      <c r="W677" s="9">
        <v>291240.0</v>
      </c>
      <c r="X677" s="9">
        <v>260205.0</v>
      </c>
      <c r="Y677" s="9">
        <v>48447.0</v>
      </c>
      <c r="Z677" s="9">
        <v>82.0</v>
      </c>
      <c r="AA677" s="9">
        <v>140172.0</v>
      </c>
      <c r="AB677" s="9">
        <v>131571.0</v>
      </c>
      <c r="AC677" s="9">
        <v>436.0</v>
      </c>
      <c r="AD677" s="11" t="s">
        <v>243</v>
      </c>
      <c r="AE677" s="9" t="s">
        <v>9</v>
      </c>
    </row>
    <row r="678">
      <c r="A678" s="7" t="s">
        <v>1735</v>
      </c>
      <c r="B678" s="7" t="s">
        <v>1736</v>
      </c>
      <c r="C678" s="8">
        <v>46211.0</v>
      </c>
      <c r="D678" s="8">
        <v>46234.0</v>
      </c>
      <c r="E678" s="7" t="s">
        <v>358</v>
      </c>
      <c r="F678" s="7" t="s">
        <v>359</v>
      </c>
      <c r="G678" s="7" t="s">
        <v>410</v>
      </c>
      <c r="H678" s="9">
        <v>4384903.0</v>
      </c>
      <c r="I678" s="9">
        <v>0.0</v>
      </c>
      <c r="J678" s="9">
        <v>32357.0</v>
      </c>
      <c r="K678" s="9">
        <v>212976.0</v>
      </c>
      <c r="L678" s="10">
        <v>1.3528660506348134</v>
      </c>
      <c r="M678" s="9">
        <v>20.588718916685448</v>
      </c>
      <c r="N678" s="9">
        <v>104507.0</v>
      </c>
      <c r="O678" s="9">
        <v>102395.0</v>
      </c>
      <c r="P678" s="9">
        <v>24213.0</v>
      </c>
      <c r="Q678" s="9">
        <v>272.0</v>
      </c>
      <c r="R678" s="9">
        <v>0.0</v>
      </c>
      <c r="S678" s="9">
        <v>0.0</v>
      </c>
      <c r="T678" s="9">
        <v>0.0</v>
      </c>
      <c r="U678" s="9">
        <v>0.0</v>
      </c>
      <c r="V678" s="9">
        <v>0.0</v>
      </c>
      <c r="W678" s="9">
        <v>0.0</v>
      </c>
      <c r="X678" s="9">
        <v>0.0</v>
      </c>
      <c r="Y678" s="9">
        <v>0.0</v>
      </c>
      <c r="Z678" s="9">
        <v>0.0</v>
      </c>
      <c r="AA678" s="9">
        <v>0.0</v>
      </c>
      <c r="AB678" s="9">
        <v>0.0</v>
      </c>
      <c r="AC678" s="9">
        <v>0.0</v>
      </c>
      <c r="AD678" s="9"/>
      <c r="AE678" s="9" t="s">
        <v>9</v>
      </c>
    </row>
    <row r="679">
      <c r="A679" s="7" t="s">
        <v>1737</v>
      </c>
      <c r="B679" s="7" t="s">
        <v>1738</v>
      </c>
      <c r="C679" s="8">
        <v>46190.0</v>
      </c>
      <c r="D679" s="8">
        <v>46265.0</v>
      </c>
      <c r="E679" s="7" t="s">
        <v>353</v>
      </c>
      <c r="F679" s="7" t="s">
        <v>354</v>
      </c>
      <c r="G679" s="7" t="s">
        <v>410</v>
      </c>
      <c r="H679" s="9">
        <v>1.813915E7</v>
      </c>
      <c r="I679" s="9">
        <v>0.0</v>
      </c>
      <c r="J679" s="9">
        <v>52519.0</v>
      </c>
      <c r="K679" s="9">
        <v>137138.0</v>
      </c>
      <c r="L679" s="10">
        <v>3.376299785617407</v>
      </c>
      <c r="M679" s="9">
        <v>132.26931995508176</v>
      </c>
      <c r="N679" s="9">
        <v>254193.0</v>
      </c>
      <c r="O679" s="9">
        <v>251010.0</v>
      </c>
      <c r="P679" s="9">
        <v>58587.0</v>
      </c>
      <c r="Q679" s="9">
        <v>2134.0</v>
      </c>
      <c r="R679" s="9">
        <v>0.0</v>
      </c>
      <c r="S679" s="9">
        <v>0.0</v>
      </c>
      <c r="T679" s="9">
        <v>0.0</v>
      </c>
      <c r="U679" s="9">
        <v>0.0</v>
      </c>
      <c r="V679" s="9">
        <v>0.0</v>
      </c>
      <c r="W679" s="9">
        <v>0.0</v>
      </c>
      <c r="X679" s="9">
        <v>0.0</v>
      </c>
      <c r="Y679" s="9">
        <v>0.0</v>
      </c>
      <c r="Z679" s="9">
        <v>0.0</v>
      </c>
      <c r="AA679" s="9">
        <v>0.0</v>
      </c>
      <c r="AB679" s="9">
        <v>0.0</v>
      </c>
      <c r="AC679" s="9">
        <v>0.0</v>
      </c>
      <c r="AD679" s="11" t="s">
        <v>244</v>
      </c>
      <c r="AE679" s="9" t="s">
        <v>9</v>
      </c>
    </row>
    <row r="680">
      <c r="A680" s="7" t="s">
        <v>1739</v>
      </c>
      <c r="B680" s="7" t="s">
        <v>1740</v>
      </c>
      <c r="C680" s="8">
        <v>46193.0</v>
      </c>
      <c r="D680" s="8">
        <v>46210.0</v>
      </c>
      <c r="E680" s="7" t="s">
        <v>364</v>
      </c>
      <c r="F680" s="7" t="s">
        <v>365</v>
      </c>
      <c r="G680" s="7" t="s">
        <v>355</v>
      </c>
      <c r="H680" s="9">
        <v>7067229.0</v>
      </c>
      <c r="I680" s="9">
        <v>224631.0</v>
      </c>
      <c r="J680" s="9">
        <v>25903.0</v>
      </c>
      <c r="K680" s="9">
        <v>107085.0</v>
      </c>
      <c r="L680" s="10">
        <v>2.263342204790587</v>
      </c>
      <c r="M680" s="9">
        <v>65.99644207872251</v>
      </c>
      <c r="N680" s="9">
        <v>363229.0</v>
      </c>
      <c r="O680" s="9">
        <v>360075.0</v>
      </c>
      <c r="P680" s="9">
        <v>90093.0</v>
      </c>
      <c r="Q680" s="9">
        <v>3394.0</v>
      </c>
      <c r="R680" s="9">
        <v>0.0</v>
      </c>
      <c r="S680" s="9">
        <v>0.0</v>
      </c>
      <c r="T680" s="9">
        <v>0.0</v>
      </c>
      <c r="U680" s="9">
        <v>0.0</v>
      </c>
      <c r="V680" s="9">
        <v>0.0</v>
      </c>
      <c r="W680" s="9">
        <v>0.0</v>
      </c>
      <c r="X680" s="9">
        <v>0.0</v>
      </c>
      <c r="Y680" s="9">
        <v>0.0</v>
      </c>
      <c r="Z680" s="9">
        <v>0.0</v>
      </c>
      <c r="AA680" s="9">
        <v>0.0</v>
      </c>
      <c r="AB680" s="9">
        <v>0.0</v>
      </c>
      <c r="AC680" s="9">
        <v>0.0</v>
      </c>
      <c r="AD680" s="11" t="s">
        <v>245</v>
      </c>
      <c r="AE680" s="9" t="s">
        <v>9</v>
      </c>
    </row>
    <row r="681">
      <c r="A681" s="7" t="s">
        <v>1741</v>
      </c>
      <c r="B681" s="7" t="s">
        <v>1742</v>
      </c>
      <c r="C681" s="8">
        <v>46178.0</v>
      </c>
      <c r="D681" s="8">
        <v>46190.0</v>
      </c>
      <c r="E681" s="7" t="s">
        <v>358</v>
      </c>
      <c r="F681" s="7" t="s">
        <v>466</v>
      </c>
      <c r="G681" s="7" t="s">
        <v>355</v>
      </c>
      <c r="H681" s="9">
        <v>7417364.0</v>
      </c>
      <c r="I681" s="9">
        <v>1651923.0</v>
      </c>
      <c r="J681" s="9">
        <v>29117.0</v>
      </c>
      <c r="K681" s="9">
        <v>606150.0</v>
      </c>
      <c r="L681" s="10">
        <v>1.5923946217932854</v>
      </c>
      <c r="M681" s="9">
        <v>12.236845665264374</v>
      </c>
      <c r="N681" s="9">
        <v>337561.0</v>
      </c>
      <c r="O681" s="9">
        <v>335739.0</v>
      </c>
      <c r="P681" s="9">
        <v>133364.0</v>
      </c>
      <c r="Q681" s="9">
        <v>490.0</v>
      </c>
      <c r="R681" s="9">
        <v>0.0</v>
      </c>
      <c r="S681" s="9">
        <v>0.0</v>
      </c>
      <c r="T681" s="9">
        <v>0.0</v>
      </c>
      <c r="U681" s="9">
        <v>0.0</v>
      </c>
      <c r="V681" s="9">
        <v>0.0</v>
      </c>
      <c r="W681" s="9">
        <v>0.0</v>
      </c>
      <c r="X681" s="9">
        <v>0.0</v>
      </c>
      <c r="Y681" s="9">
        <v>0.0</v>
      </c>
      <c r="Z681" s="9">
        <v>0.0</v>
      </c>
      <c r="AA681" s="9">
        <v>0.0</v>
      </c>
      <c r="AB681" s="9">
        <v>0.0</v>
      </c>
      <c r="AC681" s="9">
        <v>0.0</v>
      </c>
      <c r="AD681" s="11" t="s">
        <v>246</v>
      </c>
      <c r="AE681" s="9" t="s">
        <v>9</v>
      </c>
    </row>
    <row r="682">
      <c r="A682" s="7" t="s">
        <v>1743</v>
      </c>
      <c r="B682" s="7" t="s">
        <v>1744</v>
      </c>
      <c r="C682" s="8">
        <v>46184.0</v>
      </c>
      <c r="D682" s="8">
        <v>46188.0</v>
      </c>
      <c r="E682" s="7" t="s">
        <v>353</v>
      </c>
      <c r="F682" s="7" t="s">
        <v>354</v>
      </c>
      <c r="G682" s="7" t="s">
        <v>355</v>
      </c>
      <c r="H682" s="9">
        <v>966375.0</v>
      </c>
      <c r="I682" s="9">
        <v>0.0</v>
      </c>
      <c r="J682" s="9">
        <v>23000.0</v>
      </c>
      <c r="K682" s="9"/>
      <c r="L682" s="10">
        <v>0.0</v>
      </c>
      <c r="M682" s="9">
        <v>0.0</v>
      </c>
      <c r="N682" s="9">
        <v>126383.0</v>
      </c>
      <c r="O682" s="9">
        <v>124779.0</v>
      </c>
      <c r="P682" s="9">
        <v>34866.0</v>
      </c>
      <c r="Q682" s="9">
        <v>2800.0</v>
      </c>
      <c r="R682" s="9">
        <v>0.0</v>
      </c>
      <c r="S682" s="9">
        <v>0.0</v>
      </c>
      <c r="T682" s="9">
        <v>0.0</v>
      </c>
      <c r="U682" s="9">
        <v>0.0</v>
      </c>
      <c r="V682" s="9">
        <v>0.0</v>
      </c>
      <c r="W682" s="9">
        <v>0.0</v>
      </c>
      <c r="X682" s="9">
        <v>0.0</v>
      </c>
      <c r="Y682" s="9">
        <v>0.0</v>
      </c>
      <c r="Z682" s="9">
        <v>0.0</v>
      </c>
      <c r="AA682" s="9">
        <v>0.0</v>
      </c>
      <c r="AB682" s="9">
        <v>0.0</v>
      </c>
      <c r="AC682" s="9">
        <v>0.0</v>
      </c>
      <c r="AD682" s="11" t="s">
        <v>247</v>
      </c>
      <c r="AE682" s="9" t="s">
        <v>9</v>
      </c>
    </row>
    <row r="683">
      <c r="A683" s="7" t="s">
        <v>1745</v>
      </c>
      <c r="B683" s="7" t="s">
        <v>1746</v>
      </c>
      <c r="C683" s="8">
        <v>46178.0</v>
      </c>
      <c r="D683" s="8">
        <v>46180.0</v>
      </c>
      <c r="E683" s="7" t="s">
        <v>364</v>
      </c>
      <c r="F683" s="7" t="s">
        <v>365</v>
      </c>
      <c r="G683" s="7" t="s">
        <v>355</v>
      </c>
      <c r="H683" s="9">
        <v>608285.0</v>
      </c>
      <c r="I683" s="9">
        <v>0.0</v>
      </c>
      <c r="J683" s="9">
        <v>1250.0</v>
      </c>
      <c r="K683" s="9"/>
      <c r="L683" s="10">
        <v>0.0</v>
      </c>
      <c r="M683" s="9">
        <v>0.0</v>
      </c>
      <c r="N683" s="9">
        <v>121335.0</v>
      </c>
      <c r="O683" s="9">
        <v>120761.0</v>
      </c>
      <c r="P683" s="9">
        <v>44720.0</v>
      </c>
      <c r="Q683" s="9">
        <v>640.0</v>
      </c>
      <c r="R683" s="9">
        <v>0.0</v>
      </c>
      <c r="S683" s="9">
        <v>0.0</v>
      </c>
      <c r="T683" s="9">
        <v>0.0</v>
      </c>
      <c r="U683" s="9">
        <v>0.0</v>
      </c>
      <c r="V683" s="9">
        <v>0.0</v>
      </c>
      <c r="W683" s="9">
        <v>0.0</v>
      </c>
      <c r="X683" s="9">
        <v>0.0</v>
      </c>
      <c r="Y683" s="9">
        <v>0.0</v>
      </c>
      <c r="Z683" s="9">
        <v>0.0</v>
      </c>
      <c r="AA683" s="9">
        <v>0.0</v>
      </c>
      <c r="AB683" s="9">
        <v>0.0</v>
      </c>
      <c r="AC683" s="9">
        <v>0.0</v>
      </c>
      <c r="AD683" s="11" t="s">
        <v>248</v>
      </c>
      <c r="AE683" s="9" t="s">
        <v>9</v>
      </c>
    </row>
    <row r="684">
      <c r="A684" s="7" t="s">
        <v>1747</v>
      </c>
      <c r="B684" s="7" t="s">
        <v>1748</v>
      </c>
      <c r="C684" s="8">
        <v>46177.0</v>
      </c>
      <c r="D684" s="8">
        <v>46177.0</v>
      </c>
      <c r="E684" s="7" t="s">
        <v>358</v>
      </c>
      <c r="F684" s="7" t="s">
        <v>387</v>
      </c>
      <c r="G684" s="7" t="s">
        <v>355</v>
      </c>
      <c r="H684" s="9">
        <v>0.0</v>
      </c>
      <c r="I684" s="9">
        <v>0.0</v>
      </c>
      <c r="J684" s="9">
        <v>0.0</v>
      </c>
      <c r="K684" s="9">
        <v>0.0</v>
      </c>
      <c r="L684" s="10">
        <v>0.0</v>
      </c>
      <c r="M684" s="9">
        <v>0.0</v>
      </c>
      <c r="N684" s="9">
        <v>10655.0</v>
      </c>
      <c r="O684" s="9">
        <v>10530.0</v>
      </c>
      <c r="P684" s="9">
        <v>3483.0</v>
      </c>
      <c r="Q684" s="9">
        <v>212.0</v>
      </c>
      <c r="R684" s="9">
        <v>0.0</v>
      </c>
      <c r="S684" s="9">
        <v>0.0</v>
      </c>
      <c r="T684" s="9">
        <v>0.0</v>
      </c>
      <c r="U684" s="9">
        <v>0.0</v>
      </c>
      <c r="V684" s="9">
        <v>0.0</v>
      </c>
      <c r="W684" s="9">
        <v>0.0</v>
      </c>
      <c r="X684" s="9">
        <v>0.0</v>
      </c>
      <c r="Y684" s="9">
        <v>0.0</v>
      </c>
      <c r="Z684" s="9">
        <v>0.0</v>
      </c>
      <c r="AA684" s="9">
        <v>0.0</v>
      </c>
      <c r="AB684" s="9">
        <v>0.0</v>
      </c>
      <c r="AC684" s="9">
        <v>0.0</v>
      </c>
      <c r="AD684" s="9"/>
      <c r="AE684" s="9" t="s">
        <v>9</v>
      </c>
    </row>
    <row r="685">
      <c r="A685" s="7" t="s">
        <v>1749</v>
      </c>
      <c r="B685" s="7" t="s">
        <v>1750</v>
      </c>
      <c r="C685" s="8">
        <v>46181.0</v>
      </c>
      <c r="D685" s="8">
        <v>46181.0</v>
      </c>
      <c r="E685" s="7" t="s">
        <v>353</v>
      </c>
      <c r="F685" s="7" t="s">
        <v>378</v>
      </c>
      <c r="G685" s="7" t="s">
        <v>355</v>
      </c>
      <c r="H685" s="9">
        <v>0.0</v>
      </c>
      <c r="I685" s="9">
        <v>0.0</v>
      </c>
      <c r="J685" s="9">
        <v>0.0</v>
      </c>
      <c r="K685" s="9">
        <v>0.0</v>
      </c>
      <c r="L685" s="10">
        <v>0.0</v>
      </c>
      <c r="M685" s="9">
        <v>0.0</v>
      </c>
      <c r="N685" s="9">
        <v>145316.0</v>
      </c>
      <c r="O685" s="9">
        <v>143504.0</v>
      </c>
      <c r="P685" s="9">
        <v>35586.0</v>
      </c>
      <c r="Q685" s="9">
        <v>437.0</v>
      </c>
      <c r="R685" s="9">
        <v>0.0</v>
      </c>
      <c r="S685" s="9">
        <v>0.0</v>
      </c>
      <c r="T685" s="9">
        <v>0.0</v>
      </c>
      <c r="U685" s="9">
        <v>0.0</v>
      </c>
      <c r="V685" s="9">
        <v>0.0</v>
      </c>
      <c r="W685" s="9">
        <v>0.0</v>
      </c>
      <c r="X685" s="9">
        <v>0.0</v>
      </c>
      <c r="Y685" s="9">
        <v>0.0</v>
      </c>
      <c r="Z685" s="9">
        <v>0.0</v>
      </c>
      <c r="AA685" s="9">
        <v>0.0</v>
      </c>
      <c r="AB685" s="9">
        <v>0.0</v>
      </c>
      <c r="AC685" s="9">
        <v>0.0</v>
      </c>
      <c r="AD685" s="9"/>
      <c r="AE685" s="9" t="s">
        <v>9</v>
      </c>
    </row>
    <row r="686">
      <c r="A686" s="7" t="s">
        <v>1751</v>
      </c>
      <c r="B686" s="7" t="s">
        <v>1752</v>
      </c>
      <c r="C686" s="8">
        <v>46177.0</v>
      </c>
      <c r="D686" s="8">
        <v>46179.0</v>
      </c>
      <c r="E686" s="7" t="s">
        <v>404</v>
      </c>
      <c r="F686" s="7" t="s">
        <v>783</v>
      </c>
      <c r="G686" s="7" t="s">
        <v>355</v>
      </c>
      <c r="H686" s="9">
        <v>47567.0</v>
      </c>
      <c r="I686" s="9">
        <v>0.0</v>
      </c>
      <c r="J686" s="9">
        <v>842.0</v>
      </c>
      <c r="K686" s="9">
        <v>0.0</v>
      </c>
      <c r="L686" s="10">
        <v>0.0</v>
      </c>
      <c r="M686" s="9">
        <v>0.0</v>
      </c>
      <c r="N686" s="9">
        <v>157615.0</v>
      </c>
      <c r="O686" s="9">
        <v>156013.0</v>
      </c>
      <c r="P686" s="9">
        <v>62327.0</v>
      </c>
      <c r="Q686" s="9">
        <v>388.0</v>
      </c>
      <c r="R686" s="9">
        <v>0.0</v>
      </c>
      <c r="S686" s="9">
        <v>0.0</v>
      </c>
      <c r="T686" s="9">
        <v>0.0</v>
      </c>
      <c r="U686" s="9">
        <v>0.0</v>
      </c>
      <c r="V686" s="9">
        <v>0.0</v>
      </c>
      <c r="W686" s="9">
        <v>0.0</v>
      </c>
      <c r="X686" s="9">
        <v>0.0</v>
      </c>
      <c r="Y686" s="9">
        <v>0.0</v>
      </c>
      <c r="Z686" s="9">
        <v>0.0</v>
      </c>
      <c r="AA686" s="9">
        <v>0.0</v>
      </c>
      <c r="AB686" s="9">
        <v>0.0</v>
      </c>
      <c r="AC686" s="9">
        <v>0.0</v>
      </c>
      <c r="AD686" s="9"/>
      <c r="AE686" s="9" t="s">
        <v>9</v>
      </c>
    </row>
    <row r="687">
      <c r="A687" s="7" t="s">
        <v>1753</v>
      </c>
      <c r="B687" s="7" t="s">
        <v>1754</v>
      </c>
      <c r="C687" s="8">
        <v>46177.0</v>
      </c>
      <c r="D687" s="8">
        <v>46199.0</v>
      </c>
      <c r="E687" s="7" t="s">
        <v>416</v>
      </c>
      <c r="F687" s="7" t="s">
        <v>417</v>
      </c>
      <c r="G687" s="7" t="s">
        <v>355</v>
      </c>
      <c r="H687" s="9">
        <v>2785341.0</v>
      </c>
      <c r="I687" s="9">
        <v>1390993.0</v>
      </c>
      <c r="J687" s="9">
        <v>5788.0</v>
      </c>
      <c r="K687" s="9">
        <v>47269.0</v>
      </c>
      <c r="L687" s="10">
        <v>17.36328248958091</v>
      </c>
      <c r="M687" s="9">
        <v>58.925321034927755</v>
      </c>
      <c r="N687" s="9">
        <v>0.0</v>
      </c>
      <c r="O687" s="9">
        <v>0.0</v>
      </c>
      <c r="P687" s="9">
        <v>0.0</v>
      </c>
      <c r="Q687" s="9">
        <v>0.0</v>
      </c>
      <c r="R687" s="9">
        <v>0.0</v>
      </c>
      <c r="S687" s="9">
        <v>0.0</v>
      </c>
      <c r="T687" s="9">
        <v>0.0</v>
      </c>
      <c r="U687" s="9">
        <v>0.0</v>
      </c>
      <c r="V687" s="9">
        <v>0.0</v>
      </c>
      <c r="W687" s="9">
        <v>0.0</v>
      </c>
      <c r="X687" s="9">
        <v>0.0</v>
      </c>
      <c r="Y687" s="9">
        <v>0.0</v>
      </c>
      <c r="Z687" s="9">
        <v>0.0</v>
      </c>
      <c r="AA687" s="9">
        <v>0.0</v>
      </c>
      <c r="AB687" s="9">
        <v>0.0</v>
      </c>
      <c r="AC687" s="9">
        <v>0.0</v>
      </c>
      <c r="AD687" s="11" t="s">
        <v>249</v>
      </c>
      <c r="AE687" s="9"/>
    </row>
    <row r="688">
      <c r="A688" s="7" t="s">
        <v>1755</v>
      </c>
      <c r="B688" s="7" t="s">
        <v>1756</v>
      </c>
      <c r="C688" s="8">
        <v>46177.0</v>
      </c>
      <c r="D688" s="8">
        <v>46183.0</v>
      </c>
      <c r="E688" s="7" t="s">
        <v>416</v>
      </c>
      <c r="F688" s="7" t="s">
        <v>359</v>
      </c>
      <c r="G688" s="7" t="s">
        <v>355</v>
      </c>
      <c r="H688" s="9">
        <v>134009.0</v>
      </c>
      <c r="I688" s="9">
        <v>0.0</v>
      </c>
      <c r="J688" s="9">
        <v>606.0</v>
      </c>
      <c r="K688" s="9">
        <v>30230.0</v>
      </c>
      <c r="L688" s="10">
        <v>4.432980482963943</v>
      </c>
      <c r="M688" s="9">
        <v>4.432980482963943</v>
      </c>
      <c r="N688" s="9">
        <v>61240.0</v>
      </c>
      <c r="O688" s="9">
        <v>59970.0</v>
      </c>
      <c r="P688" s="9">
        <v>5943.0</v>
      </c>
      <c r="Q688" s="9">
        <v>173.0</v>
      </c>
      <c r="R688" s="9">
        <v>100.0</v>
      </c>
      <c r="S688" s="9">
        <v>100.0</v>
      </c>
      <c r="T688" s="9">
        <v>26.0</v>
      </c>
      <c r="U688" s="9">
        <v>25.0</v>
      </c>
      <c r="V688" s="9">
        <v>0.0</v>
      </c>
      <c r="W688" s="9">
        <v>0.0</v>
      </c>
      <c r="X688" s="9">
        <v>0.0</v>
      </c>
      <c r="Y688" s="9">
        <v>0.0</v>
      </c>
      <c r="Z688" s="9">
        <v>0.0</v>
      </c>
      <c r="AA688" s="9">
        <v>0.0</v>
      </c>
      <c r="AB688" s="9">
        <v>0.0</v>
      </c>
      <c r="AC688" s="9">
        <v>0.0</v>
      </c>
      <c r="AD688" s="11" t="s">
        <v>250</v>
      </c>
      <c r="AE688" s="9" t="s">
        <v>9</v>
      </c>
    </row>
    <row r="689">
      <c r="A689" s="7" t="s">
        <v>1757</v>
      </c>
      <c r="B689" s="7" t="s">
        <v>1758</v>
      </c>
      <c r="C689" s="8">
        <v>46178.0</v>
      </c>
      <c r="D689" s="8">
        <v>46200.0</v>
      </c>
      <c r="E689" s="7" t="s">
        <v>416</v>
      </c>
      <c r="F689" s="7" t="s">
        <v>417</v>
      </c>
      <c r="G689" s="7" t="s">
        <v>355</v>
      </c>
      <c r="H689" s="9">
        <v>1922028.0</v>
      </c>
      <c r="I689" s="9">
        <v>997336.0</v>
      </c>
      <c r="J689" s="9">
        <v>3116.0</v>
      </c>
      <c r="K689" s="9"/>
      <c r="L689" s="10">
        <v>0.0</v>
      </c>
      <c r="M689" s="9">
        <v>0.0</v>
      </c>
      <c r="N689" s="9">
        <v>25684.0</v>
      </c>
      <c r="O689" s="9">
        <v>25391.0</v>
      </c>
      <c r="P689" s="9">
        <v>5065.0</v>
      </c>
      <c r="Q689" s="9">
        <v>189.0</v>
      </c>
      <c r="R689" s="9">
        <v>214.0</v>
      </c>
      <c r="S689" s="9">
        <v>214.0</v>
      </c>
      <c r="T689" s="9">
        <v>70.0</v>
      </c>
      <c r="U689" s="9">
        <v>64.0</v>
      </c>
      <c r="V689" s="9">
        <v>25624.0</v>
      </c>
      <c r="W689" s="9">
        <v>25624.0</v>
      </c>
      <c r="X689" s="9">
        <v>24248.0</v>
      </c>
      <c r="Y689" s="9">
        <v>12460.0</v>
      </c>
      <c r="Z689" s="9">
        <v>57.0</v>
      </c>
      <c r="AA689" s="9">
        <v>0.0</v>
      </c>
      <c r="AB689" s="9">
        <v>0.0</v>
      </c>
      <c r="AC689" s="9">
        <v>0.0</v>
      </c>
      <c r="AD689" s="11" t="s">
        <v>251</v>
      </c>
      <c r="AE689" s="9" t="s">
        <v>9</v>
      </c>
    </row>
    <row r="690">
      <c r="A690" s="7" t="s">
        <v>1759</v>
      </c>
      <c r="B690" s="7" t="s">
        <v>1760</v>
      </c>
      <c r="C690" s="8">
        <v>46177.0</v>
      </c>
      <c r="D690" s="8">
        <v>46184.0</v>
      </c>
      <c r="E690" s="7" t="s">
        <v>416</v>
      </c>
      <c r="F690" s="7" t="s">
        <v>594</v>
      </c>
      <c r="G690" s="7" t="s">
        <v>355</v>
      </c>
      <c r="H690" s="9">
        <v>607791.0</v>
      </c>
      <c r="I690" s="9">
        <v>0.0</v>
      </c>
      <c r="J690" s="9">
        <v>554.0</v>
      </c>
      <c r="K690" s="9">
        <v>353327.0</v>
      </c>
      <c r="L690" s="10">
        <v>1.7201940412139463</v>
      </c>
      <c r="M690" s="9">
        <v>1.7201940412139463</v>
      </c>
      <c r="N690" s="9">
        <v>52175.0</v>
      </c>
      <c r="O690" s="9">
        <v>51621.0</v>
      </c>
      <c r="P690" s="9">
        <v>9197.0</v>
      </c>
      <c r="Q690" s="9">
        <v>193.0</v>
      </c>
      <c r="R690" s="9">
        <v>0.0</v>
      </c>
      <c r="S690" s="9">
        <v>0.0</v>
      </c>
      <c r="T690" s="9">
        <v>0.0</v>
      </c>
      <c r="U690" s="9">
        <v>0.0</v>
      </c>
      <c r="V690" s="9">
        <v>0.0</v>
      </c>
      <c r="W690" s="9">
        <v>0.0</v>
      </c>
      <c r="X690" s="9">
        <v>0.0</v>
      </c>
      <c r="Y690" s="9">
        <v>0.0</v>
      </c>
      <c r="Z690" s="9">
        <v>0.0</v>
      </c>
      <c r="AA690" s="9">
        <v>0.0</v>
      </c>
      <c r="AB690" s="9">
        <v>0.0</v>
      </c>
      <c r="AC690" s="9">
        <v>0.0</v>
      </c>
      <c r="AD690" s="11" t="s">
        <v>252</v>
      </c>
      <c r="AE690" s="9" t="s">
        <v>9</v>
      </c>
    </row>
    <row r="691">
      <c r="A691" s="7" t="s">
        <v>1761</v>
      </c>
      <c r="B691" s="7" t="s">
        <v>1762</v>
      </c>
      <c r="C691" s="8">
        <v>46177.0</v>
      </c>
      <c r="D691" s="8">
        <v>46184.0</v>
      </c>
      <c r="E691" s="7" t="s">
        <v>416</v>
      </c>
      <c r="F691" s="7" t="s">
        <v>413</v>
      </c>
      <c r="G691" s="7" t="s">
        <v>355</v>
      </c>
      <c r="H691" s="9">
        <v>172132.0</v>
      </c>
      <c r="I691" s="9">
        <v>0.0</v>
      </c>
      <c r="J691" s="9">
        <v>636.0</v>
      </c>
      <c r="K691" s="9">
        <v>90360.0</v>
      </c>
      <c r="L691" s="10">
        <v>1.9049579459938026</v>
      </c>
      <c r="M691" s="9">
        <v>1.9049579459938026</v>
      </c>
      <c r="N691" s="9">
        <v>81095.0</v>
      </c>
      <c r="O691" s="9">
        <v>79723.0</v>
      </c>
      <c r="P691" s="9">
        <v>11413.0</v>
      </c>
      <c r="Q691" s="9">
        <v>197.0</v>
      </c>
      <c r="R691" s="9">
        <v>120.0</v>
      </c>
      <c r="S691" s="9">
        <v>120.0</v>
      </c>
      <c r="T691" s="9">
        <v>35.0</v>
      </c>
      <c r="U691" s="9">
        <v>34.0</v>
      </c>
      <c r="V691" s="9">
        <v>0.0</v>
      </c>
      <c r="W691" s="9">
        <v>0.0</v>
      </c>
      <c r="X691" s="9">
        <v>0.0</v>
      </c>
      <c r="Y691" s="9">
        <v>0.0</v>
      </c>
      <c r="Z691" s="9">
        <v>0.0</v>
      </c>
      <c r="AA691" s="9">
        <v>0.0</v>
      </c>
      <c r="AB691" s="9">
        <v>0.0</v>
      </c>
      <c r="AC691" s="9">
        <v>0.0</v>
      </c>
      <c r="AD691" s="11" t="s">
        <v>253</v>
      </c>
      <c r="AE691" s="9" t="s">
        <v>9</v>
      </c>
    </row>
    <row r="692">
      <c r="A692" s="7" t="s">
        <v>1763</v>
      </c>
      <c r="B692" s="7" t="s">
        <v>1764</v>
      </c>
      <c r="C692" s="8">
        <v>46178.0</v>
      </c>
      <c r="D692" s="8">
        <v>46203.0</v>
      </c>
      <c r="E692" s="7" t="s">
        <v>358</v>
      </c>
      <c r="F692" s="7" t="s">
        <v>466</v>
      </c>
      <c r="G692" s="7" t="s">
        <v>355</v>
      </c>
      <c r="H692" s="9">
        <v>6524830.0</v>
      </c>
      <c r="I692" s="9">
        <v>2873658.0</v>
      </c>
      <c r="J692" s="9">
        <v>19798.0</v>
      </c>
      <c r="K692" s="9">
        <v>986849.0</v>
      </c>
      <c r="L692" s="10">
        <v>2.26275347089575</v>
      </c>
      <c r="M692" s="9">
        <v>6.611781539019647</v>
      </c>
      <c r="N692" s="9">
        <v>411246.0</v>
      </c>
      <c r="O692" s="9">
        <v>409340.0</v>
      </c>
      <c r="P692" s="9">
        <v>152289.0</v>
      </c>
      <c r="Q692" s="9">
        <v>2259.0</v>
      </c>
      <c r="R692" s="9">
        <v>0.0</v>
      </c>
      <c r="S692" s="9">
        <v>0.0</v>
      </c>
      <c r="T692" s="9">
        <v>0.0</v>
      </c>
      <c r="U692" s="9">
        <v>0.0</v>
      </c>
      <c r="V692" s="9">
        <v>0.0</v>
      </c>
      <c r="W692" s="9">
        <v>0.0</v>
      </c>
      <c r="X692" s="9">
        <v>0.0</v>
      </c>
      <c r="Y692" s="9">
        <v>0.0</v>
      </c>
      <c r="Z692" s="9">
        <v>0.0</v>
      </c>
      <c r="AA692" s="9">
        <v>0.0</v>
      </c>
      <c r="AB692" s="9">
        <v>0.0</v>
      </c>
      <c r="AC692" s="9">
        <v>0.0</v>
      </c>
      <c r="AD692" s="11" t="s">
        <v>254</v>
      </c>
      <c r="AE692" s="9" t="s">
        <v>9</v>
      </c>
    </row>
    <row r="693">
      <c r="A693" s="7" t="s">
        <v>1765</v>
      </c>
      <c r="B693" s="7" t="s">
        <v>1766</v>
      </c>
      <c r="C693" s="8">
        <v>46178.0</v>
      </c>
      <c r="D693" s="8">
        <v>46178.0</v>
      </c>
      <c r="E693" s="7" t="s">
        <v>353</v>
      </c>
      <c r="F693" s="7" t="s">
        <v>378</v>
      </c>
      <c r="G693" s="7" t="s">
        <v>355</v>
      </c>
      <c r="H693" s="9">
        <v>0.0</v>
      </c>
      <c r="I693" s="9">
        <v>0.0</v>
      </c>
      <c r="J693" s="9">
        <v>0.0</v>
      </c>
      <c r="K693" s="9">
        <v>0.0</v>
      </c>
      <c r="L693" s="10">
        <v>0.0</v>
      </c>
      <c r="M693" s="9">
        <v>0.0</v>
      </c>
      <c r="N693" s="9">
        <v>500.0</v>
      </c>
      <c r="O693" s="9">
        <v>493.0</v>
      </c>
      <c r="P693" s="9">
        <v>183.0</v>
      </c>
      <c r="Q693" s="9">
        <v>25.0</v>
      </c>
      <c r="R693" s="9">
        <v>0.0</v>
      </c>
      <c r="S693" s="9">
        <v>0.0</v>
      </c>
      <c r="T693" s="9">
        <v>0.0</v>
      </c>
      <c r="U693" s="9">
        <v>0.0</v>
      </c>
      <c r="V693" s="9">
        <v>0.0</v>
      </c>
      <c r="W693" s="9">
        <v>0.0</v>
      </c>
      <c r="X693" s="9">
        <v>0.0</v>
      </c>
      <c r="Y693" s="9">
        <v>0.0</v>
      </c>
      <c r="Z693" s="9">
        <v>0.0</v>
      </c>
      <c r="AA693" s="9">
        <v>0.0</v>
      </c>
      <c r="AB693" s="9">
        <v>0.0</v>
      </c>
      <c r="AC693" s="9">
        <v>0.0</v>
      </c>
      <c r="AD693" s="9"/>
      <c r="AE693" s="9" t="s">
        <v>9</v>
      </c>
    </row>
    <row r="694">
      <c r="A694" s="7" t="s">
        <v>1767</v>
      </c>
      <c r="B694" s="7" t="s">
        <v>1768</v>
      </c>
      <c r="C694" s="8">
        <v>46190.0</v>
      </c>
      <c r="D694" s="8">
        <v>46190.0</v>
      </c>
      <c r="E694" s="7" t="s">
        <v>416</v>
      </c>
      <c r="F694" s="7" t="s">
        <v>417</v>
      </c>
      <c r="G694" s="7" t="s">
        <v>355</v>
      </c>
      <c r="H694" s="9">
        <v>0.0</v>
      </c>
      <c r="I694" s="9">
        <v>0.0</v>
      </c>
      <c r="J694" s="9">
        <v>0.0</v>
      </c>
      <c r="K694" s="9">
        <v>0.0</v>
      </c>
      <c r="L694" s="10">
        <v>0.0</v>
      </c>
      <c r="M694" s="9">
        <v>0.0</v>
      </c>
      <c r="N694" s="9">
        <v>54690.0</v>
      </c>
      <c r="O694" s="9">
        <v>54110.0</v>
      </c>
      <c r="P694" s="9">
        <v>17062.0</v>
      </c>
      <c r="Q694" s="9">
        <v>235.0</v>
      </c>
      <c r="R694" s="9">
        <v>0.0</v>
      </c>
      <c r="S694" s="9">
        <v>0.0</v>
      </c>
      <c r="T694" s="9">
        <v>0.0</v>
      </c>
      <c r="U694" s="9">
        <v>0.0</v>
      </c>
      <c r="V694" s="9">
        <v>0.0</v>
      </c>
      <c r="W694" s="9">
        <v>0.0</v>
      </c>
      <c r="X694" s="9">
        <v>0.0</v>
      </c>
      <c r="Y694" s="9">
        <v>0.0</v>
      </c>
      <c r="Z694" s="9">
        <v>0.0</v>
      </c>
      <c r="AA694" s="9">
        <v>0.0</v>
      </c>
      <c r="AB694" s="9">
        <v>0.0</v>
      </c>
      <c r="AC694" s="9">
        <v>0.0</v>
      </c>
      <c r="AD694" s="9"/>
      <c r="AE694" s="9" t="s">
        <v>9</v>
      </c>
    </row>
    <row r="695">
      <c r="A695" s="7" t="s">
        <v>1769</v>
      </c>
      <c r="B695" s="7" t="s">
        <v>1770</v>
      </c>
      <c r="C695" s="8">
        <v>46150.0</v>
      </c>
      <c r="D695" s="8">
        <v>46185.0</v>
      </c>
      <c r="E695" s="7" t="s">
        <v>416</v>
      </c>
      <c r="F695" s="7" t="s">
        <v>466</v>
      </c>
      <c r="G695" s="7" t="s">
        <v>355</v>
      </c>
      <c r="H695" s="9">
        <v>172852.0</v>
      </c>
      <c r="I695" s="9">
        <v>0.0</v>
      </c>
      <c r="J695" s="9">
        <v>678.0</v>
      </c>
      <c r="K695" s="9">
        <v>63881.0</v>
      </c>
      <c r="L695" s="10">
        <v>2.7058436780889465</v>
      </c>
      <c r="M695" s="9">
        <v>2.7058436780889465</v>
      </c>
      <c r="N695" s="9">
        <v>81311.0</v>
      </c>
      <c r="O695" s="9">
        <v>80173.0</v>
      </c>
      <c r="P695" s="9">
        <v>10589.0</v>
      </c>
      <c r="Q695" s="9">
        <v>132.0</v>
      </c>
      <c r="R695" s="9">
        <v>115.0</v>
      </c>
      <c r="S695" s="9">
        <v>115.0</v>
      </c>
      <c r="T695" s="9">
        <v>34.0</v>
      </c>
      <c r="U695" s="9">
        <v>33.0</v>
      </c>
      <c r="V695" s="9">
        <v>0.0</v>
      </c>
      <c r="W695" s="9">
        <v>0.0</v>
      </c>
      <c r="X695" s="9">
        <v>0.0</v>
      </c>
      <c r="Y695" s="9">
        <v>0.0</v>
      </c>
      <c r="Z695" s="9">
        <v>0.0</v>
      </c>
      <c r="AA695" s="9">
        <v>0.0</v>
      </c>
      <c r="AB695" s="9">
        <v>0.0</v>
      </c>
      <c r="AC695" s="9">
        <v>0.0</v>
      </c>
      <c r="AD695" s="11" t="s">
        <v>255</v>
      </c>
      <c r="AE695" s="9" t="s">
        <v>9</v>
      </c>
    </row>
    <row r="696">
      <c r="A696" s="7" t="s">
        <v>1771</v>
      </c>
      <c r="B696" s="7" t="s">
        <v>1772</v>
      </c>
      <c r="C696" s="8">
        <v>46181.0</v>
      </c>
      <c r="D696" s="8">
        <v>46185.0</v>
      </c>
      <c r="E696" s="7" t="s">
        <v>416</v>
      </c>
      <c r="F696" s="7" t="s">
        <v>466</v>
      </c>
      <c r="G696" s="7" t="s">
        <v>355</v>
      </c>
      <c r="H696" s="9">
        <v>602815.0</v>
      </c>
      <c r="I696" s="9">
        <v>0.0</v>
      </c>
      <c r="J696" s="9">
        <v>674.0</v>
      </c>
      <c r="K696" s="9"/>
      <c r="L696" s="10">
        <v>0.0</v>
      </c>
      <c r="M696" s="9">
        <v>0.0</v>
      </c>
      <c r="N696" s="9">
        <v>74069.0</v>
      </c>
      <c r="O696" s="9">
        <v>73222.0</v>
      </c>
      <c r="P696" s="9">
        <v>12863.0</v>
      </c>
      <c r="Q696" s="9">
        <v>169.0</v>
      </c>
      <c r="R696" s="9">
        <v>75.0</v>
      </c>
      <c r="S696" s="9">
        <v>75.0</v>
      </c>
      <c r="T696" s="9">
        <v>21.0</v>
      </c>
      <c r="U696" s="9">
        <v>19.0</v>
      </c>
      <c r="V696" s="9">
        <v>0.0</v>
      </c>
      <c r="W696" s="9">
        <v>0.0</v>
      </c>
      <c r="X696" s="9">
        <v>0.0</v>
      </c>
      <c r="Y696" s="9">
        <v>0.0</v>
      </c>
      <c r="Z696" s="9">
        <v>0.0</v>
      </c>
      <c r="AA696" s="9">
        <v>0.0</v>
      </c>
      <c r="AB696" s="9">
        <v>0.0</v>
      </c>
      <c r="AC696" s="9">
        <v>0.0</v>
      </c>
      <c r="AD696" s="11" t="s">
        <v>256</v>
      </c>
      <c r="AE696" s="9" t="s">
        <v>9</v>
      </c>
    </row>
    <row r="697">
      <c r="A697" s="7" t="s">
        <v>1773</v>
      </c>
      <c r="B697" s="7" t="s">
        <v>1774</v>
      </c>
      <c r="C697" s="8">
        <v>46181.0</v>
      </c>
      <c r="D697" s="8">
        <v>46185.0</v>
      </c>
      <c r="E697" s="7" t="s">
        <v>416</v>
      </c>
      <c r="F697" s="7" t="s">
        <v>466</v>
      </c>
      <c r="G697" s="7" t="s">
        <v>355</v>
      </c>
      <c r="H697" s="9">
        <v>142584.0</v>
      </c>
      <c r="I697" s="9">
        <v>0.0</v>
      </c>
      <c r="J697" s="9">
        <v>522.0</v>
      </c>
      <c r="K697" s="9">
        <v>55979.0</v>
      </c>
      <c r="L697" s="10">
        <v>2.547098018899945</v>
      </c>
      <c r="M697" s="9">
        <v>2.547098018899945</v>
      </c>
      <c r="N697" s="9">
        <v>76596.0</v>
      </c>
      <c r="O697" s="9">
        <v>75894.0</v>
      </c>
      <c r="P697" s="9">
        <v>16114.0</v>
      </c>
      <c r="Q697" s="9">
        <v>197.0</v>
      </c>
      <c r="R697" s="9">
        <v>82.0</v>
      </c>
      <c r="S697" s="9">
        <v>82.0</v>
      </c>
      <c r="T697" s="9">
        <v>20.0</v>
      </c>
      <c r="U697" s="9">
        <v>19.0</v>
      </c>
      <c r="V697" s="9">
        <v>0.0</v>
      </c>
      <c r="W697" s="9">
        <v>0.0</v>
      </c>
      <c r="X697" s="9">
        <v>0.0</v>
      </c>
      <c r="Y697" s="9">
        <v>0.0</v>
      </c>
      <c r="Z697" s="9">
        <v>0.0</v>
      </c>
      <c r="AA697" s="9">
        <v>0.0</v>
      </c>
      <c r="AB697" s="9">
        <v>0.0</v>
      </c>
      <c r="AC697" s="9">
        <v>0.0</v>
      </c>
      <c r="AD697" s="11" t="s">
        <v>257</v>
      </c>
      <c r="AE697" s="9" t="s">
        <v>9</v>
      </c>
    </row>
    <row r="698">
      <c r="A698" s="7" t="s">
        <v>1775</v>
      </c>
      <c r="B698" s="7" t="s">
        <v>1776</v>
      </c>
      <c r="C698" s="8">
        <v>46181.0</v>
      </c>
      <c r="D698" s="8">
        <v>46185.0</v>
      </c>
      <c r="E698" s="7" t="s">
        <v>416</v>
      </c>
      <c r="F698" s="7" t="s">
        <v>466</v>
      </c>
      <c r="G698" s="7" t="s">
        <v>355</v>
      </c>
      <c r="H698" s="9">
        <v>0.0</v>
      </c>
      <c r="I698" s="9">
        <v>0.0</v>
      </c>
      <c r="J698" s="9">
        <v>0.0</v>
      </c>
      <c r="K698" s="9">
        <v>0.0</v>
      </c>
      <c r="L698" s="10">
        <v>0.0</v>
      </c>
      <c r="M698" s="9">
        <v>0.0</v>
      </c>
      <c r="N698" s="9">
        <v>81016.0</v>
      </c>
      <c r="O698" s="9">
        <v>80139.0</v>
      </c>
      <c r="P698" s="9">
        <v>12403.0</v>
      </c>
      <c r="Q698" s="9">
        <v>165.0</v>
      </c>
      <c r="R698" s="9">
        <v>82.0</v>
      </c>
      <c r="S698" s="9">
        <v>82.0</v>
      </c>
      <c r="T698" s="9">
        <v>21.0</v>
      </c>
      <c r="U698" s="9">
        <v>21.0</v>
      </c>
      <c r="V698" s="9">
        <v>0.0</v>
      </c>
      <c r="W698" s="9">
        <v>0.0</v>
      </c>
      <c r="X698" s="9">
        <v>0.0</v>
      </c>
      <c r="Y698" s="9">
        <v>0.0</v>
      </c>
      <c r="Z698" s="9">
        <v>0.0</v>
      </c>
      <c r="AA698" s="9">
        <v>0.0</v>
      </c>
      <c r="AB698" s="9">
        <v>0.0</v>
      </c>
      <c r="AC698" s="9">
        <v>0.0</v>
      </c>
      <c r="AD698" s="9"/>
      <c r="AE698" s="9" t="s">
        <v>9</v>
      </c>
    </row>
    <row r="699">
      <c r="A699" s="7" t="s">
        <v>1777</v>
      </c>
      <c r="B699" s="7" t="s">
        <v>1778</v>
      </c>
      <c r="C699" s="8">
        <v>46190.0</v>
      </c>
      <c r="D699" s="8">
        <v>46190.0</v>
      </c>
      <c r="E699" s="7" t="s">
        <v>353</v>
      </c>
      <c r="F699" s="7" t="s">
        <v>725</v>
      </c>
      <c r="G699" s="7" t="s">
        <v>355</v>
      </c>
      <c r="H699" s="9">
        <v>0.0</v>
      </c>
      <c r="I699" s="9">
        <v>0.0</v>
      </c>
      <c r="J699" s="9">
        <v>0.0</v>
      </c>
      <c r="K699" s="9">
        <v>0.0</v>
      </c>
      <c r="L699" s="10">
        <v>0.0</v>
      </c>
      <c r="M699" s="9">
        <v>0.0</v>
      </c>
      <c r="N699" s="9">
        <v>70733.0</v>
      </c>
      <c r="O699" s="9">
        <v>69679.0</v>
      </c>
      <c r="P699" s="9">
        <v>21250.0</v>
      </c>
      <c r="Q699" s="9">
        <v>920.0</v>
      </c>
      <c r="R699" s="9">
        <v>0.0</v>
      </c>
      <c r="S699" s="9">
        <v>0.0</v>
      </c>
      <c r="T699" s="9">
        <v>0.0</v>
      </c>
      <c r="U699" s="9">
        <v>0.0</v>
      </c>
      <c r="V699" s="9">
        <v>0.0</v>
      </c>
      <c r="W699" s="9">
        <v>0.0</v>
      </c>
      <c r="X699" s="9">
        <v>0.0</v>
      </c>
      <c r="Y699" s="9">
        <v>0.0</v>
      </c>
      <c r="Z699" s="9">
        <v>0.0</v>
      </c>
      <c r="AA699" s="9">
        <v>0.0</v>
      </c>
      <c r="AB699" s="9">
        <v>0.0</v>
      </c>
      <c r="AC699" s="9">
        <v>0.0</v>
      </c>
      <c r="AD699" s="9"/>
      <c r="AE699" s="9" t="s">
        <v>9</v>
      </c>
    </row>
    <row r="700">
      <c r="A700" s="7" t="s">
        <v>1779</v>
      </c>
      <c r="B700" s="7" t="s">
        <v>1780</v>
      </c>
      <c r="C700" s="8">
        <v>46180.0</v>
      </c>
      <c r="D700" s="8">
        <v>46181.0</v>
      </c>
      <c r="E700" s="7" t="s">
        <v>353</v>
      </c>
      <c r="F700" s="7" t="s">
        <v>808</v>
      </c>
      <c r="G700" s="7" t="s">
        <v>355</v>
      </c>
      <c r="H700" s="9">
        <v>586569.0</v>
      </c>
      <c r="I700" s="9">
        <v>13720.0</v>
      </c>
      <c r="J700" s="9">
        <v>0.0</v>
      </c>
      <c r="K700" s="9"/>
      <c r="L700" s="10">
        <v>0.0</v>
      </c>
      <c r="M700" s="9">
        <v>0.0</v>
      </c>
      <c r="N700" s="9">
        <v>0.0</v>
      </c>
      <c r="O700" s="9">
        <v>0.0</v>
      </c>
      <c r="P700" s="9">
        <v>0.0</v>
      </c>
      <c r="Q700" s="9">
        <v>0.0</v>
      </c>
      <c r="R700" s="9">
        <v>0.0</v>
      </c>
      <c r="S700" s="9">
        <v>0.0</v>
      </c>
      <c r="T700" s="9">
        <v>0.0</v>
      </c>
      <c r="U700" s="9">
        <v>0.0</v>
      </c>
      <c r="V700" s="9">
        <v>0.0</v>
      </c>
      <c r="W700" s="9">
        <v>0.0</v>
      </c>
      <c r="X700" s="9">
        <v>0.0</v>
      </c>
      <c r="Y700" s="9">
        <v>0.0</v>
      </c>
      <c r="Z700" s="9">
        <v>0.0</v>
      </c>
      <c r="AA700" s="9">
        <v>0.0</v>
      </c>
      <c r="AB700" s="9">
        <v>0.0</v>
      </c>
      <c r="AC700" s="9">
        <v>0.0</v>
      </c>
      <c r="AD700" s="11" t="s">
        <v>258</v>
      </c>
      <c r="AE700" s="9"/>
    </row>
    <row r="701">
      <c r="A701" s="7" t="s">
        <v>1781</v>
      </c>
      <c r="B701" s="7" t="s">
        <v>1782</v>
      </c>
      <c r="C701" s="8">
        <v>46184.0</v>
      </c>
      <c r="D701" s="8">
        <v>46184.0</v>
      </c>
      <c r="E701" s="7" t="s">
        <v>353</v>
      </c>
      <c r="F701" s="7" t="s">
        <v>378</v>
      </c>
      <c r="G701" s="7" t="s">
        <v>355</v>
      </c>
      <c r="H701" s="9">
        <v>0.0</v>
      </c>
      <c r="I701" s="9">
        <v>0.0</v>
      </c>
      <c r="J701" s="9">
        <v>0.0</v>
      </c>
      <c r="K701" s="9">
        <v>0.0</v>
      </c>
      <c r="L701" s="10">
        <v>0.0</v>
      </c>
      <c r="M701" s="9">
        <v>0.0</v>
      </c>
      <c r="N701" s="9">
        <v>7429.0</v>
      </c>
      <c r="O701" s="9">
        <v>7397.0</v>
      </c>
      <c r="P701" s="9">
        <v>3046.0</v>
      </c>
      <c r="Q701" s="9">
        <v>225.0</v>
      </c>
      <c r="R701" s="9">
        <v>0.0</v>
      </c>
      <c r="S701" s="9">
        <v>0.0</v>
      </c>
      <c r="T701" s="9">
        <v>0.0</v>
      </c>
      <c r="U701" s="9">
        <v>0.0</v>
      </c>
      <c r="V701" s="9">
        <v>0.0</v>
      </c>
      <c r="W701" s="9">
        <v>0.0</v>
      </c>
      <c r="X701" s="9">
        <v>0.0</v>
      </c>
      <c r="Y701" s="9">
        <v>0.0</v>
      </c>
      <c r="Z701" s="9">
        <v>0.0</v>
      </c>
      <c r="AA701" s="9">
        <v>0.0</v>
      </c>
      <c r="AB701" s="9">
        <v>0.0</v>
      </c>
      <c r="AC701" s="9">
        <v>0.0</v>
      </c>
      <c r="AD701" s="9"/>
      <c r="AE701" s="9" t="s">
        <v>9</v>
      </c>
    </row>
    <row r="702">
      <c r="A702" s="7" t="s">
        <v>1783</v>
      </c>
      <c r="B702" s="7" t="s">
        <v>1784</v>
      </c>
      <c r="C702" s="8">
        <v>46191.0</v>
      </c>
      <c r="D702" s="8">
        <v>46191.0</v>
      </c>
      <c r="E702" s="7" t="s">
        <v>416</v>
      </c>
      <c r="F702" s="7" t="s">
        <v>430</v>
      </c>
      <c r="G702" s="7" t="s">
        <v>355</v>
      </c>
      <c r="H702" s="9">
        <v>0.0</v>
      </c>
      <c r="I702" s="9">
        <v>0.0</v>
      </c>
      <c r="J702" s="9">
        <v>0.0</v>
      </c>
      <c r="K702" s="9">
        <v>0.0</v>
      </c>
      <c r="L702" s="10">
        <v>0.0</v>
      </c>
      <c r="M702" s="9">
        <v>0.0</v>
      </c>
      <c r="N702" s="9">
        <v>18434.0</v>
      </c>
      <c r="O702" s="9">
        <v>18198.0</v>
      </c>
      <c r="P702" s="9">
        <v>3857.0</v>
      </c>
      <c r="Q702" s="9">
        <v>72.0</v>
      </c>
      <c r="R702" s="9">
        <v>0.0</v>
      </c>
      <c r="S702" s="9">
        <v>0.0</v>
      </c>
      <c r="T702" s="9">
        <v>0.0</v>
      </c>
      <c r="U702" s="9">
        <v>0.0</v>
      </c>
      <c r="V702" s="9">
        <v>0.0</v>
      </c>
      <c r="W702" s="9">
        <v>0.0</v>
      </c>
      <c r="X702" s="9">
        <v>0.0</v>
      </c>
      <c r="Y702" s="9">
        <v>0.0</v>
      </c>
      <c r="Z702" s="9">
        <v>0.0</v>
      </c>
      <c r="AA702" s="9">
        <v>0.0</v>
      </c>
      <c r="AB702" s="9">
        <v>0.0</v>
      </c>
      <c r="AC702" s="9">
        <v>0.0</v>
      </c>
      <c r="AD702" s="9"/>
      <c r="AE702" s="9" t="s">
        <v>9</v>
      </c>
    </row>
    <row r="703">
      <c r="A703" s="7" t="s">
        <v>1785</v>
      </c>
      <c r="B703" s="7" t="s">
        <v>1786</v>
      </c>
      <c r="C703" s="8">
        <v>46182.0</v>
      </c>
      <c r="D703" s="8">
        <v>46186.0</v>
      </c>
      <c r="E703" s="7" t="s">
        <v>416</v>
      </c>
      <c r="F703" s="7" t="s">
        <v>667</v>
      </c>
      <c r="G703" s="7" t="s">
        <v>355</v>
      </c>
      <c r="H703" s="9">
        <v>353426.0</v>
      </c>
      <c r="I703" s="9">
        <v>0.0</v>
      </c>
      <c r="J703" s="9">
        <v>384.0</v>
      </c>
      <c r="K703" s="9"/>
      <c r="L703" s="10">
        <v>0.0</v>
      </c>
      <c r="M703" s="9">
        <v>0.0</v>
      </c>
      <c r="N703" s="9">
        <v>19222.0</v>
      </c>
      <c r="O703" s="9">
        <v>19008.0</v>
      </c>
      <c r="P703" s="9">
        <v>4873.0</v>
      </c>
      <c r="Q703" s="9">
        <v>72.0</v>
      </c>
      <c r="R703" s="9">
        <v>38.0</v>
      </c>
      <c r="S703" s="9">
        <v>38.0</v>
      </c>
      <c r="T703" s="9">
        <v>10.0</v>
      </c>
      <c r="U703" s="9">
        <v>9.0</v>
      </c>
      <c r="V703" s="9">
        <v>0.0</v>
      </c>
      <c r="W703" s="9">
        <v>0.0</v>
      </c>
      <c r="X703" s="9">
        <v>0.0</v>
      </c>
      <c r="Y703" s="9">
        <v>0.0</v>
      </c>
      <c r="Z703" s="9">
        <v>0.0</v>
      </c>
      <c r="AA703" s="9">
        <v>0.0</v>
      </c>
      <c r="AB703" s="9">
        <v>0.0</v>
      </c>
      <c r="AC703" s="9">
        <v>0.0</v>
      </c>
      <c r="AD703" s="11" t="s">
        <v>259</v>
      </c>
      <c r="AE703" s="9" t="s">
        <v>9</v>
      </c>
    </row>
    <row r="704">
      <c r="A704" s="7" t="s">
        <v>1787</v>
      </c>
      <c r="B704" s="7" t="s">
        <v>1788</v>
      </c>
      <c r="C704" s="8">
        <v>46182.0</v>
      </c>
      <c r="D704" s="8">
        <v>46186.0</v>
      </c>
      <c r="E704" s="7" t="s">
        <v>416</v>
      </c>
      <c r="F704" s="7" t="s">
        <v>725</v>
      </c>
      <c r="G704" s="7" t="s">
        <v>355</v>
      </c>
      <c r="H704" s="9">
        <v>54813.0</v>
      </c>
      <c r="I704" s="9">
        <v>0.0</v>
      </c>
      <c r="J704" s="9">
        <v>378.0</v>
      </c>
      <c r="K704" s="9"/>
      <c r="L704" s="10">
        <v>0.0</v>
      </c>
      <c r="M704" s="9">
        <v>0.0</v>
      </c>
      <c r="N704" s="9">
        <v>22928.0</v>
      </c>
      <c r="O704" s="9">
        <v>22730.0</v>
      </c>
      <c r="P704" s="9">
        <v>6744.0</v>
      </c>
      <c r="Q704" s="9">
        <v>150.0</v>
      </c>
      <c r="R704" s="9">
        <v>0.0</v>
      </c>
      <c r="S704" s="9">
        <v>0.0</v>
      </c>
      <c r="T704" s="9">
        <v>0.0</v>
      </c>
      <c r="U704" s="9">
        <v>0.0</v>
      </c>
      <c r="V704" s="9">
        <v>0.0</v>
      </c>
      <c r="W704" s="9">
        <v>0.0</v>
      </c>
      <c r="X704" s="9">
        <v>0.0</v>
      </c>
      <c r="Y704" s="9">
        <v>0.0</v>
      </c>
      <c r="Z704" s="9">
        <v>0.0</v>
      </c>
      <c r="AA704" s="9">
        <v>0.0</v>
      </c>
      <c r="AB704" s="9">
        <v>0.0</v>
      </c>
      <c r="AC704" s="9">
        <v>0.0</v>
      </c>
      <c r="AD704" s="11" t="s">
        <v>260</v>
      </c>
      <c r="AE704" s="9" t="s">
        <v>9</v>
      </c>
    </row>
    <row r="705">
      <c r="A705" s="7" t="s">
        <v>1789</v>
      </c>
      <c r="B705" s="7" t="s">
        <v>1790</v>
      </c>
      <c r="C705" s="8">
        <v>46209.0</v>
      </c>
      <c r="D705" s="8">
        <v>46234.0</v>
      </c>
      <c r="E705" s="7" t="s">
        <v>353</v>
      </c>
      <c r="F705" s="7" t="s">
        <v>833</v>
      </c>
      <c r="G705" s="7" t="s">
        <v>410</v>
      </c>
      <c r="H705" s="9">
        <v>1869964.0</v>
      </c>
      <c r="I705" s="9">
        <v>0.0</v>
      </c>
      <c r="J705" s="9">
        <v>21247.0</v>
      </c>
      <c r="K705" s="9">
        <v>233664.0</v>
      </c>
      <c r="L705" s="10">
        <v>1.4551492741714598</v>
      </c>
      <c r="M705" s="9">
        <v>8.002790331416051</v>
      </c>
      <c r="N705" s="9">
        <v>250880.0</v>
      </c>
      <c r="O705" s="9">
        <v>248602.0</v>
      </c>
      <c r="P705" s="9">
        <v>94984.0</v>
      </c>
      <c r="Q705" s="9">
        <v>2503.0</v>
      </c>
      <c r="R705" s="9">
        <v>0.0</v>
      </c>
      <c r="S705" s="9">
        <v>0.0</v>
      </c>
      <c r="T705" s="9">
        <v>0.0</v>
      </c>
      <c r="U705" s="9">
        <v>0.0</v>
      </c>
      <c r="V705" s="9">
        <v>0.0</v>
      </c>
      <c r="W705" s="9">
        <v>0.0</v>
      </c>
      <c r="X705" s="9">
        <v>0.0</v>
      </c>
      <c r="Y705" s="9">
        <v>0.0</v>
      </c>
      <c r="Z705" s="9">
        <v>0.0</v>
      </c>
      <c r="AA705" s="9">
        <v>0.0</v>
      </c>
      <c r="AB705" s="9">
        <v>0.0</v>
      </c>
      <c r="AC705" s="9">
        <v>0.0</v>
      </c>
      <c r="AD705" s="9"/>
      <c r="AE705" s="9" t="s">
        <v>9</v>
      </c>
    </row>
    <row r="706">
      <c r="A706" s="7" t="s">
        <v>1791</v>
      </c>
      <c r="B706" s="7" t="s">
        <v>1792</v>
      </c>
      <c r="C706" s="8">
        <v>46183.0</v>
      </c>
      <c r="D706" s="8">
        <v>46183.0</v>
      </c>
      <c r="E706" s="7" t="s">
        <v>358</v>
      </c>
      <c r="F706" s="7" t="s">
        <v>387</v>
      </c>
      <c r="G706" s="7" t="s">
        <v>355</v>
      </c>
      <c r="H706" s="9">
        <v>0.0</v>
      </c>
      <c r="I706" s="9">
        <v>0.0</v>
      </c>
      <c r="J706" s="9">
        <v>0.0</v>
      </c>
      <c r="K706" s="9">
        <v>0.0</v>
      </c>
      <c r="L706" s="10">
        <v>0.0</v>
      </c>
      <c r="M706" s="9">
        <v>0.0</v>
      </c>
      <c r="N706" s="9">
        <v>18210.0</v>
      </c>
      <c r="O706" s="9">
        <v>17979.0</v>
      </c>
      <c r="P706" s="9">
        <v>6043.0</v>
      </c>
      <c r="Q706" s="9">
        <v>247.0</v>
      </c>
      <c r="R706" s="9">
        <v>0.0</v>
      </c>
      <c r="S706" s="9">
        <v>0.0</v>
      </c>
      <c r="T706" s="9">
        <v>0.0</v>
      </c>
      <c r="U706" s="9">
        <v>0.0</v>
      </c>
      <c r="V706" s="9">
        <v>0.0</v>
      </c>
      <c r="W706" s="9">
        <v>0.0</v>
      </c>
      <c r="X706" s="9">
        <v>0.0</v>
      </c>
      <c r="Y706" s="9">
        <v>0.0</v>
      </c>
      <c r="Z706" s="9">
        <v>0.0</v>
      </c>
      <c r="AA706" s="9">
        <v>0.0</v>
      </c>
      <c r="AB706" s="9">
        <v>0.0</v>
      </c>
      <c r="AC706" s="9">
        <v>0.0</v>
      </c>
      <c r="AD706" s="9"/>
      <c r="AE706" s="9" t="s">
        <v>9</v>
      </c>
    </row>
    <row r="707">
      <c r="A707" s="7" t="s">
        <v>1793</v>
      </c>
      <c r="B707" s="7" t="s">
        <v>1794</v>
      </c>
      <c r="C707" s="8">
        <v>46184.0</v>
      </c>
      <c r="D707" s="8">
        <v>46184.0</v>
      </c>
      <c r="E707" s="7" t="s">
        <v>358</v>
      </c>
      <c r="F707" s="7" t="s">
        <v>387</v>
      </c>
      <c r="G707" s="7" t="s">
        <v>355</v>
      </c>
      <c r="H707" s="9">
        <v>0.0</v>
      </c>
      <c r="I707" s="9">
        <v>0.0</v>
      </c>
      <c r="J707" s="9">
        <v>0.0</v>
      </c>
      <c r="K707" s="9">
        <v>0.0</v>
      </c>
      <c r="L707" s="10">
        <v>0.0</v>
      </c>
      <c r="M707" s="9">
        <v>0.0</v>
      </c>
      <c r="N707" s="9">
        <v>10977.0</v>
      </c>
      <c r="O707" s="9">
        <v>10885.0</v>
      </c>
      <c r="P707" s="9">
        <v>4511.0</v>
      </c>
      <c r="Q707" s="9">
        <v>172.0</v>
      </c>
      <c r="R707" s="9">
        <v>0.0</v>
      </c>
      <c r="S707" s="9">
        <v>0.0</v>
      </c>
      <c r="T707" s="9">
        <v>0.0</v>
      </c>
      <c r="U707" s="9">
        <v>0.0</v>
      </c>
      <c r="V707" s="9">
        <v>0.0</v>
      </c>
      <c r="W707" s="9">
        <v>0.0</v>
      </c>
      <c r="X707" s="9">
        <v>0.0</v>
      </c>
      <c r="Y707" s="9">
        <v>0.0</v>
      </c>
      <c r="Z707" s="9">
        <v>0.0</v>
      </c>
      <c r="AA707" s="9">
        <v>0.0</v>
      </c>
      <c r="AB707" s="9">
        <v>0.0</v>
      </c>
      <c r="AC707" s="9">
        <v>0.0</v>
      </c>
      <c r="AD707" s="9"/>
      <c r="AE707" s="9" t="s">
        <v>9</v>
      </c>
    </row>
    <row r="708">
      <c r="A708" s="7" t="s">
        <v>1795</v>
      </c>
      <c r="B708" s="7" t="s">
        <v>1796</v>
      </c>
      <c r="C708" s="8">
        <v>46188.0</v>
      </c>
      <c r="D708" s="8">
        <v>46188.0</v>
      </c>
      <c r="E708" s="7" t="s">
        <v>358</v>
      </c>
      <c r="F708" s="7" t="s">
        <v>387</v>
      </c>
      <c r="G708" s="7" t="s">
        <v>355</v>
      </c>
      <c r="H708" s="9">
        <v>0.0</v>
      </c>
      <c r="I708" s="9">
        <v>0.0</v>
      </c>
      <c r="J708" s="9">
        <v>0.0</v>
      </c>
      <c r="K708" s="9">
        <v>0.0</v>
      </c>
      <c r="L708" s="10">
        <v>0.0</v>
      </c>
      <c r="M708" s="9">
        <v>0.0</v>
      </c>
      <c r="N708" s="9">
        <v>11970.0</v>
      </c>
      <c r="O708" s="9">
        <v>11829.0</v>
      </c>
      <c r="P708" s="9">
        <v>4161.0</v>
      </c>
      <c r="Q708" s="9">
        <v>170.0</v>
      </c>
      <c r="R708" s="9">
        <v>0.0</v>
      </c>
      <c r="S708" s="9">
        <v>0.0</v>
      </c>
      <c r="T708" s="9">
        <v>0.0</v>
      </c>
      <c r="U708" s="9">
        <v>0.0</v>
      </c>
      <c r="V708" s="9">
        <v>0.0</v>
      </c>
      <c r="W708" s="9">
        <v>0.0</v>
      </c>
      <c r="X708" s="9">
        <v>0.0</v>
      </c>
      <c r="Y708" s="9">
        <v>0.0</v>
      </c>
      <c r="Z708" s="9">
        <v>0.0</v>
      </c>
      <c r="AA708" s="9">
        <v>0.0</v>
      </c>
      <c r="AB708" s="9">
        <v>0.0</v>
      </c>
      <c r="AC708" s="9">
        <v>0.0</v>
      </c>
      <c r="AD708" s="9"/>
      <c r="AE708" s="9" t="s">
        <v>9</v>
      </c>
    </row>
    <row r="709">
      <c r="A709" s="7" t="s">
        <v>1797</v>
      </c>
      <c r="B709" s="7" t="s">
        <v>1798</v>
      </c>
      <c r="C709" s="8">
        <v>46185.0</v>
      </c>
      <c r="D709" s="8">
        <v>46203.0</v>
      </c>
      <c r="E709" s="7" t="s">
        <v>353</v>
      </c>
      <c r="F709" s="7" t="s">
        <v>725</v>
      </c>
      <c r="G709" s="7" t="s">
        <v>355</v>
      </c>
      <c r="H709" s="9">
        <v>1.0535643E7</v>
      </c>
      <c r="I709" s="9">
        <v>103799.0</v>
      </c>
      <c r="J709" s="9">
        <v>10698.0</v>
      </c>
      <c r="K709" s="9">
        <v>659654.0</v>
      </c>
      <c r="L709" s="10">
        <v>2.0106010120457087</v>
      </c>
      <c r="M709" s="9">
        <v>15.97146837584552</v>
      </c>
      <c r="N709" s="9">
        <v>179777.0</v>
      </c>
      <c r="O709" s="9">
        <v>178675.0</v>
      </c>
      <c r="P709" s="9">
        <v>103434.0</v>
      </c>
      <c r="Q709" s="9">
        <v>2924.0</v>
      </c>
      <c r="R709" s="9">
        <v>0.0</v>
      </c>
      <c r="S709" s="9">
        <v>0.0</v>
      </c>
      <c r="T709" s="9">
        <v>0.0</v>
      </c>
      <c r="U709" s="9">
        <v>0.0</v>
      </c>
      <c r="V709" s="9">
        <v>0.0</v>
      </c>
      <c r="W709" s="9">
        <v>0.0</v>
      </c>
      <c r="X709" s="9">
        <v>0.0</v>
      </c>
      <c r="Y709" s="9">
        <v>0.0</v>
      </c>
      <c r="Z709" s="9">
        <v>0.0</v>
      </c>
      <c r="AA709" s="9">
        <v>0.0</v>
      </c>
      <c r="AB709" s="9">
        <v>0.0</v>
      </c>
      <c r="AC709" s="9">
        <v>0.0</v>
      </c>
      <c r="AD709" s="11" t="s">
        <v>261</v>
      </c>
      <c r="AE709" s="9" t="s">
        <v>9</v>
      </c>
    </row>
    <row r="710">
      <c r="A710" s="7" t="s">
        <v>1799</v>
      </c>
      <c r="B710" s="7" t="s">
        <v>1800</v>
      </c>
      <c r="C710" s="8">
        <v>46181.0</v>
      </c>
      <c r="D710" s="8">
        <v>46181.0</v>
      </c>
      <c r="E710" s="7" t="s">
        <v>358</v>
      </c>
      <c r="F710" s="7" t="s">
        <v>359</v>
      </c>
      <c r="G710" s="7" t="s">
        <v>355</v>
      </c>
      <c r="H710" s="9">
        <v>0.0</v>
      </c>
      <c r="I710" s="9">
        <v>0.0</v>
      </c>
      <c r="J710" s="9">
        <v>0.0</v>
      </c>
      <c r="K710" s="9">
        <v>0.0</v>
      </c>
      <c r="L710" s="10">
        <v>0.0</v>
      </c>
      <c r="M710" s="9">
        <v>0.0</v>
      </c>
      <c r="N710" s="9">
        <v>68387.0</v>
      </c>
      <c r="O710" s="9">
        <v>67680.0</v>
      </c>
      <c r="P710" s="9">
        <v>23562.0</v>
      </c>
      <c r="Q710" s="9">
        <v>1230.0</v>
      </c>
      <c r="R710" s="9">
        <v>0.0</v>
      </c>
      <c r="S710" s="9">
        <v>0.0</v>
      </c>
      <c r="T710" s="9">
        <v>0.0</v>
      </c>
      <c r="U710" s="9">
        <v>0.0</v>
      </c>
      <c r="V710" s="9">
        <v>0.0</v>
      </c>
      <c r="W710" s="9">
        <v>0.0</v>
      </c>
      <c r="X710" s="9">
        <v>0.0</v>
      </c>
      <c r="Y710" s="9">
        <v>0.0</v>
      </c>
      <c r="Z710" s="9">
        <v>0.0</v>
      </c>
      <c r="AA710" s="9">
        <v>0.0</v>
      </c>
      <c r="AB710" s="9">
        <v>0.0</v>
      </c>
      <c r="AC710" s="9">
        <v>0.0</v>
      </c>
      <c r="AD710" s="9"/>
      <c r="AE710" s="9" t="s">
        <v>9</v>
      </c>
    </row>
    <row r="711">
      <c r="A711" s="7" t="s">
        <v>1801</v>
      </c>
      <c r="B711" s="7" t="s">
        <v>1802</v>
      </c>
      <c r="C711" s="8">
        <v>46183.0</v>
      </c>
      <c r="D711" s="8">
        <v>46206.0</v>
      </c>
      <c r="E711" s="7" t="s">
        <v>416</v>
      </c>
      <c r="F711" s="7" t="s">
        <v>417</v>
      </c>
      <c r="G711" s="7" t="s">
        <v>355</v>
      </c>
      <c r="H711" s="9">
        <v>8366482.0</v>
      </c>
      <c r="I711" s="9">
        <v>3565447.0</v>
      </c>
      <c r="J711" s="9">
        <v>58853.0</v>
      </c>
      <c r="K711" s="9">
        <v>104438.0</v>
      </c>
      <c r="L711" s="10">
        <v>9.264415251153794</v>
      </c>
      <c r="M711" s="9">
        <v>80.10955782378062</v>
      </c>
      <c r="N711" s="9">
        <v>329225.0</v>
      </c>
      <c r="O711" s="9">
        <v>325401.0</v>
      </c>
      <c r="P711" s="9">
        <v>46599.0</v>
      </c>
      <c r="Q711" s="9">
        <v>780.0</v>
      </c>
      <c r="R711" s="9">
        <v>8602.0</v>
      </c>
      <c r="S711" s="9">
        <v>7269.0</v>
      </c>
      <c r="T711" s="9">
        <v>1244.0</v>
      </c>
      <c r="U711" s="9">
        <v>1007.0</v>
      </c>
      <c r="V711" s="9">
        <v>70271.0</v>
      </c>
      <c r="W711" s="9">
        <v>70271.0</v>
      </c>
      <c r="X711" s="9">
        <v>66801.0</v>
      </c>
      <c r="Y711" s="9">
        <v>23883.0</v>
      </c>
      <c r="Z711" s="9">
        <v>135.0</v>
      </c>
      <c r="AA711" s="9">
        <v>0.0</v>
      </c>
      <c r="AB711" s="9">
        <v>0.0</v>
      </c>
      <c r="AC711" s="9">
        <v>0.0</v>
      </c>
      <c r="AD711" s="11" t="s">
        <v>262</v>
      </c>
      <c r="AE711" s="9" t="s">
        <v>9</v>
      </c>
    </row>
    <row r="712">
      <c r="A712" s="7" t="s">
        <v>1803</v>
      </c>
      <c r="B712" s="7" t="s">
        <v>1804</v>
      </c>
      <c r="C712" s="8">
        <v>46185.0</v>
      </c>
      <c r="D712" s="8">
        <v>46199.0</v>
      </c>
      <c r="E712" s="7" t="s">
        <v>364</v>
      </c>
      <c r="F712" s="7" t="s">
        <v>365</v>
      </c>
      <c r="G712" s="7" t="s">
        <v>355</v>
      </c>
      <c r="H712" s="9">
        <v>79204.0</v>
      </c>
      <c r="I712" s="9">
        <v>0.0</v>
      </c>
      <c r="J712" s="9">
        <v>0.0</v>
      </c>
      <c r="K712" s="9">
        <v>34452.0</v>
      </c>
      <c r="L712" s="10">
        <v>2.298966678277023</v>
      </c>
      <c r="M712" s="9">
        <v>2.298966678277023</v>
      </c>
      <c r="N712" s="9">
        <v>52822.0</v>
      </c>
      <c r="O712" s="9">
        <v>52167.0</v>
      </c>
      <c r="P712" s="9">
        <v>11620.0</v>
      </c>
      <c r="Q712" s="9">
        <v>333.0</v>
      </c>
      <c r="R712" s="9">
        <v>0.0</v>
      </c>
      <c r="S712" s="9">
        <v>0.0</v>
      </c>
      <c r="T712" s="9">
        <v>0.0</v>
      </c>
      <c r="U712" s="9">
        <v>0.0</v>
      </c>
      <c r="V712" s="9">
        <v>0.0</v>
      </c>
      <c r="W712" s="9">
        <v>0.0</v>
      </c>
      <c r="X712" s="9">
        <v>0.0</v>
      </c>
      <c r="Y712" s="9">
        <v>0.0</v>
      </c>
      <c r="Z712" s="9">
        <v>0.0</v>
      </c>
      <c r="AA712" s="9">
        <v>0.0</v>
      </c>
      <c r="AB712" s="9">
        <v>0.0</v>
      </c>
      <c r="AC712" s="9">
        <v>0.0</v>
      </c>
      <c r="AD712" s="11" t="s">
        <v>263</v>
      </c>
      <c r="AE712" s="9" t="s">
        <v>9</v>
      </c>
    </row>
    <row r="713">
      <c r="A713" s="7" t="s">
        <v>1805</v>
      </c>
      <c r="B713" s="7" t="s">
        <v>1806</v>
      </c>
      <c r="C713" s="8">
        <v>46183.0</v>
      </c>
      <c r="D713" s="8">
        <v>46197.0</v>
      </c>
      <c r="E713" s="7" t="s">
        <v>358</v>
      </c>
      <c r="F713" s="7" t="s">
        <v>466</v>
      </c>
      <c r="G713" s="7" t="s">
        <v>355</v>
      </c>
      <c r="H713" s="9">
        <v>702218.0</v>
      </c>
      <c r="I713" s="9">
        <v>63650.0</v>
      </c>
      <c r="J713" s="9">
        <v>957.0</v>
      </c>
      <c r="K713" s="9">
        <v>313931.0</v>
      </c>
      <c r="L713" s="10">
        <v>2.2368545954365766</v>
      </c>
      <c r="M713" s="9">
        <v>2.2368545954365766</v>
      </c>
      <c r="N713" s="9">
        <v>0.0</v>
      </c>
      <c r="O713" s="9">
        <v>0.0</v>
      </c>
      <c r="P713" s="9">
        <v>0.0</v>
      </c>
      <c r="Q713" s="9">
        <v>0.0</v>
      </c>
      <c r="R713" s="9">
        <v>0.0</v>
      </c>
      <c r="S713" s="9">
        <v>0.0</v>
      </c>
      <c r="T713" s="9">
        <v>0.0</v>
      </c>
      <c r="U713" s="9">
        <v>0.0</v>
      </c>
      <c r="V713" s="9">
        <v>0.0</v>
      </c>
      <c r="W713" s="9">
        <v>0.0</v>
      </c>
      <c r="X713" s="9">
        <v>0.0</v>
      </c>
      <c r="Y713" s="9">
        <v>0.0</v>
      </c>
      <c r="Z713" s="9">
        <v>0.0</v>
      </c>
      <c r="AA713" s="9">
        <v>0.0</v>
      </c>
      <c r="AB713" s="9">
        <v>0.0</v>
      </c>
      <c r="AC713" s="9">
        <v>0.0</v>
      </c>
      <c r="AD713" s="11" t="s">
        <v>264</v>
      </c>
      <c r="AE713" s="9"/>
    </row>
    <row r="714">
      <c r="A714" s="7" t="s">
        <v>1807</v>
      </c>
      <c r="B714" s="7" t="s">
        <v>1808</v>
      </c>
      <c r="C714" s="8">
        <v>46190.0</v>
      </c>
      <c r="D714" s="8">
        <v>46204.0</v>
      </c>
      <c r="E714" s="7" t="s">
        <v>353</v>
      </c>
      <c r="F714" s="7" t="s">
        <v>354</v>
      </c>
      <c r="G714" s="7" t="s">
        <v>355</v>
      </c>
      <c r="H714" s="9">
        <v>8411990.0</v>
      </c>
      <c r="I714" s="9">
        <v>5204109.0</v>
      </c>
      <c r="J714" s="9">
        <v>12360.0</v>
      </c>
      <c r="K714" s="9">
        <v>607445.0</v>
      </c>
      <c r="L714" s="10">
        <v>1.887767616821276</v>
      </c>
      <c r="M714" s="9">
        <v>13.848150861394858</v>
      </c>
      <c r="N714" s="9">
        <v>218405.0</v>
      </c>
      <c r="O714" s="9">
        <v>215828.0</v>
      </c>
      <c r="P714" s="9">
        <v>59201.0</v>
      </c>
      <c r="Q714" s="9">
        <v>394.0</v>
      </c>
      <c r="R714" s="9">
        <v>0.0</v>
      </c>
      <c r="S714" s="9">
        <v>0.0</v>
      </c>
      <c r="T714" s="9">
        <v>0.0</v>
      </c>
      <c r="U714" s="9">
        <v>0.0</v>
      </c>
      <c r="V714" s="9">
        <v>0.0</v>
      </c>
      <c r="W714" s="9">
        <v>0.0</v>
      </c>
      <c r="X714" s="9">
        <v>0.0</v>
      </c>
      <c r="Y714" s="9">
        <v>0.0</v>
      </c>
      <c r="Z714" s="9">
        <v>0.0</v>
      </c>
      <c r="AA714" s="9">
        <v>0.0</v>
      </c>
      <c r="AB714" s="9">
        <v>0.0</v>
      </c>
      <c r="AC714" s="9">
        <v>0.0</v>
      </c>
      <c r="AD714" s="11" t="s">
        <v>265</v>
      </c>
      <c r="AE714" s="9" t="s">
        <v>9</v>
      </c>
    </row>
    <row r="715">
      <c r="A715" s="7" t="s">
        <v>1809</v>
      </c>
      <c r="B715" s="7" t="s">
        <v>1810</v>
      </c>
      <c r="C715" s="8">
        <v>46185.0</v>
      </c>
      <c r="D715" s="8">
        <v>46186.0</v>
      </c>
      <c r="E715" s="7" t="s">
        <v>364</v>
      </c>
      <c r="F715" s="7" t="s">
        <v>365</v>
      </c>
      <c r="G715" s="7" t="s">
        <v>355</v>
      </c>
      <c r="H715" s="9">
        <v>34292.0</v>
      </c>
      <c r="I715" s="9">
        <v>0.0</v>
      </c>
      <c r="J715" s="9">
        <v>384.0</v>
      </c>
      <c r="K715" s="9"/>
      <c r="L715" s="10">
        <v>0.0</v>
      </c>
      <c r="M715" s="9">
        <v>0.0</v>
      </c>
      <c r="N715" s="9">
        <v>84193.0</v>
      </c>
      <c r="O715" s="9">
        <v>83336.0</v>
      </c>
      <c r="P715" s="9">
        <v>22505.0</v>
      </c>
      <c r="Q715" s="9">
        <v>750.0</v>
      </c>
      <c r="R715" s="9">
        <v>0.0</v>
      </c>
      <c r="S715" s="9">
        <v>0.0</v>
      </c>
      <c r="T715" s="9">
        <v>0.0</v>
      </c>
      <c r="U715" s="9">
        <v>0.0</v>
      </c>
      <c r="V715" s="9">
        <v>0.0</v>
      </c>
      <c r="W715" s="9">
        <v>0.0</v>
      </c>
      <c r="X715" s="9">
        <v>0.0</v>
      </c>
      <c r="Y715" s="9">
        <v>0.0</v>
      </c>
      <c r="Z715" s="9">
        <v>0.0</v>
      </c>
      <c r="AA715" s="9">
        <v>0.0</v>
      </c>
      <c r="AB715" s="9">
        <v>0.0</v>
      </c>
      <c r="AC715" s="9">
        <v>0.0</v>
      </c>
      <c r="AD715" s="11" t="s">
        <v>266</v>
      </c>
      <c r="AE715" s="9" t="s">
        <v>9</v>
      </c>
    </row>
    <row r="716">
      <c r="A716" s="7" t="s">
        <v>1811</v>
      </c>
      <c r="B716" s="7" t="s">
        <v>1812</v>
      </c>
      <c r="C716" s="8">
        <v>46189.0</v>
      </c>
      <c r="D716" s="8">
        <v>46195.0</v>
      </c>
      <c r="E716" s="7" t="s">
        <v>416</v>
      </c>
      <c r="F716" s="7" t="s">
        <v>405</v>
      </c>
      <c r="G716" s="7" t="s">
        <v>355</v>
      </c>
      <c r="H716" s="9">
        <v>1255497.0</v>
      </c>
      <c r="I716" s="9">
        <v>0.0</v>
      </c>
      <c r="J716" s="9">
        <v>23556.0</v>
      </c>
      <c r="K716" s="9">
        <v>100428.0</v>
      </c>
      <c r="L716" s="10">
        <v>2.85357669175927</v>
      </c>
      <c r="M716" s="9">
        <v>12.501463735213287</v>
      </c>
      <c r="N716" s="9">
        <v>145919.0</v>
      </c>
      <c r="O716" s="9">
        <v>144317.0</v>
      </c>
      <c r="P716" s="9">
        <v>49616.0</v>
      </c>
      <c r="Q716" s="9">
        <v>6839.0</v>
      </c>
      <c r="R716" s="9">
        <v>0.0</v>
      </c>
      <c r="S716" s="9">
        <v>0.0</v>
      </c>
      <c r="T716" s="9">
        <v>0.0</v>
      </c>
      <c r="U716" s="9">
        <v>0.0</v>
      </c>
      <c r="V716" s="9">
        <v>0.0</v>
      </c>
      <c r="W716" s="9">
        <v>0.0</v>
      </c>
      <c r="X716" s="9">
        <v>0.0</v>
      </c>
      <c r="Y716" s="9">
        <v>0.0</v>
      </c>
      <c r="Z716" s="9">
        <v>0.0</v>
      </c>
      <c r="AA716" s="9">
        <v>0.0</v>
      </c>
      <c r="AB716" s="9">
        <v>0.0</v>
      </c>
      <c r="AC716" s="9">
        <v>0.0</v>
      </c>
      <c r="AD716" s="11" t="s">
        <v>267</v>
      </c>
      <c r="AE716" s="9" t="s">
        <v>9</v>
      </c>
    </row>
    <row r="717">
      <c r="A717" s="7" t="s">
        <v>1813</v>
      </c>
      <c r="B717" s="7" t="s">
        <v>1814</v>
      </c>
      <c r="C717" s="8">
        <v>46183.0</v>
      </c>
      <c r="D717" s="8">
        <v>46196.0</v>
      </c>
      <c r="E717" s="7" t="s">
        <v>358</v>
      </c>
      <c r="F717" s="7" t="s">
        <v>466</v>
      </c>
      <c r="G717" s="7" t="s">
        <v>355</v>
      </c>
      <c r="H717" s="9">
        <v>4766226.0</v>
      </c>
      <c r="I717" s="9">
        <v>2547131.0</v>
      </c>
      <c r="J717" s="9">
        <v>13784.0</v>
      </c>
      <c r="K717" s="9">
        <v>522124.0</v>
      </c>
      <c r="L717" s="10">
        <v>2.275518842267354</v>
      </c>
      <c r="M717" s="9">
        <v>9.128532685722165</v>
      </c>
      <c r="N717" s="9">
        <v>410080.0</v>
      </c>
      <c r="O717" s="9">
        <v>407705.0</v>
      </c>
      <c r="P717" s="9">
        <v>154523.0</v>
      </c>
      <c r="Q717" s="9">
        <v>1651.0</v>
      </c>
      <c r="R717" s="9">
        <v>0.0</v>
      </c>
      <c r="S717" s="9">
        <v>0.0</v>
      </c>
      <c r="T717" s="9">
        <v>0.0</v>
      </c>
      <c r="U717" s="9">
        <v>0.0</v>
      </c>
      <c r="V717" s="9">
        <v>0.0</v>
      </c>
      <c r="W717" s="9">
        <v>0.0</v>
      </c>
      <c r="X717" s="9">
        <v>0.0</v>
      </c>
      <c r="Y717" s="9">
        <v>0.0</v>
      </c>
      <c r="Z717" s="9">
        <v>0.0</v>
      </c>
      <c r="AA717" s="9">
        <v>0.0</v>
      </c>
      <c r="AB717" s="9">
        <v>0.0</v>
      </c>
      <c r="AC717" s="9">
        <v>0.0</v>
      </c>
      <c r="AD717" s="11" t="s">
        <v>268</v>
      </c>
      <c r="AE717" s="9" t="s">
        <v>9</v>
      </c>
    </row>
    <row r="718">
      <c r="A718" s="7" t="s">
        <v>1815</v>
      </c>
      <c r="B718" s="7" t="s">
        <v>1816</v>
      </c>
      <c r="C718" s="8">
        <v>46184.0</v>
      </c>
      <c r="D718" s="8">
        <v>46185.0</v>
      </c>
      <c r="E718" s="7" t="s">
        <v>358</v>
      </c>
      <c r="F718" s="7" t="s">
        <v>359</v>
      </c>
      <c r="G718" s="7" t="s">
        <v>355</v>
      </c>
      <c r="H718" s="9">
        <v>0.0</v>
      </c>
      <c r="I718" s="9">
        <v>0.0</v>
      </c>
      <c r="J718" s="9">
        <v>0.0</v>
      </c>
      <c r="K718" s="9">
        <v>0.0</v>
      </c>
      <c r="L718" s="10">
        <v>0.0</v>
      </c>
      <c r="M718" s="9">
        <v>0.0</v>
      </c>
      <c r="N718" s="9">
        <v>6283.0</v>
      </c>
      <c r="O718" s="9">
        <v>6260.0</v>
      </c>
      <c r="P718" s="9">
        <v>2912.0</v>
      </c>
      <c r="Q718" s="9">
        <v>22.0</v>
      </c>
      <c r="R718" s="9">
        <v>0.0</v>
      </c>
      <c r="S718" s="9">
        <v>0.0</v>
      </c>
      <c r="T718" s="9">
        <v>0.0</v>
      </c>
      <c r="U718" s="9">
        <v>0.0</v>
      </c>
      <c r="V718" s="9">
        <v>0.0</v>
      </c>
      <c r="W718" s="9">
        <v>0.0</v>
      </c>
      <c r="X718" s="9">
        <v>0.0</v>
      </c>
      <c r="Y718" s="9">
        <v>0.0</v>
      </c>
      <c r="Z718" s="9">
        <v>0.0</v>
      </c>
      <c r="AA718" s="9">
        <v>0.0</v>
      </c>
      <c r="AB718" s="9">
        <v>0.0</v>
      </c>
      <c r="AC718" s="9">
        <v>0.0</v>
      </c>
      <c r="AD718" s="9"/>
      <c r="AE718" s="9" t="s">
        <v>9</v>
      </c>
    </row>
    <row r="719">
      <c r="A719" s="7" t="s">
        <v>1817</v>
      </c>
      <c r="B719" s="7" t="s">
        <v>1818</v>
      </c>
      <c r="C719" s="8">
        <v>46184.0</v>
      </c>
      <c r="D719" s="8">
        <v>46191.0</v>
      </c>
      <c r="E719" s="7" t="s">
        <v>416</v>
      </c>
      <c r="F719" s="7" t="s">
        <v>378</v>
      </c>
      <c r="G719" s="7" t="s">
        <v>355</v>
      </c>
      <c r="H719" s="9">
        <v>142254.0</v>
      </c>
      <c r="I719" s="9">
        <v>0.0</v>
      </c>
      <c r="J719" s="9">
        <v>484.0</v>
      </c>
      <c r="K719" s="9">
        <v>89654.0</v>
      </c>
      <c r="L719" s="10">
        <v>1.5866999799228143</v>
      </c>
      <c r="M719" s="9">
        <v>1.5866999799228143</v>
      </c>
      <c r="N719" s="9">
        <v>82761.0</v>
      </c>
      <c r="O719" s="9">
        <v>81830.0</v>
      </c>
      <c r="P719" s="9">
        <v>12766.0</v>
      </c>
      <c r="Q719" s="9">
        <v>230.0</v>
      </c>
      <c r="R719" s="9">
        <v>110.0</v>
      </c>
      <c r="S719" s="9">
        <v>110.0</v>
      </c>
      <c r="T719" s="9">
        <v>39.0</v>
      </c>
      <c r="U719" s="9">
        <v>36.0</v>
      </c>
      <c r="V719" s="9">
        <v>0.0</v>
      </c>
      <c r="W719" s="9">
        <v>0.0</v>
      </c>
      <c r="X719" s="9">
        <v>0.0</v>
      </c>
      <c r="Y719" s="9">
        <v>0.0</v>
      </c>
      <c r="Z719" s="9">
        <v>0.0</v>
      </c>
      <c r="AA719" s="9">
        <v>0.0</v>
      </c>
      <c r="AB719" s="9">
        <v>0.0</v>
      </c>
      <c r="AC719" s="9">
        <v>0.0</v>
      </c>
      <c r="AD719" s="11" t="s">
        <v>269</v>
      </c>
      <c r="AE719" s="9" t="s">
        <v>9</v>
      </c>
    </row>
    <row r="720">
      <c r="A720" s="7" t="s">
        <v>1819</v>
      </c>
      <c r="B720" s="7" t="s">
        <v>1820</v>
      </c>
      <c r="C720" s="8">
        <v>46184.0</v>
      </c>
      <c r="D720" s="8">
        <v>46192.0</v>
      </c>
      <c r="E720" s="7" t="s">
        <v>416</v>
      </c>
      <c r="F720" s="7" t="s">
        <v>725</v>
      </c>
      <c r="G720" s="7" t="s">
        <v>355</v>
      </c>
      <c r="H720" s="9">
        <v>165767.0</v>
      </c>
      <c r="I720" s="9">
        <v>0.0</v>
      </c>
      <c r="J720" s="9">
        <v>496.0</v>
      </c>
      <c r="K720" s="9">
        <v>99724.0</v>
      </c>
      <c r="L720" s="10">
        <v>1.662257831615258</v>
      </c>
      <c r="M720" s="9">
        <v>1.662257831615258</v>
      </c>
      <c r="N720" s="9">
        <v>22583.0</v>
      </c>
      <c r="O720" s="9">
        <v>22466.0</v>
      </c>
      <c r="P720" s="9">
        <v>4798.0</v>
      </c>
      <c r="Q720" s="9">
        <v>134.0</v>
      </c>
      <c r="R720" s="9">
        <v>0.0</v>
      </c>
      <c r="S720" s="9">
        <v>0.0</v>
      </c>
      <c r="T720" s="9">
        <v>0.0</v>
      </c>
      <c r="U720" s="9">
        <v>0.0</v>
      </c>
      <c r="V720" s="9">
        <v>0.0</v>
      </c>
      <c r="W720" s="9">
        <v>0.0</v>
      </c>
      <c r="X720" s="9">
        <v>0.0</v>
      </c>
      <c r="Y720" s="9">
        <v>0.0</v>
      </c>
      <c r="Z720" s="9">
        <v>0.0</v>
      </c>
      <c r="AA720" s="9">
        <v>0.0</v>
      </c>
      <c r="AB720" s="9">
        <v>0.0</v>
      </c>
      <c r="AC720" s="9">
        <v>0.0</v>
      </c>
      <c r="AD720" s="11" t="s">
        <v>270</v>
      </c>
      <c r="AE720" s="9" t="s">
        <v>9</v>
      </c>
    </row>
    <row r="721">
      <c r="A721" s="7" t="s">
        <v>1821</v>
      </c>
      <c r="B721" s="7" t="s">
        <v>1822</v>
      </c>
      <c r="C721" s="8">
        <v>46188.0</v>
      </c>
      <c r="D721" s="8">
        <v>46192.0</v>
      </c>
      <c r="E721" s="7" t="s">
        <v>416</v>
      </c>
      <c r="F721" s="7" t="s">
        <v>466</v>
      </c>
      <c r="G721" s="7" t="s">
        <v>355</v>
      </c>
      <c r="H721" s="9">
        <v>136984.0</v>
      </c>
      <c r="I721" s="9">
        <v>0.0</v>
      </c>
      <c r="J721" s="9">
        <v>563.0</v>
      </c>
      <c r="K721" s="9">
        <v>82599.0</v>
      </c>
      <c r="L721" s="10">
        <v>1.658422014794368</v>
      </c>
      <c r="M721" s="9">
        <v>1.658422014794368</v>
      </c>
      <c r="N721" s="9">
        <v>62238.0</v>
      </c>
      <c r="O721" s="9">
        <v>60895.0</v>
      </c>
      <c r="P721" s="9">
        <v>7251.0</v>
      </c>
      <c r="Q721" s="9">
        <v>119.0</v>
      </c>
      <c r="R721" s="9">
        <v>86.0</v>
      </c>
      <c r="S721" s="9">
        <v>86.0</v>
      </c>
      <c r="T721" s="9">
        <v>26.0</v>
      </c>
      <c r="U721" s="9">
        <v>26.0</v>
      </c>
      <c r="V721" s="9">
        <v>0.0</v>
      </c>
      <c r="W721" s="9">
        <v>0.0</v>
      </c>
      <c r="X721" s="9">
        <v>0.0</v>
      </c>
      <c r="Y721" s="9">
        <v>0.0</v>
      </c>
      <c r="Z721" s="9">
        <v>0.0</v>
      </c>
      <c r="AA721" s="9">
        <v>0.0</v>
      </c>
      <c r="AB721" s="9">
        <v>0.0</v>
      </c>
      <c r="AC721" s="9">
        <v>0.0</v>
      </c>
      <c r="AD721" s="11" t="s">
        <v>271</v>
      </c>
      <c r="AE721" s="9" t="s">
        <v>9</v>
      </c>
    </row>
    <row r="722">
      <c r="A722" s="7" t="s">
        <v>1823</v>
      </c>
      <c r="B722" s="7" t="s">
        <v>1824</v>
      </c>
      <c r="C722" s="8">
        <v>46185.0</v>
      </c>
      <c r="D722" s="8">
        <v>46192.0</v>
      </c>
      <c r="E722" s="7" t="s">
        <v>416</v>
      </c>
      <c r="F722" s="7" t="s">
        <v>466</v>
      </c>
      <c r="G722" s="7" t="s">
        <v>355</v>
      </c>
      <c r="H722" s="9">
        <v>190110.0</v>
      </c>
      <c r="I722" s="9">
        <v>0.0</v>
      </c>
      <c r="J722" s="9">
        <v>647.0</v>
      </c>
      <c r="K722" s="9">
        <v>121792.0</v>
      </c>
      <c r="L722" s="10">
        <v>1.5609399632159748</v>
      </c>
      <c r="M722" s="9">
        <v>1.5609399632159748</v>
      </c>
      <c r="N722" s="9">
        <v>68362.0</v>
      </c>
      <c r="O722" s="9">
        <v>67361.0</v>
      </c>
      <c r="P722" s="9">
        <v>10376.0</v>
      </c>
      <c r="Q722" s="9">
        <v>170.0</v>
      </c>
      <c r="R722" s="9">
        <v>106.0</v>
      </c>
      <c r="S722" s="9">
        <v>106.0</v>
      </c>
      <c r="T722" s="9">
        <v>38.0</v>
      </c>
      <c r="U722" s="9">
        <v>36.0</v>
      </c>
      <c r="V722" s="9">
        <v>0.0</v>
      </c>
      <c r="W722" s="9">
        <v>0.0</v>
      </c>
      <c r="X722" s="9">
        <v>0.0</v>
      </c>
      <c r="Y722" s="9">
        <v>0.0</v>
      </c>
      <c r="Z722" s="9">
        <v>0.0</v>
      </c>
      <c r="AA722" s="9">
        <v>0.0</v>
      </c>
      <c r="AB722" s="9">
        <v>0.0</v>
      </c>
      <c r="AC722" s="9">
        <v>0.0</v>
      </c>
      <c r="AD722" s="11" t="s">
        <v>272</v>
      </c>
      <c r="AE722" s="9" t="s">
        <v>9</v>
      </c>
    </row>
    <row r="723">
      <c r="A723" s="7" t="s">
        <v>1825</v>
      </c>
      <c r="B723" s="7" t="s">
        <v>1826</v>
      </c>
      <c r="C723" s="8">
        <v>46185.0</v>
      </c>
      <c r="D723" s="8">
        <v>46192.0</v>
      </c>
      <c r="E723" s="7" t="s">
        <v>416</v>
      </c>
      <c r="F723" s="7" t="s">
        <v>466</v>
      </c>
      <c r="G723" s="7" t="s">
        <v>355</v>
      </c>
      <c r="H723" s="9">
        <v>142938.0</v>
      </c>
      <c r="I723" s="9">
        <v>0.0</v>
      </c>
      <c r="J723" s="9">
        <v>589.0</v>
      </c>
      <c r="K723" s="9">
        <v>85447.0</v>
      </c>
      <c r="L723" s="10">
        <v>1.672826430418856</v>
      </c>
      <c r="M723" s="9">
        <v>1.672826430418856</v>
      </c>
      <c r="N723" s="9">
        <v>145104.0</v>
      </c>
      <c r="O723" s="9">
        <v>143531.0</v>
      </c>
      <c r="P723" s="9">
        <v>25337.0</v>
      </c>
      <c r="Q723" s="9">
        <v>373.0</v>
      </c>
      <c r="R723" s="9">
        <v>94.0</v>
      </c>
      <c r="S723" s="9">
        <v>94.0</v>
      </c>
      <c r="T723" s="9">
        <v>35.0</v>
      </c>
      <c r="U723" s="9">
        <v>33.0</v>
      </c>
      <c r="V723" s="9">
        <v>0.0</v>
      </c>
      <c r="W723" s="9">
        <v>0.0</v>
      </c>
      <c r="X723" s="9">
        <v>0.0</v>
      </c>
      <c r="Y723" s="9">
        <v>0.0</v>
      </c>
      <c r="Z723" s="9">
        <v>0.0</v>
      </c>
      <c r="AA723" s="9">
        <v>0.0</v>
      </c>
      <c r="AB723" s="9">
        <v>0.0</v>
      </c>
      <c r="AC723" s="9">
        <v>0.0</v>
      </c>
      <c r="AD723" s="11" t="s">
        <v>273</v>
      </c>
      <c r="AE723" s="9" t="s">
        <v>9</v>
      </c>
    </row>
    <row r="724">
      <c r="A724" s="7" t="s">
        <v>1827</v>
      </c>
      <c r="B724" s="7" t="s">
        <v>1828</v>
      </c>
      <c r="C724" s="8">
        <v>46185.0</v>
      </c>
      <c r="D724" s="8">
        <v>46195.0</v>
      </c>
      <c r="E724" s="7" t="s">
        <v>416</v>
      </c>
      <c r="F724" s="7" t="s">
        <v>466</v>
      </c>
      <c r="G724" s="7" t="s">
        <v>355</v>
      </c>
      <c r="H724" s="9">
        <v>193359.0</v>
      </c>
      <c r="I724" s="9">
        <v>0.0</v>
      </c>
      <c r="J724" s="9">
        <v>635.0</v>
      </c>
      <c r="K724" s="9">
        <v>129756.0</v>
      </c>
      <c r="L724" s="10">
        <v>1.4901738647923795</v>
      </c>
      <c r="M724" s="9">
        <v>1.4901738647923795</v>
      </c>
      <c r="N724" s="9">
        <v>15323.0</v>
      </c>
      <c r="O724" s="9">
        <v>15288.0</v>
      </c>
      <c r="P724" s="9">
        <v>9388.0</v>
      </c>
      <c r="Q724" s="9">
        <v>100.0</v>
      </c>
      <c r="R724" s="9">
        <v>130.0</v>
      </c>
      <c r="S724" s="9">
        <v>130.0</v>
      </c>
      <c r="T724" s="9">
        <v>43.0</v>
      </c>
      <c r="U724" s="9">
        <v>43.0</v>
      </c>
      <c r="V724" s="9">
        <v>0.0</v>
      </c>
      <c r="W724" s="9">
        <v>0.0</v>
      </c>
      <c r="X724" s="9">
        <v>0.0</v>
      </c>
      <c r="Y724" s="9">
        <v>0.0</v>
      </c>
      <c r="Z724" s="9">
        <v>0.0</v>
      </c>
      <c r="AA724" s="9">
        <v>0.0</v>
      </c>
      <c r="AB724" s="9">
        <v>0.0</v>
      </c>
      <c r="AC724" s="9">
        <v>0.0</v>
      </c>
      <c r="AD724" s="11" t="s">
        <v>274</v>
      </c>
      <c r="AE724" s="9" t="s">
        <v>9</v>
      </c>
    </row>
    <row r="725">
      <c r="A725" s="7" t="s">
        <v>1829</v>
      </c>
      <c r="B725" s="7" t="s">
        <v>1830</v>
      </c>
      <c r="C725" s="8">
        <v>46184.0</v>
      </c>
      <c r="D725" s="8">
        <v>46191.0</v>
      </c>
      <c r="E725" s="7" t="s">
        <v>416</v>
      </c>
      <c r="F725" s="7" t="s">
        <v>365</v>
      </c>
      <c r="G725" s="7" t="s">
        <v>355</v>
      </c>
      <c r="H725" s="9">
        <v>201896.0</v>
      </c>
      <c r="I725" s="9">
        <v>0.0</v>
      </c>
      <c r="J725" s="9">
        <v>693.0</v>
      </c>
      <c r="K725" s="9">
        <v>117566.0</v>
      </c>
      <c r="L725" s="10">
        <v>1.7172992191620027</v>
      </c>
      <c r="M725" s="9">
        <v>1.7172992191620027</v>
      </c>
      <c r="N725" s="9">
        <v>79836.0</v>
      </c>
      <c r="O725" s="9">
        <v>78491.0</v>
      </c>
      <c r="P725" s="9">
        <v>10632.0</v>
      </c>
      <c r="Q725" s="9">
        <v>198.0</v>
      </c>
      <c r="R725" s="9">
        <v>139.0</v>
      </c>
      <c r="S725" s="9">
        <v>139.0</v>
      </c>
      <c r="T725" s="9">
        <v>50.0</v>
      </c>
      <c r="U725" s="9">
        <v>47.0</v>
      </c>
      <c r="V725" s="9">
        <v>0.0</v>
      </c>
      <c r="W725" s="9">
        <v>0.0</v>
      </c>
      <c r="X725" s="9">
        <v>0.0</v>
      </c>
      <c r="Y725" s="9">
        <v>0.0</v>
      </c>
      <c r="Z725" s="9">
        <v>0.0</v>
      </c>
      <c r="AA725" s="9">
        <v>0.0</v>
      </c>
      <c r="AB725" s="9">
        <v>0.0</v>
      </c>
      <c r="AC725" s="9">
        <v>0.0</v>
      </c>
      <c r="AD725" s="11" t="s">
        <v>275</v>
      </c>
      <c r="AE725" s="9" t="s">
        <v>9</v>
      </c>
    </row>
    <row r="726">
      <c r="A726" s="7" t="s">
        <v>1831</v>
      </c>
      <c r="B726" s="7" t="s">
        <v>1832</v>
      </c>
      <c r="C726" s="8">
        <v>46191.0</v>
      </c>
      <c r="D726" s="8">
        <v>46251.0</v>
      </c>
      <c r="E726" s="7" t="s">
        <v>358</v>
      </c>
      <c r="F726" s="7" t="s">
        <v>1665</v>
      </c>
      <c r="G726" s="7" t="s">
        <v>410</v>
      </c>
      <c r="H726" s="9">
        <v>3.6562361E7</v>
      </c>
      <c r="I726" s="9">
        <v>0.0</v>
      </c>
      <c r="J726" s="9">
        <v>195701.0</v>
      </c>
      <c r="K726" s="9">
        <v>1368524.0</v>
      </c>
      <c r="L726" s="10">
        <v>4.264968681586877</v>
      </c>
      <c r="M726" s="9">
        <v>26.71663850981057</v>
      </c>
      <c r="N726" s="9">
        <v>188862.0</v>
      </c>
      <c r="O726" s="9">
        <v>183604.0</v>
      </c>
      <c r="P726" s="9">
        <v>38439.0</v>
      </c>
      <c r="Q726" s="9">
        <v>1585.0</v>
      </c>
      <c r="R726" s="9">
        <v>0.0</v>
      </c>
      <c r="S726" s="9">
        <v>0.0</v>
      </c>
      <c r="T726" s="9">
        <v>0.0</v>
      </c>
      <c r="U726" s="9">
        <v>0.0</v>
      </c>
      <c r="V726" s="9">
        <v>0.0</v>
      </c>
      <c r="W726" s="9">
        <v>0.0</v>
      </c>
      <c r="X726" s="9">
        <v>0.0</v>
      </c>
      <c r="Y726" s="9">
        <v>0.0</v>
      </c>
      <c r="Z726" s="9">
        <v>0.0</v>
      </c>
      <c r="AA726" s="9">
        <v>0.0</v>
      </c>
      <c r="AB726" s="9">
        <v>0.0</v>
      </c>
      <c r="AC726" s="9">
        <v>0.0</v>
      </c>
      <c r="AD726" s="11" t="s">
        <v>276</v>
      </c>
      <c r="AE726" s="9" t="s">
        <v>9</v>
      </c>
    </row>
    <row r="727">
      <c r="A727" s="7" t="s">
        <v>1833</v>
      </c>
      <c r="B727" s="7" t="s">
        <v>1834</v>
      </c>
      <c r="C727" s="8">
        <v>46196.0</v>
      </c>
      <c r="D727" s="8">
        <v>46206.0</v>
      </c>
      <c r="E727" s="7" t="s">
        <v>404</v>
      </c>
      <c r="F727" s="7" t="s">
        <v>760</v>
      </c>
      <c r="G727" s="7" t="s">
        <v>355</v>
      </c>
      <c r="H727" s="9">
        <v>824182.0</v>
      </c>
      <c r="I727" s="9">
        <v>0.0</v>
      </c>
      <c r="J727" s="9">
        <v>25742.0</v>
      </c>
      <c r="K727" s="9">
        <v>88571.0</v>
      </c>
      <c r="L727" s="10">
        <v>2.642670851633153</v>
      </c>
      <c r="M727" s="9">
        <v>9.305325670930666</v>
      </c>
      <c r="N727" s="9">
        <v>130438.0</v>
      </c>
      <c r="O727" s="9">
        <v>130019.0</v>
      </c>
      <c r="P727" s="9">
        <v>74342.0</v>
      </c>
      <c r="Q727" s="9">
        <v>3749.0</v>
      </c>
      <c r="R727" s="9">
        <v>0.0</v>
      </c>
      <c r="S727" s="9">
        <v>0.0</v>
      </c>
      <c r="T727" s="9">
        <v>0.0</v>
      </c>
      <c r="U727" s="9">
        <v>0.0</v>
      </c>
      <c r="V727" s="9">
        <v>0.0</v>
      </c>
      <c r="W727" s="9">
        <v>0.0</v>
      </c>
      <c r="X727" s="9">
        <v>0.0</v>
      </c>
      <c r="Y727" s="9">
        <v>0.0</v>
      </c>
      <c r="Z727" s="9">
        <v>0.0</v>
      </c>
      <c r="AA727" s="9">
        <v>0.0</v>
      </c>
      <c r="AB727" s="9">
        <v>0.0</v>
      </c>
      <c r="AC727" s="9">
        <v>0.0</v>
      </c>
      <c r="AD727" s="11" t="s">
        <v>277</v>
      </c>
      <c r="AE727" s="9" t="s">
        <v>9</v>
      </c>
    </row>
    <row r="728">
      <c r="A728" s="7" t="s">
        <v>1835</v>
      </c>
      <c r="B728" s="7" t="s">
        <v>1836</v>
      </c>
      <c r="C728" s="8">
        <v>46200.0</v>
      </c>
      <c r="D728" s="8">
        <v>46200.0</v>
      </c>
      <c r="E728" s="7" t="s">
        <v>503</v>
      </c>
      <c r="F728" s="7" t="s">
        <v>1665</v>
      </c>
      <c r="G728" s="7" t="s">
        <v>355</v>
      </c>
      <c r="H728" s="9">
        <v>0.0</v>
      </c>
      <c r="I728" s="9">
        <v>0.0</v>
      </c>
      <c r="J728" s="9">
        <v>0.0</v>
      </c>
      <c r="K728" s="9">
        <v>0.0</v>
      </c>
      <c r="L728" s="10">
        <v>0.0</v>
      </c>
      <c r="M728" s="9">
        <v>0.0</v>
      </c>
      <c r="N728" s="9">
        <v>200928.0</v>
      </c>
      <c r="O728" s="9">
        <v>200041.0</v>
      </c>
      <c r="P728" s="9">
        <v>101906.0</v>
      </c>
      <c r="Q728" s="9">
        <v>3116.0</v>
      </c>
      <c r="R728" s="9">
        <v>0.0</v>
      </c>
      <c r="S728" s="9">
        <v>0.0</v>
      </c>
      <c r="T728" s="9">
        <v>0.0</v>
      </c>
      <c r="U728" s="9">
        <v>0.0</v>
      </c>
      <c r="V728" s="9">
        <v>0.0</v>
      </c>
      <c r="W728" s="9">
        <v>0.0</v>
      </c>
      <c r="X728" s="9">
        <v>0.0</v>
      </c>
      <c r="Y728" s="9">
        <v>0.0</v>
      </c>
      <c r="Z728" s="9">
        <v>0.0</v>
      </c>
      <c r="AA728" s="9">
        <v>0.0</v>
      </c>
      <c r="AB728" s="9">
        <v>0.0</v>
      </c>
      <c r="AC728" s="9">
        <v>0.0</v>
      </c>
      <c r="AD728" s="9"/>
      <c r="AE728" s="9" t="s">
        <v>9</v>
      </c>
    </row>
    <row r="729">
      <c r="A729" s="7" t="s">
        <v>1837</v>
      </c>
      <c r="B729" s="7" t="s">
        <v>1838</v>
      </c>
      <c r="C729" s="8">
        <v>46185.0</v>
      </c>
      <c r="D729" s="8">
        <v>46206.0</v>
      </c>
      <c r="E729" s="7" t="s">
        <v>416</v>
      </c>
      <c r="F729" s="7" t="s">
        <v>417</v>
      </c>
      <c r="G729" s="7" t="s">
        <v>355</v>
      </c>
      <c r="H729" s="9">
        <v>2291760.0</v>
      </c>
      <c r="I729" s="9">
        <v>1276907.0</v>
      </c>
      <c r="J729" s="9">
        <v>20809.0</v>
      </c>
      <c r="K729" s="9">
        <v>20876.0</v>
      </c>
      <c r="L729" s="10">
        <v>9.371000191607587</v>
      </c>
      <c r="M729" s="9">
        <v>109.77965127419046</v>
      </c>
      <c r="N729" s="9">
        <v>33841.0</v>
      </c>
      <c r="O729" s="9">
        <v>33425.0</v>
      </c>
      <c r="P729" s="9">
        <v>5435.0</v>
      </c>
      <c r="Q729" s="9">
        <v>172.0</v>
      </c>
      <c r="R729" s="9">
        <v>0.0</v>
      </c>
      <c r="S729" s="9">
        <v>0.0</v>
      </c>
      <c r="T729" s="9">
        <v>0.0</v>
      </c>
      <c r="U729" s="9">
        <v>0.0</v>
      </c>
      <c r="V729" s="9">
        <v>18293.0</v>
      </c>
      <c r="W729" s="9">
        <v>18293.0</v>
      </c>
      <c r="X729" s="9">
        <v>16883.0</v>
      </c>
      <c r="Y729" s="9">
        <v>7555.0</v>
      </c>
      <c r="Z729" s="9">
        <v>59.0</v>
      </c>
      <c r="AA729" s="9">
        <v>0.0</v>
      </c>
      <c r="AB729" s="9">
        <v>0.0</v>
      </c>
      <c r="AC729" s="9">
        <v>0.0</v>
      </c>
      <c r="AD729" s="11" t="s">
        <v>278</v>
      </c>
      <c r="AE729" s="9" t="s">
        <v>9</v>
      </c>
    </row>
    <row r="730">
      <c r="A730" s="7" t="s">
        <v>1839</v>
      </c>
      <c r="B730" s="7" t="s">
        <v>1840</v>
      </c>
      <c r="C730" s="8">
        <v>46185.0</v>
      </c>
      <c r="D730" s="8">
        <v>46202.0</v>
      </c>
      <c r="E730" s="7" t="s">
        <v>416</v>
      </c>
      <c r="F730" s="7" t="s">
        <v>417</v>
      </c>
      <c r="G730" s="7" t="s">
        <v>355</v>
      </c>
      <c r="H730" s="9">
        <v>2022985.0</v>
      </c>
      <c r="I730" s="9">
        <v>1132973.0</v>
      </c>
      <c r="J730" s="9">
        <v>2726.0</v>
      </c>
      <c r="K730" s="9">
        <v>15734.0</v>
      </c>
      <c r="L730" s="10">
        <v>29.411974068895386</v>
      </c>
      <c r="M730" s="9">
        <v>128.57410702936318</v>
      </c>
      <c r="N730" s="9">
        <v>0.0</v>
      </c>
      <c r="O730" s="9">
        <v>0.0</v>
      </c>
      <c r="P730" s="9">
        <v>0.0</v>
      </c>
      <c r="Q730" s="9">
        <v>0.0</v>
      </c>
      <c r="R730" s="9">
        <v>0.0</v>
      </c>
      <c r="S730" s="9">
        <v>0.0</v>
      </c>
      <c r="T730" s="9">
        <v>0.0</v>
      </c>
      <c r="U730" s="9">
        <v>0.0</v>
      </c>
      <c r="V730" s="9">
        <v>0.0</v>
      </c>
      <c r="W730" s="9">
        <v>0.0</v>
      </c>
      <c r="X730" s="9">
        <v>0.0</v>
      </c>
      <c r="Y730" s="9">
        <v>0.0</v>
      </c>
      <c r="Z730" s="9">
        <v>0.0</v>
      </c>
      <c r="AA730" s="9">
        <v>0.0</v>
      </c>
      <c r="AB730" s="9">
        <v>0.0</v>
      </c>
      <c r="AC730" s="9">
        <v>0.0</v>
      </c>
      <c r="AD730" s="11" t="s">
        <v>279</v>
      </c>
      <c r="AE730" s="9"/>
    </row>
    <row r="731">
      <c r="A731" s="7" t="s">
        <v>1841</v>
      </c>
      <c r="B731" s="7" t="s">
        <v>1842</v>
      </c>
      <c r="C731" s="8">
        <v>46190.0</v>
      </c>
      <c r="D731" s="8">
        <v>46190.0</v>
      </c>
      <c r="E731" s="7" t="s">
        <v>404</v>
      </c>
      <c r="F731" s="7" t="s">
        <v>474</v>
      </c>
      <c r="G731" s="7" t="s">
        <v>355</v>
      </c>
      <c r="H731" s="9">
        <v>0.0</v>
      </c>
      <c r="I731" s="9">
        <v>0.0</v>
      </c>
      <c r="J731" s="9">
        <v>0.0</v>
      </c>
      <c r="K731" s="9">
        <v>0.0</v>
      </c>
      <c r="L731" s="10">
        <v>0.0</v>
      </c>
      <c r="M731" s="9">
        <v>0.0</v>
      </c>
      <c r="N731" s="9">
        <v>26646.0</v>
      </c>
      <c r="O731" s="9">
        <v>26646.0</v>
      </c>
      <c r="P731" s="9">
        <v>6.0</v>
      </c>
      <c r="Q731" s="9">
        <v>0.0</v>
      </c>
      <c r="R731" s="9">
        <v>0.0</v>
      </c>
      <c r="S731" s="9">
        <v>0.0</v>
      </c>
      <c r="T731" s="9">
        <v>0.0</v>
      </c>
      <c r="U731" s="9">
        <v>0.0</v>
      </c>
      <c r="V731" s="9">
        <v>0.0</v>
      </c>
      <c r="W731" s="9">
        <v>0.0</v>
      </c>
      <c r="X731" s="9">
        <v>0.0</v>
      </c>
      <c r="Y731" s="9">
        <v>0.0</v>
      </c>
      <c r="Z731" s="9">
        <v>0.0</v>
      </c>
      <c r="AA731" s="9">
        <v>0.0</v>
      </c>
      <c r="AB731" s="9">
        <v>0.0</v>
      </c>
      <c r="AC731" s="9">
        <v>0.0</v>
      </c>
      <c r="AD731" s="9"/>
      <c r="AE731" s="9" t="s">
        <v>9</v>
      </c>
    </row>
    <row r="732">
      <c r="A732" s="7" t="s">
        <v>1843</v>
      </c>
      <c r="B732" s="7" t="s">
        <v>1844</v>
      </c>
      <c r="C732" s="8">
        <v>46192.0</v>
      </c>
      <c r="D732" s="8">
        <v>46192.0</v>
      </c>
      <c r="E732" s="7" t="s">
        <v>358</v>
      </c>
      <c r="F732" s="7" t="s">
        <v>387</v>
      </c>
      <c r="G732" s="7" t="s">
        <v>355</v>
      </c>
      <c r="H732" s="9">
        <v>0.0</v>
      </c>
      <c r="I732" s="9">
        <v>0.0</v>
      </c>
      <c r="J732" s="9">
        <v>0.0</v>
      </c>
      <c r="K732" s="9">
        <v>0.0</v>
      </c>
      <c r="L732" s="10">
        <v>0.0</v>
      </c>
      <c r="M732" s="9">
        <v>0.0</v>
      </c>
      <c r="N732" s="9">
        <v>14675.0</v>
      </c>
      <c r="O732" s="9">
        <v>14542.0</v>
      </c>
      <c r="P732" s="9">
        <v>4382.0</v>
      </c>
      <c r="Q732" s="9">
        <v>171.0</v>
      </c>
      <c r="R732" s="9">
        <v>0.0</v>
      </c>
      <c r="S732" s="9">
        <v>0.0</v>
      </c>
      <c r="T732" s="9">
        <v>0.0</v>
      </c>
      <c r="U732" s="9">
        <v>0.0</v>
      </c>
      <c r="V732" s="9">
        <v>0.0</v>
      </c>
      <c r="W732" s="9">
        <v>0.0</v>
      </c>
      <c r="X732" s="9">
        <v>0.0</v>
      </c>
      <c r="Y732" s="9">
        <v>0.0</v>
      </c>
      <c r="Z732" s="9">
        <v>0.0</v>
      </c>
      <c r="AA732" s="9">
        <v>0.0</v>
      </c>
      <c r="AB732" s="9">
        <v>0.0</v>
      </c>
      <c r="AC732" s="9">
        <v>0.0</v>
      </c>
      <c r="AD732" s="9"/>
      <c r="AE732" s="9" t="s">
        <v>9</v>
      </c>
    </row>
    <row r="733">
      <c r="A733" s="7" t="s">
        <v>1845</v>
      </c>
      <c r="B733" s="7" t="s">
        <v>1846</v>
      </c>
      <c r="C733" s="8">
        <v>46192.0</v>
      </c>
      <c r="D733" s="8">
        <v>46192.0</v>
      </c>
      <c r="E733" s="7" t="s">
        <v>358</v>
      </c>
      <c r="F733" s="7" t="s">
        <v>387</v>
      </c>
      <c r="G733" s="7" t="s">
        <v>355</v>
      </c>
      <c r="H733" s="9">
        <v>0.0</v>
      </c>
      <c r="I733" s="9">
        <v>0.0</v>
      </c>
      <c r="J733" s="9">
        <v>0.0</v>
      </c>
      <c r="K733" s="9">
        <v>0.0</v>
      </c>
      <c r="L733" s="10">
        <v>0.0</v>
      </c>
      <c r="M733" s="9">
        <v>0.0</v>
      </c>
      <c r="N733" s="9">
        <v>10663.0</v>
      </c>
      <c r="O733" s="9">
        <v>10587.0</v>
      </c>
      <c r="P733" s="9">
        <v>2557.0</v>
      </c>
      <c r="Q733" s="9">
        <v>93.0</v>
      </c>
      <c r="R733" s="9">
        <v>0.0</v>
      </c>
      <c r="S733" s="9">
        <v>0.0</v>
      </c>
      <c r="T733" s="9">
        <v>0.0</v>
      </c>
      <c r="U733" s="9">
        <v>0.0</v>
      </c>
      <c r="V733" s="9">
        <v>0.0</v>
      </c>
      <c r="W733" s="9">
        <v>0.0</v>
      </c>
      <c r="X733" s="9">
        <v>0.0</v>
      </c>
      <c r="Y733" s="9">
        <v>0.0</v>
      </c>
      <c r="Z733" s="9">
        <v>0.0</v>
      </c>
      <c r="AA733" s="9">
        <v>0.0</v>
      </c>
      <c r="AB733" s="9">
        <v>0.0</v>
      </c>
      <c r="AC733" s="9">
        <v>0.0</v>
      </c>
      <c r="AD733" s="9"/>
      <c r="AE733" s="9" t="s">
        <v>9</v>
      </c>
    </row>
    <row r="734">
      <c r="A734" s="7" t="s">
        <v>1847</v>
      </c>
      <c r="B734" s="7" t="s">
        <v>1848</v>
      </c>
      <c r="C734" s="8">
        <v>46192.0</v>
      </c>
      <c r="D734" s="8">
        <v>46192.0</v>
      </c>
      <c r="E734" s="7" t="s">
        <v>358</v>
      </c>
      <c r="F734" s="7" t="s">
        <v>387</v>
      </c>
      <c r="G734" s="7" t="s">
        <v>355</v>
      </c>
      <c r="H734" s="9">
        <v>0.0</v>
      </c>
      <c r="I734" s="9">
        <v>0.0</v>
      </c>
      <c r="J734" s="9">
        <v>0.0</v>
      </c>
      <c r="K734" s="9">
        <v>0.0</v>
      </c>
      <c r="L734" s="10">
        <v>0.0</v>
      </c>
      <c r="M734" s="9">
        <v>0.0</v>
      </c>
      <c r="N734" s="9">
        <v>45803.0</v>
      </c>
      <c r="O734" s="9">
        <v>45571.0</v>
      </c>
      <c r="P734" s="9">
        <v>15621.0</v>
      </c>
      <c r="Q734" s="9">
        <v>460.0</v>
      </c>
      <c r="R734" s="9">
        <v>0.0</v>
      </c>
      <c r="S734" s="9">
        <v>0.0</v>
      </c>
      <c r="T734" s="9">
        <v>0.0</v>
      </c>
      <c r="U734" s="9">
        <v>0.0</v>
      </c>
      <c r="V734" s="9">
        <v>0.0</v>
      </c>
      <c r="W734" s="9">
        <v>0.0</v>
      </c>
      <c r="X734" s="9">
        <v>0.0</v>
      </c>
      <c r="Y734" s="9">
        <v>0.0</v>
      </c>
      <c r="Z734" s="9">
        <v>0.0</v>
      </c>
      <c r="AA734" s="9">
        <v>0.0</v>
      </c>
      <c r="AB734" s="9">
        <v>0.0</v>
      </c>
      <c r="AC734" s="9">
        <v>0.0</v>
      </c>
      <c r="AD734" s="9"/>
      <c r="AE734" s="9" t="s">
        <v>9</v>
      </c>
    </row>
    <row r="735">
      <c r="A735" s="7" t="s">
        <v>1849</v>
      </c>
      <c r="B735" s="7" t="s">
        <v>1850</v>
      </c>
      <c r="C735" s="8">
        <v>46195.0</v>
      </c>
      <c r="D735" s="8">
        <v>46195.0</v>
      </c>
      <c r="E735" s="7" t="s">
        <v>358</v>
      </c>
      <c r="F735" s="7" t="s">
        <v>387</v>
      </c>
      <c r="G735" s="7" t="s">
        <v>355</v>
      </c>
      <c r="H735" s="9">
        <v>0.0</v>
      </c>
      <c r="I735" s="9">
        <v>0.0</v>
      </c>
      <c r="J735" s="9">
        <v>0.0</v>
      </c>
      <c r="K735" s="9">
        <v>0.0</v>
      </c>
      <c r="L735" s="10">
        <v>0.0</v>
      </c>
      <c r="M735" s="9">
        <v>0.0</v>
      </c>
      <c r="N735" s="9">
        <v>11375.0</v>
      </c>
      <c r="O735" s="9">
        <v>11078.0</v>
      </c>
      <c r="P735" s="9">
        <v>2628.0</v>
      </c>
      <c r="Q735" s="9">
        <v>142.0</v>
      </c>
      <c r="R735" s="9">
        <v>0.0</v>
      </c>
      <c r="S735" s="9">
        <v>0.0</v>
      </c>
      <c r="T735" s="9">
        <v>0.0</v>
      </c>
      <c r="U735" s="9">
        <v>0.0</v>
      </c>
      <c r="V735" s="9">
        <v>0.0</v>
      </c>
      <c r="W735" s="9">
        <v>0.0</v>
      </c>
      <c r="X735" s="9">
        <v>0.0</v>
      </c>
      <c r="Y735" s="9">
        <v>0.0</v>
      </c>
      <c r="Z735" s="9">
        <v>0.0</v>
      </c>
      <c r="AA735" s="9">
        <v>0.0</v>
      </c>
      <c r="AB735" s="9">
        <v>0.0</v>
      </c>
      <c r="AC735" s="9">
        <v>0.0</v>
      </c>
      <c r="AD735" s="9"/>
      <c r="AE735" s="9" t="s">
        <v>9</v>
      </c>
    </row>
    <row r="736">
      <c r="A736" s="7" t="s">
        <v>1851</v>
      </c>
      <c r="B736" s="7" t="s">
        <v>1852</v>
      </c>
      <c r="C736" s="8">
        <v>46195.0</v>
      </c>
      <c r="D736" s="8">
        <v>46195.0</v>
      </c>
      <c r="E736" s="7" t="s">
        <v>358</v>
      </c>
      <c r="F736" s="7" t="s">
        <v>387</v>
      </c>
      <c r="G736" s="7" t="s">
        <v>355</v>
      </c>
      <c r="H736" s="9">
        <v>0.0</v>
      </c>
      <c r="I736" s="9">
        <v>0.0</v>
      </c>
      <c r="J736" s="9">
        <v>0.0</v>
      </c>
      <c r="K736" s="9">
        <v>0.0</v>
      </c>
      <c r="L736" s="10">
        <v>0.0</v>
      </c>
      <c r="M736" s="9">
        <v>0.0</v>
      </c>
      <c r="N736" s="9">
        <v>34847.0</v>
      </c>
      <c r="O736" s="9">
        <v>34200.0</v>
      </c>
      <c r="P736" s="9">
        <v>9268.0</v>
      </c>
      <c r="Q736" s="9">
        <v>305.0</v>
      </c>
      <c r="R736" s="9">
        <v>0.0</v>
      </c>
      <c r="S736" s="9">
        <v>0.0</v>
      </c>
      <c r="T736" s="9">
        <v>0.0</v>
      </c>
      <c r="U736" s="9">
        <v>0.0</v>
      </c>
      <c r="V736" s="9">
        <v>0.0</v>
      </c>
      <c r="W736" s="9">
        <v>0.0</v>
      </c>
      <c r="X736" s="9">
        <v>0.0</v>
      </c>
      <c r="Y736" s="9">
        <v>0.0</v>
      </c>
      <c r="Z736" s="9">
        <v>0.0</v>
      </c>
      <c r="AA736" s="9">
        <v>0.0</v>
      </c>
      <c r="AB736" s="9">
        <v>0.0</v>
      </c>
      <c r="AC736" s="9">
        <v>0.0</v>
      </c>
      <c r="AD736" s="9"/>
      <c r="AE736" s="9" t="s">
        <v>9</v>
      </c>
    </row>
    <row r="737">
      <c r="A737" s="7" t="s">
        <v>1853</v>
      </c>
      <c r="B737" s="7" t="s">
        <v>1854</v>
      </c>
      <c r="C737" s="8">
        <v>46195.0</v>
      </c>
      <c r="D737" s="8">
        <v>46196.0</v>
      </c>
      <c r="E737" s="7" t="s">
        <v>358</v>
      </c>
      <c r="F737" s="7" t="s">
        <v>387</v>
      </c>
      <c r="G737" s="7" t="s">
        <v>355</v>
      </c>
      <c r="H737" s="9">
        <v>0.0</v>
      </c>
      <c r="I737" s="9">
        <v>0.0</v>
      </c>
      <c r="J737" s="9">
        <v>0.0</v>
      </c>
      <c r="K737" s="9">
        <v>0.0</v>
      </c>
      <c r="L737" s="10">
        <v>0.0</v>
      </c>
      <c r="M737" s="9">
        <v>0.0</v>
      </c>
      <c r="N737" s="9">
        <v>1226.0</v>
      </c>
      <c r="O737" s="9">
        <v>1170.0</v>
      </c>
      <c r="P737" s="9">
        <v>274.0</v>
      </c>
      <c r="Q737" s="9">
        <v>13.0</v>
      </c>
      <c r="R737" s="9">
        <v>0.0</v>
      </c>
      <c r="S737" s="9">
        <v>0.0</v>
      </c>
      <c r="T737" s="9">
        <v>0.0</v>
      </c>
      <c r="U737" s="9">
        <v>0.0</v>
      </c>
      <c r="V737" s="9">
        <v>0.0</v>
      </c>
      <c r="W737" s="9">
        <v>0.0</v>
      </c>
      <c r="X737" s="9">
        <v>0.0</v>
      </c>
      <c r="Y737" s="9">
        <v>0.0</v>
      </c>
      <c r="Z737" s="9">
        <v>0.0</v>
      </c>
      <c r="AA737" s="9">
        <v>1224.0</v>
      </c>
      <c r="AB737" s="9">
        <v>1000.0</v>
      </c>
      <c r="AC737" s="9">
        <v>15.0</v>
      </c>
      <c r="AD737" s="9"/>
      <c r="AE737" s="9" t="s">
        <v>9</v>
      </c>
    </row>
    <row r="738">
      <c r="A738" s="7" t="s">
        <v>1855</v>
      </c>
      <c r="B738" s="7" t="s">
        <v>1856</v>
      </c>
      <c r="C738" s="8">
        <v>46200.0</v>
      </c>
      <c r="D738" s="8">
        <v>46387.0</v>
      </c>
      <c r="E738" s="7" t="s">
        <v>364</v>
      </c>
      <c r="F738" s="7" t="s">
        <v>365</v>
      </c>
      <c r="G738" s="7" t="s">
        <v>410</v>
      </c>
      <c r="H738" s="9">
        <v>436134.0</v>
      </c>
      <c r="I738" s="9">
        <v>0.0</v>
      </c>
      <c r="J738" s="9">
        <v>799.0</v>
      </c>
      <c r="K738" s="9"/>
      <c r="L738" s="10">
        <v>0.0</v>
      </c>
      <c r="M738" s="9">
        <v>0.0</v>
      </c>
      <c r="N738" s="9">
        <v>0.0</v>
      </c>
      <c r="O738" s="9">
        <v>0.0</v>
      </c>
      <c r="P738" s="9">
        <v>0.0</v>
      </c>
      <c r="Q738" s="9">
        <v>0.0</v>
      </c>
      <c r="R738" s="9">
        <v>0.0</v>
      </c>
      <c r="S738" s="9">
        <v>0.0</v>
      </c>
      <c r="T738" s="9">
        <v>0.0</v>
      </c>
      <c r="U738" s="9">
        <v>0.0</v>
      </c>
      <c r="V738" s="9">
        <v>0.0</v>
      </c>
      <c r="W738" s="9">
        <v>0.0</v>
      </c>
      <c r="X738" s="9">
        <v>0.0</v>
      </c>
      <c r="Y738" s="9">
        <v>0.0</v>
      </c>
      <c r="Z738" s="9">
        <v>0.0</v>
      </c>
      <c r="AA738" s="9">
        <v>0.0</v>
      </c>
      <c r="AB738" s="9">
        <v>0.0</v>
      </c>
      <c r="AC738" s="9">
        <v>0.0</v>
      </c>
      <c r="AD738" s="11" t="s">
        <v>280</v>
      </c>
      <c r="AE738" s="9"/>
    </row>
    <row r="739">
      <c r="A739" s="7" t="s">
        <v>1857</v>
      </c>
      <c r="B739" s="7" t="s">
        <v>1858</v>
      </c>
      <c r="C739" s="8">
        <v>46191.0</v>
      </c>
      <c r="D739" s="8">
        <v>46191.0</v>
      </c>
      <c r="E739" s="7" t="s">
        <v>416</v>
      </c>
      <c r="F739" s="7" t="s">
        <v>430</v>
      </c>
      <c r="G739" s="7" t="s">
        <v>355</v>
      </c>
      <c r="H739" s="9">
        <v>0.0</v>
      </c>
      <c r="I739" s="9">
        <v>0.0</v>
      </c>
      <c r="J739" s="9">
        <v>0.0</v>
      </c>
      <c r="K739" s="9">
        <v>0.0</v>
      </c>
      <c r="L739" s="10">
        <v>0.0</v>
      </c>
      <c r="M739" s="9">
        <v>0.0</v>
      </c>
      <c r="N739" s="9">
        <v>75977.0</v>
      </c>
      <c r="O739" s="9">
        <v>75273.0</v>
      </c>
      <c r="P739" s="9">
        <v>17898.0</v>
      </c>
      <c r="Q739" s="9">
        <v>549.0</v>
      </c>
      <c r="R739" s="9">
        <v>0.0</v>
      </c>
      <c r="S739" s="9">
        <v>0.0</v>
      </c>
      <c r="T739" s="9">
        <v>0.0</v>
      </c>
      <c r="U739" s="9">
        <v>0.0</v>
      </c>
      <c r="V739" s="9">
        <v>0.0</v>
      </c>
      <c r="W739" s="9">
        <v>0.0</v>
      </c>
      <c r="X739" s="9">
        <v>0.0</v>
      </c>
      <c r="Y739" s="9">
        <v>0.0</v>
      </c>
      <c r="Z739" s="9">
        <v>0.0</v>
      </c>
      <c r="AA739" s="9">
        <v>0.0</v>
      </c>
      <c r="AB739" s="9">
        <v>0.0</v>
      </c>
      <c r="AC739" s="9">
        <v>0.0</v>
      </c>
      <c r="AD739" s="9"/>
      <c r="AE739" s="9" t="s">
        <v>9</v>
      </c>
    </row>
    <row r="740">
      <c r="A740" s="7" t="s">
        <v>1859</v>
      </c>
      <c r="B740" s="7" t="s">
        <v>1860</v>
      </c>
      <c r="C740" s="8">
        <v>46202.0</v>
      </c>
      <c r="D740" s="8">
        <v>46211.0</v>
      </c>
      <c r="E740" s="7" t="s">
        <v>364</v>
      </c>
      <c r="F740" s="7" t="s">
        <v>365</v>
      </c>
      <c r="G740" s="7" t="s">
        <v>355</v>
      </c>
      <c r="H740" s="9">
        <v>242396.0</v>
      </c>
      <c r="I740" s="9">
        <v>9265.0</v>
      </c>
      <c r="J740" s="9">
        <v>2673.0</v>
      </c>
      <c r="K740" s="9">
        <v>87028.0</v>
      </c>
      <c r="L740" s="10">
        <v>2.785264512570667</v>
      </c>
      <c r="M740" s="9">
        <v>2.785264512570667</v>
      </c>
      <c r="N740" s="9">
        <v>16711.0</v>
      </c>
      <c r="O740" s="9">
        <v>16533.0</v>
      </c>
      <c r="P740" s="9">
        <v>3710.0</v>
      </c>
      <c r="Q740" s="9">
        <v>74.0</v>
      </c>
      <c r="R740" s="9">
        <v>0.0</v>
      </c>
      <c r="S740" s="9">
        <v>0.0</v>
      </c>
      <c r="T740" s="9">
        <v>0.0</v>
      </c>
      <c r="U740" s="9">
        <v>0.0</v>
      </c>
      <c r="V740" s="9">
        <v>0.0</v>
      </c>
      <c r="W740" s="9">
        <v>0.0</v>
      </c>
      <c r="X740" s="9">
        <v>0.0</v>
      </c>
      <c r="Y740" s="9">
        <v>0.0</v>
      </c>
      <c r="Z740" s="9">
        <v>0.0</v>
      </c>
      <c r="AA740" s="9">
        <v>0.0</v>
      </c>
      <c r="AB740" s="9">
        <v>0.0</v>
      </c>
      <c r="AC740" s="9">
        <v>0.0</v>
      </c>
      <c r="AD740" s="11" t="s">
        <v>281</v>
      </c>
      <c r="AE740" s="9" t="s">
        <v>9</v>
      </c>
    </row>
    <row r="741">
      <c r="A741" s="7" t="s">
        <v>1861</v>
      </c>
      <c r="B741" s="7" t="s">
        <v>1862</v>
      </c>
      <c r="C741" s="8">
        <v>46190.0</v>
      </c>
      <c r="D741" s="8">
        <v>46192.0</v>
      </c>
      <c r="E741" s="7" t="s">
        <v>416</v>
      </c>
      <c r="F741" s="7" t="s">
        <v>725</v>
      </c>
      <c r="G741" s="7" t="s">
        <v>355</v>
      </c>
      <c r="H741" s="9">
        <v>233282.0</v>
      </c>
      <c r="I741" s="9">
        <v>0.0</v>
      </c>
      <c r="J741" s="9">
        <v>178.0</v>
      </c>
      <c r="K741" s="9">
        <v>25558.0</v>
      </c>
      <c r="L741" s="10">
        <v>9.12755301666797</v>
      </c>
      <c r="M741" s="9">
        <v>9.12755301666797</v>
      </c>
      <c r="N741" s="9">
        <v>23094.0</v>
      </c>
      <c r="O741" s="9">
        <v>22857.0</v>
      </c>
      <c r="P741" s="9">
        <v>5836.0</v>
      </c>
      <c r="Q741" s="9">
        <v>77.0</v>
      </c>
      <c r="R741" s="9">
        <v>0.0</v>
      </c>
      <c r="S741" s="9">
        <v>0.0</v>
      </c>
      <c r="T741" s="9">
        <v>0.0</v>
      </c>
      <c r="U741" s="9">
        <v>0.0</v>
      </c>
      <c r="V741" s="9">
        <v>0.0</v>
      </c>
      <c r="W741" s="9">
        <v>0.0</v>
      </c>
      <c r="X741" s="9">
        <v>0.0</v>
      </c>
      <c r="Y741" s="9">
        <v>0.0</v>
      </c>
      <c r="Z741" s="9">
        <v>0.0</v>
      </c>
      <c r="AA741" s="9">
        <v>0.0</v>
      </c>
      <c r="AB741" s="9">
        <v>0.0</v>
      </c>
      <c r="AC741" s="9">
        <v>0.0</v>
      </c>
      <c r="AD741" s="11" t="s">
        <v>282</v>
      </c>
      <c r="AE741" s="9" t="s">
        <v>9</v>
      </c>
    </row>
    <row r="742">
      <c r="A742" s="7" t="s">
        <v>1863</v>
      </c>
      <c r="B742" s="7" t="s">
        <v>1864</v>
      </c>
      <c r="C742" s="8">
        <v>46192.0</v>
      </c>
      <c r="D742" s="8">
        <v>46216.0</v>
      </c>
      <c r="E742" s="7" t="s">
        <v>358</v>
      </c>
      <c r="F742" s="7" t="s">
        <v>466</v>
      </c>
      <c r="G742" s="7" t="s">
        <v>355</v>
      </c>
      <c r="H742" s="9">
        <v>3602403.0</v>
      </c>
      <c r="I742" s="9">
        <v>562608.0</v>
      </c>
      <c r="J742" s="9">
        <v>4976.0</v>
      </c>
      <c r="K742" s="9">
        <v>929296.0</v>
      </c>
      <c r="L742" s="10">
        <v>2.908451128596271</v>
      </c>
      <c r="M742" s="9">
        <v>3.8764860711764606</v>
      </c>
      <c r="N742" s="9">
        <v>232873.0</v>
      </c>
      <c r="O742" s="9">
        <v>231246.0</v>
      </c>
      <c r="P742" s="9">
        <v>76180.0</v>
      </c>
      <c r="Q742" s="9">
        <v>2185.0</v>
      </c>
      <c r="R742" s="9">
        <v>0.0</v>
      </c>
      <c r="S742" s="9">
        <v>0.0</v>
      </c>
      <c r="T742" s="9">
        <v>0.0</v>
      </c>
      <c r="U742" s="9">
        <v>0.0</v>
      </c>
      <c r="V742" s="9">
        <v>0.0</v>
      </c>
      <c r="W742" s="9">
        <v>0.0</v>
      </c>
      <c r="X742" s="9">
        <v>0.0</v>
      </c>
      <c r="Y742" s="9">
        <v>0.0</v>
      </c>
      <c r="Z742" s="9">
        <v>0.0</v>
      </c>
      <c r="AA742" s="9">
        <v>0.0</v>
      </c>
      <c r="AB742" s="9">
        <v>0.0</v>
      </c>
      <c r="AC742" s="9">
        <v>0.0</v>
      </c>
      <c r="AD742" s="11" t="s">
        <v>283</v>
      </c>
      <c r="AE742" s="9" t="s">
        <v>9</v>
      </c>
    </row>
    <row r="743">
      <c r="A743" s="7" t="s">
        <v>1865</v>
      </c>
      <c r="B743" s="7" t="s">
        <v>1866</v>
      </c>
      <c r="C743" s="8">
        <v>46193.0</v>
      </c>
      <c r="D743" s="8">
        <v>46219.0</v>
      </c>
      <c r="E743" s="7" t="s">
        <v>416</v>
      </c>
      <c r="F743" s="7" t="s">
        <v>417</v>
      </c>
      <c r="G743" s="7" t="s">
        <v>355</v>
      </c>
      <c r="H743" s="9">
        <v>4916709.0</v>
      </c>
      <c r="I743" s="9">
        <v>1248505.0</v>
      </c>
      <c r="J743" s="9">
        <v>45838.0</v>
      </c>
      <c r="K743" s="9">
        <v>132497.0</v>
      </c>
      <c r="L743" s="10">
        <v>5.4213227469301195</v>
      </c>
      <c r="M743" s="9">
        <v>37.10807791874533</v>
      </c>
      <c r="N743" s="9">
        <v>254839.0</v>
      </c>
      <c r="O743" s="9">
        <v>251888.0</v>
      </c>
      <c r="P743" s="9">
        <v>34002.0</v>
      </c>
      <c r="Q743" s="9">
        <v>872.0</v>
      </c>
      <c r="R743" s="9">
        <v>9038.0</v>
      </c>
      <c r="S743" s="9">
        <v>8706.0</v>
      </c>
      <c r="T743" s="9">
        <v>2760.0</v>
      </c>
      <c r="U743" s="9">
        <v>2366.0</v>
      </c>
      <c r="V743" s="9">
        <v>54869.0</v>
      </c>
      <c r="W743" s="9">
        <v>54869.0</v>
      </c>
      <c r="X743" s="9">
        <v>51030.0</v>
      </c>
      <c r="Y743" s="9">
        <v>24299.0</v>
      </c>
      <c r="Z743" s="9">
        <v>225.0</v>
      </c>
      <c r="AA743" s="9">
        <v>0.0</v>
      </c>
      <c r="AB743" s="9">
        <v>0.0</v>
      </c>
      <c r="AC743" s="9">
        <v>0.0</v>
      </c>
      <c r="AD743" s="11" t="s">
        <v>284</v>
      </c>
      <c r="AE743" s="9" t="s">
        <v>9</v>
      </c>
    </row>
    <row r="744">
      <c r="A744" s="7" t="s">
        <v>1867</v>
      </c>
      <c r="B744" s="7" t="s">
        <v>1868</v>
      </c>
      <c r="C744" s="8">
        <v>46192.0</v>
      </c>
      <c r="D744" s="8">
        <v>46211.0</v>
      </c>
      <c r="E744" s="7" t="s">
        <v>358</v>
      </c>
      <c r="F744" s="7" t="s">
        <v>466</v>
      </c>
      <c r="G744" s="7" t="s">
        <v>355</v>
      </c>
      <c r="H744" s="9">
        <v>4.1653937E7</v>
      </c>
      <c r="I744" s="9">
        <v>1101054.0</v>
      </c>
      <c r="J744" s="9">
        <v>47804.0</v>
      </c>
      <c r="K744" s="9">
        <v>1472466.0</v>
      </c>
      <c r="L744" s="10">
        <v>3.99255466679706</v>
      </c>
      <c r="M744" s="9">
        <v>28.288556068527217</v>
      </c>
      <c r="N744" s="9">
        <v>2099499.0</v>
      </c>
      <c r="O744" s="9">
        <v>2086659.0</v>
      </c>
      <c r="P744" s="9">
        <v>437019.0</v>
      </c>
      <c r="Q744" s="9">
        <v>20155.0</v>
      </c>
      <c r="R744" s="9">
        <v>0.0</v>
      </c>
      <c r="S744" s="9">
        <v>0.0</v>
      </c>
      <c r="T744" s="9">
        <v>0.0</v>
      </c>
      <c r="U744" s="9">
        <v>0.0</v>
      </c>
      <c r="V744" s="9">
        <v>0.0</v>
      </c>
      <c r="W744" s="9">
        <v>0.0</v>
      </c>
      <c r="X744" s="9">
        <v>0.0</v>
      </c>
      <c r="Y744" s="9">
        <v>0.0</v>
      </c>
      <c r="Z744" s="9">
        <v>0.0</v>
      </c>
      <c r="AA744" s="9">
        <v>0.0</v>
      </c>
      <c r="AB744" s="9">
        <v>0.0</v>
      </c>
      <c r="AC744" s="9">
        <v>0.0</v>
      </c>
      <c r="AD744" s="11" t="s">
        <v>285</v>
      </c>
      <c r="AE744" s="9" t="s">
        <v>9</v>
      </c>
    </row>
    <row r="745">
      <c r="A745" s="7" t="s">
        <v>1869</v>
      </c>
      <c r="B745" s="7" t="s">
        <v>1870</v>
      </c>
      <c r="C745" s="8">
        <v>46191.0</v>
      </c>
      <c r="D745" s="8">
        <v>46196.0</v>
      </c>
      <c r="E745" s="7" t="s">
        <v>416</v>
      </c>
      <c r="F745" s="7" t="s">
        <v>359</v>
      </c>
      <c r="G745" s="7" t="s">
        <v>355</v>
      </c>
      <c r="H745" s="9">
        <v>153260.0</v>
      </c>
      <c r="I745" s="9">
        <v>0.0</v>
      </c>
      <c r="J745" s="9">
        <v>617.0</v>
      </c>
      <c r="K745" s="9">
        <v>36155.0</v>
      </c>
      <c r="L745" s="10">
        <v>4.238971096667128</v>
      </c>
      <c r="M745" s="9">
        <v>4.238971096667128</v>
      </c>
      <c r="N745" s="9">
        <v>68601.0</v>
      </c>
      <c r="O745" s="9">
        <v>67766.0</v>
      </c>
      <c r="P745" s="9">
        <v>8486.0</v>
      </c>
      <c r="Q745" s="9">
        <v>176.0</v>
      </c>
      <c r="R745" s="9">
        <v>54.0</v>
      </c>
      <c r="S745" s="9">
        <v>54.0</v>
      </c>
      <c r="T745" s="9">
        <v>21.0</v>
      </c>
      <c r="U745" s="9">
        <v>20.0</v>
      </c>
      <c r="V745" s="9">
        <v>0.0</v>
      </c>
      <c r="W745" s="9">
        <v>0.0</v>
      </c>
      <c r="X745" s="9">
        <v>0.0</v>
      </c>
      <c r="Y745" s="9">
        <v>0.0</v>
      </c>
      <c r="Z745" s="9">
        <v>0.0</v>
      </c>
      <c r="AA745" s="9">
        <v>0.0</v>
      </c>
      <c r="AB745" s="9">
        <v>0.0</v>
      </c>
      <c r="AC745" s="9">
        <v>0.0</v>
      </c>
      <c r="AD745" s="11" t="s">
        <v>286</v>
      </c>
      <c r="AE745" s="9" t="s">
        <v>9</v>
      </c>
    </row>
    <row r="746">
      <c r="A746" s="7" t="s">
        <v>1871</v>
      </c>
      <c r="B746" s="7" t="s">
        <v>1872</v>
      </c>
      <c r="C746" s="8">
        <v>46191.0</v>
      </c>
      <c r="D746" s="8">
        <v>46198.0</v>
      </c>
      <c r="E746" s="7" t="s">
        <v>416</v>
      </c>
      <c r="F746" s="7" t="s">
        <v>354</v>
      </c>
      <c r="G746" s="7" t="s">
        <v>355</v>
      </c>
      <c r="H746" s="9">
        <v>132175.0</v>
      </c>
      <c r="I746" s="9">
        <v>0.0</v>
      </c>
      <c r="J746" s="9">
        <v>626.0</v>
      </c>
      <c r="K746" s="9">
        <v>26535.0</v>
      </c>
      <c r="L746" s="10">
        <v>4.9811569625023555</v>
      </c>
      <c r="M746" s="9">
        <v>4.9811569625023555</v>
      </c>
      <c r="N746" s="9">
        <v>14497.0</v>
      </c>
      <c r="O746" s="9">
        <v>14408.0</v>
      </c>
      <c r="P746" s="9">
        <v>3217.0</v>
      </c>
      <c r="Q746" s="9">
        <v>63.0</v>
      </c>
      <c r="R746" s="9">
        <v>47.0</v>
      </c>
      <c r="S746" s="9">
        <v>47.0</v>
      </c>
      <c r="T746" s="9">
        <v>16.0</v>
      </c>
      <c r="U746" s="9">
        <v>15.0</v>
      </c>
      <c r="V746" s="9">
        <v>0.0</v>
      </c>
      <c r="W746" s="9">
        <v>0.0</v>
      </c>
      <c r="X746" s="9">
        <v>0.0</v>
      </c>
      <c r="Y746" s="9">
        <v>0.0</v>
      </c>
      <c r="Z746" s="9">
        <v>0.0</v>
      </c>
      <c r="AA746" s="9">
        <v>0.0</v>
      </c>
      <c r="AB746" s="9">
        <v>0.0</v>
      </c>
      <c r="AC746" s="9">
        <v>0.0</v>
      </c>
      <c r="AD746" s="11" t="s">
        <v>287</v>
      </c>
      <c r="AE746" s="9" t="s">
        <v>9</v>
      </c>
    </row>
    <row r="747">
      <c r="A747" s="7" t="s">
        <v>1873</v>
      </c>
      <c r="B747" s="7" t="s">
        <v>1874</v>
      </c>
      <c r="C747" s="8">
        <v>46191.0</v>
      </c>
      <c r="D747" s="8">
        <v>46198.0</v>
      </c>
      <c r="E747" s="7" t="s">
        <v>416</v>
      </c>
      <c r="F747" s="7" t="s">
        <v>783</v>
      </c>
      <c r="G747" s="7" t="s">
        <v>355</v>
      </c>
      <c r="H747" s="9">
        <v>377663.0</v>
      </c>
      <c r="I747" s="9">
        <v>0.0</v>
      </c>
      <c r="J747" s="9">
        <v>852.0</v>
      </c>
      <c r="K747" s="9">
        <v>240551.0</v>
      </c>
      <c r="L747" s="10">
        <v>1.5699913947562056</v>
      </c>
      <c r="M747" s="9">
        <v>1.5699913947562056</v>
      </c>
      <c r="N747" s="9">
        <v>18722.0</v>
      </c>
      <c r="O747" s="9">
        <v>18376.0</v>
      </c>
      <c r="P747" s="9">
        <v>2660.0</v>
      </c>
      <c r="Q747" s="9">
        <v>32.0</v>
      </c>
      <c r="R747" s="9">
        <v>18.0</v>
      </c>
      <c r="S747" s="9">
        <v>18.0</v>
      </c>
      <c r="T747" s="9">
        <v>6.0</v>
      </c>
      <c r="U747" s="9">
        <v>6.0</v>
      </c>
      <c r="V747" s="9">
        <v>0.0</v>
      </c>
      <c r="W747" s="9">
        <v>0.0</v>
      </c>
      <c r="X747" s="9">
        <v>0.0</v>
      </c>
      <c r="Y747" s="9">
        <v>0.0</v>
      </c>
      <c r="Z747" s="9">
        <v>0.0</v>
      </c>
      <c r="AA747" s="9">
        <v>0.0</v>
      </c>
      <c r="AB747" s="9">
        <v>0.0</v>
      </c>
      <c r="AC747" s="9">
        <v>0.0</v>
      </c>
      <c r="AD747" s="11" t="s">
        <v>288</v>
      </c>
      <c r="AE747" s="9" t="s">
        <v>9</v>
      </c>
    </row>
    <row r="748">
      <c r="A748" s="7" t="s">
        <v>1875</v>
      </c>
      <c r="B748" s="7" t="s">
        <v>1876</v>
      </c>
      <c r="C748" s="8">
        <v>46196.0</v>
      </c>
      <c r="D748" s="8">
        <v>46236.0</v>
      </c>
      <c r="E748" s="7" t="s">
        <v>404</v>
      </c>
      <c r="F748" s="7" t="s">
        <v>405</v>
      </c>
      <c r="G748" s="7" t="s">
        <v>410</v>
      </c>
      <c r="H748" s="9">
        <v>1461282.0</v>
      </c>
      <c r="I748" s="9">
        <v>438271.0</v>
      </c>
      <c r="J748" s="9">
        <v>9719.0</v>
      </c>
      <c r="K748" s="9">
        <v>274053.0</v>
      </c>
      <c r="L748" s="10">
        <v>2.152539837184778</v>
      </c>
      <c r="M748" s="9">
        <v>5.332114590973279</v>
      </c>
      <c r="N748" s="9">
        <v>334473.0</v>
      </c>
      <c r="O748" s="9">
        <v>330333.0</v>
      </c>
      <c r="P748" s="9">
        <v>120058.0</v>
      </c>
      <c r="Q748" s="9">
        <v>1238.0</v>
      </c>
      <c r="R748" s="9">
        <v>0.0</v>
      </c>
      <c r="S748" s="9">
        <v>0.0</v>
      </c>
      <c r="T748" s="9">
        <v>0.0</v>
      </c>
      <c r="U748" s="9">
        <v>0.0</v>
      </c>
      <c r="V748" s="9">
        <v>0.0</v>
      </c>
      <c r="W748" s="9">
        <v>0.0</v>
      </c>
      <c r="X748" s="9">
        <v>0.0</v>
      </c>
      <c r="Y748" s="9">
        <v>0.0</v>
      </c>
      <c r="Z748" s="9">
        <v>0.0</v>
      </c>
      <c r="AA748" s="9">
        <v>0.0</v>
      </c>
      <c r="AB748" s="9">
        <v>0.0</v>
      </c>
      <c r="AC748" s="9">
        <v>0.0</v>
      </c>
      <c r="AD748" s="11" t="s">
        <v>289</v>
      </c>
      <c r="AE748" s="9" t="s">
        <v>9</v>
      </c>
    </row>
    <row r="749">
      <c r="A749" s="7" t="s">
        <v>1877</v>
      </c>
      <c r="B749" s="7" t="s">
        <v>1878</v>
      </c>
      <c r="C749" s="8">
        <v>46196.0</v>
      </c>
      <c r="D749" s="8">
        <v>46211.0</v>
      </c>
      <c r="E749" s="7" t="s">
        <v>353</v>
      </c>
      <c r="F749" s="7" t="s">
        <v>378</v>
      </c>
      <c r="G749" s="7" t="s">
        <v>355</v>
      </c>
      <c r="H749" s="9">
        <v>2407057.0</v>
      </c>
      <c r="I749" s="9">
        <v>0.0</v>
      </c>
      <c r="J749" s="9">
        <v>35082.0</v>
      </c>
      <c r="K749" s="9">
        <v>509971.0</v>
      </c>
      <c r="L749" s="10">
        <v>1.644638616705656</v>
      </c>
      <c r="M749" s="9">
        <v>4.719987999317608</v>
      </c>
      <c r="N749" s="9">
        <v>102432.0</v>
      </c>
      <c r="O749" s="9">
        <v>101373.0</v>
      </c>
      <c r="P749" s="9">
        <v>28595.0</v>
      </c>
      <c r="Q749" s="9">
        <v>407.0</v>
      </c>
      <c r="R749" s="9">
        <v>0.0</v>
      </c>
      <c r="S749" s="9">
        <v>0.0</v>
      </c>
      <c r="T749" s="9">
        <v>0.0</v>
      </c>
      <c r="U749" s="9">
        <v>0.0</v>
      </c>
      <c r="V749" s="9">
        <v>0.0</v>
      </c>
      <c r="W749" s="9">
        <v>0.0</v>
      </c>
      <c r="X749" s="9">
        <v>0.0</v>
      </c>
      <c r="Y749" s="9">
        <v>0.0</v>
      </c>
      <c r="Z749" s="9">
        <v>0.0</v>
      </c>
      <c r="AA749" s="9">
        <v>0.0</v>
      </c>
      <c r="AB749" s="9">
        <v>0.0</v>
      </c>
      <c r="AC749" s="9">
        <v>0.0</v>
      </c>
      <c r="AD749" s="11" t="s">
        <v>290</v>
      </c>
      <c r="AE749" s="9" t="s">
        <v>9</v>
      </c>
    </row>
    <row r="750">
      <c r="A750" s="7" t="s">
        <v>1879</v>
      </c>
      <c r="B750" s="7" t="s">
        <v>1880</v>
      </c>
      <c r="C750" s="8">
        <v>46196.0</v>
      </c>
      <c r="D750" s="8">
        <v>46211.0</v>
      </c>
      <c r="E750" s="7" t="s">
        <v>353</v>
      </c>
      <c r="F750" s="7" t="s">
        <v>378</v>
      </c>
      <c r="G750" s="7" t="s">
        <v>355</v>
      </c>
      <c r="H750" s="9">
        <v>1416929.0</v>
      </c>
      <c r="I750" s="9">
        <v>0.0</v>
      </c>
      <c r="J750" s="9">
        <v>39536.0</v>
      </c>
      <c r="K750" s="9">
        <v>85014.0</v>
      </c>
      <c r="L750" s="10">
        <v>2.8100077634272003</v>
      </c>
      <c r="M750" s="9">
        <v>16.667007786952738</v>
      </c>
      <c r="N750" s="9">
        <v>78684.0</v>
      </c>
      <c r="O750" s="9">
        <v>77560.0</v>
      </c>
      <c r="P750" s="9">
        <v>18798.0</v>
      </c>
      <c r="Q750" s="9">
        <v>292.0</v>
      </c>
      <c r="R750" s="9">
        <v>0.0</v>
      </c>
      <c r="S750" s="9">
        <v>0.0</v>
      </c>
      <c r="T750" s="9">
        <v>0.0</v>
      </c>
      <c r="U750" s="9">
        <v>0.0</v>
      </c>
      <c r="V750" s="9">
        <v>0.0</v>
      </c>
      <c r="W750" s="9">
        <v>0.0</v>
      </c>
      <c r="X750" s="9">
        <v>0.0</v>
      </c>
      <c r="Y750" s="9">
        <v>0.0</v>
      </c>
      <c r="Z750" s="9">
        <v>0.0</v>
      </c>
      <c r="AA750" s="9">
        <v>0.0</v>
      </c>
      <c r="AB750" s="9">
        <v>0.0</v>
      </c>
      <c r="AC750" s="9">
        <v>0.0</v>
      </c>
      <c r="AD750" s="11" t="s">
        <v>291</v>
      </c>
      <c r="AE750" s="9" t="s">
        <v>9</v>
      </c>
    </row>
    <row r="751">
      <c r="A751" s="7" t="s">
        <v>1881</v>
      </c>
      <c r="B751" s="7" t="s">
        <v>857</v>
      </c>
      <c r="C751" s="8">
        <v>46190.0</v>
      </c>
      <c r="D751" s="8">
        <v>46192.0</v>
      </c>
      <c r="E751" s="7" t="s">
        <v>364</v>
      </c>
      <c r="F751" s="7" t="s">
        <v>365</v>
      </c>
      <c r="G751" s="7" t="s">
        <v>355</v>
      </c>
      <c r="H751" s="9">
        <v>0.0</v>
      </c>
      <c r="I751" s="9">
        <v>0.0</v>
      </c>
      <c r="J751" s="9">
        <v>0.0</v>
      </c>
      <c r="K751" s="9">
        <v>0.0</v>
      </c>
      <c r="L751" s="10">
        <v>0.0</v>
      </c>
      <c r="M751" s="9">
        <v>0.0</v>
      </c>
      <c r="N751" s="9">
        <v>125941.0</v>
      </c>
      <c r="O751" s="9">
        <v>124706.0</v>
      </c>
      <c r="P751" s="9">
        <v>41033.0</v>
      </c>
      <c r="Q751" s="9">
        <v>919.0</v>
      </c>
      <c r="R751" s="9">
        <v>0.0</v>
      </c>
      <c r="S751" s="9">
        <v>0.0</v>
      </c>
      <c r="T751" s="9">
        <v>0.0</v>
      </c>
      <c r="U751" s="9">
        <v>0.0</v>
      </c>
      <c r="V751" s="9">
        <v>0.0</v>
      </c>
      <c r="W751" s="9">
        <v>0.0</v>
      </c>
      <c r="X751" s="9">
        <v>0.0</v>
      </c>
      <c r="Y751" s="9">
        <v>0.0</v>
      </c>
      <c r="Z751" s="9">
        <v>0.0</v>
      </c>
      <c r="AA751" s="9">
        <v>0.0</v>
      </c>
      <c r="AB751" s="9">
        <v>0.0</v>
      </c>
      <c r="AC751" s="9">
        <v>0.0</v>
      </c>
      <c r="AD751" s="9"/>
      <c r="AE751" s="9" t="s">
        <v>9</v>
      </c>
    </row>
    <row r="752">
      <c r="A752" s="7" t="s">
        <v>1882</v>
      </c>
      <c r="B752" s="7" t="s">
        <v>1883</v>
      </c>
      <c r="C752" s="8">
        <v>46192.0</v>
      </c>
      <c r="D752" s="8">
        <v>46213.0</v>
      </c>
      <c r="E752" s="7" t="s">
        <v>416</v>
      </c>
      <c r="F752" s="7" t="s">
        <v>417</v>
      </c>
      <c r="G752" s="7" t="s">
        <v>355</v>
      </c>
      <c r="H752" s="9">
        <v>5100987.0</v>
      </c>
      <c r="I752" s="9">
        <v>3771644.0</v>
      </c>
      <c r="J752" s="9">
        <v>5437.0</v>
      </c>
      <c r="K752" s="9">
        <v>13719.0</v>
      </c>
      <c r="L752" s="10">
        <v>20.340185144689848</v>
      </c>
      <c r="M752" s="9">
        <v>371.81915591515417</v>
      </c>
      <c r="N752" s="9">
        <v>0.0</v>
      </c>
      <c r="O752" s="9">
        <v>0.0</v>
      </c>
      <c r="P752" s="9">
        <v>0.0</v>
      </c>
      <c r="Q752" s="9">
        <v>0.0</v>
      </c>
      <c r="R752" s="9">
        <v>0.0</v>
      </c>
      <c r="S752" s="9">
        <v>0.0</v>
      </c>
      <c r="T752" s="9">
        <v>0.0</v>
      </c>
      <c r="U752" s="9">
        <v>0.0</v>
      </c>
      <c r="V752" s="9">
        <v>0.0</v>
      </c>
      <c r="W752" s="9">
        <v>0.0</v>
      </c>
      <c r="X752" s="9">
        <v>0.0</v>
      </c>
      <c r="Y752" s="9">
        <v>0.0</v>
      </c>
      <c r="Z752" s="9">
        <v>0.0</v>
      </c>
      <c r="AA752" s="9">
        <v>0.0</v>
      </c>
      <c r="AB752" s="9">
        <v>0.0</v>
      </c>
      <c r="AC752" s="9">
        <v>0.0</v>
      </c>
      <c r="AD752" s="11" t="s">
        <v>292</v>
      </c>
      <c r="AE752" s="9"/>
    </row>
    <row r="753">
      <c r="A753" s="7" t="s">
        <v>1884</v>
      </c>
      <c r="B753" s="7" t="s">
        <v>1885</v>
      </c>
      <c r="C753" s="8">
        <v>46192.0</v>
      </c>
      <c r="D753" s="8">
        <v>46197.0</v>
      </c>
      <c r="E753" s="7" t="s">
        <v>416</v>
      </c>
      <c r="F753" s="7" t="s">
        <v>413</v>
      </c>
      <c r="G753" s="7" t="s">
        <v>355</v>
      </c>
      <c r="H753" s="9">
        <v>176381.0</v>
      </c>
      <c r="I753" s="9">
        <v>0.0</v>
      </c>
      <c r="J753" s="9">
        <v>506.0</v>
      </c>
      <c r="K753" s="9">
        <v>106151.0</v>
      </c>
      <c r="L753" s="10">
        <v>1.6616046951983494</v>
      </c>
      <c r="M753" s="9">
        <v>1.6616046951983494</v>
      </c>
      <c r="N753" s="9">
        <v>71036.0</v>
      </c>
      <c r="O753" s="9">
        <v>70282.0</v>
      </c>
      <c r="P753" s="9">
        <v>12566.0</v>
      </c>
      <c r="Q753" s="9">
        <v>243.0</v>
      </c>
      <c r="R753" s="9">
        <v>178.0</v>
      </c>
      <c r="S753" s="9">
        <v>178.0</v>
      </c>
      <c r="T753" s="9">
        <v>43.0</v>
      </c>
      <c r="U753" s="9">
        <v>43.0</v>
      </c>
      <c r="V753" s="9">
        <v>0.0</v>
      </c>
      <c r="W753" s="9">
        <v>0.0</v>
      </c>
      <c r="X753" s="9">
        <v>0.0</v>
      </c>
      <c r="Y753" s="9">
        <v>0.0</v>
      </c>
      <c r="Z753" s="9">
        <v>0.0</v>
      </c>
      <c r="AA753" s="9">
        <v>0.0</v>
      </c>
      <c r="AB753" s="9">
        <v>0.0</v>
      </c>
      <c r="AC753" s="9">
        <v>0.0</v>
      </c>
      <c r="AD753" s="11" t="s">
        <v>293</v>
      </c>
      <c r="AE753" s="9" t="s">
        <v>9</v>
      </c>
    </row>
    <row r="754">
      <c r="A754" s="7" t="s">
        <v>1886</v>
      </c>
      <c r="B754" s="7" t="s">
        <v>1887</v>
      </c>
      <c r="C754" s="8">
        <v>46195.0</v>
      </c>
      <c r="D754" s="8">
        <v>46195.0</v>
      </c>
      <c r="E754" s="7" t="s">
        <v>353</v>
      </c>
      <c r="F754" s="7" t="s">
        <v>378</v>
      </c>
      <c r="G754" s="7" t="s">
        <v>355</v>
      </c>
      <c r="H754" s="9">
        <v>0.0</v>
      </c>
      <c r="I754" s="9">
        <v>0.0</v>
      </c>
      <c r="J754" s="9">
        <v>0.0</v>
      </c>
      <c r="K754" s="9">
        <v>0.0</v>
      </c>
      <c r="L754" s="10">
        <v>0.0</v>
      </c>
      <c r="M754" s="9">
        <v>0.0</v>
      </c>
      <c r="N754" s="9">
        <v>5452.0</v>
      </c>
      <c r="O754" s="9">
        <v>5434.0</v>
      </c>
      <c r="P754" s="9">
        <v>2044.0</v>
      </c>
      <c r="Q754" s="9">
        <v>62.0</v>
      </c>
      <c r="R754" s="9">
        <v>0.0</v>
      </c>
      <c r="S754" s="9">
        <v>0.0</v>
      </c>
      <c r="T754" s="9">
        <v>0.0</v>
      </c>
      <c r="U754" s="9">
        <v>0.0</v>
      </c>
      <c r="V754" s="9">
        <v>0.0</v>
      </c>
      <c r="W754" s="9">
        <v>0.0</v>
      </c>
      <c r="X754" s="9">
        <v>0.0</v>
      </c>
      <c r="Y754" s="9">
        <v>0.0</v>
      </c>
      <c r="Z754" s="9">
        <v>0.0</v>
      </c>
      <c r="AA754" s="9">
        <v>0.0</v>
      </c>
      <c r="AB754" s="9">
        <v>0.0</v>
      </c>
      <c r="AC754" s="9">
        <v>0.0</v>
      </c>
      <c r="AD754" s="9"/>
      <c r="AE754" s="9" t="s">
        <v>9</v>
      </c>
    </row>
    <row r="755">
      <c r="A755" s="7" t="s">
        <v>1888</v>
      </c>
      <c r="B755" s="7" t="s">
        <v>1889</v>
      </c>
      <c r="C755" s="8">
        <v>46193.0</v>
      </c>
      <c r="D755" s="8">
        <v>46194.0</v>
      </c>
      <c r="E755" s="7" t="s">
        <v>364</v>
      </c>
      <c r="F755" s="7" t="s">
        <v>365</v>
      </c>
      <c r="G755" s="7" t="s">
        <v>355</v>
      </c>
      <c r="H755" s="9">
        <v>21861.0</v>
      </c>
      <c r="I755" s="9">
        <v>0.0</v>
      </c>
      <c r="J755" s="9">
        <v>473.0</v>
      </c>
      <c r="K755" s="9">
        <v>21861.0</v>
      </c>
      <c r="L755" s="10">
        <v>1.0</v>
      </c>
      <c r="M755" s="9">
        <v>1.0</v>
      </c>
      <c r="N755" s="9">
        <v>0.0</v>
      </c>
      <c r="O755" s="9">
        <v>0.0</v>
      </c>
      <c r="P755" s="9">
        <v>0.0</v>
      </c>
      <c r="Q755" s="9">
        <v>0.0</v>
      </c>
      <c r="R755" s="9">
        <v>0.0</v>
      </c>
      <c r="S755" s="9">
        <v>0.0</v>
      </c>
      <c r="T755" s="9">
        <v>0.0</v>
      </c>
      <c r="U755" s="9">
        <v>0.0</v>
      </c>
      <c r="V755" s="9">
        <v>0.0</v>
      </c>
      <c r="W755" s="9">
        <v>0.0</v>
      </c>
      <c r="X755" s="9">
        <v>0.0</v>
      </c>
      <c r="Y755" s="9">
        <v>0.0</v>
      </c>
      <c r="Z755" s="9">
        <v>0.0</v>
      </c>
      <c r="AA755" s="9">
        <v>0.0</v>
      </c>
      <c r="AB755" s="9">
        <v>0.0</v>
      </c>
      <c r="AC755" s="9">
        <v>0.0</v>
      </c>
      <c r="AD755" s="11" t="s">
        <v>294</v>
      </c>
      <c r="AE755" s="9"/>
    </row>
    <row r="756">
      <c r="A756" s="7" t="s">
        <v>1890</v>
      </c>
      <c r="B756" s="7" t="s">
        <v>1891</v>
      </c>
      <c r="C756" s="8">
        <v>46192.0</v>
      </c>
      <c r="D756" s="8">
        <v>46194.0</v>
      </c>
      <c r="E756" s="7" t="s">
        <v>364</v>
      </c>
      <c r="F756" s="7" t="s">
        <v>365</v>
      </c>
      <c r="G756" s="7" t="s">
        <v>355</v>
      </c>
      <c r="H756" s="9">
        <v>25672.0</v>
      </c>
      <c r="I756" s="9">
        <v>0.0</v>
      </c>
      <c r="J756" s="9">
        <v>290.0</v>
      </c>
      <c r="K756" s="9"/>
      <c r="L756" s="10">
        <v>0.0</v>
      </c>
      <c r="M756" s="9">
        <v>0.0</v>
      </c>
      <c r="N756" s="9">
        <v>108894.0</v>
      </c>
      <c r="O756" s="9">
        <v>107802.0</v>
      </c>
      <c r="P756" s="9">
        <v>23052.0</v>
      </c>
      <c r="Q756" s="9">
        <v>323.0</v>
      </c>
      <c r="R756" s="9">
        <v>0.0</v>
      </c>
      <c r="S756" s="9">
        <v>0.0</v>
      </c>
      <c r="T756" s="9">
        <v>0.0</v>
      </c>
      <c r="U756" s="9">
        <v>0.0</v>
      </c>
      <c r="V756" s="9">
        <v>0.0</v>
      </c>
      <c r="W756" s="9">
        <v>0.0</v>
      </c>
      <c r="X756" s="9">
        <v>0.0</v>
      </c>
      <c r="Y756" s="9">
        <v>0.0</v>
      </c>
      <c r="Z756" s="9">
        <v>0.0</v>
      </c>
      <c r="AA756" s="9">
        <v>0.0</v>
      </c>
      <c r="AB756" s="9">
        <v>0.0</v>
      </c>
      <c r="AC756" s="9">
        <v>0.0</v>
      </c>
      <c r="AD756" s="11" t="s">
        <v>295</v>
      </c>
      <c r="AE756" s="9" t="s">
        <v>9</v>
      </c>
    </row>
    <row r="757">
      <c r="A757" s="7" t="s">
        <v>1892</v>
      </c>
      <c r="B757" s="7" t="s">
        <v>1893</v>
      </c>
      <c r="C757" s="8">
        <v>46192.0</v>
      </c>
      <c r="D757" s="8">
        <v>46203.0</v>
      </c>
      <c r="E757" s="7" t="s">
        <v>364</v>
      </c>
      <c r="F757" s="7" t="s">
        <v>365</v>
      </c>
      <c r="G757" s="7" t="s">
        <v>355</v>
      </c>
      <c r="H757" s="9">
        <v>29286.0</v>
      </c>
      <c r="I757" s="9">
        <v>0.0</v>
      </c>
      <c r="J757" s="9">
        <v>776.0</v>
      </c>
      <c r="K757" s="9">
        <v>16292.0</v>
      </c>
      <c r="L757" s="10">
        <v>1.7975693591946968</v>
      </c>
      <c r="M757" s="9">
        <v>1.7975693591946968</v>
      </c>
      <c r="N757" s="9">
        <v>86529.0</v>
      </c>
      <c r="O757" s="9">
        <v>85900.0</v>
      </c>
      <c r="P757" s="9">
        <v>27453.0</v>
      </c>
      <c r="Q757" s="9">
        <v>1050.0</v>
      </c>
      <c r="R757" s="9">
        <v>0.0</v>
      </c>
      <c r="S757" s="9">
        <v>0.0</v>
      </c>
      <c r="T757" s="9">
        <v>0.0</v>
      </c>
      <c r="U757" s="9">
        <v>0.0</v>
      </c>
      <c r="V757" s="9">
        <v>0.0</v>
      </c>
      <c r="W757" s="9">
        <v>0.0</v>
      </c>
      <c r="X757" s="9">
        <v>0.0</v>
      </c>
      <c r="Y757" s="9">
        <v>0.0</v>
      </c>
      <c r="Z757" s="9">
        <v>0.0</v>
      </c>
      <c r="AA757" s="9">
        <v>0.0</v>
      </c>
      <c r="AB757" s="9">
        <v>0.0</v>
      </c>
      <c r="AC757" s="9">
        <v>0.0</v>
      </c>
      <c r="AD757" s="11" t="s">
        <v>296</v>
      </c>
      <c r="AE757" s="9" t="s">
        <v>9</v>
      </c>
    </row>
    <row r="758">
      <c r="A758" s="7" t="s">
        <v>1894</v>
      </c>
      <c r="B758" s="7" t="s">
        <v>1895</v>
      </c>
      <c r="C758" s="8">
        <v>46192.0</v>
      </c>
      <c r="D758" s="8">
        <v>46218.0</v>
      </c>
      <c r="E758" s="7" t="s">
        <v>353</v>
      </c>
      <c r="F758" s="7" t="s">
        <v>378</v>
      </c>
      <c r="G758" s="7" t="s">
        <v>355</v>
      </c>
      <c r="H758" s="9">
        <v>878235.0</v>
      </c>
      <c r="I758" s="9">
        <v>92284.0</v>
      </c>
      <c r="J758" s="9">
        <v>1016.0</v>
      </c>
      <c r="K758" s="9">
        <v>464972.0</v>
      </c>
      <c r="L758" s="10">
        <v>1.8887911530156654</v>
      </c>
      <c r="M758" s="9">
        <v>1.8887911530156654</v>
      </c>
      <c r="N758" s="9">
        <v>0.0</v>
      </c>
      <c r="O758" s="9">
        <v>0.0</v>
      </c>
      <c r="P758" s="9">
        <v>0.0</v>
      </c>
      <c r="Q758" s="9">
        <v>0.0</v>
      </c>
      <c r="R758" s="9">
        <v>0.0</v>
      </c>
      <c r="S758" s="9">
        <v>0.0</v>
      </c>
      <c r="T758" s="9">
        <v>0.0</v>
      </c>
      <c r="U758" s="9">
        <v>0.0</v>
      </c>
      <c r="V758" s="9">
        <v>0.0</v>
      </c>
      <c r="W758" s="9">
        <v>0.0</v>
      </c>
      <c r="X758" s="9">
        <v>0.0</v>
      </c>
      <c r="Y758" s="9">
        <v>0.0</v>
      </c>
      <c r="Z758" s="9">
        <v>0.0</v>
      </c>
      <c r="AA758" s="9">
        <v>0.0</v>
      </c>
      <c r="AB758" s="9">
        <v>0.0</v>
      </c>
      <c r="AC758" s="9">
        <v>0.0</v>
      </c>
      <c r="AD758" s="11" t="s">
        <v>297</v>
      </c>
      <c r="AE758" s="9"/>
    </row>
    <row r="759">
      <c r="A759" s="7" t="s">
        <v>1896</v>
      </c>
      <c r="B759" s="7" t="s">
        <v>1897</v>
      </c>
      <c r="C759" s="8">
        <v>46196.0</v>
      </c>
      <c r="D759" s="8">
        <v>46196.0</v>
      </c>
      <c r="E759" s="7" t="s">
        <v>353</v>
      </c>
      <c r="F759" s="7" t="s">
        <v>378</v>
      </c>
      <c r="G759" s="7" t="s">
        <v>355</v>
      </c>
      <c r="H759" s="9">
        <v>0.0</v>
      </c>
      <c r="I759" s="9">
        <v>0.0</v>
      </c>
      <c r="J759" s="9">
        <v>0.0</v>
      </c>
      <c r="K759" s="9">
        <v>0.0</v>
      </c>
      <c r="L759" s="10">
        <v>0.0</v>
      </c>
      <c r="M759" s="9">
        <v>0.0</v>
      </c>
      <c r="N759" s="9">
        <v>510.0</v>
      </c>
      <c r="O759" s="9">
        <v>508.0</v>
      </c>
      <c r="P759" s="9">
        <v>182.0</v>
      </c>
      <c r="Q759" s="9">
        <v>19.0</v>
      </c>
      <c r="R759" s="9">
        <v>0.0</v>
      </c>
      <c r="S759" s="9">
        <v>0.0</v>
      </c>
      <c r="T759" s="9">
        <v>0.0</v>
      </c>
      <c r="U759" s="9">
        <v>0.0</v>
      </c>
      <c r="V759" s="9">
        <v>0.0</v>
      </c>
      <c r="W759" s="9">
        <v>0.0</v>
      </c>
      <c r="X759" s="9">
        <v>0.0</v>
      </c>
      <c r="Y759" s="9">
        <v>0.0</v>
      </c>
      <c r="Z759" s="9">
        <v>0.0</v>
      </c>
      <c r="AA759" s="9">
        <v>0.0</v>
      </c>
      <c r="AB759" s="9">
        <v>0.0</v>
      </c>
      <c r="AC759" s="9">
        <v>0.0</v>
      </c>
      <c r="AD759" s="9"/>
      <c r="AE759" s="9" t="s">
        <v>9</v>
      </c>
    </row>
    <row r="760">
      <c r="A760" s="7" t="s">
        <v>1898</v>
      </c>
      <c r="B760" s="7" t="s">
        <v>1899</v>
      </c>
      <c r="C760" s="8">
        <v>46195.0</v>
      </c>
      <c r="D760" s="8">
        <v>46199.0</v>
      </c>
      <c r="E760" s="7" t="s">
        <v>416</v>
      </c>
      <c r="F760" s="7" t="s">
        <v>466</v>
      </c>
      <c r="G760" s="7" t="s">
        <v>355</v>
      </c>
      <c r="H760" s="9">
        <v>104076.0</v>
      </c>
      <c r="I760" s="9">
        <v>0.0</v>
      </c>
      <c r="J760" s="9">
        <v>390.0</v>
      </c>
      <c r="K760" s="9">
        <v>64916.0</v>
      </c>
      <c r="L760" s="10">
        <v>1.6032411115903629</v>
      </c>
      <c r="M760" s="9">
        <v>1.6032411115903629</v>
      </c>
      <c r="N760" s="9">
        <v>95393.0</v>
      </c>
      <c r="O760" s="9">
        <v>94458.0</v>
      </c>
      <c r="P760" s="9">
        <v>19729.0</v>
      </c>
      <c r="Q760" s="9">
        <v>220.0</v>
      </c>
      <c r="R760" s="9">
        <v>84.0</v>
      </c>
      <c r="S760" s="9">
        <v>84.0</v>
      </c>
      <c r="T760" s="9">
        <v>21.0</v>
      </c>
      <c r="U760" s="9">
        <v>20.0</v>
      </c>
      <c r="V760" s="9">
        <v>0.0</v>
      </c>
      <c r="W760" s="9">
        <v>0.0</v>
      </c>
      <c r="X760" s="9">
        <v>0.0</v>
      </c>
      <c r="Y760" s="9">
        <v>0.0</v>
      </c>
      <c r="Z760" s="9">
        <v>0.0</v>
      </c>
      <c r="AA760" s="9">
        <v>0.0</v>
      </c>
      <c r="AB760" s="9">
        <v>0.0</v>
      </c>
      <c r="AC760" s="9">
        <v>0.0</v>
      </c>
      <c r="AD760" s="11" t="s">
        <v>298</v>
      </c>
      <c r="AE760" s="9" t="s">
        <v>9</v>
      </c>
    </row>
    <row r="761">
      <c r="A761" s="7" t="s">
        <v>1900</v>
      </c>
      <c r="B761" s="7" t="s">
        <v>1901</v>
      </c>
      <c r="C761" s="8">
        <v>46195.0</v>
      </c>
      <c r="D761" s="8">
        <v>46199.0</v>
      </c>
      <c r="E761" s="7" t="s">
        <v>416</v>
      </c>
      <c r="F761" s="7" t="s">
        <v>466</v>
      </c>
      <c r="G761" s="7" t="s">
        <v>355</v>
      </c>
      <c r="H761" s="9">
        <v>97526.0</v>
      </c>
      <c r="I761" s="9">
        <v>0.0</v>
      </c>
      <c r="J761" s="9">
        <v>269.0</v>
      </c>
      <c r="K761" s="9">
        <v>62089.0</v>
      </c>
      <c r="L761" s="10">
        <v>1.5707452205704715</v>
      </c>
      <c r="M761" s="9">
        <v>1.5707452205704715</v>
      </c>
      <c r="N761" s="9">
        <v>102261.0</v>
      </c>
      <c r="O761" s="9">
        <v>101329.0</v>
      </c>
      <c r="P761" s="9">
        <v>32479.0</v>
      </c>
      <c r="Q761" s="9">
        <v>395.0</v>
      </c>
      <c r="R761" s="9">
        <v>155.0</v>
      </c>
      <c r="S761" s="9">
        <v>155.0</v>
      </c>
      <c r="T761" s="9">
        <v>43.0</v>
      </c>
      <c r="U761" s="9">
        <v>43.0</v>
      </c>
      <c r="V761" s="9">
        <v>0.0</v>
      </c>
      <c r="W761" s="9">
        <v>0.0</v>
      </c>
      <c r="X761" s="9">
        <v>0.0</v>
      </c>
      <c r="Y761" s="9">
        <v>0.0</v>
      </c>
      <c r="Z761" s="9">
        <v>0.0</v>
      </c>
      <c r="AA761" s="9">
        <v>0.0</v>
      </c>
      <c r="AB761" s="9">
        <v>0.0</v>
      </c>
      <c r="AC761" s="9">
        <v>0.0</v>
      </c>
      <c r="AD761" s="11" t="s">
        <v>299</v>
      </c>
      <c r="AE761" s="9" t="s">
        <v>9</v>
      </c>
    </row>
    <row r="762">
      <c r="A762" s="7" t="s">
        <v>1902</v>
      </c>
      <c r="B762" s="7" t="s">
        <v>1903</v>
      </c>
      <c r="C762" s="8">
        <v>46195.0</v>
      </c>
      <c r="D762" s="8">
        <v>46199.0</v>
      </c>
      <c r="E762" s="7" t="s">
        <v>416</v>
      </c>
      <c r="F762" s="7" t="s">
        <v>466</v>
      </c>
      <c r="G762" s="7" t="s">
        <v>355</v>
      </c>
      <c r="H762" s="9">
        <v>429366.0</v>
      </c>
      <c r="I762" s="9">
        <v>0.0</v>
      </c>
      <c r="J762" s="9">
        <v>402.0</v>
      </c>
      <c r="K762" s="9">
        <v>296150.0</v>
      </c>
      <c r="L762" s="10">
        <v>1.4498261016376837</v>
      </c>
      <c r="M762" s="9">
        <v>1.4498261016376837</v>
      </c>
      <c r="N762" s="9">
        <v>87184.0</v>
      </c>
      <c r="O762" s="9">
        <v>86231.0</v>
      </c>
      <c r="P762" s="9">
        <v>23344.0</v>
      </c>
      <c r="Q762" s="9">
        <v>230.0</v>
      </c>
      <c r="R762" s="9">
        <v>81.0</v>
      </c>
      <c r="S762" s="9">
        <v>81.0</v>
      </c>
      <c r="T762" s="9">
        <v>26.0</v>
      </c>
      <c r="U762" s="9">
        <v>26.0</v>
      </c>
      <c r="V762" s="9">
        <v>0.0</v>
      </c>
      <c r="W762" s="9">
        <v>0.0</v>
      </c>
      <c r="X762" s="9">
        <v>0.0</v>
      </c>
      <c r="Y762" s="9">
        <v>0.0</v>
      </c>
      <c r="Z762" s="9">
        <v>0.0</v>
      </c>
      <c r="AA762" s="9">
        <v>0.0</v>
      </c>
      <c r="AB762" s="9">
        <v>0.0</v>
      </c>
      <c r="AC762" s="9">
        <v>0.0</v>
      </c>
      <c r="AD762" s="11" t="s">
        <v>300</v>
      </c>
      <c r="AE762" s="9" t="s">
        <v>9</v>
      </c>
    </row>
    <row r="763">
      <c r="A763" s="7" t="s">
        <v>1904</v>
      </c>
      <c r="B763" s="7" t="s">
        <v>1905</v>
      </c>
      <c r="C763" s="8">
        <v>46166.0</v>
      </c>
      <c r="D763" s="8">
        <v>46199.0</v>
      </c>
      <c r="E763" s="7" t="s">
        <v>416</v>
      </c>
      <c r="F763" s="7" t="s">
        <v>466</v>
      </c>
      <c r="G763" s="7" t="s">
        <v>355</v>
      </c>
      <c r="H763" s="9">
        <v>69425.0</v>
      </c>
      <c r="I763" s="9">
        <v>0.0</v>
      </c>
      <c r="J763" s="9">
        <v>228.0</v>
      </c>
      <c r="K763" s="9">
        <v>63198.0</v>
      </c>
      <c r="L763" s="10">
        <v>1.0985315991012374</v>
      </c>
      <c r="M763" s="9">
        <v>1.0985315991012374</v>
      </c>
      <c r="N763" s="9">
        <v>79458.0</v>
      </c>
      <c r="O763" s="9">
        <v>78742.0</v>
      </c>
      <c r="P763" s="9">
        <v>13994.0</v>
      </c>
      <c r="Q763" s="9">
        <v>190.0</v>
      </c>
      <c r="R763" s="9">
        <v>73.0</v>
      </c>
      <c r="S763" s="9">
        <v>73.0</v>
      </c>
      <c r="T763" s="9">
        <v>19.0</v>
      </c>
      <c r="U763" s="9">
        <v>19.0</v>
      </c>
      <c r="V763" s="9">
        <v>0.0</v>
      </c>
      <c r="W763" s="9">
        <v>0.0</v>
      </c>
      <c r="X763" s="9">
        <v>0.0</v>
      </c>
      <c r="Y763" s="9">
        <v>0.0</v>
      </c>
      <c r="Z763" s="9">
        <v>0.0</v>
      </c>
      <c r="AA763" s="9">
        <v>0.0</v>
      </c>
      <c r="AB763" s="9">
        <v>0.0</v>
      </c>
      <c r="AC763" s="9">
        <v>0.0</v>
      </c>
      <c r="AD763" s="11" t="s">
        <v>301</v>
      </c>
      <c r="AE763" s="9" t="s">
        <v>9</v>
      </c>
    </row>
    <row r="764">
      <c r="A764" s="7" t="s">
        <v>1906</v>
      </c>
      <c r="B764" s="7" t="s">
        <v>1907</v>
      </c>
      <c r="C764" s="8">
        <v>46224.0</v>
      </c>
      <c r="D764" s="8">
        <v>46236.0</v>
      </c>
      <c r="E764" s="7" t="s">
        <v>404</v>
      </c>
      <c r="F764" s="7" t="s">
        <v>405</v>
      </c>
      <c r="G764" s="7" t="s">
        <v>410</v>
      </c>
      <c r="H764" s="9">
        <v>79072.0</v>
      </c>
      <c r="I764" s="9">
        <v>0.0</v>
      </c>
      <c r="J764" s="9">
        <v>125.0</v>
      </c>
      <c r="K764" s="9">
        <v>67498.0</v>
      </c>
      <c r="L764" s="10">
        <v>1.147634003970488</v>
      </c>
      <c r="M764" s="9">
        <v>1.1714717473110314</v>
      </c>
      <c r="N764" s="9">
        <v>0.0</v>
      </c>
      <c r="O764" s="9">
        <v>0.0</v>
      </c>
      <c r="P764" s="9">
        <v>0.0</v>
      </c>
      <c r="Q764" s="9">
        <v>0.0</v>
      </c>
      <c r="R764" s="9">
        <v>0.0</v>
      </c>
      <c r="S764" s="9">
        <v>0.0</v>
      </c>
      <c r="T764" s="9">
        <v>0.0</v>
      </c>
      <c r="U764" s="9">
        <v>0.0</v>
      </c>
      <c r="V764" s="9">
        <v>0.0</v>
      </c>
      <c r="W764" s="9">
        <v>0.0</v>
      </c>
      <c r="X764" s="9">
        <v>0.0</v>
      </c>
      <c r="Y764" s="9">
        <v>0.0</v>
      </c>
      <c r="Z764" s="9">
        <v>0.0</v>
      </c>
      <c r="AA764" s="9">
        <v>0.0</v>
      </c>
      <c r="AB764" s="9">
        <v>0.0</v>
      </c>
      <c r="AC764" s="9">
        <v>0.0</v>
      </c>
      <c r="AD764" s="9"/>
      <c r="AE764" s="9" t="s">
        <v>9</v>
      </c>
    </row>
    <row r="765">
      <c r="A765" s="7" t="s">
        <v>1908</v>
      </c>
      <c r="B765" s="7" t="s">
        <v>1909</v>
      </c>
      <c r="C765" s="8">
        <v>46217.0</v>
      </c>
      <c r="D765" s="8">
        <v>46236.0</v>
      </c>
      <c r="E765" s="7" t="s">
        <v>404</v>
      </c>
      <c r="F765" s="7" t="s">
        <v>405</v>
      </c>
      <c r="G765" s="7" t="s">
        <v>410</v>
      </c>
      <c r="H765" s="9">
        <v>1571087.0</v>
      </c>
      <c r="I765" s="9">
        <v>0.0</v>
      </c>
      <c r="J765" s="9">
        <v>4535.0</v>
      </c>
      <c r="K765" s="9">
        <v>413526.0</v>
      </c>
      <c r="L765" s="10">
        <v>1.7507266774035974</v>
      </c>
      <c r="M765" s="9">
        <v>3.7992459966241543</v>
      </c>
      <c r="N765" s="9">
        <v>213696.0</v>
      </c>
      <c r="O765" s="9">
        <v>210923.0</v>
      </c>
      <c r="P765" s="9">
        <v>52599.0</v>
      </c>
      <c r="Q765" s="9">
        <v>2038.0</v>
      </c>
      <c r="R765" s="9">
        <v>0.0</v>
      </c>
      <c r="S765" s="9">
        <v>0.0</v>
      </c>
      <c r="T765" s="9">
        <v>0.0</v>
      </c>
      <c r="U765" s="9">
        <v>0.0</v>
      </c>
      <c r="V765" s="9">
        <v>0.0</v>
      </c>
      <c r="W765" s="9">
        <v>0.0</v>
      </c>
      <c r="X765" s="9">
        <v>0.0</v>
      </c>
      <c r="Y765" s="9">
        <v>0.0</v>
      </c>
      <c r="Z765" s="9">
        <v>0.0</v>
      </c>
      <c r="AA765" s="9">
        <v>0.0</v>
      </c>
      <c r="AB765" s="9">
        <v>0.0</v>
      </c>
      <c r="AC765" s="9">
        <v>0.0</v>
      </c>
      <c r="AD765" s="9"/>
      <c r="AE765" s="9" t="s">
        <v>9</v>
      </c>
    </row>
    <row r="766">
      <c r="A766" s="7" t="s">
        <v>1910</v>
      </c>
      <c r="B766" s="7" t="s">
        <v>1911</v>
      </c>
      <c r="C766" s="8">
        <v>46195.0</v>
      </c>
      <c r="D766" s="8">
        <v>46204.0</v>
      </c>
      <c r="E766" s="7" t="s">
        <v>416</v>
      </c>
      <c r="F766" s="7" t="s">
        <v>725</v>
      </c>
      <c r="G766" s="7" t="s">
        <v>355</v>
      </c>
      <c r="H766" s="9">
        <v>365488.0</v>
      </c>
      <c r="I766" s="9">
        <v>0.0</v>
      </c>
      <c r="J766" s="9">
        <v>322.0</v>
      </c>
      <c r="K766" s="9">
        <v>293244.0</v>
      </c>
      <c r="L766" s="10">
        <v>1.2463613918784358</v>
      </c>
      <c r="M766" s="9">
        <v>1.2463613918784358</v>
      </c>
      <c r="N766" s="9">
        <v>15371.0</v>
      </c>
      <c r="O766" s="9">
        <v>15297.0</v>
      </c>
      <c r="P766" s="9">
        <v>5231.0</v>
      </c>
      <c r="Q766" s="9">
        <v>96.0</v>
      </c>
      <c r="R766" s="9">
        <v>0.0</v>
      </c>
      <c r="S766" s="9">
        <v>0.0</v>
      </c>
      <c r="T766" s="9">
        <v>0.0</v>
      </c>
      <c r="U766" s="9">
        <v>0.0</v>
      </c>
      <c r="V766" s="9">
        <v>0.0</v>
      </c>
      <c r="W766" s="9">
        <v>0.0</v>
      </c>
      <c r="X766" s="9">
        <v>0.0</v>
      </c>
      <c r="Y766" s="9">
        <v>0.0</v>
      </c>
      <c r="Z766" s="9">
        <v>0.0</v>
      </c>
      <c r="AA766" s="9">
        <v>0.0</v>
      </c>
      <c r="AB766" s="9">
        <v>0.0</v>
      </c>
      <c r="AC766" s="9">
        <v>0.0</v>
      </c>
      <c r="AD766" s="11" t="s">
        <v>302</v>
      </c>
      <c r="AE766" s="9" t="s">
        <v>9</v>
      </c>
    </row>
    <row r="767">
      <c r="A767" s="7" t="s">
        <v>1912</v>
      </c>
      <c r="B767" s="7" t="s">
        <v>1913</v>
      </c>
      <c r="C767" s="8">
        <v>46195.0</v>
      </c>
      <c r="D767" s="8">
        <v>46200.0</v>
      </c>
      <c r="E767" s="7" t="s">
        <v>416</v>
      </c>
      <c r="F767" s="7" t="s">
        <v>378</v>
      </c>
      <c r="G767" s="7" t="s">
        <v>355</v>
      </c>
      <c r="H767" s="9">
        <v>105926.0</v>
      </c>
      <c r="I767" s="9">
        <v>0.0</v>
      </c>
      <c r="J767" s="9">
        <v>458.0</v>
      </c>
      <c r="K767" s="9">
        <v>64819.0</v>
      </c>
      <c r="L767" s="10">
        <v>1.634181335719465</v>
      </c>
      <c r="M767" s="9">
        <v>1.634181335719465</v>
      </c>
      <c r="N767" s="9">
        <v>83868.0</v>
      </c>
      <c r="O767" s="9">
        <v>82777.0</v>
      </c>
      <c r="P767" s="9">
        <v>11848.0</v>
      </c>
      <c r="Q767" s="9">
        <v>247.0</v>
      </c>
      <c r="R767" s="9">
        <v>114.0</v>
      </c>
      <c r="S767" s="9">
        <v>114.0</v>
      </c>
      <c r="T767" s="9">
        <v>31.0</v>
      </c>
      <c r="U767" s="9">
        <v>31.0</v>
      </c>
      <c r="V767" s="9">
        <v>0.0</v>
      </c>
      <c r="W767" s="9">
        <v>0.0</v>
      </c>
      <c r="X767" s="9">
        <v>0.0</v>
      </c>
      <c r="Y767" s="9">
        <v>0.0</v>
      </c>
      <c r="Z767" s="9">
        <v>0.0</v>
      </c>
      <c r="AA767" s="9">
        <v>0.0</v>
      </c>
      <c r="AB767" s="9">
        <v>0.0</v>
      </c>
      <c r="AC767" s="9">
        <v>0.0</v>
      </c>
      <c r="AD767" s="11" t="s">
        <v>303</v>
      </c>
      <c r="AE767" s="9" t="s">
        <v>9</v>
      </c>
    </row>
    <row r="768">
      <c r="A768" s="7" t="s">
        <v>1914</v>
      </c>
      <c r="B768" s="7" t="s">
        <v>1915</v>
      </c>
      <c r="C768" s="8">
        <v>46196.0</v>
      </c>
      <c r="D768" s="8">
        <v>46203.0</v>
      </c>
      <c r="E768" s="7" t="s">
        <v>416</v>
      </c>
      <c r="F768" s="7" t="s">
        <v>594</v>
      </c>
      <c r="G768" s="7" t="s">
        <v>355</v>
      </c>
      <c r="H768" s="9">
        <v>118581.0</v>
      </c>
      <c r="I768" s="9">
        <v>0.0</v>
      </c>
      <c r="J768" s="9">
        <v>367.0</v>
      </c>
      <c r="K768" s="9">
        <v>76388.0</v>
      </c>
      <c r="L768" s="10">
        <v>1.5523511546316175</v>
      </c>
      <c r="M768" s="9">
        <v>1.5523511546316175</v>
      </c>
      <c r="N768" s="9">
        <v>79266.0</v>
      </c>
      <c r="O768" s="9">
        <v>78495.0</v>
      </c>
      <c r="P768" s="9">
        <v>16586.0</v>
      </c>
      <c r="Q768" s="9">
        <v>350.0</v>
      </c>
      <c r="R768" s="9">
        <v>144.0</v>
      </c>
      <c r="S768" s="9">
        <v>144.0</v>
      </c>
      <c r="T768" s="9">
        <v>47.0</v>
      </c>
      <c r="U768" s="9">
        <v>46.0</v>
      </c>
      <c r="V768" s="9">
        <v>0.0</v>
      </c>
      <c r="W768" s="9">
        <v>0.0</v>
      </c>
      <c r="X768" s="9">
        <v>0.0</v>
      </c>
      <c r="Y768" s="9">
        <v>0.0</v>
      </c>
      <c r="Z768" s="9">
        <v>0.0</v>
      </c>
      <c r="AA768" s="9">
        <v>0.0</v>
      </c>
      <c r="AB768" s="9">
        <v>0.0</v>
      </c>
      <c r="AC768" s="9">
        <v>0.0</v>
      </c>
      <c r="AD768" s="11" t="s">
        <v>304</v>
      </c>
      <c r="AE768" s="9" t="s">
        <v>9</v>
      </c>
    </row>
    <row r="769">
      <c r="A769" s="7" t="s">
        <v>1916</v>
      </c>
      <c r="B769" s="7" t="s">
        <v>1917</v>
      </c>
      <c r="C769" s="8">
        <v>46198.0</v>
      </c>
      <c r="D769" s="8">
        <v>46198.0</v>
      </c>
      <c r="E769" s="7" t="s">
        <v>358</v>
      </c>
      <c r="F769" s="7" t="s">
        <v>387</v>
      </c>
      <c r="G769" s="7" t="s">
        <v>355</v>
      </c>
      <c r="H769" s="9">
        <v>0.0</v>
      </c>
      <c r="I769" s="9">
        <v>0.0</v>
      </c>
      <c r="J769" s="9">
        <v>0.0</v>
      </c>
      <c r="K769" s="9">
        <v>0.0</v>
      </c>
      <c r="L769" s="10">
        <v>0.0</v>
      </c>
      <c r="M769" s="9">
        <v>0.0</v>
      </c>
      <c r="N769" s="9">
        <v>12309.0</v>
      </c>
      <c r="O769" s="9">
        <v>12139.0</v>
      </c>
      <c r="P769" s="9">
        <v>3609.0</v>
      </c>
      <c r="Q769" s="9">
        <v>191.0</v>
      </c>
      <c r="R769" s="9">
        <v>0.0</v>
      </c>
      <c r="S769" s="9">
        <v>0.0</v>
      </c>
      <c r="T769" s="9">
        <v>0.0</v>
      </c>
      <c r="U769" s="9">
        <v>0.0</v>
      </c>
      <c r="V769" s="9">
        <v>0.0</v>
      </c>
      <c r="W769" s="9">
        <v>0.0</v>
      </c>
      <c r="X769" s="9">
        <v>0.0</v>
      </c>
      <c r="Y769" s="9">
        <v>0.0</v>
      </c>
      <c r="Z769" s="9">
        <v>0.0</v>
      </c>
      <c r="AA769" s="9">
        <v>0.0</v>
      </c>
      <c r="AB769" s="9">
        <v>0.0</v>
      </c>
      <c r="AC769" s="9">
        <v>0.0</v>
      </c>
      <c r="AD769" s="9"/>
      <c r="AE769" s="9" t="s">
        <v>9</v>
      </c>
    </row>
    <row r="770">
      <c r="A770" s="7" t="s">
        <v>1918</v>
      </c>
      <c r="B770" s="7" t="s">
        <v>1919</v>
      </c>
      <c r="C770" s="8">
        <v>46198.0</v>
      </c>
      <c r="D770" s="8">
        <v>46198.0</v>
      </c>
      <c r="E770" s="7" t="s">
        <v>358</v>
      </c>
      <c r="F770" s="7" t="s">
        <v>387</v>
      </c>
      <c r="G770" s="7" t="s">
        <v>355</v>
      </c>
      <c r="H770" s="9">
        <v>0.0</v>
      </c>
      <c r="I770" s="9">
        <v>0.0</v>
      </c>
      <c r="J770" s="9">
        <v>0.0</v>
      </c>
      <c r="K770" s="9">
        <v>0.0</v>
      </c>
      <c r="L770" s="10">
        <v>0.0</v>
      </c>
      <c r="M770" s="9">
        <v>0.0</v>
      </c>
      <c r="N770" s="9">
        <v>13892.0</v>
      </c>
      <c r="O770" s="9">
        <v>13761.0</v>
      </c>
      <c r="P770" s="9">
        <v>4356.0</v>
      </c>
      <c r="Q770" s="9">
        <v>217.0</v>
      </c>
      <c r="R770" s="9">
        <v>0.0</v>
      </c>
      <c r="S770" s="9">
        <v>0.0</v>
      </c>
      <c r="T770" s="9">
        <v>0.0</v>
      </c>
      <c r="U770" s="9">
        <v>0.0</v>
      </c>
      <c r="V770" s="9">
        <v>0.0</v>
      </c>
      <c r="W770" s="9">
        <v>0.0</v>
      </c>
      <c r="X770" s="9">
        <v>0.0</v>
      </c>
      <c r="Y770" s="9">
        <v>0.0</v>
      </c>
      <c r="Z770" s="9">
        <v>0.0</v>
      </c>
      <c r="AA770" s="9">
        <v>0.0</v>
      </c>
      <c r="AB770" s="9">
        <v>0.0</v>
      </c>
      <c r="AC770" s="9">
        <v>0.0</v>
      </c>
      <c r="AD770" s="9"/>
      <c r="AE770" s="9" t="s">
        <v>9</v>
      </c>
    </row>
    <row r="771">
      <c r="A771" s="7" t="s">
        <v>1920</v>
      </c>
      <c r="B771" s="7" t="s">
        <v>1921</v>
      </c>
      <c r="C771" s="8">
        <v>46199.0</v>
      </c>
      <c r="D771" s="8">
        <v>46199.0</v>
      </c>
      <c r="E771" s="7" t="s">
        <v>358</v>
      </c>
      <c r="F771" s="7" t="s">
        <v>387</v>
      </c>
      <c r="G771" s="7" t="s">
        <v>355</v>
      </c>
      <c r="H771" s="9">
        <v>0.0</v>
      </c>
      <c r="I771" s="9">
        <v>0.0</v>
      </c>
      <c r="J771" s="9">
        <v>0.0</v>
      </c>
      <c r="K771" s="9">
        <v>0.0</v>
      </c>
      <c r="L771" s="10">
        <v>0.0</v>
      </c>
      <c r="M771" s="9">
        <v>0.0</v>
      </c>
      <c r="N771" s="9">
        <v>7747.0</v>
      </c>
      <c r="O771" s="9">
        <v>7621.0</v>
      </c>
      <c r="P771" s="9">
        <v>2280.0</v>
      </c>
      <c r="Q771" s="9">
        <v>143.0</v>
      </c>
      <c r="R771" s="9">
        <v>0.0</v>
      </c>
      <c r="S771" s="9">
        <v>0.0</v>
      </c>
      <c r="T771" s="9">
        <v>0.0</v>
      </c>
      <c r="U771" s="9">
        <v>0.0</v>
      </c>
      <c r="V771" s="9">
        <v>0.0</v>
      </c>
      <c r="W771" s="9">
        <v>0.0</v>
      </c>
      <c r="X771" s="9">
        <v>0.0</v>
      </c>
      <c r="Y771" s="9">
        <v>0.0</v>
      </c>
      <c r="Z771" s="9">
        <v>0.0</v>
      </c>
      <c r="AA771" s="9">
        <v>0.0</v>
      </c>
      <c r="AB771" s="9">
        <v>0.0</v>
      </c>
      <c r="AC771" s="9">
        <v>0.0</v>
      </c>
      <c r="AD771" s="9"/>
      <c r="AE771" s="9" t="s">
        <v>9</v>
      </c>
    </row>
    <row r="772">
      <c r="A772" s="7" t="s">
        <v>1922</v>
      </c>
      <c r="B772" s="7" t="s">
        <v>1923</v>
      </c>
      <c r="C772" s="8">
        <v>46202.0</v>
      </c>
      <c r="D772" s="8">
        <v>46202.0</v>
      </c>
      <c r="E772" s="7" t="s">
        <v>358</v>
      </c>
      <c r="F772" s="7" t="s">
        <v>387</v>
      </c>
      <c r="G772" s="7" t="s">
        <v>355</v>
      </c>
      <c r="H772" s="9">
        <v>0.0</v>
      </c>
      <c r="I772" s="9">
        <v>0.0</v>
      </c>
      <c r="J772" s="9">
        <v>0.0</v>
      </c>
      <c r="K772" s="9">
        <v>0.0</v>
      </c>
      <c r="L772" s="10">
        <v>0.0</v>
      </c>
      <c r="M772" s="9">
        <v>0.0</v>
      </c>
      <c r="N772" s="9">
        <v>13637.0</v>
      </c>
      <c r="O772" s="9">
        <v>13515.0</v>
      </c>
      <c r="P772" s="9">
        <v>5286.0</v>
      </c>
      <c r="Q772" s="9">
        <v>272.0</v>
      </c>
      <c r="R772" s="9">
        <v>0.0</v>
      </c>
      <c r="S772" s="9">
        <v>0.0</v>
      </c>
      <c r="T772" s="9">
        <v>0.0</v>
      </c>
      <c r="U772" s="9">
        <v>0.0</v>
      </c>
      <c r="V772" s="9">
        <v>0.0</v>
      </c>
      <c r="W772" s="9">
        <v>0.0</v>
      </c>
      <c r="X772" s="9">
        <v>0.0</v>
      </c>
      <c r="Y772" s="9">
        <v>0.0</v>
      </c>
      <c r="Z772" s="9">
        <v>0.0</v>
      </c>
      <c r="AA772" s="9">
        <v>0.0</v>
      </c>
      <c r="AB772" s="9">
        <v>0.0</v>
      </c>
      <c r="AC772" s="9">
        <v>0.0</v>
      </c>
      <c r="AD772" s="9"/>
      <c r="AE772" s="9" t="s">
        <v>9</v>
      </c>
    </row>
    <row r="773">
      <c r="A773" s="7" t="s">
        <v>1924</v>
      </c>
      <c r="B773" s="7" t="s">
        <v>1925</v>
      </c>
      <c r="C773" s="8">
        <v>46202.0</v>
      </c>
      <c r="D773" s="8">
        <v>46202.0</v>
      </c>
      <c r="E773" s="7" t="s">
        <v>358</v>
      </c>
      <c r="F773" s="7" t="s">
        <v>387</v>
      </c>
      <c r="G773" s="7" t="s">
        <v>355</v>
      </c>
      <c r="H773" s="9">
        <v>0.0</v>
      </c>
      <c r="I773" s="9">
        <v>0.0</v>
      </c>
      <c r="J773" s="9">
        <v>0.0</v>
      </c>
      <c r="K773" s="9">
        <v>0.0</v>
      </c>
      <c r="L773" s="10">
        <v>0.0</v>
      </c>
      <c r="M773" s="9">
        <v>0.0</v>
      </c>
      <c r="N773" s="9">
        <v>23201.0</v>
      </c>
      <c r="O773" s="9">
        <v>23003.0</v>
      </c>
      <c r="P773" s="9">
        <v>8906.0</v>
      </c>
      <c r="Q773" s="9">
        <v>258.0</v>
      </c>
      <c r="R773" s="9">
        <v>0.0</v>
      </c>
      <c r="S773" s="9">
        <v>0.0</v>
      </c>
      <c r="T773" s="9">
        <v>0.0</v>
      </c>
      <c r="U773" s="9">
        <v>0.0</v>
      </c>
      <c r="V773" s="9">
        <v>0.0</v>
      </c>
      <c r="W773" s="9">
        <v>0.0</v>
      </c>
      <c r="X773" s="9">
        <v>0.0</v>
      </c>
      <c r="Y773" s="9">
        <v>0.0</v>
      </c>
      <c r="Z773" s="9">
        <v>0.0</v>
      </c>
      <c r="AA773" s="9">
        <v>0.0</v>
      </c>
      <c r="AB773" s="9">
        <v>0.0</v>
      </c>
      <c r="AC773" s="9">
        <v>0.0</v>
      </c>
      <c r="AD773" s="9"/>
      <c r="AE773" s="9" t="s">
        <v>9</v>
      </c>
    </row>
    <row r="774">
      <c r="A774" s="7" t="s">
        <v>1926</v>
      </c>
      <c r="B774" s="7" t="s">
        <v>1927</v>
      </c>
      <c r="C774" s="8">
        <v>46202.0</v>
      </c>
      <c r="D774" s="8">
        <v>46202.0</v>
      </c>
      <c r="E774" s="7" t="s">
        <v>353</v>
      </c>
      <c r="F774" s="7" t="s">
        <v>1690</v>
      </c>
      <c r="G774" s="7" t="s">
        <v>355</v>
      </c>
      <c r="H774" s="9">
        <v>0.0</v>
      </c>
      <c r="I774" s="9">
        <v>0.0</v>
      </c>
      <c r="J774" s="9">
        <v>0.0</v>
      </c>
      <c r="K774" s="9">
        <v>0.0</v>
      </c>
      <c r="L774" s="10">
        <v>0.0</v>
      </c>
      <c r="M774" s="9">
        <v>0.0</v>
      </c>
      <c r="N774" s="9">
        <v>74177.0</v>
      </c>
      <c r="O774" s="9">
        <v>72211.0</v>
      </c>
      <c r="P774" s="9">
        <v>25267.0</v>
      </c>
      <c r="Q774" s="9">
        <v>1132.0</v>
      </c>
      <c r="R774" s="9">
        <v>0.0</v>
      </c>
      <c r="S774" s="9">
        <v>0.0</v>
      </c>
      <c r="T774" s="9">
        <v>0.0</v>
      </c>
      <c r="U774" s="9">
        <v>0.0</v>
      </c>
      <c r="V774" s="9">
        <v>0.0</v>
      </c>
      <c r="W774" s="9">
        <v>0.0</v>
      </c>
      <c r="X774" s="9">
        <v>0.0</v>
      </c>
      <c r="Y774" s="9">
        <v>0.0</v>
      </c>
      <c r="Z774" s="9">
        <v>0.0</v>
      </c>
      <c r="AA774" s="9">
        <v>0.0</v>
      </c>
      <c r="AB774" s="9">
        <v>0.0</v>
      </c>
      <c r="AC774" s="9">
        <v>0.0</v>
      </c>
      <c r="AD774" s="9"/>
      <c r="AE774" s="9" t="s">
        <v>9</v>
      </c>
    </row>
    <row r="775">
      <c r="A775" s="7" t="s">
        <v>1928</v>
      </c>
      <c r="B775" s="7" t="s">
        <v>1929</v>
      </c>
      <c r="C775" s="8">
        <v>46199.0</v>
      </c>
      <c r="D775" s="8">
        <v>46201.0</v>
      </c>
      <c r="E775" s="7" t="s">
        <v>364</v>
      </c>
      <c r="F775" s="7" t="s">
        <v>365</v>
      </c>
      <c r="G775" s="7" t="s">
        <v>355</v>
      </c>
      <c r="H775" s="9">
        <v>414.0</v>
      </c>
      <c r="I775" s="9">
        <v>0.0</v>
      </c>
      <c r="J775" s="9">
        <v>20.0</v>
      </c>
      <c r="K775" s="9">
        <v>386.0</v>
      </c>
      <c r="L775" s="10">
        <v>1.072538860103627</v>
      </c>
      <c r="M775" s="9">
        <v>1.072538860103627</v>
      </c>
      <c r="N775" s="9">
        <v>113182.0</v>
      </c>
      <c r="O775" s="9">
        <v>111859.0</v>
      </c>
      <c r="P775" s="9">
        <v>35915.0</v>
      </c>
      <c r="Q775" s="9">
        <v>316.0</v>
      </c>
      <c r="R775" s="9">
        <v>0.0</v>
      </c>
      <c r="S775" s="9">
        <v>0.0</v>
      </c>
      <c r="T775" s="9">
        <v>0.0</v>
      </c>
      <c r="U775" s="9">
        <v>0.0</v>
      </c>
      <c r="V775" s="9">
        <v>0.0</v>
      </c>
      <c r="W775" s="9">
        <v>0.0</v>
      </c>
      <c r="X775" s="9">
        <v>0.0</v>
      </c>
      <c r="Y775" s="9">
        <v>0.0</v>
      </c>
      <c r="Z775" s="9">
        <v>0.0</v>
      </c>
      <c r="AA775" s="9">
        <v>0.0</v>
      </c>
      <c r="AB775" s="9">
        <v>0.0</v>
      </c>
      <c r="AC775" s="9">
        <v>0.0</v>
      </c>
      <c r="AD775" s="11" t="s">
        <v>305</v>
      </c>
      <c r="AE775" s="9" t="s">
        <v>9</v>
      </c>
    </row>
    <row r="776">
      <c r="A776" s="7" t="s">
        <v>1930</v>
      </c>
      <c r="B776" s="7" t="s">
        <v>1931</v>
      </c>
      <c r="C776" s="8">
        <v>46196.0</v>
      </c>
      <c r="D776" s="8">
        <v>46202.0</v>
      </c>
      <c r="E776" s="7" t="s">
        <v>353</v>
      </c>
      <c r="F776" s="7" t="s">
        <v>354</v>
      </c>
      <c r="G776" s="7" t="s">
        <v>355</v>
      </c>
      <c r="H776" s="9">
        <v>709796.0</v>
      </c>
      <c r="I776" s="9">
        <v>0.0</v>
      </c>
      <c r="J776" s="9">
        <v>15623.0</v>
      </c>
      <c r="K776" s="9">
        <v>103279.0</v>
      </c>
      <c r="L776" s="10">
        <v>1.8022734534610134</v>
      </c>
      <c r="M776" s="9">
        <v>6.872607209597304</v>
      </c>
      <c r="N776" s="9">
        <v>236485.0</v>
      </c>
      <c r="O776" s="9">
        <v>232923.0</v>
      </c>
      <c r="P776" s="9">
        <v>64122.0</v>
      </c>
      <c r="Q776" s="9">
        <v>5107.0</v>
      </c>
      <c r="R776" s="9">
        <v>0.0</v>
      </c>
      <c r="S776" s="9">
        <v>0.0</v>
      </c>
      <c r="T776" s="9">
        <v>0.0</v>
      </c>
      <c r="U776" s="9">
        <v>0.0</v>
      </c>
      <c r="V776" s="9">
        <v>0.0</v>
      </c>
      <c r="W776" s="9">
        <v>0.0</v>
      </c>
      <c r="X776" s="9">
        <v>0.0</v>
      </c>
      <c r="Y776" s="9">
        <v>0.0</v>
      </c>
      <c r="Z776" s="9">
        <v>0.0</v>
      </c>
      <c r="AA776" s="9">
        <v>0.0</v>
      </c>
      <c r="AB776" s="9">
        <v>0.0</v>
      </c>
      <c r="AC776" s="9">
        <v>0.0</v>
      </c>
      <c r="AD776" s="11" t="s">
        <v>306</v>
      </c>
      <c r="AE776" s="9" t="s">
        <v>9</v>
      </c>
    </row>
    <row r="777">
      <c r="A777" s="7" t="s">
        <v>1932</v>
      </c>
      <c r="B777" s="7" t="s">
        <v>1933</v>
      </c>
      <c r="C777" s="8">
        <v>46197.0</v>
      </c>
      <c r="D777" s="8">
        <v>46211.0</v>
      </c>
      <c r="E777" s="7" t="s">
        <v>503</v>
      </c>
      <c r="F777" s="7" t="s">
        <v>417</v>
      </c>
      <c r="G777" s="7" t="s">
        <v>355</v>
      </c>
      <c r="H777" s="9">
        <v>901395.0</v>
      </c>
      <c r="I777" s="9">
        <v>0.0</v>
      </c>
      <c r="J777" s="9">
        <v>1123.0</v>
      </c>
      <c r="K777" s="9">
        <v>568282.0</v>
      </c>
      <c r="L777" s="10">
        <v>1.5861755255313383</v>
      </c>
      <c r="M777" s="9">
        <v>1.5861755255313383</v>
      </c>
      <c r="N777" s="9">
        <v>787284.0</v>
      </c>
      <c r="O777" s="9">
        <v>776455.0</v>
      </c>
      <c r="P777" s="9">
        <v>157968.0</v>
      </c>
      <c r="Q777" s="9">
        <v>1026.0</v>
      </c>
      <c r="R777" s="9">
        <v>0.0</v>
      </c>
      <c r="S777" s="9">
        <v>0.0</v>
      </c>
      <c r="T777" s="9">
        <v>0.0</v>
      </c>
      <c r="U777" s="9">
        <v>0.0</v>
      </c>
      <c r="V777" s="9">
        <v>0.0</v>
      </c>
      <c r="W777" s="9">
        <v>0.0</v>
      </c>
      <c r="X777" s="9">
        <v>0.0</v>
      </c>
      <c r="Y777" s="9">
        <v>0.0</v>
      </c>
      <c r="Z777" s="9">
        <v>0.0</v>
      </c>
      <c r="AA777" s="9">
        <v>0.0</v>
      </c>
      <c r="AB777" s="9">
        <v>0.0</v>
      </c>
      <c r="AC777" s="9">
        <v>0.0</v>
      </c>
      <c r="AD777" s="11" t="s">
        <v>307</v>
      </c>
      <c r="AE777" s="9" t="s">
        <v>9</v>
      </c>
    </row>
    <row r="778">
      <c r="A778" s="7" t="s">
        <v>1934</v>
      </c>
      <c r="B778" s="7" t="s">
        <v>1935</v>
      </c>
      <c r="C778" s="8">
        <v>46199.0</v>
      </c>
      <c r="D778" s="8">
        <v>46199.0</v>
      </c>
      <c r="E778" s="7" t="s">
        <v>353</v>
      </c>
      <c r="F778" s="7" t="s">
        <v>354</v>
      </c>
      <c r="G778" s="7" t="s">
        <v>355</v>
      </c>
      <c r="H778" s="9">
        <v>0.0</v>
      </c>
      <c r="I778" s="9">
        <v>0.0</v>
      </c>
      <c r="J778" s="9">
        <v>0.0</v>
      </c>
      <c r="K778" s="9">
        <v>0.0</v>
      </c>
      <c r="L778" s="10">
        <v>0.0</v>
      </c>
      <c r="M778" s="9">
        <v>0.0</v>
      </c>
      <c r="N778" s="9">
        <v>27898.0</v>
      </c>
      <c r="O778" s="9">
        <v>27524.0</v>
      </c>
      <c r="P778" s="9">
        <v>7395.0</v>
      </c>
      <c r="Q778" s="9">
        <v>166.0</v>
      </c>
      <c r="R778" s="9">
        <v>0.0</v>
      </c>
      <c r="S778" s="9">
        <v>0.0</v>
      </c>
      <c r="T778" s="9">
        <v>0.0</v>
      </c>
      <c r="U778" s="9">
        <v>0.0</v>
      </c>
      <c r="V778" s="9">
        <v>0.0</v>
      </c>
      <c r="W778" s="9">
        <v>0.0</v>
      </c>
      <c r="X778" s="9">
        <v>0.0</v>
      </c>
      <c r="Y778" s="9">
        <v>0.0</v>
      </c>
      <c r="Z778" s="9">
        <v>0.0</v>
      </c>
      <c r="AA778" s="9">
        <v>0.0</v>
      </c>
      <c r="AB778" s="9">
        <v>0.0</v>
      </c>
      <c r="AC778" s="9">
        <v>0.0</v>
      </c>
      <c r="AD778" s="9"/>
      <c r="AE778" s="9" t="s">
        <v>9</v>
      </c>
    </row>
    <row r="779">
      <c r="A779" s="7" t="s">
        <v>1936</v>
      </c>
      <c r="B779" s="7" t="s">
        <v>1937</v>
      </c>
      <c r="C779" s="8">
        <v>46198.0</v>
      </c>
      <c r="D779" s="8">
        <v>46203.0</v>
      </c>
      <c r="E779" s="7" t="s">
        <v>416</v>
      </c>
      <c r="F779" s="7" t="s">
        <v>417</v>
      </c>
      <c r="G779" s="7" t="s">
        <v>355</v>
      </c>
      <c r="H779" s="9">
        <v>1469375.0</v>
      </c>
      <c r="I779" s="9">
        <v>578801.0</v>
      </c>
      <c r="J779" s="9">
        <v>3020.0</v>
      </c>
      <c r="K779" s="9">
        <v>17388.0</v>
      </c>
      <c r="L779" s="10">
        <v>24.205774097078447</v>
      </c>
      <c r="M779" s="9">
        <v>84.50511847250978</v>
      </c>
      <c r="N779" s="9">
        <v>0.0</v>
      </c>
      <c r="O779" s="9">
        <v>0.0</v>
      </c>
      <c r="P779" s="9">
        <v>0.0</v>
      </c>
      <c r="Q779" s="9">
        <v>0.0</v>
      </c>
      <c r="R779" s="9">
        <v>0.0</v>
      </c>
      <c r="S779" s="9">
        <v>0.0</v>
      </c>
      <c r="T779" s="9">
        <v>0.0</v>
      </c>
      <c r="U779" s="9">
        <v>0.0</v>
      </c>
      <c r="V779" s="9">
        <v>0.0</v>
      </c>
      <c r="W779" s="9">
        <v>0.0</v>
      </c>
      <c r="X779" s="9">
        <v>0.0</v>
      </c>
      <c r="Y779" s="9">
        <v>0.0</v>
      </c>
      <c r="Z779" s="9">
        <v>0.0</v>
      </c>
      <c r="AA779" s="9">
        <v>0.0</v>
      </c>
      <c r="AB779" s="9">
        <v>0.0</v>
      </c>
      <c r="AC779" s="9">
        <v>0.0</v>
      </c>
      <c r="AD779" s="11" t="s">
        <v>308</v>
      </c>
      <c r="AE779" s="9"/>
    </row>
    <row r="780">
      <c r="A780" s="7" t="s">
        <v>1938</v>
      </c>
      <c r="B780" s="7" t="s">
        <v>1939</v>
      </c>
      <c r="C780" s="8">
        <v>46198.0</v>
      </c>
      <c r="D780" s="8">
        <v>46205.0</v>
      </c>
      <c r="E780" s="7" t="s">
        <v>416</v>
      </c>
      <c r="F780" s="7" t="s">
        <v>365</v>
      </c>
      <c r="G780" s="7" t="s">
        <v>355</v>
      </c>
      <c r="H780" s="9">
        <v>118382.0</v>
      </c>
      <c r="I780" s="9">
        <v>0.0</v>
      </c>
      <c r="J780" s="9">
        <v>391.0</v>
      </c>
      <c r="K780" s="9">
        <v>63111.0</v>
      </c>
      <c r="L780" s="10">
        <v>1.875774429180333</v>
      </c>
      <c r="M780" s="9">
        <v>1.875774429180333</v>
      </c>
      <c r="N780" s="9">
        <v>62214.0</v>
      </c>
      <c r="O780" s="9">
        <v>60925.0</v>
      </c>
      <c r="P780" s="9">
        <v>7031.0</v>
      </c>
      <c r="Q780" s="9">
        <v>180.0</v>
      </c>
      <c r="R780" s="9">
        <v>145.0</v>
      </c>
      <c r="S780" s="9">
        <v>145.0</v>
      </c>
      <c r="T780" s="9">
        <v>48.0</v>
      </c>
      <c r="U780" s="9">
        <v>45.0</v>
      </c>
      <c r="V780" s="9">
        <v>0.0</v>
      </c>
      <c r="W780" s="9">
        <v>0.0</v>
      </c>
      <c r="X780" s="9">
        <v>0.0</v>
      </c>
      <c r="Y780" s="9">
        <v>0.0</v>
      </c>
      <c r="Z780" s="9">
        <v>0.0</v>
      </c>
      <c r="AA780" s="9">
        <v>0.0</v>
      </c>
      <c r="AB780" s="9">
        <v>0.0</v>
      </c>
      <c r="AC780" s="9">
        <v>0.0</v>
      </c>
      <c r="AD780" s="11" t="s">
        <v>309</v>
      </c>
      <c r="AE780" s="9" t="s">
        <v>9</v>
      </c>
    </row>
    <row r="781">
      <c r="A781" s="7" t="s">
        <v>1940</v>
      </c>
      <c r="B781" s="7" t="s">
        <v>1941</v>
      </c>
      <c r="C781" s="8">
        <v>46202.0</v>
      </c>
      <c r="D781" s="8">
        <v>46210.0</v>
      </c>
      <c r="E781" s="7" t="s">
        <v>416</v>
      </c>
      <c r="F781" s="7" t="s">
        <v>594</v>
      </c>
      <c r="G781" s="7" t="s">
        <v>355</v>
      </c>
      <c r="H781" s="9">
        <v>160296.0</v>
      </c>
      <c r="I781" s="9">
        <v>0.0</v>
      </c>
      <c r="J781" s="9">
        <v>617.0</v>
      </c>
      <c r="K781" s="9">
        <v>91127.0</v>
      </c>
      <c r="L781" s="10">
        <v>1.7590395821216545</v>
      </c>
      <c r="M781" s="9">
        <v>1.7590395821216545</v>
      </c>
      <c r="N781" s="9">
        <v>80772.0</v>
      </c>
      <c r="O781" s="9">
        <v>79346.0</v>
      </c>
      <c r="P781" s="9">
        <v>12221.0</v>
      </c>
      <c r="Q781" s="9">
        <v>367.0</v>
      </c>
      <c r="R781" s="9">
        <v>207.0</v>
      </c>
      <c r="S781" s="9">
        <v>207.0</v>
      </c>
      <c r="T781" s="9">
        <v>73.0</v>
      </c>
      <c r="U781" s="9">
        <v>64.0</v>
      </c>
      <c r="V781" s="9">
        <v>0.0</v>
      </c>
      <c r="W781" s="9">
        <v>0.0</v>
      </c>
      <c r="X781" s="9">
        <v>0.0</v>
      </c>
      <c r="Y781" s="9">
        <v>0.0</v>
      </c>
      <c r="Z781" s="9">
        <v>0.0</v>
      </c>
      <c r="AA781" s="9">
        <v>0.0</v>
      </c>
      <c r="AB781" s="9">
        <v>0.0</v>
      </c>
      <c r="AC781" s="9">
        <v>0.0</v>
      </c>
      <c r="AD781" s="11" t="s">
        <v>310</v>
      </c>
      <c r="AE781" s="9" t="s">
        <v>9</v>
      </c>
    </row>
    <row r="782">
      <c r="A782" s="7" t="s">
        <v>1942</v>
      </c>
      <c r="B782" s="7" t="s">
        <v>1943</v>
      </c>
      <c r="C782" s="8">
        <v>46198.0</v>
      </c>
      <c r="D782" s="8">
        <v>46203.0</v>
      </c>
      <c r="E782" s="7" t="s">
        <v>416</v>
      </c>
      <c r="F782" s="7" t="s">
        <v>667</v>
      </c>
      <c r="G782" s="7" t="s">
        <v>355</v>
      </c>
      <c r="H782" s="9">
        <v>99036.0</v>
      </c>
      <c r="I782" s="9">
        <v>0.0</v>
      </c>
      <c r="J782" s="9">
        <v>281.0</v>
      </c>
      <c r="K782" s="9">
        <v>35839.0</v>
      </c>
      <c r="L782" s="10">
        <v>2.763358352632607</v>
      </c>
      <c r="M782" s="9">
        <v>2.763358352632607</v>
      </c>
      <c r="N782" s="9">
        <v>20902.0</v>
      </c>
      <c r="O782" s="9">
        <v>20545.0</v>
      </c>
      <c r="P782" s="9">
        <v>3289.0</v>
      </c>
      <c r="Q782" s="9">
        <v>56.0</v>
      </c>
      <c r="R782" s="9">
        <v>32.0</v>
      </c>
      <c r="S782" s="9">
        <v>32.0</v>
      </c>
      <c r="T782" s="9">
        <v>8.0</v>
      </c>
      <c r="U782" s="9">
        <v>7.0</v>
      </c>
      <c r="V782" s="9">
        <v>0.0</v>
      </c>
      <c r="W782" s="9">
        <v>0.0</v>
      </c>
      <c r="X782" s="9">
        <v>0.0</v>
      </c>
      <c r="Y782" s="9">
        <v>0.0</v>
      </c>
      <c r="Z782" s="9">
        <v>0.0</v>
      </c>
      <c r="AA782" s="9">
        <v>0.0</v>
      </c>
      <c r="AB782" s="9">
        <v>0.0</v>
      </c>
      <c r="AC782" s="9">
        <v>0.0</v>
      </c>
      <c r="AD782" s="11" t="s">
        <v>311</v>
      </c>
      <c r="AE782" s="9" t="s">
        <v>9</v>
      </c>
    </row>
    <row r="783">
      <c r="A783" s="7" t="s">
        <v>1944</v>
      </c>
      <c r="B783" s="7" t="s">
        <v>1945</v>
      </c>
      <c r="C783" s="8">
        <v>46199.0</v>
      </c>
      <c r="D783" s="8">
        <v>46204.0</v>
      </c>
      <c r="E783" s="7" t="s">
        <v>416</v>
      </c>
      <c r="F783" s="7" t="s">
        <v>466</v>
      </c>
      <c r="G783" s="7" t="s">
        <v>355</v>
      </c>
      <c r="H783" s="9">
        <v>116414.0</v>
      </c>
      <c r="I783" s="9">
        <v>0.0</v>
      </c>
      <c r="J783" s="9">
        <v>106.0</v>
      </c>
      <c r="K783" s="9">
        <v>86889.0</v>
      </c>
      <c r="L783" s="10">
        <v>1.339801355752742</v>
      </c>
      <c r="M783" s="9">
        <v>1.339801355752742</v>
      </c>
      <c r="N783" s="9">
        <v>64885.0</v>
      </c>
      <c r="O783" s="9">
        <v>63971.0</v>
      </c>
      <c r="P783" s="9">
        <v>9988.0</v>
      </c>
      <c r="Q783" s="9">
        <v>267.0</v>
      </c>
      <c r="R783" s="9">
        <v>148.0</v>
      </c>
      <c r="S783" s="9">
        <v>148.0</v>
      </c>
      <c r="T783" s="9">
        <v>40.0</v>
      </c>
      <c r="U783" s="9">
        <v>37.0</v>
      </c>
      <c r="V783" s="9">
        <v>0.0</v>
      </c>
      <c r="W783" s="9">
        <v>0.0</v>
      </c>
      <c r="X783" s="9">
        <v>0.0</v>
      </c>
      <c r="Y783" s="9">
        <v>0.0</v>
      </c>
      <c r="Z783" s="9">
        <v>0.0</v>
      </c>
      <c r="AA783" s="9">
        <v>0.0</v>
      </c>
      <c r="AB783" s="9">
        <v>0.0</v>
      </c>
      <c r="AC783" s="9">
        <v>0.0</v>
      </c>
      <c r="AD783" s="11" t="s">
        <v>312</v>
      </c>
      <c r="AE783" s="9" t="s">
        <v>9</v>
      </c>
    </row>
    <row r="784">
      <c r="A784" s="7" t="s">
        <v>1946</v>
      </c>
      <c r="B784" s="7" t="s">
        <v>1947</v>
      </c>
      <c r="C784" s="8">
        <v>46202.0</v>
      </c>
      <c r="D784" s="8">
        <v>46216.0</v>
      </c>
      <c r="E784" s="7" t="s">
        <v>353</v>
      </c>
      <c r="F784" s="7" t="s">
        <v>378</v>
      </c>
      <c r="G784" s="7" t="s">
        <v>355</v>
      </c>
      <c r="H784" s="9">
        <v>2411963.0</v>
      </c>
      <c r="I784" s="9">
        <v>0.0</v>
      </c>
      <c r="J784" s="9">
        <v>7174.0</v>
      </c>
      <c r="K784" s="9">
        <v>403480.0</v>
      </c>
      <c r="L784" s="10">
        <v>1.6630762367403589</v>
      </c>
      <c r="M784" s="9">
        <v>5.977899771983742</v>
      </c>
      <c r="N784" s="9">
        <v>350156.0</v>
      </c>
      <c r="O784" s="9">
        <v>345340.0</v>
      </c>
      <c r="P784" s="9">
        <v>113269.0</v>
      </c>
      <c r="Q784" s="9">
        <v>823.0</v>
      </c>
      <c r="R784" s="9">
        <v>0.0</v>
      </c>
      <c r="S784" s="9">
        <v>0.0</v>
      </c>
      <c r="T784" s="9">
        <v>0.0</v>
      </c>
      <c r="U784" s="9">
        <v>0.0</v>
      </c>
      <c r="V784" s="9">
        <v>0.0</v>
      </c>
      <c r="W784" s="9">
        <v>0.0</v>
      </c>
      <c r="X784" s="9">
        <v>0.0</v>
      </c>
      <c r="Y784" s="9">
        <v>0.0</v>
      </c>
      <c r="Z784" s="9">
        <v>0.0</v>
      </c>
      <c r="AA784" s="9">
        <v>0.0</v>
      </c>
      <c r="AB784" s="9">
        <v>0.0</v>
      </c>
      <c r="AC784" s="9">
        <v>0.0</v>
      </c>
      <c r="AD784" s="11" t="s">
        <v>313</v>
      </c>
      <c r="AE784" s="9" t="s">
        <v>9</v>
      </c>
    </row>
    <row r="785">
      <c r="A785" s="7" t="s">
        <v>1948</v>
      </c>
      <c r="B785" s="7" t="s">
        <v>1949</v>
      </c>
      <c r="C785" s="8">
        <v>46205.0</v>
      </c>
      <c r="D785" s="8">
        <v>46220.0</v>
      </c>
      <c r="E785" s="7" t="s">
        <v>353</v>
      </c>
      <c r="F785" s="7" t="s">
        <v>378</v>
      </c>
      <c r="G785" s="7" t="s">
        <v>355</v>
      </c>
      <c r="H785" s="9">
        <v>1025955.0</v>
      </c>
      <c r="I785" s="9">
        <v>164148.0</v>
      </c>
      <c r="J785" s="9">
        <v>946.0</v>
      </c>
      <c r="K785" s="9">
        <v>573001.0</v>
      </c>
      <c r="L785" s="10">
        <v>1.7415275016972047</v>
      </c>
      <c r="M785" s="9">
        <v>1.790494257427125</v>
      </c>
      <c r="N785" s="9">
        <v>0.0</v>
      </c>
      <c r="O785" s="9">
        <v>0.0</v>
      </c>
      <c r="P785" s="9">
        <v>0.0</v>
      </c>
      <c r="Q785" s="9">
        <v>0.0</v>
      </c>
      <c r="R785" s="9">
        <v>0.0</v>
      </c>
      <c r="S785" s="9">
        <v>0.0</v>
      </c>
      <c r="T785" s="9">
        <v>0.0</v>
      </c>
      <c r="U785" s="9">
        <v>0.0</v>
      </c>
      <c r="V785" s="9">
        <v>0.0</v>
      </c>
      <c r="W785" s="9">
        <v>0.0</v>
      </c>
      <c r="X785" s="9">
        <v>0.0</v>
      </c>
      <c r="Y785" s="9">
        <v>0.0</v>
      </c>
      <c r="Z785" s="9">
        <v>0.0</v>
      </c>
      <c r="AA785" s="9">
        <v>0.0</v>
      </c>
      <c r="AB785" s="9">
        <v>0.0</v>
      </c>
      <c r="AC785" s="9">
        <v>0.0</v>
      </c>
      <c r="AD785" s="9"/>
      <c r="AE785" s="9"/>
    </row>
    <row r="786">
      <c r="A786" s="7" t="s">
        <v>1950</v>
      </c>
      <c r="B786" s="7" t="s">
        <v>1951</v>
      </c>
      <c r="C786" s="8">
        <v>46205.0</v>
      </c>
      <c r="D786" s="8">
        <v>46209.0</v>
      </c>
      <c r="E786" s="7" t="s">
        <v>353</v>
      </c>
      <c r="F786" s="7" t="s">
        <v>783</v>
      </c>
      <c r="G786" s="7" t="s">
        <v>355</v>
      </c>
      <c r="H786" s="9">
        <v>1296042.0</v>
      </c>
      <c r="I786" s="9">
        <v>0.0</v>
      </c>
      <c r="J786" s="9">
        <v>15367.0</v>
      </c>
      <c r="K786" s="9">
        <v>74805.0</v>
      </c>
      <c r="L786" s="10">
        <v>5.84787113160885</v>
      </c>
      <c r="M786" s="9">
        <v>17.325606577100462</v>
      </c>
      <c r="N786" s="9">
        <v>12736.0</v>
      </c>
      <c r="O786" s="9">
        <v>12564.0</v>
      </c>
      <c r="P786" s="9">
        <v>4890.0</v>
      </c>
      <c r="Q786" s="9">
        <v>93.0</v>
      </c>
      <c r="R786" s="9">
        <v>0.0</v>
      </c>
      <c r="S786" s="9">
        <v>0.0</v>
      </c>
      <c r="T786" s="9">
        <v>0.0</v>
      </c>
      <c r="U786" s="9">
        <v>0.0</v>
      </c>
      <c r="V786" s="9">
        <v>0.0</v>
      </c>
      <c r="W786" s="9">
        <v>0.0</v>
      </c>
      <c r="X786" s="9">
        <v>0.0</v>
      </c>
      <c r="Y786" s="9">
        <v>0.0</v>
      </c>
      <c r="Z786" s="9">
        <v>0.0</v>
      </c>
      <c r="AA786" s="9">
        <v>0.0</v>
      </c>
      <c r="AB786" s="9">
        <v>0.0</v>
      </c>
      <c r="AC786" s="9">
        <v>0.0</v>
      </c>
      <c r="AD786" s="9"/>
      <c r="AE786" s="9" t="s">
        <v>9</v>
      </c>
    </row>
    <row r="787">
      <c r="A787" s="7" t="s">
        <v>1952</v>
      </c>
      <c r="B787" s="7" t="s">
        <v>1953</v>
      </c>
      <c r="C787" s="8">
        <v>46204.0</v>
      </c>
      <c r="D787" s="8">
        <v>46204.0</v>
      </c>
      <c r="E787" s="7" t="s">
        <v>416</v>
      </c>
      <c r="F787" s="7" t="s">
        <v>430</v>
      </c>
      <c r="G787" s="7" t="s">
        <v>355</v>
      </c>
      <c r="H787" s="9">
        <v>0.0</v>
      </c>
      <c r="I787" s="9">
        <v>0.0</v>
      </c>
      <c r="J787" s="9">
        <v>0.0</v>
      </c>
      <c r="K787" s="9">
        <v>0.0</v>
      </c>
      <c r="L787" s="10">
        <v>0.0</v>
      </c>
      <c r="M787" s="9">
        <v>0.0</v>
      </c>
      <c r="N787" s="9">
        <v>114090.0</v>
      </c>
      <c r="O787" s="9">
        <v>112753.0</v>
      </c>
      <c r="P787" s="9">
        <v>29054.0</v>
      </c>
      <c r="Q787" s="9">
        <v>1395.0</v>
      </c>
      <c r="R787" s="9">
        <v>0.0</v>
      </c>
      <c r="S787" s="9">
        <v>0.0</v>
      </c>
      <c r="T787" s="9">
        <v>0.0</v>
      </c>
      <c r="U787" s="9">
        <v>0.0</v>
      </c>
      <c r="V787" s="9">
        <v>0.0</v>
      </c>
      <c r="W787" s="9">
        <v>0.0</v>
      </c>
      <c r="X787" s="9">
        <v>0.0</v>
      </c>
      <c r="Y787" s="9">
        <v>0.0</v>
      </c>
      <c r="Z787" s="9">
        <v>0.0</v>
      </c>
      <c r="AA787" s="9">
        <v>0.0</v>
      </c>
      <c r="AB787" s="9">
        <v>0.0</v>
      </c>
      <c r="AC787" s="9">
        <v>0.0</v>
      </c>
      <c r="AD787" s="9"/>
      <c r="AE787" s="9" t="s">
        <v>9</v>
      </c>
    </row>
    <row r="788">
      <c r="A788" s="7" t="s">
        <v>1954</v>
      </c>
      <c r="B788" s="7" t="s">
        <v>1955</v>
      </c>
      <c r="C788" s="8">
        <v>46209.0</v>
      </c>
      <c r="D788" s="8">
        <v>46209.0</v>
      </c>
      <c r="E788" s="7" t="s">
        <v>404</v>
      </c>
      <c r="F788" s="7" t="s">
        <v>474</v>
      </c>
      <c r="G788" s="7" t="s">
        <v>355</v>
      </c>
      <c r="H788" s="9">
        <v>0.0</v>
      </c>
      <c r="I788" s="9">
        <v>0.0</v>
      </c>
      <c r="J788" s="9">
        <v>0.0</v>
      </c>
      <c r="K788" s="9">
        <v>0.0</v>
      </c>
      <c r="L788" s="10">
        <v>0.0</v>
      </c>
      <c r="M788" s="9">
        <v>0.0</v>
      </c>
      <c r="N788" s="9">
        <v>395.0</v>
      </c>
      <c r="O788" s="9">
        <v>389.0</v>
      </c>
      <c r="P788" s="9">
        <v>173.0</v>
      </c>
      <c r="Q788" s="9">
        <v>63.0</v>
      </c>
      <c r="R788" s="9">
        <v>0.0</v>
      </c>
      <c r="S788" s="9">
        <v>0.0</v>
      </c>
      <c r="T788" s="9">
        <v>0.0</v>
      </c>
      <c r="U788" s="9">
        <v>0.0</v>
      </c>
      <c r="V788" s="9">
        <v>0.0</v>
      </c>
      <c r="W788" s="9">
        <v>0.0</v>
      </c>
      <c r="X788" s="9">
        <v>0.0</v>
      </c>
      <c r="Y788" s="9">
        <v>0.0</v>
      </c>
      <c r="Z788" s="9">
        <v>0.0</v>
      </c>
      <c r="AA788" s="9">
        <v>0.0</v>
      </c>
      <c r="AB788" s="9">
        <v>0.0</v>
      </c>
      <c r="AC788" s="9">
        <v>0.0</v>
      </c>
      <c r="AD788" s="9"/>
      <c r="AE788" s="9" t="s">
        <v>9</v>
      </c>
    </row>
    <row r="789">
      <c r="A789" s="7" t="s">
        <v>1956</v>
      </c>
      <c r="B789" s="7" t="s">
        <v>1957</v>
      </c>
      <c r="C789" s="8">
        <v>46202.0</v>
      </c>
      <c r="D789" s="8">
        <v>46206.0</v>
      </c>
      <c r="E789" s="7" t="s">
        <v>416</v>
      </c>
      <c r="F789" s="7" t="s">
        <v>466</v>
      </c>
      <c r="G789" s="7" t="s">
        <v>355</v>
      </c>
      <c r="H789" s="9">
        <v>127832.0</v>
      </c>
      <c r="I789" s="9">
        <v>0.0</v>
      </c>
      <c r="J789" s="9">
        <v>415.0</v>
      </c>
      <c r="K789" s="9">
        <v>72585.0</v>
      </c>
      <c r="L789" s="10">
        <v>1.7611352207756423</v>
      </c>
      <c r="M789" s="9">
        <v>1.7611352207756423</v>
      </c>
      <c r="N789" s="9">
        <v>26296.0</v>
      </c>
      <c r="O789" s="9">
        <v>25896.0</v>
      </c>
      <c r="P789" s="9">
        <v>4571.0</v>
      </c>
      <c r="Q789" s="9">
        <v>98.0</v>
      </c>
      <c r="R789" s="9">
        <v>86.0</v>
      </c>
      <c r="S789" s="9">
        <v>86.0</v>
      </c>
      <c r="T789" s="9">
        <v>28.0</v>
      </c>
      <c r="U789" s="9">
        <v>28.0</v>
      </c>
      <c r="V789" s="9">
        <v>0.0</v>
      </c>
      <c r="W789" s="9">
        <v>0.0</v>
      </c>
      <c r="X789" s="9">
        <v>0.0</v>
      </c>
      <c r="Y789" s="9">
        <v>0.0</v>
      </c>
      <c r="Z789" s="9">
        <v>0.0</v>
      </c>
      <c r="AA789" s="9">
        <v>0.0</v>
      </c>
      <c r="AB789" s="9">
        <v>0.0</v>
      </c>
      <c r="AC789" s="9">
        <v>0.0</v>
      </c>
      <c r="AD789" s="11" t="s">
        <v>314</v>
      </c>
      <c r="AE789" s="9" t="s">
        <v>9</v>
      </c>
    </row>
    <row r="790">
      <c r="A790" s="7" t="s">
        <v>1958</v>
      </c>
      <c r="B790" s="7" t="s">
        <v>1959</v>
      </c>
      <c r="C790" s="8">
        <v>46202.0</v>
      </c>
      <c r="D790" s="8">
        <v>46206.0</v>
      </c>
      <c r="E790" s="7" t="s">
        <v>416</v>
      </c>
      <c r="F790" s="7" t="s">
        <v>466</v>
      </c>
      <c r="G790" s="7" t="s">
        <v>355</v>
      </c>
      <c r="H790" s="9">
        <v>148818.0</v>
      </c>
      <c r="I790" s="9">
        <v>0.0</v>
      </c>
      <c r="J790" s="9">
        <v>428.0</v>
      </c>
      <c r="K790" s="9">
        <v>97301.0</v>
      </c>
      <c r="L790" s="10">
        <v>1.5294601288784289</v>
      </c>
      <c r="M790" s="9">
        <v>1.5294601288784289</v>
      </c>
      <c r="N790" s="9">
        <v>32723.0</v>
      </c>
      <c r="O790" s="9">
        <v>32247.0</v>
      </c>
      <c r="P790" s="9">
        <v>7721.0</v>
      </c>
      <c r="Q790" s="9">
        <v>116.0</v>
      </c>
      <c r="R790" s="9">
        <v>56.0</v>
      </c>
      <c r="S790" s="9">
        <v>56.0</v>
      </c>
      <c r="T790" s="9">
        <v>16.0</v>
      </c>
      <c r="U790" s="9">
        <v>15.0</v>
      </c>
      <c r="V790" s="9">
        <v>0.0</v>
      </c>
      <c r="W790" s="9">
        <v>0.0</v>
      </c>
      <c r="X790" s="9">
        <v>0.0</v>
      </c>
      <c r="Y790" s="9">
        <v>0.0</v>
      </c>
      <c r="Z790" s="9">
        <v>0.0</v>
      </c>
      <c r="AA790" s="9">
        <v>0.0</v>
      </c>
      <c r="AB790" s="9">
        <v>0.0</v>
      </c>
      <c r="AC790" s="9">
        <v>0.0</v>
      </c>
      <c r="AD790" s="11" t="s">
        <v>315</v>
      </c>
      <c r="AE790" s="9" t="s">
        <v>9</v>
      </c>
    </row>
    <row r="791">
      <c r="A791" s="7" t="s">
        <v>1960</v>
      </c>
      <c r="B791" s="7" t="s">
        <v>1961</v>
      </c>
      <c r="C791" s="8">
        <v>46202.0</v>
      </c>
      <c r="D791" s="8">
        <v>46206.0</v>
      </c>
      <c r="E791" s="7" t="s">
        <v>416</v>
      </c>
      <c r="F791" s="7" t="s">
        <v>466</v>
      </c>
      <c r="G791" s="7" t="s">
        <v>355</v>
      </c>
      <c r="H791" s="9">
        <v>623302.0</v>
      </c>
      <c r="I791" s="9">
        <v>0.0</v>
      </c>
      <c r="J791" s="9">
        <v>971.0</v>
      </c>
      <c r="K791" s="9">
        <v>404134.0</v>
      </c>
      <c r="L791" s="10">
        <v>1.5423151726902462</v>
      </c>
      <c r="M791" s="9">
        <v>1.5423151726902462</v>
      </c>
      <c r="N791" s="9">
        <v>64682.0</v>
      </c>
      <c r="O791" s="9">
        <v>63757.0</v>
      </c>
      <c r="P791" s="9">
        <v>10424.0</v>
      </c>
      <c r="Q791" s="9">
        <v>168.0</v>
      </c>
      <c r="R791" s="9">
        <v>125.0</v>
      </c>
      <c r="S791" s="9">
        <v>125.0</v>
      </c>
      <c r="T791" s="9">
        <v>39.0</v>
      </c>
      <c r="U791" s="9">
        <v>39.0</v>
      </c>
      <c r="V791" s="9">
        <v>0.0</v>
      </c>
      <c r="W791" s="9">
        <v>0.0</v>
      </c>
      <c r="X791" s="9">
        <v>0.0</v>
      </c>
      <c r="Y791" s="9">
        <v>0.0</v>
      </c>
      <c r="Z791" s="9">
        <v>0.0</v>
      </c>
      <c r="AA791" s="9">
        <v>0.0</v>
      </c>
      <c r="AB791" s="9">
        <v>0.0</v>
      </c>
      <c r="AC791" s="9">
        <v>0.0</v>
      </c>
      <c r="AD791" s="11" t="s">
        <v>316</v>
      </c>
      <c r="AE791" s="9" t="s">
        <v>9</v>
      </c>
    </row>
    <row r="792">
      <c r="A792" s="7" t="s">
        <v>1962</v>
      </c>
      <c r="B792" s="7" t="s">
        <v>1963</v>
      </c>
      <c r="C792" s="8">
        <v>46202.0</v>
      </c>
      <c r="D792" s="8">
        <v>46206.0</v>
      </c>
      <c r="E792" s="7" t="s">
        <v>416</v>
      </c>
      <c r="F792" s="7" t="s">
        <v>466</v>
      </c>
      <c r="G792" s="7" t="s">
        <v>355</v>
      </c>
      <c r="H792" s="9">
        <v>354890.0</v>
      </c>
      <c r="I792" s="9">
        <v>0.0</v>
      </c>
      <c r="J792" s="9">
        <v>405.0</v>
      </c>
      <c r="K792" s="9">
        <v>299018.0</v>
      </c>
      <c r="L792" s="10">
        <v>1.186851627661211</v>
      </c>
      <c r="M792" s="9">
        <v>1.186851627661211</v>
      </c>
      <c r="N792" s="9">
        <v>57983.0</v>
      </c>
      <c r="O792" s="9">
        <v>57355.0</v>
      </c>
      <c r="P792" s="9">
        <v>15800.0</v>
      </c>
      <c r="Q792" s="9">
        <v>183.0</v>
      </c>
      <c r="R792" s="9">
        <v>79.0</v>
      </c>
      <c r="S792" s="9">
        <v>79.0</v>
      </c>
      <c r="T792" s="9">
        <v>27.0</v>
      </c>
      <c r="U792" s="9">
        <v>24.0</v>
      </c>
      <c r="V792" s="9">
        <v>0.0</v>
      </c>
      <c r="W792" s="9">
        <v>0.0</v>
      </c>
      <c r="X792" s="9">
        <v>0.0</v>
      </c>
      <c r="Y792" s="9">
        <v>0.0</v>
      </c>
      <c r="Z792" s="9">
        <v>0.0</v>
      </c>
      <c r="AA792" s="9">
        <v>0.0</v>
      </c>
      <c r="AB792" s="9">
        <v>0.0</v>
      </c>
      <c r="AC792" s="9">
        <v>0.0</v>
      </c>
      <c r="AD792" s="11" t="s">
        <v>317</v>
      </c>
      <c r="AE792" s="9" t="s">
        <v>9</v>
      </c>
    </row>
    <row r="793">
      <c r="A793" s="7" t="s">
        <v>1964</v>
      </c>
      <c r="B793" s="7" t="s">
        <v>1965</v>
      </c>
      <c r="C793" s="8">
        <v>46205.0</v>
      </c>
      <c r="D793" s="8">
        <v>46205.0</v>
      </c>
      <c r="E793" s="7" t="s">
        <v>358</v>
      </c>
      <c r="F793" s="7" t="s">
        <v>387</v>
      </c>
      <c r="G793" s="7" t="s">
        <v>355</v>
      </c>
      <c r="H793" s="9">
        <v>0.0</v>
      </c>
      <c r="I793" s="9">
        <v>0.0</v>
      </c>
      <c r="J793" s="9">
        <v>0.0</v>
      </c>
      <c r="K793" s="9">
        <v>0.0</v>
      </c>
      <c r="L793" s="10">
        <v>0.0</v>
      </c>
      <c r="M793" s="9">
        <v>0.0</v>
      </c>
      <c r="N793" s="9">
        <v>12663.0</v>
      </c>
      <c r="O793" s="9">
        <v>12486.0</v>
      </c>
      <c r="P793" s="9">
        <v>3587.0</v>
      </c>
      <c r="Q793" s="9">
        <v>128.0</v>
      </c>
      <c r="R793" s="9">
        <v>0.0</v>
      </c>
      <c r="S793" s="9">
        <v>0.0</v>
      </c>
      <c r="T793" s="9">
        <v>0.0</v>
      </c>
      <c r="U793" s="9">
        <v>0.0</v>
      </c>
      <c r="V793" s="9">
        <v>0.0</v>
      </c>
      <c r="W793" s="9">
        <v>0.0</v>
      </c>
      <c r="X793" s="9">
        <v>0.0</v>
      </c>
      <c r="Y793" s="9">
        <v>0.0</v>
      </c>
      <c r="Z793" s="9">
        <v>0.0</v>
      </c>
      <c r="AA793" s="9">
        <v>0.0</v>
      </c>
      <c r="AB793" s="9">
        <v>0.0</v>
      </c>
      <c r="AC793" s="9">
        <v>0.0</v>
      </c>
      <c r="AD793" s="9"/>
      <c r="AE793" s="9" t="s">
        <v>9</v>
      </c>
    </row>
    <row r="794">
      <c r="A794" s="7" t="s">
        <v>1966</v>
      </c>
      <c r="B794" s="7" t="s">
        <v>1967</v>
      </c>
      <c r="C794" s="8">
        <v>46205.0</v>
      </c>
      <c r="D794" s="8">
        <v>46216.0</v>
      </c>
      <c r="E794" s="7" t="s">
        <v>358</v>
      </c>
      <c r="F794" s="7" t="s">
        <v>387</v>
      </c>
      <c r="G794" s="7" t="s">
        <v>355</v>
      </c>
      <c r="H794" s="9">
        <v>0.0</v>
      </c>
      <c r="I794" s="9">
        <v>0.0</v>
      </c>
      <c r="J794" s="9">
        <v>0.0</v>
      </c>
      <c r="K794" s="9">
        <v>0.0</v>
      </c>
      <c r="L794" s="10">
        <v>0.0</v>
      </c>
      <c r="M794" s="9">
        <v>0.0</v>
      </c>
      <c r="N794" s="9">
        <v>2750.0</v>
      </c>
      <c r="O794" s="9">
        <v>2667.0</v>
      </c>
      <c r="P794" s="9">
        <v>599.0</v>
      </c>
      <c r="Q794" s="9">
        <v>43.0</v>
      </c>
      <c r="R794" s="9">
        <v>0.0</v>
      </c>
      <c r="S794" s="9">
        <v>0.0</v>
      </c>
      <c r="T794" s="9">
        <v>0.0</v>
      </c>
      <c r="U794" s="9">
        <v>0.0</v>
      </c>
      <c r="V794" s="9">
        <v>0.0</v>
      </c>
      <c r="W794" s="9">
        <v>0.0</v>
      </c>
      <c r="X794" s="9">
        <v>0.0</v>
      </c>
      <c r="Y794" s="9">
        <v>0.0</v>
      </c>
      <c r="Z794" s="9">
        <v>0.0</v>
      </c>
      <c r="AA794" s="9">
        <v>4275.0</v>
      </c>
      <c r="AB794" s="9">
        <v>3734.0</v>
      </c>
      <c r="AC794" s="9">
        <v>101.0</v>
      </c>
      <c r="AD794" s="9"/>
      <c r="AE794" s="9" t="s">
        <v>9</v>
      </c>
    </row>
    <row r="795">
      <c r="A795" s="7" t="s">
        <v>1968</v>
      </c>
      <c r="B795" s="7" t="s">
        <v>1969</v>
      </c>
      <c r="C795" s="8">
        <v>46205.0</v>
      </c>
      <c r="D795" s="8">
        <v>46205.0</v>
      </c>
      <c r="E795" s="7" t="s">
        <v>358</v>
      </c>
      <c r="F795" s="7" t="s">
        <v>387</v>
      </c>
      <c r="G795" s="7" t="s">
        <v>355</v>
      </c>
      <c r="H795" s="9">
        <v>0.0</v>
      </c>
      <c r="I795" s="9">
        <v>0.0</v>
      </c>
      <c r="J795" s="9">
        <v>0.0</v>
      </c>
      <c r="K795" s="9">
        <v>0.0</v>
      </c>
      <c r="L795" s="10">
        <v>0.0</v>
      </c>
      <c r="M795" s="9">
        <v>0.0</v>
      </c>
      <c r="N795" s="9">
        <v>19033.0</v>
      </c>
      <c r="O795" s="9">
        <v>18832.0</v>
      </c>
      <c r="P795" s="9">
        <v>6338.0</v>
      </c>
      <c r="Q795" s="9">
        <v>288.0</v>
      </c>
      <c r="R795" s="9">
        <v>0.0</v>
      </c>
      <c r="S795" s="9">
        <v>0.0</v>
      </c>
      <c r="T795" s="9">
        <v>0.0</v>
      </c>
      <c r="U795" s="9">
        <v>0.0</v>
      </c>
      <c r="V795" s="9">
        <v>0.0</v>
      </c>
      <c r="W795" s="9">
        <v>0.0</v>
      </c>
      <c r="X795" s="9">
        <v>0.0</v>
      </c>
      <c r="Y795" s="9">
        <v>0.0</v>
      </c>
      <c r="Z795" s="9">
        <v>0.0</v>
      </c>
      <c r="AA795" s="9">
        <v>0.0</v>
      </c>
      <c r="AB795" s="9">
        <v>0.0</v>
      </c>
      <c r="AC795" s="9">
        <v>0.0</v>
      </c>
      <c r="AD795" s="9"/>
      <c r="AE795" s="9" t="s">
        <v>9</v>
      </c>
    </row>
    <row r="796">
      <c r="A796" s="7" t="s">
        <v>1970</v>
      </c>
      <c r="B796" s="7" t="s">
        <v>1971</v>
      </c>
      <c r="C796" s="8">
        <v>46203.0</v>
      </c>
      <c r="D796" s="8">
        <v>46220.0</v>
      </c>
      <c r="E796" s="7" t="s">
        <v>364</v>
      </c>
      <c r="F796" s="7" t="s">
        <v>365</v>
      </c>
      <c r="G796" s="7" t="s">
        <v>355</v>
      </c>
      <c r="H796" s="9">
        <v>5404802.0</v>
      </c>
      <c r="I796" s="9">
        <v>117888.0</v>
      </c>
      <c r="J796" s="9">
        <v>13656.0</v>
      </c>
      <c r="K796" s="9">
        <v>231300.0</v>
      </c>
      <c r="L796" s="10">
        <v>2.6430998702983137</v>
      </c>
      <c r="M796" s="9">
        <v>23.367064418504107</v>
      </c>
      <c r="N796" s="9">
        <v>137861.0</v>
      </c>
      <c r="O796" s="9">
        <v>135963.0</v>
      </c>
      <c r="P796" s="9">
        <v>36103.0</v>
      </c>
      <c r="Q796" s="9">
        <v>596.0</v>
      </c>
      <c r="R796" s="9">
        <v>0.0</v>
      </c>
      <c r="S796" s="9">
        <v>0.0</v>
      </c>
      <c r="T796" s="9">
        <v>0.0</v>
      </c>
      <c r="U796" s="9">
        <v>0.0</v>
      </c>
      <c r="V796" s="9">
        <v>0.0</v>
      </c>
      <c r="W796" s="9">
        <v>0.0</v>
      </c>
      <c r="X796" s="9">
        <v>0.0</v>
      </c>
      <c r="Y796" s="9">
        <v>0.0</v>
      </c>
      <c r="Z796" s="9">
        <v>0.0</v>
      </c>
      <c r="AA796" s="9">
        <v>7891.0</v>
      </c>
      <c r="AB796" s="9">
        <v>7412.0</v>
      </c>
      <c r="AC796" s="9">
        <v>233.0</v>
      </c>
      <c r="AD796" s="12"/>
      <c r="AE796" s="9" t="s">
        <v>9</v>
      </c>
    </row>
    <row r="797">
      <c r="A797" s="7" t="s">
        <v>1972</v>
      </c>
      <c r="B797" s="7" t="s">
        <v>1973</v>
      </c>
      <c r="C797" s="8">
        <v>46205.0</v>
      </c>
      <c r="D797" s="8">
        <v>46224.0</v>
      </c>
      <c r="E797" s="7" t="s">
        <v>358</v>
      </c>
      <c r="F797" s="7" t="s">
        <v>466</v>
      </c>
      <c r="G797" s="7" t="s">
        <v>355</v>
      </c>
      <c r="H797" s="9">
        <v>1.67963E7</v>
      </c>
      <c r="I797" s="9">
        <v>3251030.0</v>
      </c>
      <c r="J797" s="9">
        <v>57348.0</v>
      </c>
      <c r="K797" s="9">
        <v>2634893.0</v>
      </c>
      <c r="L797" s="10">
        <v>2.1016026077719285</v>
      </c>
      <c r="M797" s="9">
        <v>6.374566253734023</v>
      </c>
      <c r="N797" s="9">
        <v>692045.0</v>
      </c>
      <c r="O797" s="9">
        <v>686749.0</v>
      </c>
      <c r="P797" s="9">
        <v>174626.0</v>
      </c>
      <c r="Q797" s="9">
        <v>2957.0</v>
      </c>
      <c r="R797" s="9">
        <v>0.0</v>
      </c>
      <c r="S797" s="9">
        <v>0.0</v>
      </c>
      <c r="T797" s="9">
        <v>0.0</v>
      </c>
      <c r="U797" s="9">
        <v>0.0</v>
      </c>
      <c r="V797" s="9">
        <v>0.0</v>
      </c>
      <c r="W797" s="9">
        <v>0.0</v>
      </c>
      <c r="X797" s="9">
        <v>0.0</v>
      </c>
      <c r="Y797" s="9">
        <v>0.0</v>
      </c>
      <c r="Z797" s="9">
        <v>0.0</v>
      </c>
      <c r="AA797" s="9">
        <v>0.0</v>
      </c>
      <c r="AB797" s="9">
        <v>0.0</v>
      </c>
      <c r="AC797" s="9">
        <v>0.0</v>
      </c>
      <c r="AD797" s="12"/>
      <c r="AE797" s="9" t="s">
        <v>9</v>
      </c>
    </row>
    <row r="798">
      <c r="A798" s="7" t="s">
        <v>1974</v>
      </c>
      <c r="B798" s="7" t="s">
        <v>1975</v>
      </c>
      <c r="C798" s="8">
        <v>46204.0</v>
      </c>
      <c r="D798" s="8">
        <v>46225.0</v>
      </c>
      <c r="E798" s="7" t="s">
        <v>358</v>
      </c>
      <c r="F798" s="7" t="s">
        <v>466</v>
      </c>
      <c r="G798" s="7" t="s">
        <v>410</v>
      </c>
      <c r="H798" s="9">
        <v>1.1666699E7</v>
      </c>
      <c r="I798" s="9">
        <v>3275682.0</v>
      </c>
      <c r="J798" s="9">
        <v>75632.0</v>
      </c>
      <c r="K798" s="9">
        <v>2422026.0</v>
      </c>
      <c r="L798" s="10">
        <v>1.9329635602590558</v>
      </c>
      <c r="M798" s="9">
        <v>4.816917324586937</v>
      </c>
      <c r="N798" s="9">
        <v>693555.0</v>
      </c>
      <c r="O798" s="9">
        <v>689453.0</v>
      </c>
      <c r="P798" s="9">
        <v>180248.0</v>
      </c>
      <c r="Q798" s="9">
        <v>2493.0</v>
      </c>
      <c r="R798" s="9">
        <v>0.0</v>
      </c>
      <c r="S798" s="9">
        <v>0.0</v>
      </c>
      <c r="T798" s="9">
        <v>0.0</v>
      </c>
      <c r="U798" s="9">
        <v>0.0</v>
      </c>
      <c r="V798" s="9">
        <v>0.0</v>
      </c>
      <c r="W798" s="9">
        <v>0.0</v>
      </c>
      <c r="X798" s="9">
        <v>0.0</v>
      </c>
      <c r="Y798" s="9">
        <v>0.0</v>
      </c>
      <c r="Z798" s="9">
        <v>0.0</v>
      </c>
      <c r="AA798" s="9">
        <v>0.0</v>
      </c>
      <c r="AB798" s="9">
        <v>0.0</v>
      </c>
      <c r="AC798" s="9">
        <v>0.0</v>
      </c>
      <c r="AD798" s="12"/>
      <c r="AE798" s="9" t="s">
        <v>9</v>
      </c>
    </row>
    <row r="799">
      <c r="A799" s="7" t="s">
        <v>1976</v>
      </c>
      <c r="B799" s="7" t="s">
        <v>1977</v>
      </c>
      <c r="C799" s="8">
        <v>46203.0</v>
      </c>
      <c r="D799" s="8">
        <v>46210.0</v>
      </c>
      <c r="E799" s="7" t="s">
        <v>416</v>
      </c>
      <c r="F799" s="7" t="s">
        <v>725</v>
      </c>
      <c r="G799" s="7" t="s">
        <v>355</v>
      </c>
      <c r="H799" s="9">
        <v>95575.0</v>
      </c>
      <c r="I799" s="9">
        <v>0.0</v>
      </c>
      <c r="J799" s="9">
        <v>293.0</v>
      </c>
      <c r="K799" s="9">
        <v>68577.0</v>
      </c>
      <c r="L799" s="10">
        <v>1.3936888461145864</v>
      </c>
      <c r="M799" s="9">
        <v>1.3936888461145864</v>
      </c>
      <c r="N799" s="9">
        <v>4098.0</v>
      </c>
      <c r="O799" s="9">
        <v>4018.0</v>
      </c>
      <c r="P799" s="9">
        <v>1378.0</v>
      </c>
      <c r="Q799" s="9">
        <v>39.0</v>
      </c>
      <c r="R799" s="9">
        <v>0.0</v>
      </c>
      <c r="S799" s="9">
        <v>0.0</v>
      </c>
      <c r="T799" s="9">
        <v>0.0</v>
      </c>
      <c r="U799" s="9">
        <v>0.0</v>
      </c>
      <c r="V799" s="9">
        <v>0.0</v>
      </c>
      <c r="W799" s="9">
        <v>0.0</v>
      </c>
      <c r="X799" s="9">
        <v>0.0</v>
      </c>
      <c r="Y799" s="9">
        <v>0.0</v>
      </c>
      <c r="Z799" s="9">
        <v>0.0</v>
      </c>
      <c r="AA799" s="9">
        <v>0.0</v>
      </c>
      <c r="AB799" s="9">
        <v>0.0</v>
      </c>
      <c r="AC799" s="9">
        <v>0.0</v>
      </c>
      <c r="AD799" s="11" t="s">
        <v>310</v>
      </c>
      <c r="AE799" s="9" t="s">
        <v>9</v>
      </c>
    </row>
    <row r="800">
      <c r="A800" s="7" t="s">
        <v>1978</v>
      </c>
      <c r="B800" s="7" t="s">
        <v>1979</v>
      </c>
      <c r="C800" s="8">
        <v>46204.0</v>
      </c>
      <c r="D800" s="8">
        <v>46204.0</v>
      </c>
      <c r="E800" s="7" t="s">
        <v>358</v>
      </c>
      <c r="F800" s="7" t="s">
        <v>365</v>
      </c>
      <c r="G800" s="7" t="s">
        <v>355</v>
      </c>
      <c r="H800" s="9">
        <v>0.0</v>
      </c>
      <c r="I800" s="9">
        <v>0.0</v>
      </c>
      <c r="J800" s="9">
        <v>0.0</v>
      </c>
      <c r="K800" s="9">
        <v>0.0</v>
      </c>
      <c r="L800" s="10">
        <v>0.0</v>
      </c>
      <c r="M800" s="9">
        <v>0.0</v>
      </c>
      <c r="N800" s="9">
        <v>12379.0</v>
      </c>
      <c r="O800" s="9">
        <v>12272.0</v>
      </c>
      <c r="P800" s="9">
        <v>4201.0</v>
      </c>
      <c r="Q800" s="9">
        <v>558.0</v>
      </c>
      <c r="R800" s="9">
        <v>0.0</v>
      </c>
      <c r="S800" s="9">
        <v>0.0</v>
      </c>
      <c r="T800" s="9">
        <v>0.0</v>
      </c>
      <c r="U800" s="9">
        <v>0.0</v>
      </c>
      <c r="V800" s="9">
        <v>0.0</v>
      </c>
      <c r="W800" s="9">
        <v>0.0</v>
      </c>
      <c r="X800" s="9">
        <v>0.0</v>
      </c>
      <c r="Y800" s="9">
        <v>0.0</v>
      </c>
      <c r="Z800" s="9">
        <v>0.0</v>
      </c>
      <c r="AA800" s="9">
        <v>0.0</v>
      </c>
      <c r="AB800" s="9">
        <v>0.0</v>
      </c>
      <c r="AC800" s="9">
        <v>0.0</v>
      </c>
      <c r="AD800" s="9"/>
      <c r="AE800" s="9" t="s">
        <v>9</v>
      </c>
    </row>
    <row r="801">
      <c r="A801" s="7" t="s">
        <v>1980</v>
      </c>
      <c r="B801" s="7" t="s">
        <v>1981</v>
      </c>
      <c r="C801" s="8">
        <v>46204.0</v>
      </c>
      <c r="D801" s="8">
        <v>46206.0</v>
      </c>
      <c r="E801" s="7" t="s">
        <v>353</v>
      </c>
      <c r="F801" s="7" t="s">
        <v>725</v>
      </c>
      <c r="G801" s="7" t="s">
        <v>355</v>
      </c>
      <c r="H801" s="9">
        <v>0.0</v>
      </c>
      <c r="I801" s="9">
        <v>0.0</v>
      </c>
      <c r="J801" s="9">
        <v>0.0</v>
      </c>
      <c r="K801" s="9">
        <v>0.0</v>
      </c>
      <c r="L801" s="10">
        <v>0.0</v>
      </c>
      <c r="M801" s="9">
        <v>0.0</v>
      </c>
      <c r="N801" s="9">
        <v>228269.0</v>
      </c>
      <c r="O801" s="9">
        <v>226021.0</v>
      </c>
      <c r="P801" s="9">
        <v>74987.0</v>
      </c>
      <c r="Q801" s="9">
        <v>2302.0</v>
      </c>
      <c r="R801" s="9">
        <v>0.0</v>
      </c>
      <c r="S801" s="9">
        <v>0.0</v>
      </c>
      <c r="T801" s="9">
        <v>0.0</v>
      </c>
      <c r="U801" s="9">
        <v>0.0</v>
      </c>
      <c r="V801" s="9">
        <v>0.0</v>
      </c>
      <c r="W801" s="9">
        <v>0.0</v>
      </c>
      <c r="X801" s="9">
        <v>0.0</v>
      </c>
      <c r="Y801" s="9">
        <v>0.0</v>
      </c>
      <c r="Z801" s="9">
        <v>0.0</v>
      </c>
      <c r="AA801" s="9">
        <v>0.0</v>
      </c>
      <c r="AB801" s="9">
        <v>0.0</v>
      </c>
      <c r="AC801" s="9">
        <v>0.0</v>
      </c>
      <c r="AD801" s="9"/>
      <c r="AE801" s="9" t="s">
        <v>9</v>
      </c>
    </row>
    <row r="802">
      <c r="A802" s="7" t="s">
        <v>1982</v>
      </c>
      <c r="B802" s="7" t="s">
        <v>1983</v>
      </c>
      <c r="C802" s="8">
        <v>46216.0</v>
      </c>
      <c r="D802" s="8">
        <v>46216.0</v>
      </c>
      <c r="E802" s="7" t="s">
        <v>416</v>
      </c>
      <c r="F802" s="7" t="s">
        <v>430</v>
      </c>
      <c r="G802" s="7" t="s">
        <v>355</v>
      </c>
      <c r="H802" s="9">
        <v>0.0</v>
      </c>
      <c r="I802" s="9">
        <v>0.0</v>
      </c>
      <c r="J802" s="9">
        <v>0.0</v>
      </c>
      <c r="K802" s="9">
        <v>0.0</v>
      </c>
      <c r="L802" s="10">
        <v>0.0</v>
      </c>
      <c r="M802" s="9">
        <v>0.0</v>
      </c>
      <c r="N802" s="9">
        <v>83744.0</v>
      </c>
      <c r="O802" s="9">
        <v>82568.0</v>
      </c>
      <c r="P802" s="9">
        <v>23165.0</v>
      </c>
      <c r="Q802" s="9">
        <v>1016.0</v>
      </c>
      <c r="R802" s="9">
        <v>0.0</v>
      </c>
      <c r="S802" s="9">
        <v>0.0</v>
      </c>
      <c r="T802" s="9">
        <v>0.0</v>
      </c>
      <c r="U802" s="9">
        <v>0.0</v>
      </c>
      <c r="V802" s="9">
        <v>0.0</v>
      </c>
      <c r="W802" s="9">
        <v>0.0</v>
      </c>
      <c r="X802" s="9">
        <v>0.0</v>
      </c>
      <c r="Y802" s="9">
        <v>0.0</v>
      </c>
      <c r="Z802" s="9">
        <v>0.0</v>
      </c>
      <c r="AA802" s="9">
        <v>0.0</v>
      </c>
      <c r="AB802" s="9">
        <v>0.0</v>
      </c>
      <c r="AC802" s="9">
        <v>0.0</v>
      </c>
      <c r="AD802" s="9"/>
      <c r="AE802" s="9" t="s">
        <v>9</v>
      </c>
    </row>
    <row r="803">
      <c r="A803" s="7" t="s">
        <v>1984</v>
      </c>
      <c r="B803" s="7" t="s">
        <v>1985</v>
      </c>
      <c r="C803" s="8">
        <v>46220.0</v>
      </c>
      <c r="D803" s="8">
        <v>46230.0</v>
      </c>
      <c r="E803" s="7" t="s">
        <v>416</v>
      </c>
      <c r="F803" s="7" t="s">
        <v>417</v>
      </c>
      <c r="G803" s="7" t="s">
        <v>410</v>
      </c>
      <c r="H803" s="9">
        <v>1347357.0</v>
      </c>
      <c r="I803" s="9">
        <v>0.0</v>
      </c>
      <c r="J803" s="9">
        <v>9151.0</v>
      </c>
      <c r="K803" s="9">
        <v>139749.0</v>
      </c>
      <c r="L803" s="10">
        <v>1.5639467903169253</v>
      </c>
      <c r="M803" s="9">
        <v>9.641263980422043</v>
      </c>
      <c r="N803" s="9">
        <v>277445.0</v>
      </c>
      <c r="O803" s="9">
        <v>273543.0</v>
      </c>
      <c r="P803" s="9">
        <v>49242.0</v>
      </c>
      <c r="Q803" s="9">
        <v>1658.0</v>
      </c>
      <c r="R803" s="9">
        <v>0.0</v>
      </c>
      <c r="S803" s="9">
        <v>0.0</v>
      </c>
      <c r="T803" s="9">
        <v>0.0</v>
      </c>
      <c r="U803" s="9">
        <v>0.0</v>
      </c>
      <c r="V803" s="9">
        <v>0.0</v>
      </c>
      <c r="W803" s="9">
        <v>0.0</v>
      </c>
      <c r="X803" s="9">
        <v>0.0</v>
      </c>
      <c r="Y803" s="9">
        <v>0.0</v>
      </c>
      <c r="Z803" s="9">
        <v>0.0</v>
      </c>
      <c r="AA803" s="9">
        <v>0.0</v>
      </c>
      <c r="AB803" s="9">
        <v>0.0</v>
      </c>
      <c r="AC803" s="9">
        <v>0.0</v>
      </c>
      <c r="AD803" s="9"/>
      <c r="AE803" s="9" t="s">
        <v>9</v>
      </c>
    </row>
    <row r="804">
      <c r="A804" s="7" t="s">
        <v>1986</v>
      </c>
      <c r="B804" s="7" t="s">
        <v>1987</v>
      </c>
      <c r="C804" s="8">
        <v>46206.0</v>
      </c>
      <c r="D804" s="8">
        <v>46211.0</v>
      </c>
      <c r="E804" s="7" t="s">
        <v>404</v>
      </c>
      <c r="F804" s="7" t="s">
        <v>783</v>
      </c>
      <c r="G804" s="7" t="s">
        <v>355</v>
      </c>
      <c r="H804" s="9">
        <v>1145289.0</v>
      </c>
      <c r="I804" s="9">
        <v>0.0</v>
      </c>
      <c r="J804" s="9">
        <v>13679.0</v>
      </c>
      <c r="K804" s="9">
        <v>151781.0</v>
      </c>
      <c r="L804" s="10">
        <v>2.0224270494989494</v>
      </c>
      <c r="M804" s="9">
        <v>7.545667771328427</v>
      </c>
      <c r="N804" s="9">
        <v>140891.0</v>
      </c>
      <c r="O804" s="9">
        <v>138772.0</v>
      </c>
      <c r="P804" s="9">
        <v>24818.0</v>
      </c>
      <c r="Q804" s="9">
        <v>3614.0</v>
      </c>
      <c r="R804" s="9">
        <v>0.0</v>
      </c>
      <c r="S804" s="9">
        <v>0.0</v>
      </c>
      <c r="T804" s="9">
        <v>0.0</v>
      </c>
      <c r="U804" s="9">
        <v>0.0</v>
      </c>
      <c r="V804" s="9">
        <v>0.0</v>
      </c>
      <c r="W804" s="9">
        <v>0.0</v>
      </c>
      <c r="X804" s="9">
        <v>0.0</v>
      </c>
      <c r="Y804" s="9">
        <v>0.0</v>
      </c>
      <c r="Z804" s="9">
        <v>0.0</v>
      </c>
      <c r="AA804" s="9">
        <v>0.0</v>
      </c>
      <c r="AB804" s="9">
        <v>0.0</v>
      </c>
      <c r="AC804" s="9">
        <v>0.0</v>
      </c>
      <c r="AD804" s="9"/>
      <c r="AE804" s="9" t="s">
        <v>9</v>
      </c>
    </row>
    <row r="805">
      <c r="A805" s="7" t="s">
        <v>1988</v>
      </c>
      <c r="B805" s="7" t="s">
        <v>1989</v>
      </c>
      <c r="C805" s="8">
        <v>46204.0</v>
      </c>
      <c r="D805" s="8">
        <v>46205.0</v>
      </c>
      <c r="E805" s="7" t="s">
        <v>364</v>
      </c>
      <c r="F805" s="7" t="s">
        <v>365</v>
      </c>
      <c r="G805" s="7" t="s">
        <v>355</v>
      </c>
      <c r="H805" s="9">
        <v>1958.0</v>
      </c>
      <c r="I805" s="9">
        <v>0.0</v>
      </c>
      <c r="J805" s="9">
        <v>78.0</v>
      </c>
      <c r="K805" s="9">
        <v>1958.0</v>
      </c>
      <c r="L805" s="10">
        <v>1.0</v>
      </c>
      <c r="M805" s="9">
        <v>1.0</v>
      </c>
      <c r="N805" s="9">
        <v>0.0</v>
      </c>
      <c r="O805" s="9">
        <v>0.0</v>
      </c>
      <c r="P805" s="9">
        <v>0.0</v>
      </c>
      <c r="Q805" s="9">
        <v>0.0</v>
      </c>
      <c r="R805" s="9">
        <v>0.0</v>
      </c>
      <c r="S805" s="9">
        <v>0.0</v>
      </c>
      <c r="T805" s="9">
        <v>0.0</v>
      </c>
      <c r="U805" s="9">
        <v>0.0</v>
      </c>
      <c r="V805" s="9">
        <v>0.0</v>
      </c>
      <c r="W805" s="9">
        <v>0.0</v>
      </c>
      <c r="X805" s="9">
        <v>0.0</v>
      </c>
      <c r="Y805" s="9">
        <v>0.0</v>
      </c>
      <c r="Z805" s="9">
        <v>0.0</v>
      </c>
      <c r="AA805" s="9">
        <v>0.0</v>
      </c>
      <c r="AB805" s="9">
        <v>0.0</v>
      </c>
      <c r="AC805" s="9">
        <v>0.0</v>
      </c>
      <c r="AD805" s="9"/>
      <c r="AE805" s="9"/>
    </row>
    <row r="806">
      <c r="A806" s="7" t="s">
        <v>1990</v>
      </c>
      <c r="B806" s="7" t="s">
        <v>1991</v>
      </c>
      <c r="C806" s="8">
        <v>46218.0</v>
      </c>
      <c r="D806" s="8">
        <v>46218.0</v>
      </c>
      <c r="E806" s="7" t="s">
        <v>416</v>
      </c>
      <c r="F806" s="7" t="s">
        <v>430</v>
      </c>
      <c r="G806" s="7" t="s">
        <v>355</v>
      </c>
      <c r="H806" s="9">
        <v>0.0</v>
      </c>
      <c r="I806" s="9">
        <v>0.0</v>
      </c>
      <c r="J806" s="9">
        <v>0.0</v>
      </c>
      <c r="K806" s="9">
        <v>0.0</v>
      </c>
      <c r="L806" s="10">
        <v>0.0</v>
      </c>
      <c r="M806" s="9">
        <v>0.0</v>
      </c>
      <c r="N806" s="9">
        <v>139406.0</v>
      </c>
      <c r="O806" s="9">
        <v>121938.0</v>
      </c>
      <c r="P806" s="9">
        <v>32669.0</v>
      </c>
      <c r="Q806" s="9">
        <v>1684.0</v>
      </c>
      <c r="R806" s="9">
        <v>0.0</v>
      </c>
      <c r="S806" s="9">
        <v>0.0</v>
      </c>
      <c r="T806" s="9">
        <v>0.0</v>
      </c>
      <c r="U806" s="9">
        <v>0.0</v>
      </c>
      <c r="V806" s="9">
        <v>0.0</v>
      </c>
      <c r="W806" s="9">
        <v>0.0</v>
      </c>
      <c r="X806" s="9">
        <v>0.0</v>
      </c>
      <c r="Y806" s="9">
        <v>0.0</v>
      </c>
      <c r="Z806" s="9">
        <v>0.0</v>
      </c>
      <c r="AA806" s="9">
        <v>0.0</v>
      </c>
      <c r="AB806" s="9">
        <v>0.0</v>
      </c>
      <c r="AC806" s="9">
        <v>0.0</v>
      </c>
      <c r="AD806" s="9"/>
      <c r="AE806" s="9" t="s">
        <v>9</v>
      </c>
    </row>
    <row r="807">
      <c r="A807" s="7" t="s">
        <v>1992</v>
      </c>
      <c r="B807" s="7" t="s">
        <v>1993</v>
      </c>
      <c r="C807" s="8">
        <v>46206.0</v>
      </c>
      <c r="D807" s="8">
        <v>46216.0</v>
      </c>
      <c r="E807" s="7" t="s">
        <v>416</v>
      </c>
      <c r="F807" s="7" t="s">
        <v>413</v>
      </c>
      <c r="G807" s="7" t="s">
        <v>355</v>
      </c>
      <c r="H807" s="9">
        <v>135430.0</v>
      </c>
      <c r="I807" s="9">
        <v>0.0</v>
      </c>
      <c r="J807" s="9">
        <v>550.0</v>
      </c>
      <c r="K807" s="9"/>
      <c r="L807" s="10">
        <v>0.0</v>
      </c>
      <c r="M807" s="9">
        <v>0.0</v>
      </c>
      <c r="N807" s="9">
        <v>62043.0</v>
      </c>
      <c r="O807" s="9">
        <v>61054.0</v>
      </c>
      <c r="P807" s="9">
        <v>6833.0</v>
      </c>
      <c r="Q807" s="9">
        <v>91.0</v>
      </c>
      <c r="R807" s="9">
        <v>52.0</v>
      </c>
      <c r="S807" s="9">
        <v>52.0</v>
      </c>
      <c r="T807" s="9">
        <v>12.0</v>
      </c>
      <c r="U807" s="9">
        <v>12.0</v>
      </c>
      <c r="V807" s="9">
        <v>0.0</v>
      </c>
      <c r="W807" s="9">
        <v>0.0</v>
      </c>
      <c r="X807" s="9">
        <v>0.0</v>
      </c>
      <c r="Y807" s="9">
        <v>0.0</v>
      </c>
      <c r="Z807" s="9">
        <v>0.0</v>
      </c>
      <c r="AA807" s="9">
        <v>0.0</v>
      </c>
      <c r="AB807" s="9">
        <v>0.0</v>
      </c>
      <c r="AC807" s="9">
        <v>0.0</v>
      </c>
      <c r="AD807" s="9"/>
      <c r="AE807" s="9" t="s">
        <v>9</v>
      </c>
    </row>
    <row r="808">
      <c r="A808" s="7" t="s">
        <v>1994</v>
      </c>
      <c r="B808" s="7" t="s">
        <v>1995</v>
      </c>
      <c r="C808" s="8">
        <v>46206.0</v>
      </c>
      <c r="D808" s="8">
        <v>46216.0</v>
      </c>
      <c r="E808" s="7" t="s">
        <v>416</v>
      </c>
      <c r="F808" s="7" t="s">
        <v>466</v>
      </c>
      <c r="G808" s="7" t="s">
        <v>355</v>
      </c>
      <c r="H808" s="9">
        <v>129266.0</v>
      </c>
      <c r="I808" s="9">
        <v>0.0</v>
      </c>
      <c r="J808" s="9">
        <v>471.0</v>
      </c>
      <c r="K808" s="9">
        <v>77784.0</v>
      </c>
      <c r="L808" s="10">
        <v>1.6618584798930371</v>
      </c>
      <c r="M808" s="9">
        <v>1.6618584798930371</v>
      </c>
      <c r="N808" s="9">
        <v>101748.0</v>
      </c>
      <c r="O808" s="9">
        <v>101355.0</v>
      </c>
      <c r="P808" s="9">
        <v>24316.0</v>
      </c>
      <c r="Q808" s="9">
        <v>354.0</v>
      </c>
      <c r="R808" s="9">
        <v>195.0</v>
      </c>
      <c r="S808" s="9">
        <v>195.0</v>
      </c>
      <c r="T808" s="9">
        <v>71.0</v>
      </c>
      <c r="U808" s="9">
        <v>68.0</v>
      </c>
      <c r="V808" s="9">
        <v>0.0</v>
      </c>
      <c r="W808" s="9">
        <v>0.0</v>
      </c>
      <c r="X808" s="9">
        <v>0.0</v>
      </c>
      <c r="Y808" s="9">
        <v>0.0</v>
      </c>
      <c r="Z808" s="9">
        <v>0.0</v>
      </c>
      <c r="AA808" s="9">
        <v>0.0</v>
      </c>
      <c r="AB808" s="9">
        <v>0.0</v>
      </c>
      <c r="AC808" s="9">
        <v>0.0</v>
      </c>
      <c r="AD808" s="9"/>
      <c r="AE808" s="9" t="s">
        <v>9</v>
      </c>
    </row>
    <row r="809">
      <c r="A809" s="7" t="s">
        <v>1996</v>
      </c>
      <c r="B809" s="7" t="s">
        <v>1997</v>
      </c>
      <c r="C809" s="8">
        <v>46206.0</v>
      </c>
      <c r="D809" s="8">
        <v>46216.0</v>
      </c>
      <c r="E809" s="7" t="s">
        <v>416</v>
      </c>
      <c r="F809" s="7" t="s">
        <v>359</v>
      </c>
      <c r="G809" s="7" t="s">
        <v>355</v>
      </c>
      <c r="H809" s="9">
        <v>123263.0</v>
      </c>
      <c r="I809" s="9">
        <v>0.0</v>
      </c>
      <c r="J809" s="9">
        <v>450.0</v>
      </c>
      <c r="K809" s="9">
        <v>87071.0</v>
      </c>
      <c r="L809" s="10">
        <v>1.4156607825797338</v>
      </c>
      <c r="M809" s="9">
        <v>1.4156607825797338</v>
      </c>
      <c r="N809" s="9">
        <v>74941.0</v>
      </c>
      <c r="O809" s="9">
        <v>74253.0</v>
      </c>
      <c r="P809" s="9">
        <v>11290.0</v>
      </c>
      <c r="Q809" s="9">
        <v>204.0</v>
      </c>
      <c r="R809" s="9">
        <v>160.0</v>
      </c>
      <c r="S809" s="9">
        <v>80.0</v>
      </c>
      <c r="T809" s="9">
        <v>35.0</v>
      </c>
      <c r="U809" s="9">
        <v>34.0</v>
      </c>
      <c r="V809" s="9">
        <v>0.0</v>
      </c>
      <c r="W809" s="9">
        <v>0.0</v>
      </c>
      <c r="X809" s="9">
        <v>0.0</v>
      </c>
      <c r="Y809" s="9">
        <v>0.0</v>
      </c>
      <c r="Z809" s="9">
        <v>0.0</v>
      </c>
      <c r="AA809" s="9">
        <v>0.0</v>
      </c>
      <c r="AB809" s="9">
        <v>0.0</v>
      </c>
      <c r="AC809" s="9">
        <v>0.0</v>
      </c>
      <c r="AD809" s="11" t="s">
        <v>318</v>
      </c>
      <c r="AE809" s="9" t="s">
        <v>9</v>
      </c>
    </row>
    <row r="810">
      <c r="A810" s="7" t="s">
        <v>1998</v>
      </c>
      <c r="B810" s="7" t="s">
        <v>1999</v>
      </c>
      <c r="C810" s="8">
        <v>46206.0</v>
      </c>
      <c r="D810" s="8">
        <v>46216.0</v>
      </c>
      <c r="E810" s="7" t="s">
        <v>416</v>
      </c>
      <c r="F810" s="7" t="s">
        <v>354</v>
      </c>
      <c r="G810" s="7" t="s">
        <v>355</v>
      </c>
      <c r="H810" s="9">
        <v>182974.0</v>
      </c>
      <c r="I810" s="9">
        <v>0.0</v>
      </c>
      <c r="J810" s="9">
        <v>530.0</v>
      </c>
      <c r="K810" s="9">
        <v>112629.0</v>
      </c>
      <c r="L810" s="10">
        <v>1.6245727121789237</v>
      </c>
      <c r="M810" s="9">
        <v>1.6245727121789237</v>
      </c>
      <c r="N810" s="9">
        <v>18915.0</v>
      </c>
      <c r="O810" s="9">
        <v>18600.0</v>
      </c>
      <c r="P810" s="9">
        <v>1869.0</v>
      </c>
      <c r="Q810" s="9">
        <v>35.0</v>
      </c>
      <c r="R810" s="9">
        <v>27.0</v>
      </c>
      <c r="S810" s="9">
        <v>27.0</v>
      </c>
      <c r="T810" s="9">
        <v>8.0</v>
      </c>
      <c r="U810" s="9">
        <v>8.0</v>
      </c>
      <c r="V810" s="9">
        <v>0.0</v>
      </c>
      <c r="W810" s="9">
        <v>0.0</v>
      </c>
      <c r="X810" s="9">
        <v>0.0</v>
      </c>
      <c r="Y810" s="9">
        <v>0.0</v>
      </c>
      <c r="Z810" s="9">
        <v>0.0</v>
      </c>
      <c r="AA810" s="9">
        <v>0.0</v>
      </c>
      <c r="AB810" s="9">
        <v>0.0</v>
      </c>
      <c r="AC810" s="9">
        <v>0.0</v>
      </c>
      <c r="AD810" s="11" t="s">
        <v>319</v>
      </c>
      <c r="AE810" s="9" t="s">
        <v>9</v>
      </c>
    </row>
    <row r="811">
      <c r="A811" s="7" t="s">
        <v>2000</v>
      </c>
      <c r="B811" s="7" t="s">
        <v>2001</v>
      </c>
      <c r="C811" s="8">
        <v>46220.0</v>
      </c>
      <c r="D811" s="8">
        <v>46234.0</v>
      </c>
      <c r="E811" s="7" t="s">
        <v>353</v>
      </c>
      <c r="F811" s="7" t="s">
        <v>378</v>
      </c>
      <c r="G811" s="7" t="s">
        <v>410</v>
      </c>
      <c r="H811" s="9">
        <v>1864673.0</v>
      </c>
      <c r="I811" s="9">
        <v>21136.0</v>
      </c>
      <c r="J811" s="9">
        <v>5133.0</v>
      </c>
      <c r="K811" s="9">
        <v>185549.0</v>
      </c>
      <c r="L811" s="10">
        <v>1.4411449266770502</v>
      </c>
      <c r="M811" s="9">
        <v>10.049490970040258</v>
      </c>
      <c r="N811" s="9">
        <v>128424.0</v>
      </c>
      <c r="O811" s="9">
        <v>127036.0</v>
      </c>
      <c r="P811" s="9">
        <v>25116.0</v>
      </c>
      <c r="Q811" s="9">
        <v>159.0</v>
      </c>
      <c r="R811" s="9">
        <v>0.0</v>
      </c>
      <c r="S811" s="9">
        <v>0.0</v>
      </c>
      <c r="T811" s="9">
        <v>0.0</v>
      </c>
      <c r="U811" s="9">
        <v>0.0</v>
      </c>
      <c r="V811" s="9">
        <v>0.0</v>
      </c>
      <c r="W811" s="9">
        <v>0.0</v>
      </c>
      <c r="X811" s="9">
        <v>0.0</v>
      </c>
      <c r="Y811" s="9">
        <v>0.0</v>
      </c>
      <c r="Z811" s="9">
        <v>0.0</v>
      </c>
      <c r="AA811" s="9">
        <v>0.0</v>
      </c>
      <c r="AB811" s="9">
        <v>0.0</v>
      </c>
      <c r="AC811" s="9">
        <v>0.0</v>
      </c>
      <c r="AD811" s="9"/>
      <c r="AE811" s="9" t="s">
        <v>9</v>
      </c>
    </row>
    <row r="812">
      <c r="A812" s="7" t="s">
        <v>2002</v>
      </c>
      <c r="B812" s="7" t="s">
        <v>2003</v>
      </c>
      <c r="C812" s="8">
        <v>46217.0</v>
      </c>
      <c r="D812" s="8">
        <v>46231.0</v>
      </c>
      <c r="E812" s="7" t="s">
        <v>353</v>
      </c>
      <c r="F812" s="7" t="s">
        <v>378</v>
      </c>
      <c r="G812" s="7" t="s">
        <v>410</v>
      </c>
      <c r="H812" s="9">
        <v>1719948.0</v>
      </c>
      <c r="I812" s="9">
        <v>0.0</v>
      </c>
      <c r="J812" s="9">
        <v>7845.0</v>
      </c>
      <c r="K812" s="9">
        <v>284206.0</v>
      </c>
      <c r="L812" s="10">
        <v>1.4334848666108386</v>
      </c>
      <c r="M812" s="9">
        <v>6.051765268854282</v>
      </c>
      <c r="N812" s="9">
        <v>0.0</v>
      </c>
      <c r="O812" s="9">
        <v>0.0</v>
      </c>
      <c r="P812" s="9">
        <v>0.0</v>
      </c>
      <c r="Q812" s="9">
        <v>0.0</v>
      </c>
      <c r="R812" s="9">
        <v>0.0</v>
      </c>
      <c r="S812" s="9">
        <v>0.0</v>
      </c>
      <c r="T812" s="9">
        <v>0.0</v>
      </c>
      <c r="U812" s="9">
        <v>0.0</v>
      </c>
      <c r="V812" s="9">
        <v>0.0</v>
      </c>
      <c r="W812" s="9">
        <v>0.0</v>
      </c>
      <c r="X812" s="9">
        <v>0.0</v>
      </c>
      <c r="Y812" s="9">
        <v>0.0</v>
      </c>
      <c r="Z812" s="9">
        <v>0.0</v>
      </c>
      <c r="AA812" s="9">
        <v>0.0</v>
      </c>
      <c r="AB812" s="9">
        <v>0.0</v>
      </c>
      <c r="AC812" s="9">
        <v>0.0</v>
      </c>
      <c r="AD812" s="11" t="s">
        <v>320</v>
      </c>
      <c r="AE812" s="9"/>
    </row>
    <row r="813">
      <c r="A813" s="7" t="s">
        <v>2004</v>
      </c>
      <c r="B813" s="7" t="s">
        <v>2005</v>
      </c>
      <c r="C813" s="8">
        <v>46206.0</v>
      </c>
      <c r="D813" s="8">
        <v>46227.0</v>
      </c>
      <c r="E813" s="7" t="s">
        <v>358</v>
      </c>
      <c r="F813" s="7" t="s">
        <v>466</v>
      </c>
      <c r="G813" s="7" t="s">
        <v>410</v>
      </c>
      <c r="H813" s="9">
        <v>1.6809605E7</v>
      </c>
      <c r="I813" s="9">
        <v>8410191.0</v>
      </c>
      <c r="J813" s="9">
        <v>14122.0</v>
      </c>
      <c r="K813" s="9">
        <v>3334161.0</v>
      </c>
      <c r="L813" s="10">
        <v>1.670452026761755</v>
      </c>
      <c r="M813" s="9">
        <v>5.041629663354589</v>
      </c>
      <c r="N813" s="9">
        <v>328108.0</v>
      </c>
      <c r="O813" s="9">
        <v>326964.0</v>
      </c>
      <c r="P813" s="9">
        <v>136210.0</v>
      </c>
      <c r="Q813" s="9">
        <v>812.0</v>
      </c>
      <c r="R813" s="9">
        <v>0.0</v>
      </c>
      <c r="S813" s="9">
        <v>0.0</v>
      </c>
      <c r="T813" s="9">
        <v>0.0</v>
      </c>
      <c r="U813" s="9">
        <v>0.0</v>
      </c>
      <c r="V813" s="9">
        <v>0.0</v>
      </c>
      <c r="W813" s="9">
        <v>0.0</v>
      </c>
      <c r="X813" s="9">
        <v>0.0</v>
      </c>
      <c r="Y813" s="9">
        <v>0.0</v>
      </c>
      <c r="Z813" s="9">
        <v>0.0</v>
      </c>
      <c r="AA813" s="9">
        <v>0.0</v>
      </c>
      <c r="AB813" s="9">
        <v>0.0</v>
      </c>
      <c r="AC813" s="9">
        <v>0.0</v>
      </c>
      <c r="AD813" s="9"/>
      <c r="AE813" s="9" t="s">
        <v>9</v>
      </c>
    </row>
    <row r="814">
      <c r="A814" s="7" t="s">
        <v>2006</v>
      </c>
      <c r="B814" s="7" t="s">
        <v>2007</v>
      </c>
      <c r="C814" s="8">
        <v>46211.0</v>
      </c>
      <c r="D814" s="8">
        <v>46223.0</v>
      </c>
      <c r="E814" s="7" t="s">
        <v>404</v>
      </c>
      <c r="F814" s="7" t="s">
        <v>760</v>
      </c>
      <c r="G814" s="7" t="s">
        <v>355</v>
      </c>
      <c r="H814" s="9">
        <v>3561803.0</v>
      </c>
      <c r="I814" s="9">
        <v>0.0</v>
      </c>
      <c r="J814" s="9">
        <v>23437.0</v>
      </c>
      <c r="K814" s="9">
        <v>93709.0</v>
      </c>
      <c r="L814" s="10">
        <v>1.9779210107887182</v>
      </c>
      <c r="M814" s="9">
        <v>38.00918801822664</v>
      </c>
      <c r="N814" s="9">
        <v>72375.0</v>
      </c>
      <c r="O814" s="9">
        <v>71995.0</v>
      </c>
      <c r="P814" s="9">
        <v>20934.0</v>
      </c>
      <c r="Q814" s="9">
        <v>1349.0</v>
      </c>
      <c r="R814" s="9">
        <v>0.0</v>
      </c>
      <c r="S814" s="9">
        <v>0.0</v>
      </c>
      <c r="T814" s="9">
        <v>0.0</v>
      </c>
      <c r="U814" s="9">
        <v>0.0</v>
      </c>
      <c r="V814" s="9">
        <v>0.0</v>
      </c>
      <c r="W814" s="9">
        <v>0.0</v>
      </c>
      <c r="X814" s="9">
        <v>0.0</v>
      </c>
      <c r="Y814" s="9">
        <v>0.0</v>
      </c>
      <c r="Z814" s="9">
        <v>0.0</v>
      </c>
      <c r="AA814" s="9">
        <v>0.0</v>
      </c>
      <c r="AB814" s="9">
        <v>0.0</v>
      </c>
      <c r="AC814" s="9">
        <v>0.0</v>
      </c>
      <c r="AD814" s="12"/>
      <c r="AE814" s="9" t="s">
        <v>9</v>
      </c>
    </row>
    <row r="815">
      <c r="A815" s="7" t="s">
        <v>2008</v>
      </c>
      <c r="B815" s="7" t="s">
        <v>2009</v>
      </c>
      <c r="C815" s="8">
        <v>46217.0</v>
      </c>
      <c r="D815" s="8">
        <v>46234.0</v>
      </c>
      <c r="E815" s="7" t="s">
        <v>358</v>
      </c>
      <c r="F815" s="7" t="s">
        <v>466</v>
      </c>
      <c r="G815" s="7" t="s">
        <v>410</v>
      </c>
      <c r="H815" s="9">
        <v>1.7734576E7</v>
      </c>
      <c r="I815" s="9">
        <v>6175573.0</v>
      </c>
      <c r="J815" s="9">
        <v>16307.0</v>
      </c>
      <c r="K815" s="9">
        <v>2528174.0</v>
      </c>
      <c r="L815" s="10">
        <v>1.5513382385864265</v>
      </c>
      <c r="M815" s="9">
        <v>7.014776672808122</v>
      </c>
      <c r="N815" s="9">
        <v>299267.0</v>
      </c>
      <c r="O815" s="9">
        <v>295827.0</v>
      </c>
      <c r="P815" s="9">
        <v>155836.0</v>
      </c>
      <c r="Q815" s="9">
        <v>743.0</v>
      </c>
      <c r="R815" s="9">
        <v>0.0</v>
      </c>
      <c r="S815" s="9">
        <v>0.0</v>
      </c>
      <c r="T815" s="9">
        <v>0.0</v>
      </c>
      <c r="U815" s="9">
        <v>0.0</v>
      </c>
      <c r="V815" s="9">
        <v>0.0</v>
      </c>
      <c r="W815" s="9">
        <v>0.0</v>
      </c>
      <c r="X815" s="9">
        <v>0.0</v>
      </c>
      <c r="Y815" s="9">
        <v>0.0</v>
      </c>
      <c r="Z815" s="9">
        <v>0.0</v>
      </c>
      <c r="AA815" s="9">
        <v>0.0</v>
      </c>
      <c r="AB815" s="9">
        <v>0.0</v>
      </c>
      <c r="AC815" s="9">
        <v>0.0</v>
      </c>
      <c r="AD815" s="9"/>
      <c r="AE815" s="9" t="s">
        <v>9</v>
      </c>
    </row>
    <row r="816">
      <c r="A816" s="7" t="s">
        <v>2010</v>
      </c>
      <c r="B816" s="7" t="s">
        <v>2011</v>
      </c>
      <c r="C816" s="8">
        <v>46210.0</v>
      </c>
      <c r="D816" s="8">
        <v>46212.0</v>
      </c>
      <c r="E816" s="7" t="s">
        <v>404</v>
      </c>
      <c r="F816" s="7" t="s">
        <v>667</v>
      </c>
      <c r="G816" s="7" t="s">
        <v>355</v>
      </c>
      <c r="H816" s="9">
        <v>3956211.0</v>
      </c>
      <c r="I816" s="9">
        <v>0.0</v>
      </c>
      <c r="J816" s="9">
        <v>18949.0</v>
      </c>
      <c r="K816" s="9">
        <v>483212.0</v>
      </c>
      <c r="L816" s="10">
        <v>1.1515318328187214</v>
      </c>
      <c r="M816" s="9">
        <v>8.18731943743119</v>
      </c>
      <c r="N816" s="9">
        <v>93006.0</v>
      </c>
      <c r="O816" s="9">
        <v>91676.0</v>
      </c>
      <c r="P816" s="9">
        <v>28984.0</v>
      </c>
      <c r="Q816" s="9">
        <v>1242.0</v>
      </c>
      <c r="R816" s="9">
        <v>1270.0</v>
      </c>
      <c r="S816" s="9">
        <v>788.0</v>
      </c>
      <c r="T816" s="9">
        <v>206.0</v>
      </c>
      <c r="U816" s="9">
        <v>159.0</v>
      </c>
      <c r="V816" s="9">
        <v>0.0</v>
      </c>
      <c r="W816" s="9">
        <v>0.0</v>
      </c>
      <c r="X816" s="9">
        <v>0.0</v>
      </c>
      <c r="Y816" s="9">
        <v>0.0</v>
      </c>
      <c r="Z816" s="9">
        <v>0.0</v>
      </c>
      <c r="AA816" s="9">
        <v>0.0</v>
      </c>
      <c r="AB816" s="9">
        <v>0.0</v>
      </c>
      <c r="AC816" s="9">
        <v>0.0</v>
      </c>
      <c r="AD816" s="9"/>
      <c r="AE816" s="9" t="s">
        <v>9</v>
      </c>
    </row>
    <row r="817">
      <c r="A817" s="7" t="s">
        <v>2012</v>
      </c>
      <c r="B817" s="7" t="s">
        <v>2013</v>
      </c>
      <c r="C817" s="8">
        <v>46211.0</v>
      </c>
      <c r="D817" s="8">
        <v>46219.0</v>
      </c>
      <c r="E817" s="7" t="s">
        <v>404</v>
      </c>
      <c r="F817" s="7" t="s">
        <v>405</v>
      </c>
      <c r="G817" s="7" t="s">
        <v>355</v>
      </c>
      <c r="H817" s="9">
        <v>2760698.0</v>
      </c>
      <c r="I817" s="9">
        <v>0.0</v>
      </c>
      <c r="J817" s="9">
        <v>27847.0</v>
      </c>
      <c r="K817" s="9">
        <v>103318.0</v>
      </c>
      <c r="L817" s="10">
        <v>3.012814804777483</v>
      </c>
      <c r="M817" s="9">
        <v>26.72039722023268</v>
      </c>
      <c r="N817" s="9">
        <v>108534.0</v>
      </c>
      <c r="O817" s="9">
        <v>108075.0</v>
      </c>
      <c r="P817" s="9">
        <v>24919.0</v>
      </c>
      <c r="Q817" s="9">
        <v>3174.0</v>
      </c>
      <c r="R817" s="9">
        <v>0.0</v>
      </c>
      <c r="S817" s="9">
        <v>0.0</v>
      </c>
      <c r="T817" s="9">
        <v>0.0</v>
      </c>
      <c r="U817" s="9">
        <v>0.0</v>
      </c>
      <c r="V817" s="9">
        <v>0.0</v>
      </c>
      <c r="W817" s="9">
        <v>0.0</v>
      </c>
      <c r="X817" s="9">
        <v>0.0</v>
      </c>
      <c r="Y817" s="9">
        <v>0.0</v>
      </c>
      <c r="Z817" s="9">
        <v>0.0</v>
      </c>
      <c r="AA817" s="9">
        <v>0.0</v>
      </c>
      <c r="AB817" s="9">
        <v>0.0</v>
      </c>
      <c r="AC817" s="9">
        <v>0.0</v>
      </c>
      <c r="AD817" s="9"/>
      <c r="AE817" s="9" t="s">
        <v>9</v>
      </c>
    </row>
    <row r="818">
      <c r="A818" s="7" t="s">
        <v>2014</v>
      </c>
      <c r="B818" s="7" t="s">
        <v>2015</v>
      </c>
      <c r="C818" s="8">
        <v>46219.0</v>
      </c>
      <c r="D818" s="8">
        <v>46229.0</v>
      </c>
      <c r="E818" s="7" t="s">
        <v>416</v>
      </c>
      <c r="F818" s="7" t="s">
        <v>417</v>
      </c>
      <c r="G818" s="7" t="s">
        <v>410</v>
      </c>
      <c r="H818" s="9">
        <v>1579311.0</v>
      </c>
      <c r="I818" s="9">
        <v>1013363.0</v>
      </c>
      <c r="J818" s="9">
        <v>1350.0</v>
      </c>
      <c r="K818" s="9"/>
      <c r="L818" s="10">
        <v>0.0</v>
      </c>
      <c r="M818" s="9">
        <v>0.0</v>
      </c>
      <c r="N818" s="9">
        <v>0.0</v>
      </c>
      <c r="O818" s="9">
        <v>0.0</v>
      </c>
      <c r="P818" s="9">
        <v>0.0</v>
      </c>
      <c r="Q818" s="9">
        <v>0.0</v>
      </c>
      <c r="R818" s="9">
        <v>0.0</v>
      </c>
      <c r="S818" s="9">
        <v>0.0</v>
      </c>
      <c r="T818" s="9">
        <v>0.0</v>
      </c>
      <c r="U818" s="9">
        <v>0.0</v>
      </c>
      <c r="V818" s="9">
        <v>0.0</v>
      </c>
      <c r="W818" s="9">
        <v>0.0</v>
      </c>
      <c r="X818" s="9">
        <v>0.0</v>
      </c>
      <c r="Y818" s="9">
        <v>0.0</v>
      </c>
      <c r="Z818" s="9">
        <v>0.0</v>
      </c>
      <c r="AA818" s="9">
        <v>0.0</v>
      </c>
      <c r="AB818" s="9">
        <v>0.0</v>
      </c>
      <c r="AC818" s="9">
        <v>0.0</v>
      </c>
      <c r="AD818" s="11" t="s">
        <v>321</v>
      </c>
      <c r="AE818" s="9"/>
    </row>
    <row r="819">
      <c r="A819" s="7" t="s">
        <v>2016</v>
      </c>
      <c r="B819" s="7" t="s">
        <v>2017</v>
      </c>
      <c r="C819" s="8">
        <v>46219.0</v>
      </c>
      <c r="D819" s="8">
        <v>46229.0</v>
      </c>
      <c r="E819" s="7" t="s">
        <v>416</v>
      </c>
      <c r="F819" s="7" t="s">
        <v>417</v>
      </c>
      <c r="G819" s="7" t="s">
        <v>410</v>
      </c>
      <c r="H819" s="9">
        <v>4655935.0</v>
      </c>
      <c r="I819" s="9">
        <v>791931.0</v>
      </c>
      <c r="J819" s="9">
        <v>9180.0</v>
      </c>
      <c r="K819" s="9"/>
      <c r="L819" s="10">
        <v>0.0</v>
      </c>
      <c r="M819" s="9">
        <v>0.0</v>
      </c>
      <c r="N819" s="9">
        <v>0.0</v>
      </c>
      <c r="O819" s="9">
        <v>0.0</v>
      </c>
      <c r="P819" s="9">
        <v>0.0</v>
      </c>
      <c r="Q819" s="9">
        <v>0.0</v>
      </c>
      <c r="R819" s="9">
        <v>0.0</v>
      </c>
      <c r="S819" s="9">
        <v>0.0</v>
      </c>
      <c r="T819" s="9">
        <v>0.0</v>
      </c>
      <c r="U819" s="9">
        <v>0.0</v>
      </c>
      <c r="V819" s="9">
        <v>0.0</v>
      </c>
      <c r="W819" s="9">
        <v>0.0</v>
      </c>
      <c r="X819" s="9">
        <v>0.0</v>
      </c>
      <c r="Y819" s="9">
        <v>0.0</v>
      </c>
      <c r="Z819" s="9">
        <v>0.0</v>
      </c>
      <c r="AA819" s="9">
        <v>0.0</v>
      </c>
      <c r="AB819" s="9">
        <v>0.0</v>
      </c>
      <c r="AC819" s="9">
        <v>0.0</v>
      </c>
      <c r="AD819" s="11" t="s">
        <v>322</v>
      </c>
      <c r="AE819" s="9"/>
    </row>
    <row r="820">
      <c r="A820" s="7" t="s">
        <v>2018</v>
      </c>
      <c r="B820" s="7" t="s">
        <v>2019</v>
      </c>
      <c r="C820" s="8">
        <v>46211.0</v>
      </c>
      <c r="D820" s="8">
        <v>46212.0</v>
      </c>
      <c r="E820" s="7" t="s">
        <v>364</v>
      </c>
      <c r="F820" s="7" t="s">
        <v>365</v>
      </c>
      <c r="G820" s="7" t="s">
        <v>355</v>
      </c>
      <c r="H820" s="9">
        <v>15337.0</v>
      </c>
      <c r="I820" s="9">
        <v>0.0</v>
      </c>
      <c r="J820" s="9">
        <v>573.0</v>
      </c>
      <c r="K820" s="9"/>
      <c r="L820" s="10">
        <v>0.0</v>
      </c>
      <c r="M820" s="9">
        <v>0.0</v>
      </c>
      <c r="N820" s="9">
        <v>142117.0</v>
      </c>
      <c r="O820" s="9">
        <v>140851.0</v>
      </c>
      <c r="P820" s="9">
        <v>55180.0</v>
      </c>
      <c r="Q820" s="9">
        <v>1290.0</v>
      </c>
      <c r="R820" s="9">
        <v>0.0</v>
      </c>
      <c r="S820" s="9">
        <v>0.0</v>
      </c>
      <c r="T820" s="9">
        <v>0.0</v>
      </c>
      <c r="U820" s="9">
        <v>0.0</v>
      </c>
      <c r="V820" s="9">
        <v>0.0</v>
      </c>
      <c r="W820" s="9">
        <v>0.0</v>
      </c>
      <c r="X820" s="9">
        <v>0.0</v>
      </c>
      <c r="Y820" s="9">
        <v>0.0</v>
      </c>
      <c r="Z820" s="9">
        <v>0.0</v>
      </c>
      <c r="AA820" s="9">
        <v>0.0</v>
      </c>
      <c r="AB820" s="9">
        <v>0.0</v>
      </c>
      <c r="AC820" s="9">
        <v>0.0</v>
      </c>
      <c r="AD820" s="9"/>
      <c r="AE820" s="9" t="s">
        <v>9</v>
      </c>
    </row>
    <row r="821">
      <c r="A821" s="7" t="s">
        <v>2020</v>
      </c>
      <c r="B821" s="7" t="s">
        <v>2021</v>
      </c>
      <c r="C821" s="8">
        <v>46217.0</v>
      </c>
      <c r="D821" s="8">
        <v>46220.0</v>
      </c>
      <c r="E821" s="7" t="s">
        <v>416</v>
      </c>
      <c r="F821" s="7" t="s">
        <v>466</v>
      </c>
      <c r="G821" s="7" t="s">
        <v>355</v>
      </c>
      <c r="H821" s="9">
        <v>193980.0</v>
      </c>
      <c r="I821" s="9">
        <v>0.0</v>
      </c>
      <c r="J821" s="9">
        <v>757.0</v>
      </c>
      <c r="K821" s="9">
        <v>89039.0</v>
      </c>
      <c r="L821" s="10">
        <v>2.1785958961803256</v>
      </c>
      <c r="M821" s="9">
        <v>2.1785958961803256</v>
      </c>
      <c r="N821" s="9">
        <v>79043.0</v>
      </c>
      <c r="O821" s="9">
        <v>76208.0</v>
      </c>
      <c r="P821" s="9">
        <v>9939.0</v>
      </c>
      <c r="Q821" s="9">
        <v>119.0</v>
      </c>
      <c r="R821" s="9">
        <v>70.0</v>
      </c>
      <c r="S821" s="9">
        <v>70.0</v>
      </c>
      <c r="T821" s="9">
        <v>17.0</v>
      </c>
      <c r="U821" s="9">
        <v>16.0</v>
      </c>
      <c r="V821" s="9">
        <v>0.0</v>
      </c>
      <c r="W821" s="9">
        <v>0.0</v>
      </c>
      <c r="X821" s="9">
        <v>0.0</v>
      </c>
      <c r="Y821" s="9">
        <v>0.0</v>
      </c>
      <c r="Z821" s="9">
        <v>0.0</v>
      </c>
      <c r="AA821" s="9">
        <v>0.0</v>
      </c>
      <c r="AB821" s="9">
        <v>0.0</v>
      </c>
      <c r="AC821" s="9">
        <v>0.0</v>
      </c>
      <c r="AD821" s="9"/>
      <c r="AE821" s="9" t="s">
        <v>9</v>
      </c>
    </row>
    <row r="822">
      <c r="A822" s="7" t="s">
        <v>2022</v>
      </c>
      <c r="B822" s="7" t="s">
        <v>2023</v>
      </c>
      <c r="C822" s="8">
        <v>46217.0</v>
      </c>
      <c r="D822" s="8">
        <v>46224.0</v>
      </c>
      <c r="E822" s="7" t="s">
        <v>416</v>
      </c>
      <c r="F822" s="7" t="s">
        <v>466</v>
      </c>
      <c r="G822" s="7" t="s">
        <v>355</v>
      </c>
      <c r="H822" s="9">
        <v>618781.0</v>
      </c>
      <c r="I822" s="9">
        <v>0.0</v>
      </c>
      <c r="J822" s="9">
        <v>738.0</v>
      </c>
      <c r="K822" s="9">
        <v>287717.0</v>
      </c>
      <c r="L822" s="10">
        <v>2.1506584595279388</v>
      </c>
      <c r="M822" s="9">
        <v>2.1506584595279388</v>
      </c>
      <c r="N822" s="9">
        <v>70852.0</v>
      </c>
      <c r="O822" s="9">
        <v>64417.0</v>
      </c>
      <c r="P822" s="9">
        <v>9629.0</v>
      </c>
      <c r="Q822" s="9">
        <v>138.0</v>
      </c>
      <c r="R822" s="9">
        <v>57.0</v>
      </c>
      <c r="S822" s="9">
        <v>57.0</v>
      </c>
      <c r="T822" s="9">
        <v>19.0</v>
      </c>
      <c r="U822" s="9">
        <v>18.0</v>
      </c>
      <c r="V822" s="9">
        <v>0.0</v>
      </c>
      <c r="W822" s="9">
        <v>0.0</v>
      </c>
      <c r="X822" s="9">
        <v>0.0</v>
      </c>
      <c r="Y822" s="9">
        <v>0.0</v>
      </c>
      <c r="Z822" s="9">
        <v>0.0</v>
      </c>
      <c r="AA822" s="9">
        <v>0.0</v>
      </c>
      <c r="AB822" s="9">
        <v>0.0</v>
      </c>
      <c r="AC822" s="9">
        <v>0.0</v>
      </c>
      <c r="AD822" s="11" t="s">
        <v>323</v>
      </c>
      <c r="AE822" s="9" t="s">
        <v>9</v>
      </c>
    </row>
    <row r="823">
      <c r="A823" s="7" t="s">
        <v>2024</v>
      </c>
      <c r="B823" s="7" t="s">
        <v>2025</v>
      </c>
      <c r="C823" s="8">
        <v>46217.0</v>
      </c>
      <c r="D823" s="8">
        <v>46220.0</v>
      </c>
      <c r="E823" s="7" t="s">
        <v>416</v>
      </c>
      <c r="F823" s="7" t="s">
        <v>466</v>
      </c>
      <c r="G823" s="7" t="s">
        <v>355</v>
      </c>
      <c r="H823" s="9">
        <v>66598.0</v>
      </c>
      <c r="I823" s="9">
        <v>0.0</v>
      </c>
      <c r="J823" s="9">
        <v>208.0</v>
      </c>
      <c r="K823" s="9"/>
      <c r="L823" s="10">
        <v>0.0</v>
      </c>
      <c r="M823" s="9">
        <v>0.0</v>
      </c>
      <c r="N823" s="9">
        <v>78468.0</v>
      </c>
      <c r="O823" s="9">
        <v>72122.0</v>
      </c>
      <c r="P823" s="9">
        <v>12794.0</v>
      </c>
      <c r="Q823" s="9">
        <v>135.0</v>
      </c>
      <c r="R823" s="9">
        <v>166.0</v>
      </c>
      <c r="S823" s="9">
        <v>166.0</v>
      </c>
      <c r="T823" s="9">
        <v>42.0</v>
      </c>
      <c r="U823" s="9">
        <v>37.0</v>
      </c>
      <c r="V823" s="9">
        <v>0.0</v>
      </c>
      <c r="W823" s="9">
        <v>0.0</v>
      </c>
      <c r="X823" s="9">
        <v>0.0</v>
      </c>
      <c r="Y823" s="9">
        <v>0.0</v>
      </c>
      <c r="Z823" s="9">
        <v>0.0</v>
      </c>
      <c r="AA823" s="9">
        <v>0.0</v>
      </c>
      <c r="AB823" s="9">
        <v>0.0</v>
      </c>
      <c r="AC823" s="9">
        <v>0.0</v>
      </c>
      <c r="AD823" s="11" t="s">
        <v>324</v>
      </c>
      <c r="AE823" s="9" t="s">
        <v>9</v>
      </c>
    </row>
    <row r="824">
      <c r="A824" s="7" t="s">
        <v>2026</v>
      </c>
      <c r="B824" s="7" t="s">
        <v>2027</v>
      </c>
      <c r="C824" s="8">
        <v>46217.0</v>
      </c>
      <c r="D824" s="8">
        <v>46220.0</v>
      </c>
      <c r="E824" s="7" t="s">
        <v>416</v>
      </c>
      <c r="F824" s="7" t="s">
        <v>466</v>
      </c>
      <c r="G824" s="7" t="s">
        <v>355</v>
      </c>
      <c r="H824" s="9">
        <v>207001.0</v>
      </c>
      <c r="I824" s="9">
        <v>0.0</v>
      </c>
      <c r="J824" s="9">
        <v>800.0</v>
      </c>
      <c r="K824" s="9">
        <v>70460.0</v>
      </c>
      <c r="L824" s="10">
        <v>2.937851263128016</v>
      </c>
      <c r="M824" s="9">
        <v>2.937851263128016</v>
      </c>
      <c r="N824" s="9">
        <v>79707.0</v>
      </c>
      <c r="O824" s="9">
        <v>78194.0</v>
      </c>
      <c r="P824" s="9">
        <v>13261.0</v>
      </c>
      <c r="Q824" s="9">
        <v>152.0</v>
      </c>
      <c r="R824" s="9">
        <v>79.0</v>
      </c>
      <c r="S824" s="9">
        <v>79.0</v>
      </c>
      <c r="T824" s="9">
        <v>16.0</v>
      </c>
      <c r="U824" s="9">
        <v>16.0</v>
      </c>
      <c r="V824" s="9">
        <v>0.0</v>
      </c>
      <c r="W824" s="9">
        <v>0.0</v>
      </c>
      <c r="X824" s="9">
        <v>0.0</v>
      </c>
      <c r="Y824" s="9">
        <v>0.0</v>
      </c>
      <c r="Z824" s="9">
        <v>0.0</v>
      </c>
      <c r="AA824" s="9">
        <v>0.0</v>
      </c>
      <c r="AB824" s="9">
        <v>0.0</v>
      </c>
      <c r="AC824" s="9">
        <v>0.0</v>
      </c>
      <c r="AD824" s="9"/>
      <c r="AE824" s="9" t="s">
        <v>9</v>
      </c>
    </row>
    <row r="825">
      <c r="A825" s="7" t="s">
        <v>2028</v>
      </c>
      <c r="B825" s="7" t="s">
        <v>2029</v>
      </c>
      <c r="C825" s="8">
        <v>46212.0</v>
      </c>
      <c r="D825" s="8">
        <v>46219.0</v>
      </c>
      <c r="E825" s="7" t="s">
        <v>416</v>
      </c>
      <c r="F825" s="7" t="s">
        <v>783</v>
      </c>
      <c r="G825" s="7" t="s">
        <v>355</v>
      </c>
      <c r="H825" s="9">
        <v>96889.0</v>
      </c>
      <c r="I825" s="9">
        <v>0.0</v>
      </c>
      <c r="J825" s="9">
        <v>80.0</v>
      </c>
      <c r="K825" s="9">
        <v>49145.0</v>
      </c>
      <c r="L825" s="10">
        <v>1.9714925221283957</v>
      </c>
      <c r="M825" s="9">
        <v>1.9714925221283957</v>
      </c>
      <c r="N825" s="9">
        <v>18100.0</v>
      </c>
      <c r="O825" s="9">
        <v>17706.0</v>
      </c>
      <c r="P825" s="9">
        <v>2528.0</v>
      </c>
      <c r="Q825" s="9">
        <v>30.0</v>
      </c>
      <c r="R825" s="9">
        <v>9.0</v>
      </c>
      <c r="S825" s="9">
        <v>9.0</v>
      </c>
      <c r="T825" s="9">
        <v>2.0</v>
      </c>
      <c r="U825" s="9">
        <v>2.0</v>
      </c>
      <c r="V825" s="9">
        <v>0.0</v>
      </c>
      <c r="W825" s="9">
        <v>0.0</v>
      </c>
      <c r="X825" s="9">
        <v>0.0</v>
      </c>
      <c r="Y825" s="9">
        <v>0.0</v>
      </c>
      <c r="Z825" s="9">
        <v>0.0</v>
      </c>
      <c r="AA825" s="9">
        <v>0.0</v>
      </c>
      <c r="AB825" s="9">
        <v>0.0</v>
      </c>
      <c r="AC825" s="9">
        <v>0.0</v>
      </c>
      <c r="AD825" s="9"/>
      <c r="AE825" s="9" t="s">
        <v>9</v>
      </c>
    </row>
    <row r="826">
      <c r="A826" s="7" t="s">
        <v>2030</v>
      </c>
      <c r="B826" s="7" t="s">
        <v>2031</v>
      </c>
      <c r="C826" s="8">
        <v>46212.0</v>
      </c>
      <c r="D826" s="8">
        <v>46212.0</v>
      </c>
      <c r="E826" s="7" t="s">
        <v>358</v>
      </c>
      <c r="F826" s="7" t="s">
        <v>387</v>
      </c>
      <c r="G826" s="7" t="s">
        <v>355</v>
      </c>
      <c r="H826" s="9">
        <v>0.0</v>
      </c>
      <c r="I826" s="9">
        <v>0.0</v>
      </c>
      <c r="J826" s="9">
        <v>0.0</v>
      </c>
      <c r="K826" s="9">
        <v>0.0</v>
      </c>
      <c r="L826" s="10">
        <v>0.0</v>
      </c>
      <c r="M826" s="9">
        <v>0.0</v>
      </c>
      <c r="N826" s="9">
        <v>10777.0</v>
      </c>
      <c r="O826" s="9">
        <v>10562.0</v>
      </c>
      <c r="P826" s="9">
        <v>2798.0</v>
      </c>
      <c r="Q826" s="9">
        <v>137.0</v>
      </c>
      <c r="R826" s="9">
        <v>0.0</v>
      </c>
      <c r="S826" s="9">
        <v>0.0</v>
      </c>
      <c r="T826" s="9">
        <v>0.0</v>
      </c>
      <c r="U826" s="9">
        <v>0.0</v>
      </c>
      <c r="V826" s="9">
        <v>0.0</v>
      </c>
      <c r="W826" s="9">
        <v>0.0</v>
      </c>
      <c r="X826" s="9">
        <v>0.0</v>
      </c>
      <c r="Y826" s="9">
        <v>0.0</v>
      </c>
      <c r="Z826" s="9">
        <v>0.0</v>
      </c>
      <c r="AA826" s="9">
        <v>0.0</v>
      </c>
      <c r="AB826" s="9">
        <v>0.0</v>
      </c>
      <c r="AC826" s="9">
        <v>0.0</v>
      </c>
      <c r="AD826" s="12"/>
      <c r="AE826" s="9" t="s">
        <v>9</v>
      </c>
    </row>
    <row r="827">
      <c r="A827" s="7" t="s">
        <v>2032</v>
      </c>
      <c r="B827" s="7" t="s">
        <v>2033</v>
      </c>
      <c r="C827" s="8">
        <v>46212.0</v>
      </c>
      <c r="D827" s="8">
        <v>46212.0</v>
      </c>
      <c r="E827" s="7" t="s">
        <v>358</v>
      </c>
      <c r="F827" s="7" t="s">
        <v>387</v>
      </c>
      <c r="G827" s="7" t="s">
        <v>355</v>
      </c>
      <c r="H827" s="9">
        <v>0.0</v>
      </c>
      <c r="I827" s="9">
        <v>0.0</v>
      </c>
      <c r="J827" s="9">
        <v>0.0</v>
      </c>
      <c r="K827" s="9">
        <v>0.0</v>
      </c>
      <c r="L827" s="10">
        <v>0.0</v>
      </c>
      <c r="M827" s="9">
        <v>0.0</v>
      </c>
      <c r="N827" s="9">
        <v>13898.0</v>
      </c>
      <c r="O827" s="9">
        <v>13776.0</v>
      </c>
      <c r="P827" s="9">
        <v>5094.0</v>
      </c>
      <c r="Q827" s="9">
        <v>271.0</v>
      </c>
      <c r="R827" s="9">
        <v>0.0</v>
      </c>
      <c r="S827" s="9">
        <v>0.0</v>
      </c>
      <c r="T827" s="9">
        <v>0.0</v>
      </c>
      <c r="U827" s="9">
        <v>0.0</v>
      </c>
      <c r="V827" s="9">
        <v>0.0</v>
      </c>
      <c r="W827" s="9">
        <v>0.0</v>
      </c>
      <c r="X827" s="9">
        <v>0.0</v>
      </c>
      <c r="Y827" s="9">
        <v>0.0</v>
      </c>
      <c r="Z827" s="9">
        <v>0.0</v>
      </c>
      <c r="AA827" s="9">
        <v>0.0</v>
      </c>
      <c r="AB827" s="9">
        <v>0.0</v>
      </c>
      <c r="AC827" s="9">
        <v>0.0</v>
      </c>
      <c r="AD827" s="12"/>
      <c r="AE827" s="9" t="s">
        <v>9</v>
      </c>
    </row>
    <row r="828">
      <c r="A828" s="7" t="s">
        <v>2034</v>
      </c>
      <c r="B828" s="7" t="s">
        <v>2035</v>
      </c>
      <c r="C828" s="8">
        <v>46212.0</v>
      </c>
      <c r="D828" s="8">
        <v>46212.0</v>
      </c>
      <c r="E828" s="7" t="s">
        <v>358</v>
      </c>
      <c r="F828" s="7" t="s">
        <v>387</v>
      </c>
      <c r="G828" s="7" t="s">
        <v>355</v>
      </c>
      <c r="H828" s="9">
        <v>0.0</v>
      </c>
      <c r="I828" s="9">
        <v>0.0</v>
      </c>
      <c r="J828" s="9">
        <v>0.0</v>
      </c>
      <c r="K828" s="9">
        <v>0.0</v>
      </c>
      <c r="L828" s="10">
        <v>0.0</v>
      </c>
      <c r="M828" s="9">
        <v>0.0</v>
      </c>
      <c r="N828" s="9">
        <v>67.0</v>
      </c>
      <c r="O828" s="9">
        <v>67.0</v>
      </c>
      <c r="P828" s="9">
        <v>15.0</v>
      </c>
      <c r="Q828" s="9">
        <v>3.0</v>
      </c>
      <c r="R828" s="9">
        <v>0.0</v>
      </c>
      <c r="S828" s="9">
        <v>0.0</v>
      </c>
      <c r="T828" s="9">
        <v>0.0</v>
      </c>
      <c r="U828" s="9">
        <v>0.0</v>
      </c>
      <c r="V828" s="9">
        <v>0.0</v>
      </c>
      <c r="W828" s="9">
        <v>0.0</v>
      </c>
      <c r="X828" s="9">
        <v>0.0</v>
      </c>
      <c r="Y828" s="9">
        <v>0.0</v>
      </c>
      <c r="Z828" s="9">
        <v>0.0</v>
      </c>
      <c r="AA828" s="9">
        <v>0.0</v>
      </c>
      <c r="AB828" s="9">
        <v>0.0</v>
      </c>
      <c r="AC828" s="9">
        <v>0.0</v>
      </c>
      <c r="AD828" s="12"/>
      <c r="AE828" s="9" t="s">
        <v>9</v>
      </c>
    </row>
    <row r="829">
      <c r="A829" s="7" t="s">
        <v>2036</v>
      </c>
      <c r="B829" s="7" t="s">
        <v>2037</v>
      </c>
      <c r="C829" s="8">
        <v>46212.0</v>
      </c>
      <c r="D829" s="8">
        <v>46212.0</v>
      </c>
      <c r="E829" s="7" t="s">
        <v>358</v>
      </c>
      <c r="F829" s="7" t="s">
        <v>387</v>
      </c>
      <c r="G829" s="7" t="s">
        <v>355</v>
      </c>
      <c r="H829" s="9">
        <v>0.0</v>
      </c>
      <c r="I829" s="9">
        <v>0.0</v>
      </c>
      <c r="J829" s="9">
        <v>0.0</v>
      </c>
      <c r="K829" s="9">
        <v>0.0</v>
      </c>
      <c r="L829" s="10">
        <v>0.0</v>
      </c>
      <c r="M829" s="9">
        <v>0.0</v>
      </c>
      <c r="N829" s="9">
        <v>12884.0</v>
      </c>
      <c r="O829" s="9">
        <v>12711.0</v>
      </c>
      <c r="P829" s="9">
        <v>3796.0</v>
      </c>
      <c r="Q829" s="9">
        <v>136.0</v>
      </c>
      <c r="R829" s="9">
        <v>0.0</v>
      </c>
      <c r="S829" s="9">
        <v>0.0</v>
      </c>
      <c r="T829" s="9">
        <v>0.0</v>
      </c>
      <c r="U829" s="9">
        <v>0.0</v>
      </c>
      <c r="V829" s="9">
        <v>0.0</v>
      </c>
      <c r="W829" s="9">
        <v>0.0</v>
      </c>
      <c r="X829" s="9">
        <v>0.0</v>
      </c>
      <c r="Y829" s="9">
        <v>0.0</v>
      </c>
      <c r="Z829" s="9">
        <v>0.0</v>
      </c>
      <c r="AA829" s="9">
        <v>0.0</v>
      </c>
      <c r="AB829" s="9">
        <v>0.0</v>
      </c>
      <c r="AC829" s="9">
        <v>0.0</v>
      </c>
      <c r="AD829" s="12"/>
      <c r="AE829" s="9" t="s">
        <v>9</v>
      </c>
    </row>
    <row r="830">
      <c r="A830" s="7" t="s">
        <v>2038</v>
      </c>
      <c r="B830" s="7" t="s">
        <v>2039</v>
      </c>
      <c r="C830" s="8">
        <v>46217.0</v>
      </c>
      <c r="D830" s="8">
        <v>46217.0</v>
      </c>
      <c r="E830" s="7" t="s">
        <v>358</v>
      </c>
      <c r="F830" s="7" t="s">
        <v>387</v>
      </c>
      <c r="G830" s="7" t="s">
        <v>355</v>
      </c>
      <c r="H830" s="9">
        <v>0.0</v>
      </c>
      <c r="I830" s="9">
        <v>0.0</v>
      </c>
      <c r="J830" s="9">
        <v>0.0</v>
      </c>
      <c r="K830" s="9">
        <v>0.0</v>
      </c>
      <c r="L830" s="10">
        <v>0.0</v>
      </c>
      <c r="M830" s="9">
        <v>0.0</v>
      </c>
      <c r="N830" s="9">
        <v>13016.0</v>
      </c>
      <c r="O830" s="9">
        <v>12832.0</v>
      </c>
      <c r="P830" s="9">
        <v>3982.0</v>
      </c>
      <c r="Q830" s="9">
        <v>161.0</v>
      </c>
      <c r="R830" s="9">
        <v>0.0</v>
      </c>
      <c r="S830" s="9">
        <v>0.0</v>
      </c>
      <c r="T830" s="9">
        <v>0.0</v>
      </c>
      <c r="U830" s="9">
        <v>0.0</v>
      </c>
      <c r="V830" s="9">
        <v>0.0</v>
      </c>
      <c r="W830" s="9">
        <v>0.0</v>
      </c>
      <c r="X830" s="9">
        <v>0.0</v>
      </c>
      <c r="Y830" s="9">
        <v>0.0</v>
      </c>
      <c r="Z830" s="9">
        <v>0.0</v>
      </c>
      <c r="AA830" s="9">
        <v>0.0</v>
      </c>
      <c r="AB830" s="9">
        <v>0.0</v>
      </c>
      <c r="AC830" s="9">
        <v>0.0</v>
      </c>
      <c r="AD830" s="12"/>
      <c r="AE830" s="9" t="s">
        <v>9</v>
      </c>
    </row>
    <row r="831">
      <c r="A831" s="7" t="s">
        <v>2040</v>
      </c>
      <c r="B831" s="7" t="s">
        <v>2041</v>
      </c>
      <c r="C831" s="8">
        <v>46217.0</v>
      </c>
      <c r="D831" s="8">
        <v>46217.0</v>
      </c>
      <c r="E831" s="7" t="s">
        <v>358</v>
      </c>
      <c r="F831" s="7" t="s">
        <v>387</v>
      </c>
      <c r="G831" s="7" t="s">
        <v>355</v>
      </c>
      <c r="H831" s="9">
        <v>0.0</v>
      </c>
      <c r="I831" s="9">
        <v>0.0</v>
      </c>
      <c r="J831" s="9">
        <v>0.0</v>
      </c>
      <c r="K831" s="9">
        <v>0.0</v>
      </c>
      <c r="L831" s="10">
        <v>0.0</v>
      </c>
      <c r="M831" s="9">
        <v>0.0</v>
      </c>
      <c r="N831" s="9">
        <v>9514.0</v>
      </c>
      <c r="O831" s="9">
        <v>9339.0</v>
      </c>
      <c r="P831" s="9">
        <v>2527.0</v>
      </c>
      <c r="Q831" s="9">
        <v>106.0</v>
      </c>
      <c r="R831" s="9">
        <v>0.0</v>
      </c>
      <c r="S831" s="9">
        <v>0.0</v>
      </c>
      <c r="T831" s="9">
        <v>0.0</v>
      </c>
      <c r="U831" s="9">
        <v>0.0</v>
      </c>
      <c r="V831" s="9">
        <v>0.0</v>
      </c>
      <c r="W831" s="9">
        <v>0.0</v>
      </c>
      <c r="X831" s="9">
        <v>0.0</v>
      </c>
      <c r="Y831" s="9">
        <v>0.0</v>
      </c>
      <c r="Z831" s="9">
        <v>0.0</v>
      </c>
      <c r="AA831" s="9">
        <v>0.0</v>
      </c>
      <c r="AB831" s="9">
        <v>0.0</v>
      </c>
      <c r="AC831" s="9">
        <v>0.0</v>
      </c>
      <c r="AD831" s="12"/>
      <c r="AE831" s="9" t="s">
        <v>9</v>
      </c>
    </row>
    <row r="832">
      <c r="A832" s="7" t="s">
        <v>2042</v>
      </c>
      <c r="B832" s="7" t="s">
        <v>2043</v>
      </c>
      <c r="C832" s="8">
        <v>46211.0</v>
      </c>
      <c r="D832" s="8">
        <v>46217.0</v>
      </c>
      <c r="E832" s="7" t="s">
        <v>416</v>
      </c>
      <c r="F832" s="7" t="s">
        <v>378</v>
      </c>
      <c r="G832" s="7" t="s">
        <v>355</v>
      </c>
      <c r="H832" s="9">
        <v>666883.0</v>
      </c>
      <c r="I832" s="9">
        <v>0.0</v>
      </c>
      <c r="J832" s="9">
        <v>644.0</v>
      </c>
      <c r="K832" s="9">
        <v>423383.0</v>
      </c>
      <c r="L832" s="10">
        <v>1.5751293745851864</v>
      </c>
      <c r="M832" s="9">
        <v>1.5751293745851864</v>
      </c>
      <c r="N832" s="9">
        <v>86723.0</v>
      </c>
      <c r="O832" s="9">
        <v>85781.0</v>
      </c>
      <c r="P832" s="9">
        <v>20609.0</v>
      </c>
      <c r="Q832" s="9">
        <v>293.0</v>
      </c>
      <c r="R832" s="9">
        <v>142.0</v>
      </c>
      <c r="S832" s="9">
        <v>141.0</v>
      </c>
      <c r="T832" s="9">
        <v>45.0</v>
      </c>
      <c r="U832" s="9">
        <v>42.0</v>
      </c>
      <c r="V832" s="9">
        <v>0.0</v>
      </c>
      <c r="W832" s="9">
        <v>0.0</v>
      </c>
      <c r="X832" s="9">
        <v>0.0</v>
      </c>
      <c r="Y832" s="9">
        <v>0.0</v>
      </c>
      <c r="Z832" s="9">
        <v>0.0</v>
      </c>
      <c r="AA832" s="9">
        <v>0.0</v>
      </c>
      <c r="AB832" s="9">
        <v>0.0</v>
      </c>
      <c r="AC832" s="9">
        <v>0.0</v>
      </c>
      <c r="AD832" s="12"/>
      <c r="AE832" s="9" t="s">
        <v>9</v>
      </c>
    </row>
    <row r="833">
      <c r="A833" s="7" t="s">
        <v>2044</v>
      </c>
      <c r="B833" s="7" t="s">
        <v>2045</v>
      </c>
      <c r="C833" s="8">
        <v>46212.0</v>
      </c>
      <c r="D833" s="8">
        <v>46212.0</v>
      </c>
      <c r="E833" s="7" t="s">
        <v>358</v>
      </c>
      <c r="F833" s="7" t="s">
        <v>387</v>
      </c>
      <c r="G833" s="7" t="s">
        <v>355</v>
      </c>
      <c r="H833" s="9">
        <v>0.0</v>
      </c>
      <c r="I833" s="9">
        <v>0.0</v>
      </c>
      <c r="J833" s="9">
        <v>0.0</v>
      </c>
      <c r="K833" s="9">
        <v>0.0</v>
      </c>
      <c r="L833" s="10">
        <v>0.0</v>
      </c>
      <c r="M833" s="9">
        <v>0.0</v>
      </c>
      <c r="N833" s="9">
        <v>10467.0</v>
      </c>
      <c r="O833" s="9">
        <v>10270.0</v>
      </c>
      <c r="P833" s="9">
        <v>2822.0</v>
      </c>
      <c r="Q833" s="9">
        <v>160.0</v>
      </c>
      <c r="R833" s="9">
        <v>0.0</v>
      </c>
      <c r="S833" s="9">
        <v>0.0</v>
      </c>
      <c r="T833" s="9">
        <v>0.0</v>
      </c>
      <c r="U833" s="9">
        <v>0.0</v>
      </c>
      <c r="V833" s="9">
        <v>0.0</v>
      </c>
      <c r="W833" s="9">
        <v>0.0</v>
      </c>
      <c r="X833" s="9">
        <v>0.0</v>
      </c>
      <c r="Y833" s="9">
        <v>0.0</v>
      </c>
      <c r="Z833" s="9">
        <v>0.0</v>
      </c>
      <c r="AA833" s="9">
        <v>0.0</v>
      </c>
      <c r="AB833" s="9">
        <v>0.0</v>
      </c>
      <c r="AC833" s="9">
        <v>0.0</v>
      </c>
      <c r="AD833" s="12"/>
      <c r="AE833" s="9" t="s">
        <v>9</v>
      </c>
    </row>
    <row r="834">
      <c r="A834" s="7" t="s">
        <v>2046</v>
      </c>
      <c r="B834" s="7" t="s">
        <v>2047</v>
      </c>
      <c r="C834" s="8">
        <v>46217.0</v>
      </c>
      <c r="D834" s="8">
        <v>46217.0</v>
      </c>
      <c r="E834" s="7" t="s">
        <v>404</v>
      </c>
      <c r="F834" s="7" t="s">
        <v>474</v>
      </c>
      <c r="G834" s="7" t="s">
        <v>355</v>
      </c>
      <c r="H834" s="9">
        <v>0.0</v>
      </c>
      <c r="I834" s="9">
        <v>0.0</v>
      </c>
      <c r="J834" s="9">
        <v>0.0</v>
      </c>
      <c r="K834" s="9">
        <v>0.0</v>
      </c>
      <c r="L834" s="10">
        <v>0.0</v>
      </c>
      <c r="M834" s="9">
        <v>0.0</v>
      </c>
      <c r="N834" s="9">
        <v>395.0</v>
      </c>
      <c r="O834" s="9">
        <v>389.0</v>
      </c>
      <c r="P834" s="9">
        <v>165.0</v>
      </c>
      <c r="Q834" s="9">
        <v>62.0</v>
      </c>
      <c r="R834" s="9">
        <v>0.0</v>
      </c>
      <c r="S834" s="9">
        <v>0.0</v>
      </c>
      <c r="T834" s="9">
        <v>0.0</v>
      </c>
      <c r="U834" s="9">
        <v>0.0</v>
      </c>
      <c r="V834" s="9">
        <v>0.0</v>
      </c>
      <c r="W834" s="9">
        <v>0.0</v>
      </c>
      <c r="X834" s="9">
        <v>0.0</v>
      </c>
      <c r="Y834" s="9">
        <v>0.0</v>
      </c>
      <c r="Z834" s="9">
        <v>0.0</v>
      </c>
      <c r="AA834" s="9">
        <v>0.0</v>
      </c>
      <c r="AB834" s="9">
        <v>0.0</v>
      </c>
      <c r="AC834" s="9">
        <v>0.0</v>
      </c>
      <c r="AD834" s="12"/>
      <c r="AE834" s="9" t="s">
        <v>9</v>
      </c>
    </row>
    <row r="835">
      <c r="A835" s="7" t="s">
        <v>2048</v>
      </c>
      <c r="B835" s="7" t="s">
        <v>2049</v>
      </c>
      <c r="C835" s="8">
        <v>46211.0</v>
      </c>
      <c r="D835" s="8">
        <v>46217.0</v>
      </c>
      <c r="E835" s="7" t="s">
        <v>416</v>
      </c>
      <c r="F835" s="7" t="s">
        <v>365</v>
      </c>
      <c r="G835" s="7" t="s">
        <v>355</v>
      </c>
      <c r="H835" s="9">
        <v>176210.0</v>
      </c>
      <c r="I835" s="9">
        <v>0.0</v>
      </c>
      <c r="J835" s="9">
        <v>573.0</v>
      </c>
      <c r="K835" s="9">
        <v>108209.0</v>
      </c>
      <c r="L835" s="10">
        <v>1.6284227744457485</v>
      </c>
      <c r="M835" s="9">
        <v>1.6284227744457485</v>
      </c>
      <c r="N835" s="9">
        <v>68546.0</v>
      </c>
      <c r="O835" s="9">
        <v>67956.0</v>
      </c>
      <c r="P835" s="9">
        <v>12119.0</v>
      </c>
      <c r="Q835" s="9">
        <v>211.0</v>
      </c>
      <c r="R835" s="9">
        <v>404.0</v>
      </c>
      <c r="S835" s="9">
        <v>201.0</v>
      </c>
      <c r="T835" s="9">
        <v>61.0</v>
      </c>
      <c r="U835" s="9">
        <v>59.0</v>
      </c>
      <c r="V835" s="9">
        <v>0.0</v>
      </c>
      <c r="W835" s="9">
        <v>0.0</v>
      </c>
      <c r="X835" s="9">
        <v>0.0</v>
      </c>
      <c r="Y835" s="9">
        <v>0.0</v>
      </c>
      <c r="Z835" s="9">
        <v>0.0</v>
      </c>
      <c r="AA835" s="9">
        <v>0.0</v>
      </c>
      <c r="AB835" s="9">
        <v>0.0</v>
      </c>
      <c r="AC835" s="9">
        <v>0.0</v>
      </c>
      <c r="AD835" s="9"/>
      <c r="AE835" s="9" t="s">
        <v>9</v>
      </c>
    </row>
    <row r="836">
      <c r="A836" s="7" t="s">
        <v>2050</v>
      </c>
      <c r="B836" s="7" t="s">
        <v>2051</v>
      </c>
      <c r="C836" s="8">
        <v>46225.0</v>
      </c>
      <c r="D836" s="8">
        <v>46225.0</v>
      </c>
      <c r="E836" s="7" t="s">
        <v>353</v>
      </c>
      <c r="F836" s="7" t="s">
        <v>378</v>
      </c>
      <c r="G836" s="7" t="s">
        <v>410</v>
      </c>
      <c r="H836" s="9">
        <v>12759.0</v>
      </c>
      <c r="I836" s="9">
        <v>1732.0</v>
      </c>
      <c r="J836" s="9">
        <v>7.0</v>
      </c>
      <c r="K836" s="9"/>
      <c r="L836" s="10">
        <v>0.0</v>
      </c>
      <c r="M836" s="9">
        <v>0.0</v>
      </c>
      <c r="N836" s="9">
        <v>40832.0</v>
      </c>
      <c r="O836" s="9">
        <v>40676.0</v>
      </c>
      <c r="P836" s="9">
        <v>8450.0</v>
      </c>
      <c r="Q836" s="9">
        <v>570.0</v>
      </c>
      <c r="R836" s="9">
        <v>0.0</v>
      </c>
      <c r="S836" s="9">
        <v>0.0</v>
      </c>
      <c r="T836" s="9">
        <v>0.0</v>
      </c>
      <c r="U836" s="9">
        <v>0.0</v>
      </c>
      <c r="V836" s="9">
        <v>0.0</v>
      </c>
      <c r="W836" s="9">
        <v>0.0</v>
      </c>
      <c r="X836" s="9">
        <v>0.0</v>
      </c>
      <c r="Y836" s="9">
        <v>0.0</v>
      </c>
      <c r="Z836" s="9">
        <v>0.0</v>
      </c>
      <c r="AA836" s="9">
        <v>0.0</v>
      </c>
      <c r="AB836" s="9">
        <v>0.0</v>
      </c>
      <c r="AC836" s="9">
        <v>0.0</v>
      </c>
      <c r="AD836" s="11" t="s">
        <v>325</v>
      </c>
      <c r="AE836" s="9"/>
    </row>
    <row r="837">
      <c r="A837" s="7" t="s">
        <v>2052</v>
      </c>
      <c r="B837" s="7" t="s">
        <v>2053</v>
      </c>
      <c r="C837" s="8">
        <v>46220.0</v>
      </c>
      <c r="D837" s="8">
        <v>46220.0</v>
      </c>
      <c r="E837" s="7" t="s">
        <v>416</v>
      </c>
      <c r="F837" s="7" t="s">
        <v>430</v>
      </c>
      <c r="G837" s="7" t="s">
        <v>355</v>
      </c>
      <c r="H837" s="9">
        <v>0.0</v>
      </c>
      <c r="I837" s="9">
        <v>0.0</v>
      </c>
      <c r="J837" s="9">
        <v>0.0</v>
      </c>
      <c r="K837" s="9">
        <v>0.0</v>
      </c>
      <c r="L837" s="10">
        <v>0.0</v>
      </c>
      <c r="M837" s="9">
        <v>0.0</v>
      </c>
      <c r="N837" s="9">
        <v>133790.0</v>
      </c>
      <c r="O837" s="9">
        <v>131783.0</v>
      </c>
      <c r="P837" s="9">
        <v>22434.0</v>
      </c>
      <c r="Q837" s="9">
        <v>453.0</v>
      </c>
      <c r="R837" s="9">
        <v>0.0</v>
      </c>
      <c r="S837" s="9">
        <v>0.0</v>
      </c>
      <c r="T837" s="9">
        <v>0.0</v>
      </c>
      <c r="U837" s="9">
        <v>0.0</v>
      </c>
      <c r="V837" s="9">
        <v>0.0</v>
      </c>
      <c r="W837" s="9">
        <v>0.0</v>
      </c>
      <c r="X837" s="9">
        <v>0.0</v>
      </c>
      <c r="Y837" s="9">
        <v>0.0</v>
      </c>
      <c r="Z837" s="9">
        <v>0.0</v>
      </c>
      <c r="AA837" s="9">
        <v>0.0</v>
      </c>
      <c r="AB837" s="9">
        <v>0.0</v>
      </c>
      <c r="AC837" s="9">
        <v>0.0</v>
      </c>
      <c r="AD837" s="12"/>
      <c r="AE837" s="9" t="s">
        <v>9</v>
      </c>
    </row>
    <row r="838">
      <c r="A838" s="7" t="s">
        <v>2054</v>
      </c>
      <c r="B838" s="7" t="s">
        <v>2055</v>
      </c>
      <c r="C838" s="8">
        <v>46211.0</v>
      </c>
      <c r="D838" s="8">
        <v>46214.0</v>
      </c>
      <c r="E838" s="7" t="s">
        <v>364</v>
      </c>
      <c r="F838" s="7" t="s">
        <v>365</v>
      </c>
      <c r="G838" s="7" t="s">
        <v>355</v>
      </c>
      <c r="H838" s="9">
        <v>759309.0</v>
      </c>
      <c r="I838" s="9">
        <v>0.0</v>
      </c>
      <c r="J838" s="9">
        <v>828.0</v>
      </c>
      <c r="K838" s="9">
        <v>377396.0</v>
      </c>
      <c r="L838" s="10">
        <v>2.0119688602952865</v>
      </c>
      <c r="M838" s="9">
        <v>2.0119688602952865</v>
      </c>
      <c r="N838" s="9">
        <v>106956.0</v>
      </c>
      <c r="O838" s="9">
        <v>106619.0</v>
      </c>
      <c r="P838" s="9">
        <v>37814.0</v>
      </c>
      <c r="Q838" s="9">
        <v>352.0</v>
      </c>
      <c r="R838" s="9">
        <v>0.0</v>
      </c>
      <c r="S838" s="9">
        <v>0.0</v>
      </c>
      <c r="T838" s="9">
        <v>0.0</v>
      </c>
      <c r="U838" s="9">
        <v>0.0</v>
      </c>
      <c r="V838" s="9">
        <v>0.0</v>
      </c>
      <c r="W838" s="9">
        <v>0.0</v>
      </c>
      <c r="X838" s="9">
        <v>0.0</v>
      </c>
      <c r="Y838" s="9">
        <v>0.0</v>
      </c>
      <c r="Z838" s="9">
        <v>0.0</v>
      </c>
      <c r="AA838" s="9">
        <v>110180.0</v>
      </c>
      <c r="AB838" s="9">
        <v>82761.0</v>
      </c>
      <c r="AC838" s="9">
        <v>0.0</v>
      </c>
      <c r="AD838" s="12"/>
      <c r="AE838" s="9" t="s">
        <v>9</v>
      </c>
    </row>
    <row r="839">
      <c r="A839" s="7" t="s">
        <v>2056</v>
      </c>
      <c r="B839" s="7" t="s">
        <v>2057</v>
      </c>
      <c r="C839" s="8">
        <v>46219.0</v>
      </c>
      <c r="D839" s="8">
        <v>46225.0</v>
      </c>
      <c r="E839" s="7" t="s">
        <v>404</v>
      </c>
      <c r="F839" s="7" t="s">
        <v>405</v>
      </c>
      <c r="G839" s="7" t="s">
        <v>410</v>
      </c>
      <c r="H839" s="9">
        <v>922514.0</v>
      </c>
      <c r="I839" s="9">
        <v>0.0</v>
      </c>
      <c r="J839" s="9">
        <v>22305.0</v>
      </c>
      <c r="K839" s="9">
        <v>230968.0</v>
      </c>
      <c r="L839" s="10">
        <v>2.007446919053722</v>
      </c>
      <c r="M839" s="9">
        <v>3.994120397630841</v>
      </c>
      <c r="N839" s="9">
        <v>217525.0</v>
      </c>
      <c r="O839" s="9">
        <v>214513.0</v>
      </c>
      <c r="P839" s="9">
        <v>48863.0</v>
      </c>
      <c r="Q839" s="9">
        <v>3690.0</v>
      </c>
      <c r="R839" s="9">
        <v>0.0</v>
      </c>
      <c r="S839" s="9">
        <v>0.0</v>
      </c>
      <c r="T839" s="9">
        <v>0.0</v>
      </c>
      <c r="U839" s="9">
        <v>0.0</v>
      </c>
      <c r="V839" s="9">
        <v>0.0</v>
      </c>
      <c r="W839" s="9">
        <v>0.0</v>
      </c>
      <c r="X839" s="9">
        <v>0.0</v>
      </c>
      <c r="Y839" s="9">
        <v>0.0</v>
      </c>
      <c r="Z839" s="9">
        <v>0.0</v>
      </c>
      <c r="AA839" s="9">
        <v>0.0</v>
      </c>
      <c r="AB839" s="9">
        <v>0.0</v>
      </c>
      <c r="AC839" s="9">
        <v>0.0</v>
      </c>
      <c r="AD839" s="12"/>
      <c r="AE839" s="9" t="s">
        <v>9</v>
      </c>
    </row>
    <row r="840">
      <c r="A840" s="7" t="s">
        <v>2058</v>
      </c>
      <c r="B840" s="7" t="s">
        <v>2059</v>
      </c>
      <c r="C840" s="8">
        <v>46224.0</v>
      </c>
      <c r="D840" s="8">
        <v>46224.0</v>
      </c>
      <c r="E840" s="7" t="s">
        <v>364</v>
      </c>
      <c r="F840" s="7" t="s">
        <v>365</v>
      </c>
      <c r="G840" s="7" t="s">
        <v>355</v>
      </c>
      <c r="H840" s="9">
        <v>0.0</v>
      </c>
      <c r="I840" s="9">
        <v>0.0</v>
      </c>
      <c r="J840" s="9">
        <v>0.0</v>
      </c>
      <c r="K840" s="9">
        <v>0.0</v>
      </c>
      <c r="L840" s="10">
        <v>0.0</v>
      </c>
      <c r="M840" s="9">
        <v>0.0</v>
      </c>
      <c r="N840" s="9">
        <v>50074.0</v>
      </c>
      <c r="O840" s="9">
        <v>49587.0</v>
      </c>
      <c r="P840" s="9">
        <v>16235.0</v>
      </c>
      <c r="Q840" s="9">
        <v>281.0</v>
      </c>
      <c r="R840" s="9">
        <v>0.0</v>
      </c>
      <c r="S840" s="9">
        <v>0.0</v>
      </c>
      <c r="T840" s="9">
        <v>0.0</v>
      </c>
      <c r="U840" s="9">
        <v>0.0</v>
      </c>
      <c r="V840" s="9">
        <v>0.0</v>
      </c>
      <c r="W840" s="9">
        <v>0.0</v>
      </c>
      <c r="X840" s="9">
        <v>0.0</v>
      </c>
      <c r="Y840" s="9">
        <v>0.0</v>
      </c>
      <c r="Z840" s="9">
        <v>0.0</v>
      </c>
      <c r="AA840" s="9">
        <v>0.0</v>
      </c>
      <c r="AB840" s="9">
        <v>0.0</v>
      </c>
      <c r="AC840" s="9">
        <v>0.0</v>
      </c>
      <c r="AD840" s="12"/>
      <c r="AE840" s="9" t="s">
        <v>9</v>
      </c>
    </row>
    <row r="841">
      <c r="A841" s="7" t="s">
        <v>2060</v>
      </c>
      <c r="B841" s="7" t="s">
        <v>2061</v>
      </c>
      <c r="C841" s="8">
        <v>46217.0</v>
      </c>
      <c r="D841" s="8">
        <v>46232.0</v>
      </c>
      <c r="E841" s="7" t="s">
        <v>364</v>
      </c>
      <c r="F841" s="7" t="s">
        <v>365</v>
      </c>
      <c r="G841" s="7" t="s">
        <v>410</v>
      </c>
      <c r="H841" s="9">
        <v>62235.0</v>
      </c>
      <c r="I841" s="9">
        <v>0.0</v>
      </c>
      <c r="J841" s="9">
        <v>0.0</v>
      </c>
      <c r="K841" s="9">
        <v>40016.0</v>
      </c>
      <c r="L841" s="10">
        <v>1.555252898840464</v>
      </c>
      <c r="M841" s="9">
        <v>1.555252898840464</v>
      </c>
      <c r="N841" s="9">
        <v>40553.0</v>
      </c>
      <c r="O841" s="9">
        <v>39881.0</v>
      </c>
      <c r="P841" s="9">
        <v>10580.0</v>
      </c>
      <c r="Q841" s="9">
        <v>320.0</v>
      </c>
      <c r="R841" s="9">
        <v>0.0</v>
      </c>
      <c r="S841" s="9">
        <v>0.0</v>
      </c>
      <c r="T841" s="9">
        <v>0.0</v>
      </c>
      <c r="U841" s="9">
        <v>0.0</v>
      </c>
      <c r="V841" s="9">
        <v>0.0</v>
      </c>
      <c r="W841" s="9">
        <v>0.0</v>
      </c>
      <c r="X841" s="9">
        <v>0.0</v>
      </c>
      <c r="Y841" s="9">
        <v>0.0</v>
      </c>
      <c r="Z841" s="9">
        <v>0.0</v>
      </c>
      <c r="AA841" s="9">
        <v>0.0</v>
      </c>
      <c r="AB841" s="9">
        <v>0.0</v>
      </c>
      <c r="AC841" s="9">
        <v>0.0</v>
      </c>
      <c r="AD841" s="12"/>
      <c r="AE841" s="9" t="s">
        <v>9</v>
      </c>
    </row>
    <row r="842">
      <c r="A842" s="7" t="s">
        <v>2062</v>
      </c>
      <c r="B842" s="7" t="s">
        <v>2063</v>
      </c>
      <c r="C842" s="8">
        <v>46217.0</v>
      </c>
      <c r="D842" s="8">
        <v>46387.0</v>
      </c>
      <c r="E842" s="7" t="s">
        <v>364</v>
      </c>
      <c r="F842" s="7" t="s">
        <v>365</v>
      </c>
      <c r="G842" s="7" t="s">
        <v>410</v>
      </c>
      <c r="H842" s="9">
        <v>0.0</v>
      </c>
      <c r="I842" s="9">
        <v>0.0</v>
      </c>
      <c r="J842" s="9">
        <v>0.0</v>
      </c>
      <c r="K842" s="9">
        <v>0.0</v>
      </c>
      <c r="L842" s="10">
        <v>0.0</v>
      </c>
      <c r="M842" s="9">
        <v>0.0</v>
      </c>
      <c r="N842" s="9">
        <v>0.0</v>
      </c>
      <c r="O842" s="9">
        <v>0.0</v>
      </c>
      <c r="P842" s="9">
        <v>0.0</v>
      </c>
      <c r="Q842" s="9">
        <v>0.0</v>
      </c>
      <c r="R842" s="9">
        <v>0.0</v>
      </c>
      <c r="S842" s="9">
        <v>0.0</v>
      </c>
      <c r="T842" s="9">
        <v>0.0</v>
      </c>
      <c r="U842" s="9">
        <v>0.0</v>
      </c>
      <c r="V842" s="9">
        <v>0.0</v>
      </c>
      <c r="W842" s="9">
        <v>0.0</v>
      </c>
      <c r="X842" s="9">
        <v>0.0</v>
      </c>
      <c r="Y842" s="9">
        <v>0.0</v>
      </c>
      <c r="Z842" s="9">
        <v>0.0</v>
      </c>
      <c r="AA842" s="9">
        <v>0.0</v>
      </c>
      <c r="AB842" s="9">
        <v>0.0</v>
      </c>
      <c r="AC842" s="9">
        <v>0.0</v>
      </c>
      <c r="AD842" s="12"/>
      <c r="AE842" s="9"/>
    </row>
    <row r="843">
      <c r="A843" s="7" t="s">
        <v>2064</v>
      </c>
      <c r="B843" s="7" t="s">
        <v>2065</v>
      </c>
      <c r="C843" s="8">
        <v>46218.0</v>
      </c>
      <c r="D843" s="8">
        <v>46224.0</v>
      </c>
      <c r="E843" s="7" t="s">
        <v>416</v>
      </c>
      <c r="F843" s="7" t="s">
        <v>725</v>
      </c>
      <c r="G843" s="7" t="s">
        <v>355</v>
      </c>
      <c r="H843" s="9">
        <v>64757.0</v>
      </c>
      <c r="I843" s="9">
        <v>0.0</v>
      </c>
      <c r="J843" s="9">
        <v>354.0</v>
      </c>
      <c r="K843" s="9">
        <v>42944.0</v>
      </c>
      <c r="L843" s="10">
        <v>1.5079405737704918</v>
      </c>
      <c r="M843" s="9">
        <v>1.5079405737704918</v>
      </c>
      <c r="N843" s="9">
        <v>10410.0</v>
      </c>
      <c r="O843" s="9">
        <v>6696.0</v>
      </c>
      <c r="P843" s="9">
        <v>2734.0</v>
      </c>
      <c r="Q843" s="9">
        <v>55.0</v>
      </c>
      <c r="R843" s="9">
        <v>0.0</v>
      </c>
      <c r="S843" s="9">
        <v>0.0</v>
      </c>
      <c r="T843" s="9">
        <v>0.0</v>
      </c>
      <c r="U843" s="9">
        <v>0.0</v>
      </c>
      <c r="V843" s="9">
        <v>0.0</v>
      </c>
      <c r="W843" s="9">
        <v>0.0</v>
      </c>
      <c r="X843" s="9">
        <v>0.0</v>
      </c>
      <c r="Y843" s="9">
        <v>0.0</v>
      </c>
      <c r="Z843" s="9">
        <v>0.0</v>
      </c>
      <c r="AA843" s="9">
        <v>0.0</v>
      </c>
      <c r="AB843" s="9">
        <v>0.0</v>
      </c>
      <c r="AC843" s="9">
        <v>0.0</v>
      </c>
      <c r="AD843" s="12"/>
      <c r="AE843" s="9" t="s">
        <v>9</v>
      </c>
    </row>
    <row r="844">
      <c r="A844" s="7" t="s">
        <v>2066</v>
      </c>
      <c r="B844" s="7" t="s">
        <v>2067</v>
      </c>
      <c r="C844" s="8">
        <v>46220.0</v>
      </c>
      <c r="D844" s="8">
        <v>46220.0</v>
      </c>
      <c r="E844" s="7" t="s">
        <v>358</v>
      </c>
      <c r="F844" s="7" t="s">
        <v>387</v>
      </c>
      <c r="G844" s="7" t="s">
        <v>355</v>
      </c>
      <c r="H844" s="9">
        <v>0.0</v>
      </c>
      <c r="I844" s="9">
        <v>0.0</v>
      </c>
      <c r="J844" s="9">
        <v>0.0</v>
      </c>
      <c r="K844" s="9">
        <v>0.0</v>
      </c>
      <c r="L844" s="10">
        <v>0.0</v>
      </c>
      <c r="M844" s="9">
        <v>0.0</v>
      </c>
      <c r="N844" s="9">
        <v>10505.0</v>
      </c>
      <c r="O844" s="9">
        <v>6419.0</v>
      </c>
      <c r="P844" s="9">
        <v>1966.0</v>
      </c>
      <c r="Q844" s="9">
        <v>99.0</v>
      </c>
      <c r="R844" s="9">
        <v>0.0</v>
      </c>
      <c r="S844" s="9">
        <v>0.0</v>
      </c>
      <c r="T844" s="9">
        <v>0.0</v>
      </c>
      <c r="U844" s="9">
        <v>0.0</v>
      </c>
      <c r="V844" s="9">
        <v>0.0</v>
      </c>
      <c r="W844" s="9">
        <v>0.0</v>
      </c>
      <c r="X844" s="9">
        <v>0.0</v>
      </c>
      <c r="Y844" s="9">
        <v>0.0</v>
      </c>
      <c r="Z844" s="9">
        <v>0.0</v>
      </c>
      <c r="AA844" s="9">
        <v>0.0</v>
      </c>
      <c r="AB844" s="9">
        <v>0.0</v>
      </c>
      <c r="AC844" s="9">
        <v>0.0</v>
      </c>
      <c r="AD844" s="12"/>
      <c r="AE844" s="9" t="s">
        <v>9</v>
      </c>
    </row>
    <row r="845">
      <c r="A845" s="7" t="s">
        <v>2068</v>
      </c>
      <c r="B845" s="7" t="s">
        <v>2069</v>
      </c>
      <c r="C845" s="8">
        <v>46220.0</v>
      </c>
      <c r="D845" s="8">
        <v>46220.0</v>
      </c>
      <c r="E845" s="7" t="s">
        <v>358</v>
      </c>
      <c r="F845" s="7" t="s">
        <v>387</v>
      </c>
      <c r="G845" s="7" t="s">
        <v>355</v>
      </c>
      <c r="H845" s="9">
        <v>0.0</v>
      </c>
      <c r="I845" s="9">
        <v>0.0</v>
      </c>
      <c r="J845" s="9">
        <v>0.0</v>
      </c>
      <c r="K845" s="9">
        <v>0.0</v>
      </c>
      <c r="L845" s="10">
        <v>0.0</v>
      </c>
      <c r="M845" s="9">
        <v>0.0</v>
      </c>
      <c r="N845" s="9">
        <v>26121.0</v>
      </c>
      <c r="O845" s="9">
        <v>16699.0</v>
      </c>
      <c r="P845" s="9">
        <v>7068.0</v>
      </c>
      <c r="Q845" s="9">
        <v>273.0</v>
      </c>
      <c r="R845" s="9">
        <v>0.0</v>
      </c>
      <c r="S845" s="9">
        <v>0.0</v>
      </c>
      <c r="T845" s="9">
        <v>0.0</v>
      </c>
      <c r="U845" s="9">
        <v>0.0</v>
      </c>
      <c r="V845" s="9">
        <v>0.0</v>
      </c>
      <c r="W845" s="9">
        <v>0.0</v>
      </c>
      <c r="X845" s="9">
        <v>0.0</v>
      </c>
      <c r="Y845" s="9">
        <v>0.0</v>
      </c>
      <c r="Z845" s="9">
        <v>0.0</v>
      </c>
      <c r="AA845" s="9">
        <v>0.0</v>
      </c>
      <c r="AB845" s="9">
        <v>0.0</v>
      </c>
      <c r="AC845" s="9">
        <v>0.0</v>
      </c>
      <c r="AD845" s="12"/>
      <c r="AE845" s="9" t="s">
        <v>9</v>
      </c>
    </row>
    <row r="846">
      <c r="A846" s="7" t="s">
        <v>2070</v>
      </c>
      <c r="B846" s="7" t="s">
        <v>2071</v>
      </c>
      <c r="C846" s="8">
        <v>46220.0</v>
      </c>
      <c r="D846" s="8">
        <v>46220.0</v>
      </c>
      <c r="E846" s="7" t="s">
        <v>358</v>
      </c>
      <c r="F846" s="7" t="s">
        <v>387</v>
      </c>
      <c r="G846" s="7" t="s">
        <v>355</v>
      </c>
      <c r="H846" s="9">
        <v>0.0</v>
      </c>
      <c r="I846" s="9">
        <v>0.0</v>
      </c>
      <c r="J846" s="9">
        <v>0.0</v>
      </c>
      <c r="K846" s="9">
        <v>0.0</v>
      </c>
      <c r="L846" s="10">
        <v>0.0</v>
      </c>
      <c r="M846" s="9">
        <v>0.0</v>
      </c>
      <c r="N846" s="9">
        <v>16008.0</v>
      </c>
      <c r="O846" s="9">
        <v>10411.0</v>
      </c>
      <c r="P846" s="9">
        <v>3558.0</v>
      </c>
      <c r="Q846" s="9">
        <v>126.0</v>
      </c>
      <c r="R846" s="9">
        <v>0.0</v>
      </c>
      <c r="S846" s="9">
        <v>0.0</v>
      </c>
      <c r="T846" s="9">
        <v>0.0</v>
      </c>
      <c r="U846" s="9">
        <v>0.0</v>
      </c>
      <c r="V846" s="9">
        <v>0.0</v>
      </c>
      <c r="W846" s="9">
        <v>0.0</v>
      </c>
      <c r="X846" s="9">
        <v>0.0</v>
      </c>
      <c r="Y846" s="9">
        <v>0.0</v>
      </c>
      <c r="Z846" s="9">
        <v>0.0</v>
      </c>
      <c r="AA846" s="9">
        <v>0.0</v>
      </c>
      <c r="AB846" s="9">
        <v>0.0</v>
      </c>
      <c r="AC846" s="9">
        <v>0.0</v>
      </c>
      <c r="AD846" s="12"/>
      <c r="AE846" s="9" t="s">
        <v>9</v>
      </c>
    </row>
    <row r="847">
      <c r="A847" s="7" t="s">
        <v>2072</v>
      </c>
      <c r="B847" s="7" t="s">
        <v>2073</v>
      </c>
      <c r="C847" s="8">
        <v>46219.0</v>
      </c>
      <c r="D847" s="8">
        <v>46227.0</v>
      </c>
      <c r="E847" s="7" t="s">
        <v>416</v>
      </c>
      <c r="F847" s="7" t="s">
        <v>417</v>
      </c>
      <c r="G847" s="7" t="s">
        <v>410</v>
      </c>
      <c r="H847" s="9">
        <v>359374.0</v>
      </c>
      <c r="I847" s="9">
        <v>0.0</v>
      </c>
      <c r="J847" s="9">
        <v>1396.0</v>
      </c>
      <c r="K847" s="9">
        <v>14962.0</v>
      </c>
      <c r="L847" s="10">
        <v>5.014102392728245</v>
      </c>
      <c r="M847" s="9">
        <v>24.0191150915653</v>
      </c>
      <c r="N847" s="9">
        <v>0.0</v>
      </c>
      <c r="O847" s="9">
        <v>0.0</v>
      </c>
      <c r="P847" s="9">
        <v>0.0</v>
      </c>
      <c r="Q847" s="9">
        <v>0.0</v>
      </c>
      <c r="R847" s="9">
        <v>0.0</v>
      </c>
      <c r="S847" s="9">
        <v>0.0</v>
      </c>
      <c r="T847" s="9">
        <v>0.0</v>
      </c>
      <c r="U847" s="9">
        <v>0.0</v>
      </c>
      <c r="V847" s="9">
        <v>0.0</v>
      </c>
      <c r="W847" s="9">
        <v>0.0</v>
      </c>
      <c r="X847" s="9">
        <v>0.0</v>
      </c>
      <c r="Y847" s="9">
        <v>0.0</v>
      </c>
      <c r="Z847" s="9">
        <v>0.0</v>
      </c>
      <c r="AA847" s="9">
        <v>0.0</v>
      </c>
      <c r="AB847" s="9">
        <v>0.0</v>
      </c>
      <c r="AC847" s="9">
        <v>0.0</v>
      </c>
      <c r="AD847" s="12"/>
      <c r="AE847" s="9"/>
    </row>
    <row r="848">
      <c r="A848" s="7" t="s">
        <v>2074</v>
      </c>
      <c r="B848" s="7" t="s">
        <v>2075</v>
      </c>
      <c r="C848" s="8">
        <v>46219.0</v>
      </c>
      <c r="D848" s="8">
        <v>46234.0</v>
      </c>
      <c r="E848" s="7" t="s">
        <v>473</v>
      </c>
      <c r="F848" s="7" t="s">
        <v>466</v>
      </c>
      <c r="G848" s="7" t="s">
        <v>410</v>
      </c>
      <c r="H848" s="9">
        <v>641019.0</v>
      </c>
      <c r="I848" s="9">
        <v>125075.0</v>
      </c>
      <c r="J848" s="9">
        <v>777.0</v>
      </c>
      <c r="K848" s="9">
        <v>224810.0</v>
      </c>
      <c r="L848" s="10">
        <v>1.4856767937369335</v>
      </c>
      <c r="M848" s="9">
        <v>2.8513811663182245</v>
      </c>
      <c r="N848" s="9">
        <v>0.0</v>
      </c>
      <c r="O848" s="9">
        <v>0.0</v>
      </c>
      <c r="P848" s="9">
        <v>0.0</v>
      </c>
      <c r="Q848" s="9">
        <v>0.0</v>
      </c>
      <c r="R848" s="9">
        <v>0.0</v>
      </c>
      <c r="S848" s="9">
        <v>0.0</v>
      </c>
      <c r="T848" s="9">
        <v>0.0</v>
      </c>
      <c r="U848" s="9">
        <v>0.0</v>
      </c>
      <c r="V848" s="9">
        <v>0.0</v>
      </c>
      <c r="W848" s="9">
        <v>0.0</v>
      </c>
      <c r="X848" s="9">
        <v>0.0</v>
      </c>
      <c r="Y848" s="9">
        <v>0.0</v>
      </c>
      <c r="Z848" s="9">
        <v>0.0</v>
      </c>
      <c r="AA848" s="9">
        <v>0.0</v>
      </c>
      <c r="AB848" s="9">
        <v>0.0</v>
      </c>
      <c r="AC848" s="9">
        <v>0.0</v>
      </c>
      <c r="AD848" s="12"/>
      <c r="AE848" s="9"/>
    </row>
    <row r="849">
      <c r="A849" s="7" t="s">
        <v>2076</v>
      </c>
      <c r="B849" s="7" t="s">
        <v>2077</v>
      </c>
      <c r="C849" s="8">
        <v>46218.0</v>
      </c>
      <c r="D849" s="8">
        <v>46221.0</v>
      </c>
      <c r="E849" s="7" t="s">
        <v>364</v>
      </c>
      <c r="F849" s="7" t="s">
        <v>365</v>
      </c>
      <c r="G849" s="7" t="s">
        <v>355</v>
      </c>
      <c r="H849" s="9">
        <v>416733.0</v>
      </c>
      <c r="I849" s="9">
        <v>0.0</v>
      </c>
      <c r="J849" s="9">
        <v>587.0</v>
      </c>
      <c r="K849" s="9">
        <v>270152.0</v>
      </c>
      <c r="L849" s="10">
        <v>1.5425871361307708</v>
      </c>
      <c r="M849" s="9">
        <v>1.5425871361307708</v>
      </c>
      <c r="N849" s="9">
        <v>123150.0</v>
      </c>
      <c r="O849" s="9">
        <v>122259.0</v>
      </c>
      <c r="P849" s="9">
        <v>37590.0</v>
      </c>
      <c r="Q849" s="9">
        <v>160.0</v>
      </c>
      <c r="R849" s="9">
        <v>0.0</v>
      </c>
      <c r="S849" s="9">
        <v>0.0</v>
      </c>
      <c r="T849" s="9">
        <v>0.0</v>
      </c>
      <c r="U849" s="9">
        <v>0.0</v>
      </c>
      <c r="V849" s="9">
        <v>0.0</v>
      </c>
      <c r="W849" s="9">
        <v>0.0</v>
      </c>
      <c r="X849" s="9">
        <v>0.0</v>
      </c>
      <c r="Y849" s="9">
        <v>0.0</v>
      </c>
      <c r="Z849" s="9">
        <v>0.0</v>
      </c>
      <c r="AA849" s="9">
        <v>0.0</v>
      </c>
      <c r="AB849" s="9">
        <v>0.0</v>
      </c>
      <c r="AC849" s="9">
        <v>0.0</v>
      </c>
      <c r="AD849" s="12"/>
      <c r="AE849" s="9" t="s">
        <v>9</v>
      </c>
    </row>
    <row r="850">
      <c r="A850" s="7" t="s">
        <v>2078</v>
      </c>
      <c r="B850" s="7" t="s">
        <v>2079</v>
      </c>
      <c r="C850" s="8">
        <v>46218.0</v>
      </c>
      <c r="D850" s="8">
        <v>46231.0</v>
      </c>
      <c r="E850" s="7" t="s">
        <v>416</v>
      </c>
      <c r="F850" s="7" t="s">
        <v>430</v>
      </c>
      <c r="G850" s="7" t="s">
        <v>410</v>
      </c>
      <c r="H850" s="9">
        <v>350203.0</v>
      </c>
      <c r="I850" s="9">
        <v>0.0</v>
      </c>
      <c r="J850" s="9">
        <v>311.0</v>
      </c>
      <c r="K850" s="9">
        <v>243343.0</v>
      </c>
      <c r="L850" s="10">
        <v>1.439133239912387</v>
      </c>
      <c r="M850" s="9">
        <v>1.439133239912387</v>
      </c>
      <c r="N850" s="9">
        <v>0.0</v>
      </c>
      <c r="O850" s="9">
        <v>0.0</v>
      </c>
      <c r="P850" s="9">
        <v>0.0</v>
      </c>
      <c r="Q850" s="9">
        <v>0.0</v>
      </c>
      <c r="R850" s="9">
        <v>0.0</v>
      </c>
      <c r="S850" s="9">
        <v>0.0</v>
      </c>
      <c r="T850" s="9">
        <v>0.0</v>
      </c>
      <c r="U850" s="9">
        <v>0.0</v>
      </c>
      <c r="V850" s="9">
        <v>0.0</v>
      </c>
      <c r="W850" s="9">
        <v>0.0</v>
      </c>
      <c r="X850" s="9">
        <v>0.0</v>
      </c>
      <c r="Y850" s="9">
        <v>0.0</v>
      </c>
      <c r="Z850" s="9">
        <v>0.0</v>
      </c>
      <c r="AA850" s="9">
        <v>0.0</v>
      </c>
      <c r="AB850" s="9">
        <v>0.0</v>
      </c>
      <c r="AC850" s="9">
        <v>0.0</v>
      </c>
      <c r="AD850" s="12"/>
      <c r="AE850" s="9"/>
    </row>
    <row r="851">
      <c r="A851" s="7" t="s">
        <v>2080</v>
      </c>
      <c r="B851" s="7" t="s">
        <v>2081</v>
      </c>
      <c r="C851" s="8">
        <v>46225.0</v>
      </c>
      <c r="D851" s="8">
        <v>46236.0</v>
      </c>
      <c r="E851" s="7" t="s">
        <v>404</v>
      </c>
      <c r="F851" s="7" t="s">
        <v>667</v>
      </c>
      <c r="G851" s="7" t="s">
        <v>410</v>
      </c>
      <c r="H851" s="9">
        <v>161.0</v>
      </c>
      <c r="I851" s="9">
        <v>99.0</v>
      </c>
      <c r="J851" s="9">
        <v>0.0</v>
      </c>
      <c r="K851" s="9">
        <v>0.0</v>
      </c>
      <c r="L851" s="10">
        <v>0.0</v>
      </c>
      <c r="M851" s="9">
        <v>0.0</v>
      </c>
      <c r="N851" s="9">
        <v>152030.0</v>
      </c>
      <c r="O851" s="9">
        <v>151427.0</v>
      </c>
      <c r="P851" s="9">
        <v>21105.0</v>
      </c>
      <c r="Q851" s="9">
        <v>984.0</v>
      </c>
      <c r="R851" s="9">
        <v>0.0</v>
      </c>
      <c r="S851" s="9">
        <v>0.0</v>
      </c>
      <c r="T851" s="9">
        <v>0.0</v>
      </c>
      <c r="U851" s="9">
        <v>0.0</v>
      </c>
      <c r="V851" s="9">
        <v>0.0</v>
      </c>
      <c r="W851" s="9">
        <v>0.0</v>
      </c>
      <c r="X851" s="9">
        <v>0.0</v>
      </c>
      <c r="Y851" s="9">
        <v>0.0</v>
      </c>
      <c r="Z851" s="9">
        <v>0.0</v>
      </c>
      <c r="AA851" s="9">
        <v>0.0</v>
      </c>
      <c r="AB851" s="9">
        <v>0.0</v>
      </c>
      <c r="AC851" s="9">
        <v>0.0</v>
      </c>
      <c r="AD851" s="12"/>
      <c r="AE851" s="9" t="s">
        <v>9</v>
      </c>
    </row>
    <row r="852">
      <c r="A852" s="7" t="s">
        <v>2082</v>
      </c>
      <c r="B852" s="7" t="s">
        <v>2083</v>
      </c>
      <c r="C852" s="8">
        <v>46225.0</v>
      </c>
      <c r="D852" s="8">
        <v>46236.0</v>
      </c>
      <c r="E852" s="7" t="s">
        <v>404</v>
      </c>
      <c r="F852" s="7" t="s">
        <v>667</v>
      </c>
      <c r="G852" s="7" t="s">
        <v>410</v>
      </c>
      <c r="H852" s="9">
        <v>870.0</v>
      </c>
      <c r="I852" s="9">
        <v>383.0</v>
      </c>
      <c r="J852" s="9">
        <v>0.0</v>
      </c>
      <c r="K852" s="9">
        <v>0.0</v>
      </c>
      <c r="L852" s="10">
        <v>0.0</v>
      </c>
      <c r="M852" s="9">
        <v>0.0</v>
      </c>
      <c r="N852" s="9">
        <v>0.0</v>
      </c>
      <c r="O852" s="9">
        <v>0.0</v>
      </c>
      <c r="P852" s="9">
        <v>0.0</v>
      </c>
      <c r="Q852" s="9">
        <v>0.0</v>
      </c>
      <c r="R852" s="9">
        <v>0.0</v>
      </c>
      <c r="S852" s="9">
        <v>0.0</v>
      </c>
      <c r="T852" s="9">
        <v>0.0</v>
      </c>
      <c r="U852" s="9">
        <v>0.0</v>
      </c>
      <c r="V852" s="9">
        <v>0.0</v>
      </c>
      <c r="W852" s="9">
        <v>0.0</v>
      </c>
      <c r="X852" s="9">
        <v>0.0</v>
      </c>
      <c r="Y852" s="9">
        <v>0.0</v>
      </c>
      <c r="Z852" s="9">
        <v>0.0</v>
      </c>
      <c r="AA852" s="9">
        <v>0.0</v>
      </c>
      <c r="AB852" s="9">
        <v>0.0</v>
      </c>
      <c r="AC852" s="9">
        <v>0.0</v>
      </c>
      <c r="AD852" s="12"/>
      <c r="AE852" s="9"/>
    </row>
    <row r="853">
      <c r="A853" s="7" t="s">
        <v>2084</v>
      </c>
      <c r="B853" s="7" t="s">
        <v>2085</v>
      </c>
      <c r="C853" s="8">
        <v>46224.0</v>
      </c>
      <c r="D853" s="8">
        <v>46236.0</v>
      </c>
      <c r="E853" s="7" t="s">
        <v>404</v>
      </c>
      <c r="F853" s="7" t="s">
        <v>667</v>
      </c>
      <c r="G853" s="7" t="s">
        <v>410</v>
      </c>
      <c r="H853" s="9">
        <v>36350.0</v>
      </c>
      <c r="I853" s="9">
        <v>0.0</v>
      </c>
      <c r="J853" s="9">
        <v>469.0</v>
      </c>
      <c r="K853" s="9">
        <v>0.0</v>
      </c>
      <c r="L853" s="10">
        <v>0.0</v>
      </c>
      <c r="M853" s="9">
        <v>0.0</v>
      </c>
      <c r="N853" s="9">
        <v>177189.0</v>
      </c>
      <c r="O853" s="9">
        <v>176563.0</v>
      </c>
      <c r="P853" s="9">
        <v>21499.0</v>
      </c>
      <c r="Q853" s="9">
        <v>1353.0</v>
      </c>
      <c r="R853" s="9">
        <v>0.0</v>
      </c>
      <c r="S853" s="9">
        <v>0.0</v>
      </c>
      <c r="T853" s="9">
        <v>0.0</v>
      </c>
      <c r="U853" s="9">
        <v>0.0</v>
      </c>
      <c r="V853" s="9">
        <v>0.0</v>
      </c>
      <c r="W853" s="9">
        <v>0.0</v>
      </c>
      <c r="X853" s="9">
        <v>0.0</v>
      </c>
      <c r="Y853" s="9">
        <v>0.0</v>
      </c>
      <c r="Z853" s="9">
        <v>0.0</v>
      </c>
      <c r="AA853" s="9">
        <v>0.0</v>
      </c>
      <c r="AB853" s="9">
        <v>0.0</v>
      </c>
      <c r="AC853" s="9">
        <v>0.0</v>
      </c>
      <c r="AD853" s="9"/>
      <c r="AE853" s="9" t="s">
        <v>9</v>
      </c>
    </row>
    <row r="854">
      <c r="A854" s="7" t="s">
        <v>2086</v>
      </c>
      <c r="B854" s="7" t="s">
        <v>2087</v>
      </c>
      <c r="C854" s="8">
        <v>46219.0</v>
      </c>
      <c r="D854" s="8">
        <v>46225.0</v>
      </c>
      <c r="E854" s="7" t="s">
        <v>416</v>
      </c>
      <c r="F854" s="7" t="s">
        <v>413</v>
      </c>
      <c r="G854" s="7" t="s">
        <v>410</v>
      </c>
      <c r="H854" s="9">
        <v>824122.0</v>
      </c>
      <c r="I854" s="9">
        <v>0.0</v>
      </c>
      <c r="J854" s="9">
        <v>1249.0</v>
      </c>
      <c r="K854" s="9">
        <v>656525.0</v>
      </c>
      <c r="L854" s="10">
        <v>1.2552789307337877</v>
      </c>
      <c r="M854" s="9">
        <v>1.2552789307337877</v>
      </c>
      <c r="N854" s="9">
        <v>128273.0</v>
      </c>
      <c r="O854" s="9">
        <v>126396.0</v>
      </c>
      <c r="P854" s="9">
        <v>22458.0</v>
      </c>
      <c r="Q854" s="9">
        <v>377.0</v>
      </c>
      <c r="R854" s="9">
        <v>99.0</v>
      </c>
      <c r="S854" s="9">
        <v>98.0</v>
      </c>
      <c r="T854" s="9">
        <v>25.0</v>
      </c>
      <c r="U854" s="9">
        <v>21.0</v>
      </c>
      <c r="V854" s="9">
        <v>0.0</v>
      </c>
      <c r="W854" s="9">
        <v>0.0</v>
      </c>
      <c r="X854" s="9">
        <v>0.0</v>
      </c>
      <c r="Y854" s="9">
        <v>0.0</v>
      </c>
      <c r="Z854" s="9">
        <v>0.0</v>
      </c>
      <c r="AA854" s="9">
        <v>0.0</v>
      </c>
      <c r="AB854" s="9">
        <v>0.0</v>
      </c>
      <c r="AC854" s="9">
        <v>0.0</v>
      </c>
      <c r="AD854" s="9"/>
      <c r="AE854" s="9" t="s">
        <v>9</v>
      </c>
    </row>
    <row r="855">
      <c r="A855" s="7" t="s">
        <v>2088</v>
      </c>
      <c r="B855" s="7" t="s">
        <v>2089</v>
      </c>
      <c r="C855" s="8">
        <v>46224.0</v>
      </c>
      <c r="D855" s="8">
        <v>46236.0</v>
      </c>
      <c r="E855" s="7" t="s">
        <v>404</v>
      </c>
      <c r="F855" s="7" t="s">
        <v>667</v>
      </c>
      <c r="G855" s="7" t="s">
        <v>410</v>
      </c>
      <c r="H855" s="9">
        <v>161032.0</v>
      </c>
      <c r="I855" s="9">
        <v>18114.0</v>
      </c>
      <c r="J855" s="9">
        <v>148.0</v>
      </c>
      <c r="K855" s="9">
        <v>128395.0</v>
      </c>
      <c r="L855" s="10">
        <v>1.235421940106702</v>
      </c>
      <c r="M855" s="9">
        <v>1.2541921414385295</v>
      </c>
      <c r="N855" s="9">
        <v>0.0</v>
      </c>
      <c r="O855" s="9">
        <v>0.0</v>
      </c>
      <c r="P855" s="9">
        <v>0.0</v>
      </c>
      <c r="Q855" s="9">
        <v>0.0</v>
      </c>
      <c r="R855" s="9">
        <v>0.0</v>
      </c>
      <c r="S855" s="9">
        <v>0.0</v>
      </c>
      <c r="T855" s="9">
        <v>0.0</v>
      </c>
      <c r="U855" s="9">
        <v>0.0</v>
      </c>
      <c r="V855" s="9">
        <v>0.0</v>
      </c>
      <c r="W855" s="9">
        <v>0.0</v>
      </c>
      <c r="X855" s="9">
        <v>0.0</v>
      </c>
      <c r="Y855" s="9">
        <v>0.0</v>
      </c>
      <c r="Z855" s="9">
        <v>0.0</v>
      </c>
      <c r="AA855" s="9">
        <v>0.0</v>
      </c>
      <c r="AB855" s="9">
        <v>0.0</v>
      </c>
      <c r="AC855" s="9">
        <v>0.0</v>
      </c>
      <c r="AD855" s="12"/>
      <c r="AE855" s="9"/>
    </row>
    <row r="856">
      <c r="A856" s="7" t="s">
        <v>2090</v>
      </c>
      <c r="B856" s="7" t="s">
        <v>2091</v>
      </c>
      <c r="C856" s="8">
        <v>46224.0</v>
      </c>
      <c r="D856" s="8">
        <v>46236.0</v>
      </c>
      <c r="E856" s="7" t="s">
        <v>404</v>
      </c>
      <c r="F856" s="7" t="s">
        <v>667</v>
      </c>
      <c r="G856" s="7" t="s">
        <v>410</v>
      </c>
      <c r="H856" s="9">
        <v>948.0</v>
      </c>
      <c r="I856" s="9">
        <v>342.0</v>
      </c>
      <c r="J856" s="9">
        <v>1.0</v>
      </c>
      <c r="K856" s="9">
        <v>0.0</v>
      </c>
      <c r="L856" s="10">
        <v>0.0</v>
      </c>
      <c r="M856" s="9">
        <v>0.0</v>
      </c>
      <c r="N856" s="9">
        <v>0.0</v>
      </c>
      <c r="O856" s="9">
        <v>0.0</v>
      </c>
      <c r="P856" s="9">
        <v>0.0</v>
      </c>
      <c r="Q856" s="9">
        <v>0.0</v>
      </c>
      <c r="R856" s="9">
        <v>0.0</v>
      </c>
      <c r="S856" s="9">
        <v>0.0</v>
      </c>
      <c r="T856" s="9">
        <v>0.0</v>
      </c>
      <c r="U856" s="9">
        <v>0.0</v>
      </c>
      <c r="V856" s="9">
        <v>0.0</v>
      </c>
      <c r="W856" s="9">
        <v>0.0</v>
      </c>
      <c r="X856" s="9">
        <v>0.0</v>
      </c>
      <c r="Y856" s="9">
        <v>0.0</v>
      </c>
      <c r="Z856" s="9">
        <v>0.0</v>
      </c>
      <c r="AA856" s="9">
        <v>0.0</v>
      </c>
      <c r="AB856" s="9">
        <v>0.0</v>
      </c>
      <c r="AC856" s="9">
        <v>0.0</v>
      </c>
      <c r="AD856" s="12"/>
      <c r="AE856" s="9" t="s">
        <v>9</v>
      </c>
    </row>
    <row r="857">
      <c r="A857" s="7" t="s">
        <v>2092</v>
      </c>
      <c r="B857" s="7" t="s">
        <v>2093</v>
      </c>
      <c r="C857" s="8">
        <v>46224.0</v>
      </c>
      <c r="D857" s="8">
        <v>46236.0</v>
      </c>
      <c r="E857" s="7" t="s">
        <v>404</v>
      </c>
      <c r="F857" s="7" t="s">
        <v>667</v>
      </c>
      <c r="G857" s="7" t="s">
        <v>410</v>
      </c>
      <c r="H857" s="9">
        <v>2992.0</v>
      </c>
      <c r="I857" s="9">
        <v>1375.0</v>
      </c>
      <c r="J857" s="9">
        <v>6.0</v>
      </c>
      <c r="K857" s="9">
        <v>0.0</v>
      </c>
      <c r="L857" s="10">
        <v>0.0</v>
      </c>
      <c r="M857" s="9">
        <v>0.0</v>
      </c>
      <c r="N857" s="9">
        <v>0.0</v>
      </c>
      <c r="O857" s="9">
        <v>0.0</v>
      </c>
      <c r="P857" s="9">
        <v>0.0</v>
      </c>
      <c r="Q857" s="9">
        <v>0.0</v>
      </c>
      <c r="R857" s="9">
        <v>0.0</v>
      </c>
      <c r="S857" s="9">
        <v>0.0</v>
      </c>
      <c r="T857" s="9">
        <v>0.0</v>
      </c>
      <c r="U857" s="9">
        <v>0.0</v>
      </c>
      <c r="V857" s="9">
        <v>0.0</v>
      </c>
      <c r="W857" s="9">
        <v>0.0</v>
      </c>
      <c r="X857" s="9">
        <v>0.0</v>
      </c>
      <c r="Y857" s="9">
        <v>0.0</v>
      </c>
      <c r="Z857" s="9">
        <v>0.0</v>
      </c>
      <c r="AA857" s="9">
        <v>0.0</v>
      </c>
      <c r="AB857" s="9">
        <v>0.0</v>
      </c>
      <c r="AC857" s="9">
        <v>0.0</v>
      </c>
      <c r="AD857" s="9"/>
      <c r="AE857" s="9"/>
    </row>
    <row r="858">
      <c r="A858" s="7" t="s">
        <v>2094</v>
      </c>
      <c r="B858" s="7" t="s">
        <v>2095</v>
      </c>
      <c r="C858" s="8">
        <v>46220.0</v>
      </c>
      <c r="D858" s="8">
        <v>46236.0</v>
      </c>
      <c r="E858" s="7" t="s">
        <v>364</v>
      </c>
      <c r="F858" s="7" t="s">
        <v>365</v>
      </c>
      <c r="G858" s="7" t="s">
        <v>410</v>
      </c>
      <c r="H858" s="9">
        <v>12732.0</v>
      </c>
      <c r="I858" s="9">
        <v>0.0</v>
      </c>
      <c r="J858" s="9">
        <v>300.0</v>
      </c>
      <c r="K858" s="9">
        <v>8789.0</v>
      </c>
      <c r="L858" s="10">
        <v>1.4486289680282172</v>
      </c>
      <c r="M858" s="9">
        <v>1.4486289680282172</v>
      </c>
      <c r="N858" s="9">
        <v>111433.0</v>
      </c>
      <c r="O858" s="9">
        <v>89600.0</v>
      </c>
      <c r="P858" s="9">
        <v>32772.0</v>
      </c>
      <c r="Q858" s="9">
        <v>152.0</v>
      </c>
      <c r="R858" s="9">
        <v>0.0</v>
      </c>
      <c r="S858" s="9">
        <v>0.0</v>
      </c>
      <c r="T858" s="9">
        <v>0.0</v>
      </c>
      <c r="U858" s="9">
        <v>0.0</v>
      </c>
      <c r="V858" s="9">
        <v>0.0</v>
      </c>
      <c r="W858" s="9">
        <v>0.0</v>
      </c>
      <c r="X858" s="9">
        <v>0.0</v>
      </c>
      <c r="Y858" s="9">
        <v>0.0</v>
      </c>
      <c r="Z858" s="9">
        <v>0.0</v>
      </c>
      <c r="AA858" s="9">
        <v>0.0</v>
      </c>
      <c r="AB858" s="9">
        <v>0.0</v>
      </c>
      <c r="AC858" s="9">
        <v>0.0</v>
      </c>
      <c r="AD858" s="9"/>
      <c r="AE858" s="9" t="s">
        <v>9</v>
      </c>
    </row>
    <row r="859">
      <c r="A859" s="7" t="s">
        <v>2096</v>
      </c>
      <c r="B859" s="7" t="s">
        <v>2097</v>
      </c>
      <c r="C859" s="8">
        <v>46220.0</v>
      </c>
      <c r="D859" s="8">
        <v>46220.0</v>
      </c>
      <c r="E859" s="7" t="s">
        <v>353</v>
      </c>
      <c r="F859" s="7" t="s">
        <v>808</v>
      </c>
      <c r="G859" s="7" t="s">
        <v>355</v>
      </c>
      <c r="H859" s="9">
        <v>204344.0</v>
      </c>
      <c r="I859" s="9">
        <v>14393.0</v>
      </c>
      <c r="J859" s="9">
        <v>0.0</v>
      </c>
      <c r="K859" s="9">
        <v>201222.0</v>
      </c>
      <c r="L859" s="10">
        <v>1.0155152021150768</v>
      </c>
      <c r="M859" s="9">
        <v>1.0155152021150768</v>
      </c>
      <c r="N859" s="9">
        <v>0.0</v>
      </c>
      <c r="O859" s="9">
        <v>0.0</v>
      </c>
      <c r="P859" s="9">
        <v>0.0</v>
      </c>
      <c r="Q859" s="9">
        <v>0.0</v>
      </c>
      <c r="R859" s="9">
        <v>0.0</v>
      </c>
      <c r="S859" s="9">
        <v>0.0</v>
      </c>
      <c r="T859" s="9">
        <v>0.0</v>
      </c>
      <c r="U859" s="9">
        <v>0.0</v>
      </c>
      <c r="V859" s="9">
        <v>0.0</v>
      </c>
      <c r="W859" s="9">
        <v>0.0</v>
      </c>
      <c r="X859" s="9">
        <v>0.0</v>
      </c>
      <c r="Y859" s="9">
        <v>0.0</v>
      </c>
      <c r="Z859" s="9">
        <v>0.0</v>
      </c>
      <c r="AA859" s="9">
        <v>0.0</v>
      </c>
      <c r="AB859" s="9">
        <v>0.0</v>
      </c>
      <c r="AC859" s="9">
        <v>0.0</v>
      </c>
      <c r="AD859" s="9"/>
      <c r="AE859" s="9"/>
    </row>
    <row r="860">
      <c r="A860" s="7" t="s">
        <v>2098</v>
      </c>
      <c r="B860" s="7" t="s">
        <v>2099</v>
      </c>
      <c r="C860" s="8">
        <v>46225.0</v>
      </c>
      <c r="D860" s="8">
        <v>46225.0</v>
      </c>
      <c r="E860" s="7" t="s">
        <v>358</v>
      </c>
      <c r="F860" s="7" t="s">
        <v>387</v>
      </c>
      <c r="G860" s="7" t="s">
        <v>410</v>
      </c>
      <c r="H860" s="9">
        <v>0.0</v>
      </c>
      <c r="I860" s="9">
        <v>0.0</v>
      </c>
      <c r="J860" s="9">
        <v>0.0</v>
      </c>
      <c r="K860" s="9">
        <v>0.0</v>
      </c>
      <c r="L860" s="10">
        <v>0.0</v>
      </c>
      <c r="M860" s="9">
        <v>0.0</v>
      </c>
      <c r="N860" s="9">
        <v>8712.0</v>
      </c>
      <c r="O860" s="9">
        <v>8686.0</v>
      </c>
      <c r="P860" s="9">
        <v>1279.0</v>
      </c>
      <c r="Q860" s="9">
        <v>12.0</v>
      </c>
      <c r="R860" s="9">
        <v>0.0</v>
      </c>
      <c r="S860" s="9">
        <v>0.0</v>
      </c>
      <c r="T860" s="9">
        <v>0.0</v>
      </c>
      <c r="U860" s="9">
        <v>0.0</v>
      </c>
      <c r="V860" s="9">
        <v>0.0</v>
      </c>
      <c r="W860" s="9">
        <v>0.0</v>
      </c>
      <c r="X860" s="9">
        <v>0.0</v>
      </c>
      <c r="Y860" s="9">
        <v>0.0</v>
      </c>
      <c r="Z860" s="9">
        <v>0.0</v>
      </c>
      <c r="AA860" s="9">
        <v>0.0</v>
      </c>
      <c r="AB860" s="9">
        <v>0.0</v>
      </c>
      <c r="AC860" s="9">
        <v>0.0</v>
      </c>
      <c r="AD860" s="9"/>
      <c r="AE860" s="9" t="s">
        <v>9</v>
      </c>
    </row>
    <row r="861">
      <c r="A861" s="7" t="s">
        <v>2100</v>
      </c>
      <c r="B861" s="7" t="s">
        <v>2101</v>
      </c>
      <c r="C861" s="8">
        <v>46223.0</v>
      </c>
      <c r="D861" s="8">
        <v>46226.0</v>
      </c>
      <c r="E861" s="7" t="s">
        <v>416</v>
      </c>
      <c r="F861" s="7" t="s">
        <v>466</v>
      </c>
      <c r="G861" s="7" t="s">
        <v>410</v>
      </c>
      <c r="H861" s="9">
        <v>113246.0</v>
      </c>
      <c r="I861" s="9">
        <v>0.0</v>
      </c>
      <c r="J861" s="9">
        <v>402.0</v>
      </c>
      <c r="K861" s="9">
        <v>71000.0</v>
      </c>
      <c r="L861" s="10">
        <v>1.5950140845070422</v>
      </c>
      <c r="M861" s="9">
        <v>1.5950140845070422</v>
      </c>
      <c r="N861" s="9">
        <v>61721.0</v>
      </c>
      <c r="O861" s="9">
        <v>60354.0</v>
      </c>
      <c r="P861" s="9">
        <v>6768.0</v>
      </c>
      <c r="Q861" s="9">
        <v>84.0</v>
      </c>
      <c r="R861" s="9">
        <v>0.0</v>
      </c>
      <c r="S861" s="9">
        <v>0.0</v>
      </c>
      <c r="T861" s="9">
        <v>0.0</v>
      </c>
      <c r="U861" s="9">
        <v>0.0</v>
      </c>
      <c r="V861" s="9">
        <v>0.0</v>
      </c>
      <c r="W861" s="9">
        <v>0.0</v>
      </c>
      <c r="X861" s="9">
        <v>0.0</v>
      </c>
      <c r="Y861" s="9">
        <v>0.0</v>
      </c>
      <c r="Z861" s="9">
        <v>0.0</v>
      </c>
      <c r="AA861" s="9">
        <v>0.0</v>
      </c>
      <c r="AB861" s="9">
        <v>0.0</v>
      </c>
      <c r="AC861" s="9">
        <v>0.0</v>
      </c>
      <c r="AD861" s="9"/>
      <c r="AE861" s="9"/>
    </row>
    <row r="862">
      <c r="A862" s="7" t="s">
        <v>2102</v>
      </c>
      <c r="B862" s="7" t="s">
        <v>2103</v>
      </c>
      <c r="C862" s="8">
        <v>46223.0</v>
      </c>
      <c r="D862" s="8">
        <v>46226.0</v>
      </c>
      <c r="E862" s="7" t="s">
        <v>416</v>
      </c>
      <c r="F862" s="7" t="s">
        <v>466</v>
      </c>
      <c r="G862" s="7" t="s">
        <v>410</v>
      </c>
      <c r="H862" s="9">
        <v>99914.0</v>
      </c>
      <c r="I862" s="9">
        <v>0.0</v>
      </c>
      <c r="J862" s="9">
        <v>369.0</v>
      </c>
      <c r="K862" s="9">
        <v>63475.0</v>
      </c>
      <c r="L862" s="10">
        <v>1.574068530917684</v>
      </c>
      <c r="M862" s="9">
        <v>1.574068530917684</v>
      </c>
      <c r="N862" s="9">
        <v>68869.0</v>
      </c>
      <c r="O862" s="9">
        <v>67830.0</v>
      </c>
      <c r="P862" s="9">
        <v>10114.0</v>
      </c>
      <c r="Q862" s="9">
        <v>149.0</v>
      </c>
      <c r="R862" s="9">
        <v>0.0</v>
      </c>
      <c r="S862" s="9">
        <v>0.0</v>
      </c>
      <c r="T862" s="9">
        <v>0.0</v>
      </c>
      <c r="U862" s="9">
        <v>0.0</v>
      </c>
      <c r="V862" s="9">
        <v>0.0</v>
      </c>
      <c r="W862" s="9">
        <v>0.0</v>
      </c>
      <c r="X862" s="9">
        <v>0.0</v>
      </c>
      <c r="Y862" s="9">
        <v>0.0</v>
      </c>
      <c r="Z862" s="9">
        <v>0.0</v>
      </c>
      <c r="AA862" s="9">
        <v>0.0</v>
      </c>
      <c r="AB862" s="9">
        <v>0.0</v>
      </c>
      <c r="AC862" s="9">
        <v>0.0</v>
      </c>
      <c r="AD862" s="9"/>
      <c r="AE862" s="9" t="s">
        <v>9</v>
      </c>
    </row>
    <row r="863">
      <c r="A863" s="7" t="s">
        <v>2104</v>
      </c>
      <c r="B863" s="7" t="s">
        <v>2105</v>
      </c>
      <c r="C863" s="8">
        <v>46223.0</v>
      </c>
      <c r="D863" s="8">
        <v>46226.0</v>
      </c>
      <c r="E863" s="7" t="s">
        <v>416</v>
      </c>
      <c r="F863" s="7" t="s">
        <v>466</v>
      </c>
      <c r="G863" s="7" t="s">
        <v>410</v>
      </c>
      <c r="H863" s="9">
        <v>97023.0</v>
      </c>
      <c r="I863" s="9">
        <v>0.0</v>
      </c>
      <c r="J863" s="9">
        <v>362.0</v>
      </c>
      <c r="K863" s="9">
        <v>60420.0</v>
      </c>
      <c r="L863" s="10">
        <v>1.6058093346573983</v>
      </c>
      <c r="M863" s="9">
        <v>1.6058093346573983</v>
      </c>
      <c r="N863" s="9">
        <v>67288.0</v>
      </c>
      <c r="O863" s="9">
        <v>66554.0</v>
      </c>
      <c r="P863" s="9">
        <v>11320.0</v>
      </c>
      <c r="Q863" s="9">
        <v>135.0</v>
      </c>
      <c r="R863" s="9">
        <v>0.0</v>
      </c>
      <c r="S863" s="9">
        <v>0.0</v>
      </c>
      <c r="T863" s="9">
        <v>0.0</v>
      </c>
      <c r="U863" s="9">
        <v>0.0</v>
      </c>
      <c r="V863" s="9">
        <v>0.0</v>
      </c>
      <c r="W863" s="9">
        <v>0.0</v>
      </c>
      <c r="X863" s="9">
        <v>0.0</v>
      </c>
      <c r="Y863" s="9">
        <v>0.0</v>
      </c>
      <c r="Z863" s="9">
        <v>0.0</v>
      </c>
      <c r="AA863" s="9">
        <v>0.0</v>
      </c>
      <c r="AB863" s="9">
        <v>0.0</v>
      </c>
      <c r="AC863" s="9">
        <v>0.0</v>
      </c>
      <c r="AD863" s="11" t="s">
        <v>326</v>
      </c>
      <c r="AE863" s="9" t="s">
        <v>9</v>
      </c>
    </row>
    <row r="864">
      <c r="A864" s="7" t="s">
        <v>2106</v>
      </c>
      <c r="B864" s="7" t="s">
        <v>2107</v>
      </c>
      <c r="C864" s="8">
        <v>46223.0</v>
      </c>
      <c r="D864" s="8">
        <v>46226.0</v>
      </c>
      <c r="E864" s="7" t="s">
        <v>416</v>
      </c>
      <c r="F864" s="7" t="s">
        <v>466</v>
      </c>
      <c r="G864" s="7" t="s">
        <v>410</v>
      </c>
      <c r="H864" s="9">
        <v>119214.0</v>
      </c>
      <c r="I864" s="9">
        <v>0.0</v>
      </c>
      <c r="J864" s="9">
        <v>392.0</v>
      </c>
      <c r="K864" s="9">
        <v>75693.0</v>
      </c>
      <c r="L864" s="10">
        <v>1.5749673021283341</v>
      </c>
      <c r="M864" s="9">
        <v>1.5749673021283341</v>
      </c>
      <c r="N864" s="9">
        <v>84490.0</v>
      </c>
      <c r="O864" s="9">
        <v>83573.0</v>
      </c>
      <c r="P864" s="9">
        <v>16026.0</v>
      </c>
      <c r="Q864" s="9">
        <v>168.0</v>
      </c>
      <c r="R864" s="9">
        <v>0.0</v>
      </c>
      <c r="S864" s="9">
        <v>0.0</v>
      </c>
      <c r="T864" s="9">
        <v>0.0</v>
      </c>
      <c r="U864" s="9">
        <v>0.0</v>
      </c>
      <c r="V864" s="9">
        <v>0.0</v>
      </c>
      <c r="W864" s="9">
        <v>0.0</v>
      </c>
      <c r="X864" s="9">
        <v>0.0</v>
      </c>
      <c r="Y864" s="9">
        <v>0.0</v>
      </c>
      <c r="Z864" s="9">
        <v>0.0</v>
      </c>
      <c r="AA864" s="9">
        <v>0.0</v>
      </c>
      <c r="AB864" s="9">
        <v>0.0</v>
      </c>
      <c r="AC864" s="9">
        <v>0.0</v>
      </c>
      <c r="AD864" s="12"/>
      <c r="AE864" s="9" t="s">
        <v>9</v>
      </c>
    </row>
    <row r="865">
      <c r="A865" s="7" t="s">
        <v>2108</v>
      </c>
      <c r="B865" s="7" t="s">
        <v>2109</v>
      </c>
      <c r="C865" s="8">
        <v>46221.0</v>
      </c>
      <c r="D865" s="8">
        <v>46222.0</v>
      </c>
      <c r="E865" s="7" t="s">
        <v>353</v>
      </c>
      <c r="F865" s="7" t="s">
        <v>808</v>
      </c>
      <c r="G865" s="7" t="s">
        <v>355</v>
      </c>
      <c r="H865" s="9">
        <v>414840.0</v>
      </c>
      <c r="I865" s="9">
        <v>15476.0</v>
      </c>
      <c r="J865" s="9">
        <v>0.0</v>
      </c>
      <c r="K865" s="12"/>
      <c r="L865" s="10">
        <v>0.0</v>
      </c>
      <c r="M865" s="9">
        <v>0.0</v>
      </c>
      <c r="N865" s="9">
        <v>0.0</v>
      </c>
      <c r="O865" s="9">
        <v>0.0</v>
      </c>
      <c r="P865" s="9">
        <v>0.0</v>
      </c>
      <c r="Q865" s="9">
        <v>0.0</v>
      </c>
      <c r="R865" s="9">
        <v>0.0</v>
      </c>
      <c r="S865" s="9">
        <v>0.0</v>
      </c>
      <c r="T865" s="9">
        <v>0.0</v>
      </c>
      <c r="U865" s="9">
        <v>0.0</v>
      </c>
      <c r="V865" s="9">
        <v>0.0</v>
      </c>
      <c r="W865" s="9">
        <v>0.0</v>
      </c>
      <c r="X865" s="9">
        <v>0.0</v>
      </c>
      <c r="Y865" s="9">
        <v>0.0</v>
      </c>
      <c r="Z865" s="9">
        <v>0.0</v>
      </c>
      <c r="AA865" s="9">
        <v>0.0</v>
      </c>
      <c r="AB865" s="9">
        <v>0.0</v>
      </c>
      <c r="AC865" s="9">
        <v>0.0</v>
      </c>
      <c r="AD865" s="12"/>
      <c r="AE865" s="9"/>
    </row>
    <row r="866">
      <c r="A866" s="7" t="s">
        <v>2110</v>
      </c>
      <c r="B866" s="7" t="s">
        <v>2111</v>
      </c>
      <c r="C866" s="8">
        <v>46225.0</v>
      </c>
      <c r="D866" s="8">
        <v>46225.0</v>
      </c>
      <c r="E866" s="7" t="s">
        <v>416</v>
      </c>
      <c r="F866" s="7" t="s">
        <v>594</v>
      </c>
      <c r="G866" s="7" t="s">
        <v>410</v>
      </c>
      <c r="H866" s="9">
        <v>9611.0</v>
      </c>
      <c r="I866" s="9">
        <v>0.0</v>
      </c>
      <c r="J866" s="9">
        <v>31.0</v>
      </c>
      <c r="K866" s="12"/>
      <c r="L866" s="10">
        <v>0.0</v>
      </c>
      <c r="M866" s="9">
        <v>0.0</v>
      </c>
      <c r="N866" s="9">
        <v>23677.0</v>
      </c>
      <c r="O866" s="9">
        <v>23640.0</v>
      </c>
      <c r="P866" s="9">
        <v>2278.0</v>
      </c>
      <c r="Q866" s="9">
        <v>17.0</v>
      </c>
      <c r="R866" s="9">
        <v>0.0</v>
      </c>
      <c r="S866" s="9">
        <v>0.0</v>
      </c>
      <c r="T866" s="9">
        <v>0.0</v>
      </c>
      <c r="U866" s="9">
        <v>0.0</v>
      </c>
      <c r="V866" s="9">
        <v>0.0</v>
      </c>
      <c r="W866" s="9">
        <v>0.0</v>
      </c>
      <c r="X866" s="9">
        <v>0.0</v>
      </c>
      <c r="Y866" s="9">
        <v>0.0</v>
      </c>
      <c r="Z866" s="9">
        <v>0.0</v>
      </c>
      <c r="AA866" s="9">
        <v>0.0</v>
      </c>
      <c r="AB866" s="9">
        <v>0.0</v>
      </c>
      <c r="AC866" s="9">
        <v>0.0</v>
      </c>
      <c r="AD866" s="12"/>
      <c r="AE866" s="9" t="s">
        <v>9</v>
      </c>
    </row>
    <row r="867">
      <c r="A867" s="7" t="s">
        <v>2112</v>
      </c>
      <c r="B867" s="7" t="s">
        <v>2113</v>
      </c>
      <c r="C867" s="8">
        <v>46225.0</v>
      </c>
      <c r="D867" s="8">
        <v>46231.0</v>
      </c>
      <c r="E867" s="7" t="s">
        <v>416</v>
      </c>
      <c r="F867" s="7" t="s">
        <v>417</v>
      </c>
      <c r="G867" s="7" t="s">
        <v>410</v>
      </c>
      <c r="H867" s="9">
        <v>63994.0</v>
      </c>
      <c r="I867" s="9">
        <v>0.0</v>
      </c>
      <c r="J867" s="9">
        <v>144.0</v>
      </c>
      <c r="K867" s="12"/>
      <c r="L867" s="10">
        <v>0.0</v>
      </c>
      <c r="M867" s="9">
        <v>0.0</v>
      </c>
      <c r="N867" s="9">
        <v>227075.0</v>
      </c>
      <c r="O867" s="9">
        <v>226311.0</v>
      </c>
      <c r="P867" s="9">
        <v>26234.0</v>
      </c>
      <c r="Q867" s="9">
        <v>461.0</v>
      </c>
      <c r="R867" s="9">
        <v>0.0</v>
      </c>
      <c r="S867" s="9">
        <v>0.0</v>
      </c>
      <c r="T867" s="9">
        <v>0.0</v>
      </c>
      <c r="U867" s="9">
        <v>0.0</v>
      </c>
      <c r="V867" s="9">
        <v>0.0</v>
      </c>
      <c r="W867" s="9">
        <v>0.0</v>
      </c>
      <c r="X867" s="9">
        <v>0.0</v>
      </c>
      <c r="Y867" s="9">
        <v>0.0</v>
      </c>
      <c r="Z867" s="9">
        <v>0.0</v>
      </c>
      <c r="AA867" s="9">
        <v>0.0</v>
      </c>
      <c r="AB867" s="9">
        <v>0.0</v>
      </c>
      <c r="AC867" s="9">
        <v>0.0</v>
      </c>
      <c r="AD867" s="12"/>
      <c r="AE867" s="9" t="s">
        <v>9</v>
      </c>
    </row>
    <row r="868">
      <c r="A868" s="7" t="s">
        <v>2114</v>
      </c>
      <c r="B868" s="7" t="s">
        <v>2115</v>
      </c>
      <c r="C868" s="8">
        <v>46225.0</v>
      </c>
      <c r="D868" s="8">
        <v>46225.0</v>
      </c>
      <c r="E868" s="7" t="s">
        <v>416</v>
      </c>
      <c r="F868" s="7" t="s">
        <v>725</v>
      </c>
      <c r="G868" s="7" t="s">
        <v>410</v>
      </c>
      <c r="H868" s="9">
        <v>33136.0</v>
      </c>
      <c r="I868" s="9">
        <v>0.0</v>
      </c>
      <c r="J868" s="9">
        <v>26.0</v>
      </c>
      <c r="K868" s="12"/>
      <c r="L868" s="10">
        <v>0.0</v>
      </c>
      <c r="M868" s="9">
        <v>0.0</v>
      </c>
      <c r="N868" s="9">
        <v>23357.0</v>
      </c>
      <c r="O868" s="9">
        <v>23315.0</v>
      </c>
      <c r="P868" s="9">
        <v>2561.0</v>
      </c>
      <c r="Q868" s="9">
        <v>31.0</v>
      </c>
      <c r="R868" s="9">
        <v>0.0</v>
      </c>
      <c r="S868" s="9">
        <v>0.0</v>
      </c>
      <c r="T868" s="9">
        <v>0.0</v>
      </c>
      <c r="U868" s="9">
        <v>0.0</v>
      </c>
      <c r="V868" s="9">
        <v>0.0</v>
      </c>
      <c r="W868" s="9">
        <v>0.0</v>
      </c>
      <c r="X868" s="9">
        <v>0.0</v>
      </c>
      <c r="Y868" s="9">
        <v>0.0</v>
      </c>
      <c r="Z868" s="9">
        <v>0.0</v>
      </c>
      <c r="AA868" s="9">
        <v>0.0</v>
      </c>
      <c r="AB868" s="9">
        <v>0.0</v>
      </c>
      <c r="AC868" s="9">
        <v>0.0</v>
      </c>
      <c r="AD868" s="12"/>
      <c r="AE868" s="12"/>
    </row>
    <row r="869">
      <c r="H869" s="12"/>
      <c r="I869" s="12"/>
      <c r="J869" s="12"/>
      <c r="K869" s="12"/>
      <c r="L869" s="13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H870" s="12"/>
      <c r="I870" s="12"/>
      <c r="J870" s="12"/>
      <c r="K870" s="12"/>
      <c r="L870" s="13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H871" s="12"/>
      <c r="I871" s="12"/>
      <c r="J871" s="12"/>
      <c r="K871" s="12"/>
      <c r="L871" s="13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H872" s="12"/>
      <c r="I872" s="12"/>
      <c r="J872" s="12"/>
      <c r="K872" s="12"/>
      <c r="L872" s="13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H873" s="12"/>
      <c r="I873" s="12"/>
      <c r="J873" s="12"/>
      <c r="K873" s="12"/>
      <c r="L873" s="13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H874" s="12"/>
      <c r="I874" s="12"/>
      <c r="J874" s="12"/>
      <c r="K874" s="12"/>
      <c r="L874" s="13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H875" s="12"/>
      <c r="I875" s="12"/>
      <c r="J875" s="12"/>
      <c r="K875" s="12"/>
      <c r="L875" s="13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H876" s="12"/>
      <c r="I876" s="12"/>
      <c r="J876" s="12"/>
      <c r="K876" s="12"/>
      <c r="L876" s="13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H877" s="12"/>
      <c r="I877" s="12"/>
      <c r="J877" s="12"/>
      <c r="K877" s="12"/>
      <c r="L877" s="13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H878" s="12"/>
      <c r="I878" s="12"/>
      <c r="J878" s="12"/>
      <c r="K878" s="12"/>
      <c r="L878" s="13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H879" s="12"/>
      <c r="I879" s="12"/>
      <c r="J879" s="12"/>
      <c r="K879" s="12"/>
      <c r="L879" s="13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H880" s="12"/>
      <c r="I880" s="12"/>
      <c r="J880" s="12"/>
      <c r="K880" s="12"/>
      <c r="L880" s="13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H881" s="12"/>
      <c r="I881" s="12"/>
      <c r="J881" s="12"/>
      <c r="K881" s="12"/>
      <c r="L881" s="13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H882" s="12"/>
      <c r="I882" s="12"/>
      <c r="J882" s="12"/>
      <c r="K882" s="12"/>
      <c r="L882" s="13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H883" s="12"/>
      <c r="I883" s="12"/>
      <c r="J883" s="12"/>
      <c r="K883" s="12"/>
      <c r="L883" s="13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H884" s="12"/>
      <c r="I884" s="12"/>
      <c r="J884" s="12"/>
      <c r="K884" s="12"/>
      <c r="L884" s="13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H885" s="12"/>
      <c r="I885" s="12"/>
      <c r="J885" s="12"/>
      <c r="K885" s="12"/>
      <c r="L885" s="13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H886" s="12"/>
      <c r="I886" s="12"/>
      <c r="J886" s="12"/>
      <c r="K886" s="12"/>
      <c r="L886" s="13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H887" s="12"/>
      <c r="I887" s="12"/>
      <c r="J887" s="12"/>
      <c r="K887" s="12"/>
      <c r="L887" s="13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H888" s="12"/>
      <c r="I888" s="12"/>
      <c r="J888" s="12"/>
      <c r="K888" s="12"/>
      <c r="L888" s="13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H889" s="12"/>
      <c r="I889" s="12"/>
      <c r="J889" s="12"/>
      <c r="K889" s="12"/>
      <c r="L889" s="13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H890" s="12"/>
      <c r="I890" s="12"/>
      <c r="J890" s="12"/>
      <c r="K890" s="12"/>
      <c r="L890" s="13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H891" s="12"/>
      <c r="I891" s="12"/>
      <c r="J891" s="12"/>
      <c r="K891" s="12"/>
      <c r="L891" s="13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H892" s="12"/>
      <c r="I892" s="12"/>
      <c r="J892" s="12"/>
      <c r="K892" s="12"/>
      <c r="L892" s="13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H893" s="12"/>
      <c r="I893" s="12"/>
      <c r="J893" s="12"/>
      <c r="K893" s="12"/>
      <c r="L893" s="13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H894" s="12"/>
      <c r="I894" s="12"/>
      <c r="J894" s="12"/>
      <c r="K894" s="12"/>
      <c r="L894" s="13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H895" s="12"/>
      <c r="I895" s="12"/>
      <c r="J895" s="12"/>
      <c r="K895" s="12"/>
      <c r="L895" s="13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H896" s="12"/>
      <c r="I896" s="12"/>
      <c r="J896" s="12"/>
      <c r="K896" s="12"/>
      <c r="L896" s="13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H897" s="12"/>
      <c r="I897" s="12"/>
      <c r="J897" s="12"/>
      <c r="K897" s="12"/>
      <c r="L897" s="13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H898" s="12"/>
      <c r="I898" s="12"/>
      <c r="J898" s="12"/>
      <c r="K898" s="12"/>
      <c r="L898" s="13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H899" s="12"/>
      <c r="I899" s="12"/>
      <c r="J899" s="12"/>
      <c r="K899" s="12"/>
      <c r="L899" s="13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H900" s="12"/>
      <c r="I900" s="12"/>
      <c r="J900" s="12"/>
      <c r="K900" s="12"/>
      <c r="L900" s="13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H901" s="12"/>
      <c r="I901" s="12"/>
      <c r="J901" s="12"/>
      <c r="K901" s="12"/>
      <c r="L901" s="13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H902" s="12"/>
      <c r="I902" s="12"/>
      <c r="J902" s="12"/>
      <c r="K902" s="12"/>
      <c r="L902" s="13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H903" s="12"/>
      <c r="I903" s="12"/>
      <c r="J903" s="12"/>
      <c r="K903" s="12"/>
      <c r="L903" s="13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H904" s="12"/>
      <c r="I904" s="12"/>
      <c r="J904" s="12"/>
      <c r="K904" s="12"/>
      <c r="L904" s="13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H905" s="12"/>
      <c r="I905" s="12"/>
      <c r="J905" s="12"/>
      <c r="K905" s="12"/>
      <c r="L905" s="13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H906" s="12"/>
      <c r="I906" s="12"/>
      <c r="J906" s="12"/>
      <c r="K906" s="12"/>
      <c r="L906" s="13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H907" s="12"/>
      <c r="I907" s="12"/>
      <c r="J907" s="12"/>
      <c r="K907" s="12"/>
      <c r="L907" s="13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H908" s="12"/>
      <c r="I908" s="12"/>
      <c r="J908" s="12"/>
      <c r="K908" s="12"/>
      <c r="L908" s="13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H909" s="12"/>
      <c r="I909" s="12"/>
      <c r="J909" s="12"/>
      <c r="K909" s="12"/>
      <c r="L909" s="13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H910" s="12"/>
      <c r="I910" s="12"/>
      <c r="J910" s="12"/>
      <c r="K910" s="12"/>
      <c r="L910" s="13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H911" s="12"/>
      <c r="I911" s="12"/>
      <c r="J911" s="12"/>
      <c r="K911" s="12"/>
      <c r="L911" s="13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H912" s="12"/>
      <c r="I912" s="12"/>
      <c r="J912" s="12"/>
      <c r="K912" s="12"/>
      <c r="L912" s="13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H913" s="12"/>
      <c r="I913" s="12"/>
      <c r="J913" s="12"/>
      <c r="K913" s="12"/>
      <c r="L913" s="13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H914" s="12"/>
      <c r="I914" s="12"/>
      <c r="J914" s="12"/>
      <c r="K914" s="12"/>
      <c r="L914" s="13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H915" s="12"/>
      <c r="I915" s="12"/>
      <c r="J915" s="12"/>
      <c r="K915" s="12"/>
      <c r="L915" s="13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H916" s="12"/>
      <c r="I916" s="12"/>
      <c r="J916" s="12"/>
      <c r="K916" s="12"/>
      <c r="L916" s="13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H917" s="12"/>
      <c r="I917" s="12"/>
      <c r="J917" s="12"/>
      <c r="K917" s="12"/>
      <c r="L917" s="13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H918" s="12"/>
      <c r="I918" s="12"/>
      <c r="J918" s="12"/>
      <c r="K918" s="12"/>
      <c r="L918" s="13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H919" s="12"/>
      <c r="I919" s="12"/>
      <c r="J919" s="12"/>
      <c r="K919" s="12"/>
      <c r="L919" s="13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H920" s="12"/>
      <c r="I920" s="12"/>
      <c r="J920" s="12"/>
      <c r="K920" s="12"/>
      <c r="L920" s="13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H921" s="12"/>
      <c r="I921" s="12"/>
      <c r="J921" s="12"/>
      <c r="K921" s="12"/>
      <c r="L921" s="13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H922" s="12"/>
      <c r="I922" s="12"/>
      <c r="J922" s="12"/>
      <c r="K922" s="12"/>
      <c r="L922" s="13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H923" s="12"/>
      <c r="I923" s="12"/>
      <c r="J923" s="12"/>
      <c r="K923" s="12"/>
      <c r="L923" s="13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H924" s="12"/>
      <c r="I924" s="12"/>
      <c r="J924" s="12"/>
      <c r="K924" s="12"/>
      <c r="L924" s="13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H925" s="12"/>
      <c r="I925" s="12"/>
      <c r="J925" s="12"/>
      <c r="K925" s="12"/>
      <c r="L925" s="13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H926" s="12"/>
      <c r="I926" s="12"/>
      <c r="J926" s="12"/>
      <c r="K926" s="12"/>
      <c r="L926" s="13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H927" s="12"/>
      <c r="I927" s="12"/>
      <c r="J927" s="12"/>
      <c r="K927" s="12"/>
      <c r="L927" s="13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H928" s="12"/>
      <c r="I928" s="12"/>
      <c r="J928" s="12"/>
      <c r="K928" s="12"/>
      <c r="L928" s="13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H929" s="12"/>
      <c r="I929" s="12"/>
      <c r="J929" s="12"/>
      <c r="K929" s="12"/>
      <c r="L929" s="13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H930" s="12"/>
      <c r="I930" s="12"/>
      <c r="J930" s="12"/>
      <c r="K930" s="12"/>
      <c r="L930" s="13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H931" s="12"/>
      <c r="I931" s="12"/>
      <c r="J931" s="12"/>
      <c r="K931" s="12"/>
      <c r="L931" s="13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H932" s="12"/>
      <c r="I932" s="12"/>
      <c r="J932" s="12"/>
      <c r="K932" s="12"/>
      <c r="L932" s="13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H933" s="12"/>
      <c r="I933" s="12"/>
      <c r="J933" s="12"/>
      <c r="K933" s="12"/>
      <c r="L933" s="13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H934" s="12"/>
      <c r="I934" s="12"/>
      <c r="J934" s="12"/>
      <c r="K934" s="12"/>
      <c r="L934" s="13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H935" s="12"/>
      <c r="I935" s="12"/>
      <c r="J935" s="12"/>
      <c r="K935" s="12"/>
      <c r="L935" s="13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H936" s="12"/>
      <c r="I936" s="12"/>
      <c r="J936" s="12"/>
      <c r="K936" s="12"/>
      <c r="L936" s="13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H937" s="12"/>
      <c r="I937" s="12"/>
      <c r="J937" s="12"/>
      <c r="K937" s="12"/>
      <c r="L937" s="13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H938" s="12"/>
      <c r="I938" s="12"/>
      <c r="J938" s="12"/>
      <c r="K938" s="12"/>
      <c r="L938" s="13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H939" s="12"/>
      <c r="I939" s="12"/>
      <c r="J939" s="12"/>
      <c r="K939" s="12"/>
      <c r="L939" s="13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H940" s="12"/>
      <c r="I940" s="12"/>
      <c r="J940" s="12"/>
      <c r="K940" s="12"/>
      <c r="L940" s="13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H941" s="12"/>
      <c r="I941" s="12"/>
      <c r="J941" s="12"/>
      <c r="K941" s="12"/>
      <c r="L941" s="13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H942" s="12"/>
      <c r="I942" s="12"/>
      <c r="J942" s="12"/>
      <c r="K942" s="12"/>
      <c r="L942" s="13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H943" s="12"/>
      <c r="I943" s="12"/>
      <c r="J943" s="12"/>
      <c r="K943" s="12"/>
      <c r="L943" s="13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H944" s="12"/>
      <c r="I944" s="12"/>
      <c r="J944" s="12"/>
      <c r="K944" s="12"/>
      <c r="L944" s="13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H945" s="12"/>
      <c r="I945" s="12"/>
      <c r="J945" s="12"/>
      <c r="K945" s="12"/>
      <c r="L945" s="13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H946" s="12"/>
      <c r="I946" s="12"/>
      <c r="J946" s="12"/>
      <c r="K946" s="12"/>
      <c r="L946" s="13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H947" s="12"/>
      <c r="I947" s="12"/>
      <c r="J947" s="12"/>
      <c r="K947" s="12"/>
      <c r="L947" s="13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H948" s="12"/>
      <c r="I948" s="12"/>
      <c r="J948" s="12"/>
      <c r="K948" s="12"/>
      <c r="L948" s="13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H949" s="12"/>
      <c r="I949" s="12"/>
      <c r="J949" s="12"/>
      <c r="K949" s="12"/>
      <c r="L949" s="13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H950" s="12"/>
      <c r="I950" s="12"/>
      <c r="J950" s="12"/>
      <c r="K950" s="12"/>
      <c r="L950" s="13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H951" s="12"/>
      <c r="I951" s="12"/>
      <c r="J951" s="12"/>
      <c r="K951" s="12"/>
      <c r="L951" s="13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H952" s="12"/>
      <c r="I952" s="12"/>
      <c r="J952" s="12"/>
      <c r="K952" s="12"/>
      <c r="L952" s="13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H953" s="12"/>
      <c r="I953" s="12"/>
      <c r="J953" s="12"/>
      <c r="K953" s="12"/>
      <c r="L953" s="13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H954" s="12"/>
      <c r="I954" s="12"/>
      <c r="J954" s="12"/>
      <c r="K954" s="12"/>
      <c r="L954" s="13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H955" s="12"/>
      <c r="I955" s="12"/>
      <c r="J955" s="12"/>
      <c r="K955" s="12"/>
      <c r="L955" s="13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H956" s="12"/>
      <c r="I956" s="12"/>
      <c r="J956" s="12"/>
      <c r="K956" s="12"/>
      <c r="L956" s="13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H957" s="12"/>
      <c r="I957" s="12"/>
      <c r="J957" s="12"/>
      <c r="K957" s="12"/>
      <c r="L957" s="13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H958" s="12"/>
      <c r="I958" s="12"/>
      <c r="J958" s="12"/>
      <c r="K958" s="12"/>
      <c r="L958" s="13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H959" s="12"/>
      <c r="I959" s="12"/>
      <c r="J959" s="12"/>
      <c r="K959" s="12"/>
      <c r="L959" s="13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H960" s="12"/>
      <c r="I960" s="12"/>
      <c r="J960" s="12"/>
      <c r="K960" s="12"/>
      <c r="L960" s="13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H961" s="12"/>
      <c r="I961" s="12"/>
      <c r="J961" s="12"/>
      <c r="K961" s="12"/>
      <c r="L961" s="13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H962" s="12"/>
      <c r="I962" s="12"/>
      <c r="J962" s="12"/>
      <c r="K962" s="12"/>
      <c r="L962" s="13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H963" s="12"/>
      <c r="I963" s="12"/>
      <c r="J963" s="12"/>
      <c r="K963" s="12"/>
      <c r="L963" s="13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H964" s="12"/>
      <c r="I964" s="12"/>
      <c r="J964" s="12"/>
      <c r="K964" s="12"/>
      <c r="L964" s="13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H965" s="12"/>
      <c r="I965" s="12"/>
      <c r="J965" s="12"/>
      <c r="K965" s="12"/>
      <c r="L965" s="13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H966" s="12"/>
      <c r="I966" s="12"/>
      <c r="J966" s="12"/>
      <c r="K966" s="12"/>
      <c r="L966" s="13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H967" s="12"/>
      <c r="I967" s="12"/>
      <c r="J967" s="12"/>
      <c r="K967" s="12"/>
      <c r="L967" s="13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H968" s="12"/>
      <c r="I968" s="12"/>
      <c r="J968" s="12"/>
      <c r="K968" s="12"/>
      <c r="L968" s="13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H969" s="12"/>
      <c r="I969" s="12"/>
      <c r="J969" s="12"/>
      <c r="K969" s="12"/>
      <c r="L969" s="13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H970" s="12"/>
      <c r="I970" s="12"/>
      <c r="J970" s="12"/>
      <c r="K970" s="12"/>
      <c r="L970" s="13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H971" s="12"/>
      <c r="I971" s="12"/>
      <c r="J971" s="12"/>
      <c r="K971" s="12"/>
      <c r="L971" s="13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H972" s="12"/>
      <c r="I972" s="12"/>
      <c r="J972" s="12"/>
      <c r="K972" s="12"/>
      <c r="L972" s="13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H973" s="12"/>
      <c r="I973" s="12"/>
      <c r="J973" s="12"/>
      <c r="K973" s="12"/>
      <c r="L973" s="13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H974" s="12"/>
      <c r="I974" s="12"/>
      <c r="J974" s="12"/>
      <c r="K974" s="12"/>
      <c r="L974" s="13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H975" s="12"/>
      <c r="I975" s="12"/>
      <c r="J975" s="12"/>
      <c r="K975" s="12"/>
      <c r="L975" s="13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H976" s="12"/>
      <c r="I976" s="12"/>
      <c r="J976" s="12"/>
      <c r="K976" s="12"/>
      <c r="L976" s="13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H977" s="12"/>
      <c r="I977" s="12"/>
      <c r="J977" s="12"/>
      <c r="K977" s="12"/>
      <c r="L977" s="13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H978" s="12"/>
      <c r="I978" s="12"/>
      <c r="J978" s="12"/>
      <c r="K978" s="12"/>
      <c r="L978" s="13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H979" s="12"/>
      <c r="I979" s="12"/>
      <c r="J979" s="12"/>
      <c r="K979" s="12"/>
      <c r="L979" s="13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H980" s="12"/>
      <c r="I980" s="12"/>
      <c r="J980" s="12"/>
      <c r="K980" s="12"/>
      <c r="L980" s="13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H981" s="12"/>
      <c r="I981" s="12"/>
      <c r="J981" s="12"/>
      <c r="K981" s="12"/>
      <c r="L981" s="13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H982" s="12"/>
      <c r="I982" s="12"/>
      <c r="J982" s="12"/>
      <c r="K982" s="12"/>
      <c r="L982" s="13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H983" s="12"/>
      <c r="I983" s="12"/>
      <c r="J983" s="12"/>
      <c r="K983" s="12"/>
      <c r="L983" s="13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H984" s="12"/>
      <c r="I984" s="12"/>
      <c r="J984" s="12"/>
      <c r="K984" s="12"/>
      <c r="L984" s="13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H985" s="12"/>
      <c r="I985" s="12"/>
      <c r="J985" s="12"/>
      <c r="K985" s="12"/>
      <c r="L985" s="13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H986" s="12"/>
      <c r="I986" s="12"/>
      <c r="J986" s="12"/>
      <c r="K986" s="12"/>
      <c r="L986" s="13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H987" s="12"/>
      <c r="I987" s="12"/>
      <c r="J987" s="12"/>
      <c r="K987" s="12"/>
      <c r="L987" s="13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H988" s="12"/>
      <c r="I988" s="12"/>
      <c r="J988" s="12"/>
      <c r="K988" s="12"/>
      <c r="L988" s="13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H989" s="12"/>
      <c r="I989" s="12"/>
      <c r="J989" s="12"/>
      <c r="K989" s="12"/>
      <c r="L989" s="13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H990" s="12"/>
      <c r="I990" s="12"/>
      <c r="J990" s="12"/>
      <c r="K990" s="12"/>
      <c r="L990" s="13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H991" s="12"/>
      <c r="I991" s="12"/>
      <c r="J991" s="12"/>
      <c r="K991" s="12"/>
      <c r="L991" s="13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H992" s="12"/>
      <c r="I992" s="12"/>
      <c r="J992" s="12"/>
      <c r="K992" s="12"/>
      <c r="L992" s="13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H993" s="12"/>
      <c r="I993" s="12"/>
      <c r="J993" s="12"/>
      <c r="K993" s="12"/>
      <c r="L993" s="13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H994" s="12"/>
      <c r="I994" s="12"/>
      <c r="J994" s="12"/>
      <c r="K994" s="12"/>
      <c r="L994" s="13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H995" s="12"/>
      <c r="I995" s="12"/>
      <c r="J995" s="12"/>
      <c r="K995" s="12"/>
      <c r="L995" s="13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H996" s="12"/>
      <c r="I996" s="12"/>
      <c r="J996" s="12"/>
      <c r="K996" s="12"/>
      <c r="L996" s="13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H997" s="12"/>
      <c r="I997" s="12"/>
      <c r="J997" s="12"/>
      <c r="K997" s="12"/>
      <c r="L997" s="13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H998" s="12"/>
      <c r="I998" s="12"/>
      <c r="J998" s="12"/>
      <c r="K998" s="12"/>
      <c r="L998" s="13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H999" s="12"/>
      <c r="I999" s="12"/>
      <c r="J999" s="12"/>
      <c r="K999" s="12"/>
      <c r="L999" s="13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H1000" s="12"/>
      <c r="I1000" s="12"/>
      <c r="J1000" s="12"/>
      <c r="K1000" s="12"/>
      <c r="L1000" s="13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</sheetData>
  <hyperlinks>
    <hyperlink r:id="rId1" ref="AD2"/>
    <hyperlink r:id="rId2" ref="AD5"/>
    <hyperlink r:id="rId3" ref="AD12"/>
    <hyperlink r:id="rId4" ref="AD15"/>
    <hyperlink r:id="rId5" ref="AD16"/>
    <hyperlink r:id="rId6" ref="AD17"/>
    <hyperlink r:id="rId7" ref="AD18"/>
    <hyperlink r:id="rId8" ref="AD19"/>
    <hyperlink r:id="rId9" ref="AD20"/>
    <hyperlink r:id="rId10" ref="AD21"/>
    <hyperlink r:id="rId11" ref="AD22"/>
    <hyperlink r:id="rId12" ref="AD23"/>
    <hyperlink r:id="rId13" ref="AD24"/>
    <hyperlink r:id="rId14" ref="AD25"/>
    <hyperlink r:id="rId15" ref="AD26"/>
    <hyperlink r:id="rId16" ref="AD30"/>
    <hyperlink r:id="rId17" ref="AD34"/>
    <hyperlink r:id="rId18" ref="AD35"/>
    <hyperlink r:id="rId19" ref="AD36"/>
    <hyperlink r:id="rId20" ref="AD37"/>
    <hyperlink r:id="rId21" ref="AD38"/>
    <hyperlink r:id="rId22" ref="AD39"/>
    <hyperlink r:id="rId23" ref="AD40"/>
    <hyperlink r:id="rId24" ref="AD41"/>
    <hyperlink r:id="rId25" ref="AD44"/>
    <hyperlink r:id="rId26" ref="AD45"/>
    <hyperlink r:id="rId27" ref="AD50"/>
    <hyperlink r:id="rId28" ref="AD51"/>
    <hyperlink r:id="rId29" ref="AD54"/>
    <hyperlink r:id="rId30" ref="AD55"/>
    <hyperlink r:id="rId31" ref="AD56"/>
    <hyperlink r:id="rId32" ref="AD58"/>
    <hyperlink r:id="rId33" ref="AD60"/>
    <hyperlink r:id="rId34" ref="AD61"/>
    <hyperlink r:id="rId35" ref="AD62"/>
    <hyperlink r:id="rId36" ref="AD63"/>
    <hyperlink r:id="rId37" ref="AD64"/>
    <hyperlink r:id="rId38" ref="AD65"/>
    <hyperlink r:id="rId39" ref="AD71"/>
    <hyperlink r:id="rId40" ref="AD80"/>
    <hyperlink r:id="rId41" ref="AD85"/>
    <hyperlink r:id="rId42" ref="AD98"/>
    <hyperlink r:id="rId43" ref="AD228"/>
    <hyperlink r:id="rId44" ref="AD253"/>
    <hyperlink r:id="rId45" ref="AD275"/>
    <hyperlink r:id="rId46" ref="AD283"/>
    <hyperlink r:id="rId47" ref="AD307"/>
    <hyperlink r:id="rId48" ref="AD312"/>
    <hyperlink r:id="rId49" ref="AD350"/>
    <hyperlink r:id="rId50" ref="AD362"/>
    <hyperlink r:id="rId51" ref="AD363"/>
    <hyperlink r:id="rId52" ref="AD365"/>
    <hyperlink r:id="rId53" ref="AD366"/>
    <hyperlink r:id="rId54" ref="AD367"/>
    <hyperlink r:id="rId55" ref="AD368"/>
    <hyperlink r:id="rId56" ref="AD369"/>
    <hyperlink r:id="rId57" ref="AD370"/>
    <hyperlink r:id="rId58" ref="AD371"/>
    <hyperlink r:id="rId59" ref="AD372"/>
    <hyperlink r:id="rId60" ref="AD373"/>
    <hyperlink r:id="rId61" ref="AD374"/>
    <hyperlink r:id="rId62" ref="AD375"/>
    <hyperlink r:id="rId63" ref="AD376"/>
    <hyperlink r:id="rId64" ref="AD377"/>
    <hyperlink r:id="rId65" ref="AD379"/>
    <hyperlink r:id="rId66" ref="AD380"/>
    <hyperlink r:id="rId67" ref="AD381"/>
    <hyperlink r:id="rId68" ref="AD383"/>
    <hyperlink r:id="rId69" ref="AD384"/>
    <hyperlink r:id="rId70" ref="AD386"/>
    <hyperlink r:id="rId71" ref="AD389"/>
    <hyperlink r:id="rId72" ref="AD390"/>
    <hyperlink r:id="rId73" ref="AD391"/>
    <hyperlink r:id="rId74" ref="AD392"/>
    <hyperlink r:id="rId75" ref="AD393"/>
    <hyperlink r:id="rId76" ref="AD395"/>
    <hyperlink r:id="rId77" ref="AD396"/>
    <hyperlink r:id="rId78" ref="AD397"/>
    <hyperlink r:id="rId79" ref="AD403"/>
    <hyperlink r:id="rId80" ref="AD404"/>
    <hyperlink r:id="rId81" ref="AD405"/>
    <hyperlink r:id="rId82" ref="AD407"/>
    <hyperlink r:id="rId83" ref="AD408"/>
    <hyperlink r:id="rId84" ref="AD409"/>
    <hyperlink r:id="rId85" ref="AD411"/>
    <hyperlink r:id="rId86" ref="AD412"/>
    <hyperlink r:id="rId87" ref="AD413"/>
    <hyperlink r:id="rId88" ref="AD414"/>
    <hyperlink r:id="rId89" ref="AD416"/>
    <hyperlink r:id="rId90" ref="AD423"/>
    <hyperlink r:id="rId91" ref="AD425"/>
    <hyperlink r:id="rId92" ref="AD426"/>
    <hyperlink r:id="rId93" ref="AD427"/>
    <hyperlink r:id="rId94" ref="AD428"/>
    <hyperlink r:id="rId95" ref="AD431"/>
    <hyperlink r:id="rId96" ref="AD432"/>
    <hyperlink r:id="rId97" ref="AD433"/>
    <hyperlink r:id="rId98" ref="AD434"/>
    <hyperlink r:id="rId99" ref="AD435"/>
    <hyperlink r:id="rId100" ref="AD436"/>
    <hyperlink r:id="rId101" ref="AD437"/>
    <hyperlink r:id="rId102" ref="AD438"/>
    <hyperlink r:id="rId103" ref="AD439"/>
    <hyperlink r:id="rId104" ref="AD440"/>
    <hyperlink r:id="rId105" ref="AD441"/>
    <hyperlink r:id="rId106" ref="AD442"/>
    <hyperlink r:id="rId107" ref="AD443"/>
    <hyperlink r:id="rId108" ref="AD444"/>
    <hyperlink r:id="rId109" ref="AD445"/>
    <hyperlink r:id="rId110" ref="AD447"/>
    <hyperlink r:id="rId111" ref="AD449"/>
    <hyperlink r:id="rId112" ref="AD450"/>
    <hyperlink r:id="rId113" ref="AD451"/>
    <hyperlink r:id="rId114" ref="AD452"/>
    <hyperlink r:id="rId115" ref="AD453"/>
    <hyperlink r:id="rId116" ref="AD456"/>
    <hyperlink r:id="rId117" ref="AD457"/>
    <hyperlink r:id="rId118" ref="AD458"/>
    <hyperlink r:id="rId119" ref="AD459"/>
    <hyperlink r:id="rId120" ref="AD460"/>
    <hyperlink r:id="rId121" ref="AD461"/>
    <hyperlink r:id="rId122" ref="AD464"/>
    <hyperlink r:id="rId123" ref="AD465"/>
    <hyperlink r:id="rId124" ref="AD466"/>
    <hyperlink r:id="rId125" ref="AD467"/>
    <hyperlink r:id="rId126" ref="AD468"/>
    <hyperlink r:id="rId127" ref="AD469"/>
    <hyperlink r:id="rId128" ref="AD472"/>
    <hyperlink r:id="rId129" ref="AD477"/>
    <hyperlink r:id="rId130" ref="AD478"/>
    <hyperlink r:id="rId131" ref="AD479"/>
    <hyperlink r:id="rId132" ref="AD480"/>
    <hyperlink r:id="rId133" ref="AD481"/>
    <hyperlink r:id="rId134" ref="AD484"/>
    <hyperlink r:id="rId135" ref="AD485"/>
    <hyperlink r:id="rId136" ref="AD486"/>
    <hyperlink r:id="rId137" ref="AD487"/>
    <hyperlink r:id="rId138" ref="AD488"/>
    <hyperlink r:id="rId139" ref="AD489"/>
    <hyperlink r:id="rId140" ref="AD490"/>
    <hyperlink r:id="rId141" ref="AD491"/>
    <hyperlink r:id="rId142" ref="AD492"/>
    <hyperlink r:id="rId143" ref="AD494"/>
    <hyperlink r:id="rId144" ref="AD496"/>
    <hyperlink r:id="rId145" ref="AD497"/>
    <hyperlink r:id="rId146" ref="AD498"/>
    <hyperlink r:id="rId147" ref="AD499"/>
    <hyperlink r:id="rId148" ref="AD505"/>
    <hyperlink r:id="rId149" ref="AD507"/>
    <hyperlink r:id="rId150" ref="AD508"/>
    <hyperlink r:id="rId151" ref="AD509"/>
    <hyperlink r:id="rId152" ref="AD510"/>
    <hyperlink r:id="rId153" ref="AD511"/>
    <hyperlink r:id="rId154" ref="AD512"/>
    <hyperlink r:id="rId155" ref="AD513"/>
    <hyperlink r:id="rId156" ref="AD514"/>
    <hyperlink r:id="rId157" ref="AD515"/>
    <hyperlink r:id="rId158" ref="AD516"/>
    <hyperlink r:id="rId159" ref="AD517"/>
    <hyperlink r:id="rId160" ref="AD518"/>
    <hyperlink r:id="rId161" ref="AD519"/>
    <hyperlink r:id="rId162" ref="AD520"/>
    <hyperlink r:id="rId163" ref="AD521"/>
    <hyperlink r:id="rId164" ref="AD522"/>
    <hyperlink r:id="rId165" ref="AD523"/>
    <hyperlink r:id="rId166" location="?jhi" ref="AD524"/>
    <hyperlink r:id="rId167" ref="AD525"/>
    <hyperlink r:id="rId168" ref="AD526"/>
    <hyperlink r:id="rId169" ref="AD527"/>
    <hyperlink r:id="rId170" ref="AD528"/>
    <hyperlink r:id="rId171" ref="AD529"/>
    <hyperlink r:id="rId172" ref="AD530"/>
    <hyperlink r:id="rId173" ref="AD531"/>
    <hyperlink r:id="rId174" ref="AD533"/>
    <hyperlink r:id="rId175" ref="AD535"/>
    <hyperlink r:id="rId176" ref="AD536"/>
    <hyperlink r:id="rId177" ref="AD537"/>
    <hyperlink r:id="rId178" ref="AD538"/>
    <hyperlink r:id="rId179" ref="AD539"/>
    <hyperlink r:id="rId180" ref="AD544"/>
    <hyperlink r:id="rId181" ref="AD546"/>
    <hyperlink r:id="rId182" ref="AD547"/>
    <hyperlink r:id="rId183" ref="AD559"/>
    <hyperlink r:id="rId184" ref="AD560"/>
    <hyperlink r:id="rId185" ref="AD564"/>
    <hyperlink r:id="rId186" ref="AD565"/>
    <hyperlink r:id="rId187" ref="AD566"/>
    <hyperlink r:id="rId188" ref="AD567"/>
    <hyperlink r:id="rId189" ref="AD573"/>
    <hyperlink r:id="rId190" ref="AD574"/>
    <hyperlink r:id="rId191" ref="AD576"/>
    <hyperlink r:id="rId192" ref="AD577"/>
    <hyperlink r:id="rId193" ref="AD578"/>
    <hyperlink r:id="rId194" ref="AD580"/>
    <hyperlink r:id="rId195" ref="AD581"/>
    <hyperlink r:id="rId196" ref="AD586"/>
    <hyperlink r:id="rId197" ref="AD587"/>
    <hyperlink r:id="rId198" ref="AD589"/>
    <hyperlink r:id="rId199" ref="AD592"/>
    <hyperlink r:id="rId200" ref="AD595"/>
    <hyperlink r:id="rId201" ref="AD596"/>
    <hyperlink r:id="rId202" ref="AD597"/>
    <hyperlink r:id="rId203" ref="AD598"/>
    <hyperlink r:id="rId204" ref="AD599"/>
    <hyperlink r:id="rId205" ref="AD600"/>
    <hyperlink r:id="rId206" ref="AD601"/>
    <hyperlink r:id="rId207" ref="AD611"/>
    <hyperlink r:id="rId208" ref="AD612"/>
    <hyperlink r:id="rId209" ref="AD614"/>
    <hyperlink r:id="rId210" ref="AD615"/>
    <hyperlink r:id="rId211" ref="AD619"/>
    <hyperlink r:id="rId212" ref="AD621"/>
    <hyperlink r:id="rId213" ref="AD622"/>
    <hyperlink r:id="rId214" ref="AD627"/>
    <hyperlink r:id="rId215" ref="AD628"/>
    <hyperlink r:id="rId216" ref="AD630"/>
    <hyperlink r:id="rId217" ref="AD631"/>
    <hyperlink r:id="rId218" ref="AD638"/>
    <hyperlink r:id="rId219" ref="AD639"/>
    <hyperlink r:id="rId220" ref="AD640"/>
    <hyperlink r:id="rId221" ref="AD641"/>
    <hyperlink r:id="rId222" ref="AD642"/>
    <hyperlink r:id="rId223" ref="AD644"/>
    <hyperlink r:id="rId224" ref="AD649"/>
    <hyperlink r:id="rId225" ref="AD650"/>
    <hyperlink r:id="rId226" ref="AD651"/>
    <hyperlink r:id="rId227" ref="AD656"/>
    <hyperlink r:id="rId228" ref="AD663"/>
    <hyperlink r:id="rId229" location="advertiser" ref="AD666"/>
    <hyperlink r:id="rId230" ref="AD672"/>
    <hyperlink r:id="rId231" ref="AD673"/>
    <hyperlink r:id="rId232" ref="AD675"/>
    <hyperlink r:id="rId233" ref="AD676"/>
    <hyperlink r:id="rId234" ref="AD677"/>
    <hyperlink r:id="rId235" ref="AD679"/>
    <hyperlink r:id="rId236" ref="AD680"/>
    <hyperlink r:id="rId237" ref="AD681"/>
    <hyperlink r:id="rId238" ref="AD682"/>
    <hyperlink r:id="rId239" ref="AD683"/>
    <hyperlink r:id="rId240" ref="AD687"/>
    <hyperlink r:id="rId241" ref="AD688"/>
    <hyperlink r:id="rId242" ref="AD689"/>
    <hyperlink r:id="rId243" ref="AD690"/>
    <hyperlink r:id="rId244" ref="AD691"/>
    <hyperlink r:id="rId245" ref="AD692"/>
    <hyperlink r:id="rId246" ref="AD695"/>
    <hyperlink r:id="rId247" ref="AD696"/>
    <hyperlink r:id="rId248" ref="AD697"/>
    <hyperlink r:id="rId249" ref="AD700"/>
    <hyperlink r:id="rId250" ref="AD703"/>
    <hyperlink r:id="rId251" ref="AD704"/>
    <hyperlink r:id="rId252" ref="AD709"/>
    <hyperlink r:id="rId253" ref="AD711"/>
    <hyperlink r:id="rId254" ref="AD712"/>
    <hyperlink r:id="rId255" ref="AD713"/>
    <hyperlink r:id="rId256" ref="AD714"/>
    <hyperlink r:id="rId257" ref="AD715"/>
    <hyperlink r:id="rId258" ref="AD716"/>
    <hyperlink r:id="rId259" ref="AD717"/>
    <hyperlink r:id="rId260" ref="AD719"/>
    <hyperlink r:id="rId261" ref="AD720"/>
    <hyperlink r:id="rId262" ref="AD721"/>
    <hyperlink r:id="rId263" ref="AD722"/>
    <hyperlink r:id="rId264" ref="AD723"/>
    <hyperlink r:id="rId265" ref="AD724"/>
    <hyperlink r:id="rId266" ref="AD725"/>
    <hyperlink r:id="rId267" ref="AD726"/>
    <hyperlink r:id="rId268" ref="AD727"/>
    <hyperlink r:id="rId269" ref="AD729"/>
    <hyperlink r:id="rId270" ref="AD730"/>
    <hyperlink r:id="rId271" ref="AD738"/>
    <hyperlink r:id="rId272" ref="AD740"/>
    <hyperlink r:id="rId273" ref="AD741"/>
    <hyperlink r:id="rId274" ref="AD742"/>
    <hyperlink r:id="rId275" ref="AD743"/>
    <hyperlink r:id="rId276" ref="AD744"/>
    <hyperlink r:id="rId277" ref="AD745"/>
    <hyperlink r:id="rId278" ref="AD746"/>
    <hyperlink r:id="rId279" ref="AD747"/>
    <hyperlink r:id="rId280" ref="AD748"/>
    <hyperlink r:id="rId281" ref="AD749"/>
    <hyperlink r:id="rId282" ref="AD750"/>
    <hyperlink r:id="rId283" ref="AD752"/>
    <hyperlink r:id="rId284" ref="AD753"/>
    <hyperlink r:id="rId285" ref="AD755"/>
    <hyperlink r:id="rId286" ref="AD756"/>
    <hyperlink r:id="rId287" ref="AD757"/>
    <hyperlink r:id="rId288" ref="AD758"/>
    <hyperlink r:id="rId289" ref="AD760"/>
    <hyperlink r:id="rId290" ref="AD761"/>
    <hyperlink r:id="rId291" ref="AD762"/>
    <hyperlink r:id="rId292" ref="AD763"/>
    <hyperlink r:id="rId293" ref="AD766"/>
    <hyperlink r:id="rId294" ref="AD767"/>
    <hyperlink r:id="rId295" ref="AD768"/>
    <hyperlink r:id="rId296" ref="AD775"/>
    <hyperlink r:id="rId297" ref="AD776"/>
    <hyperlink r:id="rId298" ref="AD777"/>
    <hyperlink r:id="rId299" ref="AD779"/>
    <hyperlink r:id="rId300" ref="AD780"/>
    <hyperlink r:id="rId301" ref="AD781"/>
    <hyperlink r:id="rId302" ref="AD782"/>
    <hyperlink r:id="rId303" ref="AD783"/>
    <hyperlink r:id="rId304" ref="AD784"/>
    <hyperlink r:id="rId305" ref="AD789"/>
    <hyperlink r:id="rId306" ref="AD790"/>
    <hyperlink r:id="rId307" ref="AD791"/>
    <hyperlink r:id="rId308" ref="AD792"/>
    <hyperlink r:id="rId309" ref="AD799"/>
    <hyperlink r:id="rId310" ref="AD809"/>
    <hyperlink r:id="rId311" ref="AD810"/>
    <hyperlink r:id="rId312" ref="AD812"/>
    <hyperlink r:id="rId313" ref="AD818"/>
    <hyperlink r:id="rId314" ref="AD819"/>
    <hyperlink r:id="rId315" ref="AD822"/>
    <hyperlink r:id="rId316" ref="AD823"/>
    <hyperlink r:id="rId317" ref="AD836"/>
    <hyperlink r:id="rId318" ref="AD863"/>
  </hyperlinks>
  <drawing r:id="rId3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6.88"/>
    <col customWidth="1" min="3" max="4" width="12.75"/>
    <col customWidth="1" min="5" max="5" width="16.0"/>
    <col customWidth="1" min="6" max="6" width="35.13"/>
    <col customWidth="1" min="7" max="25" width="15.13"/>
  </cols>
  <sheetData>
    <row r="1" ht="30.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2116</v>
      </c>
      <c r="I1" s="14"/>
      <c r="J1" s="14"/>
      <c r="K1" s="14"/>
      <c r="L1" s="14"/>
      <c r="M1" s="14"/>
      <c r="N1" s="14"/>
      <c r="O1" s="14"/>
      <c r="P1" s="14"/>
      <c r="Q1" s="14"/>
      <c r="R1" s="14"/>
    </row>
    <row r="2" ht="18.75" customHeight="1">
      <c r="A2" s="7" t="s">
        <v>351</v>
      </c>
      <c r="B2" s="7" t="s">
        <v>352</v>
      </c>
      <c r="C2" s="8">
        <v>45959.0</v>
      </c>
      <c r="D2" s="8">
        <v>46203.0</v>
      </c>
      <c r="E2" s="7" t="s">
        <v>353</v>
      </c>
      <c r="F2" s="7" t="s">
        <v>354</v>
      </c>
      <c r="G2" s="7" t="s">
        <v>355</v>
      </c>
      <c r="H2" s="7" t="s">
        <v>410</v>
      </c>
      <c r="I2" s="14"/>
      <c r="J2" s="14"/>
      <c r="K2" s="14"/>
      <c r="L2" s="14"/>
      <c r="M2" s="14"/>
    </row>
    <row r="3" ht="18.75" customHeight="1">
      <c r="A3" s="7" t="s">
        <v>356</v>
      </c>
      <c r="B3" s="7" t="s">
        <v>357</v>
      </c>
      <c r="C3" s="8">
        <v>46052.0</v>
      </c>
      <c r="D3" s="8">
        <v>46178.0</v>
      </c>
      <c r="E3" s="7" t="s">
        <v>358</v>
      </c>
      <c r="F3" s="7" t="s">
        <v>359</v>
      </c>
      <c r="G3" s="7" t="s">
        <v>355</v>
      </c>
      <c r="H3" s="7" t="s">
        <v>355</v>
      </c>
      <c r="I3" s="14"/>
      <c r="J3" s="14"/>
      <c r="K3" s="14"/>
      <c r="L3" s="14"/>
      <c r="M3" s="14"/>
    </row>
    <row r="4" ht="18.75" customHeight="1">
      <c r="A4" s="7" t="s">
        <v>360</v>
      </c>
      <c r="B4" s="7" t="s">
        <v>361</v>
      </c>
      <c r="C4" s="8">
        <v>46031.0</v>
      </c>
      <c r="D4" s="8">
        <v>46136.0</v>
      </c>
      <c r="E4" s="7" t="s">
        <v>358</v>
      </c>
      <c r="F4" s="7" t="s">
        <v>359</v>
      </c>
      <c r="G4" s="7" t="s">
        <v>355</v>
      </c>
      <c r="H4" s="7" t="s">
        <v>2117</v>
      </c>
      <c r="I4" s="14"/>
      <c r="J4" s="14"/>
      <c r="K4" s="14"/>
      <c r="L4" s="14"/>
      <c r="M4" s="14"/>
    </row>
    <row r="5" ht="18.75" customHeight="1">
      <c r="A5" s="7" t="s">
        <v>362</v>
      </c>
      <c r="B5" s="7" t="s">
        <v>363</v>
      </c>
      <c r="C5" s="8">
        <v>45936.0</v>
      </c>
      <c r="D5" s="8">
        <v>46081.0</v>
      </c>
      <c r="E5" s="7" t="s">
        <v>364</v>
      </c>
      <c r="F5" s="7" t="s">
        <v>365</v>
      </c>
      <c r="G5" s="7" t="s">
        <v>355</v>
      </c>
      <c r="H5" s="7" t="s">
        <v>355</v>
      </c>
      <c r="I5" s="14"/>
      <c r="J5" s="14"/>
      <c r="K5" s="14"/>
      <c r="L5" s="14"/>
      <c r="M5" s="14"/>
    </row>
    <row r="6" ht="18.75" customHeight="1">
      <c r="A6" s="7" t="s">
        <v>366</v>
      </c>
      <c r="B6" s="7" t="s">
        <v>367</v>
      </c>
      <c r="C6" s="8">
        <v>46031.0</v>
      </c>
      <c r="D6" s="8">
        <v>46223.0</v>
      </c>
      <c r="E6" s="7" t="s">
        <v>358</v>
      </c>
      <c r="F6" s="7" t="s">
        <v>359</v>
      </c>
      <c r="G6" s="7" t="s">
        <v>355</v>
      </c>
      <c r="H6" s="7" t="s">
        <v>410</v>
      </c>
      <c r="I6" s="14"/>
      <c r="J6" s="14"/>
      <c r="K6" s="14"/>
      <c r="L6" s="14"/>
      <c r="M6" s="14"/>
    </row>
    <row r="7" ht="18.75" customHeight="1">
      <c r="A7" s="7" t="s">
        <v>368</v>
      </c>
      <c r="B7" s="7" t="s">
        <v>369</v>
      </c>
      <c r="C7" s="8">
        <v>46031.0</v>
      </c>
      <c r="D7" s="8">
        <v>46223.0</v>
      </c>
      <c r="E7" s="7" t="s">
        <v>358</v>
      </c>
      <c r="F7" s="7" t="s">
        <v>359</v>
      </c>
      <c r="G7" s="7" t="s">
        <v>355</v>
      </c>
      <c r="H7" s="7" t="s">
        <v>410</v>
      </c>
      <c r="I7" s="14"/>
      <c r="J7" s="14"/>
      <c r="K7" s="14"/>
      <c r="L7" s="14"/>
      <c r="M7" s="14"/>
    </row>
    <row r="8" ht="18.75" customHeight="1">
      <c r="A8" s="7" t="s">
        <v>370</v>
      </c>
      <c r="B8" s="7" t="s">
        <v>371</v>
      </c>
      <c r="C8" s="8">
        <v>46038.0</v>
      </c>
      <c r="D8" s="8">
        <v>46223.0</v>
      </c>
      <c r="E8" s="7" t="s">
        <v>358</v>
      </c>
      <c r="F8" s="7" t="s">
        <v>359</v>
      </c>
      <c r="G8" s="7" t="s">
        <v>355</v>
      </c>
      <c r="H8" s="7" t="s">
        <v>410</v>
      </c>
      <c r="I8" s="14"/>
      <c r="J8" s="14"/>
      <c r="K8" s="14"/>
      <c r="L8" s="14"/>
      <c r="M8" s="14"/>
    </row>
    <row r="9" ht="18.75" customHeight="1">
      <c r="A9" s="7" t="s">
        <v>372</v>
      </c>
      <c r="B9" s="7" t="s">
        <v>373</v>
      </c>
      <c r="C9" s="8">
        <v>46071.0</v>
      </c>
      <c r="D9" s="8">
        <v>46220.0</v>
      </c>
      <c r="E9" s="7" t="s">
        <v>358</v>
      </c>
      <c r="F9" s="7" t="s">
        <v>359</v>
      </c>
      <c r="G9" s="7" t="s">
        <v>355</v>
      </c>
      <c r="H9" s="7" t="s">
        <v>410</v>
      </c>
      <c r="I9" s="14"/>
      <c r="J9" s="14"/>
      <c r="K9" s="14"/>
      <c r="L9" s="14"/>
      <c r="M9" s="14"/>
    </row>
    <row r="10" ht="18.75" customHeight="1">
      <c r="A10" s="7" t="s">
        <v>374</v>
      </c>
      <c r="B10" s="7" t="s">
        <v>375</v>
      </c>
      <c r="C10" s="8">
        <v>46035.0</v>
      </c>
      <c r="D10" s="8">
        <v>46216.0</v>
      </c>
      <c r="E10" s="7" t="s">
        <v>358</v>
      </c>
      <c r="F10" s="7" t="s">
        <v>359</v>
      </c>
      <c r="G10" s="7" t="s">
        <v>355</v>
      </c>
      <c r="H10" s="7" t="s">
        <v>2117</v>
      </c>
      <c r="I10" s="14"/>
      <c r="J10" s="14"/>
      <c r="K10" s="14"/>
      <c r="L10" s="14"/>
      <c r="M10" s="14"/>
    </row>
    <row r="11" ht="18.75" customHeight="1">
      <c r="A11" s="7" t="s">
        <v>376</v>
      </c>
      <c r="B11" s="7" t="s">
        <v>377</v>
      </c>
      <c r="C11" s="8">
        <v>46013.0</v>
      </c>
      <c r="D11" s="8">
        <v>46027.0</v>
      </c>
      <c r="E11" s="7" t="s">
        <v>353</v>
      </c>
      <c r="F11" s="7" t="s">
        <v>378</v>
      </c>
      <c r="G11" s="7" t="s">
        <v>355</v>
      </c>
      <c r="H11" s="7" t="s">
        <v>355</v>
      </c>
      <c r="I11" s="14"/>
      <c r="J11" s="14"/>
      <c r="K11" s="14"/>
      <c r="L11" s="14"/>
      <c r="M11" s="14"/>
    </row>
    <row r="12" ht="18.75" customHeight="1">
      <c r="A12" s="7" t="s">
        <v>379</v>
      </c>
      <c r="B12" s="7" t="s">
        <v>380</v>
      </c>
      <c r="C12" s="8">
        <v>45952.0</v>
      </c>
      <c r="D12" s="8">
        <v>46073.0</v>
      </c>
      <c r="E12" s="7" t="s">
        <v>353</v>
      </c>
      <c r="F12" s="7" t="s">
        <v>354</v>
      </c>
      <c r="G12" s="7" t="s">
        <v>355</v>
      </c>
      <c r="H12" s="7" t="s">
        <v>355</v>
      </c>
      <c r="I12" s="14"/>
      <c r="J12" s="14"/>
      <c r="K12" s="14"/>
      <c r="L12" s="14"/>
      <c r="M12" s="14"/>
    </row>
    <row r="13" ht="18.75" customHeight="1">
      <c r="A13" s="7" t="s">
        <v>381</v>
      </c>
      <c r="B13" s="7" t="s">
        <v>382</v>
      </c>
      <c r="C13" s="8">
        <v>46028.0</v>
      </c>
      <c r="D13" s="8">
        <v>46099.0</v>
      </c>
      <c r="E13" s="7" t="s">
        <v>358</v>
      </c>
      <c r="F13" s="7" t="s">
        <v>359</v>
      </c>
      <c r="G13" s="7" t="s">
        <v>355</v>
      </c>
      <c r="H13" s="7" t="s">
        <v>355</v>
      </c>
      <c r="I13" s="14"/>
      <c r="J13" s="14"/>
      <c r="K13" s="14"/>
      <c r="L13" s="14"/>
      <c r="M13" s="14"/>
    </row>
    <row r="14" ht="18.75" customHeight="1">
      <c r="A14" s="7" t="s">
        <v>383</v>
      </c>
      <c r="B14" s="7" t="s">
        <v>384</v>
      </c>
      <c r="C14" s="8">
        <v>46050.0</v>
      </c>
      <c r="D14" s="8">
        <v>46066.0</v>
      </c>
      <c r="E14" s="7" t="s">
        <v>353</v>
      </c>
      <c r="F14" s="7" t="s">
        <v>378</v>
      </c>
      <c r="G14" s="7" t="s">
        <v>355</v>
      </c>
      <c r="H14" s="7" t="s">
        <v>355</v>
      </c>
      <c r="I14" s="14"/>
      <c r="J14" s="14"/>
      <c r="K14" s="14"/>
      <c r="L14" s="14"/>
      <c r="M14" s="14"/>
    </row>
    <row r="15" ht="18.75" customHeight="1">
      <c r="A15" s="7" t="s">
        <v>385</v>
      </c>
      <c r="B15" s="7" t="s">
        <v>386</v>
      </c>
      <c r="C15" s="8">
        <v>46020.0</v>
      </c>
      <c r="D15" s="8">
        <v>46174.0</v>
      </c>
      <c r="E15" s="7" t="s">
        <v>358</v>
      </c>
      <c r="F15" s="7" t="s">
        <v>387</v>
      </c>
      <c r="G15" s="7" t="s">
        <v>355</v>
      </c>
      <c r="H15" s="7" t="s">
        <v>355</v>
      </c>
      <c r="I15" s="14"/>
      <c r="J15" s="14"/>
      <c r="K15" s="14"/>
      <c r="L15" s="14"/>
      <c r="M15" s="14"/>
    </row>
    <row r="16" ht="18.75" customHeight="1">
      <c r="A16" s="7" t="s">
        <v>388</v>
      </c>
      <c r="B16" s="7" t="s">
        <v>389</v>
      </c>
      <c r="C16" s="8">
        <v>45992.0</v>
      </c>
      <c r="D16" s="8">
        <v>46068.0</v>
      </c>
      <c r="E16" s="7" t="s">
        <v>353</v>
      </c>
      <c r="F16" s="7" t="s">
        <v>378</v>
      </c>
      <c r="G16" s="7" t="s">
        <v>355</v>
      </c>
      <c r="H16" s="7" t="s">
        <v>355</v>
      </c>
      <c r="I16" s="14"/>
      <c r="J16" s="14"/>
      <c r="K16" s="14"/>
      <c r="L16" s="14"/>
      <c r="M16" s="14"/>
    </row>
    <row r="17" ht="18.75" customHeight="1">
      <c r="A17" s="7" t="s">
        <v>390</v>
      </c>
      <c r="B17" s="7" t="s">
        <v>391</v>
      </c>
      <c r="C17" s="8">
        <v>45981.0</v>
      </c>
      <c r="D17" s="8">
        <v>46037.0</v>
      </c>
      <c r="E17" s="7" t="s">
        <v>364</v>
      </c>
      <c r="F17" s="7" t="s">
        <v>365</v>
      </c>
      <c r="G17" s="7" t="s">
        <v>355</v>
      </c>
      <c r="H17" s="7" t="s">
        <v>355</v>
      </c>
      <c r="I17" s="14"/>
      <c r="J17" s="14"/>
      <c r="K17" s="14"/>
      <c r="L17" s="14"/>
      <c r="M17" s="14"/>
    </row>
    <row r="18" ht="18.75" customHeight="1">
      <c r="A18" s="7" t="s">
        <v>392</v>
      </c>
      <c r="B18" s="7" t="s">
        <v>393</v>
      </c>
      <c r="C18" s="8">
        <v>45996.0</v>
      </c>
      <c r="D18" s="8">
        <v>46081.0</v>
      </c>
      <c r="E18" s="7" t="s">
        <v>353</v>
      </c>
      <c r="F18" s="7" t="s">
        <v>378</v>
      </c>
      <c r="G18" s="7" t="s">
        <v>355</v>
      </c>
      <c r="H18" s="7" t="s">
        <v>355</v>
      </c>
      <c r="I18" s="14"/>
      <c r="J18" s="14"/>
      <c r="K18" s="14"/>
      <c r="L18" s="14"/>
      <c r="M18" s="14"/>
    </row>
    <row r="19" ht="18.75" customHeight="1">
      <c r="A19" s="7" t="s">
        <v>394</v>
      </c>
      <c r="B19" s="7" t="s">
        <v>395</v>
      </c>
      <c r="C19" s="8">
        <v>46009.0</v>
      </c>
      <c r="D19" s="8">
        <v>46081.0</v>
      </c>
      <c r="E19" s="7" t="s">
        <v>353</v>
      </c>
      <c r="F19" s="7" t="s">
        <v>378</v>
      </c>
      <c r="G19" s="7" t="s">
        <v>355</v>
      </c>
      <c r="H19" s="7" t="s">
        <v>355</v>
      </c>
      <c r="I19" s="14"/>
      <c r="J19" s="14"/>
      <c r="K19" s="14"/>
      <c r="L19" s="14"/>
      <c r="M19" s="14"/>
    </row>
    <row r="20" ht="18.75" customHeight="1">
      <c r="A20" s="7" t="s">
        <v>396</v>
      </c>
      <c r="B20" s="7" t="s">
        <v>397</v>
      </c>
      <c r="C20" s="8">
        <v>46020.0</v>
      </c>
      <c r="D20" s="8">
        <v>46058.0</v>
      </c>
      <c r="E20" s="7" t="s">
        <v>353</v>
      </c>
      <c r="F20" s="7" t="s">
        <v>378</v>
      </c>
      <c r="G20" s="7" t="s">
        <v>355</v>
      </c>
      <c r="H20" s="7" t="s">
        <v>355</v>
      </c>
      <c r="I20" s="14"/>
      <c r="J20" s="14"/>
      <c r="K20" s="14"/>
      <c r="L20" s="14"/>
      <c r="M20" s="14"/>
    </row>
    <row r="21" ht="18.75" customHeight="1">
      <c r="A21" s="7" t="s">
        <v>398</v>
      </c>
      <c r="B21" s="7" t="s">
        <v>399</v>
      </c>
      <c r="C21" s="8">
        <v>46008.0</v>
      </c>
      <c r="D21" s="8">
        <v>46068.0</v>
      </c>
      <c r="E21" s="7" t="s">
        <v>353</v>
      </c>
      <c r="F21" s="7" t="s">
        <v>378</v>
      </c>
      <c r="G21" s="7" t="s">
        <v>355</v>
      </c>
      <c r="H21" s="7" t="s">
        <v>355</v>
      </c>
      <c r="I21" s="14"/>
      <c r="J21" s="14"/>
      <c r="K21" s="14"/>
      <c r="L21" s="14"/>
      <c r="M21" s="14"/>
    </row>
    <row r="22" ht="18.75" customHeight="1">
      <c r="A22" s="7" t="s">
        <v>400</v>
      </c>
      <c r="B22" s="7" t="s">
        <v>401</v>
      </c>
      <c r="C22" s="8">
        <v>46010.0</v>
      </c>
      <c r="D22" s="8">
        <v>46068.0</v>
      </c>
      <c r="E22" s="7" t="s">
        <v>353</v>
      </c>
      <c r="F22" s="7" t="s">
        <v>378</v>
      </c>
      <c r="G22" s="7" t="s">
        <v>355</v>
      </c>
      <c r="H22" s="7" t="s">
        <v>355</v>
      </c>
      <c r="I22" s="14"/>
      <c r="J22" s="14"/>
      <c r="K22" s="14"/>
      <c r="L22" s="14"/>
      <c r="M22" s="14"/>
    </row>
    <row r="23" ht="18.75" customHeight="1">
      <c r="A23" s="7" t="s">
        <v>402</v>
      </c>
      <c r="B23" s="7" t="s">
        <v>403</v>
      </c>
      <c r="C23" s="8">
        <v>45994.0</v>
      </c>
      <c r="D23" s="8">
        <v>46053.0</v>
      </c>
      <c r="E23" s="7" t="s">
        <v>404</v>
      </c>
      <c r="F23" s="7" t="s">
        <v>405</v>
      </c>
      <c r="G23" s="7" t="s">
        <v>355</v>
      </c>
      <c r="H23" s="7" t="s">
        <v>355</v>
      </c>
      <c r="I23" s="14"/>
      <c r="J23" s="14"/>
      <c r="K23" s="14"/>
      <c r="L23" s="14"/>
      <c r="M23" s="14"/>
    </row>
    <row r="24" ht="18.75" customHeight="1">
      <c r="A24" s="7" t="s">
        <v>406</v>
      </c>
      <c r="B24" s="7" t="s">
        <v>407</v>
      </c>
      <c r="C24" s="8">
        <v>46040.0</v>
      </c>
      <c r="D24" s="8">
        <v>46053.0</v>
      </c>
      <c r="E24" s="7" t="s">
        <v>358</v>
      </c>
      <c r="F24" s="7" t="s">
        <v>365</v>
      </c>
      <c r="G24" s="7" t="s">
        <v>355</v>
      </c>
      <c r="H24" s="7" t="s">
        <v>355</v>
      </c>
      <c r="I24" s="14"/>
      <c r="J24" s="14"/>
      <c r="K24" s="14"/>
      <c r="L24" s="14"/>
      <c r="M24" s="14"/>
    </row>
    <row r="25" ht="18.75" customHeight="1">
      <c r="A25" s="7" t="s">
        <v>408</v>
      </c>
      <c r="B25" s="7" t="s">
        <v>409</v>
      </c>
      <c r="C25" s="8">
        <v>46006.0</v>
      </c>
      <c r="D25" s="8">
        <v>46265.0</v>
      </c>
      <c r="E25" s="7" t="s">
        <v>353</v>
      </c>
      <c r="F25" s="7" t="s">
        <v>354</v>
      </c>
      <c r="G25" s="7" t="s">
        <v>410</v>
      </c>
      <c r="H25" s="7" t="s">
        <v>410</v>
      </c>
      <c r="I25" s="14"/>
      <c r="J25" s="14"/>
      <c r="K25" s="14"/>
      <c r="L25" s="14"/>
      <c r="M25" s="14"/>
    </row>
    <row r="26" ht="18.75" customHeight="1">
      <c r="A26" s="7" t="s">
        <v>411</v>
      </c>
      <c r="B26" s="7" t="s">
        <v>412</v>
      </c>
      <c r="C26" s="8">
        <v>46009.0</v>
      </c>
      <c r="D26" s="8">
        <v>46035.0</v>
      </c>
      <c r="E26" s="7" t="s">
        <v>353</v>
      </c>
      <c r="F26" s="7" t="s">
        <v>413</v>
      </c>
      <c r="G26" s="7" t="s">
        <v>355</v>
      </c>
      <c r="H26" s="7" t="s">
        <v>355</v>
      </c>
      <c r="I26" s="14"/>
      <c r="J26" s="14"/>
      <c r="K26" s="14"/>
      <c r="L26" s="14"/>
      <c r="M26" s="14"/>
    </row>
    <row r="27" ht="18.75" customHeight="1">
      <c r="A27" s="7" t="s">
        <v>414</v>
      </c>
      <c r="B27" s="7" t="s">
        <v>415</v>
      </c>
      <c r="C27" s="8">
        <v>46013.0</v>
      </c>
      <c r="D27" s="8">
        <v>46024.0</v>
      </c>
      <c r="E27" s="7" t="s">
        <v>416</v>
      </c>
      <c r="F27" s="7" t="s">
        <v>417</v>
      </c>
      <c r="G27" s="7" t="s">
        <v>355</v>
      </c>
      <c r="H27" s="7" t="s">
        <v>355</v>
      </c>
      <c r="I27" s="14"/>
      <c r="J27" s="14"/>
      <c r="K27" s="14"/>
      <c r="L27" s="14"/>
      <c r="M27" s="14"/>
    </row>
    <row r="28" ht="18.75" customHeight="1">
      <c r="A28" s="7" t="s">
        <v>418</v>
      </c>
      <c r="B28" s="7" t="s">
        <v>419</v>
      </c>
      <c r="C28" s="8">
        <v>46014.0</v>
      </c>
      <c r="D28" s="8">
        <v>46025.0</v>
      </c>
      <c r="E28" s="7" t="s">
        <v>416</v>
      </c>
      <c r="F28" s="7" t="s">
        <v>417</v>
      </c>
      <c r="G28" s="7" t="s">
        <v>355</v>
      </c>
      <c r="H28" s="7" t="s">
        <v>355</v>
      </c>
      <c r="I28" s="14"/>
      <c r="J28" s="14"/>
      <c r="K28" s="14"/>
      <c r="L28" s="14"/>
      <c r="M28" s="14"/>
    </row>
    <row r="29" ht="18.75" customHeight="1">
      <c r="A29" s="7" t="s">
        <v>420</v>
      </c>
      <c r="B29" s="7" t="s">
        <v>421</v>
      </c>
      <c r="C29" s="8">
        <v>46014.0</v>
      </c>
      <c r="D29" s="8">
        <v>46023.0</v>
      </c>
      <c r="E29" s="7" t="s">
        <v>353</v>
      </c>
      <c r="F29" s="7" t="s">
        <v>417</v>
      </c>
      <c r="G29" s="7" t="s">
        <v>355</v>
      </c>
      <c r="H29" s="7" t="s">
        <v>355</v>
      </c>
      <c r="I29" s="14"/>
      <c r="J29" s="14"/>
      <c r="K29" s="14"/>
      <c r="L29" s="14"/>
      <c r="M29" s="14"/>
    </row>
    <row r="30" ht="18.75" customHeight="1">
      <c r="A30" s="7" t="s">
        <v>422</v>
      </c>
      <c r="B30" s="7" t="s">
        <v>423</v>
      </c>
      <c r="C30" s="8">
        <v>46029.0</v>
      </c>
      <c r="D30" s="8">
        <v>46081.0</v>
      </c>
      <c r="E30" s="7" t="s">
        <v>404</v>
      </c>
      <c r="F30" s="7" t="s">
        <v>405</v>
      </c>
      <c r="G30" s="7" t="s">
        <v>355</v>
      </c>
      <c r="H30" s="7" t="s">
        <v>355</v>
      </c>
      <c r="I30" s="14"/>
      <c r="J30" s="14"/>
      <c r="K30" s="14"/>
      <c r="L30" s="14"/>
      <c r="M30" s="14"/>
    </row>
    <row r="31" ht="18.75" customHeight="1">
      <c r="A31" s="7" t="s">
        <v>424</v>
      </c>
      <c r="B31" s="7" t="s">
        <v>425</v>
      </c>
      <c r="C31" s="8">
        <v>46163.0</v>
      </c>
      <c r="D31" s="8">
        <v>46190.0</v>
      </c>
      <c r="E31" s="7" t="s">
        <v>358</v>
      </c>
      <c r="F31" s="7" t="s">
        <v>359</v>
      </c>
      <c r="G31" s="7" t="s">
        <v>355</v>
      </c>
      <c r="H31" s="7" t="s">
        <v>355</v>
      </c>
      <c r="I31" s="14"/>
      <c r="J31" s="14"/>
      <c r="K31" s="14"/>
      <c r="L31" s="14"/>
      <c r="M31" s="14"/>
    </row>
    <row r="32" ht="18.75" customHeight="1">
      <c r="A32" s="7" t="s">
        <v>426</v>
      </c>
      <c r="B32" s="7" t="s">
        <v>427</v>
      </c>
      <c r="C32" s="8">
        <v>46030.0</v>
      </c>
      <c r="D32" s="8">
        <v>46030.0</v>
      </c>
      <c r="E32" s="7" t="s">
        <v>353</v>
      </c>
      <c r="F32" s="7" t="s">
        <v>378</v>
      </c>
      <c r="G32" s="7" t="s">
        <v>355</v>
      </c>
      <c r="H32" s="7" t="s">
        <v>355</v>
      </c>
      <c r="I32" s="14"/>
      <c r="J32" s="14"/>
      <c r="K32" s="14"/>
      <c r="L32" s="14"/>
      <c r="M32" s="14"/>
    </row>
    <row r="33" ht="18.75" customHeight="1">
      <c r="A33" s="7" t="s">
        <v>2118</v>
      </c>
      <c r="B33" s="7" t="s">
        <v>2119</v>
      </c>
      <c r="C33" s="15"/>
      <c r="D33" s="15"/>
      <c r="E33" s="7" t="s">
        <v>416</v>
      </c>
      <c r="F33" s="7" t="s">
        <v>430</v>
      </c>
      <c r="G33" s="7" t="s">
        <v>2120</v>
      </c>
      <c r="H33" s="7" t="s">
        <v>355</v>
      </c>
      <c r="I33" s="14"/>
      <c r="J33" s="14"/>
      <c r="K33" s="14"/>
      <c r="L33" s="14"/>
      <c r="M33" s="14"/>
    </row>
    <row r="34" ht="18.75" customHeight="1">
      <c r="A34" s="7" t="s">
        <v>2121</v>
      </c>
      <c r="B34" s="7" t="s">
        <v>2122</v>
      </c>
      <c r="C34" s="15"/>
      <c r="D34" s="15"/>
      <c r="E34" s="7" t="s">
        <v>404</v>
      </c>
      <c r="F34" s="7" t="s">
        <v>430</v>
      </c>
      <c r="G34" s="7" t="s">
        <v>2120</v>
      </c>
      <c r="H34" s="7" t="s">
        <v>355</v>
      </c>
      <c r="I34" s="14"/>
      <c r="J34" s="14"/>
      <c r="K34" s="14"/>
      <c r="L34" s="14"/>
      <c r="M34" s="14"/>
    </row>
    <row r="35" ht="18.75" customHeight="1">
      <c r="A35" s="7" t="s">
        <v>428</v>
      </c>
      <c r="B35" s="7" t="s">
        <v>429</v>
      </c>
      <c r="C35" s="8">
        <v>46029.0</v>
      </c>
      <c r="D35" s="8">
        <v>46029.0</v>
      </c>
      <c r="E35" s="7" t="s">
        <v>416</v>
      </c>
      <c r="F35" s="7" t="s">
        <v>430</v>
      </c>
      <c r="G35" s="7" t="s">
        <v>355</v>
      </c>
      <c r="H35" s="7" t="s">
        <v>355</v>
      </c>
      <c r="I35" s="14"/>
      <c r="J35" s="14"/>
      <c r="K35" s="14"/>
      <c r="L35" s="14"/>
      <c r="M35" s="14"/>
    </row>
    <row r="36" ht="18.75" customHeight="1">
      <c r="A36" s="7" t="s">
        <v>2123</v>
      </c>
      <c r="B36" s="7" t="s">
        <v>2124</v>
      </c>
      <c r="C36" s="15"/>
      <c r="D36" s="15"/>
      <c r="E36" s="7" t="s">
        <v>416</v>
      </c>
      <c r="F36" s="7" t="s">
        <v>430</v>
      </c>
      <c r="G36" s="7" t="s">
        <v>2120</v>
      </c>
      <c r="H36" s="7" t="s">
        <v>355</v>
      </c>
      <c r="I36" s="14"/>
      <c r="J36" s="14"/>
      <c r="K36" s="14"/>
      <c r="L36" s="14"/>
      <c r="M36" s="14"/>
    </row>
    <row r="37" ht="18.75" customHeight="1">
      <c r="A37" s="7" t="s">
        <v>431</v>
      </c>
      <c r="B37" s="7" t="s">
        <v>432</v>
      </c>
      <c r="C37" s="8">
        <v>46035.0</v>
      </c>
      <c r="D37" s="8">
        <v>46071.0</v>
      </c>
      <c r="E37" s="7" t="s">
        <v>404</v>
      </c>
      <c r="F37" s="7" t="s">
        <v>405</v>
      </c>
      <c r="G37" s="7" t="s">
        <v>355</v>
      </c>
      <c r="H37" s="7" t="s">
        <v>355</v>
      </c>
      <c r="I37" s="14"/>
      <c r="J37" s="14"/>
      <c r="K37" s="14"/>
      <c r="L37" s="14"/>
      <c r="M37" s="14"/>
    </row>
    <row r="38" ht="18.75" customHeight="1">
      <c r="A38" s="7" t="s">
        <v>433</v>
      </c>
      <c r="B38" s="7" t="s">
        <v>434</v>
      </c>
      <c r="C38" s="8">
        <v>46031.0</v>
      </c>
      <c r="D38" s="8">
        <v>46039.0</v>
      </c>
      <c r="E38" s="7" t="s">
        <v>404</v>
      </c>
      <c r="F38" s="7" t="s">
        <v>405</v>
      </c>
      <c r="G38" s="7" t="s">
        <v>355</v>
      </c>
      <c r="H38" s="7" t="s">
        <v>355</v>
      </c>
      <c r="I38" s="14"/>
      <c r="J38" s="14"/>
      <c r="K38" s="14"/>
      <c r="L38" s="14"/>
      <c r="M38" s="14"/>
    </row>
    <row r="39" ht="18.75" customHeight="1">
      <c r="A39" s="7" t="s">
        <v>435</v>
      </c>
      <c r="B39" s="7" t="s">
        <v>436</v>
      </c>
      <c r="C39" s="8">
        <v>46041.0</v>
      </c>
      <c r="D39" s="8">
        <v>46062.0</v>
      </c>
      <c r="E39" s="7" t="s">
        <v>404</v>
      </c>
      <c r="F39" s="7" t="s">
        <v>405</v>
      </c>
      <c r="G39" s="7" t="s">
        <v>355</v>
      </c>
      <c r="H39" s="7" t="s">
        <v>355</v>
      </c>
      <c r="I39" s="14"/>
      <c r="J39" s="14"/>
      <c r="K39" s="14"/>
      <c r="L39" s="14"/>
      <c r="M39" s="14"/>
    </row>
    <row r="40" ht="18.75" customHeight="1">
      <c r="A40" s="7" t="s">
        <v>437</v>
      </c>
      <c r="B40" s="7" t="s">
        <v>438</v>
      </c>
      <c r="C40" s="8">
        <v>46038.0</v>
      </c>
      <c r="D40" s="8">
        <v>46073.0</v>
      </c>
      <c r="E40" s="7" t="s">
        <v>404</v>
      </c>
      <c r="F40" s="7" t="s">
        <v>405</v>
      </c>
      <c r="G40" s="7" t="s">
        <v>355</v>
      </c>
      <c r="H40" s="7" t="s">
        <v>355</v>
      </c>
      <c r="I40" s="14"/>
      <c r="J40" s="14"/>
      <c r="K40" s="14"/>
      <c r="L40" s="14"/>
      <c r="M40" s="14"/>
    </row>
    <row r="41" ht="18.75" customHeight="1">
      <c r="A41" s="7" t="s">
        <v>439</v>
      </c>
      <c r="B41" s="7" t="s">
        <v>440</v>
      </c>
      <c r="C41" s="8">
        <v>46028.0</v>
      </c>
      <c r="D41" s="8">
        <v>46042.0</v>
      </c>
      <c r="E41" s="7" t="s">
        <v>364</v>
      </c>
      <c r="F41" s="7" t="s">
        <v>365</v>
      </c>
      <c r="G41" s="7" t="s">
        <v>355</v>
      </c>
      <c r="H41" s="7" t="s">
        <v>355</v>
      </c>
      <c r="I41" s="14"/>
      <c r="J41" s="14"/>
      <c r="K41" s="14"/>
      <c r="L41" s="14"/>
      <c r="M41" s="14"/>
    </row>
    <row r="42" ht="18.75" customHeight="1">
      <c r="A42" s="7" t="s">
        <v>441</v>
      </c>
      <c r="B42" s="7" t="s">
        <v>442</v>
      </c>
      <c r="C42" s="8">
        <v>46035.0</v>
      </c>
      <c r="D42" s="8">
        <v>46053.0</v>
      </c>
      <c r="E42" s="7" t="s">
        <v>364</v>
      </c>
      <c r="F42" s="7" t="s">
        <v>365</v>
      </c>
      <c r="G42" s="7" t="s">
        <v>355</v>
      </c>
      <c r="H42" s="7" t="s">
        <v>355</v>
      </c>
      <c r="I42" s="14"/>
      <c r="J42" s="14"/>
      <c r="K42" s="14"/>
      <c r="L42" s="14"/>
      <c r="M42" s="14"/>
    </row>
    <row r="43" ht="18.75" customHeight="1">
      <c r="A43" s="7" t="s">
        <v>443</v>
      </c>
      <c r="B43" s="7" t="s">
        <v>444</v>
      </c>
      <c r="C43" s="8">
        <v>46027.0</v>
      </c>
      <c r="D43" s="8">
        <v>46035.0</v>
      </c>
      <c r="E43" s="7" t="s">
        <v>353</v>
      </c>
      <c r="F43" s="7" t="s">
        <v>445</v>
      </c>
      <c r="G43" s="7" t="s">
        <v>355</v>
      </c>
      <c r="H43" s="7" t="s">
        <v>355</v>
      </c>
      <c r="I43" s="14"/>
      <c r="J43" s="14"/>
      <c r="K43" s="14"/>
      <c r="L43" s="14"/>
      <c r="M43" s="14"/>
    </row>
    <row r="44" ht="18.75" customHeight="1">
      <c r="A44" s="7" t="s">
        <v>446</v>
      </c>
      <c r="B44" s="7" t="s">
        <v>447</v>
      </c>
      <c r="C44" s="8">
        <v>46021.0</v>
      </c>
      <c r="D44" s="8">
        <v>46034.0</v>
      </c>
      <c r="E44" s="7" t="s">
        <v>364</v>
      </c>
      <c r="F44" s="7" t="s">
        <v>365</v>
      </c>
      <c r="G44" s="7" t="s">
        <v>355</v>
      </c>
      <c r="H44" s="7" t="s">
        <v>355</v>
      </c>
      <c r="I44" s="14"/>
      <c r="J44" s="14"/>
      <c r="K44" s="14"/>
      <c r="L44" s="14"/>
      <c r="M44" s="14"/>
    </row>
    <row r="45" ht="18.75" customHeight="1">
      <c r="A45" s="7" t="s">
        <v>448</v>
      </c>
      <c r="B45" s="7" t="s">
        <v>449</v>
      </c>
      <c r="C45" s="8">
        <v>46034.0</v>
      </c>
      <c r="D45" s="8">
        <v>46034.0</v>
      </c>
      <c r="E45" s="7" t="s">
        <v>416</v>
      </c>
      <c r="F45" s="7" t="s">
        <v>430</v>
      </c>
      <c r="G45" s="7" t="s">
        <v>355</v>
      </c>
      <c r="H45" s="7" t="s">
        <v>355</v>
      </c>
      <c r="I45" s="14"/>
      <c r="J45" s="14"/>
      <c r="K45" s="14"/>
      <c r="L45" s="14"/>
      <c r="M45" s="14"/>
    </row>
    <row r="46" ht="18.75" customHeight="1">
      <c r="A46" s="7" t="s">
        <v>450</v>
      </c>
      <c r="B46" s="7" t="s">
        <v>451</v>
      </c>
      <c r="C46" s="8">
        <v>46031.0</v>
      </c>
      <c r="D46" s="8">
        <v>46031.0</v>
      </c>
      <c r="E46" s="7" t="s">
        <v>416</v>
      </c>
      <c r="F46" s="7" t="s">
        <v>430</v>
      </c>
      <c r="G46" s="7" t="s">
        <v>355</v>
      </c>
      <c r="H46" s="7" t="s">
        <v>355</v>
      </c>
      <c r="I46" s="14"/>
      <c r="J46" s="14"/>
      <c r="K46" s="14"/>
      <c r="L46" s="14"/>
      <c r="M46" s="14"/>
    </row>
    <row r="47" ht="18.75" customHeight="1">
      <c r="A47" s="7" t="s">
        <v>452</v>
      </c>
      <c r="B47" s="7" t="s">
        <v>453</v>
      </c>
      <c r="C47" s="8">
        <v>46024.0</v>
      </c>
      <c r="D47" s="8">
        <v>46052.0</v>
      </c>
      <c r="E47" s="7" t="s">
        <v>416</v>
      </c>
      <c r="F47" s="7" t="s">
        <v>417</v>
      </c>
      <c r="G47" s="7" t="s">
        <v>355</v>
      </c>
      <c r="H47" s="7" t="s">
        <v>355</v>
      </c>
      <c r="I47" s="14"/>
      <c r="J47" s="14"/>
      <c r="K47" s="14"/>
      <c r="L47" s="14"/>
      <c r="M47" s="14"/>
    </row>
    <row r="48" ht="18.75" customHeight="1">
      <c r="A48" s="7" t="s">
        <v>454</v>
      </c>
      <c r="B48" s="7" t="s">
        <v>455</v>
      </c>
      <c r="C48" s="8">
        <v>46027.0</v>
      </c>
      <c r="D48" s="8">
        <v>46057.0</v>
      </c>
      <c r="E48" s="7" t="s">
        <v>416</v>
      </c>
      <c r="F48" s="7" t="s">
        <v>430</v>
      </c>
      <c r="G48" s="7" t="s">
        <v>355</v>
      </c>
      <c r="H48" s="7" t="s">
        <v>355</v>
      </c>
      <c r="I48" s="14"/>
      <c r="J48" s="14"/>
      <c r="K48" s="14"/>
      <c r="L48" s="14"/>
      <c r="M48" s="14"/>
    </row>
    <row r="49" ht="18.75" customHeight="1">
      <c r="A49" s="7" t="s">
        <v>2125</v>
      </c>
      <c r="B49" s="7" t="s">
        <v>2126</v>
      </c>
      <c r="C49" s="14"/>
      <c r="D49" s="14"/>
      <c r="E49" s="7" t="s">
        <v>364</v>
      </c>
      <c r="F49" s="7" t="s">
        <v>365</v>
      </c>
      <c r="G49" s="7" t="s">
        <v>2120</v>
      </c>
      <c r="H49" s="7" t="s">
        <v>355</v>
      </c>
      <c r="I49" s="14"/>
      <c r="J49" s="14"/>
      <c r="K49" s="14"/>
      <c r="L49" s="14"/>
      <c r="M49" s="14"/>
    </row>
    <row r="50" ht="18.75" customHeight="1">
      <c r="A50" s="7" t="s">
        <v>456</v>
      </c>
      <c r="B50" s="7" t="s">
        <v>457</v>
      </c>
      <c r="C50" s="8">
        <v>46043.0</v>
      </c>
      <c r="D50" s="8">
        <v>46049.0</v>
      </c>
      <c r="E50" s="7" t="s">
        <v>416</v>
      </c>
      <c r="F50" s="7" t="s">
        <v>430</v>
      </c>
      <c r="G50" s="7" t="s">
        <v>355</v>
      </c>
      <c r="H50" s="7" t="s">
        <v>355</v>
      </c>
      <c r="I50" s="14"/>
      <c r="J50" s="14"/>
      <c r="K50" s="14"/>
      <c r="L50" s="14"/>
      <c r="M50" s="14"/>
    </row>
    <row r="51" ht="18.75" customHeight="1">
      <c r="A51" s="7" t="s">
        <v>458</v>
      </c>
      <c r="B51" s="7" t="s">
        <v>459</v>
      </c>
      <c r="C51" s="8">
        <v>46038.0</v>
      </c>
      <c r="D51" s="8">
        <v>46038.0</v>
      </c>
      <c r="E51" s="7" t="s">
        <v>416</v>
      </c>
      <c r="F51" s="7" t="s">
        <v>430</v>
      </c>
      <c r="G51" s="7" t="s">
        <v>355</v>
      </c>
      <c r="H51" s="7" t="s">
        <v>355</v>
      </c>
      <c r="I51" s="14"/>
      <c r="J51" s="14"/>
      <c r="K51" s="14"/>
      <c r="L51" s="14"/>
      <c r="M51" s="14"/>
    </row>
    <row r="52" ht="18.75" customHeight="1">
      <c r="A52" s="7" t="s">
        <v>460</v>
      </c>
      <c r="B52" s="7" t="s">
        <v>461</v>
      </c>
      <c r="C52" s="8">
        <v>46035.0</v>
      </c>
      <c r="D52" s="8">
        <v>46035.0</v>
      </c>
      <c r="E52" s="7" t="s">
        <v>416</v>
      </c>
      <c r="F52" s="7" t="s">
        <v>430</v>
      </c>
      <c r="G52" s="7" t="s">
        <v>355</v>
      </c>
      <c r="H52" s="7" t="s">
        <v>355</v>
      </c>
      <c r="I52" s="14"/>
      <c r="J52" s="14"/>
      <c r="K52" s="14"/>
      <c r="L52" s="14"/>
      <c r="M52" s="14"/>
    </row>
    <row r="53" ht="18.75" customHeight="1">
      <c r="A53" s="7" t="s">
        <v>462</v>
      </c>
      <c r="B53" s="7" t="s">
        <v>463</v>
      </c>
      <c r="C53" s="8">
        <v>46036.0</v>
      </c>
      <c r="D53" s="8">
        <v>46036.0</v>
      </c>
      <c r="E53" s="7" t="s">
        <v>416</v>
      </c>
      <c r="F53" s="7" t="s">
        <v>430</v>
      </c>
      <c r="G53" s="7" t="s">
        <v>355</v>
      </c>
      <c r="H53" s="7" t="s">
        <v>355</v>
      </c>
      <c r="I53" s="14"/>
      <c r="J53" s="14"/>
      <c r="K53" s="14"/>
      <c r="L53" s="14"/>
      <c r="M53" s="14"/>
    </row>
    <row r="54" ht="18.75" customHeight="1">
      <c r="A54" s="7" t="s">
        <v>464</v>
      </c>
      <c r="B54" s="7" t="s">
        <v>465</v>
      </c>
      <c r="C54" s="8">
        <v>46029.0</v>
      </c>
      <c r="D54" s="8">
        <v>46044.0</v>
      </c>
      <c r="E54" s="7" t="s">
        <v>358</v>
      </c>
      <c r="F54" s="7" t="s">
        <v>466</v>
      </c>
      <c r="G54" s="7" t="s">
        <v>355</v>
      </c>
      <c r="H54" s="7" t="s">
        <v>355</v>
      </c>
      <c r="I54" s="14"/>
      <c r="J54" s="14"/>
      <c r="K54" s="14"/>
      <c r="L54" s="14"/>
      <c r="M54" s="14"/>
    </row>
    <row r="55" ht="18.75" customHeight="1">
      <c r="A55" s="7" t="s">
        <v>467</v>
      </c>
      <c r="B55" s="7" t="s">
        <v>468</v>
      </c>
      <c r="C55" s="8">
        <v>46030.0</v>
      </c>
      <c r="D55" s="8">
        <v>46045.0</v>
      </c>
      <c r="E55" s="7" t="s">
        <v>358</v>
      </c>
      <c r="F55" s="7" t="s">
        <v>466</v>
      </c>
      <c r="G55" s="7" t="s">
        <v>355</v>
      </c>
      <c r="H55" s="7" t="s">
        <v>355</v>
      </c>
      <c r="I55" s="14"/>
      <c r="J55" s="14"/>
      <c r="K55" s="14"/>
      <c r="L55" s="14"/>
      <c r="M55" s="14"/>
    </row>
    <row r="56" ht="18.75" customHeight="1">
      <c r="A56" s="7" t="s">
        <v>469</v>
      </c>
      <c r="B56" s="7" t="s">
        <v>470</v>
      </c>
      <c r="C56" s="8">
        <v>46057.0</v>
      </c>
      <c r="D56" s="8">
        <v>46080.0</v>
      </c>
      <c r="E56" s="7" t="s">
        <v>404</v>
      </c>
      <c r="F56" s="7" t="s">
        <v>405</v>
      </c>
      <c r="G56" s="7" t="s">
        <v>355</v>
      </c>
      <c r="H56" s="7" t="s">
        <v>355</v>
      </c>
      <c r="I56" s="14"/>
      <c r="J56" s="14"/>
      <c r="K56" s="14"/>
      <c r="L56" s="14"/>
      <c r="M56" s="14"/>
    </row>
    <row r="57" ht="18.75" customHeight="1">
      <c r="A57" s="7" t="s">
        <v>2127</v>
      </c>
      <c r="B57" s="7" t="s">
        <v>2128</v>
      </c>
      <c r="C57" s="14"/>
      <c r="D57" s="14"/>
      <c r="E57" s="7" t="s">
        <v>358</v>
      </c>
      <c r="F57" s="7" t="s">
        <v>359</v>
      </c>
      <c r="G57" s="7" t="s">
        <v>2120</v>
      </c>
      <c r="H57" s="7" t="s">
        <v>355</v>
      </c>
      <c r="I57" s="14"/>
      <c r="J57" s="14"/>
      <c r="K57" s="14"/>
      <c r="L57" s="14"/>
      <c r="M57" s="14"/>
    </row>
    <row r="58" ht="18.75" customHeight="1">
      <c r="A58" s="7" t="s">
        <v>2129</v>
      </c>
      <c r="B58" s="7" t="s">
        <v>2130</v>
      </c>
      <c r="C58" s="14"/>
      <c r="D58" s="14"/>
      <c r="E58" s="7" t="s">
        <v>358</v>
      </c>
      <c r="F58" s="7" t="s">
        <v>387</v>
      </c>
      <c r="G58" s="7" t="s">
        <v>2120</v>
      </c>
      <c r="H58" s="7" t="s">
        <v>355</v>
      </c>
      <c r="I58" s="14"/>
      <c r="J58" s="14"/>
      <c r="K58" s="14"/>
      <c r="L58" s="14"/>
      <c r="M58" s="14"/>
    </row>
    <row r="59" ht="18.75" customHeight="1">
      <c r="A59" s="7" t="s">
        <v>471</v>
      </c>
      <c r="B59" s="7" t="s">
        <v>472</v>
      </c>
      <c r="C59" s="8">
        <v>46031.0</v>
      </c>
      <c r="D59" s="8">
        <v>46031.0</v>
      </c>
      <c r="E59" s="7" t="s">
        <v>473</v>
      </c>
      <c r="F59" s="7" t="s">
        <v>474</v>
      </c>
      <c r="G59" s="7" t="s">
        <v>355</v>
      </c>
      <c r="H59" s="7" t="s">
        <v>355</v>
      </c>
      <c r="I59" s="14"/>
      <c r="J59" s="14"/>
      <c r="K59" s="14"/>
      <c r="L59" s="14"/>
      <c r="M59" s="14"/>
    </row>
    <row r="60" ht="18.75" customHeight="1">
      <c r="A60" s="7" t="s">
        <v>475</v>
      </c>
      <c r="B60" s="7" t="s">
        <v>476</v>
      </c>
      <c r="C60" s="8">
        <v>46036.0</v>
      </c>
      <c r="D60" s="8">
        <v>46056.0</v>
      </c>
      <c r="E60" s="7" t="s">
        <v>364</v>
      </c>
      <c r="F60" s="7" t="s">
        <v>365</v>
      </c>
      <c r="G60" s="7" t="s">
        <v>355</v>
      </c>
      <c r="H60" s="7" t="s">
        <v>355</v>
      </c>
      <c r="I60" s="14"/>
      <c r="J60" s="14"/>
      <c r="K60" s="14"/>
      <c r="L60" s="14"/>
      <c r="M60" s="14"/>
    </row>
    <row r="61" ht="18.75" customHeight="1">
      <c r="A61" s="7" t="s">
        <v>477</v>
      </c>
      <c r="B61" s="7" t="s">
        <v>478</v>
      </c>
      <c r="C61" s="8">
        <v>46031.0</v>
      </c>
      <c r="D61" s="8">
        <v>46053.0</v>
      </c>
      <c r="E61" s="7" t="s">
        <v>416</v>
      </c>
      <c r="F61" s="7" t="s">
        <v>417</v>
      </c>
      <c r="G61" s="7" t="s">
        <v>355</v>
      </c>
      <c r="H61" s="7" t="s">
        <v>355</v>
      </c>
      <c r="I61" s="14"/>
      <c r="J61" s="14"/>
      <c r="K61" s="14"/>
      <c r="L61" s="14"/>
      <c r="M61" s="14"/>
    </row>
    <row r="62" ht="18.75" customHeight="1">
      <c r="A62" s="7" t="s">
        <v>479</v>
      </c>
      <c r="B62" s="7" t="s">
        <v>480</v>
      </c>
      <c r="C62" s="8">
        <v>46041.0</v>
      </c>
      <c r="D62" s="8">
        <v>46066.0</v>
      </c>
      <c r="E62" s="7" t="s">
        <v>404</v>
      </c>
      <c r="F62" s="7" t="s">
        <v>405</v>
      </c>
      <c r="G62" s="7" t="s">
        <v>355</v>
      </c>
      <c r="H62" s="7" t="s">
        <v>355</v>
      </c>
      <c r="I62" s="14"/>
      <c r="J62" s="14"/>
      <c r="K62" s="14"/>
      <c r="L62" s="14"/>
      <c r="M62" s="14"/>
    </row>
    <row r="63" ht="18.75" customHeight="1">
      <c r="A63" s="7" t="s">
        <v>481</v>
      </c>
      <c r="B63" s="7" t="s">
        <v>482</v>
      </c>
      <c r="C63" s="8">
        <v>46050.0</v>
      </c>
      <c r="D63" s="8">
        <v>46053.0</v>
      </c>
      <c r="E63" s="7" t="s">
        <v>404</v>
      </c>
      <c r="F63" s="7" t="s">
        <v>405</v>
      </c>
      <c r="G63" s="7" t="s">
        <v>355</v>
      </c>
      <c r="H63" s="7" t="s">
        <v>355</v>
      </c>
      <c r="I63" s="14"/>
      <c r="J63" s="14"/>
      <c r="K63" s="14"/>
      <c r="L63" s="14"/>
      <c r="M63" s="14"/>
    </row>
    <row r="64" ht="18.75" customHeight="1">
      <c r="A64" s="7" t="s">
        <v>483</v>
      </c>
      <c r="B64" s="7" t="s">
        <v>484</v>
      </c>
      <c r="C64" s="8">
        <v>46031.0</v>
      </c>
      <c r="D64" s="8">
        <v>46045.0</v>
      </c>
      <c r="E64" s="7" t="s">
        <v>364</v>
      </c>
      <c r="F64" s="7" t="s">
        <v>365</v>
      </c>
      <c r="G64" s="7" t="s">
        <v>355</v>
      </c>
      <c r="H64" s="7" t="s">
        <v>355</v>
      </c>
      <c r="I64" s="14"/>
      <c r="J64" s="14"/>
      <c r="K64" s="14"/>
      <c r="L64" s="14"/>
      <c r="M64" s="14"/>
    </row>
    <row r="65" ht="18.75" customHeight="1">
      <c r="A65" s="7" t="s">
        <v>485</v>
      </c>
      <c r="B65" s="7" t="s">
        <v>486</v>
      </c>
      <c r="C65" s="8">
        <v>46049.0</v>
      </c>
      <c r="D65" s="8">
        <v>46050.0</v>
      </c>
      <c r="E65" s="7" t="s">
        <v>416</v>
      </c>
      <c r="F65" s="7" t="s">
        <v>430</v>
      </c>
      <c r="G65" s="7" t="s">
        <v>355</v>
      </c>
      <c r="H65" s="7" t="s">
        <v>355</v>
      </c>
      <c r="I65" s="14"/>
      <c r="J65" s="14"/>
      <c r="K65" s="14"/>
      <c r="L65" s="14"/>
      <c r="M65" s="14"/>
    </row>
    <row r="66" ht="18.75" customHeight="1">
      <c r="A66" s="7" t="s">
        <v>487</v>
      </c>
      <c r="B66" s="7" t="s">
        <v>488</v>
      </c>
      <c r="C66" s="8">
        <v>46031.0</v>
      </c>
      <c r="D66" s="8">
        <v>46045.0</v>
      </c>
      <c r="E66" s="7" t="s">
        <v>364</v>
      </c>
      <c r="F66" s="7" t="s">
        <v>365</v>
      </c>
      <c r="G66" s="7" t="s">
        <v>355</v>
      </c>
      <c r="H66" s="7" t="s">
        <v>355</v>
      </c>
      <c r="I66" s="14"/>
      <c r="J66" s="14"/>
      <c r="K66" s="14"/>
      <c r="L66" s="14"/>
      <c r="M66" s="14"/>
    </row>
    <row r="67" ht="18.75" customHeight="1">
      <c r="A67" s="7" t="s">
        <v>489</v>
      </c>
      <c r="B67" s="7" t="s">
        <v>490</v>
      </c>
      <c r="C67" s="8">
        <v>46035.0</v>
      </c>
      <c r="D67" s="8">
        <v>46049.0</v>
      </c>
      <c r="E67" s="7" t="s">
        <v>364</v>
      </c>
      <c r="F67" s="7" t="s">
        <v>365</v>
      </c>
      <c r="G67" s="7" t="s">
        <v>355</v>
      </c>
      <c r="H67" s="7" t="s">
        <v>355</v>
      </c>
      <c r="I67" s="14"/>
      <c r="J67" s="14"/>
      <c r="K67" s="14"/>
      <c r="L67" s="14"/>
      <c r="M67" s="14"/>
    </row>
    <row r="68" ht="18.75" customHeight="1">
      <c r="A68" s="7" t="s">
        <v>491</v>
      </c>
      <c r="B68" s="7" t="s">
        <v>492</v>
      </c>
      <c r="C68" s="8">
        <v>46035.0</v>
      </c>
      <c r="D68" s="8">
        <v>46036.0</v>
      </c>
      <c r="E68" s="7" t="s">
        <v>364</v>
      </c>
      <c r="F68" s="7" t="s">
        <v>365</v>
      </c>
      <c r="G68" s="7" t="s">
        <v>355</v>
      </c>
      <c r="H68" s="7" t="s">
        <v>355</v>
      </c>
      <c r="I68" s="14"/>
      <c r="J68" s="14"/>
      <c r="K68" s="14"/>
      <c r="L68" s="14"/>
      <c r="M68" s="14"/>
    </row>
    <row r="69" ht="18.75" customHeight="1">
      <c r="A69" s="7" t="s">
        <v>2131</v>
      </c>
      <c r="B69" s="7" t="s">
        <v>2132</v>
      </c>
      <c r="C69" s="14"/>
      <c r="D69" s="14"/>
      <c r="E69" s="7" t="s">
        <v>353</v>
      </c>
      <c r="F69" s="7" t="s">
        <v>1690</v>
      </c>
      <c r="G69" s="7" t="s">
        <v>2120</v>
      </c>
      <c r="H69" s="7" t="s">
        <v>2117</v>
      </c>
      <c r="I69" s="14"/>
      <c r="J69" s="14"/>
      <c r="K69" s="14"/>
      <c r="L69" s="14"/>
      <c r="M69" s="14"/>
    </row>
    <row r="70" ht="18.75" customHeight="1">
      <c r="A70" s="7" t="s">
        <v>493</v>
      </c>
      <c r="B70" s="7" t="s">
        <v>494</v>
      </c>
      <c r="C70" s="8">
        <v>46041.0</v>
      </c>
      <c r="D70" s="8">
        <v>46055.0</v>
      </c>
      <c r="E70" s="7" t="s">
        <v>364</v>
      </c>
      <c r="F70" s="7" t="s">
        <v>365</v>
      </c>
      <c r="G70" s="7" t="s">
        <v>355</v>
      </c>
      <c r="H70" s="7" t="s">
        <v>355</v>
      </c>
      <c r="I70" s="14"/>
      <c r="J70" s="14"/>
      <c r="K70" s="14"/>
      <c r="L70" s="14"/>
      <c r="M70" s="14"/>
    </row>
    <row r="71" ht="18.75" customHeight="1">
      <c r="A71" s="7" t="s">
        <v>495</v>
      </c>
      <c r="B71" s="7" t="s">
        <v>496</v>
      </c>
      <c r="C71" s="8">
        <v>46038.0</v>
      </c>
      <c r="D71" s="8">
        <v>46055.0</v>
      </c>
      <c r="E71" s="7" t="s">
        <v>358</v>
      </c>
      <c r="F71" s="7" t="s">
        <v>466</v>
      </c>
      <c r="G71" s="7" t="s">
        <v>355</v>
      </c>
      <c r="H71" s="7" t="s">
        <v>355</v>
      </c>
      <c r="I71" s="14"/>
      <c r="J71" s="14"/>
      <c r="K71" s="14"/>
      <c r="L71" s="14"/>
      <c r="M71" s="14"/>
    </row>
    <row r="72" ht="18.75" customHeight="1">
      <c r="A72" s="7" t="s">
        <v>497</v>
      </c>
      <c r="B72" s="7" t="s">
        <v>498</v>
      </c>
      <c r="C72" s="8">
        <v>46043.0</v>
      </c>
      <c r="D72" s="8">
        <v>46081.0</v>
      </c>
      <c r="E72" s="7" t="s">
        <v>404</v>
      </c>
      <c r="F72" s="7" t="s">
        <v>405</v>
      </c>
      <c r="G72" s="7" t="s">
        <v>355</v>
      </c>
      <c r="H72" s="7" t="s">
        <v>355</v>
      </c>
      <c r="I72" s="14"/>
      <c r="J72" s="14"/>
      <c r="K72" s="14"/>
      <c r="L72" s="14"/>
      <c r="M72" s="14"/>
    </row>
    <row r="73" ht="18.75" customHeight="1">
      <c r="A73" s="7" t="s">
        <v>499</v>
      </c>
      <c r="B73" s="7" t="s">
        <v>500</v>
      </c>
      <c r="C73" s="8">
        <v>46041.0</v>
      </c>
      <c r="D73" s="8">
        <v>46041.0</v>
      </c>
      <c r="E73" s="7" t="s">
        <v>416</v>
      </c>
      <c r="F73" s="7" t="s">
        <v>430</v>
      </c>
      <c r="G73" s="7" t="s">
        <v>355</v>
      </c>
      <c r="H73" s="7" t="s">
        <v>355</v>
      </c>
      <c r="I73" s="14"/>
      <c r="J73" s="14"/>
      <c r="K73" s="14"/>
      <c r="L73" s="14"/>
      <c r="M73" s="14"/>
    </row>
    <row r="74" ht="18.75" customHeight="1">
      <c r="A74" s="7" t="s">
        <v>501</v>
      </c>
      <c r="B74" s="7" t="s">
        <v>502</v>
      </c>
      <c r="C74" s="8">
        <v>46205.0</v>
      </c>
      <c r="D74" s="8">
        <v>46265.0</v>
      </c>
      <c r="E74" s="7" t="s">
        <v>503</v>
      </c>
      <c r="F74" s="7" t="s">
        <v>504</v>
      </c>
      <c r="G74" s="7" t="s">
        <v>410</v>
      </c>
      <c r="H74" s="7" t="s">
        <v>410</v>
      </c>
      <c r="I74" s="14"/>
      <c r="J74" s="14"/>
      <c r="K74" s="14"/>
      <c r="L74" s="14"/>
      <c r="M74" s="14"/>
    </row>
    <row r="75" ht="18.75" customHeight="1">
      <c r="A75" s="7" t="s">
        <v>2133</v>
      </c>
      <c r="B75" s="7" t="s">
        <v>2134</v>
      </c>
      <c r="C75" s="14"/>
      <c r="D75" s="14"/>
      <c r="E75" s="7" t="s">
        <v>358</v>
      </c>
      <c r="F75" s="7" t="s">
        <v>1690</v>
      </c>
      <c r="G75" s="7" t="s">
        <v>2120</v>
      </c>
      <c r="H75" s="7" t="s">
        <v>2117</v>
      </c>
      <c r="I75" s="14"/>
      <c r="J75" s="14"/>
      <c r="K75" s="14"/>
      <c r="L75" s="14"/>
      <c r="M75" s="14"/>
    </row>
    <row r="76" ht="18.75" customHeight="1">
      <c r="A76" s="7" t="s">
        <v>505</v>
      </c>
      <c r="B76" s="7" t="s">
        <v>506</v>
      </c>
      <c r="C76" s="8">
        <v>46083.0</v>
      </c>
      <c r="D76" s="8">
        <v>46112.0</v>
      </c>
      <c r="E76" s="7" t="s">
        <v>358</v>
      </c>
      <c r="F76" s="7" t="s">
        <v>365</v>
      </c>
      <c r="G76" s="7" t="s">
        <v>355</v>
      </c>
      <c r="H76" s="7" t="s">
        <v>355</v>
      </c>
      <c r="I76" s="14"/>
      <c r="J76" s="14"/>
      <c r="K76" s="14"/>
      <c r="L76" s="14"/>
      <c r="M76" s="14"/>
    </row>
    <row r="77" ht="18.75" customHeight="1">
      <c r="A77" s="7" t="s">
        <v>507</v>
      </c>
      <c r="B77" s="7" t="s">
        <v>508</v>
      </c>
      <c r="C77" s="8">
        <v>46037.0</v>
      </c>
      <c r="D77" s="8">
        <v>46037.0</v>
      </c>
      <c r="E77" s="7" t="s">
        <v>473</v>
      </c>
      <c r="F77" s="7" t="s">
        <v>474</v>
      </c>
      <c r="G77" s="7" t="s">
        <v>355</v>
      </c>
      <c r="H77" s="7" t="s">
        <v>355</v>
      </c>
      <c r="I77" s="14"/>
      <c r="J77" s="14"/>
      <c r="K77" s="14"/>
      <c r="L77" s="14"/>
      <c r="M77" s="14"/>
    </row>
    <row r="78" ht="18.75" customHeight="1">
      <c r="A78" s="7" t="s">
        <v>509</v>
      </c>
      <c r="B78" s="7" t="s">
        <v>510</v>
      </c>
      <c r="C78" s="8">
        <v>46042.0</v>
      </c>
      <c r="D78" s="8">
        <v>46205.0</v>
      </c>
      <c r="E78" s="7" t="s">
        <v>358</v>
      </c>
      <c r="F78" s="7" t="s">
        <v>365</v>
      </c>
      <c r="G78" s="7" t="s">
        <v>355</v>
      </c>
      <c r="H78" s="7" t="s">
        <v>410</v>
      </c>
      <c r="I78" s="14"/>
      <c r="J78" s="14"/>
      <c r="K78" s="14"/>
      <c r="L78" s="14"/>
      <c r="M78" s="14"/>
    </row>
    <row r="79" ht="18.75" customHeight="1">
      <c r="A79" s="7" t="s">
        <v>511</v>
      </c>
      <c r="B79" s="7" t="s">
        <v>512</v>
      </c>
      <c r="C79" s="8">
        <v>46038.0</v>
      </c>
      <c r="D79" s="8">
        <v>46056.0</v>
      </c>
      <c r="E79" s="7" t="s">
        <v>358</v>
      </c>
      <c r="F79" s="7" t="s">
        <v>466</v>
      </c>
      <c r="G79" s="7" t="s">
        <v>355</v>
      </c>
      <c r="H79" s="7" t="s">
        <v>355</v>
      </c>
      <c r="I79" s="14"/>
      <c r="J79" s="14"/>
      <c r="K79" s="14"/>
      <c r="L79" s="14"/>
      <c r="M79" s="14"/>
    </row>
    <row r="80" ht="18.75" customHeight="1">
      <c r="A80" s="7" t="s">
        <v>513</v>
      </c>
      <c r="B80" s="7" t="s">
        <v>514</v>
      </c>
      <c r="C80" s="8">
        <v>46049.0</v>
      </c>
      <c r="D80" s="8">
        <v>46049.0</v>
      </c>
      <c r="E80" s="7" t="s">
        <v>353</v>
      </c>
      <c r="F80" s="7" t="s">
        <v>413</v>
      </c>
      <c r="G80" s="7" t="s">
        <v>355</v>
      </c>
      <c r="H80" s="7" t="s">
        <v>355</v>
      </c>
      <c r="I80" s="14"/>
      <c r="J80" s="14"/>
      <c r="K80" s="14"/>
      <c r="L80" s="14"/>
      <c r="M80" s="14"/>
    </row>
    <row r="81" ht="18.75" customHeight="1">
      <c r="A81" s="7" t="s">
        <v>515</v>
      </c>
      <c r="B81" s="7" t="s">
        <v>516</v>
      </c>
      <c r="C81" s="8">
        <v>46051.0</v>
      </c>
      <c r="D81" s="8">
        <v>46051.0</v>
      </c>
      <c r="E81" s="7" t="s">
        <v>358</v>
      </c>
      <c r="F81" s="7" t="s">
        <v>387</v>
      </c>
      <c r="G81" s="7" t="s">
        <v>355</v>
      </c>
      <c r="H81" s="7" t="s">
        <v>355</v>
      </c>
      <c r="I81" s="14"/>
      <c r="J81" s="14"/>
      <c r="K81" s="14"/>
      <c r="L81" s="14"/>
      <c r="M81" s="14"/>
    </row>
    <row r="82" ht="18.75" customHeight="1">
      <c r="A82" s="7" t="s">
        <v>517</v>
      </c>
      <c r="B82" s="7" t="s">
        <v>518</v>
      </c>
      <c r="C82" s="8">
        <v>46052.0</v>
      </c>
      <c r="D82" s="8">
        <v>46052.0</v>
      </c>
      <c r="E82" s="7" t="s">
        <v>358</v>
      </c>
      <c r="F82" s="7" t="s">
        <v>387</v>
      </c>
      <c r="G82" s="7" t="s">
        <v>355</v>
      </c>
      <c r="H82" s="7" t="s">
        <v>355</v>
      </c>
      <c r="I82" s="14"/>
      <c r="J82" s="14"/>
      <c r="K82" s="14"/>
      <c r="L82" s="14"/>
      <c r="M82" s="14"/>
    </row>
    <row r="83" ht="18.75" customHeight="1">
      <c r="A83" s="7" t="s">
        <v>519</v>
      </c>
      <c r="B83" s="7" t="s">
        <v>520</v>
      </c>
      <c r="C83" s="8">
        <v>46055.0</v>
      </c>
      <c r="D83" s="8">
        <v>46055.0</v>
      </c>
      <c r="E83" s="7" t="s">
        <v>358</v>
      </c>
      <c r="F83" s="7" t="s">
        <v>387</v>
      </c>
      <c r="G83" s="7" t="s">
        <v>355</v>
      </c>
      <c r="H83" s="7" t="s">
        <v>355</v>
      </c>
      <c r="I83" s="14"/>
      <c r="J83" s="14"/>
      <c r="K83" s="14"/>
      <c r="L83" s="14"/>
      <c r="M83" s="14"/>
    </row>
    <row r="84" ht="18.75" customHeight="1">
      <c r="A84" s="7" t="s">
        <v>521</v>
      </c>
      <c r="B84" s="7" t="s">
        <v>522</v>
      </c>
      <c r="C84" s="8">
        <v>46062.0</v>
      </c>
      <c r="D84" s="8">
        <v>46062.0</v>
      </c>
      <c r="E84" s="7" t="s">
        <v>358</v>
      </c>
      <c r="F84" s="7" t="s">
        <v>387</v>
      </c>
      <c r="G84" s="7" t="s">
        <v>355</v>
      </c>
      <c r="H84" s="7" t="s">
        <v>355</v>
      </c>
      <c r="I84" s="14"/>
      <c r="J84" s="14"/>
      <c r="K84" s="14"/>
      <c r="L84" s="14"/>
      <c r="M84" s="14"/>
    </row>
    <row r="85" ht="18.75" customHeight="1">
      <c r="A85" s="7" t="s">
        <v>523</v>
      </c>
      <c r="B85" s="7" t="s">
        <v>524</v>
      </c>
      <c r="C85" s="8">
        <v>46062.0</v>
      </c>
      <c r="D85" s="8">
        <v>46062.0</v>
      </c>
      <c r="E85" s="7" t="s">
        <v>358</v>
      </c>
      <c r="F85" s="7" t="s">
        <v>387</v>
      </c>
      <c r="G85" s="7" t="s">
        <v>355</v>
      </c>
      <c r="H85" s="7" t="s">
        <v>355</v>
      </c>
      <c r="I85" s="14"/>
      <c r="J85" s="14"/>
      <c r="K85" s="14"/>
      <c r="L85" s="14"/>
      <c r="M85" s="14"/>
    </row>
    <row r="86" ht="18.75" customHeight="1">
      <c r="A86" s="7" t="s">
        <v>525</v>
      </c>
      <c r="B86" s="7" t="s">
        <v>526</v>
      </c>
      <c r="C86" s="8">
        <v>46063.0</v>
      </c>
      <c r="D86" s="8">
        <v>46063.0</v>
      </c>
      <c r="E86" s="7" t="s">
        <v>358</v>
      </c>
      <c r="F86" s="7" t="s">
        <v>387</v>
      </c>
      <c r="G86" s="7" t="s">
        <v>355</v>
      </c>
      <c r="H86" s="7" t="s">
        <v>355</v>
      </c>
      <c r="I86" s="14"/>
      <c r="J86" s="14"/>
      <c r="K86" s="14"/>
      <c r="L86" s="14"/>
      <c r="M86" s="14"/>
    </row>
    <row r="87" ht="18.75" customHeight="1">
      <c r="A87" s="7" t="s">
        <v>527</v>
      </c>
      <c r="B87" s="7" t="s">
        <v>528</v>
      </c>
      <c r="C87" s="8">
        <v>46067.0</v>
      </c>
      <c r="D87" s="8">
        <v>46067.0</v>
      </c>
      <c r="E87" s="7" t="s">
        <v>358</v>
      </c>
      <c r="F87" s="7" t="s">
        <v>387</v>
      </c>
      <c r="G87" s="7" t="s">
        <v>355</v>
      </c>
      <c r="H87" s="7" t="s">
        <v>355</v>
      </c>
      <c r="I87" s="14"/>
      <c r="J87" s="14"/>
      <c r="K87" s="14"/>
      <c r="L87" s="14"/>
      <c r="M87" s="14"/>
    </row>
    <row r="88" ht="18.75" customHeight="1">
      <c r="A88" s="7" t="s">
        <v>2135</v>
      </c>
      <c r="B88" s="7" t="s">
        <v>2136</v>
      </c>
      <c r="C88" s="14"/>
      <c r="D88" s="14"/>
      <c r="E88" s="7" t="s">
        <v>358</v>
      </c>
      <c r="F88" s="7" t="s">
        <v>387</v>
      </c>
      <c r="G88" s="7" t="s">
        <v>2120</v>
      </c>
      <c r="H88" s="7" t="s">
        <v>355</v>
      </c>
      <c r="I88" s="14"/>
      <c r="J88" s="14"/>
      <c r="K88" s="14"/>
      <c r="L88" s="14"/>
      <c r="M88" s="14"/>
    </row>
    <row r="89" ht="18.75" customHeight="1">
      <c r="A89" s="7" t="s">
        <v>2137</v>
      </c>
      <c r="B89" s="7" t="s">
        <v>2138</v>
      </c>
      <c r="C89" s="14"/>
      <c r="D89" s="14"/>
      <c r="E89" s="7" t="s">
        <v>358</v>
      </c>
      <c r="F89" s="7" t="s">
        <v>387</v>
      </c>
      <c r="G89" s="7" t="s">
        <v>2120</v>
      </c>
      <c r="H89" s="7" t="s">
        <v>355</v>
      </c>
      <c r="I89" s="14"/>
      <c r="J89" s="14"/>
      <c r="K89" s="14"/>
      <c r="L89" s="14"/>
      <c r="M89" s="14"/>
    </row>
    <row r="90" ht="18.75" customHeight="1">
      <c r="A90" s="7" t="s">
        <v>529</v>
      </c>
      <c r="B90" s="7" t="s">
        <v>530</v>
      </c>
      <c r="C90" s="8">
        <v>46071.0</v>
      </c>
      <c r="D90" s="8">
        <v>46265.0</v>
      </c>
      <c r="E90" s="7" t="s">
        <v>358</v>
      </c>
      <c r="F90" s="7" t="s">
        <v>387</v>
      </c>
      <c r="G90" s="7" t="s">
        <v>410</v>
      </c>
      <c r="H90" s="7" t="s">
        <v>355</v>
      </c>
      <c r="I90" s="14"/>
      <c r="J90" s="14"/>
      <c r="K90" s="14"/>
      <c r="L90" s="14"/>
      <c r="M90" s="14"/>
    </row>
    <row r="91" ht="18.75" customHeight="1">
      <c r="A91" s="7" t="s">
        <v>531</v>
      </c>
      <c r="B91" s="7" t="s">
        <v>532</v>
      </c>
      <c r="C91" s="8">
        <v>46077.0</v>
      </c>
      <c r="D91" s="8">
        <v>46077.0</v>
      </c>
      <c r="E91" s="7" t="s">
        <v>358</v>
      </c>
      <c r="F91" s="7" t="s">
        <v>387</v>
      </c>
      <c r="G91" s="7" t="s">
        <v>355</v>
      </c>
      <c r="H91" s="7" t="s">
        <v>355</v>
      </c>
      <c r="I91" s="14"/>
      <c r="J91" s="14"/>
      <c r="K91" s="14"/>
      <c r="L91" s="14"/>
      <c r="M91" s="14"/>
    </row>
    <row r="92" ht="18.75" customHeight="1">
      <c r="A92" s="7" t="s">
        <v>533</v>
      </c>
      <c r="B92" s="7" t="s">
        <v>534</v>
      </c>
      <c r="C92" s="8">
        <v>46063.0</v>
      </c>
      <c r="D92" s="8">
        <v>46112.0</v>
      </c>
      <c r="E92" s="7" t="s">
        <v>358</v>
      </c>
      <c r="F92" s="7" t="s">
        <v>359</v>
      </c>
      <c r="G92" s="7" t="s">
        <v>355</v>
      </c>
      <c r="H92" s="7" t="s">
        <v>355</v>
      </c>
      <c r="I92" s="14"/>
      <c r="J92" s="14"/>
      <c r="K92" s="14"/>
      <c r="L92" s="14"/>
      <c r="M92" s="14"/>
    </row>
    <row r="93" ht="18.75" customHeight="1">
      <c r="A93" s="7" t="s">
        <v>535</v>
      </c>
      <c r="B93" s="7" t="s">
        <v>536</v>
      </c>
      <c r="C93" s="8">
        <v>46063.0</v>
      </c>
      <c r="D93" s="8">
        <v>46112.0</v>
      </c>
      <c r="E93" s="7" t="s">
        <v>358</v>
      </c>
      <c r="F93" s="7" t="s">
        <v>359</v>
      </c>
      <c r="G93" s="7" t="s">
        <v>355</v>
      </c>
      <c r="H93" s="7" t="s">
        <v>355</v>
      </c>
      <c r="I93" s="14"/>
      <c r="J93" s="14"/>
      <c r="K93" s="14"/>
      <c r="L93" s="14"/>
      <c r="M93" s="14"/>
    </row>
    <row r="94" ht="18.75" customHeight="1">
      <c r="A94" s="7" t="s">
        <v>537</v>
      </c>
      <c r="B94" s="7" t="s">
        <v>538</v>
      </c>
      <c r="C94" s="8">
        <v>46064.0</v>
      </c>
      <c r="D94" s="8">
        <v>46112.0</v>
      </c>
      <c r="E94" s="7" t="s">
        <v>358</v>
      </c>
      <c r="F94" s="7" t="s">
        <v>359</v>
      </c>
      <c r="G94" s="7" t="s">
        <v>355</v>
      </c>
      <c r="H94" s="7" t="s">
        <v>355</v>
      </c>
      <c r="I94" s="14"/>
      <c r="J94" s="14"/>
      <c r="K94" s="14"/>
      <c r="L94" s="14"/>
      <c r="M94" s="14"/>
    </row>
    <row r="95" ht="18.75" customHeight="1">
      <c r="A95" s="7" t="s">
        <v>539</v>
      </c>
      <c r="B95" s="7" t="s">
        <v>540</v>
      </c>
      <c r="C95" s="8">
        <v>46045.0</v>
      </c>
      <c r="D95" s="8">
        <v>46067.0</v>
      </c>
      <c r="E95" s="7" t="s">
        <v>416</v>
      </c>
      <c r="F95" s="7" t="s">
        <v>417</v>
      </c>
      <c r="G95" s="7" t="s">
        <v>355</v>
      </c>
      <c r="H95" s="7" t="s">
        <v>355</v>
      </c>
      <c r="I95" s="14"/>
      <c r="J95" s="14"/>
      <c r="K95" s="14"/>
      <c r="L95" s="14"/>
      <c r="M95" s="14"/>
    </row>
    <row r="96" ht="18.75" customHeight="1">
      <c r="A96" s="7" t="s">
        <v>541</v>
      </c>
      <c r="B96" s="7" t="s">
        <v>542</v>
      </c>
      <c r="C96" s="8">
        <v>46048.0</v>
      </c>
      <c r="D96" s="8">
        <v>46073.0</v>
      </c>
      <c r="E96" s="7" t="s">
        <v>416</v>
      </c>
      <c r="F96" s="7" t="s">
        <v>417</v>
      </c>
      <c r="G96" s="7" t="s">
        <v>355</v>
      </c>
      <c r="H96" s="7" t="s">
        <v>355</v>
      </c>
      <c r="I96" s="14"/>
      <c r="J96" s="14"/>
      <c r="K96" s="14"/>
      <c r="L96" s="14"/>
      <c r="M96" s="14"/>
    </row>
    <row r="97" ht="18.75" customHeight="1">
      <c r="A97" s="7" t="s">
        <v>543</v>
      </c>
      <c r="B97" s="7" t="s">
        <v>544</v>
      </c>
      <c r="C97" s="8">
        <v>46055.0</v>
      </c>
      <c r="D97" s="8">
        <v>46055.0</v>
      </c>
      <c r="E97" s="7" t="s">
        <v>416</v>
      </c>
      <c r="F97" s="7" t="s">
        <v>430</v>
      </c>
      <c r="G97" s="7" t="s">
        <v>355</v>
      </c>
      <c r="H97" s="7" t="s">
        <v>355</v>
      </c>
      <c r="I97" s="14"/>
      <c r="J97" s="14"/>
      <c r="K97" s="14"/>
      <c r="L97" s="14"/>
      <c r="M97" s="14"/>
    </row>
    <row r="98" ht="18.75" customHeight="1">
      <c r="A98" s="7" t="s">
        <v>545</v>
      </c>
      <c r="B98" s="7" t="s">
        <v>546</v>
      </c>
      <c r="C98" s="8">
        <v>46087.0</v>
      </c>
      <c r="D98" s="8">
        <v>46112.0</v>
      </c>
      <c r="E98" s="7" t="s">
        <v>404</v>
      </c>
      <c r="F98" s="7" t="s">
        <v>405</v>
      </c>
      <c r="G98" s="7" t="s">
        <v>355</v>
      </c>
      <c r="H98" s="7" t="s">
        <v>2117</v>
      </c>
      <c r="I98" s="14"/>
      <c r="J98" s="14"/>
      <c r="K98" s="14"/>
      <c r="L98" s="14"/>
      <c r="M98" s="14"/>
    </row>
    <row r="99" ht="18.75" customHeight="1">
      <c r="A99" s="7" t="s">
        <v>547</v>
      </c>
      <c r="B99" s="7" t="s">
        <v>548</v>
      </c>
      <c r="C99" s="8">
        <v>46051.0</v>
      </c>
      <c r="D99" s="8">
        <v>46051.0</v>
      </c>
      <c r="E99" s="7" t="s">
        <v>416</v>
      </c>
      <c r="F99" s="7" t="s">
        <v>430</v>
      </c>
      <c r="G99" s="7" t="s">
        <v>355</v>
      </c>
      <c r="H99" s="7" t="s">
        <v>355</v>
      </c>
      <c r="I99" s="14"/>
      <c r="J99" s="14"/>
      <c r="K99" s="14"/>
      <c r="L99" s="14"/>
      <c r="M99" s="14"/>
    </row>
    <row r="100" ht="18.75" customHeight="1">
      <c r="A100" s="7" t="s">
        <v>549</v>
      </c>
      <c r="B100" s="7" t="s">
        <v>550</v>
      </c>
      <c r="C100" s="8">
        <v>46050.0</v>
      </c>
      <c r="D100" s="8">
        <v>46050.0</v>
      </c>
      <c r="E100" s="7" t="s">
        <v>416</v>
      </c>
      <c r="F100" s="7" t="s">
        <v>430</v>
      </c>
      <c r="G100" s="7" t="s">
        <v>355</v>
      </c>
      <c r="H100" s="7" t="s">
        <v>355</v>
      </c>
      <c r="I100" s="14"/>
      <c r="J100" s="14"/>
      <c r="K100" s="14"/>
      <c r="L100" s="14"/>
      <c r="M100" s="14"/>
    </row>
    <row r="101" ht="18.75" customHeight="1">
      <c r="A101" s="7" t="s">
        <v>551</v>
      </c>
      <c r="B101" s="7" t="s">
        <v>552</v>
      </c>
      <c r="C101" s="8">
        <v>46051.0</v>
      </c>
      <c r="D101" s="8">
        <v>46051.0</v>
      </c>
      <c r="E101" s="7" t="s">
        <v>416</v>
      </c>
      <c r="F101" s="7" t="s">
        <v>430</v>
      </c>
      <c r="G101" s="7" t="s">
        <v>355</v>
      </c>
      <c r="H101" s="7" t="s">
        <v>355</v>
      </c>
      <c r="I101" s="14"/>
      <c r="J101" s="14"/>
      <c r="K101" s="14"/>
      <c r="L101" s="14"/>
      <c r="M101" s="14"/>
    </row>
    <row r="102" ht="18.75" customHeight="1">
      <c r="A102" s="7" t="s">
        <v>553</v>
      </c>
      <c r="B102" s="7" t="s">
        <v>554</v>
      </c>
      <c r="C102" s="8">
        <v>46049.0</v>
      </c>
      <c r="D102" s="8">
        <v>46063.0</v>
      </c>
      <c r="E102" s="7" t="s">
        <v>364</v>
      </c>
      <c r="F102" s="7" t="s">
        <v>365</v>
      </c>
      <c r="G102" s="7" t="s">
        <v>355</v>
      </c>
      <c r="H102" s="7" t="s">
        <v>355</v>
      </c>
      <c r="I102" s="14"/>
      <c r="J102" s="14"/>
      <c r="K102" s="14"/>
      <c r="L102" s="14"/>
      <c r="M102" s="14"/>
    </row>
    <row r="103" ht="18.75" customHeight="1">
      <c r="A103" s="7" t="s">
        <v>555</v>
      </c>
      <c r="B103" s="7" t="s">
        <v>556</v>
      </c>
      <c r="C103" s="8">
        <v>46048.0</v>
      </c>
      <c r="D103" s="8">
        <v>46062.0</v>
      </c>
      <c r="E103" s="7" t="s">
        <v>364</v>
      </c>
      <c r="F103" s="7" t="s">
        <v>365</v>
      </c>
      <c r="G103" s="7" t="s">
        <v>355</v>
      </c>
      <c r="H103" s="7" t="s">
        <v>355</v>
      </c>
      <c r="I103" s="14"/>
      <c r="J103" s="14"/>
      <c r="K103" s="14"/>
      <c r="L103" s="14"/>
      <c r="M103" s="14"/>
    </row>
    <row r="104" ht="18.75" customHeight="1">
      <c r="A104" s="7" t="s">
        <v>557</v>
      </c>
      <c r="B104" s="7" t="s">
        <v>558</v>
      </c>
      <c r="C104" s="8">
        <v>46051.0</v>
      </c>
      <c r="D104" s="8">
        <v>46054.0</v>
      </c>
      <c r="E104" s="7" t="s">
        <v>364</v>
      </c>
      <c r="F104" s="7" t="s">
        <v>365</v>
      </c>
      <c r="G104" s="7" t="s">
        <v>355</v>
      </c>
      <c r="H104" s="7" t="s">
        <v>355</v>
      </c>
      <c r="I104" s="14"/>
      <c r="J104" s="14"/>
      <c r="K104" s="14"/>
      <c r="L104" s="14"/>
      <c r="M104" s="14"/>
    </row>
    <row r="105" ht="18.75" customHeight="1">
      <c r="A105" s="7" t="s">
        <v>559</v>
      </c>
      <c r="B105" s="7" t="s">
        <v>560</v>
      </c>
      <c r="C105" s="8">
        <v>46049.0</v>
      </c>
      <c r="D105" s="8">
        <v>46049.0</v>
      </c>
      <c r="E105" s="7" t="s">
        <v>353</v>
      </c>
      <c r="F105" s="7" t="s">
        <v>378</v>
      </c>
      <c r="G105" s="7" t="s">
        <v>355</v>
      </c>
      <c r="H105" s="7" t="s">
        <v>355</v>
      </c>
      <c r="I105" s="14"/>
      <c r="J105" s="14"/>
      <c r="K105" s="14"/>
      <c r="L105" s="14"/>
      <c r="M105" s="14"/>
    </row>
    <row r="106" ht="18.75" customHeight="1">
      <c r="A106" s="7" t="s">
        <v>561</v>
      </c>
      <c r="B106" s="7" t="s">
        <v>562</v>
      </c>
      <c r="C106" s="8">
        <v>46057.0</v>
      </c>
      <c r="D106" s="8">
        <v>46057.0</v>
      </c>
      <c r="E106" s="7" t="s">
        <v>416</v>
      </c>
      <c r="F106" s="7" t="s">
        <v>430</v>
      </c>
      <c r="G106" s="7" t="s">
        <v>355</v>
      </c>
      <c r="H106" s="7" t="s">
        <v>355</v>
      </c>
      <c r="I106" s="14"/>
      <c r="J106" s="14"/>
      <c r="K106" s="14"/>
      <c r="L106" s="14"/>
      <c r="M106" s="14"/>
    </row>
    <row r="107" ht="18.75" customHeight="1">
      <c r="A107" s="7" t="s">
        <v>563</v>
      </c>
      <c r="B107" s="7" t="s">
        <v>564</v>
      </c>
      <c r="C107" s="8">
        <v>46150.0</v>
      </c>
      <c r="D107" s="8">
        <v>46150.0</v>
      </c>
      <c r="E107" s="7" t="s">
        <v>364</v>
      </c>
      <c r="F107" s="7" t="s">
        <v>365</v>
      </c>
      <c r="G107" s="7" t="s">
        <v>355</v>
      </c>
      <c r="H107" s="7" t="s">
        <v>355</v>
      </c>
      <c r="I107" s="14"/>
      <c r="J107" s="14"/>
      <c r="K107" s="14"/>
      <c r="L107" s="14"/>
      <c r="M107" s="14"/>
    </row>
    <row r="108" ht="18.75" customHeight="1">
      <c r="A108" s="7" t="s">
        <v>565</v>
      </c>
      <c r="B108" s="7" t="s">
        <v>566</v>
      </c>
      <c r="C108" s="8">
        <v>46049.0</v>
      </c>
      <c r="D108" s="8">
        <v>46167.0</v>
      </c>
      <c r="E108" s="7" t="s">
        <v>364</v>
      </c>
      <c r="F108" s="7" t="s">
        <v>365</v>
      </c>
      <c r="G108" s="7" t="s">
        <v>355</v>
      </c>
      <c r="H108" s="7" t="s">
        <v>355</v>
      </c>
      <c r="I108" s="14"/>
      <c r="J108" s="14"/>
      <c r="K108" s="14"/>
      <c r="L108" s="14"/>
      <c r="M108" s="14"/>
    </row>
    <row r="109" ht="18.75" customHeight="1">
      <c r="A109" s="7" t="s">
        <v>567</v>
      </c>
      <c r="B109" s="7" t="s">
        <v>568</v>
      </c>
      <c r="C109" s="8">
        <v>46049.0</v>
      </c>
      <c r="D109" s="8">
        <v>46066.0</v>
      </c>
      <c r="E109" s="7" t="s">
        <v>353</v>
      </c>
      <c r="F109" s="7" t="s">
        <v>378</v>
      </c>
      <c r="G109" s="7" t="s">
        <v>355</v>
      </c>
      <c r="H109" s="7" t="s">
        <v>355</v>
      </c>
      <c r="I109" s="14"/>
      <c r="J109" s="14"/>
      <c r="K109" s="14"/>
      <c r="L109" s="14"/>
      <c r="M109" s="14"/>
    </row>
    <row r="110" ht="18.75" customHeight="1">
      <c r="A110" s="7" t="s">
        <v>569</v>
      </c>
      <c r="B110" s="7" t="s">
        <v>570</v>
      </c>
      <c r="C110" s="8">
        <v>46052.0</v>
      </c>
      <c r="D110" s="8">
        <v>46072.0</v>
      </c>
      <c r="E110" s="7" t="s">
        <v>364</v>
      </c>
      <c r="F110" s="7" t="s">
        <v>365</v>
      </c>
      <c r="G110" s="7" t="s">
        <v>355</v>
      </c>
      <c r="H110" s="7" t="s">
        <v>355</v>
      </c>
      <c r="I110" s="14"/>
      <c r="J110" s="14"/>
      <c r="K110" s="14"/>
      <c r="L110" s="14"/>
      <c r="M110" s="14"/>
    </row>
    <row r="111" ht="18.75" customHeight="1">
      <c r="A111" s="7" t="s">
        <v>571</v>
      </c>
      <c r="B111" s="7" t="s">
        <v>572</v>
      </c>
      <c r="C111" s="8">
        <v>46050.0</v>
      </c>
      <c r="D111" s="8">
        <v>46052.0</v>
      </c>
      <c r="E111" s="7" t="s">
        <v>364</v>
      </c>
      <c r="F111" s="7" t="s">
        <v>365</v>
      </c>
      <c r="G111" s="7" t="s">
        <v>355</v>
      </c>
      <c r="H111" s="7" t="s">
        <v>355</v>
      </c>
      <c r="I111" s="14"/>
      <c r="J111" s="14"/>
      <c r="K111" s="14"/>
      <c r="L111" s="14"/>
      <c r="M111" s="14"/>
    </row>
    <row r="112" ht="18.75" customHeight="1">
      <c r="A112" s="7" t="s">
        <v>573</v>
      </c>
      <c r="B112" s="7" t="s">
        <v>574</v>
      </c>
      <c r="C112" s="8">
        <v>46062.0</v>
      </c>
      <c r="D112" s="8">
        <v>46158.0</v>
      </c>
      <c r="E112" s="7" t="s">
        <v>364</v>
      </c>
      <c r="F112" s="7" t="s">
        <v>365</v>
      </c>
      <c r="G112" s="7" t="s">
        <v>355</v>
      </c>
      <c r="H112" s="7" t="s">
        <v>355</v>
      </c>
      <c r="I112" s="14"/>
      <c r="J112" s="14"/>
      <c r="K112" s="14"/>
      <c r="L112" s="14"/>
      <c r="M112" s="14"/>
    </row>
    <row r="113" ht="18.75" customHeight="1">
      <c r="A113" s="7" t="s">
        <v>2139</v>
      </c>
      <c r="B113" s="7" t="s">
        <v>2140</v>
      </c>
      <c r="C113" s="14"/>
      <c r="D113" s="14"/>
      <c r="E113" s="7" t="s">
        <v>503</v>
      </c>
      <c r="F113" s="7" t="s">
        <v>359</v>
      </c>
      <c r="G113" s="7" t="s">
        <v>2120</v>
      </c>
      <c r="H113" s="7" t="s">
        <v>2120</v>
      </c>
      <c r="I113" s="14"/>
      <c r="J113" s="14"/>
      <c r="K113" s="14"/>
      <c r="L113" s="14"/>
      <c r="M113" s="14"/>
    </row>
    <row r="114" ht="18.75" customHeight="1">
      <c r="A114" s="7" t="s">
        <v>575</v>
      </c>
      <c r="B114" s="7" t="s">
        <v>576</v>
      </c>
      <c r="C114" s="8">
        <v>46056.0</v>
      </c>
      <c r="D114" s="8">
        <v>46056.0</v>
      </c>
      <c r="E114" s="7" t="s">
        <v>416</v>
      </c>
      <c r="F114" s="7" t="s">
        <v>430</v>
      </c>
      <c r="G114" s="7" t="s">
        <v>355</v>
      </c>
      <c r="H114" s="7" t="s">
        <v>355</v>
      </c>
      <c r="I114" s="14"/>
      <c r="J114" s="14"/>
      <c r="K114" s="14"/>
      <c r="L114" s="14"/>
      <c r="M114" s="14"/>
    </row>
    <row r="115" ht="18.75" customHeight="1">
      <c r="A115" s="7" t="s">
        <v>577</v>
      </c>
      <c r="B115" s="7" t="s">
        <v>578</v>
      </c>
      <c r="C115" s="8">
        <v>46056.0</v>
      </c>
      <c r="D115" s="8">
        <v>46056.0</v>
      </c>
      <c r="E115" s="7" t="s">
        <v>416</v>
      </c>
      <c r="F115" s="7" t="s">
        <v>430</v>
      </c>
      <c r="G115" s="7" t="s">
        <v>355</v>
      </c>
      <c r="H115" s="7" t="s">
        <v>355</v>
      </c>
      <c r="I115" s="14"/>
      <c r="J115" s="14"/>
      <c r="K115" s="14"/>
      <c r="L115" s="14"/>
      <c r="M115" s="14"/>
    </row>
    <row r="116" ht="18.75" customHeight="1">
      <c r="A116" s="7" t="s">
        <v>579</v>
      </c>
      <c r="B116" s="7" t="s">
        <v>580</v>
      </c>
      <c r="C116" s="8">
        <v>46055.0</v>
      </c>
      <c r="D116" s="8">
        <v>46055.0</v>
      </c>
      <c r="E116" s="7" t="s">
        <v>416</v>
      </c>
      <c r="F116" s="7" t="s">
        <v>430</v>
      </c>
      <c r="G116" s="7" t="s">
        <v>355</v>
      </c>
      <c r="H116" s="7" t="s">
        <v>355</v>
      </c>
      <c r="I116" s="14"/>
      <c r="J116" s="14"/>
      <c r="K116" s="14"/>
      <c r="L116" s="14"/>
      <c r="M116" s="14"/>
    </row>
    <row r="117" ht="18.75" customHeight="1">
      <c r="A117" s="7" t="s">
        <v>581</v>
      </c>
      <c r="B117" s="7" t="s">
        <v>582</v>
      </c>
      <c r="C117" s="8">
        <v>46052.0</v>
      </c>
      <c r="D117" s="8">
        <v>46052.0</v>
      </c>
      <c r="E117" s="7" t="s">
        <v>416</v>
      </c>
      <c r="F117" s="7" t="s">
        <v>430</v>
      </c>
      <c r="G117" s="7" t="s">
        <v>355</v>
      </c>
      <c r="H117" s="7" t="s">
        <v>355</v>
      </c>
      <c r="I117" s="14"/>
      <c r="J117" s="14"/>
      <c r="K117" s="14"/>
      <c r="L117" s="14"/>
      <c r="M117" s="14"/>
    </row>
    <row r="118" ht="18.75" customHeight="1">
      <c r="A118" s="7" t="s">
        <v>583</v>
      </c>
      <c r="B118" s="7" t="s">
        <v>584</v>
      </c>
      <c r="C118" s="8">
        <v>46034.0</v>
      </c>
      <c r="D118" s="8">
        <v>46034.0</v>
      </c>
      <c r="E118" s="7" t="s">
        <v>416</v>
      </c>
      <c r="F118" s="7" t="s">
        <v>430</v>
      </c>
      <c r="G118" s="7" t="s">
        <v>355</v>
      </c>
      <c r="H118" s="7" t="s">
        <v>355</v>
      </c>
      <c r="I118" s="14"/>
      <c r="J118" s="14"/>
      <c r="K118" s="14"/>
      <c r="L118" s="14"/>
      <c r="M118" s="14"/>
    </row>
    <row r="119" ht="18.75" customHeight="1">
      <c r="A119" s="7" t="s">
        <v>585</v>
      </c>
      <c r="B119" s="7" t="s">
        <v>586</v>
      </c>
      <c r="C119" s="8">
        <v>46051.0</v>
      </c>
      <c r="D119" s="8">
        <v>46077.0</v>
      </c>
      <c r="E119" s="7" t="s">
        <v>358</v>
      </c>
      <c r="F119" s="7" t="s">
        <v>466</v>
      </c>
      <c r="G119" s="7" t="s">
        <v>355</v>
      </c>
      <c r="H119" s="7" t="s">
        <v>355</v>
      </c>
      <c r="I119" s="14"/>
      <c r="J119" s="14"/>
      <c r="K119" s="14"/>
      <c r="L119" s="14"/>
      <c r="M119" s="14"/>
    </row>
    <row r="120" ht="18.75" customHeight="1">
      <c r="A120" s="7" t="s">
        <v>587</v>
      </c>
      <c r="B120" s="7" t="s">
        <v>588</v>
      </c>
      <c r="C120" s="8">
        <v>46058.0</v>
      </c>
      <c r="D120" s="8">
        <v>46058.0</v>
      </c>
      <c r="E120" s="7" t="s">
        <v>416</v>
      </c>
      <c r="F120" s="7" t="s">
        <v>430</v>
      </c>
      <c r="G120" s="7" t="s">
        <v>355</v>
      </c>
      <c r="H120" s="7" t="s">
        <v>355</v>
      </c>
      <c r="I120" s="14"/>
      <c r="J120" s="14"/>
      <c r="K120" s="14"/>
      <c r="L120" s="14"/>
      <c r="M120" s="14"/>
    </row>
    <row r="121" ht="18.75" customHeight="1">
      <c r="A121" s="7" t="s">
        <v>589</v>
      </c>
      <c r="B121" s="7" t="s">
        <v>457</v>
      </c>
      <c r="C121" s="8">
        <v>46059.0</v>
      </c>
      <c r="D121" s="8">
        <v>46071.0</v>
      </c>
      <c r="E121" s="7" t="s">
        <v>416</v>
      </c>
      <c r="F121" s="7" t="s">
        <v>430</v>
      </c>
      <c r="G121" s="7" t="s">
        <v>355</v>
      </c>
      <c r="H121" s="7" t="s">
        <v>355</v>
      </c>
      <c r="I121" s="14"/>
      <c r="J121" s="14"/>
      <c r="K121" s="14"/>
      <c r="L121" s="14"/>
      <c r="M121" s="14"/>
    </row>
    <row r="122" ht="18.75" customHeight="1">
      <c r="A122" s="7" t="s">
        <v>590</v>
      </c>
      <c r="B122" s="7" t="s">
        <v>591</v>
      </c>
      <c r="C122" s="8">
        <v>46052.0</v>
      </c>
      <c r="D122" s="8">
        <v>46112.0</v>
      </c>
      <c r="E122" s="7" t="s">
        <v>358</v>
      </c>
      <c r="F122" s="7" t="s">
        <v>466</v>
      </c>
      <c r="G122" s="7" t="s">
        <v>355</v>
      </c>
      <c r="H122" s="7" t="s">
        <v>355</v>
      </c>
      <c r="I122" s="14"/>
      <c r="J122" s="14"/>
      <c r="K122" s="14"/>
      <c r="L122" s="14"/>
      <c r="M122" s="14"/>
    </row>
    <row r="123" ht="18.75" customHeight="1">
      <c r="A123" s="7" t="s">
        <v>592</v>
      </c>
      <c r="B123" s="7" t="s">
        <v>593</v>
      </c>
      <c r="C123" s="8">
        <v>46051.0</v>
      </c>
      <c r="D123" s="8">
        <v>46058.0</v>
      </c>
      <c r="E123" s="7" t="s">
        <v>416</v>
      </c>
      <c r="F123" s="7" t="s">
        <v>594</v>
      </c>
      <c r="G123" s="7" t="s">
        <v>355</v>
      </c>
      <c r="H123" s="7" t="s">
        <v>355</v>
      </c>
      <c r="I123" s="14"/>
      <c r="J123" s="14"/>
      <c r="K123" s="14"/>
      <c r="L123" s="14"/>
      <c r="M123" s="14"/>
    </row>
    <row r="124" ht="18.75" customHeight="1">
      <c r="A124" s="7" t="s">
        <v>595</v>
      </c>
      <c r="B124" s="7" t="s">
        <v>596</v>
      </c>
      <c r="C124" s="8">
        <v>46055.0</v>
      </c>
      <c r="D124" s="8">
        <v>46062.0</v>
      </c>
      <c r="E124" s="7" t="s">
        <v>416</v>
      </c>
      <c r="F124" s="7" t="s">
        <v>594</v>
      </c>
      <c r="G124" s="7" t="s">
        <v>355</v>
      </c>
      <c r="H124" s="7" t="s">
        <v>355</v>
      </c>
      <c r="I124" s="14"/>
      <c r="J124" s="14"/>
      <c r="K124" s="14"/>
      <c r="L124" s="14"/>
      <c r="M124" s="14"/>
    </row>
    <row r="125" ht="18.75" customHeight="1">
      <c r="A125" s="7" t="s">
        <v>597</v>
      </c>
      <c r="B125" s="7" t="s">
        <v>598</v>
      </c>
      <c r="C125" s="8">
        <v>46051.0</v>
      </c>
      <c r="D125" s="8">
        <v>46075.0</v>
      </c>
      <c r="E125" s="7" t="s">
        <v>416</v>
      </c>
      <c r="F125" s="7" t="s">
        <v>417</v>
      </c>
      <c r="G125" s="7" t="s">
        <v>355</v>
      </c>
      <c r="H125" s="7" t="s">
        <v>355</v>
      </c>
      <c r="I125" s="14"/>
      <c r="J125" s="14"/>
      <c r="K125" s="14"/>
      <c r="L125" s="14"/>
      <c r="M125" s="14"/>
    </row>
    <row r="126" ht="18.75" customHeight="1">
      <c r="A126" s="7" t="s">
        <v>599</v>
      </c>
      <c r="B126" s="7" t="s">
        <v>600</v>
      </c>
      <c r="C126" s="8">
        <v>46051.0</v>
      </c>
      <c r="D126" s="8">
        <v>46063.0</v>
      </c>
      <c r="E126" s="7" t="s">
        <v>416</v>
      </c>
      <c r="F126" s="7" t="s">
        <v>417</v>
      </c>
      <c r="G126" s="7" t="s">
        <v>355</v>
      </c>
      <c r="H126" s="7" t="s">
        <v>355</v>
      </c>
      <c r="I126" s="14"/>
      <c r="J126" s="14"/>
      <c r="K126" s="14"/>
      <c r="L126" s="14"/>
      <c r="M126" s="14"/>
    </row>
    <row r="127" ht="18.75" customHeight="1">
      <c r="A127" s="7" t="s">
        <v>601</v>
      </c>
      <c r="B127" s="7" t="s">
        <v>602</v>
      </c>
      <c r="C127" s="8">
        <v>46052.0</v>
      </c>
      <c r="D127" s="8">
        <v>46075.0</v>
      </c>
      <c r="E127" s="7" t="s">
        <v>416</v>
      </c>
      <c r="F127" s="7" t="s">
        <v>417</v>
      </c>
      <c r="G127" s="7" t="s">
        <v>355</v>
      </c>
      <c r="H127" s="7" t="s">
        <v>355</v>
      </c>
      <c r="I127" s="14"/>
      <c r="J127" s="14"/>
      <c r="K127" s="14"/>
      <c r="L127" s="14"/>
      <c r="M127" s="14"/>
    </row>
    <row r="128" ht="18.75" customHeight="1">
      <c r="A128" s="7" t="s">
        <v>603</v>
      </c>
      <c r="B128" s="7" t="s">
        <v>604</v>
      </c>
      <c r="C128" s="8">
        <v>46051.0</v>
      </c>
      <c r="D128" s="8">
        <v>46057.0</v>
      </c>
      <c r="E128" s="7" t="s">
        <v>416</v>
      </c>
      <c r="F128" s="7" t="s">
        <v>359</v>
      </c>
      <c r="G128" s="7" t="s">
        <v>355</v>
      </c>
      <c r="H128" s="7" t="s">
        <v>355</v>
      </c>
      <c r="I128" s="14"/>
      <c r="J128" s="14"/>
      <c r="K128" s="14"/>
      <c r="L128" s="14"/>
      <c r="M128" s="14"/>
    </row>
    <row r="129" ht="18.75" customHeight="1">
      <c r="A129" s="7" t="s">
        <v>605</v>
      </c>
      <c r="B129" s="7" t="s">
        <v>606</v>
      </c>
      <c r="C129" s="8">
        <v>46057.0</v>
      </c>
      <c r="D129" s="8">
        <v>46057.0</v>
      </c>
      <c r="E129" s="7" t="s">
        <v>353</v>
      </c>
      <c r="F129" s="7" t="s">
        <v>378</v>
      </c>
      <c r="G129" s="7" t="s">
        <v>355</v>
      </c>
      <c r="H129" s="7" t="s">
        <v>355</v>
      </c>
      <c r="I129" s="14"/>
      <c r="J129" s="14"/>
      <c r="K129" s="14"/>
      <c r="L129" s="14"/>
      <c r="M129" s="14"/>
    </row>
    <row r="130" ht="18.75" customHeight="1">
      <c r="A130" s="7" t="s">
        <v>607</v>
      </c>
      <c r="B130" s="7" t="s">
        <v>608</v>
      </c>
      <c r="C130" s="8">
        <v>46055.0</v>
      </c>
      <c r="D130" s="8">
        <v>46055.0</v>
      </c>
      <c r="E130" s="7" t="s">
        <v>353</v>
      </c>
      <c r="F130" s="7" t="s">
        <v>378</v>
      </c>
      <c r="G130" s="7" t="s">
        <v>355</v>
      </c>
      <c r="H130" s="7" t="s">
        <v>355</v>
      </c>
      <c r="I130" s="14"/>
      <c r="J130" s="14"/>
      <c r="K130" s="14"/>
      <c r="L130" s="14"/>
      <c r="M130" s="14"/>
    </row>
    <row r="131" ht="18.75" customHeight="1">
      <c r="A131" s="7" t="s">
        <v>609</v>
      </c>
      <c r="B131" s="7" t="s">
        <v>610</v>
      </c>
      <c r="C131" s="8">
        <v>46052.0</v>
      </c>
      <c r="D131" s="8">
        <v>46055.0</v>
      </c>
      <c r="E131" s="7" t="s">
        <v>364</v>
      </c>
      <c r="F131" s="7" t="s">
        <v>365</v>
      </c>
      <c r="G131" s="7" t="s">
        <v>355</v>
      </c>
      <c r="H131" s="7" t="s">
        <v>355</v>
      </c>
      <c r="I131" s="14"/>
      <c r="J131" s="14"/>
      <c r="K131" s="14"/>
      <c r="L131" s="14"/>
      <c r="M131" s="14"/>
    </row>
    <row r="132" ht="18.75" customHeight="1">
      <c r="A132" s="7" t="s">
        <v>611</v>
      </c>
      <c r="B132" s="7" t="s">
        <v>612</v>
      </c>
      <c r="C132" s="8">
        <v>46062.0</v>
      </c>
      <c r="D132" s="8">
        <v>46062.0</v>
      </c>
      <c r="E132" s="7" t="s">
        <v>364</v>
      </c>
      <c r="F132" s="7" t="s">
        <v>365</v>
      </c>
      <c r="G132" s="7" t="s">
        <v>355</v>
      </c>
      <c r="H132" s="7" t="s">
        <v>355</v>
      </c>
      <c r="I132" s="14"/>
      <c r="J132" s="14"/>
      <c r="K132" s="14"/>
      <c r="L132" s="14"/>
      <c r="M132" s="14"/>
    </row>
    <row r="133" ht="18.75" customHeight="1">
      <c r="A133" s="7" t="s">
        <v>613</v>
      </c>
      <c r="B133" s="7" t="s">
        <v>614</v>
      </c>
      <c r="C133" s="8">
        <v>46055.0</v>
      </c>
      <c r="D133" s="8">
        <v>46062.0</v>
      </c>
      <c r="E133" s="7" t="s">
        <v>416</v>
      </c>
      <c r="F133" s="7" t="s">
        <v>466</v>
      </c>
      <c r="G133" s="7" t="s">
        <v>355</v>
      </c>
      <c r="H133" s="7" t="s">
        <v>355</v>
      </c>
      <c r="I133" s="14"/>
      <c r="J133" s="14"/>
      <c r="K133" s="14"/>
      <c r="L133" s="14"/>
      <c r="M133" s="14"/>
    </row>
    <row r="134" ht="18.75" customHeight="1">
      <c r="A134" s="7" t="s">
        <v>615</v>
      </c>
      <c r="B134" s="7" t="s">
        <v>616</v>
      </c>
      <c r="C134" s="8">
        <v>46055.0</v>
      </c>
      <c r="D134" s="8">
        <v>46062.0</v>
      </c>
      <c r="E134" s="7" t="s">
        <v>416</v>
      </c>
      <c r="F134" s="7" t="s">
        <v>466</v>
      </c>
      <c r="G134" s="7" t="s">
        <v>355</v>
      </c>
      <c r="H134" s="7" t="s">
        <v>355</v>
      </c>
      <c r="I134" s="14"/>
      <c r="J134" s="14"/>
      <c r="K134" s="14"/>
      <c r="L134" s="14"/>
      <c r="M134" s="14"/>
    </row>
    <row r="135" ht="18.75" customHeight="1">
      <c r="A135" s="7" t="s">
        <v>617</v>
      </c>
      <c r="B135" s="7" t="s">
        <v>618</v>
      </c>
      <c r="C135" s="8">
        <v>46052.0</v>
      </c>
      <c r="D135" s="8">
        <v>46062.0</v>
      </c>
      <c r="E135" s="7" t="s">
        <v>416</v>
      </c>
      <c r="F135" s="7" t="s">
        <v>466</v>
      </c>
      <c r="G135" s="7" t="s">
        <v>355</v>
      </c>
      <c r="H135" s="7" t="s">
        <v>355</v>
      </c>
      <c r="I135" s="14"/>
      <c r="J135" s="14"/>
      <c r="K135" s="14"/>
      <c r="L135" s="14"/>
      <c r="M135" s="14"/>
    </row>
    <row r="136" ht="18.75" customHeight="1">
      <c r="A136" s="7" t="s">
        <v>619</v>
      </c>
      <c r="B136" s="7" t="s">
        <v>620</v>
      </c>
      <c r="C136" s="8">
        <v>46055.0</v>
      </c>
      <c r="D136" s="8">
        <v>46063.0</v>
      </c>
      <c r="E136" s="7" t="s">
        <v>416</v>
      </c>
      <c r="F136" s="7" t="s">
        <v>466</v>
      </c>
      <c r="G136" s="7" t="s">
        <v>355</v>
      </c>
      <c r="H136" s="7" t="s">
        <v>355</v>
      </c>
      <c r="I136" s="14"/>
      <c r="J136" s="14"/>
      <c r="K136" s="14"/>
      <c r="L136" s="14"/>
      <c r="M136" s="14"/>
    </row>
    <row r="137" ht="18.75" customHeight="1">
      <c r="A137" s="7" t="s">
        <v>621</v>
      </c>
      <c r="B137" s="7" t="s">
        <v>622</v>
      </c>
      <c r="C137" s="8">
        <v>46066.0</v>
      </c>
      <c r="D137" s="8">
        <v>46080.0</v>
      </c>
      <c r="E137" s="7" t="s">
        <v>353</v>
      </c>
      <c r="F137" s="7" t="s">
        <v>354</v>
      </c>
      <c r="G137" s="7" t="s">
        <v>355</v>
      </c>
      <c r="H137" s="7" t="s">
        <v>355</v>
      </c>
      <c r="I137" s="14"/>
      <c r="J137" s="14"/>
      <c r="K137" s="14"/>
      <c r="L137" s="14"/>
      <c r="M137" s="14"/>
    </row>
    <row r="138" ht="18.75" customHeight="1">
      <c r="A138" s="7" t="s">
        <v>623</v>
      </c>
      <c r="B138" s="7" t="s">
        <v>624</v>
      </c>
      <c r="C138" s="8">
        <v>46065.0</v>
      </c>
      <c r="D138" s="8">
        <v>46081.0</v>
      </c>
      <c r="E138" s="7" t="s">
        <v>353</v>
      </c>
      <c r="F138" s="7" t="s">
        <v>354</v>
      </c>
      <c r="G138" s="7" t="s">
        <v>355</v>
      </c>
      <c r="H138" s="7" t="s">
        <v>355</v>
      </c>
      <c r="I138" s="14"/>
      <c r="J138" s="14"/>
      <c r="K138" s="14"/>
      <c r="L138" s="14"/>
      <c r="M138" s="14"/>
    </row>
    <row r="139" ht="18.75" customHeight="1">
      <c r="A139" s="7" t="s">
        <v>625</v>
      </c>
      <c r="B139" s="7" t="s">
        <v>626</v>
      </c>
      <c r="C139" s="8">
        <v>46065.0</v>
      </c>
      <c r="D139" s="8">
        <v>46085.0</v>
      </c>
      <c r="E139" s="7" t="s">
        <v>353</v>
      </c>
      <c r="F139" s="7" t="s">
        <v>354</v>
      </c>
      <c r="G139" s="7" t="s">
        <v>355</v>
      </c>
      <c r="H139" s="7" t="s">
        <v>355</v>
      </c>
      <c r="I139" s="14"/>
      <c r="J139" s="14"/>
      <c r="K139" s="14"/>
      <c r="L139" s="14"/>
      <c r="M139" s="14"/>
    </row>
    <row r="140" ht="18.75" customHeight="1">
      <c r="A140" s="7" t="s">
        <v>627</v>
      </c>
      <c r="B140" s="7" t="s">
        <v>628</v>
      </c>
      <c r="C140" s="8">
        <v>46058.0</v>
      </c>
      <c r="D140" s="8">
        <v>46060.0</v>
      </c>
      <c r="E140" s="7" t="s">
        <v>404</v>
      </c>
      <c r="F140" s="7" t="s">
        <v>405</v>
      </c>
      <c r="G140" s="7" t="s">
        <v>355</v>
      </c>
      <c r="H140" s="7" t="s">
        <v>355</v>
      </c>
      <c r="I140" s="14"/>
      <c r="J140" s="14"/>
      <c r="K140" s="14"/>
      <c r="L140" s="14"/>
      <c r="M140" s="14"/>
    </row>
    <row r="141" ht="18.75" customHeight="1">
      <c r="A141" s="7" t="s">
        <v>629</v>
      </c>
      <c r="B141" s="7" t="s">
        <v>630</v>
      </c>
      <c r="C141" s="8">
        <v>46064.0</v>
      </c>
      <c r="D141" s="8">
        <v>46065.0</v>
      </c>
      <c r="E141" s="7" t="s">
        <v>404</v>
      </c>
      <c r="F141" s="7" t="s">
        <v>405</v>
      </c>
      <c r="G141" s="7" t="s">
        <v>355</v>
      </c>
      <c r="H141" s="7" t="s">
        <v>355</v>
      </c>
      <c r="I141" s="14"/>
      <c r="J141" s="14"/>
      <c r="K141" s="14"/>
      <c r="L141" s="14"/>
      <c r="M141" s="14"/>
    </row>
    <row r="142" ht="18.75" customHeight="1">
      <c r="A142" s="7" t="s">
        <v>631</v>
      </c>
      <c r="B142" s="7" t="s">
        <v>632</v>
      </c>
      <c r="C142" s="8">
        <v>46055.0</v>
      </c>
      <c r="D142" s="8">
        <v>46062.0</v>
      </c>
      <c r="E142" s="7" t="s">
        <v>416</v>
      </c>
      <c r="F142" s="7" t="s">
        <v>413</v>
      </c>
      <c r="G142" s="7" t="s">
        <v>355</v>
      </c>
      <c r="H142" s="7" t="s">
        <v>355</v>
      </c>
      <c r="I142" s="14"/>
      <c r="J142" s="14"/>
      <c r="K142" s="14"/>
      <c r="L142" s="14"/>
      <c r="M142" s="14"/>
    </row>
    <row r="143" ht="18.75" customHeight="1">
      <c r="A143" s="7" t="s">
        <v>633</v>
      </c>
      <c r="B143" s="7" t="s">
        <v>634</v>
      </c>
      <c r="C143" s="8">
        <v>46063.0</v>
      </c>
      <c r="D143" s="8">
        <v>46063.0</v>
      </c>
      <c r="E143" s="7" t="s">
        <v>473</v>
      </c>
      <c r="F143" s="7" t="s">
        <v>474</v>
      </c>
      <c r="G143" s="7" t="s">
        <v>355</v>
      </c>
      <c r="H143" s="7" t="s">
        <v>355</v>
      </c>
      <c r="I143" s="14"/>
      <c r="J143" s="14"/>
      <c r="K143" s="14"/>
      <c r="L143" s="14"/>
      <c r="M143" s="14"/>
    </row>
    <row r="144" ht="18.75" customHeight="1">
      <c r="A144" s="7" t="s">
        <v>635</v>
      </c>
      <c r="B144" s="7" t="s">
        <v>636</v>
      </c>
      <c r="C144" s="8">
        <v>46035.0</v>
      </c>
      <c r="D144" s="8">
        <v>46064.0</v>
      </c>
      <c r="E144" s="7" t="s">
        <v>416</v>
      </c>
      <c r="F144" s="7" t="s">
        <v>430</v>
      </c>
      <c r="G144" s="7" t="s">
        <v>355</v>
      </c>
      <c r="H144" s="7" t="s">
        <v>355</v>
      </c>
      <c r="I144" s="14"/>
      <c r="J144" s="14"/>
      <c r="K144" s="14"/>
      <c r="L144" s="14"/>
      <c r="M144" s="14"/>
    </row>
    <row r="145" ht="18.75" customHeight="1">
      <c r="A145" s="7" t="s">
        <v>637</v>
      </c>
      <c r="B145" s="7" t="s">
        <v>638</v>
      </c>
      <c r="C145" s="8">
        <v>46062.0</v>
      </c>
      <c r="D145" s="8">
        <v>46062.0</v>
      </c>
      <c r="E145" s="7" t="s">
        <v>416</v>
      </c>
      <c r="F145" s="7" t="s">
        <v>430</v>
      </c>
      <c r="G145" s="7" t="s">
        <v>355</v>
      </c>
      <c r="H145" s="7" t="s">
        <v>355</v>
      </c>
      <c r="I145" s="14"/>
      <c r="J145" s="14"/>
      <c r="K145" s="14"/>
      <c r="L145" s="14"/>
      <c r="M145" s="14"/>
    </row>
    <row r="146" ht="18.75" customHeight="1">
      <c r="A146" s="7" t="s">
        <v>639</v>
      </c>
      <c r="B146" s="7" t="s">
        <v>640</v>
      </c>
      <c r="C146" s="8">
        <v>46058.0</v>
      </c>
      <c r="D146" s="8">
        <v>46061.0</v>
      </c>
      <c r="E146" s="7" t="s">
        <v>364</v>
      </c>
      <c r="F146" s="7" t="s">
        <v>365</v>
      </c>
      <c r="G146" s="7" t="s">
        <v>355</v>
      </c>
      <c r="H146" s="7" t="s">
        <v>355</v>
      </c>
      <c r="I146" s="14"/>
      <c r="J146" s="14"/>
      <c r="K146" s="14"/>
      <c r="L146" s="14"/>
      <c r="M146" s="14"/>
    </row>
    <row r="147" ht="18.75" customHeight="1">
      <c r="A147" s="7" t="s">
        <v>641</v>
      </c>
      <c r="B147" s="7" t="s">
        <v>642</v>
      </c>
      <c r="C147" s="8">
        <v>46066.0</v>
      </c>
      <c r="D147" s="8">
        <v>46066.0</v>
      </c>
      <c r="E147" s="7" t="s">
        <v>364</v>
      </c>
      <c r="F147" s="7" t="s">
        <v>365</v>
      </c>
      <c r="G147" s="7" t="s">
        <v>355</v>
      </c>
      <c r="H147" s="7" t="s">
        <v>355</v>
      </c>
      <c r="I147" s="14"/>
      <c r="J147" s="14"/>
      <c r="K147" s="14"/>
      <c r="L147" s="14"/>
      <c r="M147" s="14"/>
    </row>
    <row r="148" ht="18.75" customHeight="1">
      <c r="A148" s="7" t="s">
        <v>643</v>
      </c>
      <c r="B148" s="7" t="s">
        <v>644</v>
      </c>
      <c r="C148" s="8">
        <v>46059.0</v>
      </c>
      <c r="D148" s="8">
        <v>46073.0</v>
      </c>
      <c r="E148" s="7" t="s">
        <v>353</v>
      </c>
      <c r="F148" s="7" t="s">
        <v>378</v>
      </c>
      <c r="G148" s="7" t="s">
        <v>355</v>
      </c>
      <c r="H148" s="7" t="s">
        <v>355</v>
      </c>
      <c r="I148" s="14"/>
      <c r="J148" s="14"/>
      <c r="K148" s="14"/>
      <c r="L148" s="14"/>
      <c r="M148" s="14"/>
    </row>
    <row r="149" ht="18.75" customHeight="1">
      <c r="A149" s="7" t="s">
        <v>645</v>
      </c>
      <c r="B149" s="7" t="s">
        <v>646</v>
      </c>
      <c r="C149" s="8">
        <v>46059.0</v>
      </c>
      <c r="D149" s="8">
        <v>46074.0</v>
      </c>
      <c r="E149" s="7" t="s">
        <v>364</v>
      </c>
      <c r="F149" s="7" t="s">
        <v>365</v>
      </c>
      <c r="G149" s="7" t="s">
        <v>355</v>
      </c>
      <c r="H149" s="7" t="s">
        <v>355</v>
      </c>
      <c r="I149" s="14"/>
      <c r="J149" s="14"/>
      <c r="K149" s="14"/>
      <c r="L149" s="14"/>
      <c r="M149" s="14"/>
    </row>
    <row r="150" ht="18.75" customHeight="1">
      <c r="A150" s="7" t="s">
        <v>647</v>
      </c>
      <c r="B150" s="7" t="s">
        <v>648</v>
      </c>
      <c r="C150" s="8">
        <v>46063.0</v>
      </c>
      <c r="D150" s="8">
        <v>46077.0</v>
      </c>
      <c r="E150" s="7" t="s">
        <v>353</v>
      </c>
      <c r="F150" s="7" t="s">
        <v>378</v>
      </c>
      <c r="G150" s="7" t="s">
        <v>355</v>
      </c>
      <c r="H150" s="7" t="s">
        <v>355</v>
      </c>
      <c r="I150" s="14"/>
      <c r="J150" s="14"/>
      <c r="K150" s="14"/>
      <c r="L150" s="14"/>
      <c r="M150" s="14"/>
    </row>
    <row r="151" ht="18.75" customHeight="1">
      <c r="A151" s="7" t="s">
        <v>649</v>
      </c>
      <c r="B151" s="7" t="s">
        <v>650</v>
      </c>
      <c r="C151" s="8">
        <v>46063.0</v>
      </c>
      <c r="D151" s="8">
        <v>46069.0</v>
      </c>
      <c r="E151" s="7" t="s">
        <v>404</v>
      </c>
      <c r="F151" s="7" t="s">
        <v>405</v>
      </c>
      <c r="G151" s="7" t="s">
        <v>355</v>
      </c>
      <c r="H151" s="7" t="s">
        <v>355</v>
      </c>
      <c r="I151" s="14"/>
      <c r="J151" s="14"/>
      <c r="K151" s="14"/>
      <c r="L151" s="14"/>
      <c r="M151" s="14"/>
    </row>
    <row r="152" ht="18.75" customHeight="1">
      <c r="A152" s="7" t="s">
        <v>651</v>
      </c>
      <c r="B152" s="7" t="s">
        <v>652</v>
      </c>
      <c r="C152" s="8">
        <v>46071.0</v>
      </c>
      <c r="D152" s="8">
        <v>46112.0</v>
      </c>
      <c r="E152" s="7" t="s">
        <v>353</v>
      </c>
      <c r="F152" s="7" t="s">
        <v>378</v>
      </c>
      <c r="G152" s="7" t="s">
        <v>355</v>
      </c>
      <c r="H152" s="7" t="s">
        <v>355</v>
      </c>
      <c r="I152" s="14"/>
      <c r="J152" s="14"/>
      <c r="K152" s="14"/>
      <c r="L152" s="14"/>
      <c r="M152" s="14"/>
    </row>
    <row r="153" ht="18.75" customHeight="1">
      <c r="A153" s="7" t="s">
        <v>653</v>
      </c>
      <c r="B153" s="7" t="s">
        <v>654</v>
      </c>
      <c r="C153" s="8">
        <v>46059.0</v>
      </c>
      <c r="D153" s="8">
        <v>46074.0</v>
      </c>
      <c r="E153" s="7" t="s">
        <v>364</v>
      </c>
      <c r="F153" s="7" t="s">
        <v>365</v>
      </c>
      <c r="G153" s="7" t="s">
        <v>355</v>
      </c>
      <c r="H153" s="7" t="s">
        <v>355</v>
      </c>
      <c r="I153" s="14"/>
      <c r="J153" s="14"/>
      <c r="K153" s="14"/>
      <c r="L153" s="14"/>
      <c r="M153" s="14"/>
    </row>
    <row r="154" ht="18.75" customHeight="1">
      <c r="A154" s="7" t="s">
        <v>655</v>
      </c>
      <c r="B154" s="7" t="s">
        <v>656</v>
      </c>
      <c r="C154" s="8">
        <v>46058.0</v>
      </c>
      <c r="D154" s="8">
        <v>46062.0</v>
      </c>
      <c r="E154" s="7" t="s">
        <v>416</v>
      </c>
      <c r="F154" s="7" t="s">
        <v>430</v>
      </c>
      <c r="G154" s="7" t="s">
        <v>355</v>
      </c>
      <c r="H154" s="7" t="s">
        <v>355</v>
      </c>
      <c r="I154" s="14"/>
      <c r="J154" s="14"/>
      <c r="K154" s="14"/>
      <c r="L154" s="14"/>
      <c r="M154" s="14"/>
    </row>
    <row r="155" ht="18.75" customHeight="1">
      <c r="A155" s="7" t="s">
        <v>657</v>
      </c>
      <c r="B155" s="7" t="s">
        <v>658</v>
      </c>
      <c r="C155" s="8">
        <v>46062.0</v>
      </c>
      <c r="D155" s="8">
        <v>46072.0</v>
      </c>
      <c r="E155" s="7" t="s">
        <v>416</v>
      </c>
      <c r="F155" s="7" t="s">
        <v>466</v>
      </c>
      <c r="G155" s="7" t="s">
        <v>355</v>
      </c>
      <c r="H155" s="7" t="s">
        <v>355</v>
      </c>
      <c r="I155" s="14"/>
      <c r="J155" s="14"/>
      <c r="K155" s="14"/>
      <c r="L155" s="14"/>
      <c r="M155" s="14"/>
    </row>
    <row r="156" ht="18.75" customHeight="1">
      <c r="A156" s="7" t="s">
        <v>659</v>
      </c>
      <c r="B156" s="7" t="s">
        <v>660</v>
      </c>
      <c r="C156" s="8">
        <v>46062.0</v>
      </c>
      <c r="D156" s="8">
        <v>46072.0</v>
      </c>
      <c r="E156" s="7" t="s">
        <v>416</v>
      </c>
      <c r="F156" s="7" t="s">
        <v>466</v>
      </c>
      <c r="G156" s="7" t="s">
        <v>355</v>
      </c>
      <c r="H156" s="7" t="s">
        <v>355</v>
      </c>
      <c r="I156" s="14"/>
      <c r="J156" s="14"/>
      <c r="K156" s="14"/>
      <c r="L156" s="14"/>
      <c r="M156" s="14"/>
    </row>
    <row r="157" ht="18.75" customHeight="1">
      <c r="A157" s="7" t="s">
        <v>661</v>
      </c>
      <c r="B157" s="7" t="s">
        <v>662</v>
      </c>
      <c r="C157" s="8">
        <v>46062.0</v>
      </c>
      <c r="D157" s="8">
        <v>46072.0</v>
      </c>
      <c r="E157" s="7" t="s">
        <v>416</v>
      </c>
      <c r="F157" s="7" t="s">
        <v>466</v>
      </c>
      <c r="G157" s="7" t="s">
        <v>355</v>
      </c>
      <c r="H157" s="7" t="s">
        <v>355</v>
      </c>
      <c r="I157" s="14"/>
      <c r="J157" s="14"/>
      <c r="K157" s="14"/>
      <c r="L157" s="14"/>
      <c r="M157" s="14"/>
    </row>
    <row r="158" ht="18.75" customHeight="1">
      <c r="A158" s="7" t="s">
        <v>663</v>
      </c>
      <c r="B158" s="7" t="s">
        <v>664</v>
      </c>
      <c r="C158" s="8">
        <v>46062.0</v>
      </c>
      <c r="D158" s="8">
        <v>46066.0</v>
      </c>
      <c r="E158" s="7" t="s">
        <v>416</v>
      </c>
      <c r="F158" s="7" t="s">
        <v>466</v>
      </c>
      <c r="G158" s="7" t="s">
        <v>355</v>
      </c>
      <c r="H158" s="7" t="s">
        <v>355</v>
      </c>
      <c r="I158" s="14"/>
      <c r="J158" s="14"/>
      <c r="K158" s="14"/>
      <c r="L158" s="14"/>
      <c r="M158" s="14"/>
    </row>
    <row r="159" ht="18.75" customHeight="1">
      <c r="A159" s="7" t="s">
        <v>665</v>
      </c>
      <c r="B159" s="7" t="s">
        <v>666</v>
      </c>
      <c r="C159" s="8">
        <v>46059.0</v>
      </c>
      <c r="D159" s="8">
        <v>46065.0</v>
      </c>
      <c r="E159" s="7" t="s">
        <v>416</v>
      </c>
      <c r="F159" s="7" t="s">
        <v>667</v>
      </c>
      <c r="G159" s="7" t="s">
        <v>355</v>
      </c>
      <c r="H159" s="7" t="s">
        <v>355</v>
      </c>
      <c r="I159" s="14"/>
      <c r="J159" s="14"/>
      <c r="K159" s="14"/>
      <c r="L159" s="14"/>
      <c r="M159" s="14"/>
    </row>
    <row r="160" ht="18.75" customHeight="1">
      <c r="A160" s="7" t="s">
        <v>668</v>
      </c>
      <c r="B160" s="7" t="s">
        <v>669</v>
      </c>
      <c r="C160" s="8">
        <v>46058.0</v>
      </c>
      <c r="D160" s="8">
        <v>46081.0</v>
      </c>
      <c r="E160" s="7" t="s">
        <v>416</v>
      </c>
      <c r="F160" s="7" t="s">
        <v>417</v>
      </c>
      <c r="G160" s="7" t="s">
        <v>355</v>
      </c>
      <c r="H160" s="7" t="s">
        <v>355</v>
      </c>
      <c r="I160" s="14"/>
      <c r="J160" s="14"/>
      <c r="K160" s="14"/>
      <c r="L160" s="14"/>
      <c r="M160" s="14"/>
    </row>
    <row r="161" ht="18.75" customHeight="1">
      <c r="A161" s="7" t="s">
        <v>670</v>
      </c>
      <c r="B161" s="7" t="s">
        <v>671</v>
      </c>
      <c r="C161" s="8">
        <v>46058.0</v>
      </c>
      <c r="D161" s="8">
        <v>46085.0</v>
      </c>
      <c r="E161" s="7" t="s">
        <v>416</v>
      </c>
      <c r="F161" s="7" t="s">
        <v>417</v>
      </c>
      <c r="G161" s="7" t="s">
        <v>355</v>
      </c>
      <c r="H161" s="7" t="s">
        <v>355</v>
      </c>
      <c r="I161" s="14"/>
      <c r="J161" s="14"/>
      <c r="K161" s="14"/>
      <c r="L161" s="14"/>
      <c r="M161" s="14"/>
    </row>
    <row r="162" ht="18.75" customHeight="1">
      <c r="A162" s="7" t="s">
        <v>672</v>
      </c>
      <c r="B162" s="7" t="s">
        <v>673</v>
      </c>
      <c r="C162" s="8">
        <v>46058.0</v>
      </c>
      <c r="D162" s="8">
        <v>46062.0</v>
      </c>
      <c r="E162" s="7" t="s">
        <v>416</v>
      </c>
      <c r="F162" s="7" t="s">
        <v>387</v>
      </c>
      <c r="G162" s="7" t="s">
        <v>355</v>
      </c>
      <c r="H162" s="7" t="s">
        <v>355</v>
      </c>
      <c r="I162" s="14"/>
      <c r="J162" s="14"/>
      <c r="K162" s="14"/>
      <c r="L162" s="14"/>
      <c r="M162" s="14"/>
    </row>
    <row r="163" ht="18.75" customHeight="1">
      <c r="A163" s="7" t="s">
        <v>674</v>
      </c>
      <c r="B163" s="7" t="s">
        <v>675</v>
      </c>
      <c r="C163" s="8">
        <v>46058.0</v>
      </c>
      <c r="D163" s="8">
        <v>46064.0</v>
      </c>
      <c r="E163" s="7" t="s">
        <v>416</v>
      </c>
      <c r="F163" s="7" t="s">
        <v>594</v>
      </c>
      <c r="G163" s="7" t="s">
        <v>355</v>
      </c>
      <c r="H163" s="7" t="s">
        <v>355</v>
      </c>
      <c r="I163" s="14"/>
      <c r="J163" s="14"/>
      <c r="K163" s="14"/>
      <c r="L163" s="14"/>
      <c r="M163" s="14"/>
    </row>
    <row r="164" ht="18.75" customHeight="1">
      <c r="A164" s="7" t="s">
        <v>676</v>
      </c>
      <c r="B164" s="7" t="s">
        <v>677</v>
      </c>
      <c r="C164" s="8">
        <v>46059.0</v>
      </c>
      <c r="D164" s="8">
        <v>46065.0</v>
      </c>
      <c r="E164" s="7" t="s">
        <v>416</v>
      </c>
      <c r="F164" s="7" t="s">
        <v>594</v>
      </c>
      <c r="G164" s="7" t="s">
        <v>355</v>
      </c>
      <c r="H164" s="7" t="s">
        <v>355</v>
      </c>
      <c r="I164" s="14"/>
      <c r="J164" s="14"/>
      <c r="K164" s="14"/>
      <c r="L164" s="14"/>
      <c r="M164" s="14"/>
    </row>
    <row r="165" ht="18.75" customHeight="1">
      <c r="A165" s="7" t="s">
        <v>678</v>
      </c>
      <c r="B165" s="7" t="s">
        <v>679</v>
      </c>
      <c r="C165" s="8">
        <v>46058.0</v>
      </c>
      <c r="D165" s="8">
        <v>46064.0</v>
      </c>
      <c r="E165" s="7" t="s">
        <v>416</v>
      </c>
      <c r="F165" s="7" t="s">
        <v>354</v>
      </c>
      <c r="G165" s="7" t="s">
        <v>355</v>
      </c>
      <c r="H165" s="7" t="s">
        <v>355</v>
      </c>
      <c r="I165" s="14"/>
      <c r="J165" s="14"/>
      <c r="K165" s="14"/>
      <c r="L165" s="14"/>
      <c r="M165" s="14"/>
    </row>
    <row r="166" ht="18.75" customHeight="1">
      <c r="A166" s="7" t="s">
        <v>680</v>
      </c>
      <c r="B166" s="7" t="s">
        <v>681</v>
      </c>
      <c r="C166" s="8">
        <v>46062.0</v>
      </c>
      <c r="D166" s="8">
        <v>46112.0</v>
      </c>
      <c r="E166" s="7" t="s">
        <v>358</v>
      </c>
      <c r="F166" s="7" t="s">
        <v>466</v>
      </c>
      <c r="G166" s="7" t="s">
        <v>355</v>
      </c>
      <c r="H166" s="7" t="s">
        <v>355</v>
      </c>
      <c r="I166" s="14"/>
      <c r="J166" s="14"/>
      <c r="K166" s="14"/>
      <c r="L166" s="14"/>
      <c r="M166" s="14"/>
    </row>
    <row r="167" ht="18.75" customHeight="1">
      <c r="A167" s="7" t="s">
        <v>682</v>
      </c>
      <c r="B167" s="7" t="s">
        <v>683</v>
      </c>
      <c r="C167" s="8">
        <v>46065.0</v>
      </c>
      <c r="D167" s="8">
        <v>46090.0</v>
      </c>
      <c r="E167" s="7" t="s">
        <v>473</v>
      </c>
      <c r="F167" s="7" t="s">
        <v>474</v>
      </c>
      <c r="G167" s="7" t="s">
        <v>355</v>
      </c>
      <c r="H167" s="7" t="s">
        <v>355</v>
      </c>
      <c r="I167" s="14"/>
      <c r="J167" s="14"/>
      <c r="K167" s="14"/>
      <c r="L167" s="14"/>
      <c r="M167" s="14"/>
    </row>
    <row r="168" ht="18.75" customHeight="1">
      <c r="A168" s="7" t="s">
        <v>684</v>
      </c>
      <c r="B168" s="7" t="s">
        <v>685</v>
      </c>
      <c r="C168" s="8">
        <v>46058.0</v>
      </c>
      <c r="D168" s="8">
        <v>46061.0</v>
      </c>
      <c r="E168" s="7" t="s">
        <v>364</v>
      </c>
      <c r="F168" s="7" t="s">
        <v>365</v>
      </c>
      <c r="G168" s="7" t="s">
        <v>355</v>
      </c>
      <c r="H168" s="7" t="s">
        <v>355</v>
      </c>
      <c r="I168" s="14"/>
      <c r="J168" s="14"/>
      <c r="K168" s="14"/>
      <c r="L168" s="14"/>
      <c r="M168" s="14"/>
    </row>
    <row r="169" ht="18.75" customHeight="1">
      <c r="A169" s="7" t="s">
        <v>686</v>
      </c>
      <c r="B169" s="7" t="s">
        <v>687</v>
      </c>
      <c r="C169" s="8">
        <v>46071.0</v>
      </c>
      <c r="D169" s="8">
        <v>46080.0</v>
      </c>
      <c r="E169" s="7" t="s">
        <v>473</v>
      </c>
      <c r="F169" s="7" t="s">
        <v>688</v>
      </c>
      <c r="G169" s="7" t="s">
        <v>355</v>
      </c>
      <c r="H169" s="7" t="s">
        <v>355</v>
      </c>
      <c r="I169" s="14"/>
      <c r="J169" s="14"/>
      <c r="K169" s="14"/>
      <c r="L169" s="14"/>
      <c r="M169" s="14"/>
    </row>
    <row r="170" ht="18.75" customHeight="1">
      <c r="A170" s="7" t="s">
        <v>689</v>
      </c>
      <c r="B170" s="7" t="s">
        <v>690</v>
      </c>
      <c r="C170" s="8">
        <v>46073.0</v>
      </c>
      <c r="D170" s="8">
        <v>46112.0</v>
      </c>
      <c r="E170" s="7" t="s">
        <v>353</v>
      </c>
      <c r="F170" s="7" t="s">
        <v>378</v>
      </c>
      <c r="G170" s="7" t="s">
        <v>355</v>
      </c>
      <c r="H170" s="7" t="s">
        <v>355</v>
      </c>
      <c r="I170" s="14"/>
      <c r="J170" s="14"/>
      <c r="K170" s="14"/>
      <c r="L170" s="14"/>
      <c r="M170" s="14"/>
    </row>
    <row r="171" ht="18.75" customHeight="1">
      <c r="A171" s="7" t="s">
        <v>691</v>
      </c>
      <c r="B171" s="7" t="s">
        <v>692</v>
      </c>
      <c r="C171" s="8">
        <v>46062.0</v>
      </c>
      <c r="D171" s="8">
        <v>46072.0</v>
      </c>
      <c r="E171" s="7" t="s">
        <v>416</v>
      </c>
      <c r="F171" s="7" t="s">
        <v>378</v>
      </c>
      <c r="G171" s="7" t="s">
        <v>355</v>
      </c>
      <c r="H171" s="7" t="s">
        <v>355</v>
      </c>
      <c r="I171" s="14"/>
      <c r="J171" s="14"/>
      <c r="K171" s="14"/>
      <c r="L171" s="14"/>
      <c r="M171" s="14"/>
    </row>
    <row r="172" ht="18.75" customHeight="1">
      <c r="A172" s="7" t="s">
        <v>693</v>
      </c>
      <c r="B172" s="7" t="s">
        <v>694</v>
      </c>
      <c r="C172" s="8">
        <v>46064.0</v>
      </c>
      <c r="D172" s="8">
        <v>46081.0</v>
      </c>
      <c r="E172" s="7" t="s">
        <v>358</v>
      </c>
      <c r="F172" s="7" t="s">
        <v>365</v>
      </c>
      <c r="G172" s="7" t="s">
        <v>355</v>
      </c>
      <c r="H172" s="7" t="s">
        <v>355</v>
      </c>
      <c r="I172" s="14"/>
      <c r="J172" s="14"/>
      <c r="K172" s="14"/>
      <c r="L172" s="14"/>
      <c r="M172" s="14"/>
    </row>
    <row r="173" ht="18.75" customHeight="1">
      <c r="A173" s="7" t="s">
        <v>695</v>
      </c>
      <c r="B173" s="7" t="s">
        <v>696</v>
      </c>
      <c r="C173" s="8">
        <v>46033.0</v>
      </c>
      <c r="D173" s="8">
        <v>46078.0</v>
      </c>
      <c r="E173" s="7" t="s">
        <v>358</v>
      </c>
      <c r="F173" s="7" t="s">
        <v>466</v>
      </c>
      <c r="G173" s="7" t="s">
        <v>355</v>
      </c>
      <c r="H173" s="7" t="s">
        <v>355</v>
      </c>
      <c r="I173" s="14"/>
      <c r="J173" s="14"/>
      <c r="K173" s="14"/>
      <c r="L173" s="14"/>
      <c r="M173" s="14"/>
    </row>
    <row r="174" ht="18.75" customHeight="1">
      <c r="A174" s="7" t="s">
        <v>697</v>
      </c>
      <c r="B174" s="7" t="s">
        <v>698</v>
      </c>
      <c r="C174" s="8">
        <v>46065.0</v>
      </c>
      <c r="D174" s="8">
        <v>46079.0</v>
      </c>
      <c r="E174" s="7" t="s">
        <v>404</v>
      </c>
      <c r="F174" s="7" t="s">
        <v>405</v>
      </c>
      <c r="G174" s="7" t="s">
        <v>355</v>
      </c>
      <c r="H174" s="7" t="s">
        <v>355</v>
      </c>
      <c r="I174" s="14"/>
      <c r="J174" s="14"/>
      <c r="K174" s="14"/>
      <c r="L174" s="14"/>
      <c r="M174" s="14"/>
    </row>
    <row r="175" ht="18.75" customHeight="1">
      <c r="A175" s="7" t="s">
        <v>699</v>
      </c>
      <c r="B175" s="7" t="s">
        <v>700</v>
      </c>
      <c r="C175" s="8">
        <v>46080.0</v>
      </c>
      <c r="D175" s="8">
        <v>46112.0</v>
      </c>
      <c r="E175" s="7" t="s">
        <v>353</v>
      </c>
      <c r="F175" s="7" t="s">
        <v>378</v>
      </c>
      <c r="G175" s="7" t="s">
        <v>355</v>
      </c>
      <c r="H175" s="7" t="s">
        <v>355</v>
      </c>
      <c r="I175" s="14"/>
      <c r="J175" s="14"/>
      <c r="K175" s="14"/>
      <c r="L175" s="14"/>
      <c r="M175" s="14"/>
    </row>
    <row r="176" ht="18.75" customHeight="1">
      <c r="A176" s="7" t="s">
        <v>701</v>
      </c>
      <c r="B176" s="7" t="s">
        <v>702</v>
      </c>
      <c r="C176" s="8">
        <v>46076.0</v>
      </c>
      <c r="D176" s="8">
        <v>46090.0</v>
      </c>
      <c r="E176" s="7" t="s">
        <v>353</v>
      </c>
      <c r="F176" s="7" t="s">
        <v>378</v>
      </c>
      <c r="G176" s="7" t="s">
        <v>355</v>
      </c>
      <c r="H176" s="7" t="s">
        <v>355</v>
      </c>
      <c r="I176" s="14"/>
      <c r="J176" s="14"/>
      <c r="K176" s="14"/>
      <c r="L176" s="14"/>
      <c r="M176" s="14"/>
    </row>
    <row r="177" ht="18.75" customHeight="1">
      <c r="A177" s="7" t="s">
        <v>703</v>
      </c>
      <c r="B177" s="7" t="s">
        <v>704</v>
      </c>
      <c r="C177" s="8">
        <v>46079.0</v>
      </c>
      <c r="D177" s="8">
        <v>46079.0</v>
      </c>
      <c r="E177" s="7" t="s">
        <v>416</v>
      </c>
      <c r="F177" s="7" t="s">
        <v>430</v>
      </c>
      <c r="G177" s="7" t="s">
        <v>355</v>
      </c>
      <c r="H177" s="7" t="s">
        <v>355</v>
      </c>
      <c r="I177" s="14"/>
      <c r="J177" s="14"/>
      <c r="K177" s="14"/>
      <c r="L177" s="14"/>
      <c r="M177" s="14"/>
    </row>
    <row r="178" ht="18.75" customHeight="1">
      <c r="A178" s="7" t="s">
        <v>705</v>
      </c>
      <c r="B178" s="7" t="s">
        <v>706</v>
      </c>
      <c r="C178" s="8">
        <v>46072.0</v>
      </c>
      <c r="D178" s="8">
        <v>46087.0</v>
      </c>
      <c r="E178" s="7" t="s">
        <v>358</v>
      </c>
      <c r="F178" s="7" t="s">
        <v>359</v>
      </c>
      <c r="G178" s="7" t="s">
        <v>355</v>
      </c>
      <c r="H178" s="7" t="s">
        <v>355</v>
      </c>
      <c r="I178" s="14"/>
      <c r="J178" s="14"/>
      <c r="K178" s="14"/>
      <c r="L178" s="14"/>
      <c r="M178" s="14"/>
    </row>
    <row r="179" ht="18.75" customHeight="1">
      <c r="A179" s="7" t="s">
        <v>707</v>
      </c>
      <c r="B179" s="7" t="s">
        <v>708</v>
      </c>
      <c r="C179" s="8">
        <v>46072.0</v>
      </c>
      <c r="D179" s="8">
        <v>46072.0</v>
      </c>
      <c r="E179" s="7" t="s">
        <v>404</v>
      </c>
      <c r="F179" s="7" t="s">
        <v>405</v>
      </c>
      <c r="G179" s="7" t="s">
        <v>355</v>
      </c>
      <c r="H179" s="7" t="s">
        <v>355</v>
      </c>
      <c r="I179" s="14"/>
      <c r="J179" s="14"/>
      <c r="K179" s="14"/>
      <c r="L179" s="14"/>
      <c r="M179" s="14"/>
    </row>
    <row r="180" ht="18.75" customHeight="1">
      <c r="A180" s="7" t="s">
        <v>709</v>
      </c>
      <c r="B180" s="7" t="s">
        <v>710</v>
      </c>
      <c r="C180" s="8">
        <v>46083.0</v>
      </c>
      <c r="D180" s="8">
        <v>46265.0</v>
      </c>
      <c r="E180" s="7" t="s">
        <v>404</v>
      </c>
      <c r="F180" s="7" t="s">
        <v>667</v>
      </c>
      <c r="G180" s="7" t="s">
        <v>410</v>
      </c>
      <c r="H180" s="7" t="s">
        <v>410</v>
      </c>
      <c r="I180" s="14"/>
      <c r="J180" s="14"/>
      <c r="K180" s="14"/>
      <c r="L180" s="14"/>
      <c r="M180" s="14"/>
    </row>
    <row r="181" ht="18.75" customHeight="1">
      <c r="A181" s="7" t="s">
        <v>711</v>
      </c>
      <c r="B181" s="7" t="s">
        <v>712</v>
      </c>
      <c r="C181" s="8">
        <v>46071.0</v>
      </c>
      <c r="D181" s="8">
        <v>46071.0</v>
      </c>
      <c r="E181" s="7" t="s">
        <v>358</v>
      </c>
      <c r="F181" s="7" t="s">
        <v>365</v>
      </c>
      <c r="G181" s="7" t="s">
        <v>355</v>
      </c>
      <c r="H181" s="7" t="s">
        <v>355</v>
      </c>
      <c r="I181" s="14"/>
      <c r="J181" s="14"/>
      <c r="K181" s="14"/>
      <c r="L181" s="14"/>
      <c r="M181" s="14"/>
    </row>
    <row r="182" ht="18.75" customHeight="1">
      <c r="A182" s="7" t="s">
        <v>713</v>
      </c>
      <c r="B182" s="7" t="s">
        <v>714</v>
      </c>
      <c r="C182" s="8">
        <v>46079.0</v>
      </c>
      <c r="D182" s="8">
        <v>46115.0</v>
      </c>
      <c r="E182" s="7" t="s">
        <v>353</v>
      </c>
      <c r="F182" s="7" t="s">
        <v>378</v>
      </c>
      <c r="G182" s="7" t="s">
        <v>355</v>
      </c>
      <c r="H182" s="7" t="s">
        <v>355</v>
      </c>
      <c r="I182" s="14"/>
      <c r="J182" s="14"/>
      <c r="K182" s="14"/>
      <c r="L182" s="14"/>
      <c r="M182" s="14"/>
    </row>
    <row r="183" ht="18.75" customHeight="1">
      <c r="A183" s="7" t="s">
        <v>715</v>
      </c>
      <c r="B183" s="7" t="s">
        <v>716</v>
      </c>
      <c r="C183" s="8">
        <v>46063.0</v>
      </c>
      <c r="D183" s="8">
        <v>46073.0</v>
      </c>
      <c r="E183" s="7" t="s">
        <v>364</v>
      </c>
      <c r="F183" s="7" t="s">
        <v>365</v>
      </c>
      <c r="G183" s="7" t="s">
        <v>355</v>
      </c>
      <c r="H183" s="7" t="s">
        <v>355</v>
      </c>
      <c r="I183" s="14"/>
      <c r="J183" s="14"/>
      <c r="K183" s="14"/>
      <c r="L183" s="14"/>
      <c r="M183" s="14"/>
    </row>
    <row r="184" ht="18.75" customHeight="1">
      <c r="A184" s="7" t="s">
        <v>717</v>
      </c>
      <c r="B184" s="7" t="s">
        <v>718</v>
      </c>
      <c r="C184" s="8">
        <v>46064.0</v>
      </c>
      <c r="D184" s="8">
        <v>46068.0</v>
      </c>
      <c r="E184" s="7" t="s">
        <v>364</v>
      </c>
      <c r="F184" s="7" t="s">
        <v>365</v>
      </c>
      <c r="G184" s="7" t="s">
        <v>355</v>
      </c>
      <c r="H184" s="7" t="s">
        <v>355</v>
      </c>
      <c r="I184" s="14"/>
      <c r="J184" s="14"/>
      <c r="K184" s="14"/>
      <c r="L184" s="14"/>
      <c r="M184" s="14"/>
    </row>
    <row r="185" ht="18.75" customHeight="1">
      <c r="A185" s="7" t="s">
        <v>719</v>
      </c>
      <c r="B185" s="7" t="s">
        <v>720</v>
      </c>
      <c r="C185" s="8">
        <v>46066.0</v>
      </c>
      <c r="D185" s="8">
        <v>46112.0</v>
      </c>
      <c r="E185" s="7" t="s">
        <v>358</v>
      </c>
      <c r="F185" s="7" t="s">
        <v>466</v>
      </c>
      <c r="G185" s="7" t="s">
        <v>355</v>
      </c>
      <c r="H185" s="7" t="s">
        <v>355</v>
      </c>
      <c r="I185" s="14"/>
      <c r="J185" s="14"/>
      <c r="K185" s="14"/>
      <c r="L185" s="14"/>
      <c r="M185" s="14"/>
    </row>
    <row r="186" ht="18.75" customHeight="1">
      <c r="A186" s="7" t="s">
        <v>721</v>
      </c>
      <c r="B186" s="7" t="s">
        <v>722</v>
      </c>
      <c r="C186" s="8">
        <v>46066.0</v>
      </c>
      <c r="D186" s="8">
        <v>46112.0</v>
      </c>
      <c r="E186" s="7" t="s">
        <v>358</v>
      </c>
      <c r="F186" s="7" t="s">
        <v>466</v>
      </c>
      <c r="G186" s="7" t="s">
        <v>355</v>
      </c>
      <c r="H186" s="7" t="s">
        <v>355</v>
      </c>
      <c r="I186" s="14"/>
      <c r="J186" s="14"/>
      <c r="K186" s="14"/>
      <c r="L186" s="14"/>
      <c r="M186" s="14"/>
    </row>
    <row r="187" ht="18.75" customHeight="1">
      <c r="A187" s="7" t="s">
        <v>723</v>
      </c>
      <c r="B187" s="7" t="s">
        <v>724</v>
      </c>
      <c r="C187" s="8">
        <v>46079.0</v>
      </c>
      <c r="D187" s="8">
        <v>46086.0</v>
      </c>
      <c r="E187" s="7" t="s">
        <v>416</v>
      </c>
      <c r="F187" s="7" t="s">
        <v>725</v>
      </c>
      <c r="G187" s="7" t="s">
        <v>355</v>
      </c>
      <c r="H187" s="7" t="s">
        <v>355</v>
      </c>
      <c r="I187" s="14"/>
      <c r="J187" s="14"/>
      <c r="K187" s="14"/>
      <c r="L187" s="14"/>
      <c r="M187" s="14"/>
    </row>
    <row r="188" ht="18.75" customHeight="1">
      <c r="A188" s="7" t="s">
        <v>726</v>
      </c>
      <c r="B188" s="7" t="s">
        <v>727</v>
      </c>
      <c r="C188" s="8">
        <v>46065.0</v>
      </c>
      <c r="D188" s="8">
        <v>46086.0</v>
      </c>
      <c r="E188" s="7" t="s">
        <v>416</v>
      </c>
      <c r="F188" s="7" t="s">
        <v>417</v>
      </c>
      <c r="G188" s="7" t="s">
        <v>355</v>
      </c>
      <c r="H188" s="7" t="s">
        <v>355</v>
      </c>
      <c r="I188" s="14"/>
      <c r="J188" s="14"/>
      <c r="K188" s="14"/>
      <c r="L188" s="14"/>
      <c r="M188" s="14"/>
    </row>
    <row r="189" ht="18.75" customHeight="1">
      <c r="A189" s="7" t="s">
        <v>728</v>
      </c>
      <c r="B189" s="7" t="s">
        <v>729</v>
      </c>
      <c r="C189" s="8">
        <v>46065.0</v>
      </c>
      <c r="D189" s="8">
        <v>46089.0</v>
      </c>
      <c r="E189" s="7" t="s">
        <v>416</v>
      </c>
      <c r="F189" s="7" t="s">
        <v>417</v>
      </c>
      <c r="G189" s="7" t="s">
        <v>355</v>
      </c>
      <c r="H189" s="7" t="s">
        <v>355</v>
      </c>
      <c r="I189" s="14"/>
      <c r="J189" s="14"/>
      <c r="K189" s="14"/>
      <c r="L189" s="14"/>
      <c r="M189" s="14"/>
    </row>
    <row r="190" ht="18.75" customHeight="1">
      <c r="A190" s="7" t="s">
        <v>730</v>
      </c>
      <c r="B190" s="7" t="s">
        <v>731</v>
      </c>
      <c r="C190" s="8">
        <v>46065.0</v>
      </c>
      <c r="D190" s="8">
        <v>46089.0</v>
      </c>
      <c r="E190" s="7" t="s">
        <v>416</v>
      </c>
      <c r="F190" s="7" t="s">
        <v>417</v>
      </c>
      <c r="G190" s="7" t="s">
        <v>355</v>
      </c>
      <c r="H190" s="7" t="s">
        <v>355</v>
      </c>
      <c r="I190" s="14"/>
      <c r="J190" s="14"/>
      <c r="K190" s="14"/>
      <c r="L190" s="14"/>
      <c r="M190" s="14"/>
    </row>
    <row r="191" ht="18.75" customHeight="1">
      <c r="A191" s="7" t="s">
        <v>732</v>
      </c>
      <c r="B191" s="7" t="s">
        <v>733</v>
      </c>
      <c r="C191" s="8">
        <v>46065.0</v>
      </c>
      <c r="D191" s="8">
        <v>46072.0</v>
      </c>
      <c r="E191" s="7" t="s">
        <v>416</v>
      </c>
      <c r="F191" s="7" t="s">
        <v>359</v>
      </c>
      <c r="G191" s="7" t="s">
        <v>355</v>
      </c>
      <c r="H191" s="7" t="s">
        <v>355</v>
      </c>
      <c r="I191" s="14"/>
      <c r="J191" s="14"/>
      <c r="K191" s="14"/>
      <c r="L191" s="14"/>
      <c r="M191" s="14"/>
    </row>
    <row r="192" ht="18.75" customHeight="1">
      <c r="A192" s="7" t="s">
        <v>734</v>
      </c>
      <c r="B192" s="7" t="s">
        <v>735</v>
      </c>
      <c r="C192" s="8">
        <v>46066.0</v>
      </c>
      <c r="D192" s="8">
        <v>46074.0</v>
      </c>
      <c r="E192" s="7" t="s">
        <v>416</v>
      </c>
      <c r="F192" s="7" t="s">
        <v>413</v>
      </c>
      <c r="G192" s="7" t="s">
        <v>355</v>
      </c>
      <c r="H192" s="7" t="s">
        <v>355</v>
      </c>
      <c r="I192" s="14"/>
      <c r="J192" s="14"/>
      <c r="K192" s="14"/>
      <c r="L192" s="14"/>
      <c r="M192" s="14"/>
    </row>
    <row r="193" ht="18.75" customHeight="1">
      <c r="A193" s="7" t="s">
        <v>736</v>
      </c>
      <c r="B193" s="7" t="s">
        <v>737</v>
      </c>
      <c r="C193" s="8">
        <v>46066.0</v>
      </c>
      <c r="D193" s="8">
        <v>46073.0</v>
      </c>
      <c r="E193" s="7" t="s">
        <v>416</v>
      </c>
      <c r="F193" s="7" t="s">
        <v>466</v>
      </c>
      <c r="G193" s="7" t="s">
        <v>355</v>
      </c>
      <c r="H193" s="7" t="s">
        <v>355</v>
      </c>
      <c r="I193" s="14"/>
      <c r="J193" s="14"/>
      <c r="K193" s="14"/>
      <c r="L193" s="14"/>
      <c r="M193" s="14"/>
    </row>
    <row r="194" ht="18.75" customHeight="1">
      <c r="A194" s="7" t="s">
        <v>738</v>
      </c>
      <c r="B194" s="7" t="s">
        <v>739</v>
      </c>
      <c r="C194" s="8">
        <v>46066.0</v>
      </c>
      <c r="D194" s="8">
        <v>46073.0</v>
      </c>
      <c r="E194" s="7" t="s">
        <v>416</v>
      </c>
      <c r="F194" s="7" t="s">
        <v>466</v>
      </c>
      <c r="G194" s="7" t="s">
        <v>355</v>
      </c>
      <c r="H194" s="7" t="s">
        <v>355</v>
      </c>
      <c r="I194" s="14"/>
      <c r="J194" s="14"/>
      <c r="K194" s="14"/>
      <c r="L194" s="14"/>
      <c r="M194" s="14"/>
    </row>
    <row r="195" ht="18.75" customHeight="1">
      <c r="A195" s="7" t="s">
        <v>740</v>
      </c>
      <c r="B195" s="7" t="s">
        <v>741</v>
      </c>
      <c r="C195" s="8">
        <v>46066.0</v>
      </c>
      <c r="D195" s="8">
        <v>46073.0</v>
      </c>
      <c r="E195" s="7" t="s">
        <v>416</v>
      </c>
      <c r="F195" s="7" t="s">
        <v>466</v>
      </c>
      <c r="G195" s="7" t="s">
        <v>355</v>
      </c>
      <c r="H195" s="7" t="s">
        <v>355</v>
      </c>
      <c r="I195" s="14"/>
      <c r="J195" s="14"/>
      <c r="K195" s="14"/>
      <c r="L195" s="14"/>
      <c r="M195" s="14"/>
    </row>
    <row r="196" ht="18.75" customHeight="1">
      <c r="A196" s="7" t="s">
        <v>742</v>
      </c>
      <c r="B196" s="7" t="s">
        <v>743</v>
      </c>
      <c r="C196" s="8">
        <v>46066.0</v>
      </c>
      <c r="D196" s="8">
        <v>46083.0</v>
      </c>
      <c r="E196" s="7" t="s">
        <v>416</v>
      </c>
      <c r="F196" s="7" t="s">
        <v>466</v>
      </c>
      <c r="G196" s="7" t="s">
        <v>355</v>
      </c>
      <c r="H196" s="7" t="s">
        <v>355</v>
      </c>
      <c r="I196" s="14"/>
      <c r="J196" s="14"/>
      <c r="K196" s="14"/>
      <c r="L196" s="14"/>
      <c r="M196" s="14"/>
    </row>
    <row r="197" ht="18.75" customHeight="1">
      <c r="A197" s="7" t="s">
        <v>744</v>
      </c>
      <c r="B197" s="7" t="s">
        <v>745</v>
      </c>
      <c r="C197" s="8">
        <v>46065.0</v>
      </c>
      <c r="D197" s="8">
        <v>46072.0</v>
      </c>
      <c r="E197" s="7" t="s">
        <v>416</v>
      </c>
      <c r="F197" s="7" t="s">
        <v>365</v>
      </c>
      <c r="G197" s="7" t="s">
        <v>355</v>
      </c>
      <c r="H197" s="7" t="s">
        <v>355</v>
      </c>
      <c r="I197" s="14"/>
      <c r="J197" s="14"/>
      <c r="K197" s="14"/>
      <c r="L197" s="14"/>
      <c r="M197" s="14"/>
    </row>
    <row r="198" ht="18.75" customHeight="1">
      <c r="A198" s="7" t="s">
        <v>746</v>
      </c>
      <c r="B198" s="7" t="s">
        <v>747</v>
      </c>
      <c r="C198" s="8">
        <v>46067.0</v>
      </c>
      <c r="D198" s="8">
        <v>46076.0</v>
      </c>
      <c r="E198" s="7" t="s">
        <v>416</v>
      </c>
      <c r="F198" s="7" t="s">
        <v>417</v>
      </c>
      <c r="G198" s="7" t="s">
        <v>355</v>
      </c>
      <c r="H198" s="7" t="s">
        <v>355</v>
      </c>
      <c r="I198" s="14"/>
      <c r="J198" s="14"/>
      <c r="K198" s="14"/>
      <c r="L198" s="14"/>
      <c r="M198" s="14"/>
    </row>
    <row r="199" ht="18.75" customHeight="1">
      <c r="A199" s="7" t="s">
        <v>748</v>
      </c>
      <c r="B199" s="7" t="s">
        <v>749</v>
      </c>
      <c r="C199" s="8">
        <v>46066.0</v>
      </c>
      <c r="D199" s="8">
        <v>46072.0</v>
      </c>
      <c r="E199" s="7" t="s">
        <v>416</v>
      </c>
      <c r="F199" s="7" t="s">
        <v>725</v>
      </c>
      <c r="G199" s="7" t="s">
        <v>355</v>
      </c>
      <c r="H199" s="7" t="s">
        <v>355</v>
      </c>
      <c r="I199" s="14"/>
      <c r="J199" s="14"/>
      <c r="K199" s="14"/>
      <c r="L199" s="14"/>
      <c r="M199" s="14"/>
    </row>
    <row r="200" ht="18.75" customHeight="1">
      <c r="A200" s="7" t="s">
        <v>750</v>
      </c>
      <c r="B200" s="7" t="s">
        <v>751</v>
      </c>
      <c r="C200" s="8">
        <v>46071.0</v>
      </c>
      <c r="D200" s="8">
        <v>46071.0</v>
      </c>
      <c r="E200" s="7" t="s">
        <v>473</v>
      </c>
      <c r="F200" s="7" t="s">
        <v>474</v>
      </c>
      <c r="G200" s="7" t="s">
        <v>355</v>
      </c>
      <c r="H200" s="7" t="s">
        <v>355</v>
      </c>
      <c r="I200" s="14"/>
      <c r="J200" s="14"/>
      <c r="K200" s="14"/>
      <c r="L200" s="14"/>
      <c r="M200" s="14"/>
    </row>
    <row r="201" ht="18.75" customHeight="1">
      <c r="A201" s="7" t="s">
        <v>752</v>
      </c>
      <c r="B201" s="7" t="s">
        <v>753</v>
      </c>
      <c r="C201" s="8">
        <v>46071.0</v>
      </c>
      <c r="D201" s="8">
        <v>46071.0</v>
      </c>
      <c r="E201" s="7" t="s">
        <v>353</v>
      </c>
      <c r="F201" s="7" t="s">
        <v>378</v>
      </c>
      <c r="G201" s="7" t="s">
        <v>355</v>
      </c>
      <c r="H201" s="7" t="s">
        <v>355</v>
      </c>
      <c r="I201" s="14"/>
      <c r="J201" s="14"/>
      <c r="K201" s="14"/>
      <c r="L201" s="14"/>
      <c r="M201" s="14"/>
    </row>
    <row r="202" ht="18.75" customHeight="1">
      <c r="A202" s="7" t="s">
        <v>754</v>
      </c>
      <c r="B202" s="7" t="s">
        <v>755</v>
      </c>
      <c r="C202" s="8">
        <v>46090.0</v>
      </c>
      <c r="D202" s="8">
        <v>46112.0</v>
      </c>
      <c r="E202" s="7" t="s">
        <v>353</v>
      </c>
      <c r="F202" s="7" t="s">
        <v>378</v>
      </c>
      <c r="G202" s="7" t="s">
        <v>355</v>
      </c>
      <c r="H202" s="7" t="s">
        <v>355</v>
      </c>
      <c r="I202" s="14"/>
      <c r="J202" s="14"/>
      <c r="K202" s="14"/>
      <c r="L202" s="14"/>
      <c r="M202" s="14"/>
    </row>
    <row r="203" ht="18.75" customHeight="1">
      <c r="A203" s="7" t="s">
        <v>756</v>
      </c>
      <c r="B203" s="7" t="s">
        <v>757</v>
      </c>
      <c r="C203" s="8">
        <v>46066.0</v>
      </c>
      <c r="D203" s="8">
        <v>46070.0</v>
      </c>
      <c r="E203" s="7" t="s">
        <v>364</v>
      </c>
      <c r="F203" s="7" t="s">
        <v>365</v>
      </c>
      <c r="G203" s="7" t="s">
        <v>355</v>
      </c>
      <c r="H203" s="7" t="s">
        <v>355</v>
      </c>
      <c r="I203" s="14"/>
      <c r="J203" s="14"/>
      <c r="K203" s="14"/>
      <c r="L203" s="14"/>
      <c r="M203" s="14"/>
    </row>
    <row r="204" ht="18.75" customHeight="1">
      <c r="A204" s="7" t="s">
        <v>758</v>
      </c>
      <c r="B204" s="7" t="s">
        <v>759</v>
      </c>
      <c r="C204" s="8">
        <v>46072.0</v>
      </c>
      <c r="D204" s="8">
        <v>46095.0</v>
      </c>
      <c r="E204" s="7" t="s">
        <v>404</v>
      </c>
      <c r="F204" s="7" t="s">
        <v>760</v>
      </c>
      <c r="G204" s="7" t="s">
        <v>355</v>
      </c>
      <c r="H204" s="7" t="s">
        <v>355</v>
      </c>
      <c r="I204" s="14"/>
      <c r="J204" s="14"/>
      <c r="K204" s="14"/>
      <c r="L204" s="14"/>
      <c r="M204" s="14"/>
    </row>
    <row r="205" ht="18.75" customHeight="1">
      <c r="A205" s="7" t="s">
        <v>761</v>
      </c>
      <c r="B205" s="7" t="s">
        <v>762</v>
      </c>
      <c r="C205" s="8">
        <v>46083.0</v>
      </c>
      <c r="D205" s="8">
        <v>46112.0</v>
      </c>
      <c r="E205" s="7" t="s">
        <v>404</v>
      </c>
      <c r="F205" s="7" t="s">
        <v>760</v>
      </c>
      <c r="G205" s="7" t="s">
        <v>355</v>
      </c>
      <c r="H205" s="7" t="s">
        <v>355</v>
      </c>
      <c r="I205" s="14"/>
      <c r="J205" s="14"/>
      <c r="K205" s="14"/>
      <c r="L205" s="14"/>
      <c r="M205" s="14"/>
    </row>
    <row r="206" ht="18.75" customHeight="1">
      <c r="A206" s="7" t="s">
        <v>763</v>
      </c>
      <c r="B206" s="7" t="s">
        <v>764</v>
      </c>
      <c r="C206" s="8">
        <v>46066.0</v>
      </c>
      <c r="D206" s="8">
        <v>46069.0</v>
      </c>
      <c r="E206" s="7" t="s">
        <v>364</v>
      </c>
      <c r="F206" s="7" t="s">
        <v>365</v>
      </c>
      <c r="G206" s="7" t="s">
        <v>355</v>
      </c>
      <c r="H206" s="7" t="s">
        <v>355</v>
      </c>
      <c r="I206" s="14"/>
      <c r="J206" s="14"/>
      <c r="K206" s="14"/>
      <c r="L206" s="14"/>
      <c r="M206" s="14"/>
    </row>
    <row r="207" ht="18.75" customHeight="1">
      <c r="A207" s="7" t="s">
        <v>765</v>
      </c>
      <c r="B207" s="7" t="s">
        <v>766</v>
      </c>
      <c r="C207" s="8">
        <v>46067.0</v>
      </c>
      <c r="D207" s="8">
        <v>46067.0</v>
      </c>
      <c r="E207" s="7" t="s">
        <v>364</v>
      </c>
      <c r="F207" s="7" t="s">
        <v>365</v>
      </c>
      <c r="G207" s="7" t="s">
        <v>355</v>
      </c>
      <c r="H207" s="7" t="s">
        <v>355</v>
      </c>
      <c r="I207" s="14"/>
      <c r="J207" s="14"/>
      <c r="K207" s="14"/>
      <c r="L207" s="14"/>
      <c r="M207" s="14"/>
    </row>
    <row r="208" ht="18.75" customHeight="1">
      <c r="A208" s="7" t="s">
        <v>767</v>
      </c>
      <c r="B208" s="7" t="s">
        <v>768</v>
      </c>
      <c r="C208" s="8">
        <v>46071.0</v>
      </c>
      <c r="D208" s="8">
        <v>46112.0</v>
      </c>
      <c r="E208" s="7" t="s">
        <v>358</v>
      </c>
      <c r="F208" s="7" t="s">
        <v>466</v>
      </c>
      <c r="G208" s="7" t="s">
        <v>355</v>
      </c>
      <c r="H208" s="7" t="s">
        <v>355</v>
      </c>
      <c r="I208" s="14"/>
      <c r="J208" s="14"/>
      <c r="K208" s="14"/>
      <c r="L208" s="14"/>
      <c r="M208" s="14"/>
    </row>
    <row r="209" ht="18.75" customHeight="1">
      <c r="A209" s="7" t="s">
        <v>769</v>
      </c>
      <c r="B209" s="7" t="s">
        <v>770</v>
      </c>
      <c r="C209" s="8">
        <v>46076.0</v>
      </c>
      <c r="D209" s="8">
        <v>46093.0</v>
      </c>
      <c r="E209" s="7" t="s">
        <v>404</v>
      </c>
      <c r="F209" s="7" t="s">
        <v>405</v>
      </c>
      <c r="G209" s="7" t="s">
        <v>355</v>
      </c>
      <c r="H209" s="7" t="s">
        <v>355</v>
      </c>
      <c r="I209" s="14"/>
      <c r="J209" s="14"/>
      <c r="K209" s="14"/>
      <c r="L209" s="14"/>
      <c r="M209" s="14"/>
    </row>
    <row r="210" ht="18.75" customHeight="1">
      <c r="A210" s="7" t="s">
        <v>771</v>
      </c>
      <c r="B210" s="7" t="s">
        <v>772</v>
      </c>
      <c r="C210" s="8">
        <v>46077.0</v>
      </c>
      <c r="D210" s="8">
        <v>46077.0</v>
      </c>
      <c r="E210" s="7" t="s">
        <v>416</v>
      </c>
      <c r="F210" s="7" t="s">
        <v>430</v>
      </c>
      <c r="G210" s="7" t="s">
        <v>355</v>
      </c>
      <c r="H210" s="7" t="s">
        <v>355</v>
      </c>
      <c r="I210" s="14"/>
      <c r="J210" s="14"/>
      <c r="K210" s="14"/>
      <c r="L210" s="14"/>
      <c r="M210" s="14"/>
    </row>
    <row r="211" ht="18.75" customHeight="1">
      <c r="A211" s="7" t="s">
        <v>773</v>
      </c>
      <c r="B211" s="7" t="s">
        <v>774</v>
      </c>
      <c r="C211" s="8">
        <v>46085.0</v>
      </c>
      <c r="D211" s="8">
        <v>46112.0</v>
      </c>
      <c r="E211" s="7" t="s">
        <v>404</v>
      </c>
      <c r="F211" s="7" t="s">
        <v>405</v>
      </c>
      <c r="G211" s="7" t="s">
        <v>355</v>
      </c>
      <c r="H211" s="7" t="s">
        <v>355</v>
      </c>
      <c r="I211" s="14"/>
      <c r="J211" s="14"/>
      <c r="K211" s="14"/>
      <c r="L211" s="14"/>
      <c r="M211" s="14"/>
    </row>
    <row r="212" ht="18.75" customHeight="1">
      <c r="A212" s="7" t="s">
        <v>775</v>
      </c>
      <c r="B212" s="7" t="s">
        <v>776</v>
      </c>
      <c r="C212" s="8">
        <v>46071.0</v>
      </c>
      <c r="D212" s="8">
        <v>46072.0</v>
      </c>
      <c r="E212" s="7" t="s">
        <v>358</v>
      </c>
      <c r="F212" s="7" t="s">
        <v>359</v>
      </c>
      <c r="G212" s="7" t="s">
        <v>355</v>
      </c>
      <c r="H212" s="7" t="s">
        <v>355</v>
      </c>
      <c r="I212" s="14"/>
      <c r="J212" s="14"/>
      <c r="K212" s="14"/>
      <c r="L212" s="14"/>
      <c r="M212" s="14"/>
    </row>
    <row r="213" ht="18.75" customHeight="1">
      <c r="A213" s="7" t="s">
        <v>777</v>
      </c>
      <c r="B213" s="7" t="s">
        <v>778</v>
      </c>
      <c r="C213" s="8">
        <v>46078.0</v>
      </c>
      <c r="D213" s="8">
        <v>46112.0</v>
      </c>
      <c r="E213" s="7" t="s">
        <v>353</v>
      </c>
      <c r="F213" s="7" t="s">
        <v>725</v>
      </c>
      <c r="G213" s="7" t="s">
        <v>355</v>
      </c>
      <c r="H213" s="7" t="s">
        <v>355</v>
      </c>
      <c r="I213" s="14"/>
      <c r="J213" s="14"/>
      <c r="K213" s="14"/>
      <c r="L213" s="14"/>
      <c r="M213" s="14"/>
    </row>
    <row r="214" ht="18.75" customHeight="1">
      <c r="A214" s="7" t="s">
        <v>779</v>
      </c>
      <c r="B214" s="7" t="s">
        <v>780</v>
      </c>
      <c r="C214" s="8">
        <v>46071.0</v>
      </c>
      <c r="D214" s="8">
        <v>46090.0</v>
      </c>
      <c r="E214" s="7" t="s">
        <v>416</v>
      </c>
      <c r="F214" s="7" t="s">
        <v>354</v>
      </c>
      <c r="G214" s="7" t="s">
        <v>355</v>
      </c>
      <c r="H214" s="7" t="s">
        <v>355</v>
      </c>
      <c r="I214" s="14"/>
      <c r="J214" s="14"/>
      <c r="K214" s="14"/>
      <c r="L214" s="14"/>
      <c r="M214" s="14"/>
    </row>
    <row r="215" ht="18.75" customHeight="1">
      <c r="A215" s="7" t="s">
        <v>781</v>
      </c>
      <c r="B215" s="7" t="s">
        <v>782</v>
      </c>
      <c r="C215" s="8">
        <v>46073.0</v>
      </c>
      <c r="D215" s="8">
        <v>46076.0</v>
      </c>
      <c r="E215" s="7" t="s">
        <v>416</v>
      </c>
      <c r="F215" s="7" t="s">
        <v>783</v>
      </c>
      <c r="G215" s="7" t="s">
        <v>355</v>
      </c>
      <c r="H215" s="7" t="s">
        <v>355</v>
      </c>
      <c r="I215" s="14"/>
      <c r="J215" s="14"/>
      <c r="K215" s="14"/>
      <c r="L215" s="14"/>
      <c r="M215" s="14"/>
    </row>
    <row r="216" ht="18.75" customHeight="1">
      <c r="A216" s="7" t="s">
        <v>784</v>
      </c>
      <c r="B216" s="7" t="s">
        <v>785</v>
      </c>
      <c r="C216" s="8">
        <v>46076.0</v>
      </c>
      <c r="D216" s="8">
        <v>46080.0</v>
      </c>
      <c r="E216" s="7" t="s">
        <v>416</v>
      </c>
      <c r="F216" s="7" t="s">
        <v>378</v>
      </c>
      <c r="G216" s="7" t="s">
        <v>355</v>
      </c>
      <c r="H216" s="7" t="s">
        <v>355</v>
      </c>
      <c r="I216" s="14"/>
      <c r="J216" s="14"/>
      <c r="K216" s="14"/>
      <c r="L216" s="14"/>
      <c r="M216" s="14"/>
    </row>
    <row r="217" ht="18.75" customHeight="1">
      <c r="A217" s="7" t="s">
        <v>786</v>
      </c>
      <c r="B217" s="7" t="s">
        <v>787</v>
      </c>
      <c r="C217" s="8">
        <v>46072.0</v>
      </c>
      <c r="D217" s="8">
        <v>46078.0</v>
      </c>
      <c r="E217" s="7" t="s">
        <v>416</v>
      </c>
      <c r="F217" s="7" t="s">
        <v>667</v>
      </c>
      <c r="G217" s="7" t="s">
        <v>355</v>
      </c>
      <c r="H217" s="7" t="s">
        <v>355</v>
      </c>
      <c r="I217" s="14"/>
      <c r="J217" s="14"/>
      <c r="K217" s="14"/>
      <c r="L217" s="14"/>
      <c r="M217" s="14"/>
    </row>
    <row r="218" ht="18.75" customHeight="1">
      <c r="A218" s="7" t="s">
        <v>788</v>
      </c>
      <c r="B218" s="7" t="s">
        <v>789</v>
      </c>
      <c r="C218" s="8">
        <v>46073.0</v>
      </c>
      <c r="D218" s="8">
        <v>46079.0</v>
      </c>
      <c r="E218" s="7" t="s">
        <v>416</v>
      </c>
      <c r="F218" s="7" t="s">
        <v>594</v>
      </c>
      <c r="G218" s="7" t="s">
        <v>355</v>
      </c>
      <c r="H218" s="7" t="s">
        <v>355</v>
      </c>
      <c r="I218" s="14"/>
      <c r="J218" s="14"/>
      <c r="K218" s="14"/>
      <c r="L218" s="14"/>
      <c r="M218" s="14"/>
    </row>
    <row r="219" ht="18.75" customHeight="1">
      <c r="A219" s="7" t="s">
        <v>790</v>
      </c>
      <c r="B219" s="7" t="s">
        <v>791</v>
      </c>
      <c r="C219" s="8">
        <v>46072.0</v>
      </c>
      <c r="D219" s="8">
        <v>46079.0</v>
      </c>
      <c r="E219" s="7" t="s">
        <v>404</v>
      </c>
      <c r="F219" s="7" t="s">
        <v>405</v>
      </c>
      <c r="G219" s="7" t="s">
        <v>355</v>
      </c>
      <c r="H219" s="7" t="s">
        <v>355</v>
      </c>
      <c r="I219" s="14"/>
      <c r="J219" s="14"/>
      <c r="K219" s="14"/>
      <c r="L219" s="14"/>
      <c r="M219" s="14"/>
    </row>
    <row r="220" ht="18.75" customHeight="1">
      <c r="A220" s="7" t="s">
        <v>792</v>
      </c>
      <c r="B220" s="7" t="s">
        <v>793</v>
      </c>
      <c r="C220" s="8">
        <v>46076.0</v>
      </c>
      <c r="D220" s="8">
        <v>46090.0</v>
      </c>
      <c r="E220" s="7" t="s">
        <v>364</v>
      </c>
      <c r="F220" s="7" t="s">
        <v>365</v>
      </c>
      <c r="G220" s="7" t="s">
        <v>355</v>
      </c>
      <c r="H220" s="7" t="s">
        <v>355</v>
      </c>
      <c r="I220" s="14"/>
      <c r="J220" s="14"/>
      <c r="K220" s="14"/>
      <c r="L220" s="14"/>
      <c r="M220" s="14"/>
    </row>
    <row r="221" ht="18.75" customHeight="1">
      <c r="A221" s="7" t="s">
        <v>794</v>
      </c>
      <c r="B221" s="7" t="s">
        <v>795</v>
      </c>
      <c r="C221" s="8">
        <v>46076.0</v>
      </c>
      <c r="D221" s="8">
        <v>46080.0</v>
      </c>
      <c r="E221" s="7" t="s">
        <v>416</v>
      </c>
      <c r="F221" s="7" t="s">
        <v>466</v>
      </c>
      <c r="G221" s="7" t="s">
        <v>355</v>
      </c>
      <c r="H221" s="7" t="s">
        <v>355</v>
      </c>
      <c r="I221" s="14"/>
      <c r="J221" s="14"/>
      <c r="K221" s="14"/>
      <c r="L221" s="14"/>
      <c r="M221" s="14"/>
    </row>
    <row r="222" ht="18.75" customHeight="1">
      <c r="A222" s="7" t="s">
        <v>796</v>
      </c>
      <c r="B222" s="7" t="s">
        <v>797</v>
      </c>
      <c r="C222" s="8">
        <v>46076.0</v>
      </c>
      <c r="D222" s="8">
        <v>46080.0</v>
      </c>
      <c r="E222" s="7" t="s">
        <v>416</v>
      </c>
      <c r="F222" s="7" t="s">
        <v>466</v>
      </c>
      <c r="G222" s="7" t="s">
        <v>355</v>
      </c>
      <c r="H222" s="7" t="s">
        <v>355</v>
      </c>
      <c r="I222" s="14"/>
      <c r="J222" s="14"/>
      <c r="K222" s="14"/>
      <c r="L222" s="14"/>
      <c r="M222" s="14"/>
    </row>
    <row r="223" ht="18.75" customHeight="1">
      <c r="A223" s="7" t="s">
        <v>798</v>
      </c>
      <c r="B223" s="7" t="s">
        <v>799</v>
      </c>
      <c r="C223" s="8">
        <v>46076.0</v>
      </c>
      <c r="D223" s="8">
        <v>46080.0</v>
      </c>
      <c r="E223" s="7" t="s">
        <v>416</v>
      </c>
      <c r="F223" s="7" t="s">
        <v>466</v>
      </c>
      <c r="G223" s="7" t="s">
        <v>355</v>
      </c>
      <c r="H223" s="7" t="s">
        <v>355</v>
      </c>
      <c r="I223" s="14"/>
      <c r="J223" s="14"/>
      <c r="K223" s="14"/>
      <c r="L223" s="14"/>
      <c r="M223" s="14"/>
    </row>
    <row r="224" ht="18.75" customHeight="1">
      <c r="A224" s="7" t="s">
        <v>800</v>
      </c>
      <c r="B224" s="7" t="s">
        <v>801</v>
      </c>
      <c r="C224" s="8">
        <v>46076.0</v>
      </c>
      <c r="D224" s="8">
        <v>46080.0</v>
      </c>
      <c r="E224" s="7" t="s">
        <v>416</v>
      </c>
      <c r="F224" s="7" t="s">
        <v>466</v>
      </c>
      <c r="G224" s="7" t="s">
        <v>355</v>
      </c>
      <c r="H224" s="7" t="s">
        <v>355</v>
      </c>
      <c r="I224" s="14"/>
      <c r="J224" s="14"/>
      <c r="K224" s="14"/>
      <c r="L224" s="14"/>
      <c r="M224" s="14"/>
    </row>
    <row r="225" ht="18.75" customHeight="1">
      <c r="A225" s="7" t="s">
        <v>802</v>
      </c>
      <c r="B225" s="7" t="s">
        <v>803</v>
      </c>
      <c r="C225" s="8">
        <v>46073.0</v>
      </c>
      <c r="D225" s="8">
        <v>46097.0</v>
      </c>
      <c r="E225" s="7" t="s">
        <v>416</v>
      </c>
      <c r="F225" s="7" t="s">
        <v>417</v>
      </c>
      <c r="G225" s="7" t="s">
        <v>355</v>
      </c>
      <c r="H225" s="7" t="s">
        <v>355</v>
      </c>
      <c r="I225" s="14"/>
      <c r="J225" s="14"/>
      <c r="K225" s="14"/>
      <c r="L225" s="14"/>
      <c r="M225" s="14"/>
    </row>
    <row r="226" ht="18.75" customHeight="1">
      <c r="A226" s="7" t="s">
        <v>804</v>
      </c>
      <c r="B226" s="7" t="s">
        <v>805</v>
      </c>
      <c r="C226" s="8">
        <v>46078.0</v>
      </c>
      <c r="D226" s="8">
        <v>46083.0</v>
      </c>
      <c r="E226" s="7" t="s">
        <v>416</v>
      </c>
      <c r="F226" s="7" t="s">
        <v>594</v>
      </c>
      <c r="G226" s="7" t="s">
        <v>355</v>
      </c>
      <c r="H226" s="7" t="s">
        <v>355</v>
      </c>
      <c r="I226" s="14"/>
      <c r="J226" s="14"/>
      <c r="K226" s="14"/>
      <c r="L226" s="14"/>
      <c r="M226" s="14"/>
    </row>
    <row r="227" ht="18.75" customHeight="1">
      <c r="A227" s="7" t="s">
        <v>806</v>
      </c>
      <c r="B227" s="7" t="s">
        <v>807</v>
      </c>
      <c r="C227" s="8">
        <v>46076.0</v>
      </c>
      <c r="D227" s="8">
        <v>46076.0</v>
      </c>
      <c r="E227" s="7" t="s">
        <v>358</v>
      </c>
      <c r="F227" s="7" t="s">
        <v>808</v>
      </c>
      <c r="G227" s="7" t="s">
        <v>355</v>
      </c>
      <c r="H227" s="7" t="s">
        <v>355</v>
      </c>
      <c r="I227" s="14"/>
      <c r="J227" s="14"/>
      <c r="K227" s="14"/>
      <c r="L227" s="14"/>
      <c r="M227" s="14"/>
    </row>
    <row r="228" ht="18.75" customHeight="1">
      <c r="A228" s="7" t="s">
        <v>809</v>
      </c>
      <c r="B228" s="7" t="s">
        <v>810</v>
      </c>
      <c r="C228" s="8">
        <v>46079.0</v>
      </c>
      <c r="D228" s="8">
        <v>46079.0</v>
      </c>
      <c r="E228" s="7" t="s">
        <v>358</v>
      </c>
      <c r="F228" s="7" t="s">
        <v>387</v>
      </c>
      <c r="G228" s="7" t="s">
        <v>355</v>
      </c>
      <c r="H228" s="7" t="s">
        <v>355</v>
      </c>
      <c r="I228" s="14"/>
      <c r="J228" s="14"/>
      <c r="K228" s="14"/>
      <c r="L228" s="14"/>
      <c r="M228" s="14"/>
    </row>
    <row r="229" ht="18.75" customHeight="1">
      <c r="A229" s="7" t="s">
        <v>811</v>
      </c>
      <c r="B229" s="7" t="s">
        <v>812</v>
      </c>
      <c r="C229" s="8">
        <v>46083.0</v>
      </c>
      <c r="D229" s="8">
        <v>46083.0</v>
      </c>
      <c r="E229" s="7" t="s">
        <v>358</v>
      </c>
      <c r="F229" s="7" t="s">
        <v>387</v>
      </c>
      <c r="G229" s="7" t="s">
        <v>355</v>
      </c>
      <c r="H229" s="7" t="s">
        <v>355</v>
      </c>
      <c r="I229" s="14"/>
      <c r="J229" s="14"/>
      <c r="K229" s="14"/>
      <c r="L229" s="14"/>
      <c r="M229" s="14"/>
    </row>
    <row r="230" ht="18.75" customHeight="1">
      <c r="A230" s="7" t="s">
        <v>813</v>
      </c>
      <c r="B230" s="7" t="s">
        <v>814</v>
      </c>
      <c r="C230" s="8">
        <v>46084.0</v>
      </c>
      <c r="D230" s="8">
        <v>46084.0</v>
      </c>
      <c r="E230" s="7" t="s">
        <v>358</v>
      </c>
      <c r="F230" s="7" t="s">
        <v>387</v>
      </c>
      <c r="G230" s="7" t="s">
        <v>355</v>
      </c>
      <c r="H230" s="7" t="s">
        <v>355</v>
      </c>
      <c r="I230" s="14"/>
      <c r="J230" s="14"/>
      <c r="K230" s="14"/>
      <c r="L230" s="14"/>
      <c r="M230" s="14"/>
    </row>
    <row r="231" ht="18.75" customHeight="1">
      <c r="A231" s="7" t="s">
        <v>815</v>
      </c>
      <c r="B231" s="7" t="s">
        <v>816</v>
      </c>
      <c r="C231" s="8">
        <v>46080.0</v>
      </c>
      <c r="D231" s="8">
        <v>46087.0</v>
      </c>
      <c r="E231" s="7" t="s">
        <v>404</v>
      </c>
      <c r="F231" s="7" t="s">
        <v>783</v>
      </c>
      <c r="G231" s="7" t="s">
        <v>355</v>
      </c>
      <c r="H231" s="7" t="s">
        <v>355</v>
      </c>
      <c r="I231" s="14"/>
      <c r="J231" s="14"/>
      <c r="K231" s="14"/>
      <c r="L231" s="14"/>
      <c r="M231" s="14"/>
    </row>
    <row r="232" ht="18.75" customHeight="1">
      <c r="A232" s="7" t="s">
        <v>817</v>
      </c>
      <c r="B232" s="7" t="s">
        <v>818</v>
      </c>
      <c r="C232" s="8">
        <v>46077.0</v>
      </c>
      <c r="D232" s="8">
        <v>46112.0</v>
      </c>
      <c r="E232" s="7" t="s">
        <v>364</v>
      </c>
      <c r="F232" s="7" t="s">
        <v>365</v>
      </c>
      <c r="G232" s="7" t="s">
        <v>355</v>
      </c>
      <c r="H232" s="7" t="s">
        <v>355</v>
      </c>
      <c r="I232" s="14"/>
      <c r="J232" s="14"/>
      <c r="K232" s="14"/>
      <c r="L232" s="14"/>
      <c r="M232" s="14"/>
    </row>
    <row r="233" ht="18.75" customHeight="1">
      <c r="A233" s="7" t="s">
        <v>819</v>
      </c>
      <c r="B233" s="7" t="s">
        <v>820</v>
      </c>
      <c r="C233" s="8">
        <v>46080.0</v>
      </c>
      <c r="D233" s="8">
        <v>46094.0</v>
      </c>
      <c r="E233" s="7" t="s">
        <v>364</v>
      </c>
      <c r="F233" s="7" t="s">
        <v>365</v>
      </c>
      <c r="G233" s="7" t="s">
        <v>355</v>
      </c>
      <c r="H233" s="7" t="s">
        <v>355</v>
      </c>
      <c r="I233" s="14"/>
      <c r="J233" s="14"/>
      <c r="K233" s="14"/>
      <c r="L233" s="14"/>
      <c r="M233" s="14"/>
    </row>
    <row r="234" ht="18.75" customHeight="1">
      <c r="A234" s="7" t="s">
        <v>821</v>
      </c>
      <c r="B234" s="7" t="s">
        <v>822</v>
      </c>
      <c r="C234" s="8">
        <v>46077.0</v>
      </c>
      <c r="D234" s="8">
        <v>46081.0</v>
      </c>
      <c r="E234" s="7" t="s">
        <v>416</v>
      </c>
      <c r="F234" s="7" t="s">
        <v>725</v>
      </c>
      <c r="G234" s="7" t="s">
        <v>355</v>
      </c>
      <c r="H234" s="7" t="s">
        <v>355</v>
      </c>
      <c r="I234" s="14"/>
      <c r="J234" s="14"/>
      <c r="K234" s="14"/>
      <c r="L234" s="14"/>
      <c r="M234" s="14"/>
    </row>
    <row r="235" ht="18.75" customHeight="1">
      <c r="A235" s="7" t="s">
        <v>823</v>
      </c>
      <c r="B235" s="7" t="s">
        <v>824</v>
      </c>
      <c r="C235" s="8">
        <v>46080.0</v>
      </c>
      <c r="D235" s="8">
        <v>46080.0</v>
      </c>
      <c r="E235" s="7" t="s">
        <v>416</v>
      </c>
      <c r="F235" s="7" t="s">
        <v>430</v>
      </c>
      <c r="G235" s="7" t="s">
        <v>355</v>
      </c>
      <c r="H235" s="7" t="s">
        <v>355</v>
      </c>
      <c r="I235" s="14"/>
      <c r="J235" s="14"/>
      <c r="K235" s="14"/>
      <c r="L235" s="14"/>
      <c r="M235" s="14"/>
    </row>
    <row r="236" ht="18.75" customHeight="1">
      <c r="A236" s="7" t="s">
        <v>825</v>
      </c>
      <c r="B236" s="7" t="s">
        <v>826</v>
      </c>
      <c r="C236" s="8">
        <v>46084.0</v>
      </c>
      <c r="D236" s="8">
        <v>46084.0</v>
      </c>
      <c r="E236" s="7" t="s">
        <v>416</v>
      </c>
      <c r="F236" s="7" t="s">
        <v>430</v>
      </c>
      <c r="G236" s="7" t="s">
        <v>355</v>
      </c>
      <c r="H236" s="7" t="s">
        <v>355</v>
      </c>
      <c r="I236" s="14"/>
      <c r="J236" s="14"/>
      <c r="K236" s="14"/>
      <c r="L236" s="14"/>
      <c r="M236" s="14"/>
    </row>
    <row r="237" ht="18.75" customHeight="1">
      <c r="A237" s="7" t="s">
        <v>2141</v>
      </c>
      <c r="B237" s="7" t="s">
        <v>2142</v>
      </c>
      <c r="C237" s="14"/>
      <c r="D237" s="14"/>
      <c r="E237" s="7" t="s">
        <v>416</v>
      </c>
      <c r="F237" s="7" t="s">
        <v>430</v>
      </c>
      <c r="G237" s="7" t="s">
        <v>2120</v>
      </c>
      <c r="H237" s="7" t="s">
        <v>355</v>
      </c>
      <c r="I237" s="14"/>
      <c r="J237" s="14"/>
      <c r="K237" s="14"/>
      <c r="L237" s="14"/>
      <c r="M237" s="14"/>
    </row>
    <row r="238" ht="18.75" customHeight="1">
      <c r="A238" s="7" t="s">
        <v>827</v>
      </c>
      <c r="B238" s="7" t="s">
        <v>828</v>
      </c>
      <c r="C238" s="8">
        <v>46080.0</v>
      </c>
      <c r="D238" s="8">
        <v>46080.0</v>
      </c>
      <c r="E238" s="7" t="s">
        <v>358</v>
      </c>
      <c r="F238" s="7" t="s">
        <v>387</v>
      </c>
      <c r="G238" s="7" t="s">
        <v>355</v>
      </c>
      <c r="H238" s="7" t="s">
        <v>355</v>
      </c>
      <c r="I238" s="14"/>
      <c r="J238" s="14"/>
      <c r="K238" s="14"/>
      <c r="L238" s="14"/>
      <c r="M238" s="14"/>
    </row>
    <row r="239" ht="18.75" customHeight="1">
      <c r="A239" s="7" t="s">
        <v>829</v>
      </c>
      <c r="B239" s="7" t="s">
        <v>830</v>
      </c>
      <c r="C239" s="8">
        <v>46080.0</v>
      </c>
      <c r="D239" s="8">
        <v>46112.0</v>
      </c>
      <c r="E239" s="7" t="s">
        <v>364</v>
      </c>
      <c r="F239" s="7" t="s">
        <v>365</v>
      </c>
      <c r="G239" s="7" t="s">
        <v>355</v>
      </c>
      <c r="H239" s="7" t="s">
        <v>355</v>
      </c>
      <c r="I239" s="14"/>
      <c r="J239" s="14"/>
      <c r="K239" s="14"/>
      <c r="L239" s="14"/>
      <c r="M239" s="14"/>
    </row>
    <row r="240" ht="18.75" customHeight="1">
      <c r="A240" s="7" t="s">
        <v>831</v>
      </c>
      <c r="B240" s="7" t="s">
        <v>832</v>
      </c>
      <c r="C240" s="8">
        <v>46126.0</v>
      </c>
      <c r="D240" s="8">
        <v>46142.0</v>
      </c>
      <c r="E240" s="7" t="s">
        <v>353</v>
      </c>
      <c r="F240" s="7" t="s">
        <v>833</v>
      </c>
      <c r="G240" s="7" t="s">
        <v>355</v>
      </c>
      <c r="H240" s="7" t="s">
        <v>355</v>
      </c>
      <c r="I240" s="14"/>
      <c r="J240" s="14"/>
      <c r="K240" s="14"/>
      <c r="L240" s="14"/>
      <c r="M240" s="14"/>
    </row>
    <row r="241" ht="18.75" customHeight="1">
      <c r="A241" s="7" t="s">
        <v>834</v>
      </c>
      <c r="B241" s="7" t="s">
        <v>835</v>
      </c>
      <c r="C241" s="8">
        <v>46098.0</v>
      </c>
      <c r="D241" s="8">
        <v>46117.0</v>
      </c>
      <c r="E241" s="7" t="s">
        <v>404</v>
      </c>
      <c r="F241" s="7" t="s">
        <v>405</v>
      </c>
      <c r="G241" s="7" t="s">
        <v>355</v>
      </c>
      <c r="H241" s="7" t="s">
        <v>355</v>
      </c>
      <c r="I241" s="14"/>
      <c r="J241" s="14"/>
      <c r="K241" s="14"/>
      <c r="L241" s="14"/>
      <c r="M241" s="14"/>
    </row>
    <row r="242" ht="18.75" customHeight="1">
      <c r="A242" s="7" t="s">
        <v>836</v>
      </c>
      <c r="B242" s="7" t="s">
        <v>837</v>
      </c>
      <c r="C242" s="8">
        <v>46080.0</v>
      </c>
      <c r="D242" s="8">
        <v>46097.0</v>
      </c>
      <c r="E242" s="7" t="s">
        <v>416</v>
      </c>
      <c r="F242" s="7" t="s">
        <v>417</v>
      </c>
      <c r="G242" s="7" t="s">
        <v>355</v>
      </c>
      <c r="H242" s="7" t="s">
        <v>355</v>
      </c>
      <c r="I242" s="14"/>
      <c r="J242" s="14"/>
      <c r="K242" s="14"/>
      <c r="L242" s="14"/>
      <c r="M242" s="14"/>
    </row>
    <row r="243" ht="18.75" customHeight="1">
      <c r="A243" s="7" t="s">
        <v>838</v>
      </c>
      <c r="B243" s="7" t="s">
        <v>839</v>
      </c>
      <c r="C243" s="8">
        <v>46080.0</v>
      </c>
      <c r="D243" s="8">
        <v>46084.0</v>
      </c>
      <c r="E243" s="7" t="s">
        <v>416</v>
      </c>
      <c r="F243" s="7" t="s">
        <v>365</v>
      </c>
      <c r="G243" s="7" t="s">
        <v>355</v>
      </c>
      <c r="H243" s="7" t="s">
        <v>355</v>
      </c>
      <c r="I243" s="14"/>
      <c r="J243" s="14"/>
      <c r="K243" s="14"/>
      <c r="L243" s="14"/>
      <c r="M243" s="14"/>
    </row>
    <row r="244" ht="18.75" customHeight="1">
      <c r="A244" s="7" t="s">
        <v>840</v>
      </c>
      <c r="B244" s="7" t="s">
        <v>841</v>
      </c>
      <c r="C244" s="8">
        <v>46080.0</v>
      </c>
      <c r="D244" s="8">
        <v>46083.0</v>
      </c>
      <c r="E244" s="7" t="s">
        <v>416</v>
      </c>
      <c r="F244" s="7" t="s">
        <v>387</v>
      </c>
      <c r="G244" s="7" t="s">
        <v>355</v>
      </c>
      <c r="H244" s="7" t="s">
        <v>355</v>
      </c>
      <c r="I244" s="14"/>
      <c r="J244" s="14"/>
      <c r="K244" s="14"/>
      <c r="L244" s="14"/>
      <c r="M244" s="14"/>
    </row>
    <row r="245" ht="18.75" customHeight="1">
      <c r="A245" s="7" t="s">
        <v>842</v>
      </c>
      <c r="B245" s="7" t="s">
        <v>843</v>
      </c>
      <c r="C245" s="8">
        <v>46079.0</v>
      </c>
      <c r="D245" s="8">
        <v>46085.0</v>
      </c>
      <c r="E245" s="7" t="s">
        <v>416</v>
      </c>
      <c r="F245" s="7" t="s">
        <v>594</v>
      </c>
      <c r="G245" s="7" t="s">
        <v>355</v>
      </c>
      <c r="H245" s="7" t="s">
        <v>355</v>
      </c>
      <c r="I245" s="14"/>
      <c r="J245" s="14"/>
      <c r="K245" s="14"/>
      <c r="L245" s="14"/>
      <c r="M245" s="14"/>
    </row>
    <row r="246" ht="18.75" customHeight="1">
      <c r="A246" s="7" t="s">
        <v>844</v>
      </c>
      <c r="B246" s="7" t="s">
        <v>845</v>
      </c>
      <c r="C246" s="8">
        <v>46079.0</v>
      </c>
      <c r="D246" s="8">
        <v>46086.0</v>
      </c>
      <c r="E246" s="7" t="s">
        <v>416</v>
      </c>
      <c r="F246" s="7" t="s">
        <v>359</v>
      </c>
      <c r="G246" s="7" t="s">
        <v>355</v>
      </c>
      <c r="H246" s="7" t="s">
        <v>355</v>
      </c>
      <c r="I246" s="14"/>
      <c r="J246" s="14"/>
      <c r="K246" s="14"/>
      <c r="L246" s="14"/>
      <c r="M246" s="14"/>
    </row>
    <row r="247" ht="18.75" customHeight="1">
      <c r="A247" s="7" t="s">
        <v>846</v>
      </c>
      <c r="B247" s="7" t="s">
        <v>847</v>
      </c>
      <c r="C247" s="8">
        <v>46080.0</v>
      </c>
      <c r="D247" s="8">
        <v>46080.0</v>
      </c>
      <c r="E247" s="7" t="s">
        <v>404</v>
      </c>
      <c r="F247" s="7" t="s">
        <v>405</v>
      </c>
      <c r="G247" s="7" t="s">
        <v>355</v>
      </c>
      <c r="H247" s="7" t="s">
        <v>355</v>
      </c>
      <c r="I247" s="14"/>
      <c r="J247" s="14"/>
      <c r="K247" s="14"/>
      <c r="L247" s="14"/>
      <c r="M247" s="14"/>
    </row>
    <row r="248" ht="18.75" customHeight="1">
      <c r="A248" s="7" t="s">
        <v>848</v>
      </c>
      <c r="B248" s="7" t="s">
        <v>849</v>
      </c>
      <c r="C248" s="8">
        <v>46083.0</v>
      </c>
      <c r="D248" s="8">
        <v>46092.0</v>
      </c>
      <c r="E248" s="7" t="s">
        <v>416</v>
      </c>
      <c r="F248" s="7" t="s">
        <v>466</v>
      </c>
      <c r="G248" s="7" t="s">
        <v>355</v>
      </c>
      <c r="H248" s="7" t="s">
        <v>355</v>
      </c>
      <c r="I248" s="14"/>
      <c r="J248" s="14"/>
      <c r="K248" s="14"/>
      <c r="L248" s="14"/>
      <c r="M248" s="14"/>
    </row>
    <row r="249" ht="18.75" customHeight="1">
      <c r="A249" s="7" t="s">
        <v>850</v>
      </c>
      <c r="B249" s="7" t="s">
        <v>851</v>
      </c>
      <c r="C249" s="8">
        <v>46083.0</v>
      </c>
      <c r="D249" s="8">
        <v>46087.0</v>
      </c>
      <c r="E249" s="7" t="s">
        <v>416</v>
      </c>
      <c r="F249" s="7" t="s">
        <v>466</v>
      </c>
      <c r="G249" s="7" t="s">
        <v>355</v>
      </c>
      <c r="H249" s="7" t="s">
        <v>355</v>
      </c>
      <c r="I249" s="14"/>
      <c r="J249" s="14"/>
      <c r="K249" s="14"/>
      <c r="L249" s="14"/>
      <c r="M249" s="14"/>
    </row>
    <row r="250" ht="18.75" customHeight="1">
      <c r="A250" s="7" t="s">
        <v>852</v>
      </c>
      <c r="B250" s="7" t="s">
        <v>853</v>
      </c>
      <c r="C250" s="8">
        <v>46083.0</v>
      </c>
      <c r="D250" s="8">
        <v>46090.0</v>
      </c>
      <c r="E250" s="7" t="s">
        <v>416</v>
      </c>
      <c r="F250" s="7" t="s">
        <v>466</v>
      </c>
      <c r="G250" s="7" t="s">
        <v>355</v>
      </c>
      <c r="H250" s="7" t="s">
        <v>355</v>
      </c>
      <c r="I250" s="14"/>
      <c r="J250" s="14"/>
      <c r="K250" s="14"/>
      <c r="L250" s="14"/>
      <c r="M250" s="14"/>
    </row>
    <row r="251" ht="18.75" customHeight="1">
      <c r="A251" s="7" t="s">
        <v>854</v>
      </c>
      <c r="B251" s="7" t="s">
        <v>855</v>
      </c>
      <c r="C251" s="8">
        <v>46083.0</v>
      </c>
      <c r="D251" s="8">
        <v>46087.0</v>
      </c>
      <c r="E251" s="7" t="s">
        <v>416</v>
      </c>
      <c r="F251" s="7" t="s">
        <v>466</v>
      </c>
      <c r="G251" s="7" t="s">
        <v>355</v>
      </c>
      <c r="H251" s="7" t="s">
        <v>355</v>
      </c>
      <c r="I251" s="14"/>
      <c r="J251" s="14"/>
      <c r="K251" s="14"/>
      <c r="L251" s="14"/>
      <c r="M251" s="14"/>
    </row>
    <row r="252" ht="18.75" customHeight="1">
      <c r="A252" s="7" t="s">
        <v>856</v>
      </c>
      <c r="B252" s="7" t="s">
        <v>857</v>
      </c>
      <c r="C252" s="8">
        <v>46092.0</v>
      </c>
      <c r="D252" s="8">
        <v>46204.0</v>
      </c>
      <c r="E252" s="7" t="s">
        <v>364</v>
      </c>
      <c r="F252" s="7" t="s">
        <v>365</v>
      </c>
      <c r="G252" s="7" t="s">
        <v>355</v>
      </c>
      <c r="H252" s="7" t="s">
        <v>355</v>
      </c>
      <c r="I252" s="14"/>
      <c r="J252" s="14"/>
      <c r="K252" s="14"/>
      <c r="L252" s="14"/>
      <c r="M252" s="14"/>
    </row>
    <row r="253" ht="18.75" customHeight="1">
      <c r="A253" s="7" t="s">
        <v>858</v>
      </c>
      <c r="B253" s="7" t="s">
        <v>859</v>
      </c>
      <c r="C253" s="8">
        <v>46083.0</v>
      </c>
      <c r="D253" s="8">
        <v>46090.0</v>
      </c>
      <c r="E253" s="7" t="s">
        <v>416</v>
      </c>
      <c r="F253" s="7" t="s">
        <v>725</v>
      </c>
      <c r="G253" s="7" t="s">
        <v>355</v>
      </c>
      <c r="H253" s="7" t="s">
        <v>355</v>
      </c>
      <c r="I253" s="14"/>
      <c r="J253" s="14"/>
      <c r="K253" s="14"/>
      <c r="L253" s="14"/>
      <c r="M253" s="14"/>
    </row>
    <row r="254" ht="18.75" customHeight="1">
      <c r="A254" s="7" t="s">
        <v>860</v>
      </c>
      <c r="B254" s="7" t="s">
        <v>861</v>
      </c>
      <c r="C254" s="8">
        <v>46087.0</v>
      </c>
      <c r="D254" s="8">
        <v>46093.0</v>
      </c>
      <c r="E254" s="7" t="s">
        <v>416</v>
      </c>
      <c r="F254" s="7" t="s">
        <v>430</v>
      </c>
      <c r="G254" s="7" t="s">
        <v>355</v>
      </c>
      <c r="H254" s="7" t="s">
        <v>355</v>
      </c>
      <c r="I254" s="14"/>
      <c r="J254" s="14"/>
      <c r="K254" s="14"/>
      <c r="L254" s="14"/>
      <c r="M254" s="14"/>
    </row>
    <row r="255" ht="18.75" customHeight="1">
      <c r="A255" s="7" t="s">
        <v>862</v>
      </c>
      <c r="B255" s="7" t="s">
        <v>863</v>
      </c>
      <c r="C255" s="8">
        <v>46087.0</v>
      </c>
      <c r="D255" s="8">
        <v>46087.0</v>
      </c>
      <c r="E255" s="7" t="s">
        <v>416</v>
      </c>
      <c r="F255" s="7" t="s">
        <v>430</v>
      </c>
      <c r="G255" s="7" t="s">
        <v>355</v>
      </c>
      <c r="H255" s="7" t="s">
        <v>355</v>
      </c>
      <c r="I255" s="14"/>
      <c r="J255" s="14"/>
      <c r="K255" s="14"/>
      <c r="L255" s="14"/>
      <c r="M255" s="14"/>
    </row>
    <row r="256" ht="18.75" customHeight="1">
      <c r="A256" s="7" t="s">
        <v>864</v>
      </c>
      <c r="B256" s="7" t="s">
        <v>865</v>
      </c>
      <c r="C256" s="8">
        <v>46086.0</v>
      </c>
      <c r="D256" s="8">
        <v>46086.0</v>
      </c>
      <c r="E256" s="7" t="s">
        <v>364</v>
      </c>
      <c r="F256" s="7" t="s">
        <v>365</v>
      </c>
      <c r="G256" s="7" t="s">
        <v>355</v>
      </c>
      <c r="H256" s="7" t="s">
        <v>355</v>
      </c>
      <c r="I256" s="14"/>
      <c r="J256" s="14"/>
      <c r="K256" s="14"/>
      <c r="L256" s="14"/>
      <c r="M256" s="14"/>
    </row>
    <row r="257" ht="18.75" customHeight="1">
      <c r="A257" s="7" t="s">
        <v>866</v>
      </c>
      <c r="B257" s="7" t="s">
        <v>867</v>
      </c>
      <c r="C257" s="8">
        <v>46084.0</v>
      </c>
      <c r="D257" s="8">
        <v>46090.0</v>
      </c>
      <c r="E257" s="7" t="s">
        <v>416</v>
      </c>
      <c r="F257" s="7" t="s">
        <v>594</v>
      </c>
      <c r="G257" s="7" t="s">
        <v>355</v>
      </c>
      <c r="H257" s="7" t="s">
        <v>355</v>
      </c>
      <c r="I257" s="14"/>
      <c r="J257" s="14"/>
      <c r="K257" s="14"/>
      <c r="L257" s="14"/>
      <c r="M257" s="14"/>
    </row>
    <row r="258" ht="18.75" customHeight="1">
      <c r="A258" s="7" t="s">
        <v>868</v>
      </c>
      <c r="B258" s="7" t="s">
        <v>869</v>
      </c>
      <c r="C258" s="8">
        <v>46087.0</v>
      </c>
      <c r="D258" s="8">
        <v>46087.0</v>
      </c>
      <c r="E258" s="7" t="s">
        <v>416</v>
      </c>
      <c r="F258" s="7" t="s">
        <v>430</v>
      </c>
      <c r="G258" s="7" t="s">
        <v>355</v>
      </c>
      <c r="H258" s="7" t="s">
        <v>355</v>
      </c>
      <c r="I258" s="14"/>
      <c r="J258" s="14"/>
      <c r="K258" s="14"/>
      <c r="L258" s="14"/>
      <c r="M258" s="14"/>
    </row>
    <row r="259" ht="18.75" customHeight="1">
      <c r="A259" s="7" t="s">
        <v>870</v>
      </c>
      <c r="B259" s="7" t="s">
        <v>871</v>
      </c>
      <c r="C259" s="8">
        <v>46099.0</v>
      </c>
      <c r="D259" s="8">
        <v>46188.0</v>
      </c>
      <c r="E259" s="7" t="s">
        <v>353</v>
      </c>
      <c r="F259" s="7" t="s">
        <v>378</v>
      </c>
      <c r="G259" s="7" t="s">
        <v>355</v>
      </c>
      <c r="H259" s="7" t="s">
        <v>355</v>
      </c>
      <c r="I259" s="14"/>
      <c r="J259" s="14"/>
      <c r="K259" s="14"/>
      <c r="L259" s="14"/>
      <c r="M259" s="14"/>
    </row>
    <row r="260" ht="18.75" customHeight="1">
      <c r="A260" s="7" t="s">
        <v>872</v>
      </c>
      <c r="B260" s="7" t="s">
        <v>873</v>
      </c>
      <c r="C260" s="8">
        <v>46097.0</v>
      </c>
      <c r="D260" s="8">
        <v>46112.0</v>
      </c>
      <c r="E260" s="7" t="s">
        <v>353</v>
      </c>
      <c r="F260" s="7" t="s">
        <v>378</v>
      </c>
      <c r="G260" s="7" t="s">
        <v>355</v>
      </c>
      <c r="H260" s="7" t="s">
        <v>355</v>
      </c>
      <c r="I260" s="14"/>
      <c r="J260" s="14"/>
      <c r="K260" s="14"/>
      <c r="L260" s="14"/>
      <c r="M260" s="14"/>
    </row>
    <row r="261" ht="18.75" customHeight="1">
      <c r="A261" s="7" t="s">
        <v>874</v>
      </c>
      <c r="B261" s="7" t="s">
        <v>875</v>
      </c>
      <c r="C261" s="8">
        <v>46091.0</v>
      </c>
      <c r="D261" s="8">
        <v>46105.0</v>
      </c>
      <c r="E261" s="7" t="s">
        <v>364</v>
      </c>
      <c r="F261" s="7" t="s">
        <v>365</v>
      </c>
      <c r="G261" s="7" t="s">
        <v>355</v>
      </c>
      <c r="H261" s="7" t="s">
        <v>355</v>
      </c>
      <c r="I261" s="14"/>
      <c r="J261" s="14"/>
      <c r="K261" s="14"/>
      <c r="L261" s="14"/>
      <c r="M261" s="14"/>
    </row>
    <row r="262" ht="18.75" customHeight="1">
      <c r="A262" s="7" t="s">
        <v>876</v>
      </c>
      <c r="B262" s="7" t="s">
        <v>877</v>
      </c>
      <c r="C262" s="8">
        <v>46083.0</v>
      </c>
      <c r="D262" s="8">
        <v>46090.0</v>
      </c>
      <c r="E262" s="7" t="s">
        <v>416</v>
      </c>
      <c r="F262" s="7" t="s">
        <v>725</v>
      </c>
      <c r="G262" s="7" t="s">
        <v>355</v>
      </c>
      <c r="H262" s="7" t="s">
        <v>355</v>
      </c>
      <c r="I262" s="14"/>
      <c r="J262" s="14"/>
      <c r="K262" s="14"/>
      <c r="L262" s="14"/>
      <c r="M262" s="14"/>
    </row>
    <row r="263" ht="18.75" customHeight="1">
      <c r="A263" s="7" t="s">
        <v>878</v>
      </c>
      <c r="B263" s="7" t="s">
        <v>879</v>
      </c>
      <c r="C263" s="8">
        <v>46084.0</v>
      </c>
      <c r="D263" s="8">
        <v>46091.0</v>
      </c>
      <c r="E263" s="7" t="s">
        <v>353</v>
      </c>
      <c r="F263" s="7" t="s">
        <v>354</v>
      </c>
      <c r="G263" s="7" t="s">
        <v>355</v>
      </c>
      <c r="H263" s="7" t="s">
        <v>355</v>
      </c>
      <c r="I263" s="14"/>
      <c r="J263" s="14"/>
      <c r="K263" s="14"/>
      <c r="L263" s="14"/>
      <c r="M263" s="14"/>
    </row>
    <row r="264" ht="18.75" customHeight="1">
      <c r="A264" s="7" t="s">
        <v>880</v>
      </c>
      <c r="B264" s="7" t="s">
        <v>881</v>
      </c>
      <c r="C264" s="8">
        <v>46086.0</v>
      </c>
      <c r="D264" s="8">
        <v>46086.0</v>
      </c>
      <c r="E264" s="7" t="s">
        <v>404</v>
      </c>
      <c r="F264" s="7" t="s">
        <v>474</v>
      </c>
      <c r="G264" s="7" t="s">
        <v>355</v>
      </c>
      <c r="H264" s="7" t="s">
        <v>355</v>
      </c>
      <c r="I264" s="14"/>
      <c r="J264" s="14"/>
      <c r="K264" s="14"/>
      <c r="L264" s="14"/>
      <c r="M264" s="14"/>
    </row>
    <row r="265" ht="18.75" customHeight="1">
      <c r="A265" s="7" t="s">
        <v>882</v>
      </c>
      <c r="B265" s="7" t="s">
        <v>883</v>
      </c>
      <c r="C265" s="8">
        <v>46128.0</v>
      </c>
      <c r="D265" s="8">
        <v>46142.0</v>
      </c>
      <c r="E265" s="7" t="s">
        <v>364</v>
      </c>
      <c r="F265" s="7" t="s">
        <v>365</v>
      </c>
      <c r="G265" s="7" t="s">
        <v>355</v>
      </c>
      <c r="H265" s="7" t="s">
        <v>2117</v>
      </c>
      <c r="I265" s="14"/>
      <c r="J265" s="14"/>
      <c r="K265" s="14"/>
      <c r="L265" s="14"/>
      <c r="M265" s="14"/>
    </row>
    <row r="266" ht="18.75" customHeight="1">
      <c r="A266" s="7" t="s">
        <v>884</v>
      </c>
      <c r="B266" s="7" t="s">
        <v>885</v>
      </c>
      <c r="C266" s="8">
        <v>46087.0</v>
      </c>
      <c r="D266" s="8">
        <v>46108.0</v>
      </c>
      <c r="E266" s="7" t="s">
        <v>364</v>
      </c>
      <c r="F266" s="7" t="s">
        <v>365</v>
      </c>
      <c r="G266" s="7" t="s">
        <v>355</v>
      </c>
      <c r="H266" s="7" t="s">
        <v>355</v>
      </c>
      <c r="I266" s="14"/>
      <c r="J266" s="14"/>
      <c r="K266" s="14"/>
      <c r="L266" s="14"/>
      <c r="M266" s="14"/>
    </row>
    <row r="267" ht="18.75" customHeight="1">
      <c r="A267" s="7" t="s">
        <v>2143</v>
      </c>
      <c r="B267" s="7" t="s">
        <v>2144</v>
      </c>
      <c r="C267" s="14"/>
      <c r="D267" s="14"/>
      <c r="E267" s="7" t="s">
        <v>364</v>
      </c>
      <c r="F267" s="7" t="s">
        <v>365</v>
      </c>
      <c r="G267" s="7" t="s">
        <v>2120</v>
      </c>
      <c r="H267" s="7" t="s">
        <v>2117</v>
      </c>
      <c r="I267" s="14"/>
      <c r="J267" s="14"/>
      <c r="K267" s="14"/>
      <c r="L267" s="14"/>
      <c r="M267" s="14"/>
    </row>
    <row r="268" ht="18.75" customHeight="1">
      <c r="A268" s="7" t="s">
        <v>886</v>
      </c>
      <c r="B268" s="7" t="s">
        <v>887</v>
      </c>
      <c r="C268" s="8">
        <v>46092.0</v>
      </c>
      <c r="D268" s="8">
        <v>46112.0</v>
      </c>
      <c r="E268" s="7" t="s">
        <v>358</v>
      </c>
      <c r="F268" s="7" t="s">
        <v>466</v>
      </c>
      <c r="G268" s="7" t="s">
        <v>355</v>
      </c>
      <c r="H268" s="7" t="s">
        <v>355</v>
      </c>
      <c r="I268" s="14"/>
      <c r="J268" s="14"/>
      <c r="K268" s="14"/>
      <c r="L268" s="14"/>
      <c r="M268" s="14"/>
    </row>
    <row r="269" ht="18.75" customHeight="1">
      <c r="A269" s="7" t="s">
        <v>888</v>
      </c>
      <c r="B269" s="7" t="s">
        <v>889</v>
      </c>
      <c r="C269" s="8">
        <v>46086.0</v>
      </c>
      <c r="D269" s="8">
        <v>46093.0</v>
      </c>
      <c r="E269" s="7" t="s">
        <v>416</v>
      </c>
      <c r="F269" s="7" t="s">
        <v>783</v>
      </c>
      <c r="G269" s="7" t="s">
        <v>355</v>
      </c>
      <c r="H269" s="7" t="s">
        <v>355</v>
      </c>
      <c r="I269" s="14"/>
      <c r="J269" s="14"/>
      <c r="K269" s="14"/>
      <c r="L269" s="14"/>
      <c r="M269" s="14"/>
    </row>
    <row r="270" ht="18.75" customHeight="1">
      <c r="A270" s="7" t="s">
        <v>890</v>
      </c>
      <c r="B270" s="7" t="s">
        <v>891</v>
      </c>
      <c r="C270" s="8">
        <v>46086.0</v>
      </c>
      <c r="D270" s="8">
        <v>46098.0</v>
      </c>
      <c r="E270" s="7" t="s">
        <v>416</v>
      </c>
      <c r="F270" s="7" t="s">
        <v>466</v>
      </c>
      <c r="G270" s="7" t="s">
        <v>355</v>
      </c>
      <c r="H270" s="7" t="s">
        <v>355</v>
      </c>
      <c r="I270" s="14"/>
      <c r="J270" s="14"/>
      <c r="K270" s="14"/>
      <c r="L270" s="14"/>
      <c r="M270" s="14"/>
    </row>
    <row r="271" ht="18.75" customHeight="1">
      <c r="A271" s="7" t="s">
        <v>892</v>
      </c>
      <c r="B271" s="7" t="s">
        <v>893</v>
      </c>
      <c r="C271" s="8">
        <v>46086.0</v>
      </c>
      <c r="D271" s="8">
        <v>46094.0</v>
      </c>
      <c r="E271" s="7" t="s">
        <v>416</v>
      </c>
      <c r="F271" s="7" t="s">
        <v>466</v>
      </c>
      <c r="G271" s="7" t="s">
        <v>355</v>
      </c>
      <c r="H271" s="7" t="s">
        <v>355</v>
      </c>
      <c r="I271" s="14"/>
      <c r="J271" s="14"/>
      <c r="K271" s="14"/>
      <c r="L271" s="14"/>
      <c r="M271" s="14"/>
    </row>
    <row r="272" ht="18.75" customHeight="1">
      <c r="A272" s="7" t="s">
        <v>894</v>
      </c>
      <c r="B272" s="7" t="s">
        <v>895</v>
      </c>
      <c r="C272" s="8">
        <v>46086.0</v>
      </c>
      <c r="D272" s="8">
        <v>46098.0</v>
      </c>
      <c r="E272" s="7" t="s">
        <v>416</v>
      </c>
      <c r="F272" s="7" t="s">
        <v>466</v>
      </c>
      <c r="G272" s="7" t="s">
        <v>355</v>
      </c>
      <c r="H272" s="7" t="s">
        <v>355</v>
      </c>
      <c r="I272" s="14"/>
      <c r="J272" s="14"/>
      <c r="K272" s="14"/>
      <c r="L272" s="14"/>
      <c r="M272" s="14"/>
    </row>
    <row r="273" ht="18.75" customHeight="1">
      <c r="A273" s="7" t="s">
        <v>896</v>
      </c>
      <c r="B273" s="7" t="s">
        <v>897</v>
      </c>
      <c r="C273" s="8">
        <v>46086.0</v>
      </c>
      <c r="D273" s="8">
        <v>46098.0</v>
      </c>
      <c r="E273" s="7" t="s">
        <v>416</v>
      </c>
      <c r="F273" s="7" t="s">
        <v>466</v>
      </c>
      <c r="G273" s="7" t="s">
        <v>355</v>
      </c>
      <c r="H273" s="7" t="s">
        <v>355</v>
      </c>
      <c r="I273" s="14"/>
      <c r="J273" s="14"/>
      <c r="K273" s="14"/>
      <c r="L273" s="14"/>
      <c r="M273" s="14"/>
    </row>
    <row r="274" ht="18.75" customHeight="1">
      <c r="A274" s="7" t="s">
        <v>898</v>
      </c>
      <c r="B274" s="7" t="s">
        <v>899</v>
      </c>
      <c r="C274" s="8">
        <v>46087.0</v>
      </c>
      <c r="D274" s="8">
        <v>46097.0</v>
      </c>
      <c r="E274" s="7" t="s">
        <v>416</v>
      </c>
      <c r="F274" s="7" t="s">
        <v>378</v>
      </c>
      <c r="G274" s="7" t="s">
        <v>355</v>
      </c>
      <c r="H274" s="7" t="s">
        <v>355</v>
      </c>
      <c r="I274" s="14"/>
      <c r="J274" s="14"/>
      <c r="K274" s="14"/>
      <c r="L274" s="14"/>
      <c r="M274" s="14"/>
    </row>
    <row r="275" ht="18.75" customHeight="1">
      <c r="A275" s="7" t="s">
        <v>900</v>
      </c>
      <c r="B275" s="7" t="s">
        <v>901</v>
      </c>
      <c r="C275" s="8">
        <v>46086.0</v>
      </c>
      <c r="D275" s="8">
        <v>46086.0</v>
      </c>
      <c r="E275" s="7" t="s">
        <v>364</v>
      </c>
      <c r="F275" s="7" t="s">
        <v>365</v>
      </c>
      <c r="G275" s="7" t="s">
        <v>355</v>
      </c>
      <c r="H275" s="7" t="s">
        <v>355</v>
      </c>
      <c r="I275" s="14"/>
      <c r="J275" s="14"/>
      <c r="K275" s="14"/>
      <c r="L275" s="14"/>
      <c r="M275" s="14"/>
    </row>
    <row r="276" ht="18.75" customHeight="1">
      <c r="A276" s="7" t="s">
        <v>902</v>
      </c>
      <c r="B276" s="7" t="s">
        <v>903</v>
      </c>
      <c r="C276" s="8">
        <v>46087.0</v>
      </c>
      <c r="D276" s="8">
        <v>46093.0</v>
      </c>
      <c r="E276" s="7" t="s">
        <v>416</v>
      </c>
      <c r="F276" s="7" t="s">
        <v>417</v>
      </c>
      <c r="G276" s="7" t="s">
        <v>355</v>
      </c>
      <c r="H276" s="7" t="s">
        <v>355</v>
      </c>
      <c r="I276" s="14"/>
      <c r="J276" s="14"/>
      <c r="K276" s="14"/>
      <c r="L276" s="14"/>
      <c r="M276" s="14"/>
    </row>
    <row r="277" ht="18.75" customHeight="1">
      <c r="A277" s="7" t="s">
        <v>904</v>
      </c>
      <c r="B277" s="7" t="s">
        <v>905</v>
      </c>
      <c r="C277" s="8">
        <v>46093.0</v>
      </c>
      <c r="D277" s="8">
        <v>46093.0</v>
      </c>
      <c r="E277" s="7" t="s">
        <v>353</v>
      </c>
      <c r="F277" s="7" t="s">
        <v>378</v>
      </c>
      <c r="G277" s="7" t="s">
        <v>355</v>
      </c>
      <c r="H277" s="7" t="s">
        <v>355</v>
      </c>
      <c r="I277" s="14"/>
      <c r="J277" s="14"/>
      <c r="K277" s="14"/>
      <c r="L277" s="14"/>
      <c r="M277" s="14"/>
    </row>
    <row r="278" ht="18.75" customHeight="1">
      <c r="A278" s="7" t="s">
        <v>906</v>
      </c>
      <c r="B278" s="7" t="s">
        <v>907</v>
      </c>
      <c r="C278" s="8">
        <v>46090.0</v>
      </c>
      <c r="D278" s="8">
        <v>46096.0</v>
      </c>
      <c r="E278" s="7" t="s">
        <v>416</v>
      </c>
      <c r="F278" s="7" t="s">
        <v>430</v>
      </c>
      <c r="G278" s="7" t="s">
        <v>355</v>
      </c>
      <c r="H278" s="7" t="s">
        <v>355</v>
      </c>
      <c r="I278" s="14"/>
      <c r="J278" s="14"/>
      <c r="K278" s="14"/>
      <c r="L278" s="14"/>
      <c r="M278" s="14"/>
    </row>
    <row r="279" ht="18.75" customHeight="1">
      <c r="A279" s="7" t="s">
        <v>908</v>
      </c>
      <c r="B279" s="7" t="s">
        <v>909</v>
      </c>
      <c r="C279" s="8">
        <v>46087.0</v>
      </c>
      <c r="D279" s="8">
        <v>46097.0</v>
      </c>
      <c r="E279" s="7" t="s">
        <v>364</v>
      </c>
      <c r="F279" s="7" t="s">
        <v>365</v>
      </c>
      <c r="G279" s="7" t="s">
        <v>355</v>
      </c>
      <c r="H279" s="7" t="s">
        <v>355</v>
      </c>
      <c r="I279" s="14"/>
      <c r="J279" s="14"/>
      <c r="K279" s="14"/>
      <c r="L279" s="14"/>
      <c r="M279" s="14"/>
    </row>
    <row r="280" ht="18.75" customHeight="1">
      <c r="A280" s="7" t="s">
        <v>910</v>
      </c>
      <c r="B280" s="7" t="s">
        <v>911</v>
      </c>
      <c r="C280" s="8">
        <v>46090.0</v>
      </c>
      <c r="D280" s="8">
        <v>46122.0</v>
      </c>
      <c r="E280" s="7" t="s">
        <v>416</v>
      </c>
      <c r="F280" s="7" t="s">
        <v>417</v>
      </c>
      <c r="G280" s="7" t="s">
        <v>355</v>
      </c>
      <c r="H280" s="7" t="s">
        <v>355</v>
      </c>
      <c r="I280" s="14"/>
      <c r="J280" s="14"/>
      <c r="K280" s="14"/>
      <c r="L280" s="14"/>
      <c r="M280" s="14"/>
    </row>
    <row r="281" ht="18.75" customHeight="1">
      <c r="A281" s="7" t="s">
        <v>912</v>
      </c>
      <c r="B281" s="7" t="s">
        <v>913</v>
      </c>
      <c r="C281" s="8">
        <v>46097.0</v>
      </c>
      <c r="D281" s="8">
        <v>46122.0</v>
      </c>
      <c r="E281" s="7" t="s">
        <v>358</v>
      </c>
      <c r="F281" s="7" t="s">
        <v>466</v>
      </c>
      <c r="G281" s="7" t="s">
        <v>355</v>
      </c>
      <c r="H281" s="7" t="s">
        <v>355</v>
      </c>
      <c r="I281" s="14"/>
      <c r="J281" s="14"/>
      <c r="K281" s="14"/>
      <c r="L281" s="14"/>
      <c r="M281" s="14"/>
    </row>
    <row r="282" ht="18.75" customHeight="1">
      <c r="A282" s="7" t="s">
        <v>914</v>
      </c>
      <c r="B282" s="7" t="s">
        <v>915</v>
      </c>
      <c r="C282" s="8">
        <v>46097.0</v>
      </c>
      <c r="D282" s="8">
        <v>46097.0</v>
      </c>
      <c r="E282" s="7" t="s">
        <v>404</v>
      </c>
      <c r="F282" s="7" t="s">
        <v>474</v>
      </c>
      <c r="G282" s="7" t="s">
        <v>355</v>
      </c>
      <c r="H282" s="7" t="s">
        <v>355</v>
      </c>
      <c r="I282" s="14"/>
      <c r="J282" s="14"/>
      <c r="K282" s="14"/>
      <c r="L282" s="14"/>
      <c r="M282" s="14"/>
    </row>
    <row r="283" ht="18.75" customHeight="1">
      <c r="A283" s="7" t="s">
        <v>916</v>
      </c>
      <c r="B283" s="7" t="s">
        <v>917</v>
      </c>
      <c r="C283" s="8">
        <v>46087.0</v>
      </c>
      <c r="D283" s="8">
        <v>46089.0</v>
      </c>
      <c r="E283" s="7" t="s">
        <v>364</v>
      </c>
      <c r="F283" s="7" t="s">
        <v>365</v>
      </c>
      <c r="G283" s="7" t="s">
        <v>355</v>
      </c>
      <c r="H283" s="7" t="s">
        <v>355</v>
      </c>
      <c r="I283" s="14"/>
      <c r="J283" s="14"/>
      <c r="K283" s="14"/>
      <c r="L283" s="14"/>
      <c r="M283" s="14"/>
    </row>
    <row r="284" ht="18.75" customHeight="1">
      <c r="A284" s="7" t="s">
        <v>918</v>
      </c>
      <c r="B284" s="7" t="s">
        <v>919</v>
      </c>
      <c r="C284" s="8">
        <v>46087.0</v>
      </c>
      <c r="D284" s="8">
        <v>46092.0</v>
      </c>
      <c r="E284" s="7" t="s">
        <v>416</v>
      </c>
      <c r="F284" s="7" t="s">
        <v>594</v>
      </c>
      <c r="G284" s="7" t="s">
        <v>355</v>
      </c>
      <c r="H284" s="7" t="s">
        <v>355</v>
      </c>
      <c r="I284" s="14"/>
      <c r="J284" s="14"/>
      <c r="K284" s="14"/>
      <c r="L284" s="14"/>
      <c r="M284" s="14"/>
    </row>
    <row r="285" ht="18.75" customHeight="1">
      <c r="A285" s="7" t="s">
        <v>920</v>
      </c>
      <c r="B285" s="7" t="s">
        <v>921</v>
      </c>
      <c r="C285" s="8">
        <v>46087.0</v>
      </c>
      <c r="D285" s="8">
        <v>46097.0</v>
      </c>
      <c r="E285" s="7" t="s">
        <v>416</v>
      </c>
      <c r="F285" s="7" t="s">
        <v>594</v>
      </c>
      <c r="G285" s="7" t="s">
        <v>355</v>
      </c>
      <c r="H285" s="7" t="s">
        <v>355</v>
      </c>
      <c r="I285" s="14"/>
      <c r="J285" s="14"/>
      <c r="K285" s="14"/>
      <c r="L285" s="14"/>
      <c r="M285" s="14"/>
    </row>
    <row r="286" ht="18.75" customHeight="1">
      <c r="A286" s="7" t="s">
        <v>922</v>
      </c>
      <c r="B286" s="7" t="s">
        <v>923</v>
      </c>
      <c r="C286" s="8">
        <v>46087.0</v>
      </c>
      <c r="D286" s="8">
        <v>46098.0</v>
      </c>
      <c r="E286" s="7" t="s">
        <v>416</v>
      </c>
      <c r="F286" s="7" t="s">
        <v>594</v>
      </c>
      <c r="G286" s="7" t="s">
        <v>355</v>
      </c>
      <c r="H286" s="7" t="s">
        <v>355</v>
      </c>
      <c r="I286" s="14"/>
      <c r="J286" s="14"/>
      <c r="K286" s="14"/>
      <c r="L286" s="14"/>
      <c r="M286" s="14"/>
    </row>
    <row r="287" ht="18.75" customHeight="1">
      <c r="A287" s="7" t="s">
        <v>924</v>
      </c>
      <c r="B287" s="7" t="s">
        <v>925</v>
      </c>
      <c r="C287" s="8">
        <v>46092.0</v>
      </c>
      <c r="D287" s="8">
        <v>46092.0</v>
      </c>
      <c r="E287" s="7" t="s">
        <v>358</v>
      </c>
      <c r="F287" s="7" t="s">
        <v>359</v>
      </c>
      <c r="G287" s="7" t="s">
        <v>355</v>
      </c>
      <c r="H287" s="7" t="s">
        <v>355</v>
      </c>
      <c r="I287" s="14"/>
      <c r="J287" s="14"/>
      <c r="K287" s="14"/>
      <c r="L287" s="14"/>
      <c r="M287" s="14"/>
    </row>
    <row r="288" ht="18.75" customHeight="1">
      <c r="A288" s="7" t="s">
        <v>926</v>
      </c>
      <c r="B288" s="7" t="s">
        <v>927</v>
      </c>
      <c r="C288" s="8">
        <v>46112.0</v>
      </c>
      <c r="D288" s="8">
        <v>46173.0</v>
      </c>
      <c r="E288" s="7" t="s">
        <v>503</v>
      </c>
      <c r="F288" s="7" t="s">
        <v>928</v>
      </c>
      <c r="G288" s="7" t="s">
        <v>355</v>
      </c>
      <c r="H288" s="7" t="s">
        <v>355</v>
      </c>
      <c r="I288" s="14"/>
      <c r="J288" s="14"/>
      <c r="K288" s="14"/>
      <c r="L288" s="14"/>
      <c r="M288" s="14"/>
    </row>
    <row r="289" ht="18.75" customHeight="1">
      <c r="A289" s="7" t="s">
        <v>929</v>
      </c>
      <c r="B289" s="7" t="s">
        <v>930</v>
      </c>
      <c r="C289" s="8">
        <v>46098.0</v>
      </c>
      <c r="D289" s="8">
        <v>46112.0</v>
      </c>
      <c r="E289" s="7" t="s">
        <v>364</v>
      </c>
      <c r="F289" s="7" t="s">
        <v>365</v>
      </c>
      <c r="G289" s="7" t="s">
        <v>355</v>
      </c>
      <c r="H289" s="7" t="s">
        <v>355</v>
      </c>
      <c r="I289" s="14"/>
      <c r="J289" s="14"/>
      <c r="K289" s="14"/>
      <c r="L289" s="14"/>
      <c r="M289" s="14"/>
    </row>
    <row r="290" ht="18.75" customHeight="1">
      <c r="A290" s="7" t="s">
        <v>931</v>
      </c>
      <c r="B290" s="7" t="s">
        <v>932</v>
      </c>
      <c r="C290" s="8">
        <v>46094.0</v>
      </c>
      <c r="D290" s="8">
        <v>46094.0</v>
      </c>
      <c r="E290" s="7" t="s">
        <v>416</v>
      </c>
      <c r="F290" s="7" t="s">
        <v>430</v>
      </c>
      <c r="G290" s="7" t="s">
        <v>355</v>
      </c>
      <c r="H290" s="7" t="s">
        <v>355</v>
      </c>
      <c r="I290" s="14"/>
      <c r="J290" s="14"/>
      <c r="K290" s="14"/>
      <c r="L290" s="14"/>
      <c r="M290" s="14"/>
    </row>
    <row r="291" ht="18.75" customHeight="1">
      <c r="A291" s="7" t="s">
        <v>933</v>
      </c>
      <c r="B291" s="7" t="s">
        <v>934</v>
      </c>
      <c r="C291" s="8">
        <v>46094.0</v>
      </c>
      <c r="D291" s="8">
        <v>46094.0</v>
      </c>
      <c r="E291" s="7" t="s">
        <v>353</v>
      </c>
      <c r="F291" s="7" t="s">
        <v>378</v>
      </c>
      <c r="G291" s="7" t="s">
        <v>355</v>
      </c>
      <c r="H291" s="7" t="s">
        <v>355</v>
      </c>
      <c r="I291" s="14"/>
      <c r="J291" s="14"/>
      <c r="K291" s="14"/>
      <c r="L291" s="14"/>
      <c r="M291" s="14"/>
    </row>
    <row r="292" ht="18.75" customHeight="1">
      <c r="A292" s="7" t="s">
        <v>935</v>
      </c>
      <c r="B292" s="7" t="s">
        <v>936</v>
      </c>
      <c r="C292" s="8">
        <v>46094.0</v>
      </c>
      <c r="D292" s="8">
        <v>46094.0</v>
      </c>
      <c r="E292" s="7" t="s">
        <v>416</v>
      </c>
      <c r="F292" s="7" t="s">
        <v>430</v>
      </c>
      <c r="G292" s="7" t="s">
        <v>355</v>
      </c>
      <c r="H292" s="7" t="s">
        <v>355</v>
      </c>
      <c r="I292" s="14"/>
      <c r="J292" s="14"/>
      <c r="K292" s="14"/>
      <c r="L292" s="14"/>
      <c r="M292" s="14"/>
    </row>
    <row r="293" ht="18.75" customHeight="1">
      <c r="A293" s="7" t="s">
        <v>937</v>
      </c>
      <c r="B293" s="7" t="s">
        <v>938</v>
      </c>
      <c r="C293" s="8">
        <v>46094.0</v>
      </c>
      <c r="D293" s="8">
        <v>46094.0</v>
      </c>
      <c r="E293" s="7" t="s">
        <v>416</v>
      </c>
      <c r="F293" s="7" t="s">
        <v>430</v>
      </c>
      <c r="G293" s="7" t="s">
        <v>355</v>
      </c>
      <c r="H293" s="7" t="s">
        <v>355</v>
      </c>
      <c r="I293" s="14"/>
      <c r="J293" s="14"/>
      <c r="K293" s="14"/>
      <c r="L293" s="14"/>
      <c r="M293" s="14"/>
    </row>
    <row r="294" ht="18.75" customHeight="1">
      <c r="A294" s="7" t="s">
        <v>939</v>
      </c>
      <c r="B294" s="7" t="s">
        <v>940</v>
      </c>
      <c r="C294" s="8">
        <v>46107.0</v>
      </c>
      <c r="D294" s="8">
        <v>46117.0</v>
      </c>
      <c r="E294" s="7" t="s">
        <v>404</v>
      </c>
      <c r="F294" s="7" t="s">
        <v>405</v>
      </c>
      <c r="G294" s="7" t="s">
        <v>355</v>
      </c>
      <c r="H294" s="7" t="s">
        <v>355</v>
      </c>
      <c r="I294" s="14"/>
      <c r="J294" s="14"/>
      <c r="K294" s="14"/>
      <c r="L294" s="14"/>
      <c r="M294" s="14"/>
    </row>
    <row r="295" ht="18.75" customHeight="1">
      <c r="A295" s="7" t="s">
        <v>941</v>
      </c>
      <c r="B295" s="7" t="s">
        <v>942</v>
      </c>
      <c r="C295" s="8">
        <v>46107.0</v>
      </c>
      <c r="D295" s="8">
        <v>46117.0</v>
      </c>
      <c r="E295" s="7" t="s">
        <v>404</v>
      </c>
      <c r="F295" s="7" t="s">
        <v>405</v>
      </c>
      <c r="G295" s="7" t="s">
        <v>355</v>
      </c>
      <c r="H295" s="7" t="s">
        <v>355</v>
      </c>
      <c r="I295" s="14"/>
      <c r="J295" s="14"/>
      <c r="K295" s="14"/>
      <c r="L295" s="14"/>
      <c r="M295" s="14"/>
    </row>
    <row r="296" ht="18.75" customHeight="1">
      <c r="A296" s="7" t="s">
        <v>943</v>
      </c>
      <c r="B296" s="7" t="s">
        <v>944</v>
      </c>
      <c r="C296" s="8">
        <v>46122.0</v>
      </c>
      <c r="D296" s="8">
        <v>46154.0</v>
      </c>
      <c r="E296" s="7" t="s">
        <v>353</v>
      </c>
      <c r="F296" s="7" t="s">
        <v>378</v>
      </c>
      <c r="G296" s="7" t="s">
        <v>355</v>
      </c>
      <c r="H296" s="7" t="s">
        <v>355</v>
      </c>
      <c r="I296" s="14"/>
      <c r="J296" s="14"/>
      <c r="K296" s="14"/>
      <c r="L296" s="14"/>
      <c r="M296" s="14"/>
    </row>
    <row r="297" ht="18.75" customHeight="1">
      <c r="A297" s="7" t="s">
        <v>945</v>
      </c>
      <c r="B297" s="7" t="s">
        <v>946</v>
      </c>
      <c r="C297" s="8">
        <v>46093.0</v>
      </c>
      <c r="D297" s="8">
        <v>46098.0</v>
      </c>
      <c r="E297" s="7" t="s">
        <v>416</v>
      </c>
      <c r="F297" s="7" t="s">
        <v>359</v>
      </c>
      <c r="G297" s="7" t="s">
        <v>355</v>
      </c>
      <c r="H297" s="7" t="s">
        <v>355</v>
      </c>
      <c r="I297" s="14"/>
      <c r="J297" s="14"/>
      <c r="K297" s="14"/>
      <c r="L297" s="14"/>
      <c r="M297" s="14"/>
    </row>
    <row r="298" ht="18.75" customHeight="1">
      <c r="A298" s="7" t="s">
        <v>947</v>
      </c>
      <c r="B298" s="7" t="s">
        <v>948</v>
      </c>
      <c r="C298" s="8">
        <v>46094.0</v>
      </c>
      <c r="D298" s="8">
        <v>46100.0</v>
      </c>
      <c r="E298" s="7" t="s">
        <v>416</v>
      </c>
      <c r="F298" s="7" t="s">
        <v>365</v>
      </c>
      <c r="G298" s="7" t="s">
        <v>355</v>
      </c>
      <c r="H298" s="7" t="s">
        <v>355</v>
      </c>
      <c r="I298" s="14"/>
      <c r="J298" s="14"/>
      <c r="K298" s="14"/>
      <c r="L298" s="14"/>
      <c r="M298" s="14"/>
    </row>
    <row r="299" ht="18.75" customHeight="1">
      <c r="A299" s="7" t="s">
        <v>949</v>
      </c>
      <c r="B299" s="7" t="s">
        <v>950</v>
      </c>
      <c r="C299" s="8">
        <v>46092.0</v>
      </c>
      <c r="D299" s="8">
        <v>46100.0</v>
      </c>
      <c r="E299" s="7" t="s">
        <v>364</v>
      </c>
      <c r="F299" s="7" t="s">
        <v>365</v>
      </c>
      <c r="G299" s="7" t="s">
        <v>355</v>
      </c>
      <c r="H299" s="7" t="s">
        <v>355</v>
      </c>
      <c r="I299" s="14"/>
      <c r="J299" s="14"/>
      <c r="K299" s="14"/>
      <c r="L299" s="14"/>
      <c r="M299" s="14"/>
    </row>
    <row r="300" ht="18.75" customHeight="1">
      <c r="A300" s="7" t="s">
        <v>951</v>
      </c>
      <c r="B300" s="7" t="s">
        <v>952</v>
      </c>
      <c r="C300" s="8">
        <v>46097.0</v>
      </c>
      <c r="D300" s="8">
        <v>46102.0</v>
      </c>
      <c r="E300" s="7" t="s">
        <v>416</v>
      </c>
      <c r="F300" s="7" t="s">
        <v>413</v>
      </c>
      <c r="G300" s="7" t="s">
        <v>355</v>
      </c>
      <c r="H300" s="7" t="s">
        <v>355</v>
      </c>
      <c r="I300" s="14"/>
      <c r="J300" s="14"/>
      <c r="K300" s="14"/>
      <c r="L300" s="14"/>
      <c r="M300" s="14"/>
    </row>
    <row r="301" ht="18.75" customHeight="1">
      <c r="A301" s="7" t="s">
        <v>953</v>
      </c>
      <c r="B301" s="7" t="s">
        <v>954</v>
      </c>
      <c r="C301" s="8">
        <v>46093.0</v>
      </c>
      <c r="D301" s="8">
        <v>46095.0</v>
      </c>
      <c r="E301" s="7" t="s">
        <v>364</v>
      </c>
      <c r="F301" s="7" t="s">
        <v>365</v>
      </c>
      <c r="G301" s="7" t="s">
        <v>355</v>
      </c>
      <c r="H301" s="7" t="s">
        <v>355</v>
      </c>
      <c r="I301" s="14"/>
      <c r="J301" s="14"/>
      <c r="K301" s="14"/>
      <c r="L301" s="14"/>
      <c r="M301" s="14"/>
    </row>
    <row r="302" ht="18.75" customHeight="1">
      <c r="A302" s="7" t="s">
        <v>955</v>
      </c>
      <c r="B302" s="7" t="s">
        <v>956</v>
      </c>
      <c r="C302" s="8">
        <v>46097.0</v>
      </c>
      <c r="D302" s="8">
        <v>46101.0</v>
      </c>
      <c r="E302" s="7" t="s">
        <v>416</v>
      </c>
      <c r="F302" s="7" t="s">
        <v>594</v>
      </c>
      <c r="G302" s="7" t="s">
        <v>355</v>
      </c>
      <c r="H302" s="7" t="s">
        <v>355</v>
      </c>
      <c r="I302" s="14"/>
      <c r="J302" s="14"/>
      <c r="K302" s="14"/>
      <c r="L302" s="14"/>
      <c r="M302" s="14"/>
    </row>
    <row r="303" ht="18.75" customHeight="1">
      <c r="A303" s="7" t="s">
        <v>957</v>
      </c>
      <c r="B303" s="7" t="s">
        <v>958</v>
      </c>
      <c r="C303" s="8">
        <v>46094.0</v>
      </c>
      <c r="D303" s="8">
        <v>46239.0</v>
      </c>
      <c r="E303" s="7" t="s">
        <v>364</v>
      </c>
      <c r="F303" s="7" t="s">
        <v>365</v>
      </c>
      <c r="G303" s="7" t="s">
        <v>410</v>
      </c>
      <c r="H303" s="7" t="s">
        <v>410</v>
      </c>
      <c r="I303" s="14"/>
      <c r="J303" s="14"/>
      <c r="K303" s="14"/>
      <c r="L303" s="14"/>
      <c r="M303" s="14"/>
    </row>
    <row r="304" ht="18.75" customHeight="1">
      <c r="A304" s="7" t="s">
        <v>959</v>
      </c>
      <c r="B304" s="7" t="s">
        <v>960</v>
      </c>
      <c r="C304" s="8">
        <v>46093.0</v>
      </c>
      <c r="D304" s="8">
        <v>46112.0</v>
      </c>
      <c r="E304" s="7" t="s">
        <v>364</v>
      </c>
      <c r="F304" s="7" t="s">
        <v>365</v>
      </c>
      <c r="G304" s="7" t="s">
        <v>355</v>
      </c>
      <c r="H304" s="7" t="s">
        <v>355</v>
      </c>
      <c r="I304" s="14"/>
      <c r="J304" s="14"/>
      <c r="K304" s="14"/>
      <c r="L304" s="14"/>
      <c r="M304" s="14"/>
    </row>
    <row r="305" ht="18.75" customHeight="1">
      <c r="A305" s="7" t="s">
        <v>961</v>
      </c>
      <c r="B305" s="7" t="s">
        <v>962</v>
      </c>
      <c r="C305" s="8">
        <v>46094.0</v>
      </c>
      <c r="D305" s="8">
        <v>46110.0</v>
      </c>
      <c r="E305" s="7" t="s">
        <v>416</v>
      </c>
      <c r="F305" s="7" t="s">
        <v>417</v>
      </c>
      <c r="G305" s="7" t="s">
        <v>355</v>
      </c>
      <c r="H305" s="7" t="s">
        <v>355</v>
      </c>
      <c r="I305" s="14"/>
      <c r="J305" s="14"/>
      <c r="K305" s="14"/>
      <c r="L305" s="14"/>
      <c r="M305" s="14"/>
    </row>
    <row r="306" ht="18.75" customHeight="1">
      <c r="A306" s="7" t="s">
        <v>963</v>
      </c>
      <c r="B306" s="7" t="s">
        <v>964</v>
      </c>
      <c r="C306" s="8">
        <v>46094.0</v>
      </c>
      <c r="D306" s="8">
        <v>46131.0</v>
      </c>
      <c r="E306" s="7" t="s">
        <v>416</v>
      </c>
      <c r="F306" s="7" t="s">
        <v>417</v>
      </c>
      <c r="G306" s="7" t="s">
        <v>355</v>
      </c>
      <c r="H306" s="7" t="s">
        <v>355</v>
      </c>
      <c r="I306" s="14"/>
      <c r="J306" s="14"/>
      <c r="K306" s="14"/>
      <c r="L306" s="14"/>
      <c r="M306" s="14"/>
    </row>
    <row r="307" ht="18.75" customHeight="1">
      <c r="A307" s="7" t="s">
        <v>965</v>
      </c>
      <c r="B307" s="7" t="s">
        <v>966</v>
      </c>
      <c r="C307" s="8">
        <v>46099.0</v>
      </c>
      <c r="D307" s="8">
        <v>46099.0</v>
      </c>
      <c r="E307" s="7" t="s">
        <v>416</v>
      </c>
      <c r="F307" s="7" t="s">
        <v>430</v>
      </c>
      <c r="G307" s="7" t="s">
        <v>355</v>
      </c>
      <c r="H307" s="7" t="s">
        <v>355</v>
      </c>
      <c r="I307" s="14"/>
      <c r="J307" s="14"/>
      <c r="K307" s="14"/>
      <c r="L307" s="14"/>
      <c r="M307" s="14"/>
    </row>
    <row r="308" ht="18.75" customHeight="1">
      <c r="A308" s="7" t="s">
        <v>967</v>
      </c>
      <c r="B308" s="7" t="s">
        <v>968</v>
      </c>
      <c r="C308" s="8">
        <v>46069.0</v>
      </c>
      <c r="D308" s="8">
        <v>46102.0</v>
      </c>
      <c r="E308" s="7" t="s">
        <v>416</v>
      </c>
      <c r="F308" s="7" t="s">
        <v>466</v>
      </c>
      <c r="G308" s="7" t="s">
        <v>355</v>
      </c>
      <c r="H308" s="7" t="s">
        <v>355</v>
      </c>
      <c r="I308" s="14"/>
      <c r="J308" s="14"/>
      <c r="K308" s="14"/>
      <c r="L308" s="14"/>
      <c r="M308" s="14"/>
    </row>
    <row r="309" ht="18.75" customHeight="1">
      <c r="A309" s="7" t="s">
        <v>969</v>
      </c>
      <c r="B309" s="7" t="s">
        <v>970</v>
      </c>
      <c r="C309" s="8">
        <v>46097.0</v>
      </c>
      <c r="D309" s="8">
        <v>46101.0</v>
      </c>
      <c r="E309" s="7" t="s">
        <v>416</v>
      </c>
      <c r="F309" s="7" t="s">
        <v>466</v>
      </c>
      <c r="G309" s="7" t="s">
        <v>355</v>
      </c>
      <c r="H309" s="7" t="s">
        <v>355</v>
      </c>
      <c r="I309" s="14"/>
      <c r="J309" s="14"/>
      <c r="K309" s="14"/>
      <c r="L309" s="14"/>
      <c r="M309" s="14"/>
    </row>
    <row r="310" ht="18.75" customHeight="1">
      <c r="A310" s="7" t="s">
        <v>971</v>
      </c>
      <c r="B310" s="7" t="s">
        <v>972</v>
      </c>
      <c r="C310" s="8">
        <v>46097.0</v>
      </c>
      <c r="D310" s="8">
        <v>46101.0</v>
      </c>
      <c r="E310" s="7" t="s">
        <v>416</v>
      </c>
      <c r="F310" s="7" t="s">
        <v>466</v>
      </c>
      <c r="G310" s="7" t="s">
        <v>355</v>
      </c>
      <c r="H310" s="7" t="s">
        <v>355</v>
      </c>
      <c r="I310" s="14"/>
      <c r="J310" s="14"/>
      <c r="K310" s="14"/>
      <c r="L310" s="14"/>
      <c r="M310" s="14"/>
    </row>
    <row r="311" ht="18.75" customHeight="1">
      <c r="A311" s="7" t="s">
        <v>973</v>
      </c>
      <c r="B311" s="7" t="s">
        <v>974</v>
      </c>
      <c r="C311" s="8">
        <v>46097.0</v>
      </c>
      <c r="D311" s="8">
        <v>46107.0</v>
      </c>
      <c r="E311" s="7" t="s">
        <v>416</v>
      </c>
      <c r="F311" s="7" t="s">
        <v>466</v>
      </c>
      <c r="G311" s="7" t="s">
        <v>355</v>
      </c>
      <c r="H311" s="7" t="s">
        <v>355</v>
      </c>
      <c r="I311" s="14"/>
      <c r="J311" s="14"/>
      <c r="K311" s="14"/>
      <c r="L311" s="14"/>
      <c r="M311" s="14"/>
    </row>
    <row r="312" ht="18.75" customHeight="1">
      <c r="A312" s="7" t="s">
        <v>975</v>
      </c>
      <c r="B312" s="7" t="s">
        <v>976</v>
      </c>
      <c r="C312" s="8">
        <v>46093.0</v>
      </c>
      <c r="D312" s="8">
        <v>46100.0</v>
      </c>
      <c r="E312" s="7" t="s">
        <v>416</v>
      </c>
      <c r="F312" s="7" t="s">
        <v>430</v>
      </c>
      <c r="G312" s="7" t="s">
        <v>355</v>
      </c>
      <c r="H312" s="7" t="s">
        <v>355</v>
      </c>
      <c r="I312" s="14"/>
      <c r="J312" s="14"/>
      <c r="K312" s="14"/>
      <c r="L312" s="14"/>
      <c r="M312" s="14"/>
    </row>
    <row r="313" ht="18.75" customHeight="1">
      <c r="A313" s="7" t="s">
        <v>977</v>
      </c>
      <c r="B313" s="7" t="s">
        <v>978</v>
      </c>
      <c r="C313" s="8">
        <v>46094.0</v>
      </c>
      <c r="D313" s="8">
        <v>46096.0</v>
      </c>
      <c r="E313" s="7" t="s">
        <v>364</v>
      </c>
      <c r="F313" s="7" t="s">
        <v>365</v>
      </c>
      <c r="G313" s="7" t="s">
        <v>355</v>
      </c>
      <c r="H313" s="7" t="s">
        <v>355</v>
      </c>
      <c r="I313" s="14"/>
      <c r="J313" s="14"/>
      <c r="K313" s="14"/>
      <c r="L313" s="14"/>
      <c r="M313" s="14"/>
    </row>
    <row r="314" ht="18.75" customHeight="1">
      <c r="A314" s="7" t="s">
        <v>979</v>
      </c>
      <c r="B314" s="7" t="s">
        <v>980</v>
      </c>
      <c r="C314" s="8">
        <v>46099.0</v>
      </c>
      <c r="D314" s="8">
        <v>46106.0</v>
      </c>
      <c r="E314" s="7" t="s">
        <v>364</v>
      </c>
      <c r="F314" s="7" t="s">
        <v>365</v>
      </c>
      <c r="G314" s="7" t="s">
        <v>355</v>
      </c>
      <c r="H314" s="7" t="s">
        <v>355</v>
      </c>
      <c r="I314" s="14"/>
      <c r="J314" s="14"/>
      <c r="K314" s="14"/>
      <c r="L314" s="14"/>
      <c r="M314" s="14"/>
    </row>
    <row r="315" ht="18.75" customHeight="1">
      <c r="A315" s="7" t="s">
        <v>981</v>
      </c>
      <c r="B315" s="7" t="s">
        <v>982</v>
      </c>
      <c r="C315" s="8">
        <v>46098.0</v>
      </c>
      <c r="D315" s="8">
        <v>46098.0</v>
      </c>
      <c r="E315" s="7" t="s">
        <v>353</v>
      </c>
      <c r="F315" s="7" t="s">
        <v>378</v>
      </c>
      <c r="G315" s="7" t="s">
        <v>355</v>
      </c>
      <c r="H315" s="7" t="s">
        <v>355</v>
      </c>
      <c r="I315" s="14"/>
      <c r="J315" s="14"/>
      <c r="K315" s="14"/>
      <c r="L315" s="14"/>
      <c r="M315" s="14"/>
    </row>
    <row r="316" ht="18.75" customHeight="1">
      <c r="A316" s="7" t="s">
        <v>983</v>
      </c>
      <c r="B316" s="7" t="s">
        <v>984</v>
      </c>
      <c r="C316" s="8">
        <v>46111.0</v>
      </c>
      <c r="D316" s="8">
        <v>46111.0</v>
      </c>
      <c r="E316" s="7" t="s">
        <v>353</v>
      </c>
      <c r="F316" s="7" t="s">
        <v>378</v>
      </c>
      <c r="G316" s="7" t="s">
        <v>355</v>
      </c>
      <c r="H316" s="7" t="s">
        <v>355</v>
      </c>
      <c r="I316" s="14"/>
      <c r="J316" s="14"/>
      <c r="K316" s="14"/>
      <c r="L316" s="14"/>
      <c r="M316" s="14"/>
    </row>
    <row r="317" ht="18.75" customHeight="1">
      <c r="A317" s="7" t="s">
        <v>985</v>
      </c>
      <c r="B317" s="7" t="s">
        <v>986</v>
      </c>
      <c r="C317" s="8">
        <v>46094.0</v>
      </c>
      <c r="D317" s="8">
        <v>46112.0</v>
      </c>
      <c r="E317" s="7" t="s">
        <v>358</v>
      </c>
      <c r="F317" s="7" t="s">
        <v>466</v>
      </c>
      <c r="G317" s="7" t="s">
        <v>355</v>
      </c>
      <c r="H317" s="7" t="s">
        <v>355</v>
      </c>
      <c r="I317" s="14"/>
      <c r="J317" s="14"/>
      <c r="K317" s="14"/>
      <c r="L317" s="14"/>
      <c r="M317" s="14"/>
    </row>
    <row r="318" ht="18.75" customHeight="1">
      <c r="A318" s="7" t="s">
        <v>987</v>
      </c>
      <c r="B318" s="7" t="s">
        <v>988</v>
      </c>
      <c r="C318" s="8">
        <v>46098.0</v>
      </c>
      <c r="D318" s="8">
        <v>46102.0</v>
      </c>
      <c r="E318" s="7" t="s">
        <v>416</v>
      </c>
      <c r="F318" s="7" t="s">
        <v>594</v>
      </c>
      <c r="G318" s="7" t="s">
        <v>355</v>
      </c>
      <c r="H318" s="7" t="s">
        <v>355</v>
      </c>
      <c r="I318" s="14"/>
      <c r="J318" s="14"/>
      <c r="K318" s="14"/>
      <c r="L318" s="14"/>
      <c r="M318" s="14"/>
    </row>
    <row r="319" ht="18.75" customHeight="1">
      <c r="A319" s="7" t="s">
        <v>989</v>
      </c>
      <c r="B319" s="7" t="s">
        <v>990</v>
      </c>
      <c r="C319" s="8">
        <v>46108.0</v>
      </c>
      <c r="D319" s="8">
        <v>46126.0</v>
      </c>
      <c r="E319" s="7" t="s">
        <v>353</v>
      </c>
      <c r="F319" s="7" t="s">
        <v>378</v>
      </c>
      <c r="G319" s="7" t="s">
        <v>355</v>
      </c>
      <c r="H319" s="7" t="s">
        <v>355</v>
      </c>
      <c r="I319" s="14"/>
      <c r="J319" s="14"/>
      <c r="K319" s="14"/>
      <c r="L319" s="14"/>
      <c r="M319" s="14"/>
    </row>
    <row r="320" ht="18.75" customHeight="1">
      <c r="A320" s="7" t="s">
        <v>991</v>
      </c>
      <c r="B320" s="7" t="s">
        <v>992</v>
      </c>
      <c r="C320" s="8">
        <v>46113.0</v>
      </c>
      <c r="D320" s="8">
        <v>46150.0</v>
      </c>
      <c r="E320" s="7" t="s">
        <v>404</v>
      </c>
      <c r="F320" s="7" t="s">
        <v>667</v>
      </c>
      <c r="G320" s="7" t="s">
        <v>355</v>
      </c>
      <c r="H320" s="7" t="s">
        <v>355</v>
      </c>
      <c r="I320" s="14"/>
      <c r="J320" s="14"/>
      <c r="K320" s="14"/>
      <c r="L320" s="14"/>
      <c r="M320" s="14"/>
    </row>
    <row r="321" ht="18.75" customHeight="1">
      <c r="A321" s="7" t="s">
        <v>993</v>
      </c>
      <c r="B321" s="7" t="s">
        <v>994</v>
      </c>
      <c r="C321" s="8">
        <v>46099.0</v>
      </c>
      <c r="D321" s="8">
        <v>46119.0</v>
      </c>
      <c r="E321" s="7" t="s">
        <v>358</v>
      </c>
      <c r="F321" s="7" t="s">
        <v>466</v>
      </c>
      <c r="G321" s="7" t="s">
        <v>355</v>
      </c>
      <c r="H321" s="7" t="s">
        <v>355</v>
      </c>
      <c r="I321" s="14"/>
      <c r="J321" s="14"/>
      <c r="K321" s="14"/>
      <c r="L321" s="14"/>
      <c r="M321" s="14"/>
    </row>
    <row r="322" ht="18.75" customHeight="1">
      <c r="A322" s="7" t="s">
        <v>995</v>
      </c>
      <c r="B322" s="7" t="s">
        <v>996</v>
      </c>
      <c r="C322" s="8">
        <v>46098.0</v>
      </c>
      <c r="D322" s="8">
        <v>46101.0</v>
      </c>
      <c r="E322" s="7" t="s">
        <v>416</v>
      </c>
      <c r="F322" s="7" t="s">
        <v>725</v>
      </c>
      <c r="G322" s="7" t="s">
        <v>355</v>
      </c>
      <c r="H322" s="7" t="s">
        <v>355</v>
      </c>
      <c r="I322" s="14"/>
      <c r="J322" s="14"/>
      <c r="K322" s="14"/>
      <c r="L322" s="14"/>
      <c r="M322" s="14"/>
    </row>
    <row r="323" ht="18.75" customHeight="1">
      <c r="A323" s="7" t="s">
        <v>997</v>
      </c>
      <c r="B323" s="7" t="s">
        <v>998</v>
      </c>
      <c r="C323" s="8">
        <v>46098.0</v>
      </c>
      <c r="D323" s="8">
        <v>46098.0</v>
      </c>
      <c r="E323" s="7" t="s">
        <v>353</v>
      </c>
      <c r="F323" s="7" t="s">
        <v>808</v>
      </c>
      <c r="G323" s="7" t="s">
        <v>355</v>
      </c>
      <c r="H323" s="7" t="s">
        <v>355</v>
      </c>
      <c r="I323" s="14"/>
      <c r="J323" s="14"/>
      <c r="K323" s="14"/>
      <c r="L323" s="14"/>
      <c r="M323" s="14"/>
    </row>
    <row r="324" ht="18.75" customHeight="1">
      <c r="A324" s="7" t="s">
        <v>2145</v>
      </c>
      <c r="B324" s="7" t="s">
        <v>2146</v>
      </c>
      <c r="C324" s="14"/>
      <c r="D324" s="14"/>
      <c r="E324" s="7" t="s">
        <v>404</v>
      </c>
      <c r="F324" s="7" t="s">
        <v>405</v>
      </c>
      <c r="G324" s="7" t="s">
        <v>2120</v>
      </c>
      <c r="H324" s="7" t="s">
        <v>2120</v>
      </c>
      <c r="I324" s="14"/>
      <c r="J324" s="14"/>
      <c r="K324" s="14"/>
      <c r="L324" s="14"/>
      <c r="M324" s="14"/>
    </row>
    <row r="325" ht="18.75" customHeight="1">
      <c r="A325" s="7" t="s">
        <v>999</v>
      </c>
      <c r="B325" s="7" t="s">
        <v>1000</v>
      </c>
      <c r="C325" s="8">
        <v>46102.0</v>
      </c>
      <c r="D325" s="8">
        <v>46102.0</v>
      </c>
      <c r="E325" s="7" t="s">
        <v>416</v>
      </c>
      <c r="F325" s="7" t="s">
        <v>430</v>
      </c>
      <c r="G325" s="7" t="s">
        <v>355</v>
      </c>
      <c r="H325" s="7" t="s">
        <v>355</v>
      </c>
      <c r="I325" s="14"/>
      <c r="J325" s="14"/>
      <c r="K325" s="14"/>
      <c r="L325" s="14"/>
      <c r="M325" s="14"/>
    </row>
    <row r="326" ht="18.75" customHeight="1">
      <c r="A326" s="7" t="s">
        <v>1001</v>
      </c>
      <c r="B326" s="7" t="s">
        <v>1002</v>
      </c>
      <c r="C326" s="8">
        <v>46126.0</v>
      </c>
      <c r="D326" s="8">
        <v>46177.0</v>
      </c>
      <c r="E326" s="7" t="s">
        <v>353</v>
      </c>
      <c r="F326" s="7" t="s">
        <v>378</v>
      </c>
      <c r="G326" s="7" t="s">
        <v>355</v>
      </c>
      <c r="H326" s="7" t="s">
        <v>355</v>
      </c>
      <c r="I326" s="14"/>
      <c r="J326" s="14"/>
      <c r="K326" s="14"/>
      <c r="L326" s="14"/>
      <c r="M326" s="14"/>
    </row>
    <row r="327" ht="18.75" customHeight="1">
      <c r="A327" s="7" t="s">
        <v>1003</v>
      </c>
      <c r="B327" s="7" t="s">
        <v>1004</v>
      </c>
      <c r="C327" s="8">
        <v>46102.0</v>
      </c>
      <c r="D327" s="8">
        <v>46102.0</v>
      </c>
      <c r="E327" s="7" t="s">
        <v>416</v>
      </c>
      <c r="F327" s="7" t="s">
        <v>430</v>
      </c>
      <c r="G327" s="7" t="s">
        <v>355</v>
      </c>
      <c r="H327" s="7" t="s">
        <v>355</v>
      </c>
      <c r="I327" s="14"/>
      <c r="J327" s="14"/>
      <c r="K327" s="14"/>
      <c r="L327" s="14"/>
      <c r="M327" s="14"/>
    </row>
    <row r="328" ht="18.75" customHeight="1">
      <c r="A328" s="7" t="s">
        <v>1005</v>
      </c>
      <c r="B328" s="7" t="s">
        <v>1006</v>
      </c>
      <c r="C328" s="8">
        <v>46100.0</v>
      </c>
      <c r="D328" s="8">
        <v>46112.0</v>
      </c>
      <c r="E328" s="7" t="s">
        <v>503</v>
      </c>
      <c r="F328" s="7" t="s">
        <v>783</v>
      </c>
      <c r="G328" s="7" t="s">
        <v>355</v>
      </c>
      <c r="H328" s="7" t="s">
        <v>2117</v>
      </c>
      <c r="I328" s="14"/>
      <c r="J328" s="14"/>
      <c r="K328" s="14"/>
      <c r="L328" s="14"/>
      <c r="M328" s="14"/>
    </row>
    <row r="329" ht="18.75" customHeight="1">
      <c r="A329" s="7" t="s">
        <v>1007</v>
      </c>
      <c r="B329" s="7" t="s">
        <v>1008</v>
      </c>
      <c r="C329" s="8">
        <v>46115.0</v>
      </c>
      <c r="D329" s="8">
        <v>46115.0</v>
      </c>
      <c r="E329" s="7" t="s">
        <v>358</v>
      </c>
      <c r="F329" s="7" t="s">
        <v>359</v>
      </c>
      <c r="G329" s="7" t="s">
        <v>355</v>
      </c>
      <c r="H329" s="7" t="s">
        <v>355</v>
      </c>
      <c r="I329" s="14"/>
      <c r="J329" s="14"/>
      <c r="K329" s="14"/>
      <c r="L329" s="14"/>
      <c r="M329" s="14"/>
    </row>
    <row r="330" ht="18.75" customHeight="1">
      <c r="A330" s="7" t="s">
        <v>2147</v>
      </c>
      <c r="B330" s="7" t="s">
        <v>2148</v>
      </c>
      <c r="C330" s="14"/>
      <c r="D330" s="14"/>
      <c r="E330" s="7" t="s">
        <v>358</v>
      </c>
      <c r="F330" s="7" t="s">
        <v>466</v>
      </c>
      <c r="G330" s="7" t="s">
        <v>2120</v>
      </c>
      <c r="H330" s="7" t="s">
        <v>355</v>
      </c>
      <c r="I330" s="14"/>
      <c r="J330" s="14"/>
      <c r="K330" s="14"/>
      <c r="L330" s="14"/>
      <c r="M330" s="14"/>
    </row>
    <row r="331" ht="18.75" customHeight="1">
      <c r="A331" s="7" t="s">
        <v>1009</v>
      </c>
      <c r="B331" s="7" t="s">
        <v>1010</v>
      </c>
      <c r="C331" s="8">
        <v>46101.0</v>
      </c>
      <c r="D331" s="8">
        <v>46101.0</v>
      </c>
      <c r="E331" s="7" t="s">
        <v>404</v>
      </c>
      <c r="F331" s="7" t="s">
        <v>474</v>
      </c>
      <c r="G331" s="7" t="s">
        <v>355</v>
      </c>
      <c r="H331" s="7" t="s">
        <v>355</v>
      </c>
      <c r="I331" s="14"/>
      <c r="J331" s="14"/>
      <c r="K331" s="14"/>
      <c r="L331" s="14"/>
      <c r="M331" s="14"/>
    </row>
    <row r="332" ht="18.75" customHeight="1">
      <c r="A332" s="7" t="s">
        <v>1011</v>
      </c>
      <c r="B332" s="7" t="s">
        <v>1012</v>
      </c>
      <c r="C332" s="8">
        <v>46099.0</v>
      </c>
      <c r="D332" s="8">
        <v>46106.0</v>
      </c>
      <c r="E332" s="7" t="s">
        <v>416</v>
      </c>
      <c r="F332" s="7" t="s">
        <v>378</v>
      </c>
      <c r="G332" s="7" t="s">
        <v>355</v>
      </c>
      <c r="H332" s="7" t="s">
        <v>355</v>
      </c>
      <c r="I332" s="14"/>
      <c r="J332" s="14"/>
      <c r="K332" s="14"/>
      <c r="L332" s="14"/>
      <c r="M332" s="14"/>
    </row>
    <row r="333" ht="18.75" customHeight="1">
      <c r="A333" s="7" t="s">
        <v>1013</v>
      </c>
      <c r="B333" s="7" t="s">
        <v>1014</v>
      </c>
      <c r="C333" s="8">
        <v>46100.0</v>
      </c>
      <c r="D333" s="8">
        <v>46107.0</v>
      </c>
      <c r="E333" s="7" t="s">
        <v>416</v>
      </c>
      <c r="F333" s="7" t="s">
        <v>725</v>
      </c>
      <c r="G333" s="7" t="s">
        <v>355</v>
      </c>
      <c r="H333" s="7" t="s">
        <v>355</v>
      </c>
      <c r="I333" s="14"/>
      <c r="J333" s="14"/>
      <c r="K333" s="14"/>
      <c r="L333" s="14"/>
      <c r="M333" s="14"/>
    </row>
    <row r="334" ht="18.75" customHeight="1">
      <c r="A334" s="7" t="s">
        <v>1015</v>
      </c>
      <c r="B334" s="7" t="s">
        <v>1016</v>
      </c>
      <c r="C334" s="8">
        <v>46099.0</v>
      </c>
      <c r="D334" s="8">
        <v>46108.0</v>
      </c>
      <c r="E334" s="7" t="s">
        <v>416</v>
      </c>
      <c r="F334" s="7" t="s">
        <v>667</v>
      </c>
      <c r="G334" s="7" t="s">
        <v>355</v>
      </c>
      <c r="H334" s="7" t="s">
        <v>355</v>
      </c>
      <c r="I334" s="14"/>
      <c r="J334" s="14"/>
      <c r="K334" s="14"/>
      <c r="L334" s="14"/>
      <c r="M334" s="14"/>
    </row>
    <row r="335" ht="18.75" customHeight="1">
      <c r="A335" s="7" t="s">
        <v>1017</v>
      </c>
      <c r="B335" s="7" t="s">
        <v>1018</v>
      </c>
      <c r="C335" s="8">
        <v>46100.0</v>
      </c>
      <c r="D335" s="8">
        <v>46108.0</v>
      </c>
      <c r="E335" s="7" t="s">
        <v>416</v>
      </c>
      <c r="F335" s="7" t="s">
        <v>466</v>
      </c>
      <c r="G335" s="7" t="s">
        <v>355</v>
      </c>
      <c r="H335" s="7" t="s">
        <v>355</v>
      </c>
      <c r="I335" s="14"/>
      <c r="J335" s="14"/>
      <c r="K335" s="14"/>
      <c r="L335" s="14"/>
      <c r="M335" s="14"/>
    </row>
    <row r="336" ht="18.75" customHeight="1">
      <c r="A336" s="7" t="s">
        <v>1019</v>
      </c>
      <c r="B336" s="7" t="s">
        <v>1020</v>
      </c>
      <c r="C336" s="8">
        <v>46052.0</v>
      </c>
      <c r="D336" s="8">
        <v>46107.0</v>
      </c>
      <c r="E336" s="7" t="s">
        <v>416</v>
      </c>
      <c r="F336" s="7" t="s">
        <v>466</v>
      </c>
      <c r="G336" s="7" t="s">
        <v>355</v>
      </c>
      <c r="H336" s="7" t="s">
        <v>355</v>
      </c>
      <c r="I336" s="14"/>
      <c r="J336" s="14"/>
      <c r="K336" s="14"/>
      <c r="L336" s="14"/>
      <c r="M336" s="14"/>
    </row>
    <row r="337" ht="18.75" customHeight="1">
      <c r="A337" s="7" t="s">
        <v>1021</v>
      </c>
      <c r="B337" s="7" t="s">
        <v>1022</v>
      </c>
      <c r="C337" s="8">
        <v>46100.0</v>
      </c>
      <c r="D337" s="8">
        <v>46108.0</v>
      </c>
      <c r="E337" s="7" t="s">
        <v>416</v>
      </c>
      <c r="F337" s="7" t="s">
        <v>466</v>
      </c>
      <c r="G337" s="7" t="s">
        <v>355</v>
      </c>
      <c r="H337" s="7" t="s">
        <v>355</v>
      </c>
      <c r="I337" s="14"/>
      <c r="J337" s="14"/>
      <c r="K337" s="14"/>
      <c r="L337" s="14"/>
      <c r="M337" s="14"/>
    </row>
    <row r="338" ht="18.75" customHeight="1">
      <c r="A338" s="7" t="s">
        <v>1023</v>
      </c>
      <c r="B338" s="7" t="s">
        <v>1024</v>
      </c>
      <c r="C338" s="8">
        <v>46100.0</v>
      </c>
      <c r="D338" s="8">
        <v>46108.0</v>
      </c>
      <c r="E338" s="7" t="s">
        <v>416</v>
      </c>
      <c r="F338" s="7" t="s">
        <v>466</v>
      </c>
      <c r="G338" s="7" t="s">
        <v>355</v>
      </c>
      <c r="H338" s="7" t="s">
        <v>355</v>
      </c>
      <c r="I338" s="14"/>
      <c r="J338" s="14"/>
      <c r="K338" s="14"/>
      <c r="L338" s="14"/>
      <c r="M338" s="14"/>
    </row>
    <row r="339" ht="18.75" customHeight="1">
      <c r="A339" s="7" t="s">
        <v>1025</v>
      </c>
      <c r="B339" s="7" t="s">
        <v>1026</v>
      </c>
      <c r="C339" s="8">
        <v>46099.0</v>
      </c>
      <c r="D339" s="8">
        <v>46107.0</v>
      </c>
      <c r="E339" s="7" t="s">
        <v>416</v>
      </c>
      <c r="F339" s="7" t="s">
        <v>594</v>
      </c>
      <c r="G339" s="7" t="s">
        <v>355</v>
      </c>
      <c r="H339" s="7" t="s">
        <v>355</v>
      </c>
      <c r="I339" s="14"/>
      <c r="J339" s="14"/>
      <c r="K339" s="14"/>
      <c r="L339" s="14"/>
      <c r="M339" s="14"/>
    </row>
    <row r="340" ht="18.75" customHeight="1">
      <c r="A340" s="7" t="s">
        <v>1027</v>
      </c>
      <c r="B340" s="7" t="s">
        <v>1028</v>
      </c>
      <c r="C340" s="8">
        <v>46100.0</v>
      </c>
      <c r="D340" s="8">
        <v>46112.0</v>
      </c>
      <c r="E340" s="7" t="s">
        <v>364</v>
      </c>
      <c r="F340" s="7" t="s">
        <v>365</v>
      </c>
      <c r="G340" s="7" t="s">
        <v>355</v>
      </c>
      <c r="H340" s="7" t="s">
        <v>355</v>
      </c>
      <c r="I340" s="14"/>
      <c r="J340" s="14"/>
      <c r="K340" s="14"/>
      <c r="L340" s="14"/>
      <c r="M340" s="14"/>
    </row>
    <row r="341" ht="18.75" customHeight="1">
      <c r="A341" s="7" t="s">
        <v>1029</v>
      </c>
      <c r="B341" s="7" t="s">
        <v>1030</v>
      </c>
      <c r="C341" s="8">
        <v>46101.0</v>
      </c>
      <c r="D341" s="8">
        <v>46119.0</v>
      </c>
      <c r="E341" s="7" t="s">
        <v>404</v>
      </c>
      <c r="F341" s="7" t="s">
        <v>667</v>
      </c>
      <c r="G341" s="7" t="s">
        <v>355</v>
      </c>
      <c r="H341" s="7" t="s">
        <v>355</v>
      </c>
      <c r="I341" s="14"/>
      <c r="J341" s="14"/>
      <c r="K341" s="14"/>
      <c r="L341" s="14"/>
      <c r="M341" s="14"/>
    </row>
    <row r="342" ht="18.75" customHeight="1">
      <c r="A342" s="7" t="s">
        <v>1031</v>
      </c>
      <c r="B342" s="7" t="s">
        <v>1032</v>
      </c>
      <c r="C342" s="8">
        <v>46111.0</v>
      </c>
      <c r="D342" s="8">
        <v>46111.0</v>
      </c>
      <c r="E342" s="7" t="s">
        <v>404</v>
      </c>
      <c r="F342" s="7" t="s">
        <v>474</v>
      </c>
      <c r="G342" s="7" t="s">
        <v>355</v>
      </c>
      <c r="H342" s="7" t="s">
        <v>355</v>
      </c>
      <c r="I342" s="14"/>
      <c r="J342" s="14"/>
      <c r="K342" s="14"/>
      <c r="L342" s="14"/>
      <c r="M342" s="14"/>
    </row>
    <row r="343" ht="18.75" customHeight="1">
      <c r="A343" s="7" t="s">
        <v>1033</v>
      </c>
      <c r="B343" s="7" t="s">
        <v>1034</v>
      </c>
      <c r="C343" s="8">
        <v>46100.0</v>
      </c>
      <c r="D343" s="8">
        <v>46117.0</v>
      </c>
      <c r="E343" s="7" t="s">
        <v>416</v>
      </c>
      <c r="F343" s="7" t="s">
        <v>417</v>
      </c>
      <c r="G343" s="7" t="s">
        <v>355</v>
      </c>
      <c r="H343" s="7" t="s">
        <v>355</v>
      </c>
      <c r="I343" s="14"/>
      <c r="J343" s="14"/>
      <c r="K343" s="14"/>
      <c r="L343" s="14"/>
      <c r="M343" s="14"/>
    </row>
    <row r="344" ht="18.75" customHeight="1">
      <c r="A344" s="7" t="s">
        <v>1035</v>
      </c>
      <c r="B344" s="7" t="s">
        <v>1036</v>
      </c>
      <c r="C344" s="8">
        <v>46101.0</v>
      </c>
      <c r="D344" s="8">
        <v>46128.0</v>
      </c>
      <c r="E344" s="7" t="s">
        <v>416</v>
      </c>
      <c r="F344" s="7" t="s">
        <v>417</v>
      </c>
      <c r="G344" s="7" t="s">
        <v>355</v>
      </c>
      <c r="H344" s="7" t="s">
        <v>355</v>
      </c>
      <c r="I344" s="14"/>
      <c r="J344" s="14"/>
      <c r="K344" s="14"/>
      <c r="L344" s="14"/>
      <c r="M344" s="14"/>
    </row>
    <row r="345" ht="18.75" customHeight="1">
      <c r="A345" s="7" t="s">
        <v>1037</v>
      </c>
      <c r="B345" s="7" t="s">
        <v>1038</v>
      </c>
      <c r="C345" s="8">
        <v>46097.0</v>
      </c>
      <c r="D345" s="8">
        <v>46129.0</v>
      </c>
      <c r="E345" s="7" t="s">
        <v>416</v>
      </c>
      <c r="F345" s="7" t="s">
        <v>417</v>
      </c>
      <c r="G345" s="7" t="s">
        <v>355</v>
      </c>
      <c r="H345" s="7" t="s">
        <v>355</v>
      </c>
      <c r="I345" s="14"/>
      <c r="J345" s="14"/>
      <c r="K345" s="14"/>
      <c r="L345" s="14"/>
      <c r="M345" s="14"/>
    </row>
    <row r="346" ht="18.75" customHeight="1">
      <c r="A346" s="7" t="s">
        <v>1039</v>
      </c>
      <c r="B346" s="7" t="s">
        <v>1040</v>
      </c>
      <c r="C346" s="8">
        <v>46111.0</v>
      </c>
      <c r="D346" s="8">
        <v>46142.0</v>
      </c>
      <c r="E346" s="7" t="s">
        <v>353</v>
      </c>
      <c r="F346" s="7" t="s">
        <v>354</v>
      </c>
      <c r="G346" s="7" t="s">
        <v>355</v>
      </c>
      <c r="H346" s="7" t="s">
        <v>355</v>
      </c>
      <c r="I346" s="14"/>
      <c r="J346" s="14"/>
      <c r="K346" s="14"/>
      <c r="L346" s="14"/>
      <c r="M346" s="14"/>
    </row>
    <row r="347" ht="18.75" customHeight="1">
      <c r="A347" s="7" t="s">
        <v>1041</v>
      </c>
      <c r="B347" s="7" t="s">
        <v>1042</v>
      </c>
      <c r="C347" s="8">
        <v>46101.0</v>
      </c>
      <c r="D347" s="8">
        <v>46109.0</v>
      </c>
      <c r="E347" s="7" t="s">
        <v>416</v>
      </c>
      <c r="F347" s="7" t="s">
        <v>430</v>
      </c>
      <c r="G347" s="7" t="s">
        <v>355</v>
      </c>
      <c r="H347" s="7" t="s">
        <v>355</v>
      </c>
      <c r="I347" s="14"/>
      <c r="J347" s="14"/>
      <c r="K347" s="14"/>
      <c r="L347" s="14"/>
      <c r="M347" s="14"/>
    </row>
    <row r="348" ht="18.75" customHeight="1">
      <c r="A348" s="7" t="s">
        <v>1043</v>
      </c>
      <c r="B348" s="7" t="s">
        <v>1044</v>
      </c>
      <c r="C348" s="8">
        <v>46101.0</v>
      </c>
      <c r="D348" s="8">
        <v>46101.0</v>
      </c>
      <c r="E348" s="7" t="s">
        <v>353</v>
      </c>
      <c r="F348" s="7" t="s">
        <v>378</v>
      </c>
      <c r="G348" s="7" t="s">
        <v>355</v>
      </c>
      <c r="H348" s="7" t="s">
        <v>355</v>
      </c>
      <c r="I348" s="14"/>
      <c r="J348" s="14"/>
      <c r="K348" s="14"/>
      <c r="L348" s="14"/>
      <c r="M348" s="14"/>
    </row>
    <row r="349" ht="18.75" customHeight="1">
      <c r="A349" s="7" t="s">
        <v>1045</v>
      </c>
      <c r="B349" s="7" t="s">
        <v>1046</v>
      </c>
      <c r="C349" s="8">
        <v>46101.0</v>
      </c>
      <c r="D349" s="8">
        <v>46142.0</v>
      </c>
      <c r="E349" s="7" t="s">
        <v>364</v>
      </c>
      <c r="F349" s="7" t="s">
        <v>504</v>
      </c>
      <c r="G349" s="7" t="s">
        <v>355</v>
      </c>
      <c r="H349" s="7" t="s">
        <v>355</v>
      </c>
      <c r="I349" s="14"/>
      <c r="J349" s="14"/>
      <c r="K349" s="14"/>
      <c r="L349" s="14"/>
      <c r="M349" s="14"/>
    </row>
    <row r="350" ht="18.75" customHeight="1">
      <c r="A350" s="7" t="s">
        <v>1047</v>
      </c>
      <c r="B350" s="7" t="s">
        <v>1048</v>
      </c>
      <c r="C350" s="8">
        <v>46003.0</v>
      </c>
      <c r="D350" s="8">
        <v>46134.0</v>
      </c>
      <c r="E350" s="7" t="s">
        <v>364</v>
      </c>
      <c r="F350" s="7" t="s">
        <v>365</v>
      </c>
      <c r="G350" s="7" t="s">
        <v>355</v>
      </c>
      <c r="H350" s="7" t="s">
        <v>355</v>
      </c>
      <c r="I350" s="14"/>
      <c r="J350" s="14"/>
      <c r="K350" s="14"/>
      <c r="L350" s="14"/>
      <c r="M350" s="14"/>
    </row>
    <row r="351" ht="18.75" customHeight="1">
      <c r="A351" s="7" t="s">
        <v>1049</v>
      </c>
      <c r="B351" s="7" t="s">
        <v>1050</v>
      </c>
      <c r="C351" s="8">
        <v>46106.0</v>
      </c>
      <c r="D351" s="8">
        <v>46106.0</v>
      </c>
      <c r="E351" s="7" t="s">
        <v>353</v>
      </c>
      <c r="F351" s="7" t="s">
        <v>378</v>
      </c>
      <c r="G351" s="7" t="s">
        <v>355</v>
      </c>
      <c r="H351" s="7" t="s">
        <v>355</v>
      </c>
      <c r="I351" s="14"/>
      <c r="J351" s="14"/>
      <c r="K351" s="14"/>
      <c r="L351" s="14"/>
      <c r="M351" s="14"/>
    </row>
    <row r="352" ht="18.75" customHeight="1">
      <c r="A352" s="7" t="s">
        <v>1051</v>
      </c>
      <c r="B352" s="7" t="s">
        <v>1052</v>
      </c>
      <c r="C352" s="8">
        <v>46003.0</v>
      </c>
      <c r="D352" s="8">
        <v>46134.0</v>
      </c>
      <c r="E352" s="7" t="s">
        <v>364</v>
      </c>
      <c r="F352" s="7" t="s">
        <v>365</v>
      </c>
      <c r="G352" s="7" t="s">
        <v>355</v>
      </c>
      <c r="H352" s="7" t="s">
        <v>355</v>
      </c>
      <c r="I352" s="14"/>
      <c r="J352" s="14"/>
      <c r="K352" s="14"/>
      <c r="L352" s="14"/>
      <c r="M352" s="14"/>
    </row>
    <row r="353" ht="18.75" customHeight="1">
      <c r="A353" s="7" t="s">
        <v>1053</v>
      </c>
      <c r="B353" s="7" t="s">
        <v>1054</v>
      </c>
      <c r="C353" s="8">
        <v>46106.0</v>
      </c>
      <c r="D353" s="8">
        <v>46112.0</v>
      </c>
      <c r="E353" s="7" t="s">
        <v>353</v>
      </c>
      <c r="F353" s="7" t="s">
        <v>378</v>
      </c>
      <c r="G353" s="7" t="s">
        <v>355</v>
      </c>
      <c r="H353" s="7" t="s">
        <v>355</v>
      </c>
      <c r="I353" s="14"/>
      <c r="J353" s="14"/>
      <c r="K353" s="14"/>
      <c r="L353" s="14"/>
      <c r="M353" s="14"/>
    </row>
    <row r="354" ht="18.75" customHeight="1">
      <c r="A354" s="7" t="s">
        <v>1055</v>
      </c>
      <c r="B354" s="7" t="s">
        <v>1056</v>
      </c>
      <c r="C354" s="8">
        <v>46102.0</v>
      </c>
      <c r="D354" s="8">
        <v>46109.0</v>
      </c>
      <c r="E354" s="7" t="s">
        <v>503</v>
      </c>
      <c r="F354" s="7" t="s">
        <v>783</v>
      </c>
      <c r="G354" s="7" t="s">
        <v>355</v>
      </c>
      <c r="H354" s="7" t="s">
        <v>355</v>
      </c>
      <c r="I354" s="14"/>
      <c r="J354" s="14"/>
      <c r="K354" s="14"/>
      <c r="L354" s="14"/>
      <c r="M354" s="14"/>
    </row>
    <row r="355" ht="18.75" customHeight="1">
      <c r="A355" s="7" t="s">
        <v>1057</v>
      </c>
      <c r="B355" s="7" t="s">
        <v>1058</v>
      </c>
      <c r="C355" s="8">
        <v>46107.0</v>
      </c>
      <c r="D355" s="8">
        <v>46107.0</v>
      </c>
      <c r="E355" s="7" t="s">
        <v>503</v>
      </c>
      <c r="F355" s="7" t="s">
        <v>783</v>
      </c>
      <c r="G355" s="7" t="s">
        <v>355</v>
      </c>
      <c r="H355" s="7" t="s">
        <v>355</v>
      </c>
      <c r="I355" s="14"/>
      <c r="J355" s="14"/>
      <c r="K355" s="14"/>
      <c r="L355" s="14"/>
      <c r="M355" s="14"/>
    </row>
    <row r="356" ht="18.75" customHeight="1">
      <c r="A356" s="7" t="s">
        <v>1059</v>
      </c>
      <c r="B356" s="7" t="s">
        <v>1060</v>
      </c>
      <c r="C356" s="8">
        <v>46087.0</v>
      </c>
      <c r="D356" s="8">
        <v>46265.0</v>
      </c>
      <c r="E356" s="7" t="s">
        <v>358</v>
      </c>
      <c r="F356" s="7" t="s">
        <v>466</v>
      </c>
      <c r="G356" s="7" t="s">
        <v>410</v>
      </c>
      <c r="H356" s="7" t="s">
        <v>355</v>
      </c>
      <c r="I356" s="14"/>
      <c r="J356" s="14"/>
      <c r="K356" s="14"/>
      <c r="L356" s="14"/>
      <c r="M356" s="14"/>
    </row>
    <row r="357" ht="18.75" customHeight="1">
      <c r="A357" s="7" t="s">
        <v>1061</v>
      </c>
      <c r="B357" s="7" t="s">
        <v>1062</v>
      </c>
      <c r="C357" s="8">
        <v>46108.0</v>
      </c>
      <c r="D357" s="8">
        <v>46112.0</v>
      </c>
      <c r="E357" s="7" t="s">
        <v>416</v>
      </c>
      <c r="F357" s="7" t="s">
        <v>387</v>
      </c>
      <c r="G357" s="7" t="s">
        <v>355</v>
      </c>
      <c r="H357" s="7" t="s">
        <v>355</v>
      </c>
      <c r="I357" s="14"/>
      <c r="J357" s="14"/>
      <c r="K357" s="14"/>
      <c r="L357" s="14"/>
      <c r="M357" s="14"/>
    </row>
    <row r="358" ht="18.75" customHeight="1">
      <c r="A358" s="7" t="s">
        <v>1063</v>
      </c>
      <c r="B358" s="7" t="s">
        <v>1064</v>
      </c>
      <c r="C358" s="8">
        <v>46107.0</v>
      </c>
      <c r="D358" s="8">
        <v>46112.0</v>
      </c>
      <c r="E358" s="7" t="s">
        <v>416</v>
      </c>
      <c r="F358" s="7" t="s">
        <v>594</v>
      </c>
      <c r="G358" s="7" t="s">
        <v>355</v>
      </c>
      <c r="H358" s="7" t="s">
        <v>355</v>
      </c>
      <c r="I358" s="14"/>
      <c r="J358" s="14"/>
      <c r="K358" s="14"/>
      <c r="L358" s="14"/>
      <c r="M358" s="14"/>
    </row>
    <row r="359" ht="18.75" customHeight="1">
      <c r="A359" s="7" t="s">
        <v>1065</v>
      </c>
      <c r="B359" s="7" t="s">
        <v>1066</v>
      </c>
      <c r="C359" s="8">
        <v>46108.0</v>
      </c>
      <c r="D359" s="8">
        <v>46113.0</v>
      </c>
      <c r="E359" s="7" t="s">
        <v>416</v>
      </c>
      <c r="F359" s="7" t="s">
        <v>413</v>
      </c>
      <c r="G359" s="7" t="s">
        <v>355</v>
      </c>
      <c r="H359" s="7" t="s">
        <v>355</v>
      </c>
      <c r="I359" s="14"/>
      <c r="J359" s="14"/>
      <c r="K359" s="14"/>
      <c r="L359" s="14"/>
      <c r="M359" s="14"/>
    </row>
    <row r="360" ht="18.75" customHeight="1">
      <c r="A360" s="7" t="s">
        <v>1067</v>
      </c>
      <c r="B360" s="7" t="s">
        <v>1068</v>
      </c>
      <c r="C360" s="8">
        <v>46108.0</v>
      </c>
      <c r="D360" s="8">
        <v>46115.0</v>
      </c>
      <c r="E360" s="7" t="s">
        <v>416</v>
      </c>
      <c r="F360" s="7" t="s">
        <v>365</v>
      </c>
      <c r="G360" s="7" t="s">
        <v>355</v>
      </c>
      <c r="H360" s="7" t="s">
        <v>355</v>
      </c>
      <c r="I360" s="14"/>
      <c r="J360" s="14"/>
      <c r="K360" s="14"/>
      <c r="L360" s="14"/>
      <c r="M360" s="14"/>
    </row>
    <row r="361" ht="18.75" customHeight="1">
      <c r="A361" s="7" t="s">
        <v>1069</v>
      </c>
      <c r="B361" s="7" t="s">
        <v>1070</v>
      </c>
      <c r="C361" s="8">
        <v>46108.0</v>
      </c>
      <c r="D361" s="8">
        <v>46115.0</v>
      </c>
      <c r="E361" s="7" t="s">
        <v>416</v>
      </c>
      <c r="F361" s="7" t="s">
        <v>594</v>
      </c>
      <c r="G361" s="7" t="s">
        <v>355</v>
      </c>
      <c r="H361" s="7" t="s">
        <v>355</v>
      </c>
      <c r="I361" s="14"/>
      <c r="J361" s="14"/>
      <c r="K361" s="14"/>
      <c r="L361" s="14"/>
      <c r="M361" s="14"/>
    </row>
    <row r="362" ht="18.75" customHeight="1">
      <c r="A362" s="7" t="s">
        <v>1071</v>
      </c>
      <c r="B362" s="7" t="s">
        <v>1072</v>
      </c>
      <c r="C362" s="8">
        <v>46107.0</v>
      </c>
      <c r="D362" s="8">
        <v>46128.0</v>
      </c>
      <c r="E362" s="7" t="s">
        <v>416</v>
      </c>
      <c r="F362" s="7" t="s">
        <v>417</v>
      </c>
      <c r="G362" s="7" t="s">
        <v>355</v>
      </c>
      <c r="H362" s="7" t="s">
        <v>355</v>
      </c>
      <c r="I362" s="14"/>
      <c r="J362" s="14"/>
      <c r="K362" s="14"/>
      <c r="L362" s="14"/>
      <c r="M362" s="14"/>
    </row>
    <row r="363" ht="18.75" customHeight="1">
      <c r="A363" s="7" t="s">
        <v>1073</v>
      </c>
      <c r="B363" s="7" t="s">
        <v>1074</v>
      </c>
      <c r="C363" s="8">
        <v>46107.0</v>
      </c>
      <c r="D363" s="8">
        <v>46112.0</v>
      </c>
      <c r="E363" s="7" t="s">
        <v>416</v>
      </c>
      <c r="F363" s="7" t="s">
        <v>354</v>
      </c>
      <c r="G363" s="7" t="s">
        <v>355</v>
      </c>
      <c r="H363" s="7" t="s">
        <v>355</v>
      </c>
      <c r="I363" s="14"/>
      <c r="J363" s="14"/>
      <c r="K363" s="14"/>
      <c r="L363" s="14"/>
      <c r="M363" s="14"/>
    </row>
    <row r="364" ht="18.75" customHeight="1">
      <c r="A364" s="7" t="s">
        <v>1075</v>
      </c>
      <c r="B364" s="7" t="s">
        <v>1076</v>
      </c>
      <c r="C364" s="8">
        <v>46108.0</v>
      </c>
      <c r="D364" s="8">
        <v>46112.0</v>
      </c>
      <c r="E364" s="7" t="s">
        <v>416</v>
      </c>
      <c r="F364" s="7" t="s">
        <v>783</v>
      </c>
      <c r="G364" s="7" t="s">
        <v>355</v>
      </c>
      <c r="H364" s="7" t="s">
        <v>355</v>
      </c>
      <c r="I364" s="14"/>
      <c r="J364" s="14"/>
      <c r="K364" s="14"/>
      <c r="L364" s="14"/>
      <c r="M364" s="14"/>
    </row>
    <row r="365" ht="18.75" customHeight="1">
      <c r="A365" s="7" t="s">
        <v>1077</v>
      </c>
      <c r="B365" s="7" t="s">
        <v>1078</v>
      </c>
      <c r="C365" s="8">
        <v>46134.0</v>
      </c>
      <c r="D365" s="8">
        <v>46149.0</v>
      </c>
      <c r="E365" s="7" t="s">
        <v>353</v>
      </c>
      <c r="F365" s="7" t="s">
        <v>378</v>
      </c>
      <c r="G365" s="7" t="s">
        <v>355</v>
      </c>
      <c r="H365" s="7" t="s">
        <v>355</v>
      </c>
      <c r="I365" s="14"/>
      <c r="J365" s="14"/>
      <c r="K365" s="14"/>
      <c r="L365" s="14"/>
      <c r="M365" s="14"/>
    </row>
    <row r="366" ht="18.75" customHeight="1">
      <c r="A366" s="7" t="s">
        <v>1079</v>
      </c>
      <c r="B366" s="7" t="s">
        <v>1080</v>
      </c>
      <c r="C366" s="8">
        <v>46108.0</v>
      </c>
      <c r="D366" s="8">
        <v>46115.0</v>
      </c>
      <c r="E366" s="7" t="s">
        <v>503</v>
      </c>
      <c r="F366" s="7" t="s">
        <v>783</v>
      </c>
      <c r="G366" s="7" t="s">
        <v>355</v>
      </c>
      <c r="H366" s="7" t="s">
        <v>355</v>
      </c>
      <c r="I366" s="14"/>
      <c r="J366" s="14"/>
      <c r="K366" s="14"/>
      <c r="L366" s="14"/>
      <c r="M366" s="14"/>
    </row>
    <row r="367" ht="18.75" customHeight="1">
      <c r="A367" s="7" t="s">
        <v>1081</v>
      </c>
      <c r="B367" s="7" t="s">
        <v>1082</v>
      </c>
      <c r="C367" s="8">
        <v>46108.0</v>
      </c>
      <c r="D367" s="8">
        <v>46111.0</v>
      </c>
      <c r="E367" s="7" t="s">
        <v>364</v>
      </c>
      <c r="F367" s="7" t="s">
        <v>365</v>
      </c>
      <c r="G367" s="7" t="s">
        <v>355</v>
      </c>
      <c r="H367" s="7" t="s">
        <v>355</v>
      </c>
      <c r="I367" s="14"/>
      <c r="J367" s="14"/>
      <c r="K367" s="14"/>
      <c r="L367" s="14"/>
      <c r="M367" s="14"/>
    </row>
    <row r="368" ht="18.75" customHeight="1">
      <c r="A368" s="7" t="s">
        <v>1083</v>
      </c>
      <c r="B368" s="7" t="s">
        <v>1084</v>
      </c>
      <c r="C368" s="8">
        <v>46108.0</v>
      </c>
      <c r="D368" s="8">
        <v>46109.0</v>
      </c>
      <c r="E368" s="7" t="s">
        <v>404</v>
      </c>
      <c r="F368" s="7" t="s">
        <v>405</v>
      </c>
      <c r="G368" s="7" t="s">
        <v>355</v>
      </c>
      <c r="H368" s="7" t="s">
        <v>355</v>
      </c>
      <c r="I368" s="14"/>
      <c r="J368" s="14"/>
      <c r="K368" s="14"/>
      <c r="L368" s="14"/>
      <c r="M368" s="14"/>
    </row>
    <row r="369" ht="18.75" customHeight="1">
      <c r="A369" s="7" t="s">
        <v>1085</v>
      </c>
      <c r="B369" s="7" t="s">
        <v>1086</v>
      </c>
      <c r="C369" s="8">
        <v>46108.0</v>
      </c>
      <c r="D369" s="8">
        <v>46112.0</v>
      </c>
      <c r="E369" s="7" t="s">
        <v>364</v>
      </c>
      <c r="F369" s="7" t="s">
        <v>365</v>
      </c>
      <c r="G369" s="7" t="s">
        <v>355</v>
      </c>
      <c r="H369" s="7" t="s">
        <v>355</v>
      </c>
      <c r="I369" s="14"/>
      <c r="J369" s="14"/>
      <c r="K369" s="14"/>
      <c r="L369" s="14"/>
      <c r="M369" s="14"/>
    </row>
    <row r="370" ht="18.75" customHeight="1">
      <c r="A370" s="7" t="s">
        <v>1087</v>
      </c>
      <c r="B370" s="7" t="s">
        <v>1088</v>
      </c>
      <c r="C370" s="8">
        <v>46108.0</v>
      </c>
      <c r="D370" s="8">
        <v>46131.0</v>
      </c>
      <c r="E370" s="7" t="s">
        <v>416</v>
      </c>
      <c r="F370" s="7" t="s">
        <v>417</v>
      </c>
      <c r="G370" s="7" t="s">
        <v>355</v>
      </c>
      <c r="H370" s="7" t="s">
        <v>355</v>
      </c>
      <c r="I370" s="14"/>
      <c r="J370" s="14"/>
      <c r="K370" s="14"/>
      <c r="L370" s="14"/>
      <c r="M370" s="14"/>
    </row>
    <row r="371" ht="18.75" customHeight="1">
      <c r="A371" s="7" t="s">
        <v>1089</v>
      </c>
      <c r="B371" s="7" t="s">
        <v>1090</v>
      </c>
      <c r="C371" s="8">
        <v>46108.0</v>
      </c>
      <c r="D371" s="8">
        <v>46112.0</v>
      </c>
      <c r="E371" s="7" t="s">
        <v>364</v>
      </c>
      <c r="F371" s="7" t="s">
        <v>365</v>
      </c>
      <c r="G371" s="7" t="s">
        <v>355</v>
      </c>
      <c r="H371" s="7" t="s">
        <v>355</v>
      </c>
      <c r="I371" s="14"/>
      <c r="J371" s="14"/>
      <c r="K371" s="14"/>
      <c r="L371" s="14"/>
      <c r="M371" s="14"/>
    </row>
    <row r="372" ht="18.75" customHeight="1">
      <c r="A372" s="7" t="s">
        <v>1091</v>
      </c>
      <c r="B372" s="7" t="s">
        <v>1092</v>
      </c>
      <c r="C372" s="8">
        <v>46111.0</v>
      </c>
      <c r="D372" s="8">
        <v>46142.0</v>
      </c>
      <c r="E372" s="7" t="s">
        <v>358</v>
      </c>
      <c r="F372" s="7" t="s">
        <v>466</v>
      </c>
      <c r="G372" s="7" t="s">
        <v>355</v>
      </c>
      <c r="H372" s="7" t="s">
        <v>355</v>
      </c>
      <c r="I372" s="14"/>
      <c r="J372" s="14"/>
      <c r="K372" s="14"/>
      <c r="L372" s="14"/>
      <c r="M372" s="14"/>
    </row>
    <row r="373" ht="18.75" customHeight="1">
      <c r="A373" s="7" t="s">
        <v>1093</v>
      </c>
      <c r="B373" s="7" t="s">
        <v>1094</v>
      </c>
      <c r="C373" s="8">
        <v>46134.0</v>
      </c>
      <c r="D373" s="8">
        <v>46134.0</v>
      </c>
      <c r="E373" s="7" t="s">
        <v>416</v>
      </c>
      <c r="F373" s="7" t="s">
        <v>430</v>
      </c>
      <c r="G373" s="7" t="s">
        <v>355</v>
      </c>
      <c r="H373" s="7" t="s">
        <v>355</v>
      </c>
      <c r="I373" s="14"/>
      <c r="J373" s="14"/>
      <c r="K373" s="14"/>
      <c r="L373" s="14"/>
      <c r="M373" s="14"/>
    </row>
    <row r="374" ht="18.75" customHeight="1">
      <c r="A374" s="7" t="s">
        <v>1095</v>
      </c>
      <c r="B374" s="7" t="s">
        <v>1096</v>
      </c>
      <c r="C374" s="8">
        <v>46113.0</v>
      </c>
      <c r="D374" s="8">
        <v>46113.0</v>
      </c>
      <c r="E374" s="7" t="s">
        <v>416</v>
      </c>
      <c r="F374" s="7" t="s">
        <v>430</v>
      </c>
      <c r="G374" s="7" t="s">
        <v>355</v>
      </c>
      <c r="H374" s="7" t="s">
        <v>355</v>
      </c>
      <c r="I374" s="14"/>
      <c r="J374" s="14"/>
      <c r="K374" s="14"/>
      <c r="L374" s="14"/>
      <c r="M374" s="14"/>
    </row>
    <row r="375" ht="18.75" customHeight="1">
      <c r="A375" s="7" t="s">
        <v>1097</v>
      </c>
      <c r="B375" s="7" t="s">
        <v>1098</v>
      </c>
      <c r="C375" s="8">
        <v>46122.0</v>
      </c>
      <c r="D375" s="8">
        <v>46178.0</v>
      </c>
      <c r="E375" s="7" t="s">
        <v>364</v>
      </c>
      <c r="F375" s="7" t="s">
        <v>365</v>
      </c>
      <c r="G375" s="7" t="s">
        <v>355</v>
      </c>
      <c r="H375" s="7" t="s">
        <v>355</v>
      </c>
      <c r="I375" s="14"/>
      <c r="J375" s="14"/>
      <c r="K375" s="14"/>
      <c r="L375" s="14"/>
      <c r="M375" s="14"/>
    </row>
    <row r="376" ht="18.75" customHeight="1">
      <c r="A376" s="7" t="s">
        <v>1099</v>
      </c>
      <c r="B376" s="7" t="s">
        <v>1100</v>
      </c>
      <c r="C376" s="8">
        <v>46112.0</v>
      </c>
      <c r="D376" s="8">
        <v>46119.0</v>
      </c>
      <c r="E376" s="7" t="s">
        <v>416</v>
      </c>
      <c r="F376" s="7" t="s">
        <v>430</v>
      </c>
      <c r="G376" s="7" t="s">
        <v>355</v>
      </c>
      <c r="H376" s="7" t="s">
        <v>355</v>
      </c>
      <c r="I376" s="14"/>
      <c r="J376" s="14"/>
      <c r="K376" s="14"/>
      <c r="L376" s="14"/>
      <c r="M376" s="14"/>
    </row>
    <row r="377" ht="18.75" customHeight="1">
      <c r="A377" s="7" t="s">
        <v>1101</v>
      </c>
      <c r="B377" s="7" t="s">
        <v>1102</v>
      </c>
      <c r="C377" s="8">
        <v>46120.0</v>
      </c>
      <c r="D377" s="8">
        <v>46136.0</v>
      </c>
      <c r="E377" s="7" t="s">
        <v>353</v>
      </c>
      <c r="F377" s="7" t="s">
        <v>378</v>
      </c>
      <c r="G377" s="7" t="s">
        <v>355</v>
      </c>
      <c r="H377" s="7" t="s">
        <v>355</v>
      </c>
      <c r="I377" s="14"/>
      <c r="J377" s="14"/>
      <c r="K377" s="14"/>
      <c r="L377" s="14"/>
      <c r="M377" s="14"/>
    </row>
    <row r="378" ht="18.75" customHeight="1">
      <c r="A378" s="7" t="s">
        <v>1103</v>
      </c>
      <c r="B378" s="7" t="s">
        <v>1104</v>
      </c>
      <c r="C378" s="8">
        <v>46113.0</v>
      </c>
      <c r="D378" s="8">
        <v>46134.0</v>
      </c>
      <c r="E378" s="7" t="s">
        <v>416</v>
      </c>
      <c r="F378" s="7" t="s">
        <v>417</v>
      </c>
      <c r="G378" s="7" t="s">
        <v>355</v>
      </c>
      <c r="H378" s="7" t="s">
        <v>355</v>
      </c>
      <c r="I378" s="14"/>
      <c r="J378" s="14"/>
      <c r="K378" s="14"/>
      <c r="L378" s="14"/>
      <c r="M378" s="14"/>
    </row>
    <row r="379" ht="18.75" customHeight="1">
      <c r="A379" s="7" t="s">
        <v>1105</v>
      </c>
      <c r="B379" s="7" t="s">
        <v>1106</v>
      </c>
      <c r="C379" s="8">
        <v>46118.0</v>
      </c>
      <c r="D379" s="8">
        <v>46118.0</v>
      </c>
      <c r="E379" s="7" t="s">
        <v>416</v>
      </c>
      <c r="F379" s="7" t="s">
        <v>430</v>
      </c>
      <c r="G379" s="7" t="s">
        <v>355</v>
      </c>
      <c r="H379" s="7" t="s">
        <v>355</v>
      </c>
      <c r="I379" s="14"/>
      <c r="J379" s="14"/>
      <c r="K379" s="14"/>
      <c r="L379" s="14"/>
      <c r="M379" s="14"/>
    </row>
    <row r="380" ht="18.75" customHeight="1">
      <c r="A380" s="7" t="s">
        <v>1107</v>
      </c>
      <c r="B380" s="7" t="s">
        <v>1108</v>
      </c>
      <c r="C380" s="8">
        <v>46113.0</v>
      </c>
      <c r="D380" s="8">
        <v>46119.0</v>
      </c>
      <c r="E380" s="7" t="s">
        <v>416</v>
      </c>
      <c r="F380" s="7" t="s">
        <v>594</v>
      </c>
      <c r="G380" s="7" t="s">
        <v>355</v>
      </c>
      <c r="H380" s="7" t="s">
        <v>355</v>
      </c>
      <c r="I380" s="14"/>
      <c r="J380" s="14"/>
      <c r="K380" s="14"/>
      <c r="L380" s="14"/>
      <c r="M380" s="14"/>
    </row>
    <row r="381" ht="18.75" customHeight="1">
      <c r="A381" s="7" t="s">
        <v>1109</v>
      </c>
      <c r="B381" s="7" t="s">
        <v>1110</v>
      </c>
      <c r="C381" s="8">
        <v>46113.0</v>
      </c>
      <c r="D381" s="8">
        <v>46120.0</v>
      </c>
      <c r="E381" s="7" t="s">
        <v>416</v>
      </c>
      <c r="F381" s="7" t="s">
        <v>466</v>
      </c>
      <c r="G381" s="7" t="s">
        <v>355</v>
      </c>
      <c r="H381" s="7" t="s">
        <v>355</v>
      </c>
      <c r="I381" s="14"/>
      <c r="J381" s="14"/>
      <c r="K381" s="14"/>
      <c r="L381" s="14"/>
      <c r="M381" s="14"/>
    </row>
    <row r="382" ht="18.75" customHeight="1">
      <c r="A382" s="7" t="s">
        <v>1111</v>
      </c>
      <c r="B382" s="7" t="s">
        <v>1112</v>
      </c>
      <c r="C382" s="8">
        <v>46113.0</v>
      </c>
      <c r="D382" s="8">
        <v>46131.0</v>
      </c>
      <c r="E382" s="7" t="s">
        <v>416</v>
      </c>
      <c r="F382" s="7" t="s">
        <v>417</v>
      </c>
      <c r="G382" s="7" t="s">
        <v>355</v>
      </c>
      <c r="H382" s="7" t="s">
        <v>355</v>
      </c>
      <c r="I382" s="14"/>
      <c r="J382" s="14"/>
      <c r="K382" s="14"/>
      <c r="L382" s="14"/>
      <c r="M382" s="14"/>
    </row>
    <row r="383" ht="18.75" customHeight="1">
      <c r="A383" s="7" t="s">
        <v>1113</v>
      </c>
      <c r="B383" s="7" t="s">
        <v>1114</v>
      </c>
      <c r="C383" s="8">
        <v>46113.0</v>
      </c>
      <c r="D383" s="8">
        <v>46120.0</v>
      </c>
      <c r="E383" s="7" t="s">
        <v>416</v>
      </c>
      <c r="F383" s="7" t="s">
        <v>378</v>
      </c>
      <c r="G383" s="7" t="s">
        <v>355</v>
      </c>
      <c r="H383" s="7" t="s">
        <v>355</v>
      </c>
      <c r="I383" s="14"/>
      <c r="J383" s="14"/>
      <c r="K383" s="14"/>
      <c r="L383" s="14"/>
      <c r="M383" s="14"/>
    </row>
    <row r="384" ht="18.75" customHeight="1">
      <c r="A384" s="7" t="s">
        <v>1115</v>
      </c>
      <c r="B384" s="7" t="s">
        <v>1116</v>
      </c>
      <c r="C384" s="8">
        <v>46113.0</v>
      </c>
      <c r="D384" s="8">
        <v>46121.0</v>
      </c>
      <c r="E384" s="7" t="s">
        <v>416</v>
      </c>
      <c r="F384" s="7" t="s">
        <v>725</v>
      </c>
      <c r="G384" s="7" t="s">
        <v>355</v>
      </c>
      <c r="H384" s="7" t="s">
        <v>355</v>
      </c>
      <c r="I384" s="14"/>
      <c r="J384" s="14"/>
      <c r="K384" s="14"/>
      <c r="L384" s="14"/>
      <c r="M384" s="14"/>
    </row>
    <row r="385" ht="18.75" customHeight="1">
      <c r="A385" s="7" t="s">
        <v>1117</v>
      </c>
      <c r="B385" s="7" t="s">
        <v>1118</v>
      </c>
      <c r="C385" s="8">
        <v>46118.0</v>
      </c>
      <c r="D385" s="8">
        <v>46125.0</v>
      </c>
      <c r="E385" s="7" t="s">
        <v>416</v>
      </c>
      <c r="F385" s="7" t="s">
        <v>466</v>
      </c>
      <c r="G385" s="7" t="s">
        <v>355</v>
      </c>
      <c r="H385" s="7" t="s">
        <v>355</v>
      </c>
      <c r="I385" s="14"/>
      <c r="J385" s="14"/>
      <c r="K385" s="14"/>
      <c r="L385" s="14"/>
      <c r="M385" s="14"/>
    </row>
    <row r="386" ht="18.75" customHeight="1">
      <c r="A386" s="7" t="s">
        <v>1119</v>
      </c>
      <c r="B386" s="7" t="s">
        <v>1120</v>
      </c>
      <c r="C386" s="8">
        <v>46118.0</v>
      </c>
      <c r="D386" s="8">
        <v>46122.0</v>
      </c>
      <c r="E386" s="7" t="s">
        <v>416</v>
      </c>
      <c r="F386" s="7" t="s">
        <v>466</v>
      </c>
      <c r="G386" s="7" t="s">
        <v>355</v>
      </c>
      <c r="H386" s="7" t="s">
        <v>355</v>
      </c>
      <c r="I386" s="14"/>
      <c r="J386" s="14"/>
      <c r="K386" s="14"/>
      <c r="L386" s="14"/>
      <c r="M386" s="14"/>
    </row>
    <row r="387" ht="18.75" customHeight="1">
      <c r="A387" s="7" t="s">
        <v>1121</v>
      </c>
      <c r="B387" s="7" t="s">
        <v>1122</v>
      </c>
      <c r="C387" s="8">
        <v>46118.0</v>
      </c>
      <c r="D387" s="8">
        <v>46125.0</v>
      </c>
      <c r="E387" s="7" t="s">
        <v>416</v>
      </c>
      <c r="F387" s="7" t="s">
        <v>466</v>
      </c>
      <c r="G387" s="7" t="s">
        <v>355</v>
      </c>
      <c r="H387" s="7" t="s">
        <v>355</v>
      </c>
      <c r="I387" s="14"/>
      <c r="J387" s="14"/>
      <c r="K387" s="14"/>
      <c r="L387" s="14"/>
      <c r="M387" s="14"/>
    </row>
    <row r="388" ht="18.75" customHeight="1">
      <c r="A388" s="7" t="s">
        <v>1123</v>
      </c>
      <c r="B388" s="7" t="s">
        <v>1124</v>
      </c>
      <c r="C388" s="8">
        <v>46113.0</v>
      </c>
      <c r="D388" s="8">
        <v>46115.0</v>
      </c>
      <c r="E388" s="7" t="s">
        <v>353</v>
      </c>
      <c r="F388" s="7" t="s">
        <v>808</v>
      </c>
      <c r="G388" s="7" t="s">
        <v>355</v>
      </c>
      <c r="H388" s="7" t="s">
        <v>355</v>
      </c>
      <c r="I388" s="14"/>
      <c r="J388" s="14"/>
      <c r="K388" s="14"/>
      <c r="L388" s="14"/>
      <c r="M388" s="14"/>
    </row>
    <row r="389" ht="18.75" customHeight="1">
      <c r="A389" s="7" t="s">
        <v>1125</v>
      </c>
      <c r="B389" s="7" t="s">
        <v>1126</v>
      </c>
      <c r="C389" s="8">
        <v>46118.0</v>
      </c>
      <c r="D389" s="8">
        <v>46122.0</v>
      </c>
      <c r="E389" s="7" t="s">
        <v>416</v>
      </c>
      <c r="F389" s="7" t="s">
        <v>466</v>
      </c>
      <c r="G389" s="7" t="s">
        <v>355</v>
      </c>
      <c r="H389" s="7" t="s">
        <v>355</v>
      </c>
      <c r="I389" s="14"/>
      <c r="J389" s="14"/>
      <c r="K389" s="14"/>
      <c r="L389" s="14"/>
      <c r="M389" s="14"/>
    </row>
    <row r="390" ht="18.75" customHeight="1">
      <c r="A390" s="7" t="s">
        <v>1127</v>
      </c>
      <c r="B390" s="7" t="s">
        <v>1128</v>
      </c>
      <c r="C390" s="8">
        <v>46121.0</v>
      </c>
      <c r="D390" s="8">
        <v>46134.0</v>
      </c>
      <c r="E390" s="7" t="s">
        <v>364</v>
      </c>
      <c r="F390" s="7" t="s">
        <v>365</v>
      </c>
      <c r="G390" s="7" t="s">
        <v>355</v>
      </c>
      <c r="H390" s="7" t="s">
        <v>355</v>
      </c>
      <c r="I390" s="14"/>
      <c r="J390" s="14"/>
      <c r="K390" s="14"/>
      <c r="L390" s="14"/>
      <c r="M390" s="14"/>
    </row>
    <row r="391" ht="18.75" customHeight="1">
      <c r="A391" s="7" t="s">
        <v>1129</v>
      </c>
      <c r="B391" s="7" t="s">
        <v>1130</v>
      </c>
      <c r="C391" s="8">
        <v>46132.0</v>
      </c>
      <c r="D391" s="8">
        <v>46146.0</v>
      </c>
      <c r="E391" s="7" t="s">
        <v>364</v>
      </c>
      <c r="F391" s="7" t="s">
        <v>365</v>
      </c>
      <c r="G391" s="7" t="s">
        <v>355</v>
      </c>
      <c r="H391" s="7" t="s">
        <v>355</v>
      </c>
      <c r="I391" s="14"/>
      <c r="J391" s="14"/>
      <c r="K391" s="14"/>
      <c r="L391" s="14"/>
      <c r="M391" s="14"/>
    </row>
    <row r="392" ht="18.75" customHeight="1">
      <c r="A392" s="7" t="s">
        <v>1131</v>
      </c>
      <c r="B392" s="7" t="s">
        <v>1132</v>
      </c>
      <c r="C392" s="8">
        <v>46133.0</v>
      </c>
      <c r="D392" s="8">
        <v>46153.0</v>
      </c>
      <c r="E392" s="7" t="s">
        <v>404</v>
      </c>
      <c r="F392" s="7" t="s">
        <v>760</v>
      </c>
      <c r="G392" s="7" t="s">
        <v>355</v>
      </c>
      <c r="H392" s="7" t="s">
        <v>355</v>
      </c>
      <c r="I392" s="14"/>
      <c r="J392" s="14"/>
      <c r="K392" s="14"/>
      <c r="L392" s="14"/>
      <c r="M392" s="14"/>
    </row>
    <row r="393" ht="18.75" customHeight="1">
      <c r="A393" s="7" t="s">
        <v>1133</v>
      </c>
      <c r="B393" s="7" t="s">
        <v>1134</v>
      </c>
      <c r="C393" s="8">
        <v>46121.0</v>
      </c>
      <c r="D393" s="8">
        <v>46121.0</v>
      </c>
      <c r="E393" s="7" t="s">
        <v>416</v>
      </c>
      <c r="F393" s="7" t="s">
        <v>430</v>
      </c>
      <c r="G393" s="7" t="s">
        <v>355</v>
      </c>
      <c r="H393" s="7" t="s">
        <v>355</v>
      </c>
      <c r="I393" s="14"/>
      <c r="J393" s="14"/>
      <c r="K393" s="14"/>
      <c r="L393" s="14"/>
      <c r="M393" s="14"/>
    </row>
    <row r="394" ht="18.75" customHeight="1">
      <c r="A394" s="7" t="s">
        <v>1135</v>
      </c>
      <c r="B394" s="7" t="s">
        <v>1136</v>
      </c>
      <c r="C394" s="8">
        <v>46132.0</v>
      </c>
      <c r="D394" s="8">
        <v>46166.0</v>
      </c>
      <c r="E394" s="7" t="s">
        <v>404</v>
      </c>
      <c r="F394" s="7" t="s">
        <v>667</v>
      </c>
      <c r="G394" s="7" t="s">
        <v>355</v>
      </c>
      <c r="H394" s="7" t="s">
        <v>355</v>
      </c>
      <c r="I394" s="14"/>
      <c r="J394" s="14"/>
      <c r="K394" s="14"/>
      <c r="L394" s="14"/>
      <c r="M394" s="14"/>
    </row>
    <row r="395" ht="18.75" customHeight="1">
      <c r="A395" s="7" t="s">
        <v>1137</v>
      </c>
      <c r="B395" s="7" t="s">
        <v>1138</v>
      </c>
      <c r="C395" s="8">
        <v>46119.0</v>
      </c>
      <c r="D395" s="8">
        <v>46136.0</v>
      </c>
      <c r="E395" s="7" t="s">
        <v>416</v>
      </c>
      <c r="F395" s="7" t="s">
        <v>417</v>
      </c>
      <c r="G395" s="7" t="s">
        <v>355</v>
      </c>
      <c r="H395" s="7" t="s">
        <v>355</v>
      </c>
      <c r="I395" s="14"/>
      <c r="J395" s="14"/>
      <c r="K395" s="14"/>
      <c r="L395" s="14"/>
      <c r="M395" s="14"/>
    </row>
    <row r="396" ht="18.75" customHeight="1">
      <c r="A396" s="7" t="s">
        <v>1139</v>
      </c>
      <c r="B396" s="7" t="s">
        <v>1140</v>
      </c>
      <c r="C396" s="8">
        <v>46119.0</v>
      </c>
      <c r="D396" s="8">
        <v>46122.0</v>
      </c>
      <c r="E396" s="7" t="s">
        <v>416</v>
      </c>
      <c r="F396" s="7" t="s">
        <v>725</v>
      </c>
      <c r="G396" s="7" t="s">
        <v>355</v>
      </c>
      <c r="H396" s="7" t="s">
        <v>355</v>
      </c>
      <c r="I396" s="14"/>
      <c r="J396" s="14"/>
      <c r="K396" s="14"/>
      <c r="L396" s="14"/>
      <c r="M396" s="14"/>
    </row>
    <row r="397" ht="18.75" customHeight="1">
      <c r="A397" s="7" t="s">
        <v>1141</v>
      </c>
      <c r="B397" s="7" t="s">
        <v>1142</v>
      </c>
      <c r="C397" s="8">
        <v>46120.0</v>
      </c>
      <c r="D397" s="8">
        <v>46120.0</v>
      </c>
      <c r="E397" s="7" t="s">
        <v>416</v>
      </c>
      <c r="F397" s="7" t="s">
        <v>430</v>
      </c>
      <c r="G397" s="7" t="s">
        <v>355</v>
      </c>
      <c r="H397" s="7" t="s">
        <v>355</v>
      </c>
      <c r="I397" s="14"/>
      <c r="J397" s="14"/>
      <c r="K397" s="14"/>
      <c r="L397" s="14"/>
      <c r="M397" s="14"/>
    </row>
    <row r="398" ht="18.75" customHeight="1">
      <c r="A398" s="7" t="s">
        <v>1143</v>
      </c>
      <c r="B398" s="7" t="s">
        <v>1144</v>
      </c>
      <c r="C398" s="8">
        <v>46119.0</v>
      </c>
      <c r="D398" s="8">
        <v>46132.0</v>
      </c>
      <c r="E398" s="7" t="s">
        <v>358</v>
      </c>
      <c r="F398" s="7" t="s">
        <v>466</v>
      </c>
      <c r="G398" s="7" t="s">
        <v>355</v>
      </c>
      <c r="H398" s="7" t="s">
        <v>355</v>
      </c>
      <c r="I398" s="14"/>
      <c r="J398" s="14"/>
      <c r="K398" s="14"/>
      <c r="L398" s="14"/>
      <c r="M398" s="14"/>
    </row>
    <row r="399" ht="18.75" customHeight="1">
      <c r="A399" s="7" t="s">
        <v>1145</v>
      </c>
      <c r="B399" s="7" t="s">
        <v>1146</v>
      </c>
      <c r="C399" s="8">
        <v>46128.0</v>
      </c>
      <c r="D399" s="8">
        <v>46142.0</v>
      </c>
      <c r="E399" s="7" t="s">
        <v>353</v>
      </c>
      <c r="F399" s="7" t="s">
        <v>378</v>
      </c>
      <c r="G399" s="7" t="s">
        <v>355</v>
      </c>
      <c r="H399" s="7" t="s">
        <v>355</v>
      </c>
      <c r="I399" s="14"/>
      <c r="J399" s="14"/>
      <c r="K399" s="14"/>
      <c r="L399" s="14"/>
      <c r="M399" s="14"/>
    </row>
    <row r="400" ht="18.75" customHeight="1">
      <c r="A400" s="7" t="s">
        <v>1147</v>
      </c>
      <c r="B400" s="7" t="s">
        <v>1148</v>
      </c>
      <c r="C400" s="8">
        <v>46122.0</v>
      </c>
      <c r="D400" s="8">
        <v>46122.0</v>
      </c>
      <c r="E400" s="7" t="s">
        <v>404</v>
      </c>
      <c r="F400" s="7" t="s">
        <v>405</v>
      </c>
      <c r="G400" s="7" t="s">
        <v>355</v>
      </c>
      <c r="H400" s="7" t="s">
        <v>355</v>
      </c>
      <c r="I400" s="14"/>
      <c r="J400" s="14"/>
      <c r="K400" s="14"/>
      <c r="L400" s="14"/>
      <c r="M400" s="14"/>
    </row>
    <row r="401" ht="18.75" customHeight="1">
      <c r="A401" s="7" t="s">
        <v>1149</v>
      </c>
      <c r="B401" s="7" t="s">
        <v>1150</v>
      </c>
      <c r="C401" s="8">
        <v>46137.0</v>
      </c>
      <c r="D401" s="8">
        <v>46160.0</v>
      </c>
      <c r="E401" s="7" t="s">
        <v>404</v>
      </c>
      <c r="F401" s="7" t="s">
        <v>667</v>
      </c>
      <c r="G401" s="7" t="s">
        <v>355</v>
      </c>
      <c r="H401" s="7" t="s">
        <v>355</v>
      </c>
      <c r="I401" s="14"/>
      <c r="J401" s="14"/>
      <c r="K401" s="14"/>
      <c r="L401" s="14"/>
      <c r="M401" s="14"/>
    </row>
    <row r="402" ht="18.75" customHeight="1">
      <c r="A402" s="7" t="s">
        <v>1151</v>
      </c>
      <c r="B402" s="7" t="s">
        <v>1152</v>
      </c>
      <c r="C402" s="8">
        <v>46135.0</v>
      </c>
      <c r="D402" s="8">
        <v>46135.0</v>
      </c>
      <c r="E402" s="7" t="s">
        <v>358</v>
      </c>
      <c r="F402" s="7" t="s">
        <v>365</v>
      </c>
      <c r="G402" s="7" t="s">
        <v>355</v>
      </c>
      <c r="H402" s="7" t="s">
        <v>355</v>
      </c>
      <c r="I402" s="14"/>
      <c r="J402" s="14"/>
      <c r="K402" s="14"/>
      <c r="L402" s="14"/>
      <c r="M402" s="14"/>
    </row>
    <row r="403" ht="18.75" customHeight="1">
      <c r="A403" s="7" t="s">
        <v>1153</v>
      </c>
      <c r="B403" s="7" t="s">
        <v>1154</v>
      </c>
      <c r="C403" s="8">
        <v>46121.0</v>
      </c>
      <c r="D403" s="8">
        <v>46121.0</v>
      </c>
      <c r="E403" s="7" t="s">
        <v>353</v>
      </c>
      <c r="F403" s="7" t="s">
        <v>378</v>
      </c>
      <c r="G403" s="7" t="s">
        <v>355</v>
      </c>
      <c r="H403" s="7" t="s">
        <v>355</v>
      </c>
      <c r="I403" s="14"/>
      <c r="J403" s="14"/>
      <c r="K403" s="14"/>
      <c r="L403" s="14"/>
      <c r="M403" s="14"/>
    </row>
    <row r="404" ht="18.75" customHeight="1">
      <c r="A404" s="7" t="s">
        <v>1155</v>
      </c>
      <c r="B404" s="7" t="s">
        <v>1156</v>
      </c>
      <c r="C404" s="8">
        <v>46128.0</v>
      </c>
      <c r="D404" s="8">
        <v>46203.0</v>
      </c>
      <c r="E404" s="7" t="s">
        <v>358</v>
      </c>
      <c r="F404" s="7" t="s">
        <v>359</v>
      </c>
      <c r="G404" s="7" t="s">
        <v>355</v>
      </c>
      <c r="H404" s="7" t="s">
        <v>355</v>
      </c>
      <c r="I404" s="14"/>
      <c r="J404" s="14"/>
      <c r="K404" s="14"/>
      <c r="L404" s="14"/>
      <c r="M404" s="14"/>
    </row>
    <row r="405" ht="18.75" customHeight="1">
      <c r="A405" s="7" t="s">
        <v>1157</v>
      </c>
      <c r="B405" s="7" t="s">
        <v>1158</v>
      </c>
      <c r="C405" s="8">
        <v>46122.0</v>
      </c>
      <c r="D405" s="8">
        <v>46126.0</v>
      </c>
      <c r="E405" s="7" t="s">
        <v>416</v>
      </c>
      <c r="F405" s="7" t="s">
        <v>413</v>
      </c>
      <c r="G405" s="7" t="s">
        <v>355</v>
      </c>
      <c r="H405" s="7" t="s">
        <v>355</v>
      </c>
      <c r="I405" s="14"/>
      <c r="J405" s="14"/>
      <c r="K405" s="14"/>
      <c r="L405" s="14"/>
      <c r="M405" s="14"/>
    </row>
    <row r="406" ht="18.75" customHeight="1">
      <c r="A406" s="7" t="s">
        <v>1159</v>
      </c>
      <c r="B406" s="7" t="s">
        <v>1160</v>
      </c>
      <c r="C406" s="8">
        <v>46122.0</v>
      </c>
      <c r="D406" s="8">
        <v>46126.0</v>
      </c>
      <c r="E406" s="7" t="s">
        <v>416</v>
      </c>
      <c r="F406" s="7" t="s">
        <v>359</v>
      </c>
      <c r="G406" s="7" t="s">
        <v>355</v>
      </c>
      <c r="H406" s="7" t="s">
        <v>355</v>
      </c>
      <c r="I406" s="14"/>
      <c r="J406" s="14"/>
      <c r="K406" s="14"/>
      <c r="L406" s="14"/>
      <c r="M406" s="14"/>
    </row>
    <row r="407" ht="18.75" customHeight="1">
      <c r="A407" s="7" t="s">
        <v>1161</v>
      </c>
      <c r="B407" s="7" t="s">
        <v>1162</v>
      </c>
      <c r="C407" s="8">
        <v>46122.0</v>
      </c>
      <c r="D407" s="8">
        <v>46127.0</v>
      </c>
      <c r="E407" s="7" t="s">
        <v>416</v>
      </c>
      <c r="F407" s="7" t="s">
        <v>594</v>
      </c>
      <c r="G407" s="7" t="s">
        <v>355</v>
      </c>
      <c r="H407" s="7" t="s">
        <v>355</v>
      </c>
      <c r="I407" s="14"/>
      <c r="J407" s="14"/>
      <c r="K407" s="14"/>
      <c r="L407" s="14"/>
      <c r="M407" s="14"/>
    </row>
    <row r="408" ht="18.75" customHeight="1">
      <c r="A408" s="7" t="s">
        <v>1163</v>
      </c>
      <c r="B408" s="7" t="s">
        <v>1164</v>
      </c>
      <c r="C408" s="8">
        <v>46125.0</v>
      </c>
      <c r="D408" s="8">
        <v>46133.0</v>
      </c>
      <c r="E408" s="7" t="s">
        <v>416</v>
      </c>
      <c r="F408" s="7" t="s">
        <v>466</v>
      </c>
      <c r="G408" s="7" t="s">
        <v>355</v>
      </c>
      <c r="H408" s="7" t="s">
        <v>355</v>
      </c>
      <c r="I408" s="14"/>
      <c r="J408" s="14"/>
      <c r="K408" s="14"/>
      <c r="L408" s="14"/>
      <c r="M408" s="14"/>
    </row>
    <row r="409" ht="18.75" customHeight="1">
      <c r="A409" s="7" t="s">
        <v>1165</v>
      </c>
      <c r="B409" s="7" t="s">
        <v>1166</v>
      </c>
      <c r="C409" s="8">
        <v>46121.0</v>
      </c>
      <c r="D409" s="8">
        <v>46121.0</v>
      </c>
      <c r="E409" s="7" t="s">
        <v>358</v>
      </c>
      <c r="F409" s="7" t="s">
        <v>387</v>
      </c>
      <c r="G409" s="7" t="s">
        <v>355</v>
      </c>
      <c r="H409" s="7" t="s">
        <v>355</v>
      </c>
      <c r="I409" s="14"/>
      <c r="J409" s="14"/>
      <c r="K409" s="14"/>
      <c r="L409" s="14"/>
      <c r="M409" s="14"/>
    </row>
    <row r="410" ht="18.75" customHeight="1">
      <c r="A410" s="7" t="s">
        <v>1167</v>
      </c>
      <c r="B410" s="7" t="s">
        <v>1168</v>
      </c>
      <c r="C410" s="8">
        <v>46125.0</v>
      </c>
      <c r="D410" s="8">
        <v>46135.0</v>
      </c>
      <c r="E410" s="7" t="s">
        <v>416</v>
      </c>
      <c r="F410" s="7" t="s">
        <v>466</v>
      </c>
      <c r="G410" s="7" t="s">
        <v>355</v>
      </c>
      <c r="H410" s="7" t="s">
        <v>355</v>
      </c>
      <c r="I410" s="14"/>
      <c r="J410" s="14"/>
      <c r="K410" s="14"/>
      <c r="L410" s="14"/>
      <c r="M410" s="14"/>
    </row>
    <row r="411" ht="18.75" customHeight="1">
      <c r="A411" s="7" t="s">
        <v>1169</v>
      </c>
      <c r="B411" s="7" t="s">
        <v>1170</v>
      </c>
      <c r="C411" s="8">
        <v>46125.0</v>
      </c>
      <c r="D411" s="8">
        <v>46129.0</v>
      </c>
      <c r="E411" s="7" t="s">
        <v>416</v>
      </c>
      <c r="F411" s="7" t="s">
        <v>466</v>
      </c>
      <c r="G411" s="7" t="s">
        <v>355</v>
      </c>
      <c r="H411" s="7" t="s">
        <v>355</v>
      </c>
      <c r="I411" s="14"/>
      <c r="J411" s="14"/>
      <c r="K411" s="14"/>
      <c r="L411" s="14"/>
      <c r="M411" s="14"/>
    </row>
    <row r="412" ht="18.75" customHeight="1">
      <c r="A412" s="7" t="s">
        <v>1171</v>
      </c>
      <c r="B412" s="7" t="s">
        <v>1172</v>
      </c>
      <c r="C412" s="8">
        <v>46125.0</v>
      </c>
      <c r="D412" s="8">
        <v>46129.0</v>
      </c>
      <c r="E412" s="7" t="s">
        <v>416</v>
      </c>
      <c r="F412" s="7" t="s">
        <v>466</v>
      </c>
      <c r="G412" s="7" t="s">
        <v>355</v>
      </c>
      <c r="H412" s="7" t="s">
        <v>355</v>
      </c>
      <c r="I412" s="14"/>
      <c r="J412" s="14"/>
      <c r="K412" s="14"/>
      <c r="L412" s="14"/>
      <c r="M412" s="14"/>
    </row>
    <row r="413" ht="18.75" customHeight="1">
      <c r="A413" s="7" t="s">
        <v>1173</v>
      </c>
      <c r="B413" s="7" t="s">
        <v>1174</v>
      </c>
      <c r="C413" s="8">
        <v>46121.0</v>
      </c>
      <c r="D413" s="8">
        <v>46121.0</v>
      </c>
      <c r="E413" s="7" t="s">
        <v>358</v>
      </c>
      <c r="F413" s="7" t="s">
        <v>387</v>
      </c>
      <c r="G413" s="7" t="s">
        <v>355</v>
      </c>
      <c r="H413" s="7" t="s">
        <v>355</v>
      </c>
      <c r="I413" s="14"/>
      <c r="J413" s="14"/>
      <c r="K413" s="14"/>
      <c r="L413" s="14"/>
      <c r="M413" s="14"/>
    </row>
    <row r="414" ht="18.75" customHeight="1">
      <c r="A414" s="7" t="s">
        <v>1175</v>
      </c>
      <c r="B414" s="7" t="s">
        <v>1176</v>
      </c>
      <c r="C414" s="8">
        <v>46121.0</v>
      </c>
      <c r="D414" s="8">
        <v>46121.0</v>
      </c>
      <c r="E414" s="7" t="s">
        <v>358</v>
      </c>
      <c r="F414" s="7" t="s">
        <v>387</v>
      </c>
      <c r="G414" s="7" t="s">
        <v>355</v>
      </c>
      <c r="H414" s="7" t="s">
        <v>355</v>
      </c>
      <c r="I414" s="14"/>
      <c r="J414" s="14"/>
      <c r="K414" s="14"/>
      <c r="L414" s="14"/>
      <c r="M414" s="14"/>
    </row>
    <row r="415" ht="18.75" customHeight="1">
      <c r="A415" s="7" t="s">
        <v>1177</v>
      </c>
      <c r="B415" s="7" t="s">
        <v>1178</v>
      </c>
      <c r="C415" s="8">
        <v>46125.0</v>
      </c>
      <c r="D415" s="8">
        <v>46125.0</v>
      </c>
      <c r="E415" s="7" t="s">
        <v>358</v>
      </c>
      <c r="F415" s="7" t="s">
        <v>387</v>
      </c>
      <c r="G415" s="7" t="s">
        <v>355</v>
      </c>
      <c r="H415" s="7" t="s">
        <v>355</v>
      </c>
      <c r="I415" s="14"/>
      <c r="J415" s="14"/>
      <c r="K415" s="14"/>
      <c r="L415" s="14"/>
      <c r="M415" s="14"/>
    </row>
    <row r="416" ht="18.75" customHeight="1">
      <c r="A416" s="7" t="s">
        <v>1179</v>
      </c>
      <c r="B416" s="7" t="s">
        <v>1180</v>
      </c>
      <c r="C416" s="8">
        <v>46125.0</v>
      </c>
      <c r="D416" s="8">
        <v>46125.0</v>
      </c>
      <c r="E416" s="7" t="s">
        <v>358</v>
      </c>
      <c r="F416" s="7" t="s">
        <v>387</v>
      </c>
      <c r="G416" s="7" t="s">
        <v>355</v>
      </c>
      <c r="H416" s="7" t="s">
        <v>355</v>
      </c>
      <c r="I416" s="14"/>
      <c r="J416" s="14"/>
      <c r="K416" s="14"/>
      <c r="L416" s="14"/>
      <c r="M416" s="14"/>
    </row>
    <row r="417" ht="18.75" customHeight="1">
      <c r="A417" s="7" t="s">
        <v>1181</v>
      </c>
      <c r="B417" s="7" t="s">
        <v>1182</v>
      </c>
      <c r="C417" s="8">
        <v>46125.0</v>
      </c>
      <c r="D417" s="8">
        <v>46125.0</v>
      </c>
      <c r="E417" s="7" t="s">
        <v>358</v>
      </c>
      <c r="F417" s="7" t="s">
        <v>387</v>
      </c>
      <c r="G417" s="7" t="s">
        <v>355</v>
      </c>
      <c r="H417" s="7" t="s">
        <v>355</v>
      </c>
      <c r="I417" s="14"/>
      <c r="J417" s="14"/>
      <c r="K417" s="14"/>
      <c r="L417" s="14"/>
      <c r="M417" s="14"/>
    </row>
    <row r="418" ht="18.75" customHeight="1">
      <c r="A418" s="7" t="s">
        <v>1183</v>
      </c>
      <c r="B418" s="7" t="s">
        <v>1184</v>
      </c>
      <c r="C418" s="8">
        <v>46122.0</v>
      </c>
      <c r="D418" s="8">
        <v>46139.0</v>
      </c>
      <c r="E418" s="7" t="s">
        <v>416</v>
      </c>
      <c r="F418" s="7" t="s">
        <v>417</v>
      </c>
      <c r="G418" s="7" t="s">
        <v>355</v>
      </c>
      <c r="H418" s="7" t="s">
        <v>355</v>
      </c>
      <c r="I418" s="14"/>
      <c r="J418" s="14"/>
      <c r="K418" s="14"/>
      <c r="L418" s="14"/>
      <c r="M418" s="14"/>
    </row>
    <row r="419" ht="18.75" customHeight="1">
      <c r="A419" s="7" t="s">
        <v>1185</v>
      </c>
      <c r="B419" s="7" t="s">
        <v>1186</v>
      </c>
      <c r="C419" s="8">
        <v>46125.0</v>
      </c>
      <c r="D419" s="8">
        <v>46142.0</v>
      </c>
      <c r="E419" s="7" t="s">
        <v>416</v>
      </c>
      <c r="F419" s="7" t="s">
        <v>417</v>
      </c>
      <c r="G419" s="7" t="s">
        <v>355</v>
      </c>
      <c r="H419" s="7" t="s">
        <v>355</v>
      </c>
      <c r="I419" s="14"/>
      <c r="J419" s="14"/>
      <c r="K419" s="14"/>
      <c r="L419" s="14"/>
      <c r="M419" s="14"/>
    </row>
    <row r="420" ht="18.75" customHeight="1">
      <c r="A420" s="7" t="s">
        <v>1187</v>
      </c>
      <c r="B420" s="7" t="s">
        <v>1188</v>
      </c>
      <c r="C420" s="8">
        <v>46125.0</v>
      </c>
      <c r="D420" s="8">
        <v>46145.0</v>
      </c>
      <c r="E420" s="7" t="s">
        <v>416</v>
      </c>
      <c r="F420" s="7" t="s">
        <v>417</v>
      </c>
      <c r="G420" s="7" t="s">
        <v>355</v>
      </c>
      <c r="H420" s="7" t="s">
        <v>355</v>
      </c>
      <c r="I420" s="14"/>
      <c r="J420" s="14"/>
      <c r="K420" s="14"/>
      <c r="L420" s="14"/>
      <c r="M420" s="14"/>
    </row>
    <row r="421" ht="18.75" customHeight="1">
      <c r="A421" s="7" t="s">
        <v>1189</v>
      </c>
      <c r="B421" s="7" t="s">
        <v>1190</v>
      </c>
      <c r="C421" s="8">
        <v>46125.0</v>
      </c>
      <c r="D421" s="8">
        <v>46125.0</v>
      </c>
      <c r="E421" s="7" t="s">
        <v>358</v>
      </c>
      <c r="F421" s="7" t="s">
        <v>387</v>
      </c>
      <c r="G421" s="7" t="s">
        <v>355</v>
      </c>
      <c r="H421" s="7" t="s">
        <v>355</v>
      </c>
      <c r="I421" s="14"/>
      <c r="J421" s="14"/>
      <c r="K421" s="14"/>
      <c r="L421" s="14"/>
      <c r="M421" s="14"/>
    </row>
    <row r="422" ht="18.75" customHeight="1">
      <c r="A422" s="7" t="s">
        <v>1191</v>
      </c>
      <c r="B422" s="7" t="s">
        <v>1192</v>
      </c>
      <c r="C422" s="8">
        <v>46122.0</v>
      </c>
      <c r="D422" s="8">
        <v>46124.0</v>
      </c>
      <c r="E422" s="7" t="s">
        <v>364</v>
      </c>
      <c r="F422" s="7" t="s">
        <v>365</v>
      </c>
      <c r="G422" s="7" t="s">
        <v>355</v>
      </c>
      <c r="H422" s="7" t="s">
        <v>355</v>
      </c>
      <c r="I422" s="14"/>
      <c r="J422" s="14"/>
      <c r="K422" s="14"/>
      <c r="L422" s="14"/>
      <c r="M422" s="14"/>
    </row>
    <row r="423" ht="18.75" customHeight="1">
      <c r="A423" s="7" t="s">
        <v>1193</v>
      </c>
      <c r="B423" s="7" t="s">
        <v>1194</v>
      </c>
      <c r="C423" s="8">
        <v>46132.0</v>
      </c>
      <c r="D423" s="8">
        <v>46150.0</v>
      </c>
      <c r="E423" s="7" t="s">
        <v>353</v>
      </c>
      <c r="F423" s="7" t="s">
        <v>378</v>
      </c>
      <c r="G423" s="7" t="s">
        <v>355</v>
      </c>
      <c r="H423" s="7" t="s">
        <v>355</v>
      </c>
      <c r="I423" s="14"/>
      <c r="J423" s="14"/>
      <c r="K423" s="14"/>
      <c r="L423" s="14"/>
      <c r="M423" s="14"/>
    </row>
    <row r="424" ht="18.75" customHeight="1">
      <c r="A424" s="7" t="s">
        <v>1195</v>
      </c>
      <c r="B424" s="7" t="s">
        <v>1196</v>
      </c>
      <c r="C424" s="8">
        <v>46133.0</v>
      </c>
      <c r="D424" s="8">
        <v>46146.0</v>
      </c>
      <c r="E424" s="7" t="s">
        <v>364</v>
      </c>
      <c r="F424" s="7" t="s">
        <v>365</v>
      </c>
      <c r="G424" s="7" t="s">
        <v>355</v>
      </c>
      <c r="H424" s="7" t="s">
        <v>355</v>
      </c>
      <c r="I424" s="14"/>
      <c r="J424" s="14"/>
      <c r="K424" s="14"/>
      <c r="L424" s="14"/>
      <c r="M424" s="14"/>
    </row>
    <row r="425" ht="18.75" customHeight="1">
      <c r="A425" s="7" t="s">
        <v>1197</v>
      </c>
      <c r="B425" s="7" t="s">
        <v>1198</v>
      </c>
      <c r="C425" s="8">
        <v>46128.0</v>
      </c>
      <c r="D425" s="8">
        <v>46128.0</v>
      </c>
      <c r="E425" s="7" t="s">
        <v>416</v>
      </c>
      <c r="F425" s="7" t="s">
        <v>430</v>
      </c>
      <c r="G425" s="7" t="s">
        <v>355</v>
      </c>
      <c r="H425" s="7" t="s">
        <v>355</v>
      </c>
      <c r="I425" s="14"/>
      <c r="J425" s="14"/>
      <c r="K425" s="14"/>
      <c r="L425" s="14"/>
      <c r="M425" s="14"/>
    </row>
    <row r="426" ht="18.75" customHeight="1">
      <c r="A426" s="7" t="s">
        <v>2149</v>
      </c>
      <c r="B426" s="7" t="s">
        <v>2150</v>
      </c>
      <c r="C426" s="15"/>
      <c r="D426" s="15"/>
      <c r="E426" s="7" t="s">
        <v>416</v>
      </c>
      <c r="F426" s="7" t="s">
        <v>430</v>
      </c>
      <c r="G426" s="7" t="s">
        <v>2120</v>
      </c>
      <c r="H426" s="7" t="s">
        <v>2117</v>
      </c>
      <c r="I426" s="14"/>
      <c r="J426" s="14"/>
      <c r="K426" s="14"/>
      <c r="L426" s="14"/>
      <c r="M426" s="14"/>
    </row>
    <row r="427" ht="18.75" customHeight="1">
      <c r="A427" s="7" t="s">
        <v>1199</v>
      </c>
      <c r="B427" s="7" t="s">
        <v>1200</v>
      </c>
      <c r="C427" s="8">
        <v>46125.0</v>
      </c>
      <c r="D427" s="8">
        <v>46132.0</v>
      </c>
      <c r="E427" s="7" t="s">
        <v>416</v>
      </c>
      <c r="F427" s="7" t="s">
        <v>594</v>
      </c>
      <c r="G427" s="7" t="s">
        <v>355</v>
      </c>
      <c r="H427" s="7" t="s">
        <v>355</v>
      </c>
      <c r="I427" s="14"/>
      <c r="J427" s="14"/>
      <c r="K427" s="14"/>
      <c r="L427" s="14"/>
      <c r="M427" s="14"/>
    </row>
    <row r="428" ht="18.75" customHeight="1">
      <c r="A428" s="7" t="s">
        <v>1201</v>
      </c>
      <c r="B428" s="7" t="s">
        <v>1202</v>
      </c>
      <c r="C428" s="8">
        <v>46132.0</v>
      </c>
      <c r="D428" s="8">
        <v>46139.0</v>
      </c>
      <c r="E428" s="7" t="s">
        <v>364</v>
      </c>
      <c r="F428" s="7" t="s">
        <v>365</v>
      </c>
      <c r="G428" s="7" t="s">
        <v>355</v>
      </c>
      <c r="H428" s="7" t="s">
        <v>355</v>
      </c>
      <c r="I428" s="14"/>
      <c r="J428" s="14"/>
      <c r="K428" s="14"/>
      <c r="L428" s="14"/>
      <c r="M428" s="14"/>
    </row>
    <row r="429" ht="18.75" customHeight="1">
      <c r="A429" s="7" t="s">
        <v>1203</v>
      </c>
      <c r="B429" s="7" t="s">
        <v>1204</v>
      </c>
      <c r="C429" s="8">
        <v>46125.0</v>
      </c>
      <c r="D429" s="8">
        <v>46126.0</v>
      </c>
      <c r="E429" s="7" t="s">
        <v>364</v>
      </c>
      <c r="F429" s="7" t="s">
        <v>365</v>
      </c>
      <c r="G429" s="7" t="s">
        <v>355</v>
      </c>
      <c r="H429" s="7" t="s">
        <v>355</v>
      </c>
      <c r="I429" s="14"/>
      <c r="J429" s="14"/>
      <c r="K429" s="14"/>
      <c r="L429" s="14"/>
      <c r="M429" s="14"/>
    </row>
    <row r="430" ht="18.75" customHeight="1">
      <c r="A430" s="7" t="s">
        <v>1205</v>
      </c>
      <c r="B430" s="7" t="s">
        <v>1206</v>
      </c>
      <c r="C430" s="8">
        <v>46126.0</v>
      </c>
      <c r="D430" s="8">
        <v>46129.0</v>
      </c>
      <c r="E430" s="7" t="s">
        <v>364</v>
      </c>
      <c r="F430" s="7" t="s">
        <v>365</v>
      </c>
      <c r="G430" s="7" t="s">
        <v>355</v>
      </c>
      <c r="H430" s="7" t="s">
        <v>355</v>
      </c>
      <c r="I430" s="14"/>
      <c r="J430" s="14"/>
      <c r="K430" s="14"/>
      <c r="L430" s="14"/>
      <c r="M430" s="14"/>
    </row>
    <row r="431" ht="18.75" customHeight="1">
      <c r="A431" s="7" t="s">
        <v>1207</v>
      </c>
      <c r="B431" s="7" t="s">
        <v>1208</v>
      </c>
      <c r="C431" s="8">
        <v>46127.0</v>
      </c>
      <c r="D431" s="8">
        <v>46136.0</v>
      </c>
      <c r="E431" s="7" t="s">
        <v>416</v>
      </c>
      <c r="F431" s="7" t="s">
        <v>417</v>
      </c>
      <c r="G431" s="7" t="s">
        <v>355</v>
      </c>
      <c r="H431" s="7" t="s">
        <v>355</v>
      </c>
      <c r="I431" s="14"/>
      <c r="J431" s="14"/>
      <c r="K431" s="14"/>
      <c r="L431" s="14"/>
      <c r="M431" s="14"/>
    </row>
    <row r="432" ht="18.75" customHeight="1">
      <c r="A432" s="7" t="s">
        <v>1209</v>
      </c>
      <c r="B432" s="7" t="s">
        <v>1210</v>
      </c>
      <c r="C432" s="8">
        <v>46126.0</v>
      </c>
      <c r="D432" s="8">
        <v>46136.0</v>
      </c>
      <c r="E432" s="7" t="s">
        <v>416</v>
      </c>
      <c r="F432" s="7" t="s">
        <v>430</v>
      </c>
      <c r="G432" s="7" t="s">
        <v>355</v>
      </c>
      <c r="H432" s="7" t="s">
        <v>355</v>
      </c>
      <c r="I432" s="14"/>
      <c r="J432" s="14"/>
      <c r="K432" s="14"/>
      <c r="L432" s="14"/>
      <c r="M432" s="14"/>
    </row>
    <row r="433" ht="18.75" customHeight="1">
      <c r="A433" s="7" t="s">
        <v>1211</v>
      </c>
      <c r="B433" s="7" t="s">
        <v>1212</v>
      </c>
      <c r="C433" s="8">
        <v>46140.0</v>
      </c>
      <c r="D433" s="8">
        <v>46140.0</v>
      </c>
      <c r="E433" s="7" t="s">
        <v>358</v>
      </c>
      <c r="F433" s="7" t="s">
        <v>387</v>
      </c>
      <c r="G433" s="7" t="s">
        <v>355</v>
      </c>
      <c r="H433" s="7" t="s">
        <v>355</v>
      </c>
      <c r="I433" s="14"/>
      <c r="J433" s="14"/>
      <c r="K433" s="14"/>
      <c r="L433" s="14"/>
      <c r="M433" s="14"/>
    </row>
    <row r="434" ht="18.75" customHeight="1">
      <c r="A434" s="7" t="s">
        <v>1213</v>
      </c>
      <c r="B434" s="7" t="s">
        <v>1214</v>
      </c>
      <c r="C434" s="8">
        <v>46127.0</v>
      </c>
      <c r="D434" s="8">
        <v>46127.0</v>
      </c>
      <c r="E434" s="7" t="s">
        <v>358</v>
      </c>
      <c r="F434" s="7" t="s">
        <v>387</v>
      </c>
      <c r="G434" s="7" t="s">
        <v>355</v>
      </c>
      <c r="H434" s="7" t="s">
        <v>355</v>
      </c>
      <c r="I434" s="14"/>
      <c r="J434" s="14"/>
      <c r="K434" s="14"/>
      <c r="L434" s="14"/>
      <c r="M434" s="14"/>
    </row>
    <row r="435" ht="18.75" customHeight="1">
      <c r="A435" s="7" t="s">
        <v>1215</v>
      </c>
      <c r="B435" s="7" t="s">
        <v>1216</v>
      </c>
      <c r="C435" s="8">
        <v>46133.0</v>
      </c>
      <c r="D435" s="8">
        <v>46133.0</v>
      </c>
      <c r="E435" s="7" t="s">
        <v>358</v>
      </c>
      <c r="F435" s="7" t="s">
        <v>387</v>
      </c>
      <c r="G435" s="7" t="s">
        <v>355</v>
      </c>
      <c r="H435" s="7" t="s">
        <v>355</v>
      </c>
      <c r="I435" s="14"/>
      <c r="J435" s="14"/>
      <c r="K435" s="14"/>
      <c r="L435" s="14"/>
      <c r="M435" s="14"/>
    </row>
    <row r="436" ht="18.75" customHeight="1">
      <c r="A436" s="7" t="s">
        <v>1217</v>
      </c>
      <c r="B436" s="7" t="s">
        <v>1218</v>
      </c>
      <c r="C436" s="8">
        <v>46133.0</v>
      </c>
      <c r="D436" s="8">
        <v>46133.0</v>
      </c>
      <c r="E436" s="7" t="s">
        <v>358</v>
      </c>
      <c r="F436" s="7" t="s">
        <v>387</v>
      </c>
      <c r="G436" s="7" t="s">
        <v>355</v>
      </c>
      <c r="H436" s="7" t="s">
        <v>355</v>
      </c>
      <c r="I436" s="14"/>
      <c r="J436" s="14"/>
      <c r="K436" s="14"/>
      <c r="L436" s="14"/>
      <c r="M436" s="14"/>
    </row>
    <row r="437" ht="18.75" customHeight="1">
      <c r="A437" s="7" t="s">
        <v>1219</v>
      </c>
      <c r="B437" s="7" t="s">
        <v>1220</v>
      </c>
      <c r="C437" s="8">
        <v>46134.0</v>
      </c>
      <c r="D437" s="8">
        <v>46134.0</v>
      </c>
      <c r="E437" s="7" t="s">
        <v>358</v>
      </c>
      <c r="F437" s="7" t="s">
        <v>387</v>
      </c>
      <c r="G437" s="7" t="s">
        <v>355</v>
      </c>
      <c r="H437" s="7" t="s">
        <v>355</v>
      </c>
      <c r="I437" s="14"/>
      <c r="J437" s="14"/>
      <c r="K437" s="14"/>
      <c r="L437" s="14"/>
      <c r="M437" s="14"/>
    </row>
    <row r="438" ht="18.75" customHeight="1">
      <c r="A438" s="7" t="s">
        <v>1221</v>
      </c>
      <c r="B438" s="7" t="s">
        <v>1222</v>
      </c>
      <c r="C438" s="8">
        <v>46164.0</v>
      </c>
      <c r="D438" s="8">
        <v>46178.0</v>
      </c>
      <c r="E438" s="7" t="s">
        <v>353</v>
      </c>
      <c r="F438" s="7" t="s">
        <v>378</v>
      </c>
      <c r="G438" s="7" t="s">
        <v>355</v>
      </c>
      <c r="H438" s="7" t="s">
        <v>355</v>
      </c>
      <c r="I438" s="14"/>
      <c r="J438" s="14"/>
      <c r="K438" s="14"/>
      <c r="L438" s="14"/>
      <c r="M438" s="14"/>
    </row>
    <row r="439" ht="18.75" customHeight="1">
      <c r="A439" s="7" t="s">
        <v>1223</v>
      </c>
      <c r="B439" s="7" t="s">
        <v>1224</v>
      </c>
      <c r="C439" s="8">
        <v>46133.0</v>
      </c>
      <c r="D439" s="8">
        <v>46147.0</v>
      </c>
      <c r="E439" s="7" t="s">
        <v>353</v>
      </c>
      <c r="F439" s="7" t="s">
        <v>378</v>
      </c>
      <c r="G439" s="7" t="s">
        <v>355</v>
      </c>
      <c r="H439" s="7" t="s">
        <v>355</v>
      </c>
      <c r="I439" s="14"/>
      <c r="J439" s="14"/>
      <c r="K439" s="14"/>
      <c r="L439" s="14"/>
      <c r="M439" s="14"/>
    </row>
    <row r="440" ht="18.75" customHeight="1">
      <c r="A440" s="7" t="s">
        <v>1225</v>
      </c>
      <c r="B440" s="7" t="s">
        <v>1226</v>
      </c>
      <c r="C440" s="8">
        <v>46140.0</v>
      </c>
      <c r="D440" s="8">
        <v>46140.0</v>
      </c>
      <c r="E440" s="7" t="s">
        <v>364</v>
      </c>
      <c r="F440" s="7" t="s">
        <v>365</v>
      </c>
      <c r="G440" s="7" t="s">
        <v>355</v>
      </c>
      <c r="H440" s="7" t="s">
        <v>355</v>
      </c>
      <c r="I440" s="14"/>
      <c r="J440" s="14"/>
      <c r="K440" s="14"/>
      <c r="L440" s="14"/>
      <c r="M440" s="14"/>
    </row>
    <row r="441" ht="18.75" customHeight="1">
      <c r="A441" s="7" t="s">
        <v>1227</v>
      </c>
      <c r="B441" s="7" t="s">
        <v>1228</v>
      </c>
      <c r="C441" s="8">
        <v>46126.0</v>
      </c>
      <c r="D441" s="8">
        <v>46130.0</v>
      </c>
      <c r="E441" s="7" t="s">
        <v>364</v>
      </c>
      <c r="F441" s="7" t="s">
        <v>365</v>
      </c>
      <c r="G441" s="7" t="s">
        <v>355</v>
      </c>
      <c r="H441" s="7" t="s">
        <v>355</v>
      </c>
      <c r="I441" s="14"/>
      <c r="J441" s="14"/>
      <c r="K441" s="14"/>
      <c r="L441" s="14"/>
      <c r="M441" s="14"/>
    </row>
    <row r="442" ht="18.75" customHeight="1">
      <c r="A442" s="7" t="s">
        <v>1229</v>
      </c>
      <c r="B442" s="7" t="s">
        <v>1230</v>
      </c>
      <c r="C442" s="8">
        <v>46126.0</v>
      </c>
      <c r="D442" s="8">
        <v>46129.0</v>
      </c>
      <c r="E442" s="7" t="s">
        <v>416</v>
      </c>
      <c r="F442" s="7" t="s">
        <v>725</v>
      </c>
      <c r="G442" s="7" t="s">
        <v>355</v>
      </c>
      <c r="H442" s="7" t="s">
        <v>355</v>
      </c>
      <c r="I442" s="14"/>
      <c r="J442" s="14"/>
      <c r="K442" s="14"/>
      <c r="L442" s="14"/>
      <c r="M442" s="14"/>
    </row>
    <row r="443" ht="18.75" customHeight="1">
      <c r="A443" s="7" t="s">
        <v>1231</v>
      </c>
      <c r="B443" s="7" t="s">
        <v>1232</v>
      </c>
      <c r="C443" s="8">
        <v>46127.0</v>
      </c>
      <c r="D443" s="8">
        <v>46131.0</v>
      </c>
      <c r="E443" s="7" t="s">
        <v>364</v>
      </c>
      <c r="F443" s="7" t="s">
        <v>365</v>
      </c>
      <c r="G443" s="7" t="s">
        <v>355</v>
      </c>
      <c r="H443" s="7" t="s">
        <v>355</v>
      </c>
      <c r="I443" s="14"/>
      <c r="J443" s="14"/>
      <c r="K443" s="14"/>
      <c r="L443" s="14"/>
      <c r="M443" s="14"/>
    </row>
    <row r="444" ht="18.75" customHeight="1">
      <c r="A444" s="7" t="s">
        <v>1233</v>
      </c>
      <c r="B444" s="7" t="s">
        <v>1234</v>
      </c>
      <c r="C444" s="8">
        <v>46133.0</v>
      </c>
      <c r="D444" s="8">
        <v>46136.0</v>
      </c>
      <c r="E444" s="7" t="s">
        <v>404</v>
      </c>
      <c r="F444" s="7" t="s">
        <v>405</v>
      </c>
      <c r="G444" s="7" t="s">
        <v>355</v>
      </c>
      <c r="H444" s="7" t="s">
        <v>355</v>
      </c>
      <c r="I444" s="14"/>
      <c r="J444" s="14"/>
      <c r="K444" s="14"/>
      <c r="L444" s="14"/>
      <c r="M444" s="14"/>
    </row>
    <row r="445" ht="18.75" customHeight="1">
      <c r="A445" s="7" t="s">
        <v>1235</v>
      </c>
      <c r="B445" s="7" t="s">
        <v>1236</v>
      </c>
      <c r="C445" s="8">
        <v>46128.0</v>
      </c>
      <c r="D445" s="8">
        <v>46128.0</v>
      </c>
      <c r="E445" s="7" t="s">
        <v>353</v>
      </c>
      <c r="F445" s="7" t="s">
        <v>378</v>
      </c>
      <c r="G445" s="7" t="s">
        <v>355</v>
      </c>
      <c r="H445" s="7" t="s">
        <v>355</v>
      </c>
      <c r="I445" s="14"/>
      <c r="J445" s="14"/>
      <c r="K445" s="14"/>
      <c r="L445" s="14"/>
      <c r="M445" s="14"/>
    </row>
    <row r="446" ht="18.75" customHeight="1">
      <c r="A446" s="7" t="s">
        <v>1237</v>
      </c>
      <c r="B446" s="7" t="s">
        <v>1238</v>
      </c>
      <c r="C446" s="8">
        <v>46128.0</v>
      </c>
      <c r="D446" s="8">
        <v>46128.0</v>
      </c>
      <c r="E446" s="7" t="s">
        <v>353</v>
      </c>
      <c r="F446" s="7" t="s">
        <v>378</v>
      </c>
      <c r="G446" s="7" t="s">
        <v>355</v>
      </c>
      <c r="H446" s="7" t="s">
        <v>355</v>
      </c>
      <c r="I446" s="14"/>
      <c r="J446" s="14"/>
      <c r="K446" s="14"/>
      <c r="L446" s="14"/>
      <c r="M446" s="14"/>
    </row>
    <row r="447" ht="18.75" customHeight="1">
      <c r="A447" s="7" t="s">
        <v>1239</v>
      </c>
      <c r="B447" s="7" t="s">
        <v>1240</v>
      </c>
      <c r="C447" s="8">
        <v>46128.0</v>
      </c>
      <c r="D447" s="8">
        <v>46130.0</v>
      </c>
      <c r="E447" s="7" t="s">
        <v>364</v>
      </c>
      <c r="F447" s="7" t="s">
        <v>365</v>
      </c>
      <c r="G447" s="7" t="s">
        <v>355</v>
      </c>
      <c r="H447" s="7" t="s">
        <v>355</v>
      </c>
      <c r="I447" s="14"/>
      <c r="J447" s="14"/>
      <c r="K447" s="14"/>
      <c r="L447" s="14"/>
      <c r="M447" s="14"/>
    </row>
    <row r="448" ht="18.75" customHeight="1">
      <c r="A448" s="7" t="s">
        <v>1241</v>
      </c>
      <c r="B448" s="7" t="s">
        <v>1242</v>
      </c>
      <c r="C448" s="8">
        <v>46128.0</v>
      </c>
      <c r="D448" s="8">
        <v>46131.0</v>
      </c>
      <c r="E448" s="7" t="s">
        <v>364</v>
      </c>
      <c r="F448" s="7" t="s">
        <v>365</v>
      </c>
      <c r="G448" s="7" t="s">
        <v>355</v>
      </c>
      <c r="H448" s="7" t="s">
        <v>355</v>
      </c>
      <c r="I448" s="14"/>
      <c r="J448" s="14"/>
      <c r="K448" s="14"/>
      <c r="L448" s="14"/>
      <c r="M448" s="14"/>
    </row>
    <row r="449" ht="18.75" customHeight="1">
      <c r="A449" s="7" t="s">
        <v>1243</v>
      </c>
      <c r="B449" s="7" t="s">
        <v>1244</v>
      </c>
      <c r="C449" s="8">
        <v>46127.0</v>
      </c>
      <c r="D449" s="8">
        <v>46142.0</v>
      </c>
      <c r="E449" s="7" t="s">
        <v>358</v>
      </c>
      <c r="F449" s="7" t="s">
        <v>466</v>
      </c>
      <c r="G449" s="7" t="s">
        <v>355</v>
      </c>
      <c r="H449" s="7" t="s">
        <v>355</v>
      </c>
      <c r="I449" s="14"/>
      <c r="J449" s="14"/>
      <c r="K449" s="14"/>
      <c r="L449" s="14"/>
      <c r="M449" s="14"/>
    </row>
    <row r="450" ht="18.75" customHeight="1">
      <c r="A450" s="7" t="s">
        <v>1245</v>
      </c>
      <c r="B450" s="7" t="s">
        <v>1246</v>
      </c>
      <c r="C450" s="8">
        <v>46128.0</v>
      </c>
      <c r="D450" s="8">
        <v>46135.0</v>
      </c>
      <c r="E450" s="7" t="s">
        <v>416</v>
      </c>
      <c r="F450" s="7" t="s">
        <v>783</v>
      </c>
      <c r="G450" s="7" t="s">
        <v>355</v>
      </c>
      <c r="H450" s="7" t="s">
        <v>355</v>
      </c>
      <c r="I450" s="14"/>
      <c r="J450" s="14"/>
      <c r="K450" s="14"/>
      <c r="L450" s="14"/>
      <c r="M450" s="14"/>
    </row>
    <row r="451" ht="18.75" customHeight="1">
      <c r="A451" s="7" t="s">
        <v>1247</v>
      </c>
      <c r="B451" s="7" t="s">
        <v>1248</v>
      </c>
      <c r="C451" s="8">
        <v>46128.0</v>
      </c>
      <c r="D451" s="8">
        <v>46134.0</v>
      </c>
      <c r="E451" s="7" t="s">
        <v>416</v>
      </c>
      <c r="F451" s="7" t="s">
        <v>365</v>
      </c>
      <c r="G451" s="7" t="s">
        <v>355</v>
      </c>
      <c r="H451" s="7" t="s">
        <v>355</v>
      </c>
      <c r="I451" s="14"/>
      <c r="J451" s="14"/>
      <c r="K451" s="14"/>
      <c r="L451" s="14"/>
      <c r="M451" s="14"/>
    </row>
    <row r="452" ht="18.75" customHeight="1">
      <c r="A452" s="7" t="s">
        <v>1249</v>
      </c>
      <c r="B452" s="7" t="s">
        <v>1250</v>
      </c>
      <c r="C452" s="8">
        <v>46128.0</v>
      </c>
      <c r="D452" s="8">
        <v>46135.0</v>
      </c>
      <c r="E452" s="7" t="s">
        <v>416</v>
      </c>
      <c r="F452" s="7" t="s">
        <v>387</v>
      </c>
      <c r="G452" s="7" t="s">
        <v>355</v>
      </c>
      <c r="H452" s="7" t="s">
        <v>355</v>
      </c>
      <c r="I452" s="14"/>
      <c r="J452" s="14"/>
      <c r="K452" s="14"/>
      <c r="L452" s="14"/>
      <c r="M452" s="14"/>
    </row>
    <row r="453" ht="18.75" customHeight="1">
      <c r="A453" s="7" t="s">
        <v>1251</v>
      </c>
      <c r="B453" s="7" t="s">
        <v>1252</v>
      </c>
      <c r="C453" s="8">
        <v>46128.0</v>
      </c>
      <c r="D453" s="8">
        <v>46133.0</v>
      </c>
      <c r="E453" s="7" t="s">
        <v>416</v>
      </c>
      <c r="F453" s="7" t="s">
        <v>594</v>
      </c>
      <c r="G453" s="7" t="s">
        <v>355</v>
      </c>
      <c r="H453" s="7" t="s">
        <v>355</v>
      </c>
      <c r="I453" s="14"/>
      <c r="J453" s="14"/>
      <c r="K453" s="14"/>
      <c r="L453" s="14"/>
      <c r="M453" s="14"/>
    </row>
    <row r="454" ht="18.75" customHeight="1">
      <c r="A454" s="7" t="s">
        <v>1253</v>
      </c>
      <c r="B454" s="7" t="s">
        <v>1254</v>
      </c>
      <c r="C454" s="8">
        <v>46132.0</v>
      </c>
      <c r="D454" s="8">
        <v>46139.0</v>
      </c>
      <c r="E454" s="7" t="s">
        <v>416</v>
      </c>
      <c r="F454" s="7" t="s">
        <v>594</v>
      </c>
      <c r="G454" s="7" t="s">
        <v>355</v>
      </c>
      <c r="H454" s="7" t="s">
        <v>355</v>
      </c>
      <c r="I454" s="14"/>
      <c r="J454" s="14"/>
      <c r="K454" s="14"/>
      <c r="L454" s="14"/>
      <c r="M454" s="14"/>
    </row>
    <row r="455" ht="18.75" customHeight="1">
      <c r="A455" s="7" t="s">
        <v>1255</v>
      </c>
      <c r="B455" s="7" t="s">
        <v>1256</v>
      </c>
      <c r="C455" s="8">
        <v>46129.0</v>
      </c>
      <c r="D455" s="8">
        <v>46135.0</v>
      </c>
      <c r="E455" s="7" t="s">
        <v>416</v>
      </c>
      <c r="F455" s="7" t="s">
        <v>667</v>
      </c>
      <c r="G455" s="7" t="s">
        <v>355</v>
      </c>
      <c r="H455" s="7" t="s">
        <v>355</v>
      </c>
      <c r="I455" s="14"/>
      <c r="J455" s="14"/>
      <c r="K455" s="14"/>
      <c r="L455" s="14"/>
      <c r="M455" s="14"/>
    </row>
    <row r="456" ht="18.75" customHeight="1">
      <c r="A456" s="7" t="s">
        <v>1257</v>
      </c>
      <c r="B456" s="7" t="s">
        <v>1258</v>
      </c>
      <c r="C456" s="8">
        <v>46132.0</v>
      </c>
      <c r="D456" s="8">
        <v>46142.0</v>
      </c>
      <c r="E456" s="7" t="s">
        <v>416</v>
      </c>
      <c r="F456" s="7" t="s">
        <v>466</v>
      </c>
      <c r="G456" s="7" t="s">
        <v>355</v>
      </c>
      <c r="H456" s="7" t="s">
        <v>355</v>
      </c>
      <c r="I456" s="14"/>
      <c r="J456" s="14"/>
      <c r="K456" s="14"/>
      <c r="L456" s="14"/>
      <c r="M456" s="14"/>
    </row>
    <row r="457" ht="18.75" customHeight="1">
      <c r="A457" s="7" t="s">
        <v>1259</v>
      </c>
      <c r="B457" s="7" t="s">
        <v>1260</v>
      </c>
      <c r="C457" s="8">
        <v>46132.0</v>
      </c>
      <c r="D457" s="8">
        <v>46140.0</v>
      </c>
      <c r="E457" s="7" t="s">
        <v>416</v>
      </c>
      <c r="F457" s="7" t="s">
        <v>466</v>
      </c>
      <c r="G457" s="7" t="s">
        <v>355</v>
      </c>
      <c r="H457" s="7" t="s">
        <v>355</v>
      </c>
      <c r="I457" s="14"/>
      <c r="J457" s="14"/>
      <c r="K457" s="14"/>
      <c r="L457" s="14"/>
      <c r="M457" s="14"/>
    </row>
    <row r="458" ht="18.75" customHeight="1">
      <c r="A458" s="7" t="s">
        <v>1261</v>
      </c>
      <c r="B458" s="7" t="s">
        <v>1262</v>
      </c>
      <c r="C458" s="8">
        <v>46132.0</v>
      </c>
      <c r="D458" s="8">
        <v>46136.0</v>
      </c>
      <c r="E458" s="7" t="s">
        <v>416</v>
      </c>
      <c r="F458" s="7" t="s">
        <v>466</v>
      </c>
      <c r="G458" s="7" t="s">
        <v>355</v>
      </c>
      <c r="H458" s="7" t="s">
        <v>355</v>
      </c>
      <c r="I458" s="14"/>
      <c r="J458" s="14"/>
      <c r="K458" s="14"/>
      <c r="L458" s="14"/>
      <c r="M458" s="14"/>
    </row>
    <row r="459" ht="18.75" customHeight="1">
      <c r="A459" s="7" t="s">
        <v>1263</v>
      </c>
      <c r="B459" s="7" t="s">
        <v>1264</v>
      </c>
      <c r="C459" s="8">
        <v>46132.0</v>
      </c>
      <c r="D459" s="8">
        <v>46136.0</v>
      </c>
      <c r="E459" s="7" t="s">
        <v>416</v>
      </c>
      <c r="F459" s="7" t="s">
        <v>466</v>
      </c>
      <c r="G459" s="7" t="s">
        <v>355</v>
      </c>
      <c r="H459" s="7" t="s">
        <v>355</v>
      </c>
      <c r="I459" s="14"/>
      <c r="J459" s="14"/>
      <c r="K459" s="14"/>
      <c r="L459" s="14"/>
      <c r="M459" s="14"/>
    </row>
    <row r="460" ht="18.75" customHeight="1">
      <c r="A460" s="7" t="s">
        <v>1265</v>
      </c>
      <c r="B460" s="7" t="s">
        <v>1266</v>
      </c>
      <c r="C460" s="8">
        <v>46128.0</v>
      </c>
      <c r="D460" s="8">
        <v>46142.0</v>
      </c>
      <c r="E460" s="7" t="s">
        <v>404</v>
      </c>
      <c r="F460" s="7" t="s">
        <v>783</v>
      </c>
      <c r="G460" s="7" t="s">
        <v>355</v>
      </c>
      <c r="H460" s="7" t="s">
        <v>355</v>
      </c>
      <c r="I460" s="14"/>
      <c r="J460" s="14"/>
      <c r="K460" s="14"/>
      <c r="L460" s="14"/>
      <c r="M460" s="14"/>
    </row>
    <row r="461" ht="18.75" customHeight="1">
      <c r="A461" s="7" t="s">
        <v>1267</v>
      </c>
      <c r="B461" s="7" t="s">
        <v>1268</v>
      </c>
      <c r="C461" s="8">
        <v>46129.0</v>
      </c>
      <c r="D461" s="8">
        <v>46149.0</v>
      </c>
      <c r="E461" s="7" t="s">
        <v>416</v>
      </c>
      <c r="F461" s="7" t="s">
        <v>417</v>
      </c>
      <c r="G461" s="7" t="s">
        <v>355</v>
      </c>
      <c r="H461" s="7" t="s">
        <v>355</v>
      </c>
      <c r="I461" s="14"/>
      <c r="J461" s="14"/>
      <c r="K461" s="14"/>
      <c r="L461" s="14"/>
      <c r="M461" s="14"/>
    </row>
    <row r="462" ht="18.75" customHeight="1">
      <c r="A462" s="7" t="s">
        <v>1269</v>
      </c>
      <c r="B462" s="7" t="s">
        <v>1270</v>
      </c>
      <c r="C462" s="8">
        <v>46132.0</v>
      </c>
      <c r="D462" s="8">
        <v>46133.0</v>
      </c>
      <c r="E462" s="7" t="s">
        <v>416</v>
      </c>
      <c r="F462" s="7" t="s">
        <v>430</v>
      </c>
      <c r="G462" s="7" t="s">
        <v>355</v>
      </c>
      <c r="H462" s="7" t="s">
        <v>355</v>
      </c>
      <c r="I462" s="14"/>
      <c r="J462" s="14"/>
      <c r="K462" s="14"/>
      <c r="L462" s="14"/>
      <c r="M462" s="14"/>
    </row>
    <row r="463" ht="18.75" customHeight="1">
      <c r="A463" s="7" t="s">
        <v>1271</v>
      </c>
      <c r="B463" s="7" t="s">
        <v>1272</v>
      </c>
      <c r="C463" s="8">
        <v>46128.0</v>
      </c>
      <c r="D463" s="8">
        <v>46134.0</v>
      </c>
      <c r="E463" s="7" t="s">
        <v>416</v>
      </c>
      <c r="F463" s="7" t="s">
        <v>378</v>
      </c>
      <c r="G463" s="7" t="s">
        <v>355</v>
      </c>
      <c r="H463" s="7" t="s">
        <v>355</v>
      </c>
      <c r="I463" s="14"/>
      <c r="J463" s="14"/>
      <c r="K463" s="14"/>
      <c r="L463" s="14"/>
      <c r="M463" s="14"/>
    </row>
    <row r="464" ht="18.75" customHeight="1">
      <c r="A464" s="7" t="s">
        <v>1273</v>
      </c>
      <c r="B464" s="7" t="s">
        <v>1274</v>
      </c>
      <c r="C464" s="8">
        <v>46132.0</v>
      </c>
      <c r="D464" s="8">
        <v>46132.0</v>
      </c>
      <c r="E464" s="7" t="s">
        <v>353</v>
      </c>
      <c r="F464" s="7" t="s">
        <v>378</v>
      </c>
      <c r="G464" s="7" t="s">
        <v>355</v>
      </c>
      <c r="H464" s="7" t="s">
        <v>355</v>
      </c>
      <c r="I464" s="14"/>
      <c r="J464" s="14"/>
      <c r="K464" s="14"/>
      <c r="L464" s="14"/>
      <c r="M464" s="14"/>
    </row>
    <row r="465" ht="18.75" customHeight="1">
      <c r="A465" s="7" t="s">
        <v>1275</v>
      </c>
      <c r="B465" s="7" t="s">
        <v>1276</v>
      </c>
      <c r="C465" s="8">
        <v>46147.0</v>
      </c>
      <c r="D465" s="8">
        <v>46173.0</v>
      </c>
      <c r="E465" s="7" t="s">
        <v>353</v>
      </c>
      <c r="F465" s="7" t="s">
        <v>378</v>
      </c>
      <c r="G465" s="7" t="s">
        <v>355</v>
      </c>
      <c r="H465" s="7" t="s">
        <v>355</v>
      </c>
      <c r="I465" s="14"/>
      <c r="J465" s="14"/>
      <c r="K465" s="14"/>
      <c r="L465" s="14"/>
      <c r="M465" s="14"/>
    </row>
    <row r="466" ht="18.75" customHeight="1">
      <c r="A466" s="7" t="s">
        <v>1277</v>
      </c>
      <c r="B466" s="7" t="s">
        <v>1278</v>
      </c>
      <c r="C466" s="8">
        <v>46148.0</v>
      </c>
      <c r="D466" s="8">
        <v>46163.0</v>
      </c>
      <c r="E466" s="7" t="s">
        <v>353</v>
      </c>
      <c r="F466" s="7" t="s">
        <v>378</v>
      </c>
      <c r="G466" s="7" t="s">
        <v>355</v>
      </c>
      <c r="H466" s="7" t="s">
        <v>355</v>
      </c>
      <c r="I466" s="14"/>
      <c r="J466" s="14"/>
      <c r="K466" s="14"/>
      <c r="L466" s="14"/>
      <c r="M466" s="14"/>
    </row>
    <row r="467" ht="18.75" customHeight="1">
      <c r="A467" s="7" t="s">
        <v>1279</v>
      </c>
      <c r="B467" s="7" t="s">
        <v>1280</v>
      </c>
      <c r="C467" s="8">
        <v>46140.0</v>
      </c>
      <c r="D467" s="8">
        <v>46154.0</v>
      </c>
      <c r="E467" s="7" t="s">
        <v>353</v>
      </c>
      <c r="F467" s="7" t="s">
        <v>378</v>
      </c>
      <c r="G467" s="7" t="s">
        <v>355</v>
      </c>
      <c r="H467" s="7" t="s">
        <v>355</v>
      </c>
      <c r="I467" s="14"/>
      <c r="J467" s="14"/>
      <c r="K467" s="14"/>
      <c r="L467" s="14"/>
      <c r="M467" s="14"/>
    </row>
    <row r="468" ht="18.75" customHeight="1">
      <c r="A468" s="7" t="s">
        <v>1281</v>
      </c>
      <c r="B468" s="7" t="s">
        <v>1282</v>
      </c>
      <c r="C468" s="8">
        <v>46129.0</v>
      </c>
      <c r="D468" s="8">
        <v>46140.0</v>
      </c>
      <c r="E468" s="7" t="s">
        <v>416</v>
      </c>
      <c r="F468" s="7" t="s">
        <v>725</v>
      </c>
      <c r="G468" s="7" t="s">
        <v>355</v>
      </c>
      <c r="H468" s="7" t="s">
        <v>355</v>
      </c>
      <c r="I468" s="14"/>
      <c r="J468" s="14"/>
      <c r="K468" s="14"/>
      <c r="L468" s="14"/>
      <c r="M468" s="14"/>
    </row>
    <row r="469" ht="18.75" customHeight="1">
      <c r="A469" s="7" t="s">
        <v>1283</v>
      </c>
      <c r="B469" s="7" t="s">
        <v>1284</v>
      </c>
      <c r="C469" s="8">
        <v>46129.0</v>
      </c>
      <c r="D469" s="8">
        <v>46159.0</v>
      </c>
      <c r="E469" s="7" t="s">
        <v>503</v>
      </c>
      <c r="F469" s="7" t="s">
        <v>928</v>
      </c>
      <c r="G469" s="7" t="s">
        <v>355</v>
      </c>
      <c r="H469" s="7" t="s">
        <v>355</v>
      </c>
      <c r="I469" s="14"/>
      <c r="J469" s="14"/>
      <c r="K469" s="14"/>
      <c r="L469" s="14"/>
      <c r="M469" s="14"/>
    </row>
    <row r="470" ht="18.75" customHeight="1">
      <c r="A470" s="7" t="s">
        <v>1285</v>
      </c>
      <c r="B470" s="7" t="s">
        <v>1286</v>
      </c>
      <c r="C470" s="8">
        <v>46133.0</v>
      </c>
      <c r="D470" s="8">
        <v>46133.0</v>
      </c>
      <c r="E470" s="7" t="s">
        <v>404</v>
      </c>
      <c r="F470" s="7" t="s">
        <v>474</v>
      </c>
      <c r="G470" s="7" t="s">
        <v>355</v>
      </c>
      <c r="H470" s="7" t="s">
        <v>355</v>
      </c>
      <c r="I470" s="14"/>
      <c r="J470" s="14"/>
      <c r="K470" s="14"/>
      <c r="L470" s="14"/>
      <c r="M470" s="14"/>
    </row>
    <row r="471" ht="18.75" customHeight="1">
      <c r="A471" s="7" t="s">
        <v>1287</v>
      </c>
      <c r="B471" s="7" t="s">
        <v>1288</v>
      </c>
      <c r="C471" s="8">
        <v>46139.0</v>
      </c>
      <c r="D471" s="8">
        <v>46139.0</v>
      </c>
      <c r="E471" s="7" t="s">
        <v>404</v>
      </c>
      <c r="F471" s="7" t="s">
        <v>474</v>
      </c>
      <c r="G471" s="7" t="s">
        <v>355</v>
      </c>
      <c r="H471" s="7" t="s">
        <v>355</v>
      </c>
      <c r="I471" s="14"/>
      <c r="J471" s="14"/>
      <c r="K471" s="14"/>
      <c r="L471" s="14"/>
      <c r="M471" s="14"/>
    </row>
    <row r="472" ht="18.75" customHeight="1">
      <c r="A472" s="7" t="s">
        <v>1289</v>
      </c>
      <c r="B472" s="7" t="s">
        <v>1290</v>
      </c>
      <c r="C472" s="8">
        <v>46128.0</v>
      </c>
      <c r="D472" s="8">
        <v>46149.0</v>
      </c>
      <c r="E472" s="7" t="s">
        <v>364</v>
      </c>
      <c r="F472" s="7" t="s">
        <v>365</v>
      </c>
      <c r="G472" s="7" t="s">
        <v>355</v>
      </c>
      <c r="H472" s="7" t="s">
        <v>355</v>
      </c>
      <c r="I472" s="14"/>
      <c r="J472" s="14"/>
      <c r="K472" s="14"/>
      <c r="L472" s="14"/>
      <c r="M472" s="14"/>
    </row>
    <row r="473" ht="18.75" customHeight="1">
      <c r="A473" s="7" t="s">
        <v>1291</v>
      </c>
      <c r="B473" s="7" t="s">
        <v>1292</v>
      </c>
      <c r="C473" s="8">
        <v>46132.0</v>
      </c>
      <c r="D473" s="8">
        <v>46265.0</v>
      </c>
      <c r="E473" s="7" t="s">
        <v>353</v>
      </c>
      <c r="F473" s="7" t="s">
        <v>354</v>
      </c>
      <c r="G473" s="7" t="s">
        <v>410</v>
      </c>
      <c r="H473" s="7" t="s">
        <v>410</v>
      </c>
      <c r="I473" s="14"/>
      <c r="J473" s="14"/>
      <c r="K473" s="14"/>
      <c r="L473" s="14"/>
      <c r="M473" s="14"/>
    </row>
    <row r="474" ht="18.75" customHeight="1">
      <c r="A474" s="7" t="s">
        <v>1293</v>
      </c>
      <c r="B474" s="7" t="s">
        <v>1294</v>
      </c>
      <c r="C474" s="8">
        <v>46129.0</v>
      </c>
      <c r="D474" s="8">
        <v>46167.0</v>
      </c>
      <c r="E474" s="7" t="s">
        <v>364</v>
      </c>
      <c r="F474" s="7" t="s">
        <v>365</v>
      </c>
      <c r="G474" s="7" t="s">
        <v>355</v>
      </c>
      <c r="H474" s="7" t="s">
        <v>355</v>
      </c>
      <c r="I474" s="14"/>
      <c r="J474" s="14"/>
      <c r="K474" s="14"/>
      <c r="L474" s="14"/>
      <c r="M474" s="14"/>
    </row>
    <row r="475" ht="18.75" customHeight="1">
      <c r="A475" s="7" t="s">
        <v>1295</v>
      </c>
      <c r="B475" s="7" t="s">
        <v>1296</v>
      </c>
      <c r="C475" s="8">
        <v>46129.0</v>
      </c>
      <c r="D475" s="8">
        <v>46133.0</v>
      </c>
      <c r="E475" s="7" t="s">
        <v>364</v>
      </c>
      <c r="F475" s="7" t="s">
        <v>365</v>
      </c>
      <c r="G475" s="7" t="s">
        <v>355</v>
      </c>
      <c r="H475" s="7" t="s">
        <v>355</v>
      </c>
      <c r="I475" s="14"/>
      <c r="J475" s="14"/>
      <c r="K475" s="14"/>
      <c r="L475" s="14"/>
      <c r="M475" s="14"/>
    </row>
    <row r="476" ht="18.75" customHeight="1">
      <c r="A476" s="7" t="s">
        <v>1297</v>
      </c>
      <c r="B476" s="7" t="s">
        <v>1298</v>
      </c>
      <c r="C476" s="8">
        <v>46133.0</v>
      </c>
      <c r="D476" s="8">
        <v>46139.0</v>
      </c>
      <c r="E476" s="7" t="s">
        <v>404</v>
      </c>
      <c r="F476" s="7" t="s">
        <v>405</v>
      </c>
      <c r="G476" s="7" t="s">
        <v>355</v>
      </c>
      <c r="H476" s="7" t="s">
        <v>355</v>
      </c>
      <c r="I476" s="14"/>
      <c r="J476" s="14"/>
      <c r="K476" s="14"/>
      <c r="L476" s="14"/>
      <c r="M476" s="14"/>
    </row>
    <row r="477" ht="18.75" customHeight="1">
      <c r="A477" s="7" t="s">
        <v>1299</v>
      </c>
      <c r="B477" s="7" t="s">
        <v>1300</v>
      </c>
      <c r="C477" s="8">
        <v>46133.0</v>
      </c>
      <c r="D477" s="8">
        <v>46159.0</v>
      </c>
      <c r="E477" s="7" t="s">
        <v>364</v>
      </c>
      <c r="F477" s="7" t="s">
        <v>688</v>
      </c>
      <c r="G477" s="7" t="s">
        <v>355</v>
      </c>
      <c r="H477" s="7" t="s">
        <v>355</v>
      </c>
      <c r="I477" s="14"/>
      <c r="J477" s="14"/>
      <c r="K477" s="14"/>
      <c r="L477" s="14"/>
      <c r="M477" s="14"/>
    </row>
    <row r="478" ht="18.75" customHeight="1">
      <c r="A478" s="7" t="s">
        <v>1301</v>
      </c>
      <c r="B478" s="7" t="s">
        <v>1302</v>
      </c>
      <c r="C478" s="8">
        <v>46134.0</v>
      </c>
      <c r="D478" s="8">
        <v>46134.0</v>
      </c>
      <c r="E478" s="7" t="s">
        <v>416</v>
      </c>
      <c r="F478" s="7" t="s">
        <v>430</v>
      </c>
      <c r="G478" s="7" t="s">
        <v>355</v>
      </c>
      <c r="H478" s="7" t="s">
        <v>355</v>
      </c>
      <c r="I478" s="14"/>
      <c r="J478" s="14"/>
      <c r="K478" s="14"/>
      <c r="L478" s="14"/>
      <c r="M478" s="14"/>
    </row>
    <row r="479" ht="18.75" customHeight="1">
      <c r="A479" s="7" t="s">
        <v>1303</v>
      </c>
      <c r="B479" s="7" t="s">
        <v>1304</v>
      </c>
      <c r="C479" s="8">
        <v>46134.0</v>
      </c>
      <c r="D479" s="8">
        <v>46134.0</v>
      </c>
      <c r="E479" s="7" t="s">
        <v>416</v>
      </c>
      <c r="F479" s="7" t="s">
        <v>430</v>
      </c>
      <c r="G479" s="7" t="s">
        <v>355</v>
      </c>
      <c r="H479" s="7" t="s">
        <v>355</v>
      </c>
      <c r="I479" s="14"/>
      <c r="J479" s="14"/>
      <c r="K479" s="14"/>
      <c r="L479" s="14"/>
      <c r="M479" s="14"/>
    </row>
    <row r="480" ht="18.75" customHeight="1">
      <c r="A480" s="7" t="s">
        <v>1305</v>
      </c>
      <c r="B480" s="7" t="s">
        <v>1306</v>
      </c>
      <c r="C480" s="8">
        <v>46135.0</v>
      </c>
      <c r="D480" s="8">
        <v>46149.0</v>
      </c>
      <c r="E480" s="7" t="s">
        <v>353</v>
      </c>
      <c r="F480" s="7" t="s">
        <v>378</v>
      </c>
      <c r="G480" s="7" t="s">
        <v>355</v>
      </c>
      <c r="H480" s="7" t="s">
        <v>355</v>
      </c>
      <c r="I480" s="14"/>
      <c r="J480" s="14"/>
      <c r="K480" s="14"/>
      <c r="L480" s="14"/>
      <c r="M480" s="14"/>
    </row>
    <row r="481" ht="18.75" customHeight="1">
      <c r="A481" s="7" t="s">
        <v>1307</v>
      </c>
      <c r="B481" s="7" t="s">
        <v>1308</v>
      </c>
      <c r="C481" s="8">
        <v>46134.0</v>
      </c>
      <c r="D481" s="8">
        <v>46152.0</v>
      </c>
      <c r="E481" s="7" t="s">
        <v>416</v>
      </c>
      <c r="F481" s="7" t="s">
        <v>417</v>
      </c>
      <c r="G481" s="7" t="s">
        <v>355</v>
      </c>
      <c r="H481" s="7" t="s">
        <v>355</v>
      </c>
      <c r="I481" s="14"/>
      <c r="J481" s="14"/>
      <c r="K481" s="14"/>
      <c r="L481" s="14"/>
      <c r="M481" s="14"/>
    </row>
    <row r="482" ht="18.75" customHeight="1">
      <c r="A482" s="7" t="s">
        <v>1309</v>
      </c>
      <c r="B482" s="7" t="s">
        <v>1310</v>
      </c>
      <c r="C482" s="8">
        <v>46168.0</v>
      </c>
      <c r="D482" s="8">
        <v>46189.0</v>
      </c>
      <c r="E482" s="7" t="s">
        <v>353</v>
      </c>
      <c r="F482" s="7" t="s">
        <v>378</v>
      </c>
      <c r="G482" s="7" t="s">
        <v>355</v>
      </c>
      <c r="H482" s="7" t="s">
        <v>355</v>
      </c>
      <c r="I482" s="14"/>
      <c r="J482" s="14"/>
      <c r="K482" s="14"/>
      <c r="L482" s="14"/>
      <c r="M482" s="14"/>
    </row>
    <row r="483" ht="18.75" customHeight="1">
      <c r="A483" s="7" t="s">
        <v>1311</v>
      </c>
      <c r="B483" s="7" t="s">
        <v>1312</v>
      </c>
      <c r="C483" s="8">
        <v>46135.0</v>
      </c>
      <c r="D483" s="8">
        <v>46138.0</v>
      </c>
      <c r="E483" s="7" t="s">
        <v>364</v>
      </c>
      <c r="F483" s="7" t="s">
        <v>365</v>
      </c>
      <c r="G483" s="7" t="s">
        <v>355</v>
      </c>
      <c r="H483" s="7" t="s">
        <v>355</v>
      </c>
      <c r="I483" s="14"/>
      <c r="J483" s="14"/>
      <c r="K483" s="14"/>
      <c r="L483" s="14"/>
      <c r="M483" s="14"/>
    </row>
    <row r="484" ht="18.75" customHeight="1">
      <c r="A484" s="7" t="s">
        <v>1313</v>
      </c>
      <c r="B484" s="7" t="s">
        <v>1314</v>
      </c>
      <c r="C484" s="8">
        <v>46132.0</v>
      </c>
      <c r="D484" s="8">
        <v>46142.0</v>
      </c>
      <c r="E484" s="7" t="s">
        <v>416</v>
      </c>
      <c r="F484" s="7" t="s">
        <v>430</v>
      </c>
      <c r="G484" s="7" t="s">
        <v>355</v>
      </c>
      <c r="H484" s="7" t="s">
        <v>355</v>
      </c>
      <c r="I484" s="14"/>
      <c r="J484" s="14"/>
      <c r="K484" s="14"/>
      <c r="L484" s="14"/>
      <c r="M484" s="14"/>
    </row>
    <row r="485" ht="18.75" customHeight="1">
      <c r="A485" s="7" t="s">
        <v>1315</v>
      </c>
      <c r="B485" s="7" t="s">
        <v>1316</v>
      </c>
      <c r="C485" s="8">
        <v>46133.0</v>
      </c>
      <c r="D485" s="8">
        <v>46140.0</v>
      </c>
      <c r="E485" s="7" t="s">
        <v>416</v>
      </c>
      <c r="F485" s="7" t="s">
        <v>725</v>
      </c>
      <c r="G485" s="7" t="s">
        <v>355</v>
      </c>
      <c r="H485" s="7" t="s">
        <v>355</v>
      </c>
      <c r="I485" s="14"/>
      <c r="J485" s="14"/>
      <c r="K485" s="14"/>
      <c r="L485" s="14"/>
      <c r="M485" s="14"/>
    </row>
    <row r="486" ht="18.75" customHeight="1">
      <c r="A486" s="7" t="s">
        <v>1317</v>
      </c>
      <c r="B486" s="7" t="s">
        <v>1318</v>
      </c>
      <c r="C486" s="8">
        <v>46136.0</v>
      </c>
      <c r="D486" s="8">
        <v>46136.0</v>
      </c>
      <c r="E486" s="7" t="s">
        <v>416</v>
      </c>
      <c r="F486" s="7" t="s">
        <v>430</v>
      </c>
      <c r="G486" s="7" t="s">
        <v>355</v>
      </c>
      <c r="H486" s="7" t="s">
        <v>355</v>
      </c>
      <c r="I486" s="14"/>
      <c r="J486" s="14"/>
      <c r="K486" s="14"/>
      <c r="L486" s="14"/>
      <c r="M486" s="14"/>
    </row>
    <row r="487" ht="18.75" customHeight="1">
      <c r="A487" s="7" t="s">
        <v>1319</v>
      </c>
      <c r="B487" s="7" t="s">
        <v>1320</v>
      </c>
      <c r="C487" s="8">
        <v>46136.0</v>
      </c>
      <c r="D487" s="8">
        <v>46139.0</v>
      </c>
      <c r="E487" s="7" t="s">
        <v>416</v>
      </c>
      <c r="F487" s="7" t="s">
        <v>430</v>
      </c>
      <c r="G487" s="7" t="s">
        <v>355</v>
      </c>
      <c r="H487" s="7" t="s">
        <v>355</v>
      </c>
      <c r="I487" s="14"/>
      <c r="J487" s="14"/>
      <c r="K487" s="14"/>
      <c r="L487" s="14"/>
      <c r="M487" s="14"/>
    </row>
    <row r="488" ht="18.75" customHeight="1">
      <c r="A488" s="7" t="s">
        <v>1321</v>
      </c>
      <c r="B488" s="7" t="s">
        <v>1322</v>
      </c>
      <c r="C488" s="8">
        <v>46178.0</v>
      </c>
      <c r="D488" s="8">
        <v>46195.0</v>
      </c>
      <c r="E488" s="7" t="s">
        <v>416</v>
      </c>
      <c r="F488" s="7" t="s">
        <v>417</v>
      </c>
      <c r="G488" s="7" t="s">
        <v>355</v>
      </c>
      <c r="H488" s="7" t="s">
        <v>2117</v>
      </c>
      <c r="I488" s="14"/>
      <c r="J488" s="14"/>
      <c r="K488" s="14"/>
      <c r="L488" s="14"/>
      <c r="M488" s="14"/>
    </row>
    <row r="489" ht="18.75" customHeight="1">
      <c r="A489" s="7" t="s">
        <v>1323</v>
      </c>
      <c r="B489" s="7" t="s">
        <v>1324</v>
      </c>
      <c r="C489" s="8">
        <v>46136.0</v>
      </c>
      <c r="D489" s="8">
        <v>46136.0</v>
      </c>
      <c r="E489" s="7" t="s">
        <v>358</v>
      </c>
      <c r="F489" s="7" t="s">
        <v>387</v>
      </c>
      <c r="G489" s="7" t="s">
        <v>355</v>
      </c>
      <c r="H489" s="7" t="s">
        <v>355</v>
      </c>
      <c r="I489" s="14"/>
      <c r="J489" s="14"/>
      <c r="K489" s="14"/>
      <c r="L489" s="14"/>
      <c r="M489" s="14"/>
    </row>
    <row r="490" ht="18.75" customHeight="1">
      <c r="A490" s="7" t="s">
        <v>1325</v>
      </c>
      <c r="B490" s="7" t="s">
        <v>1326</v>
      </c>
      <c r="C490" s="8">
        <v>46136.0</v>
      </c>
      <c r="D490" s="8">
        <v>46136.0</v>
      </c>
      <c r="E490" s="7" t="s">
        <v>358</v>
      </c>
      <c r="F490" s="7" t="s">
        <v>387</v>
      </c>
      <c r="G490" s="7" t="s">
        <v>355</v>
      </c>
      <c r="H490" s="7" t="s">
        <v>355</v>
      </c>
      <c r="I490" s="14"/>
      <c r="J490" s="14"/>
      <c r="K490" s="14"/>
      <c r="L490" s="14"/>
      <c r="M490" s="14"/>
    </row>
    <row r="491" ht="18.75" customHeight="1">
      <c r="A491" s="7" t="s">
        <v>1327</v>
      </c>
      <c r="B491" s="7" t="s">
        <v>1328</v>
      </c>
      <c r="C491" s="8">
        <v>46136.0</v>
      </c>
      <c r="D491" s="8">
        <v>46136.0</v>
      </c>
      <c r="E491" s="7" t="s">
        <v>358</v>
      </c>
      <c r="F491" s="7" t="s">
        <v>387</v>
      </c>
      <c r="G491" s="7" t="s">
        <v>355</v>
      </c>
      <c r="H491" s="7" t="s">
        <v>355</v>
      </c>
      <c r="I491" s="14"/>
      <c r="J491" s="14"/>
      <c r="K491" s="14"/>
      <c r="L491" s="14"/>
      <c r="M491" s="14"/>
    </row>
    <row r="492" ht="18.75" customHeight="1">
      <c r="A492" s="7" t="s">
        <v>1329</v>
      </c>
      <c r="B492" s="7" t="s">
        <v>1330</v>
      </c>
      <c r="C492" s="8">
        <v>46139.0</v>
      </c>
      <c r="D492" s="8">
        <v>46139.0</v>
      </c>
      <c r="E492" s="7" t="s">
        <v>358</v>
      </c>
      <c r="F492" s="7" t="s">
        <v>387</v>
      </c>
      <c r="G492" s="7" t="s">
        <v>355</v>
      </c>
      <c r="H492" s="7" t="s">
        <v>355</v>
      </c>
      <c r="I492" s="14"/>
      <c r="J492" s="14"/>
      <c r="K492" s="14"/>
      <c r="L492" s="14"/>
      <c r="M492" s="14"/>
    </row>
    <row r="493" ht="18.75" customHeight="1">
      <c r="A493" s="7" t="s">
        <v>1331</v>
      </c>
      <c r="B493" s="7" t="s">
        <v>1332</v>
      </c>
      <c r="C493" s="8">
        <v>46135.0</v>
      </c>
      <c r="D493" s="8">
        <v>46140.0</v>
      </c>
      <c r="E493" s="7" t="s">
        <v>416</v>
      </c>
      <c r="F493" s="7" t="s">
        <v>359</v>
      </c>
      <c r="G493" s="7" t="s">
        <v>355</v>
      </c>
      <c r="H493" s="7" t="s">
        <v>355</v>
      </c>
      <c r="I493" s="14"/>
      <c r="J493" s="14"/>
      <c r="K493" s="14"/>
      <c r="L493" s="14"/>
      <c r="M493" s="14"/>
    </row>
    <row r="494" ht="18.75" customHeight="1">
      <c r="A494" s="7" t="s">
        <v>1333</v>
      </c>
      <c r="B494" s="7" t="s">
        <v>1334</v>
      </c>
      <c r="C494" s="8">
        <v>46135.0</v>
      </c>
      <c r="D494" s="8">
        <v>46140.0</v>
      </c>
      <c r="E494" s="7" t="s">
        <v>416</v>
      </c>
      <c r="F494" s="7" t="s">
        <v>594</v>
      </c>
      <c r="G494" s="7" t="s">
        <v>355</v>
      </c>
      <c r="H494" s="7" t="s">
        <v>355</v>
      </c>
      <c r="I494" s="14"/>
      <c r="J494" s="14"/>
      <c r="K494" s="14"/>
      <c r="L494" s="14"/>
      <c r="M494" s="14"/>
    </row>
    <row r="495" ht="18.75" customHeight="1">
      <c r="A495" s="7" t="s">
        <v>1335</v>
      </c>
      <c r="B495" s="7" t="s">
        <v>1336</v>
      </c>
      <c r="C495" s="8">
        <v>46135.0</v>
      </c>
      <c r="D495" s="8">
        <v>46141.0</v>
      </c>
      <c r="E495" s="7" t="s">
        <v>416</v>
      </c>
      <c r="F495" s="7" t="s">
        <v>594</v>
      </c>
      <c r="G495" s="7" t="s">
        <v>355</v>
      </c>
      <c r="H495" s="7" t="s">
        <v>355</v>
      </c>
      <c r="I495" s="14"/>
      <c r="J495" s="14"/>
      <c r="K495" s="14"/>
      <c r="L495" s="14"/>
      <c r="M495" s="14"/>
    </row>
    <row r="496" ht="18.75" customHeight="1">
      <c r="A496" s="7" t="s">
        <v>1337</v>
      </c>
      <c r="B496" s="7" t="s">
        <v>1338</v>
      </c>
      <c r="C496" s="8">
        <v>46135.0</v>
      </c>
      <c r="D496" s="8">
        <v>46142.0</v>
      </c>
      <c r="E496" s="7" t="s">
        <v>353</v>
      </c>
      <c r="F496" s="7" t="s">
        <v>378</v>
      </c>
      <c r="G496" s="7" t="s">
        <v>355</v>
      </c>
      <c r="H496" s="7" t="s">
        <v>355</v>
      </c>
      <c r="I496" s="14"/>
      <c r="J496" s="14"/>
      <c r="K496" s="14"/>
      <c r="L496" s="14"/>
      <c r="M496" s="14"/>
    </row>
    <row r="497" ht="18.75" customHeight="1">
      <c r="A497" s="7" t="s">
        <v>1339</v>
      </c>
      <c r="B497" s="7" t="s">
        <v>1340</v>
      </c>
      <c r="C497" s="8">
        <v>46135.0</v>
      </c>
      <c r="D497" s="8">
        <v>46142.0</v>
      </c>
      <c r="E497" s="7" t="s">
        <v>416</v>
      </c>
      <c r="F497" s="7" t="s">
        <v>354</v>
      </c>
      <c r="G497" s="7" t="s">
        <v>355</v>
      </c>
      <c r="H497" s="7" t="s">
        <v>355</v>
      </c>
      <c r="I497" s="14"/>
      <c r="J497" s="14"/>
      <c r="K497" s="14"/>
      <c r="L497" s="14"/>
      <c r="M497" s="14"/>
    </row>
    <row r="498" ht="18.75" customHeight="1">
      <c r="A498" s="7" t="s">
        <v>1341</v>
      </c>
      <c r="B498" s="7" t="s">
        <v>1342</v>
      </c>
      <c r="C498" s="8">
        <v>46142.0</v>
      </c>
      <c r="D498" s="8">
        <v>46142.0</v>
      </c>
      <c r="E498" s="7" t="s">
        <v>416</v>
      </c>
      <c r="F498" s="7" t="s">
        <v>430</v>
      </c>
      <c r="G498" s="7" t="s">
        <v>355</v>
      </c>
      <c r="H498" s="7" t="s">
        <v>355</v>
      </c>
      <c r="I498" s="14"/>
      <c r="J498" s="14"/>
      <c r="K498" s="14"/>
      <c r="L498" s="14"/>
      <c r="M498" s="14"/>
    </row>
    <row r="499" ht="18.75" customHeight="1">
      <c r="A499" s="7" t="s">
        <v>1343</v>
      </c>
      <c r="B499" s="7" t="s">
        <v>1344</v>
      </c>
      <c r="C499" s="8">
        <v>46142.0</v>
      </c>
      <c r="D499" s="8">
        <v>46142.0</v>
      </c>
      <c r="E499" s="7" t="s">
        <v>416</v>
      </c>
      <c r="F499" s="7" t="s">
        <v>430</v>
      </c>
      <c r="G499" s="7" t="s">
        <v>355</v>
      </c>
      <c r="H499" s="7" t="s">
        <v>355</v>
      </c>
      <c r="I499" s="14"/>
      <c r="J499" s="14"/>
      <c r="K499" s="14"/>
      <c r="L499" s="14"/>
      <c r="M499" s="14"/>
    </row>
    <row r="500" ht="18.75" customHeight="1">
      <c r="A500" s="7" t="s">
        <v>1345</v>
      </c>
      <c r="B500" s="7" t="s">
        <v>1346</v>
      </c>
      <c r="C500" s="8">
        <v>46135.0</v>
      </c>
      <c r="D500" s="8">
        <v>46156.0</v>
      </c>
      <c r="E500" s="7" t="s">
        <v>416</v>
      </c>
      <c r="F500" s="7" t="s">
        <v>417</v>
      </c>
      <c r="G500" s="7" t="s">
        <v>355</v>
      </c>
      <c r="H500" s="7" t="s">
        <v>355</v>
      </c>
      <c r="I500" s="14"/>
      <c r="J500" s="14"/>
      <c r="K500" s="14"/>
      <c r="L500" s="14"/>
      <c r="M500" s="14"/>
    </row>
    <row r="501" ht="18.75" customHeight="1">
      <c r="A501" s="7" t="s">
        <v>1347</v>
      </c>
      <c r="B501" s="7" t="s">
        <v>1348</v>
      </c>
      <c r="C501" s="8">
        <v>46142.0</v>
      </c>
      <c r="D501" s="8">
        <v>46177.0</v>
      </c>
      <c r="E501" s="7" t="s">
        <v>364</v>
      </c>
      <c r="F501" s="7" t="s">
        <v>365</v>
      </c>
      <c r="G501" s="7" t="s">
        <v>355</v>
      </c>
      <c r="H501" s="7" t="s">
        <v>355</v>
      </c>
      <c r="I501" s="14"/>
      <c r="J501" s="14"/>
      <c r="K501" s="14"/>
      <c r="L501" s="14"/>
      <c r="M501" s="14"/>
    </row>
    <row r="502" ht="18.75" customHeight="1">
      <c r="A502" s="7" t="s">
        <v>1349</v>
      </c>
      <c r="B502" s="7" t="s">
        <v>1350</v>
      </c>
      <c r="C502" s="8">
        <v>46135.0</v>
      </c>
      <c r="D502" s="8">
        <v>46138.0</v>
      </c>
      <c r="E502" s="7" t="s">
        <v>364</v>
      </c>
      <c r="F502" s="7" t="s">
        <v>365</v>
      </c>
      <c r="G502" s="7" t="s">
        <v>355</v>
      </c>
      <c r="H502" s="7" t="s">
        <v>355</v>
      </c>
      <c r="I502" s="14"/>
      <c r="J502" s="14"/>
      <c r="K502" s="14"/>
      <c r="L502" s="14"/>
      <c r="M502" s="14"/>
    </row>
    <row r="503" ht="18.75" customHeight="1">
      <c r="A503" s="7" t="s">
        <v>1351</v>
      </c>
      <c r="B503" s="7" t="s">
        <v>1352</v>
      </c>
      <c r="C503" s="8">
        <v>46136.0</v>
      </c>
      <c r="D503" s="8">
        <v>46156.0</v>
      </c>
      <c r="E503" s="7" t="s">
        <v>416</v>
      </c>
      <c r="F503" s="7" t="s">
        <v>417</v>
      </c>
      <c r="G503" s="7" t="s">
        <v>355</v>
      </c>
      <c r="H503" s="7" t="s">
        <v>355</v>
      </c>
      <c r="I503" s="14"/>
      <c r="J503" s="14"/>
      <c r="K503" s="14"/>
      <c r="L503" s="14"/>
      <c r="M503" s="14"/>
    </row>
    <row r="504" ht="18.75" customHeight="1">
      <c r="A504" s="7" t="s">
        <v>1353</v>
      </c>
      <c r="B504" s="7" t="s">
        <v>1354</v>
      </c>
      <c r="C504" s="8">
        <v>46136.0</v>
      </c>
      <c r="D504" s="8">
        <v>46147.0</v>
      </c>
      <c r="E504" s="7" t="s">
        <v>416</v>
      </c>
      <c r="F504" s="7" t="s">
        <v>466</v>
      </c>
      <c r="G504" s="7" t="s">
        <v>355</v>
      </c>
      <c r="H504" s="7" t="s">
        <v>355</v>
      </c>
      <c r="I504" s="14"/>
      <c r="J504" s="14"/>
      <c r="K504" s="14"/>
      <c r="L504" s="14"/>
      <c r="M504" s="14"/>
    </row>
    <row r="505" ht="18.75" customHeight="1">
      <c r="A505" s="7" t="s">
        <v>1355</v>
      </c>
      <c r="B505" s="7" t="s">
        <v>1356</v>
      </c>
      <c r="C505" s="8">
        <v>46136.0</v>
      </c>
      <c r="D505" s="8">
        <v>46147.0</v>
      </c>
      <c r="E505" s="7" t="s">
        <v>416</v>
      </c>
      <c r="F505" s="7" t="s">
        <v>466</v>
      </c>
      <c r="G505" s="7" t="s">
        <v>355</v>
      </c>
      <c r="H505" s="7" t="s">
        <v>355</v>
      </c>
      <c r="I505" s="14"/>
      <c r="J505" s="14"/>
      <c r="K505" s="14"/>
      <c r="L505" s="14"/>
      <c r="M505" s="14"/>
    </row>
    <row r="506" ht="18.75" customHeight="1">
      <c r="A506" s="7" t="s">
        <v>1357</v>
      </c>
      <c r="B506" s="7" t="s">
        <v>1358</v>
      </c>
      <c r="C506" s="8">
        <v>46136.0</v>
      </c>
      <c r="D506" s="8">
        <v>46146.0</v>
      </c>
      <c r="E506" s="7" t="s">
        <v>416</v>
      </c>
      <c r="F506" s="7" t="s">
        <v>466</v>
      </c>
      <c r="G506" s="7" t="s">
        <v>355</v>
      </c>
      <c r="H506" s="7" t="s">
        <v>355</v>
      </c>
      <c r="I506" s="14"/>
      <c r="J506" s="14"/>
      <c r="K506" s="14"/>
      <c r="L506" s="14"/>
      <c r="M506" s="14"/>
    </row>
    <row r="507" ht="18.75" customHeight="1">
      <c r="A507" s="7" t="s">
        <v>1359</v>
      </c>
      <c r="B507" s="7" t="s">
        <v>1360</v>
      </c>
      <c r="C507" s="8">
        <v>46136.0</v>
      </c>
      <c r="D507" s="8">
        <v>46146.0</v>
      </c>
      <c r="E507" s="7" t="s">
        <v>416</v>
      </c>
      <c r="F507" s="7" t="s">
        <v>466</v>
      </c>
      <c r="G507" s="7" t="s">
        <v>355</v>
      </c>
      <c r="H507" s="7" t="s">
        <v>355</v>
      </c>
      <c r="I507" s="14"/>
      <c r="J507" s="14"/>
      <c r="K507" s="14"/>
      <c r="L507" s="14"/>
      <c r="M507" s="14"/>
    </row>
    <row r="508" ht="18.75" customHeight="1">
      <c r="A508" s="7" t="s">
        <v>1361</v>
      </c>
      <c r="B508" s="7" t="s">
        <v>1362</v>
      </c>
      <c r="C508" s="8">
        <v>46156.0</v>
      </c>
      <c r="D508" s="8">
        <v>46170.0</v>
      </c>
      <c r="E508" s="7" t="s">
        <v>353</v>
      </c>
      <c r="F508" s="7" t="s">
        <v>378</v>
      </c>
      <c r="G508" s="7" t="s">
        <v>355</v>
      </c>
      <c r="H508" s="7" t="s">
        <v>355</v>
      </c>
      <c r="I508" s="14"/>
      <c r="J508" s="14"/>
      <c r="K508" s="14"/>
      <c r="L508" s="14"/>
      <c r="M508" s="14"/>
    </row>
    <row r="509" ht="18.75" customHeight="1">
      <c r="A509" s="7" t="s">
        <v>1363</v>
      </c>
      <c r="B509" s="7" t="s">
        <v>1364</v>
      </c>
      <c r="C509" s="8">
        <v>46136.0</v>
      </c>
      <c r="D509" s="8">
        <v>46136.0</v>
      </c>
      <c r="E509" s="7" t="s">
        <v>416</v>
      </c>
      <c r="F509" s="7" t="s">
        <v>430</v>
      </c>
      <c r="G509" s="7" t="s">
        <v>355</v>
      </c>
      <c r="H509" s="7" t="s">
        <v>355</v>
      </c>
      <c r="I509" s="14"/>
      <c r="J509" s="14"/>
      <c r="K509" s="14"/>
      <c r="L509" s="14"/>
      <c r="M509" s="14"/>
    </row>
    <row r="510" ht="18.75" customHeight="1">
      <c r="A510" s="7" t="s">
        <v>1365</v>
      </c>
      <c r="B510" s="7" t="s">
        <v>1366</v>
      </c>
      <c r="C510" s="8">
        <v>46136.0</v>
      </c>
      <c r="D510" s="8">
        <v>46142.0</v>
      </c>
      <c r="E510" s="7" t="s">
        <v>353</v>
      </c>
      <c r="F510" s="7" t="s">
        <v>725</v>
      </c>
      <c r="G510" s="7" t="s">
        <v>355</v>
      </c>
      <c r="H510" s="7" t="s">
        <v>355</v>
      </c>
      <c r="I510" s="14"/>
      <c r="J510" s="14"/>
      <c r="K510" s="14"/>
      <c r="L510" s="14"/>
      <c r="M510" s="14"/>
    </row>
    <row r="511" ht="18.75" customHeight="1">
      <c r="A511" s="7" t="s">
        <v>1367</v>
      </c>
      <c r="B511" s="7" t="s">
        <v>1368</v>
      </c>
      <c r="C511" s="8">
        <v>46146.0</v>
      </c>
      <c r="D511" s="8">
        <v>46146.0</v>
      </c>
      <c r="E511" s="7" t="s">
        <v>416</v>
      </c>
      <c r="F511" s="7" t="s">
        <v>430</v>
      </c>
      <c r="G511" s="7" t="s">
        <v>355</v>
      </c>
      <c r="H511" s="7" t="s">
        <v>355</v>
      </c>
      <c r="I511" s="14"/>
      <c r="J511" s="14"/>
      <c r="K511" s="14"/>
      <c r="L511" s="14"/>
      <c r="M511" s="14"/>
    </row>
    <row r="512" ht="18.75" customHeight="1">
      <c r="A512" s="7" t="s">
        <v>1369</v>
      </c>
      <c r="B512" s="7" t="s">
        <v>1370</v>
      </c>
      <c r="C512" s="8">
        <v>46141.0</v>
      </c>
      <c r="D512" s="8">
        <v>46157.0</v>
      </c>
      <c r="E512" s="7" t="s">
        <v>353</v>
      </c>
      <c r="F512" s="7" t="s">
        <v>378</v>
      </c>
      <c r="G512" s="7" t="s">
        <v>355</v>
      </c>
      <c r="H512" s="7" t="s">
        <v>355</v>
      </c>
      <c r="I512" s="14"/>
      <c r="J512" s="14"/>
      <c r="K512" s="14"/>
      <c r="L512" s="14"/>
      <c r="M512" s="14"/>
    </row>
    <row r="513" ht="18.75" customHeight="1">
      <c r="A513" s="7" t="s">
        <v>1371</v>
      </c>
      <c r="B513" s="7" t="s">
        <v>1372</v>
      </c>
      <c r="C513" s="8">
        <v>46140.0</v>
      </c>
      <c r="D513" s="8">
        <v>46153.0</v>
      </c>
      <c r="E513" s="7" t="s">
        <v>358</v>
      </c>
      <c r="F513" s="7" t="s">
        <v>466</v>
      </c>
      <c r="G513" s="7" t="s">
        <v>355</v>
      </c>
      <c r="H513" s="7" t="s">
        <v>355</v>
      </c>
      <c r="I513" s="14"/>
      <c r="J513" s="14"/>
      <c r="K513" s="14"/>
      <c r="L513" s="14"/>
      <c r="M513" s="14"/>
    </row>
    <row r="514" ht="18.75" customHeight="1">
      <c r="A514" s="7" t="s">
        <v>1373</v>
      </c>
      <c r="B514" s="7" t="s">
        <v>1374</v>
      </c>
      <c r="C514" s="8">
        <v>46143.0</v>
      </c>
      <c r="D514" s="8">
        <v>46173.0</v>
      </c>
      <c r="E514" s="7" t="s">
        <v>364</v>
      </c>
      <c r="F514" s="7" t="s">
        <v>365</v>
      </c>
      <c r="G514" s="7" t="s">
        <v>355</v>
      </c>
      <c r="H514" s="7" t="s">
        <v>355</v>
      </c>
      <c r="I514" s="14"/>
      <c r="J514" s="14"/>
      <c r="K514" s="14"/>
      <c r="L514" s="14"/>
      <c r="M514" s="14"/>
    </row>
    <row r="515" ht="18.75" customHeight="1">
      <c r="A515" s="7" t="s">
        <v>1375</v>
      </c>
      <c r="B515" s="7" t="s">
        <v>1376</v>
      </c>
      <c r="C515" s="8">
        <v>46182.0</v>
      </c>
      <c r="D515" s="8">
        <v>46196.0</v>
      </c>
      <c r="E515" s="7" t="s">
        <v>353</v>
      </c>
      <c r="F515" s="7" t="s">
        <v>378</v>
      </c>
      <c r="G515" s="7" t="s">
        <v>355</v>
      </c>
      <c r="H515" s="7" t="s">
        <v>355</v>
      </c>
      <c r="I515" s="14"/>
      <c r="J515" s="14"/>
      <c r="K515" s="14"/>
      <c r="L515" s="14"/>
      <c r="M515" s="14"/>
    </row>
    <row r="516" ht="18.75" customHeight="1">
      <c r="A516" s="7" t="s">
        <v>1377</v>
      </c>
      <c r="B516" s="7" t="s">
        <v>1378</v>
      </c>
      <c r="C516" s="8">
        <v>46140.0</v>
      </c>
      <c r="D516" s="8">
        <v>46142.0</v>
      </c>
      <c r="E516" s="7" t="s">
        <v>358</v>
      </c>
      <c r="F516" s="7" t="s">
        <v>387</v>
      </c>
      <c r="G516" s="7" t="s">
        <v>355</v>
      </c>
      <c r="H516" s="7" t="s">
        <v>355</v>
      </c>
      <c r="I516" s="14"/>
      <c r="J516" s="14"/>
      <c r="K516" s="14"/>
      <c r="L516" s="14"/>
      <c r="M516" s="14"/>
    </row>
    <row r="517" ht="18.75" customHeight="1">
      <c r="A517" s="7" t="s">
        <v>1379</v>
      </c>
      <c r="B517" s="7" t="s">
        <v>1380</v>
      </c>
      <c r="C517" s="8">
        <v>46142.0</v>
      </c>
      <c r="D517" s="8">
        <v>46142.0</v>
      </c>
      <c r="E517" s="7" t="s">
        <v>358</v>
      </c>
      <c r="F517" s="7" t="s">
        <v>387</v>
      </c>
      <c r="G517" s="7" t="s">
        <v>355</v>
      </c>
      <c r="H517" s="7" t="s">
        <v>355</v>
      </c>
      <c r="I517" s="14"/>
      <c r="J517" s="14"/>
      <c r="K517" s="14"/>
      <c r="L517" s="14"/>
      <c r="M517" s="14"/>
    </row>
    <row r="518" ht="18.75" customHeight="1">
      <c r="A518" s="7" t="s">
        <v>1381</v>
      </c>
      <c r="B518" s="7" t="s">
        <v>1382</v>
      </c>
      <c r="C518" s="8">
        <v>46142.0</v>
      </c>
      <c r="D518" s="8">
        <v>46142.0</v>
      </c>
      <c r="E518" s="7" t="s">
        <v>358</v>
      </c>
      <c r="F518" s="7" t="s">
        <v>387</v>
      </c>
      <c r="G518" s="7" t="s">
        <v>355</v>
      </c>
      <c r="H518" s="7" t="s">
        <v>355</v>
      </c>
      <c r="I518" s="14"/>
      <c r="J518" s="14"/>
      <c r="K518" s="14"/>
      <c r="L518" s="14"/>
      <c r="M518" s="14"/>
    </row>
    <row r="519" ht="18.75" customHeight="1">
      <c r="A519" s="7" t="s">
        <v>1383</v>
      </c>
      <c r="B519" s="7" t="s">
        <v>1384</v>
      </c>
      <c r="C519" s="8">
        <v>46146.0</v>
      </c>
      <c r="D519" s="8">
        <v>46146.0</v>
      </c>
      <c r="E519" s="7" t="s">
        <v>358</v>
      </c>
      <c r="F519" s="7" t="s">
        <v>387</v>
      </c>
      <c r="G519" s="7" t="s">
        <v>355</v>
      </c>
      <c r="H519" s="7" t="s">
        <v>355</v>
      </c>
      <c r="I519" s="14"/>
      <c r="J519" s="14"/>
      <c r="K519" s="14"/>
      <c r="L519" s="14"/>
      <c r="M519" s="14"/>
    </row>
    <row r="520" ht="18.75" customHeight="1">
      <c r="A520" s="7" t="s">
        <v>1385</v>
      </c>
      <c r="B520" s="7" t="s">
        <v>1386</v>
      </c>
      <c r="C520" s="8">
        <v>46146.0</v>
      </c>
      <c r="D520" s="8">
        <v>46146.0</v>
      </c>
      <c r="E520" s="7" t="s">
        <v>358</v>
      </c>
      <c r="F520" s="7" t="s">
        <v>387</v>
      </c>
      <c r="G520" s="7" t="s">
        <v>355</v>
      </c>
      <c r="H520" s="7" t="s">
        <v>355</v>
      </c>
      <c r="I520" s="14"/>
      <c r="J520" s="14"/>
      <c r="K520" s="14"/>
      <c r="L520" s="14"/>
      <c r="M520" s="14"/>
    </row>
    <row r="521" ht="18.75" customHeight="1">
      <c r="A521" s="7" t="s">
        <v>1387</v>
      </c>
      <c r="B521" s="7" t="s">
        <v>1388</v>
      </c>
      <c r="C521" s="8">
        <v>46149.0</v>
      </c>
      <c r="D521" s="8">
        <v>46164.0</v>
      </c>
      <c r="E521" s="7" t="s">
        <v>353</v>
      </c>
      <c r="F521" s="7" t="s">
        <v>725</v>
      </c>
      <c r="G521" s="7" t="s">
        <v>355</v>
      </c>
      <c r="H521" s="7" t="s">
        <v>355</v>
      </c>
      <c r="I521" s="14"/>
      <c r="J521" s="14"/>
      <c r="K521" s="14"/>
      <c r="L521" s="14"/>
      <c r="M521" s="14"/>
    </row>
    <row r="522" ht="18.75" customHeight="1">
      <c r="A522" s="7" t="s">
        <v>1389</v>
      </c>
      <c r="B522" s="7" t="s">
        <v>1390</v>
      </c>
      <c r="C522" s="8">
        <v>46146.0</v>
      </c>
      <c r="D522" s="8">
        <v>46146.0</v>
      </c>
      <c r="E522" s="7" t="s">
        <v>416</v>
      </c>
      <c r="F522" s="7" t="s">
        <v>430</v>
      </c>
      <c r="G522" s="7" t="s">
        <v>355</v>
      </c>
      <c r="H522" s="7" t="s">
        <v>355</v>
      </c>
      <c r="I522" s="14"/>
      <c r="J522" s="14"/>
      <c r="K522" s="14"/>
      <c r="L522" s="14"/>
      <c r="M522" s="14"/>
    </row>
    <row r="523" ht="18.75" customHeight="1">
      <c r="A523" s="7" t="s">
        <v>1391</v>
      </c>
      <c r="B523" s="7" t="s">
        <v>1392</v>
      </c>
      <c r="C523" s="8">
        <v>46141.0</v>
      </c>
      <c r="D523" s="8">
        <v>46168.0</v>
      </c>
      <c r="E523" s="7" t="s">
        <v>353</v>
      </c>
      <c r="F523" s="7" t="s">
        <v>378</v>
      </c>
      <c r="G523" s="7" t="s">
        <v>355</v>
      </c>
      <c r="H523" s="7" t="s">
        <v>355</v>
      </c>
      <c r="I523" s="14"/>
      <c r="J523" s="14"/>
      <c r="K523" s="14"/>
      <c r="L523" s="14"/>
      <c r="M523" s="14"/>
    </row>
    <row r="524" ht="18.75" customHeight="1">
      <c r="A524" s="7" t="s">
        <v>1393</v>
      </c>
      <c r="B524" s="7" t="s">
        <v>1394</v>
      </c>
      <c r="C524" s="8">
        <v>46157.0</v>
      </c>
      <c r="D524" s="8">
        <v>46171.0</v>
      </c>
      <c r="E524" s="7" t="s">
        <v>353</v>
      </c>
      <c r="F524" s="7" t="s">
        <v>378</v>
      </c>
      <c r="G524" s="7" t="s">
        <v>355</v>
      </c>
      <c r="H524" s="7" t="s">
        <v>355</v>
      </c>
      <c r="I524" s="14"/>
      <c r="J524" s="14"/>
      <c r="K524" s="14"/>
      <c r="L524" s="14"/>
      <c r="M524" s="14"/>
    </row>
    <row r="525" ht="18.75" customHeight="1">
      <c r="A525" s="7" t="s">
        <v>1395</v>
      </c>
      <c r="B525" s="7" t="s">
        <v>1396</v>
      </c>
      <c r="C525" s="8">
        <v>46142.0</v>
      </c>
      <c r="D525" s="8">
        <v>46170.0</v>
      </c>
      <c r="E525" s="7" t="s">
        <v>358</v>
      </c>
      <c r="F525" s="7" t="s">
        <v>466</v>
      </c>
      <c r="G525" s="7" t="s">
        <v>355</v>
      </c>
      <c r="H525" s="7" t="s">
        <v>355</v>
      </c>
      <c r="I525" s="14"/>
      <c r="J525" s="14"/>
      <c r="K525" s="14"/>
      <c r="L525" s="14"/>
      <c r="M525" s="14"/>
    </row>
    <row r="526" ht="18.75" customHeight="1">
      <c r="A526" s="7" t="s">
        <v>1397</v>
      </c>
      <c r="B526" s="7" t="s">
        <v>1398</v>
      </c>
      <c r="C526" s="8">
        <v>46142.0</v>
      </c>
      <c r="D526" s="8">
        <v>46159.0</v>
      </c>
      <c r="E526" s="7" t="s">
        <v>416</v>
      </c>
      <c r="F526" s="7" t="s">
        <v>417</v>
      </c>
      <c r="G526" s="7" t="s">
        <v>355</v>
      </c>
      <c r="H526" s="7" t="s">
        <v>355</v>
      </c>
      <c r="I526" s="14"/>
      <c r="J526" s="14"/>
      <c r="K526" s="14"/>
      <c r="L526" s="14"/>
      <c r="M526" s="14"/>
    </row>
    <row r="527" ht="18.75" customHeight="1">
      <c r="A527" s="7" t="s">
        <v>1399</v>
      </c>
      <c r="B527" s="7" t="s">
        <v>1400</v>
      </c>
      <c r="C527" s="8">
        <v>46143.0</v>
      </c>
      <c r="D527" s="8">
        <v>46164.0</v>
      </c>
      <c r="E527" s="7" t="s">
        <v>416</v>
      </c>
      <c r="F527" s="7" t="s">
        <v>417</v>
      </c>
      <c r="G527" s="7" t="s">
        <v>355</v>
      </c>
      <c r="H527" s="7" t="s">
        <v>355</v>
      </c>
      <c r="I527" s="14"/>
      <c r="J527" s="14"/>
      <c r="K527" s="14"/>
      <c r="L527" s="14"/>
      <c r="M527" s="14"/>
    </row>
    <row r="528" ht="18.75" customHeight="1">
      <c r="A528" s="7" t="s">
        <v>1401</v>
      </c>
      <c r="B528" s="7" t="s">
        <v>1402</v>
      </c>
      <c r="C528" s="8">
        <v>46157.0</v>
      </c>
      <c r="D528" s="8">
        <v>46265.0</v>
      </c>
      <c r="E528" s="7" t="s">
        <v>358</v>
      </c>
      <c r="F528" s="7" t="s">
        <v>466</v>
      </c>
      <c r="G528" s="7" t="s">
        <v>410</v>
      </c>
      <c r="H528" s="7" t="s">
        <v>410</v>
      </c>
      <c r="I528" s="14"/>
      <c r="J528" s="14"/>
      <c r="K528" s="14"/>
      <c r="L528" s="14"/>
      <c r="M528" s="14"/>
    </row>
    <row r="529" ht="18.75" customHeight="1">
      <c r="A529" s="7" t="s">
        <v>1403</v>
      </c>
      <c r="B529" s="7" t="s">
        <v>1404</v>
      </c>
      <c r="C529" s="8">
        <v>46142.0</v>
      </c>
      <c r="D529" s="8">
        <v>46149.0</v>
      </c>
      <c r="E529" s="7" t="s">
        <v>416</v>
      </c>
      <c r="F529" s="7" t="s">
        <v>928</v>
      </c>
      <c r="G529" s="7" t="s">
        <v>355</v>
      </c>
      <c r="H529" s="7" t="s">
        <v>355</v>
      </c>
      <c r="I529" s="14"/>
      <c r="J529" s="14"/>
      <c r="K529" s="14"/>
      <c r="L529" s="14"/>
      <c r="M529" s="14"/>
    </row>
    <row r="530" ht="18.75" customHeight="1">
      <c r="A530" s="7" t="s">
        <v>1405</v>
      </c>
      <c r="B530" s="7" t="s">
        <v>1406</v>
      </c>
      <c r="C530" s="8">
        <v>46142.0</v>
      </c>
      <c r="D530" s="8">
        <v>46149.0</v>
      </c>
      <c r="E530" s="7" t="s">
        <v>416</v>
      </c>
      <c r="F530" s="7" t="s">
        <v>667</v>
      </c>
      <c r="G530" s="7" t="s">
        <v>355</v>
      </c>
      <c r="H530" s="7" t="s">
        <v>355</v>
      </c>
      <c r="I530" s="14"/>
      <c r="J530" s="14"/>
      <c r="K530" s="14"/>
      <c r="L530" s="14"/>
      <c r="M530" s="14"/>
    </row>
    <row r="531" ht="18.75" customHeight="1">
      <c r="A531" s="7" t="s">
        <v>1407</v>
      </c>
      <c r="B531" s="7" t="s">
        <v>1408</v>
      </c>
      <c r="C531" s="8">
        <v>46142.0</v>
      </c>
      <c r="D531" s="8">
        <v>46147.0</v>
      </c>
      <c r="E531" s="7" t="s">
        <v>416</v>
      </c>
      <c r="F531" s="7" t="s">
        <v>594</v>
      </c>
      <c r="G531" s="7" t="s">
        <v>355</v>
      </c>
      <c r="H531" s="7" t="s">
        <v>355</v>
      </c>
      <c r="I531" s="14"/>
      <c r="J531" s="14"/>
      <c r="K531" s="14"/>
      <c r="L531" s="14"/>
      <c r="M531" s="14"/>
    </row>
    <row r="532" ht="18.75" customHeight="1">
      <c r="A532" s="7" t="s">
        <v>1409</v>
      </c>
      <c r="B532" s="7" t="s">
        <v>1410</v>
      </c>
      <c r="C532" s="8">
        <v>46142.0</v>
      </c>
      <c r="D532" s="8">
        <v>46147.0</v>
      </c>
      <c r="E532" s="7" t="s">
        <v>416</v>
      </c>
      <c r="F532" s="7" t="s">
        <v>365</v>
      </c>
      <c r="G532" s="7" t="s">
        <v>355</v>
      </c>
      <c r="H532" s="7" t="s">
        <v>355</v>
      </c>
      <c r="I532" s="14"/>
      <c r="J532" s="14"/>
      <c r="K532" s="14"/>
      <c r="L532" s="14"/>
      <c r="M532" s="14"/>
    </row>
    <row r="533" ht="18.75" customHeight="1">
      <c r="A533" s="7" t="s">
        <v>1411</v>
      </c>
      <c r="B533" s="7" t="s">
        <v>1412</v>
      </c>
      <c r="C533" s="8">
        <v>46142.0</v>
      </c>
      <c r="D533" s="8">
        <v>46149.0</v>
      </c>
      <c r="E533" s="7" t="s">
        <v>416</v>
      </c>
      <c r="F533" s="7" t="s">
        <v>378</v>
      </c>
      <c r="G533" s="7" t="s">
        <v>355</v>
      </c>
      <c r="H533" s="7" t="s">
        <v>355</v>
      </c>
      <c r="I533" s="14"/>
      <c r="J533" s="14"/>
      <c r="K533" s="14"/>
      <c r="L533" s="14"/>
      <c r="M533" s="14"/>
    </row>
    <row r="534" ht="18.75" customHeight="1">
      <c r="A534" s="7" t="s">
        <v>1413</v>
      </c>
      <c r="B534" s="7" t="s">
        <v>1414</v>
      </c>
      <c r="C534" s="8">
        <v>46142.0</v>
      </c>
      <c r="D534" s="8">
        <v>46149.0</v>
      </c>
      <c r="E534" s="7" t="s">
        <v>416</v>
      </c>
      <c r="F534" s="7" t="s">
        <v>725</v>
      </c>
      <c r="G534" s="7" t="s">
        <v>355</v>
      </c>
      <c r="H534" s="7" t="s">
        <v>355</v>
      </c>
      <c r="I534" s="14"/>
      <c r="J534" s="14"/>
      <c r="K534" s="14"/>
      <c r="L534" s="14"/>
      <c r="M534" s="14"/>
    </row>
    <row r="535" ht="18.75" customHeight="1">
      <c r="A535" s="7" t="s">
        <v>1415</v>
      </c>
      <c r="B535" s="7" t="s">
        <v>1416</v>
      </c>
      <c r="C535" s="8">
        <v>46146.0</v>
      </c>
      <c r="D535" s="8">
        <v>46153.0</v>
      </c>
      <c r="E535" s="7" t="s">
        <v>416</v>
      </c>
      <c r="F535" s="7" t="s">
        <v>466</v>
      </c>
      <c r="G535" s="7" t="s">
        <v>355</v>
      </c>
      <c r="H535" s="7" t="s">
        <v>355</v>
      </c>
      <c r="I535" s="14"/>
      <c r="J535" s="14"/>
      <c r="K535" s="14"/>
      <c r="L535" s="14"/>
      <c r="M535" s="14"/>
    </row>
    <row r="536" ht="18.75" customHeight="1">
      <c r="A536" s="7" t="s">
        <v>1417</v>
      </c>
      <c r="B536" s="7" t="s">
        <v>1418</v>
      </c>
      <c r="C536" s="8">
        <v>46146.0</v>
      </c>
      <c r="D536" s="8">
        <v>46153.0</v>
      </c>
      <c r="E536" s="7" t="s">
        <v>416</v>
      </c>
      <c r="F536" s="7" t="s">
        <v>466</v>
      </c>
      <c r="G536" s="7" t="s">
        <v>355</v>
      </c>
      <c r="H536" s="7" t="s">
        <v>355</v>
      </c>
      <c r="I536" s="14"/>
      <c r="J536" s="14"/>
      <c r="K536" s="14"/>
      <c r="L536" s="14"/>
      <c r="M536" s="14"/>
    </row>
    <row r="537" ht="18.75" customHeight="1">
      <c r="A537" s="7" t="s">
        <v>1419</v>
      </c>
      <c r="B537" s="7" t="s">
        <v>1420</v>
      </c>
      <c r="C537" s="8">
        <v>46146.0</v>
      </c>
      <c r="D537" s="8">
        <v>46150.0</v>
      </c>
      <c r="E537" s="7" t="s">
        <v>416</v>
      </c>
      <c r="F537" s="7" t="s">
        <v>466</v>
      </c>
      <c r="G537" s="7" t="s">
        <v>355</v>
      </c>
      <c r="H537" s="7" t="s">
        <v>355</v>
      </c>
      <c r="I537" s="14"/>
      <c r="J537" s="14"/>
      <c r="K537" s="14"/>
      <c r="L537" s="14"/>
      <c r="M537" s="14"/>
    </row>
    <row r="538" ht="18.75" customHeight="1">
      <c r="A538" s="7" t="s">
        <v>1421</v>
      </c>
      <c r="B538" s="7" t="s">
        <v>1422</v>
      </c>
      <c r="C538" s="8">
        <v>46146.0</v>
      </c>
      <c r="D538" s="8">
        <v>46150.0</v>
      </c>
      <c r="E538" s="7" t="s">
        <v>416</v>
      </c>
      <c r="F538" s="7" t="s">
        <v>466</v>
      </c>
      <c r="G538" s="7" t="s">
        <v>355</v>
      </c>
      <c r="H538" s="7" t="s">
        <v>355</v>
      </c>
      <c r="I538" s="14"/>
      <c r="J538" s="14"/>
      <c r="K538" s="14"/>
      <c r="L538" s="14"/>
      <c r="M538" s="14"/>
    </row>
    <row r="539" ht="18.75" customHeight="1">
      <c r="A539" s="7" t="s">
        <v>1423</v>
      </c>
      <c r="B539" s="7" t="s">
        <v>1424</v>
      </c>
      <c r="C539" s="8">
        <v>46161.0</v>
      </c>
      <c r="D539" s="8">
        <v>46175.0</v>
      </c>
      <c r="E539" s="7" t="s">
        <v>358</v>
      </c>
      <c r="F539" s="7" t="s">
        <v>466</v>
      </c>
      <c r="G539" s="7" t="s">
        <v>355</v>
      </c>
      <c r="H539" s="7" t="s">
        <v>355</v>
      </c>
      <c r="I539" s="14"/>
      <c r="J539" s="14"/>
      <c r="K539" s="14"/>
      <c r="L539" s="14"/>
      <c r="M539" s="14"/>
    </row>
    <row r="540" ht="18.75" customHeight="1">
      <c r="A540" s="7" t="s">
        <v>1425</v>
      </c>
      <c r="B540" s="7" t="s">
        <v>1426</v>
      </c>
      <c r="C540" s="8">
        <v>46150.0</v>
      </c>
      <c r="D540" s="8">
        <v>46170.0</v>
      </c>
      <c r="E540" s="7" t="s">
        <v>358</v>
      </c>
      <c r="F540" s="7" t="s">
        <v>466</v>
      </c>
      <c r="G540" s="7" t="s">
        <v>355</v>
      </c>
      <c r="H540" s="7" t="s">
        <v>355</v>
      </c>
      <c r="I540" s="14"/>
      <c r="J540" s="14"/>
      <c r="K540" s="14"/>
      <c r="L540" s="14"/>
      <c r="M540" s="14"/>
    </row>
    <row r="541" ht="18.75" customHeight="1">
      <c r="A541" s="7" t="s">
        <v>1427</v>
      </c>
      <c r="B541" s="7" t="s">
        <v>1428</v>
      </c>
      <c r="C541" s="8">
        <v>46150.0</v>
      </c>
      <c r="D541" s="8">
        <v>46164.0</v>
      </c>
      <c r="E541" s="7" t="s">
        <v>358</v>
      </c>
      <c r="F541" s="7" t="s">
        <v>466</v>
      </c>
      <c r="G541" s="7" t="s">
        <v>355</v>
      </c>
      <c r="H541" s="7" t="s">
        <v>355</v>
      </c>
      <c r="I541" s="14"/>
      <c r="J541" s="14"/>
      <c r="K541" s="14"/>
      <c r="L541" s="14"/>
      <c r="M541" s="14"/>
    </row>
    <row r="542" ht="18.75" customHeight="1">
      <c r="A542" s="7" t="s">
        <v>1429</v>
      </c>
      <c r="B542" s="7" t="s">
        <v>1430</v>
      </c>
      <c r="C542" s="8">
        <v>46177.0</v>
      </c>
      <c r="D542" s="8">
        <v>46387.0</v>
      </c>
      <c r="E542" s="7" t="s">
        <v>416</v>
      </c>
      <c r="F542" s="7" t="s">
        <v>430</v>
      </c>
      <c r="G542" s="7" t="s">
        <v>410</v>
      </c>
      <c r="H542" s="7" t="s">
        <v>2120</v>
      </c>
      <c r="I542" s="14"/>
      <c r="J542" s="14"/>
      <c r="K542" s="14"/>
      <c r="L542" s="14"/>
      <c r="M542" s="14"/>
    </row>
    <row r="543" ht="18.75" customHeight="1">
      <c r="A543" s="7" t="s">
        <v>1431</v>
      </c>
      <c r="B543" s="7" t="s">
        <v>1432</v>
      </c>
      <c r="C543" s="8">
        <v>46177.0</v>
      </c>
      <c r="D543" s="8">
        <v>46387.0</v>
      </c>
      <c r="E543" s="7" t="s">
        <v>416</v>
      </c>
      <c r="F543" s="7" t="s">
        <v>430</v>
      </c>
      <c r="G543" s="7" t="s">
        <v>410</v>
      </c>
      <c r="H543" s="7" t="s">
        <v>2120</v>
      </c>
      <c r="I543" s="14"/>
      <c r="J543" s="14"/>
      <c r="K543" s="14"/>
      <c r="L543" s="14"/>
      <c r="M543" s="14"/>
    </row>
    <row r="544" ht="18.75" customHeight="1">
      <c r="A544" s="7" t="s">
        <v>1433</v>
      </c>
      <c r="B544" s="7" t="s">
        <v>1434</v>
      </c>
      <c r="C544" s="8">
        <v>46146.0</v>
      </c>
      <c r="D544" s="8">
        <v>46153.0</v>
      </c>
      <c r="E544" s="7" t="s">
        <v>416</v>
      </c>
      <c r="F544" s="7" t="s">
        <v>354</v>
      </c>
      <c r="G544" s="7" t="s">
        <v>355</v>
      </c>
      <c r="H544" s="7" t="s">
        <v>355</v>
      </c>
      <c r="I544" s="14"/>
      <c r="J544" s="14"/>
      <c r="K544" s="14"/>
      <c r="L544" s="14"/>
      <c r="M544" s="14"/>
    </row>
    <row r="545" ht="18.75" customHeight="1">
      <c r="A545" s="7" t="s">
        <v>1435</v>
      </c>
      <c r="B545" s="7" t="s">
        <v>1436</v>
      </c>
      <c r="C545" s="8">
        <v>46146.0</v>
      </c>
      <c r="D545" s="8">
        <v>46160.0</v>
      </c>
      <c r="E545" s="7" t="s">
        <v>358</v>
      </c>
      <c r="F545" s="7" t="s">
        <v>466</v>
      </c>
      <c r="G545" s="7" t="s">
        <v>355</v>
      </c>
      <c r="H545" s="7" t="s">
        <v>355</v>
      </c>
      <c r="I545" s="14"/>
      <c r="J545" s="14"/>
      <c r="K545" s="14"/>
      <c r="L545" s="14"/>
      <c r="M545" s="14"/>
    </row>
    <row r="546" ht="18.75" customHeight="1">
      <c r="A546" s="7" t="s">
        <v>1437</v>
      </c>
      <c r="B546" s="7" t="s">
        <v>1438</v>
      </c>
      <c r="C546" s="8">
        <v>46146.0</v>
      </c>
      <c r="D546" s="8">
        <v>46160.0</v>
      </c>
      <c r="E546" s="7" t="s">
        <v>358</v>
      </c>
      <c r="F546" s="7" t="s">
        <v>466</v>
      </c>
      <c r="G546" s="7" t="s">
        <v>355</v>
      </c>
      <c r="H546" s="7" t="s">
        <v>355</v>
      </c>
      <c r="I546" s="14"/>
      <c r="J546" s="14"/>
      <c r="K546" s="14"/>
      <c r="L546" s="14"/>
      <c r="M546" s="14"/>
    </row>
    <row r="547" ht="18.75" customHeight="1">
      <c r="A547" s="7" t="s">
        <v>1439</v>
      </c>
      <c r="B547" s="7" t="s">
        <v>1440</v>
      </c>
      <c r="C547" s="8">
        <v>46146.0</v>
      </c>
      <c r="D547" s="8">
        <v>46149.0</v>
      </c>
      <c r="E547" s="7" t="s">
        <v>364</v>
      </c>
      <c r="F547" s="7" t="s">
        <v>365</v>
      </c>
      <c r="G547" s="7" t="s">
        <v>355</v>
      </c>
      <c r="H547" s="7" t="s">
        <v>355</v>
      </c>
      <c r="I547" s="14"/>
      <c r="J547" s="14"/>
      <c r="K547" s="14"/>
      <c r="L547" s="14"/>
      <c r="M547" s="14"/>
    </row>
    <row r="548" ht="18.75" customHeight="1">
      <c r="A548" s="7" t="s">
        <v>1441</v>
      </c>
      <c r="B548" s="7" t="s">
        <v>1442</v>
      </c>
      <c r="C548" s="8">
        <v>46149.0</v>
      </c>
      <c r="D548" s="8">
        <v>46149.0</v>
      </c>
      <c r="E548" s="7" t="s">
        <v>416</v>
      </c>
      <c r="F548" s="7" t="s">
        <v>430</v>
      </c>
      <c r="G548" s="7" t="s">
        <v>355</v>
      </c>
      <c r="H548" s="7" t="s">
        <v>355</v>
      </c>
      <c r="I548" s="14"/>
      <c r="J548" s="14"/>
      <c r="K548" s="14"/>
      <c r="L548" s="14"/>
      <c r="M548" s="14"/>
    </row>
    <row r="549" ht="18.75" customHeight="1">
      <c r="A549" s="7" t="s">
        <v>1443</v>
      </c>
      <c r="B549" s="7" t="s">
        <v>1444</v>
      </c>
      <c r="C549" s="8">
        <v>46148.0</v>
      </c>
      <c r="D549" s="8">
        <v>46163.0</v>
      </c>
      <c r="E549" s="7" t="s">
        <v>404</v>
      </c>
      <c r="F549" s="7" t="s">
        <v>783</v>
      </c>
      <c r="G549" s="7" t="s">
        <v>355</v>
      </c>
      <c r="H549" s="7" t="s">
        <v>355</v>
      </c>
      <c r="I549" s="14"/>
      <c r="J549" s="14"/>
      <c r="K549" s="14"/>
      <c r="L549" s="14"/>
      <c r="M549" s="14"/>
    </row>
    <row r="550" ht="18.75" customHeight="1">
      <c r="A550" s="7" t="s">
        <v>1445</v>
      </c>
      <c r="B550" s="7" t="s">
        <v>1446</v>
      </c>
      <c r="C550" s="8">
        <v>46148.0</v>
      </c>
      <c r="D550" s="8">
        <v>46148.0</v>
      </c>
      <c r="E550" s="7" t="s">
        <v>404</v>
      </c>
      <c r="F550" s="7" t="s">
        <v>474</v>
      </c>
      <c r="G550" s="7" t="s">
        <v>355</v>
      </c>
      <c r="H550" s="7" t="s">
        <v>355</v>
      </c>
      <c r="I550" s="14"/>
      <c r="J550" s="14"/>
      <c r="K550" s="14"/>
      <c r="L550" s="14"/>
      <c r="M550" s="14"/>
    </row>
    <row r="551" ht="18.75" customHeight="1">
      <c r="A551" s="7" t="s">
        <v>1447</v>
      </c>
      <c r="B551" s="7" t="s">
        <v>1448</v>
      </c>
      <c r="C551" s="8">
        <v>46147.0</v>
      </c>
      <c r="D551" s="8">
        <v>46154.0</v>
      </c>
      <c r="E551" s="7" t="s">
        <v>416</v>
      </c>
      <c r="F551" s="7" t="s">
        <v>725</v>
      </c>
      <c r="G551" s="7" t="s">
        <v>355</v>
      </c>
      <c r="H551" s="7" t="s">
        <v>355</v>
      </c>
      <c r="I551" s="14"/>
      <c r="J551" s="14"/>
      <c r="K551" s="14"/>
      <c r="L551" s="14"/>
      <c r="M551" s="14"/>
    </row>
    <row r="552" ht="18.75" customHeight="1">
      <c r="A552" s="7" t="s">
        <v>1449</v>
      </c>
      <c r="B552" s="7" t="s">
        <v>1450</v>
      </c>
      <c r="C552" s="8">
        <v>46147.0</v>
      </c>
      <c r="D552" s="8">
        <v>46153.0</v>
      </c>
      <c r="E552" s="7" t="s">
        <v>416</v>
      </c>
      <c r="F552" s="7" t="s">
        <v>594</v>
      </c>
      <c r="G552" s="7" t="s">
        <v>355</v>
      </c>
      <c r="H552" s="7" t="s">
        <v>355</v>
      </c>
      <c r="I552" s="14"/>
      <c r="J552" s="14"/>
      <c r="K552" s="14"/>
      <c r="L552" s="14"/>
      <c r="M552" s="14"/>
    </row>
    <row r="553" ht="18.75" customHeight="1">
      <c r="A553" s="7" t="s">
        <v>1451</v>
      </c>
      <c r="B553" s="7" t="s">
        <v>1452</v>
      </c>
      <c r="C553" s="8">
        <v>46148.0</v>
      </c>
      <c r="D553" s="8">
        <v>46152.0</v>
      </c>
      <c r="E553" s="7" t="s">
        <v>364</v>
      </c>
      <c r="F553" s="7" t="s">
        <v>365</v>
      </c>
      <c r="G553" s="7" t="s">
        <v>355</v>
      </c>
      <c r="H553" s="7" t="s">
        <v>355</v>
      </c>
      <c r="I553" s="14"/>
      <c r="J553" s="14"/>
      <c r="K553" s="14"/>
      <c r="L553" s="14"/>
      <c r="M553" s="14"/>
    </row>
    <row r="554" ht="18.75" customHeight="1">
      <c r="A554" s="7" t="s">
        <v>1453</v>
      </c>
      <c r="B554" s="7" t="s">
        <v>1454</v>
      </c>
      <c r="C554" s="8">
        <v>46148.0</v>
      </c>
      <c r="D554" s="8">
        <v>46162.0</v>
      </c>
      <c r="E554" s="7" t="s">
        <v>358</v>
      </c>
      <c r="F554" s="7" t="s">
        <v>466</v>
      </c>
      <c r="G554" s="7" t="s">
        <v>355</v>
      </c>
      <c r="H554" s="7" t="s">
        <v>355</v>
      </c>
      <c r="I554" s="14"/>
      <c r="J554" s="14"/>
      <c r="K554" s="14"/>
      <c r="L554" s="14"/>
      <c r="M554" s="14"/>
    </row>
    <row r="555" ht="18.75" customHeight="1">
      <c r="A555" s="7" t="s">
        <v>1455</v>
      </c>
      <c r="B555" s="7" t="s">
        <v>1456</v>
      </c>
      <c r="C555" s="8">
        <v>46149.0</v>
      </c>
      <c r="D555" s="8">
        <v>46166.0</v>
      </c>
      <c r="E555" s="7" t="s">
        <v>416</v>
      </c>
      <c r="F555" s="7" t="s">
        <v>417</v>
      </c>
      <c r="G555" s="7" t="s">
        <v>355</v>
      </c>
      <c r="H555" s="7" t="s">
        <v>355</v>
      </c>
      <c r="I555" s="14"/>
      <c r="J555" s="14"/>
      <c r="K555" s="14"/>
      <c r="L555" s="14"/>
      <c r="M555" s="14"/>
    </row>
    <row r="556" ht="18.75" customHeight="1">
      <c r="A556" s="7" t="s">
        <v>1457</v>
      </c>
      <c r="B556" s="7" t="s">
        <v>1458</v>
      </c>
      <c r="C556" s="8">
        <v>46150.0</v>
      </c>
      <c r="D556" s="8">
        <v>46150.0</v>
      </c>
      <c r="E556" s="7" t="s">
        <v>358</v>
      </c>
      <c r="F556" s="7" t="s">
        <v>387</v>
      </c>
      <c r="G556" s="7" t="s">
        <v>355</v>
      </c>
      <c r="H556" s="7" t="s">
        <v>355</v>
      </c>
      <c r="I556" s="14"/>
      <c r="J556" s="14"/>
      <c r="K556" s="14"/>
      <c r="L556" s="14"/>
      <c r="M556" s="14"/>
    </row>
    <row r="557" ht="18.75" customHeight="1">
      <c r="A557" s="7" t="s">
        <v>1459</v>
      </c>
      <c r="B557" s="7" t="s">
        <v>1460</v>
      </c>
      <c r="C557" s="8">
        <v>46150.0</v>
      </c>
      <c r="D557" s="8">
        <v>46150.0</v>
      </c>
      <c r="E557" s="7" t="s">
        <v>358</v>
      </c>
      <c r="F557" s="7" t="s">
        <v>387</v>
      </c>
      <c r="G557" s="7" t="s">
        <v>355</v>
      </c>
      <c r="H557" s="7" t="s">
        <v>355</v>
      </c>
      <c r="I557" s="14"/>
      <c r="J557" s="14"/>
      <c r="K557" s="14"/>
      <c r="L557" s="14"/>
      <c r="M557" s="14"/>
    </row>
    <row r="558" ht="18.75" customHeight="1">
      <c r="A558" s="7" t="s">
        <v>1461</v>
      </c>
      <c r="B558" s="7" t="s">
        <v>1462</v>
      </c>
      <c r="C558" s="8">
        <v>46154.0</v>
      </c>
      <c r="D558" s="8">
        <v>46154.0</v>
      </c>
      <c r="E558" s="7" t="s">
        <v>358</v>
      </c>
      <c r="F558" s="7" t="s">
        <v>387</v>
      </c>
      <c r="G558" s="7" t="s">
        <v>355</v>
      </c>
      <c r="H558" s="7" t="s">
        <v>355</v>
      </c>
      <c r="I558" s="14"/>
      <c r="J558" s="14"/>
      <c r="K558" s="14"/>
      <c r="L558" s="14"/>
      <c r="M558" s="14"/>
    </row>
    <row r="559" ht="18.75" customHeight="1">
      <c r="A559" s="7" t="s">
        <v>1463</v>
      </c>
      <c r="B559" s="7" t="s">
        <v>1464</v>
      </c>
      <c r="C559" s="8">
        <v>46154.0</v>
      </c>
      <c r="D559" s="8">
        <v>46154.0</v>
      </c>
      <c r="E559" s="7" t="s">
        <v>358</v>
      </c>
      <c r="F559" s="7" t="s">
        <v>387</v>
      </c>
      <c r="G559" s="7" t="s">
        <v>355</v>
      </c>
      <c r="H559" s="7" t="s">
        <v>355</v>
      </c>
      <c r="I559" s="14"/>
      <c r="J559" s="14"/>
      <c r="K559" s="14"/>
      <c r="L559" s="14"/>
      <c r="M559" s="14"/>
    </row>
    <row r="560" ht="18.75" customHeight="1">
      <c r="A560" s="7" t="s">
        <v>1465</v>
      </c>
      <c r="B560" s="7" t="s">
        <v>1466</v>
      </c>
      <c r="C560" s="8">
        <v>46148.0</v>
      </c>
      <c r="D560" s="8">
        <v>46148.0</v>
      </c>
      <c r="E560" s="7" t="s">
        <v>353</v>
      </c>
      <c r="F560" s="7" t="s">
        <v>808</v>
      </c>
      <c r="G560" s="7" t="s">
        <v>355</v>
      </c>
      <c r="H560" s="7" t="s">
        <v>355</v>
      </c>
      <c r="I560" s="14"/>
      <c r="J560" s="14"/>
      <c r="K560" s="14"/>
      <c r="L560" s="14"/>
      <c r="M560" s="14"/>
    </row>
    <row r="561" ht="18.75" customHeight="1">
      <c r="A561" s="7" t="s">
        <v>1467</v>
      </c>
      <c r="B561" s="7" t="s">
        <v>1468</v>
      </c>
      <c r="C561" s="8">
        <v>46154.0</v>
      </c>
      <c r="D561" s="8">
        <v>46220.0</v>
      </c>
      <c r="E561" s="7" t="s">
        <v>358</v>
      </c>
      <c r="F561" s="7" t="s">
        <v>359</v>
      </c>
      <c r="G561" s="7" t="s">
        <v>355</v>
      </c>
      <c r="H561" s="7" t="s">
        <v>410</v>
      </c>
      <c r="I561" s="14"/>
      <c r="J561" s="14"/>
      <c r="K561" s="14"/>
      <c r="L561" s="14"/>
      <c r="M561" s="14"/>
    </row>
    <row r="562" ht="18.75" customHeight="1">
      <c r="A562" s="7" t="s">
        <v>1469</v>
      </c>
      <c r="B562" s="7" t="s">
        <v>1470</v>
      </c>
      <c r="C562" s="8">
        <v>46148.0</v>
      </c>
      <c r="D562" s="8">
        <v>46148.0</v>
      </c>
      <c r="E562" s="7" t="s">
        <v>353</v>
      </c>
      <c r="F562" s="7" t="s">
        <v>808</v>
      </c>
      <c r="G562" s="7" t="s">
        <v>355</v>
      </c>
      <c r="H562" s="7" t="s">
        <v>355</v>
      </c>
      <c r="I562" s="14"/>
      <c r="J562" s="14"/>
      <c r="K562" s="14"/>
      <c r="L562" s="14"/>
      <c r="M562" s="14"/>
    </row>
    <row r="563" ht="18.75" customHeight="1">
      <c r="A563" s="7" t="s">
        <v>1471</v>
      </c>
      <c r="B563" s="7" t="s">
        <v>1472</v>
      </c>
      <c r="C563" s="8">
        <v>46157.0</v>
      </c>
      <c r="D563" s="8">
        <v>46165.0</v>
      </c>
      <c r="E563" s="7" t="s">
        <v>404</v>
      </c>
      <c r="F563" s="7" t="s">
        <v>405</v>
      </c>
      <c r="G563" s="7" t="s">
        <v>355</v>
      </c>
      <c r="H563" s="7" t="s">
        <v>355</v>
      </c>
      <c r="I563" s="14"/>
      <c r="J563" s="14"/>
      <c r="K563" s="14"/>
      <c r="L563" s="14"/>
      <c r="M563" s="14"/>
    </row>
    <row r="564" ht="18.75" customHeight="1">
      <c r="A564" s="7" t="s">
        <v>1473</v>
      </c>
      <c r="B564" s="7" t="s">
        <v>1474</v>
      </c>
      <c r="C564" s="8">
        <v>46153.0</v>
      </c>
      <c r="D564" s="8">
        <v>46157.0</v>
      </c>
      <c r="E564" s="7" t="s">
        <v>416</v>
      </c>
      <c r="F564" s="7" t="s">
        <v>466</v>
      </c>
      <c r="G564" s="7" t="s">
        <v>355</v>
      </c>
      <c r="H564" s="7" t="s">
        <v>355</v>
      </c>
      <c r="I564" s="14"/>
      <c r="J564" s="14"/>
      <c r="K564" s="14"/>
      <c r="L564" s="14"/>
      <c r="M564" s="14"/>
    </row>
    <row r="565" ht="18.75" customHeight="1">
      <c r="A565" s="7" t="s">
        <v>1475</v>
      </c>
      <c r="B565" s="7" t="s">
        <v>1476</v>
      </c>
      <c r="C565" s="8">
        <v>46153.0</v>
      </c>
      <c r="D565" s="8">
        <v>46157.0</v>
      </c>
      <c r="E565" s="7" t="s">
        <v>416</v>
      </c>
      <c r="F565" s="7" t="s">
        <v>466</v>
      </c>
      <c r="G565" s="7" t="s">
        <v>355</v>
      </c>
      <c r="H565" s="7" t="s">
        <v>355</v>
      </c>
      <c r="I565" s="14"/>
      <c r="J565" s="14"/>
      <c r="K565" s="14"/>
      <c r="L565" s="14"/>
      <c r="M565" s="14"/>
    </row>
    <row r="566" ht="18.75" customHeight="1">
      <c r="A566" s="7" t="s">
        <v>1477</v>
      </c>
      <c r="B566" s="7" t="s">
        <v>1478</v>
      </c>
      <c r="C566" s="8">
        <v>46153.0</v>
      </c>
      <c r="D566" s="8">
        <v>46157.0</v>
      </c>
      <c r="E566" s="7" t="s">
        <v>416</v>
      </c>
      <c r="F566" s="7" t="s">
        <v>466</v>
      </c>
      <c r="G566" s="7" t="s">
        <v>355</v>
      </c>
      <c r="H566" s="7" t="s">
        <v>355</v>
      </c>
      <c r="I566" s="14"/>
      <c r="J566" s="14"/>
      <c r="K566" s="14"/>
      <c r="L566" s="14"/>
      <c r="M566" s="14"/>
    </row>
    <row r="567" ht="18.75" customHeight="1">
      <c r="A567" s="7" t="s">
        <v>1479</v>
      </c>
      <c r="B567" s="7" t="s">
        <v>1480</v>
      </c>
      <c r="C567" s="8">
        <v>46153.0</v>
      </c>
      <c r="D567" s="8">
        <v>46162.0</v>
      </c>
      <c r="E567" s="7" t="s">
        <v>416</v>
      </c>
      <c r="F567" s="7" t="s">
        <v>466</v>
      </c>
      <c r="G567" s="7" t="s">
        <v>355</v>
      </c>
      <c r="H567" s="7" t="s">
        <v>355</v>
      </c>
      <c r="I567" s="14"/>
      <c r="J567" s="14"/>
      <c r="K567" s="14"/>
      <c r="L567" s="14"/>
      <c r="M567" s="14"/>
    </row>
    <row r="568" ht="18.75" customHeight="1">
      <c r="A568" s="7" t="s">
        <v>1481</v>
      </c>
      <c r="B568" s="7" t="s">
        <v>1482</v>
      </c>
      <c r="C568" s="8">
        <v>46150.0</v>
      </c>
      <c r="D568" s="8">
        <v>46150.0</v>
      </c>
      <c r="E568" s="7" t="s">
        <v>358</v>
      </c>
      <c r="F568" s="7" t="s">
        <v>387</v>
      </c>
      <c r="G568" s="7" t="s">
        <v>355</v>
      </c>
      <c r="H568" s="7" t="s">
        <v>355</v>
      </c>
      <c r="I568" s="14"/>
      <c r="J568" s="14"/>
      <c r="K568" s="14"/>
      <c r="L568" s="14"/>
      <c r="M568" s="14"/>
    </row>
    <row r="569" ht="18.75" customHeight="1">
      <c r="A569" s="7" t="s">
        <v>1483</v>
      </c>
      <c r="B569" s="7" t="s">
        <v>1484</v>
      </c>
      <c r="C569" s="8">
        <v>46154.0</v>
      </c>
      <c r="D569" s="8">
        <v>46154.0</v>
      </c>
      <c r="E569" s="7" t="s">
        <v>358</v>
      </c>
      <c r="F569" s="7" t="s">
        <v>387</v>
      </c>
      <c r="G569" s="7" t="s">
        <v>355</v>
      </c>
      <c r="H569" s="7" t="s">
        <v>355</v>
      </c>
      <c r="I569" s="14"/>
      <c r="J569" s="14"/>
      <c r="K569" s="14"/>
      <c r="L569" s="14"/>
      <c r="M569" s="14"/>
    </row>
    <row r="570" ht="18.75" customHeight="1">
      <c r="A570" s="7" t="s">
        <v>1485</v>
      </c>
      <c r="B570" s="7" t="s">
        <v>1486</v>
      </c>
      <c r="C570" s="8">
        <v>46150.0</v>
      </c>
      <c r="D570" s="8">
        <v>46154.0</v>
      </c>
      <c r="E570" s="7" t="s">
        <v>416</v>
      </c>
      <c r="F570" s="7" t="s">
        <v>466</v>
      </c>
      <c r="G570" s="7" t="s">
        <v>355</v>
      </c>
      <c r="H570" s="7" t="s">
        <v>355</v>
      </c>
      <c r="I570" s="14"/>
      <c r="J570" s="14"/>
      <c r="K570" s="14"/>
      <c r="L570" s="14"/>
      <c r="M570" s="14"/>
    </row>
    <row r="571" ht="18.75" customHeight="1">
      <c r="A571" s="7" t="s">
        <v>1487</v>
      </c>
      <c r="B571" s="7" t="s">
        <v>1488</v>
      </c>
      <c r="C571" s="8">
        <v>46150.0</v>
      </c>
      <c r="D571" s="8">
        <v>46157.0</v>
      </c>
      <c r="E571" s="7" t="s">
        <v>416</v>
      </c>
      <c r="F571" s="7" t="s">
        <v>466</v>
      </c>
      <c r="G571" s="7" t="s">
        <v>355</v>
      </c>
      <c r="H571" s="7" t="s">
        <v>355</v>
      </c>
      <c r="I571" s="14"/>
      <c r="J571" s="14"/>
      <c r="K571" s="14"/>
      <c r="L571" s="14"/>
      <c r="M571" s="14"/>
    </row>
    <row r="572" ht="18.75" customHeight="1">
      <c r="A572" s="7" t="s">
        <v>1489</v>
      </c>
      <c r="B572" s="7" t="s">
        <v>1490</v>
      </c>
      <c r="C572" s="8">
        <v>46150.0</v>
      </c>
      <c r="D572" s="8">
        <v>46157.0</v>
      </c>
      <c r="E572" s="7" t="s">
        <v>416</v>
      </c>
      <c r="F572" s="7" t="s">
        <v>594</v>
      </c>
      <c r="G572" s="7" t="s">
        <v>355</v>
      </c>
      <c r="H572" s="7" t="s">
        <v>355</v>
      </c>
      <c r="I572" s="14"/>
      <c r="J572" s="14"/>
      <c r="K572" s="14"/>
      <c r="L572" s="14"/>
      <c r="M572" s="14"/>
    </row>
    <row r="573" ht="18.75" customHeight="1">
      <c r="A573" s="7" t="s">
        <v>1491</v>
      </c>
      <c r="B573" s="7" t="s">
        <v>1492</v>
      </c>
      <c r="C573" s="8">
        <v>46153.0</v>
      </c>
      <c r="D573" s="8">
        <v>46153.0</v>
      </c>
      <c r="E573" s="7" t="s">
        <v>358</v>
      </c>
      <c r="F573" s="7" t="s">
        <v>466</v>
      </c>
      <c r="G573" s="7" t="s">
        <v>355</v>
      </c>
      <c r="H573" s="7" t="s">
        <v>355</v>
      </c>
      <c r="I573" s="14"/>
      <c r="J573" s="14"/>
      <c r="K573" s="14"/>
      <c r="L573" s="14"/>
      <c r="M573" s="14"/>
    </row>
    <row r="574" ht="18.75" customHeight="1">
      <c r="A574" s="7" t="s">
        <v>1493</v>
      </c>
      <c r="B574" s="7" t="s">
        <v>1494</v>
      </c>
      <c r="C574" s="8">
        <v>46155.0</v>
      </c>
      <c r="D574" s="8">
        <v>46155.0</v>
      </c>
      <c r="E574" s="7" t="s">
        <v>416</v>
      </c>
      <c r="F574" s="7" t="s">
        <v>430</v>
      </c>
      <c r="G574" s="7" t="s">
        <v>355</v>
      </c>
      <c r="H574" s="7" t="s">
        <v>355</v>
      </c>
      <c r="I574" s="14"/>
      <c r="J574" s="14"/>
      <c r="K574" s="14"/>
      <c r="L574" s="14"/>
      <c r="M574" s="14"/>
    </row>
    <row r="575" ht="18.75" customHeight="1">
      <c r="A575" s="7" t="s">
        <v>1495</v>
      </c>
      <c r="B575" s="7" t="s">
        <v>1496</v>
      </c>
      <c r="C575" s="8">
        <v>46150.0</v>
      </c>
      <c r="D575" s="8">
        <v>46173.0</v>
      </c>
      <c r="E575" s="7" t="s">
        <v>503</v>
      </c>
      <c r="F575" s="7" t="s">
        <v>504</v>
      </c>
      <c r="G575" s="7" t="s">
        <v>355</v>
      </c>
      <c r="H575" s="7" t="s">
        <v>355</v>
      </c>
      <c r="I575" s="14"/>
      <c r="J575" s="14"/>
      <c r="K575" s="14"/>
      <c r="L575" s="14"/>
      <c r="M575" s="14"/>
    </row>
    <row r="576" ht="18.75" customHeight="1">
      <c r="A576" s="7" t="s">
        <v>1497</v>
      </c>
      <c r="B576" s="7" t="s">
        <v>1498</v>
      </c>
      <c r="C576" s="8">
        <v>46176.0</v>
      </c>
      <c r="D576" s="8">
        <v>46220.0</v>
      </c>
      <c r="E576" s="7" t="s">
        <v>404</v>
      </c>
      <c r="F576" s="7" t="s">
        <v>405</v>
      </c>
      <c r="G576" s="7" t="s">
        <v>355</v>
      </c>
      <c r="H576" s="7" t="s">
        <v>410</v>
      </c>
      <c r="I576" s="14"/>
      <c r="J576" s="14"/>
      <c r="K576" s="14"/>
      <c r="L576" s="14"/>
      <c r="M576" s="14"/>
    </row>
    <row r="577" ht="18.75" customHeight="1">
      <c r="A577" s="7" t="s">
        <v>1499</v>
      </c>
      <c r="B577" s="7" t="s">
        <v>1500</v>
      </c>
      <c r="C577" s="8">
        <v>46153.0</v>
      </c>
      <c r="D577" s="8">
        <v>46160.0</v>
      </c>
      <c r="E577" s="7" t="s">
        <v>416</v>
      </c>
      <c r="F577" s="7" t="s">
        <v>413</v>
      </c>
      <c r="G577" s="7" t="s">
        <v>355</v>
      </c>
      <c r="H577" s="7" t="s">
        <v>355</v>
      </c>
      <c r="I577" s="14"/>
      <c r="J577" s="14"/>
      <c r="K577" s="14"/>
      <c r="L577" s="14"/>
      <c r="M577" s="14"/>
    </row>
    <row r="578" ht="18.75" customHeight="1">
      <c r="A578" s="7" t="s">
        <v>1501</v>
      </c>
      <c r="B578" s="7" t="s">
        <v>1502</v>
      </c>
      <c r="C578" s="8">
        <v>46153.0</v>
      </c>
      <c r="D578" s="8">
        <v>46160.0</v>
      </c>
      <c r="E578" s="7" t="s">
        <v>416</v>
      </c>
      <c r="F578" s="7" t="s">
        <v>594</v>
      </c>
      <c r="G578" s="7" t="s">
        <v>355</v>
      </c>
      <c r="H578" s="7" t="s">
        <v>355</v>
      </c>
      <c r="I578" s="14"/>
      <c r="J578" s="14"/>
      <c r="K578" s="14"/>
      <c r="L578" s="14"/>
      <c r="M578" s="14"/>
    </row>
    <row r="579" ht="18.75" customHeight="1">
      <c r="A579" s="7" t="s">
        <v>1503</v>
      </c>
      <c r="B579" s="7" t="s">
        <v>1504</v>
      </c>
      <c r="C579" s="8">
        <v>46161.0</v>
      </c>
      <c r="D579" s="8">
        <v>46161.0</v>
      </c>
      <c r="E579" s="7" t="s">
        <v>404</v>
      </c>
      <c r="F579" s="7" t="s">
        <v>474</v>
      </c>
      <c r="G579" s="7" t="s">
        <v>355</v>
      </c>
      <c r="H579" s="7" t="s">
        <v>355</v>
      </c>
      <c r="I579" s="14"/>
      <c r="J579" s="14"/>
      <c r="K579" s="14"/>
      <c r="L579" s="14"/>
      <c r="M579" s="14"/>
    </row>
    <row r="580" ht="18.75" customHeight="1">
      <c r="A580" s="7" t="s">
        <v>1505</v>
      </c>
      <c r="B580" s="7" t="s">
        <v>1506</v>
      </c>
      <c r="C580" s="8">
        <v>46176.0</v>
      </c>
      <c r="D580" s="8">
        <v>46222.0</v>
      </c>
      <c r="E580" s="7" t="s">
        <v>404</v>
      </c>
      <c r="F580" s="7" t="s">
        <v>405</v>
      </c>
      <c r="G580" s="7" t="s">
        <v>355</v>
      </c>
      <c r="H580" s="7" t="s">
        <v>410</v>
      </c>
      <c r="I580" s="14"/>
      <c r="J580" s="14"/>
      <c r="K580" s="14"/>
      <c r="L580" s="14"/>
      <c r="M580" s="14"/>
    </row>
    <row r="581" ht="18.75" customHeight="1">
      <c r="A581" s="7" t="s">
        <v>1507</v>
      </c>
      <c r="B581" s="7" t="s">
        <v>1508</v>
      </c>
      <c r="C581" s="8">
        <v>46184.0</v>
      </c>
      <c r="D581" s="8">
        <v>46220.0</v>
      </c>
      <c r="E581" s="7" t="s">
        <v>404</v>
      </c>
      <c r="F581" s="7" t="s">
        <v>405</v>
      </c>
      <c r="G581" s="7" t="s">
        <v>355</v>
      </c>
      <c r="H581" s="7" t="s">
        <v>410</v>
      </c>
      <c r="I581" s="14"/>
      <c r="J581" s="14"/>
      <c r="K581" s="14"/>
      <c r="L581" s="14"/>
      <c r="M581" s="14"/>
    </row>
    <row r="582" ht="18.75" customHeight="1">
      <c r="A582" s="7" t="s">
        <v>1509</v>
      </c>
      <c r="B582" s="7" t="s">
        <v>1510</v>
      </c>
      <c r="C582" s="8">
        <v>46157.0</v>
      </c>
      <c r="D582" s="8">
        <v>46171.0</v>
      </c>
      <c r="E582" s="7" t="s">
        <v>353</v>
      </c>
      <c r="F582" s="7" t="s">
        <v>725</v>
      </c>
      <c r="G582" s="7" t="s">
        <v>355</v>
      </c>
      <c r="H582" s="7" t="s">
        <v>355</v>
      </c>
      <c r="I582" s="14"/>
      <c r="J582" s="14"/>
      <c r="K582" s="14"/>
      <c r="L582" s="14"/>
      <c r="M582" s="14"/>
    </row>
    <row r="583" ht="18.75" customHeight="1">
      <c r="A583" s="7" t="s">
        <v>1511</v>
      </c>
      <c r="B583" s="7" t="s">
        <v>1512</v>
      </c>
      <c r="C583" s="8">
        <v>46177.0</v>
      </c>
      <c r="D583" s="8">
        <v>46191.0</v>
      </c>
      <c r="E583" s="7" t="s">
        <v>353</v>
      </c>
      <c r="F583" s="7" t="s">
        <v>354</v>
      </c>
      <c r="G583" s="7" t="s">
        <v>355</v>
      </c>
      <c r="H583" s="7" t="s">
        <v>355</v>
      </c>
      <c r="I583" s="14"/>
      <c r="J583" s="14"/>
      <c r="K583" s="14"/>
      <c r="L583" s="14"/>
      <c r="M583" s="14"/>
    </row>
    <row r="584" ht="18.75" customHeight="1">
      <c r="A584" s="7" t="s">
        <v>1513</v>
      </c>
      <c r="B584" s="7" t="s">
        <v>1514</v>
      </c>
      <c r="C584" s="8">
        <v>46157.0</v>
      </c>
      <c r="D584" s="8">
        <v>46157.0</v>
      </c>
      <c r="E584" s="7" t="s">
        <v>358</v>
      </c>
      <c r="F584" s="7" t="s">
        <v>387</v>
      </c>
      <c r="G584" s="7" t="s">
        <v>355</v>
      </c>
      <c r="H584" s="7" t="s">
        <v>355</v>
      </c>
      <c r="I584" s="14"/>
      <c r="J584" s="14"/>
      <c r="K584" s="14"/>
      <c r="L584" s="14"/>
      <c r="M584" s="14"/>
    </row>
    <row r="585" ht="18.75" customHeight="1">
      <c r="A585" s="7" t="s">
        <v>1515</v>
      </c>
      <c r="B585" s="7" t="s">
        <v>1516</v>
      </c>
      <c r="C585" s="8">
        <v>46157.0</v>
      </c>
      <c r="D585" s="8">
        <v>46157.0</v>
      </c>
      <c r="E585" s="7" t="s">
        <v>358</v>
      </c>
      <c r="F585" s="7" t="s">
        <v>387</v>
      </c>
      <c r="G585" s="7" t="s">
        <v>355</v>
      </c>
      <c r="H585" s="7" t="s">
        <v>355</v>
      </c>
      <c r="I585" s="14"/>
      <c r="J585" s="14"/>
      <c r="K585" s="14"/>
      <c r="L585" s="14"/>
      <c r="M585" s="14"/>
    </row>
    <row r="586" ht="18.75" customHeight="1">
      <c r="A586" s="7" t="s">
        <v>1517</v>
      </c>
      <c r="B586" s="7" t="s">
        <v>1518</v>
      </c>
      <c r="C586" s="8">
        <v>46162.0</v>
      </c>
      <c r="D586" s="8">
        <v>46162.0</v>
      </c>
      <c r="E586" s="7" t="s">
        <v>358</v>
      </c>
      <c r="F586" s="7" t="s">
        <v>387</v>
      </c>
      <c r="G586" s="7" t="s">
        <v>355</v>
      </c>
      <c r="H586" s="7" t="s">
        <v>355</v>
      </c>
      <c r="I586" s="14"/>
      <c r="J586" s="14"/>
      <c r="K586" s="14"/>
      <c r="L586" s="14"/>
      <c r="M586" s="14"/>
    </row>
    <row r="587" ht="18.75" customHeight="1">
      <c r="A587" s="7" t="s">
        <v>1519</v>
      </c>
      <c r="B587" s="7" t="s">
        <v>1520</v>
      </c>
      <c r="C587" s="8">
        <v>46162.0</v>
      </c>
      <c r="D587" s="8">
        <v>46162.0</v>
      </c>
      <c r="E587" s="7" t="s">
        <v>358</v>
      </c>
      <c r="F587" s="7" t="s">
        <v>387</v>
      </c>
      <c r="G587" s="7" t="s">
        <v>355</v>
      </c>
      <c r="H587" s="7" t="s">
        <v>355</v>
      </c>
      <c r="I587" s="14"/>
      <c r="J587" s="14"/>
      <c r="K587" s="14"/>
      <c r="L587" s="14"/>
      <c r="M587" s="14"/>
    </row>
    <row r="588" ht="18.75" customHeight="1">
      <c r="A588" s="7" t="s">
        <v>1521</v>
      </c>
      <c r="B588" s="7" t="s">
        <v>1522</v>
      </c>
      <c r="C588" s="8">
        <v>46160.0</v>
      </c>
      <c r="D588" s="8">
        <v>46160.0</v>
      </c>
      <c r="E588" s="7" t="s">
        <v>358</v>
      </c>
      <c r="F588" s="7" t="s">
        <v>387</v>
      </c>
      <c r="G588" s="7" t="s">
        <v>355</v>
      </c>
      <c r="H588" s="7" t="s">
        <v>355</v>
      </c>
      <c r="I588" s="14"/>
      <c r="J588" s="14"/>
      <c r="K588" s="14"/>
      <c r="L588" s="14"/>
      <c r="M588" s="14"/>
    </row>
    <row r="589" ht="18.75" customHeight="1">
      <c r="A589" s="7" t="s">
        <v>1523</v>
      </c>
      <c r="B589" s="7" t="s">
        <v>1524</v>
      </c>
      <c r="C589" s="8">
        <v>46162.0</v>
      </c>
      <c r="D589" s="8">
        <v>46218.0</v>
      </c>
      <c r="E589" s="7" t="s">
        <v>364</v>
      </c>
      <c r="F589" s="7" t="s">
        <v>365</v>
      </c>
      <c r="G589" s="7" t="s">
        <v>355</v>
      </c>
      <c r="H589" s="7" t="s">
        <v>410</v>
      </c>
      <c r="I589" s="14"/>
      <c r="J589" s="14"/>
      <c r="K589" s="14"/>
      <c r="L589" s="14"/>
      <c r="M589" s="14"/>
    </row>
    <row r="590" ht="18.75" customHeight="1">
      <c r="A590" s="7" t="s">
        <v>1525</v>
      </c>
      <c r="B590" s="7" t="s">
        <v>1526</v>
      </c>
      <c r="C590" s="8">
        <v>46154.0</v>
      </c>
      <c r="D590" s="8">
        <v>46168.0</v>
      </c>
      <c r="E590" s="7" t="s">
        <v>503</v>
      </c>
      <c r="F590" s="7" t="s">
        <v>688</v>
      </c>
      <c r="G590" s="7" t="s">
        <v>355</v>
      </c>
      <c r="H590" s="7" t="s">
        <v>355</v>
      </c>
      <c r="I590" s="14"/>
      <c r="J590" s="14"/>
      <c r="K590" s="14"/>
      <c r="L590" s="14"/>
      <c r="M590" s="14"/>
    </row>
    <row r="591" ht="18.75" customHeight="1">
      <c r="A591" s="7" t="s">
        <v>1527</v>
      </c>
      <c r="B591" s="7" t="s">
        <v>1528</v>
      </c>
      <c r="C591" s="8">
        <v>46168.0</v>
      </c>
      <c r="D591" s="8">
        <v>46171.0</v>
      </c>
      <c r="E591" s="7" t="s">
        <v>416</v>
      </c>
      <c r="F591" s="7" t="s">
        <v>430</v>
      </c>
      <c r="G591" s="7" t="s">
        <v>355</v>
      </c>
      <c r="H591" s="7" t="s">
        <v>355</v>
      </c>
      <c r="I591" s="14"/>
      <c r="J591" s="14"/>
      <c r="K591" s="14"/>
      <c r="L591" s="14"/>
      <c r="M591" s="14"/>
    </row>
    <row r="592" ht="18.75" customHeight="1">
      <c r="A592" s="7" t="s">
        <v>1529</v>
      </c>
      <c r="B592" s="7" t="s">
        <v>1530</v>
      </c>
      <c r="C592" s="8">
        <v>46169.0</v>
      </c>
      <c r="D592" s="8">
        <v>46179.0</v>
      </c>
      <c r="E592" s="7" t="s">
        <v>364</v>
      </c>
      <c r="F592" s="7" t="s">
        <v>365</v>
      </c>
      <c r="G592" s="7" t="s">
        <v>355</v>
      </c>
      <c r="H592" s="7" t="s">
        <v>355</v>
      </c>
      <c r="I592" s="14"/>
      <c r="J592" s="14"/>
      <c r="K592" s="14"/>
      <c r="L592" s="14"/>
      <c r="M592" s="14"/>
    </row>
    <row r="593" ht="18.75" customHeight="1">
      <c r="A593" s="7" t="s">
        <v>1531</v>
      </c>
      <c r="B593" s="7" t="s">
        <v>1532</v>
      </c>
      <c r="C593" s="8">
        <v>46156.0</v>
      </c>
      <c r="D593" s="8">
        <v>46159.0</v>
      </c>
      <c r="E593" s="7" t="s">
        <v>404</v>
      </c>
      <c r="F593" s="7" t="s">
        <v>405</v>
      </c>
      <c r="G593" s="7" t="s">
        <v>355</v>
      </c>
      <c r="H593" s="7" t="s">
        <v>355</v>
      </c>
      <c r="I593" s="14"/>
      <c r="J593" s="14"/>
      <c r="K593" s="14"/>
      <c r="L593" s="14"/>
      <c r="M593" s="14"/>
    </row>
    <row r="594" ht="18.75" customHeight="1">
      <c r="A594" s="7" t="s">
        <v>1533</v>
      </c>
      <c r="B594" s="7" t="s">
        <v>1534</v>
      </c>
      <c r="C594" s="8">
        <v>46157.0</v>
      </c>
      <c r="D594" s="8">
        <v>46171.0</v>
      </c>
      <c r="E594" s="7" t="s">
        <v>358</v>
      </c>
      <c r="F594" s="7" t="s">
        <v>466</v>
      </c>
      <c r="G594" s="7" t="s">
        <v>355</v>
      </c>
      <c r="H594" s="7" t="s">
        <v>355</v>
      </c>
      <c r="I594" s="14"/>
      <c r="J594" s="14"/>
      <c r="K594" s="14"/>
      <c r="L594" s="14"/>
      <c r="M594" s="14"/>
    </row>
    <row r="595" ht="18.75" customHeight="1">
      <c r="A595" s="7" t="s">
        <v>1535</v>
      </c>
      <c r="B595" s="7" t="s">
        <v>1536</v>
      </c>
      <c r="C595" s="8">
        <v>46157.0</v>
      </c>
      <c r="D595" s="8">
        <v>46192.0</v>
      </c>
      <c r="E595" s="7" t="s">
        <v>404</v>
      </c>
      <c r="F595" s="7" t="s">
        <v>474</v>
      </c>
      <c r="G595" s="7" t="s">
        <v>355</v>
      </c>
      <c r="H595" s="7" t="s">
        <v>355</v>
      </c>
      <c r="I595" s="14"/>
      <c r="J595" s="14"/>
      <c r="K595" s="14"/>
      <c r="L595" s="14"/>
      <c r="M595" s="14"/>
    </row>
    <row r="596" ht="18.75" customHeight="1">
      <c r="A596" s="7" t="s">
        <v>1537</v>
      </c>
      <c r="B596" s="7" t="s">
        <v>1538</v>
      </c>
      <c r="C596" s="8">
        <v>46157.0</v>
      </c>
      <c r="D596" s="8">
        <v>46186.0</v>
      </c>
      <c r="E596" s="7" t="s">
        <v>416</v>
      </c>
      <c r="F596" s="7" t="s">
        <v>417</v>
      </c>
      <c r="G596" s="7" t="s">
        <v>355</v>
      </c>
      <c r="H596" s="7" t="s">
        <v>355</v>
      </c>
      <c r="I596" s="14"/>
      <c r="J596" s="14"/>
      <c r="K596" s="14"/>
      <c r="L596" s="14"/>
      <c r="M596" s="14"/>
    </row>
    <row r="597" ht="18.75" customHeight="1">
      <c r="A597" s="7" t="s">
        <v>1539</v>
      </c>
      <c r="B597" s="7" t="s">
        <v>1540</v>
      </c>
      <c r="C597" s="8">
        <v>46156.0</v>
      </c>
      <c r="D597" s="8">
        <v>46179.0</v>
      </c>
      <c r="E597" s="7" t="s">
        <v>416</v>
      </c>
      <c r="F597" s="7" t="s">
        <v>417</v>
      </c>
      <c r="G597" s="7" t="s">
        <v>355</v>
      </c>
      <c r="H597" s="7" t="s">
        <v>355</v>
      </c>
      <c r="I597" s="14"/>
      <c r="J597" s="14"/>
      <c r="K597" s="14"/>
      <c r="L597" s="14"/>
      <c r="M597" s="14"/>
    </row>
    <row r="598" ht="18.75" customHeight="1">
      <c r="A598" s="7" t="s">
        <v>1541</v>
      </c>
      <c r="B598" s="7" t="s">
        <v>1542</v>
      </c>
      <c r="C598" s="8">
        <v>46156.0</v>
      </c>
      <c r="D598" s="8">
        <v>46171.0</v>
      </c>
      <c r="E598" s="7" t="s">
        <v>416</v>
      </c>
      <c r="F598" s="7" t="s">
        <v>378</v>
      </c>
      <c r="G598" s="7" t="s">
        <v>355</v>
      </c>
      <c r="H598" s="7" t="s">
        <v>355</v>
      </c>
      <c r="I598" s="14"/>
      <c r="J598" s="14"/>
      <c r="K598" s="14"/>
      <c r="L598" s="14"/>
      <c r="M598" s="14"/>
    </row>
    <row r="599" ht="18.75" customHeight="1">
      <c r="A599" s="7" t="s">
        <v>1543</v>
      </c>
      <c r="B599" s="7" t="s">
        <v>1544</v>
      </c>
      <c r="C599" s="8">
        <v>46156.0</v>
      </c>
      <c r="D599" s="8">
        <v>46163.0</v>
      </c>
      <c r="E599" s="7" t="s">
        <v>416</v>
      </c>
      <c r="F599" s="7" t="s">
        <v>594</v>
      </c>
      <c r="G599" s="7" t="s">
        <v>355</v>
      </c>
      <c r="H599" s="7" t="s">
        <v>355</v>
      </c>
      <c r="I599" s="14"/>
      <c r="J599" s="14"/>
      <c r="K599" s="14"/>
      <c r="L599" s="14"/>
      <c r="M599" s="14"/>
    </row>
    <row r="600" ht="18.75" customHeight="1">
      <c r="A600" s="7" t="s">
        <v>1545</v>
      </c>
      <c r="B600" s="7" t="s">
        <v>1546</v>
      </c>
      <c r="C600" s="8">
        <v>46161.0</v>
      </c>
      <c r="D600" s="8">
        <v>46165.0</v>
      </c>
      <c r="E600" s="7" t="s">
        <v>416</v>
      </c>
      <c r="F600" s="7" t="s">
        <v>594</v>
      </c>
      <c r="G600" s="7" t="s">
        <v>355</v>
      </c>
      <c r="H600" s="7" t="s">
        <v>355</v>
      </c>
      <c r="I600" s="14"/>
      <c r="J600" s="14"/>
      <c r="K600" s="14"/>
      <c r="L600" s="14"/>
      <c r="M600" s="14"/>
    </row>
    <row r="601" ht="18.75" customHeight="1">
      <c r="A601" s="7" t="s">
        <v>1547</v>
      </c>
      <c r="B601" s="7" t="s">
        <v>1548</v>
      </c>
      <c r="C601" s="8">
        <v>46160.0</v>
      </c>
      <c r="D601" s="8">
        <v>46160.0</v>
      </c>
      <c r="E601" s="7" t="s">
        <v>358</v>
      </c>
      <c r="F601" s="7" t="s">
        <v>387</v>
      </c>
      <c r="G601" s="7" t="s">
        <v>355</v>
      </c>
      <c r="H601" s="7" t="s">
        <v>355</v>
      </c>
      <c r="I601" s="14"/>
      <c r="J601" s="14"/>
      <c r="K601" s="14"/>
      <c r="L601" s="14"/>
      <c r="M601" s="14"/>
    </row>
    <row r="602" ht="18.75" customHeight="1">
      <c r="A602" s="7" t="s">
        <v>1549</v>
      </c>
      <c r="B602" s="7" t="s">
        <v>1550</v>
      </c>
      <c r="C602" s="8">
        <v>46157.0</v>
      </c>
      <c r="D602" s="8">
        <v>46159.0</v>
      </c>
      <c r="E602" s="7" t="s">
        <v>364</v>
      </c>
      <c r="F602" s="7" t="s">
        <v>365</v>
      </c>
      <c r="G602" s="7" t="s">
        <v>355</v>
      </c>
      <c r="H602" s="7" t="s">
        <v>355</v>
      </c>
      <c r="I602" s="14"/>
      <c r="J602" s="14"/>
      <c r="K602" s="14"/>
      <c r="L602" s="14"/>
      <c r="M602" s="14"/>
    </row>
    <row r="603" ht="18.75" customHeight="1">
      <c r="A603" s="7" t="s">
        <v>1551</v>
      </c>
      <c r="B603" s="7" t="s">
        <v>1552</v>
      </c>
      <c r="C603" s="8">
        <v>46157.0</v>
      </c>
      <c r="D603" s="8">
        <v>46160.0</v>
      </c>
      <c r="E603" s="7" t="s">
        <v>364</v>
      </c>
      <c r="F603" s="7" t="s">
        <v>365</v>
      </c>
      <c r="G603" s="7" t="s">
        <v>355</v>
      </c>
      <c r="H603" s="7" t="s">
        <v>355</v>
      </c>
      <c r="I603" s="14"/>
      <c r="J603" s="14"/>
      <c r="K603" s="14"/>
      <c r="L603" s="14"/>
      <c r="M603" s="14"/>
    </row>
    <row r="604" ht="18.75" customHeight="1">
      <c r="A604" s="7" t="s">
        <v>1553</v>
      </c>
      <c r="B604" s="7" t="s">
        <v>1554</v>
      </c>
      <c r="C604" s="8">
        <v>46163.0</v>
      </c>
      <c r="D604" s="8">
        <v>46177.0</v>
      </c>
      <c r="E604" s="7" t="s">
        <v>364</v>
      </c>
      <c r="F604" s="7" t="s">
        <v>365</v>
      </c>
      <c r="G604" s="7" t="s">
        <v>355</v>
      </c>
      <c r="H604" s="7" t="s">
        <v>355</v>
      </c>
      <c r="I604" s="14"/>
      <c r="J604" s="14"/>
      <c r="K604" s="14"/>
      <c r="L604" s="14"/>
      <c r="M604" s="14"/>
    </row>
    <row r="605" ht="18.75" customHeight="1">
      <c r="A605" s="7" t="s">
        <v>1555</v>
      </c>
      <c r="B605" s="7" t="s">
        <v>1556</v>
      </c>
      <c r="C605" s="8">
        <v>46184.0</v>
      </c>
      <c r="D605" s="8">
        <v>46222.0</v>
      </c>
      <c r="E605" s="7" t="s">
        <v>404</v>
      </c>
      <c r="F605" s="7" t="s">
        <v>760</v>
      </c>
      <c r="G605" s="7" t="s">
        <v>355</v>
      </c>
      <c r="H605" s="7" t="s">
        <v>355</v>
      </c>
      <c r="I605" s="14"/>
      <c r="J605" s="14"/>
      <c r="K605" s="14"/>
      <c r="L605" s="14"/>
      <c r="M605" s="14"/>
    </row>
    <row r="606" ht="18.75" customHeight="1">
      <c r="A606" s="7" t="s">
        <v>2151</v>
      </c>
      <c r="B606" s="7" t="s">
        <v>2152</v>
      </c>
      <c r="C606" s="15"/>
      <c r="D606" s="15"/>
      <c r="E606" s="7" t="s">
        <v>404</v>
      </c>
      <c r="F606" s="7" t="s">
        <v>405</v>
      </c>
      <c r="G606" s="7" t="s">
        <v>2120</v>
      </c>
      <c r="H606" s="7" t="s">
        <v>2120</v>
      </c>
      <c r="I606" s="14"/>
      <c r="J606" s="14"/>
      <c r="K606" s="14"/>
      <c r="L606" s="14"/>
      <c r="M606" s="14"/>
    </row>
    <row r="607" ht="18.75" customHeight="1">
      <c r="A607" s="7" t="s">
        <v>1557</v>
      </c>
      <c r="B607" s="7" t="s">
        <v>1558</v>
      </c>
      <c r="C607" s="8">
        <v>46160.0</v>
      </c>
      <c r="D607" s="8">
        <v>46164.0</v>
      </c>
      <c r="E607" s="7" t="s">
        <v>416</v>
      </c>
      <c r="F607" s="7" t="s">
        <v>466</v>
      </c>
      <c r="G607" s="7" t="s">
        <v>355</v>
      </c>
      <c r="H607" s="7" t="s">
        <v>355</v>
      </c>
      <c r="I607" s="14"/>
      <c r="J607" s="14"/>
      <c r="K607" s="14"/>
      <c r="L607" s="14"/>
      <c r="M607" s="14"/>
    </row>
    <row r="608" ht="18.75" customHeight="1">
      <c r="A608" s="7" t="s">
        <v>1559</v>
      </c>
      <c r="B608" s="7" t="s">
        <v>1560</v>
      </c>
      <c r="C608" s="8">
        <v>46160.0</v>
      </c>
      <c r="D608" s="8">
        <v>46164.0</v>
      </c>
      <c r="E608" s="7" t="s">
        <v>416</v>
      </c>
      <c r="F608" s="7" t="s">
        <v>466</v>
      </c>
      <c r="G608" s="7" t="s">
        <v>355</v>
      </c>
      <c r="H608" s="7" t="s">
        <v>355</v>
      </c>
      <c r="I608" s="14"/>
      <c r="J608" s="14"/>
      <c r="K608" s="14"/>
      <c r="L608" s="14"/>
      <c r="M608" s="14"/>
    </row>
    <row r="609" ht="18.75" customHeight="1">
      <c r="A609" s="7" t="s">
        <v>1561</v>
      </c>
      <c r="B609" s="7" t="s">
        <v>1562</v>
      </c>
      <c r="C609" s="8">
        <v>46157.0</v>
      </c>
      <c r="D609" s="8">
        <v>46171.0</v>
      </c>
      <c r="E609" s="7" t="s">
        <v>358</v>
      </c>
      <c r="F609" s="7" t="s">
        <v>466</v>
      </c>
      <c r="G609" s="7" t="s">
        <v>355</v>
      </c>
      <c r="H609" s="7" t="s">
        <v>355</v>
      </c>
      <c r="I609" s="14"/>
      <c r="J609" s="14"/>
      <c r="K609" s="14"/>
      <c r="L609" s="14"/>
      <c r="M609" s="14"/>
    </row>
    <row r="610" ht="18.75" customHeight="1">
      <c r="A610" s="7" t="s">
        <v>1563</v>
      </c>
      <c r="B610" s="7" t="s">
        <v>1564</v>
      </c>
      <c r="C610" s="8">
        <v>46160.0</v>
      </c>
      <c r="D610" s="8">
        <v>46168.0</v>
      </c>
      <c r="E610" s="7" t="s">
        <v>416</v>
      </c>
      <c r="F610" s="7" t="s">
        <v>466</v>
      </c>
      <c r="G610" s="7" t="s">
        <v>355</v>
      </c>
      <c r="H610" s="7" t="s">
        <v>355</v>
      </c>
      <c r="I610" s="14"/>
      <c r="J610" s="14"/>
      <c r="K610" s="14"/>
      <c r="L610" s="14"/>
      <c r="M610" s="14"/>
    </row>
    <row r="611" ht="18.75" customHeight="1">
      <c r="A611" s="7" t="s">
        <v>1565</v>
      </c>
      <c r="B611" s="7" t="s">
        <v>1566</v>
      </c>
      <c r="C611" s="8">
        <v>46160.0</v>
      </c>
      <c r="D611" s="8">
        <v>46168.0</v>
      </c>
      <c r="E611" s="7" t="s">
        <v>416</v>
      </c>
      <c r="F611" s="7" t="s">
        <v>466</v>
      </c>
      <c r="G611" s="7" t="s">
        <v>355</v>
      </c>
      <c r="H611" s="7" t="s">
        <v>355</v>
      </c>
      <c r="I611" s="14"/>
      <c r="J611" s="14"/>
      <c r="K611" s="14"/>
      <c r="L611" s="14"/>
      <c r="M611" s="14"/>
    </row>
    <row r="612" ht="18.75" customHeight="1">
      <c r="A612" s="7" t="s">
        <v>1567</v>
      </c>
      <c r="B612" s="7" t="s">
        <v>1568</v>
      </c>
      <c r="C612" s="8">
        <v>46157.0</v>
      </c>
      <c r="D612" s="8">
        <v>46203.0</v>
      </c>
      <c r="E612" s="7" t="s">
        <v>358</v>
      </c>
      <c r="F612" s="7" t="s">
        <v>466</v>
      </c>
      <c r="G612" s="7" t="s">
        <v>355</v>
      </c>
      <c r="H612" s="7" t="s">
        <v>355</v>
      </c>
      <c r="I612" s="14"/>
      <c r="J612" s="14"/>
      <c r="K612" s="14"/>
      <c r="L612" s="14"/>
      <c r="M612" s="14"/>
    </row>
    <row r="613" ht="18.75" customHeight="1">
      <c r="A613" s="7" t="s">
        <v>1569</v>
      </c>
      <c r="B613" s="7" t="s">
        <v>1570</v>
      </c>
      <c r="C613" s="8">
        <v>46160.0</v>
      </c>
      <c r="D613" s="8">
        <v>46164.0</v>
      </c>
      <c r="E613" s="7" t="s">
        <v>404</v>
      </c>
      <c r="F613" s="7" t="s">
        <v>405</v>
      </c>
      <c r="G613" s="7" t="s">
        <v>355</v>
      </c>
      <c r="H613" s="7" t="s">
        <v>355</v>
      </c>
      <c r="I613" s="14"/>
      <c r="J613" s="14"/>
      <c r="K613" s="14"/>
      <c r="L613" s="14"/>
      <c r="M613" s="14"/>
    </row>
    <row r="614" ht="18.75" customHeight="1">
      <c r="A614" s="7" t="s">
        <v>1571</v>
      </c>
      <c r="B614" s="7" t="s">
        <v>1572</v>
      </c>
      <c r="C614" s="8">
        <v>46160.0</v>
      </c>
      <c r="D614" s="8">
        <v>46165.0</v>
      </c>
      <c r="E614" s="7" t="s">
        <v>404</v>
      </c>
      <c r="F614" s="7" t="s">
        <v>405</v>
      </c>
      <c r="G614" s="7" t="s">
        <v>355</v>
      </c>
      <c r="H614" s="7" t="s">
        <v>355</v>
      </c>
      <c r="I614" s="14"/>
      <c r="J614" s="14"/>
      <c r="K614" s="14"/>
      <c r="L614" s="14"/>
      <c r="M614" s="14"/>
    </row>
    <row r="615" ht="18.75" customHeight="1">
      <c r="A615" s="7" t="s">
        <v>1573</v>
      </c>
      <c r="B615" s="7" t="s">
        <v>1574</v>
      </c>
      <c r="C615" s="8">
        <v>46160.0</v>
      </c>
      <c r="D615" s="8">
        <v>46166.0</v>
      </c>
      <c r="E615" s="7" t="s">
        <v>404</v>
      </c>
      <c r="F615" s="7" t="s">
        <v>405</v>
      </c>
      <c r="G615" s="7" t="s">
        <v>355</v>
      </c>
      <c r="H615" s="7" t="s">
        <v>355</v>
      </c>
      <c r="I615" s="14"/>
      <c r="J615" s="14"/>
      <c r="K615" s="14"/>
      <c r="L615" s="14"/>
      <c r="M615" s="14"/>
    </row>
    <row r="616" ht="18.75" customHeight="1">
      <c r="A616" s="7" t="s">
        <v>1575</v>
      </c>
      <c r="B616" s="7" t="s">
        <v>1576</v>
      </c>
      <c r="C616" s="8">
        <v>46163.0</v>
      </c>
      <c r="D616" s="8">
        <v>46167.0</v>
      </c>
      <c r="E616" s="7" t="s">
        <v>404</v>
      </c>
      <c r="F616" s="7" t="s">
        <v>405</v>
      </c>
      <c r="G616" s="7" t="s">
        <v>355</v>
      </c>
      <c r="H616" s="7" t="s">
        <v>355</v>
      </c>
      <c r="I616" s="14"/>
      <c r="J616" s="14"/>
      <c r="K616" s="14"/>
      <c r="L616" s="14"/>
      <c r="M616" s="14"/>
    </row>
    <row r="617" ht="18.75" customHeight="1">
      <c r="A617" s="7" t="s">
        <v>1577</v>
      </c>
      <c r="B617" s="7" t="s">
        <v>1578</v>
      </c>
      <c r="C617" s="8">
        <v>46160.0</v>
      </c>
      <c r="D617" s="8">
        <v>46169.0</v>
      </c>
      <c r="E617" s="7" t="s">
        <v>404</v>
      </c>
      <c r="F617" s="7" t="s">
        <v>405</v>
      </c>
      <c r="G617" s="7" t="s">
        <v>355</v>
      </c>
      <c r="H617" s="7" t="s">
        <v>355</v>
      </c>
      <c r="I617" s="14"/>
      <c r="J617" s="14"/>
      <c r="K617" s="14"/>
      <c r="L617" s="14"/>
      <c r="M617" s="14"/>
    </row>
    <row r="618" ht="18.75" customHeight="1">
      <c r="A618" s="7" t="s">
        <v>1579</v>
      </c>
      <c r="B618" s="7" t="s">
        <v>1580</v>
      </c>
      <c r="C618" s="8">
        <v>46169.0</v>
      </c>
      <c r="D618" s="8">
        <v>46183.0</v>
      </c>
      <c r="E618" s="7" t="s">
        <v>353</v>
      </c>
      <c r="F618" s="7" t="s">
        <v>378</v>
      </c>
      <c r="G618" s="7" t="s">
        <v>355</v>
      </c>
      <c r="H618" s="7" t="s">
        <v>355</v>
      </c>
      <c r="I618" s="14"/>
      <c r="J618" s="14"/>
      <c r="K618" s="14"/>
      <c r="L618" s="14"/>
      <c r="M618" s="14"/>
    </row>
    <row r="619" ht="18.75" customHeight="1">
      <c r="A619" s="7" t="s">
        <v>2153</v>
      </c>
      <c r="B619" s="7" t="s">
        <v>2154</v>
      </c>
      <c r="C619" s="15"/>
      <c r="D619" s="15"/>
      <c r="E619" s="7" t="s">
        <v>353</v>
      </c>
      <c r="F619" s="7" t="s">
        <v>2155</v>
      </c>
      <c r="G619" s="7" t="s">
        <v>2120</v>
      </c>
      <c r="H619" s="7" t="s">
        <v>355</v>
      </c>
      <c r="I619" s="14"/>
      <c r="J619" s="14"/>
      <c r="K619" s="14"/>
      <c r="L619" s="14"/>
      <c r="M619" s="14"/>
    </row>
    <row r="620" ht="18.75" customHeight="1">
      <c r="A620" s="7" t="s">
        <v>1581</v>
      </c>
      <c r="B620" s="7" t="s">
        <v>1582</v>
      </c>
      <c r="C620" s="8">
        <v>46162.0</v>
      </c>
      <c r="D620" s="8">
        <v>46162.0</v>
      </c>
      <c r="E620" s="7" t="s">
        <v>364</v>
      </c>
      <c r="F620" s="7" t="s">
        <v>365</v>
      </c>
      <c r="G620" s="7" t="s">
        <v>355</v>
      </c>
      <c r="H620" s="7" t="s">
        <v>355</v>
      </c>
      <c r="I620" s="14"/>
      <c r="J620" s="14"/>
      <c r="K620" s="14"/>
      <c r="L620" s="14"/>
      <c r="M620" s="14"/>
    </row>
    <row r="621" ht="18.75" customHeight="1">
      <c r="A621" s="7" t="s">
        <v>1583</v>
      </c>
      <c r="B621" s="7" t="s">
        <v>1584</v>
      </c>
      <c r="C621" s="8">
        <v>46168.0</v>
      </c>
      <c r="D621" s="8">
        <v>46168.0</v>
      </c>
      <c r="E621" s="7" t="s">
        <v>416</v>
      </c>
      <c r="F621" s="7" t="s">
        <v>430</v>
      </c>
      <c r="G621" s="7" t="s">
        <v>355</v>
      </c>
      <c r="H621" s="7" t="s">
        <v>355</v>
      </c>
      <c r="I621" s="14"/>
      <c r="J621" s="14"/>
      <c r="K621" s="14"/>
      <c r="L621" s="14"/>
      <c r="M621" s="14"/>
    </row>
    <row r="622" ht="18.75" customHeight="1">
      <c r="A622" s="7" t="s">
        <v>1585</v>
      </c>
      <c r="B622" s="7" t="s">
        <v>1586</v>
      </c>
      <c r="C622" s="8">
        <v>46172.0</v>
      </c>
      <c r="D622" s="8">
        <v>46172.0</v>
      </c>
      <c r="E622" s="7" t="s">
        <v>416</v>
      </c>
      <c r="F622" s="7" t="s">
        <v>430</v>
      </c>
      <c r="G622" s="7" t="s">
        <v>355</v>
      </c>
      <c r="H622" s="7" t="s">
        <v>355</v>
      </c>
      <c r="I622" s="14"/>
      <c r="J622" s="14"/>
      <c r="K622" s="14"/>
      <c r="L622" s="14"/>
      <c r="M622" s="14"/>
    </row>
    <row r="623" ht="18.75" customHeight="1">
      <c r="A623" s="7" t="s">
        <v>1587</v>
      </c>
      <c r="B623" s="7" t="s">
        <v>1588</v>
      </c>
      <c r="C623" s="8">
        <v>46163.0</v>
      </c>
      <c r="D623" s="8">
        <v>46163.0</v>
      </c>
      <c r="E623" s="7" t="s">
        <v>353</v>
      </c>
      <c r="F623" s="7" t="s">
        <v>378</v>
      </c>
      <c r="G623" s="7" t="s">
        <v>355</v>
      </c>
      <c r="H623" s="7" t="s">
        <v>355</v>
      </c>
      <c r="I623" s="14"/>
      <c r="J623" s="14"/>
      <c r="K623" s="14"/>
      <c r="L623" s="14"/>
      <c r="M623" s="14"/>
    </row>
    <row r="624" ht="18.75" customHeight="1">
      <c r="A624" s="7" t="s">
        <v>1589</v>
      </c>
      <c r="B624" s="7" t="s">
        <v>1590</v>
      </c>
      <c r="C624" s="8">
        <v>46162.0</v>
      </c>
      <c r="D624" s="8">
        <v>46162.0</v>
      </c>
      <c r="E624" s="7" t="s">
        <v>364</v>
      </c>
      <c r="F624" s="7" t="s">
        <v>365</v>
      </c>
      <c r="G624" s="7" t="s">
        <v>355</v>
      </c>
      <c r="H624" s="7" t="s">
        <v>355</v>
      </c>
      <c r="I624" s="14"/>
      <c r="J624" s="14"/>
      <c r="K624" s="14"/>
      <c r="L624" s="14"/>
      <c r="M624" s="14"/>
    </row>
    <row r="625" ht="18.75" customHeight="1">
      <c r="A625" s="7" t="s">
        <v>1591</v>
      </c>
      <c r="B625" s="7" t="s">
        <v>1592</v>
      </c>
      <c r="C625" s="8">
        <v>46164.0</v>
      </c>
      <c r="D625" s="8">
        <v>46164.0</v>
      </c>
      <c r="E625" s="7" t="s">
        <v>358</v>
      </c>
      <c r="F625" s="7" t="s">
        <v>387</v>
      </c>
      <c r="G625" s="7" t="s">
        <v>355</v>
      </c>
      <c r="H625" s="7" t="s">
        <v>355</v>
      </c>
      <c r="I625" s="14"/>
      <c r="J625" s="14"/>
      <c r="K625" s="14"/>
      <c r="L625" s="14"/>
      <c r="M625" s="14"/>
    </row>
    <row r="626" ht="18.75" customHeight="1">
      <c r="A626" s="7" t="s">
        <v>1593</v>
      </c>
      <c r="B626" s="7" t="s">
        <v>1594</v>
      </c>
      <c r="C626" s="8">
        <v>46168.0</v>
      </c>
      <c r="D626" s="8">
        <v>46168.0</v>
      </c>
      <c r="E626" s="7" t="s">
        <v>358</v>
      </c>
      <c r="F626" s="7" t="s">
        <v>387</v>
      </c>
      <c r="G626" s="7" t="s">
        <v>355</v>
      </c>
      <c r="H626" s="7" t="s">
        <v>355</v>
      </c>
      <c r="I626" s="14"/>
      <c r="J626" s="14"/>
      <c r="K626" s="14"/>
      <c r="L626" s="14"/>
      <c r="M626" s="14"/>
    </row>
    <row r="627" ht="18.75" customHeight="1">
      <c r="A627" s="7" t="s">
        <v>1595</v>
      </c>
      <c r="B627" s="7" t="s">
        <v>1596</v>
      </c>
      <c r="C627" s="8">
        <v>46168.0</v>
      </c>
      <c r="D627" s="8">
        <v>46168.0</v>
      </c>
      <c r="E627" s="7" t="s">
        <v>358</v>
      </c>
      <c r="F627" s="7" t="s">
        <v>387</v>
      </c>
      <c r="G627" s="7" t="s">
        <v>355</v>
      </c>
      <c r="H627" s="7" t="s">
        <v>355</v>
      </c>
      <c r="I627" s="14"/>
      <c r="J627" s="14"/>
      <c r="K627" s="14"/>
      <c r="L627" s="14"/>
      <c r="M627" s="14"/>
    </row>
    <row r="628" ht="18.75" customHeight="1">
      <c r="A628" s="7" t="s">
        <v>1597</v>
      </c>
      <c r="B628" s="7" t="s">
        <v>1598</v>
      </c>
      <c r="C628" s="8">
        <v>46168.0</v>
      </c>
      <c r="D628" s="8">
        <v>46168.0</v>
      </c>
      <c r="E628" s="7" t="s">
        <v>358</v>
      </c>
      <c r="F628" s="7" t="s">
        <v>387</v>
      </c>
      <c r="G628" s="7" t="s">
        <v>355</v>
      </c>
      <c r="H628" s="7" t="s">
        <v>355</v>
      </c>
      <c r="I628" s="14"/>
      <c r="J628" s="14"/>
      <c r="K628" s="14"/>
      <c r="L628" s="14"/>
      <c r="M628" s="14"/>
    </row>
    <row r="629" ht="18.75" customHeight="1">
      <c r="A629" s="7" t="s">
        <v>1599</v>
      </c>
      <c r="B629" s="7" t="s">
        <v>1600</v>
      </c>
      <c r="C629" s="8">
        <v>46163.0</v>
      </c>
      <c r="D629" s="8">
        <v>46173.0</v>
      </c>
      <c r="E629" s="7" t="s">
        <v>364</v>
      </c>
      <c r="F629" s="7" t="s">
        <v>365</v>
      </c>
      <c r="G629" s="7" t="s">
        <v>355</v>
      </c>
      <c r="H629" s="7" t="s">
        <v>355</v>
      </c>
      <c r="I629" s="14"/>
      <c r="J629" s="14"/>
      <c r="K629" s="14"/>
      <c r="L629" s="14"/>
      <c r="M629" s="14"/>
    </row>
    <row r="630" ht="18.75" customHeight="1">
      <c r="A630" s="7" t="s">
        <v>1601</v>
      </c>
      <c r="B630" s="7" t="s">
        <v>1602</v>
      </c>
      <c r="C630" s="8">
        <v>46157.0</v>
      </c>
      <c r="D630" s="8">
        <v>46173.0</v>
      </c>
      <c r="E630" s="7" t="s">
        <v>404</v>
      </c>
      <c r="F630" s="7" t="s">
        <v>405</v>
      </c>
      <c r="G630" s="7" t="s">
        <v>355</v>
      </c>
      <c r="H630" s="7" t="s">
        <v>355</v>
      </c>
      <c r="I630" s="14"/>
      <c r="J630" s="14"/>
      <c r="K630" s="14"/>
      <c r="L630" s="14"/>
      <c r="M630" s="14"/>
    </row>
    <row r="631" ht="18.75" customHeight="1">
      <c r="A631" s="7" t="s">
        <v>1603</v>
      </c>
      <c r="B631" s="7" t="s">
        <v>1604</v>
      </c>
      <c r="C631" s="8">
        <v>46163.0</v>
      </c>
      <c r="D631" s="8">
        <v>46169.0</v>
      </c>
      <c r="E631" s="7" t="s">
        <v>416</v>
      </c>
      <c r="F631" s="7" t="s">
        <v>667</v>
      </c>
      <c r="G631" s="7" t="s">
        <v>355</v>
      </c>
      <c r="H631" s="7" t="s">
        <v>355</v>
      </c>
      <c r="I631" s="14"/>
      <c r="J631" s="14"/>
      <c r="K631" s="14"/>
      <c r="L631" s="14"/>
      <c r="M631" s="14"/>
    </row>
    <row r="632" ht="18.75" customHeight="1">
      <c r="A632" s="7" t="s">
        <v>1605</v>
      </c>
      <c r="B632" s="7" t="s">
        <v>1606</v>
      </c>
      <c r="C632" s="8">
        <v>46164.0</v>
      </c>
      <c r="D632" s="8">
        <v>46187.0</v>
      </c>
      <c r="E632" s="7" t="s">
        <v>416</v>
      </c>
      <c r="F632" s="7" t="s">
        <v>417</v>
      </c>
      <c r="G632" s="7" t="s">
        <v>355</v>
      </c>
      <c r="H632" s="7" t="s">
        <v>355</v>
      </c>
      <c r="I632" s="14"/>
      <c r="J632" s="14"/>
      <c r="K632" s="14"/>
      <c r="L632" s="14"/>
      <c r="M632" s="14"/>
    </row>
    <row r="633" ht="18.75" customHeight="1">
      <c r="A633" s="7" t="s">
        <v>1607</v>
      </c>
      <c r="B633" s="7" t="s">
        <v>1608</v>
      </c>
      <c r="C633" s="8">
        <v>46164.0</v>
      </c>
      <c r="D633" s="8">
        <v>46186.0</v>
      </c>
      <c r="E633" s="7" t="s">
        <v>416</v>
      </c>
      <c r="F633" s="7" t="s">
        <v>417</v>
      </c>
      <c r="G633" s="7" t="s">
        <v>355</v>
      </c>
      <c r="H633" s="7" t="s">
        <v>355</v>
      </c>
      <c r="I633" s="14"/>
      <c r="J633" s="14"/>
      <c r="K633" s="14"/>
      <c r="L633" s="14"/>
      <c r="M633" s="14"/>
    </row>
    <row r="634" ht="18.75" customHeight="1">
      <c r="A634" s="7" t="s">
        <v>1609</v>
      </c>
      <c r="B634" s="7" t="s">
        <v>1610</v>
      </c>
      <c r="C634" s="8">
        <v>46164.0</v>
      </c>
      <c r="D634" s="8">
        <v>46169.0</v>
      </c>
      <c r="E634" s="7" t="s">
        <v>416</v>
      </c>
      <c r="F634" s="7" t="s">
        <v>359</v>
      </c>
      <c r="G634" s="7" t="s">
        <v>355</v>
      </c>
      <c r="H634" s="7" t="s">
        <v>355</v>
      </c>
      <c r="I634" s="14"/>
      <c r="J634" s="14"/>
      <c r="K634" s="14"/>
      <c r="L634" s="14"/>
      <c r="M634" s="14"/>
    </row>
    <row r="635" ht="18.75" customHeight="1">
      <c r="A635" s="7" t="s">
        <v>1611</v>
      </c>
      <c r="B635" s="7" t="s">
        <v>1612</v>
      </c>
      <c r="C635" s="8">
        <v>46168.0</v>
      </c>
      <c r="D635" s="8">
        <v>46174.0</v>
      </c>
      <c r="E635" s="7" t="s">
        <v>416</v>
      </c>
      <c r="F635" s="7" t="s">
        <v>354</v>
      </c>
      <c r="G635" s="7" t="s">
        <v>355</v>
      </c>
      <c r="H635" s="7" t="s">
        <v>355</v>
      </c>
      <c r="I635" s="14"/>
      <c r="J635" s="14"/>
      <c r="K635" s="14"/>
      <c r="L635" s="14"/>
      <c r="M635" s="14"/>
    </row>
    <row r="636" ht="18.75" customHeight="1">
      <c r="A636" s="7" t="s">
        <v>1613</v>
      </c>
      <c r="B636" s="7" t="s">
        <v>1614</v>
      </c>
      <c r="C636" s="8">
        <v>46164.0</v>
      </c>
      <c r="D636" s="8">
        <v>46170.0</v>
      </c>
      <c r="E636" s="7" t="s">
        <v>416</v>
      </c>
      <c r="F636" s="7" t="s">
        <v>365</v>
      </c>
      <c r="G636" s="7" t="s">
        <v>355</v>
      </c>
      <c r="H636" s="7" t="s">
        <v>355</v>
      </c>
      <c r="I636" s="14"/>
      <c r="J636" s="14"/>
      <c r="K636" s="14"/>
      <c r="L636" s="14"/>
      <c r="M636" s="14"/>
    </row>
    <row r="637" ht="18.75" customHeight="1">
      <c r="A637" s="7" t="s">
        <v>1615</v>
      </c>
      <c r="B637" s="7" t="s">
        <v>1616</v>
      </c>
      <c r="C637" s="8">
        <v>46169.0</v>
      </c>
      <c r="D637" s="8">
        <v>46173.0</v>
      </c>
      <c r="E637" s="7" t="s">
        <v>404</v>
      </c>
      <c r="F637" s="7" t="s">
        <v>783</v>
      </c>
      <c r="G637" s="7" t="s">
        <v>355</v>
      </c>
      <c r="H637" s="7" t="s">
        <v>355</v>
      </c>
      <c r="I637" s="14"/>
      <c r="J637" s="14"/>
      <c r="K637" s="14"/>
      <c r="L637" s="14"/>
      <c r="M637" s="14"/>
    </row>
    <row r="638" ht="18.75" customHeight="1">
      <c r="A638" s="7" t="s">
        <v>1617</v>
      </c>
      <c r="B638" s="7" t="s">
        <v>1618</v>
      </c>
      <c r="C638" s="8">
        <v>46164.0</v>
      </c>
      <c r="D638" s="8">
        <v>46170.0</v>
      </c>
      <c r="E638" s="7" t="s">
        <v>416</v>
      </c>
      <c r="F638" s="7" t="s">
        <v>413</v>
      </c>
      <c r="G638" s="7" t="s">
        <v>355</v>
      </c>
      <c r="H638" s="7" t="s">
        <v>355</v>
      </c>
      <c r="I638" s="14"/>
      <c r="J638" s="14"/>
      <c r="K638" s="14"/>
      <c r="L638" s="14"/>
      <c r="M638" s="14"/>
    </row>
    <row r="639" ht="18.75" customHeight="1">
      <c r="A639" s="7" t="s">
        <v>1619</v>
      </c>
      <c r="B639" s="7" t="s">
        <v>1620</v>
      </c>
      <c r="C639" s="8">
        <v>46164.0</v>
      </c>
      <c r="D639" s="8">
        <v>46167.0</v>
      </c>
      <c r="E639" s="7" t="s">
        <v>364</v>
      </c>
      <c r="F639" s="7" t="s">
        <v>365</v>
      </c>
      <c r="G639" s="7" t="s">
        <v>355</v>
      </c>
      <c r="H639" s="7" t="s">
        <v>355</v>
      </c>
      <c r="I639" s="14"/>
      <c r="J639" s="14"/>
      <c r="K639" s="14"/>
      <c r="L639" s="14"/>
      <c r="M639" s="14"/>
    </row>
    <row r="640" ht="18.75" customHeight="1">
      <c r="A640" s="7" t="s">
        <v>1621</v>
      </c>
      <c r="B640" s="7" t="s">
        <v>1622</v>
      </c>
      <c r="C640" s="8">
        <v>46164.0</v>
      </c>
      <c r="D640" s="8">
        <v>46166.0</v>
      </c>
      <c r="E640" s="7" t="s">
        <v>364</v>
      </c>
      <c r="F640" s="7" t="s">
        <v>365</v>
      </c>
      <c r="G640" s="7" t="s">
        <v>355</v>
      </c>
      <c r="H640" s="7" t="s">
        <v>355</v>
      </c>
      <c r="I640" s="14"/>
      <c r="J640" s="14"/>
      <c r="K640" s="14"/>
      <c r="L640" s="14"/>
      <c r="M640" s="14"/>
    </row>
    <row r="641" ht="18.75" customHeight="1">
      <c r="A641" s="7" t="s">
        <v>1623</v>
      </c>
      <c r="B641" s="7" t="s">
        <v>1624</v>
      </c>
      <c r="C641" s="8">
        <v>46164.0</v>
      </c>
      <c r="D641" s="8">
        <v>46171.0</v>
      </c>
      <c r="E641" s="7" t="s">
        <v>416</v>
      </c>
      <c r="F641" s="7" t="s">
        <v>466</v>
      </c>
      <c r="G641" s="7" t="s">
        <v>355</v>
      </c>
      <c r="H641" s="7" t="s">
        <v>355</v>
      </c>
      <c r="I641" s="14"/>
      <c r="J641" s="14"/>
      <c r="K641" s="14"/>
      <c r="L641" s="14"/>
      <c r="M641" s="14"/>
    </row>
    <row r="642" ht="18.75" customHeight="1">
      <c r="A642" s="7" t="s">
        <v>1625</v>
      </c>
      <c r="B642" s="7" t="s">
        <v>1626</v>
      </c>
      <c r="C642" s="8">
        <v>46164.0</v>
      </c>
      <c r="D642" s="8">
        <v>46171.0</v>
      </c>
      <c r="E642" s="7" t="s">
        <v>416</v>
      </c>
      <c r="F642" s="7" t="s">
        <v>466</v>
      </c>
      <c r="G642" s="7" t="s">
        <v>355</v>
      </c>
      <c r="H642" s="7" t="s">
        <v>355</v>
      </c>
      <c r="I642" s="14"/>
      <c r="J642" s="14"/>
      <c r="K642" s="14"/>
      <c r="L642" s="14"/>
      <c r="M642" s="14"/>
    </row>
    <row r="643" ht="18.75" customHeight="1">
      <c r="A643" s="7" t="s">
        <v>1627</v>
      </c>
      <c r="B643" s="7" t="s">
        <v>1628</v>
      </c>
      <c r="C643" s="8">
        <v>46164.0</v>
      </c>
      <c r="D643" s="8">
        <v>46171.0</v>
      </c>
      <c r="E643" s="7" t="s">
        <v>416</v>
      </c>
      <c r="F643" s="7" t="s">
        <v>466</v>
      </c>
      <c r="G643" s="7" t="s">
        <v>355</v>
      </c>
      <c r="H643" s="7" t="s">
        <v>355</v>
      </c>
      <c r="I643" s="14"/>
      <c r="J643" s="14"/>
      <c r="K643" s="14"/>
      <c r="L643" s="14"/>
      <c r="M643" s="14"/>
    </row>
    <row r="644" ht="18.75" customHeight="1">
      <c r="A644" s="7" t="s">
        <v>1629</v>
      </c>
      <c r="B644" s="7" t="s">
        <v>1630</v>
      </c>
      <c r="C644" s="8">
        <v>46164.0</v>
      </c>
      <c r="D644" s="8">
        <v>46171.0</v>
      </c>
      <c r="E644" s="7" t="s">
        <v>416</v>
      </c>
      <c r="F644" s="7" t="s">
        <v>466</v>
      </c>
      <c r="G644" s="7" t="s">
        <v>355</v>
      </c>
      <c r="H644" s="7" t="s">
        <v>355</v>
      </c>
      <c r="I644" s="14"/>
      <c r="J644" s="14"/>
      <c r="K644" s="14"/>
      <c r="L644" s="14"/>
      <c r="M644" s="14"/>
    </row>
    <row r="645" ht="18.75" customHeight="1">
      <c r="A645" s="7" t="s">
        <v>1631</v>
      </c>
      <c r="B645" s="7" t="s">
        <v>1632</v>
      </c>
      <c r="C645" s="8">
        <v>46163.0</v>
      </c>
      <c r="D645" s="8">
        <v>46185.0</v>
      </c>
      <c r="E645" s="7" t="s">
        <v>416</v>
      </c>
      <c r="F645" s="7" t="s">
        <v>417</v>
      </c>
      <c r="G645" s="7" t="s">
        <v>355</v>
      </c>
      <c r="H645" s="7" t="s">
        <v>355</v>
      </c>
      <c r="I645" s="14"/>
      <c r="J645" s="14"/>
      <c r="K645" s="14"/>
      <c r="L645" s="14"/>
      <c r="M645" s="14"/>
    </row>
    <row r="646" ht="18.75" customHeight="1">
      <c r="A646" s="7" t="s">
        <v>1633</v>
      </c>
      <c r="B646" s="7" t="s">
        <v>1634</v>
      </c>
      <c r="C646" s="8">
        <v>46164.0</v>
      </c>
      <c r="D646" s="8">
        <v>46169.0</v>
      </c>
      <c r="E646" s="7" t="s">
        <v>364</v>
      </c>
      <c r="F646" s="7" t="s">
        <v>365</v>
      </c>
      <c r="G646" s="7" t="s">
        <v>355</v>
      </c>
      <c r="H646" s="7" t="s">
        <v>355</v>
      </c>
      <c r="I646" s="14"/>
      <c r="J646" s="14"/>
      <c r="K646" s="14"/>
      <c r="L646" s="14"/>
      <c r="M646" s="14"/>
    </row>
    <row r="647" ht="18.75" customHeight="1">
      <c r="A647" s="7" t="s">
        <v>1635</v>
      </c>
      <c r="B647" s="7" t="s">
        <v>1636</v>
      </c>
      <c r="C647" s="8">
        <v>46168.0</v>
      </c>
      <c r="D647" s="8">
        <v>46168.0</v>
      </c>
      <c r="E647" s="7" t="s">
        <v>353</v>
      </c>
      <c r="F647" s="7" t="s">
        <v>378</v>
      </c>
      <c r="G647" s="7" t="s">
        <v>355</v>
      </c>
      <c r="H647" s="7" t="s">
        <v>355</v>
      </c>
      <c r="I647" s="14"/>
      <c r="J647" s="14"/>
      <c r="K647" s="14"/>
      <c r="L647" s="14"/>
      <c r="M647" s="14"/>
    </row>
    <row r="648" ht="18.75" customHeight="1">
      <c r="A648" s="7" t="s">
        <v>1637</v>
      </c>
      <c r="B648" s="7" t="s">
        <v>1638</v>
      </c>
      <c r="C648" s="8">
        <v>46168.0</v>
      </c>
      <c r="D648" s="8">
        <v>46183.0</v>
      </c>
      <c r="E648" s="7" t="s">
        <v>364</v>
      </c>
      <c r="F648" s="7" t="s">
        <v>365</v>
      </c>
      <c r="G648" s="7" t="s">
        <v>355</v>
      </c>
      <c r="H648" s="7" t="s">
        <v>355</v>
      </c>
      <c r="I648" s="14"/>
      <c r="J648" s="14"/>
      <c r="K648" s="14"/>
      <c r="L648" s="14"/>
      <c r="M648" s="14"/>
    </row>
    <row r="649" ht="18.75" customHeight="1">
      <c r="A649" s="7" t="s">
        <v>1639</v>
      </c>
      <c r="B649" s="7" t="s">
        <v>1640</v>
      </c>
      <c r="C649" s="8">
        <v>46189.0</v>
      </c>
      <c r="D649" s="8">
        <v>46203.0</v>
      </c>
      <c r="E649" s="7" t="s">
        <v>404</v>
      </c>
      <c r="F649" s="7" t="s">
        <v>667</v>
      </c>
      <c r="G649" s="7" t="s">
        <v>355</v>
      </c>
      <c r="H649" s="7" t="s">
        <v>355</v>
      </c>
      <c r="I649" s="14"/>
      <c r="J649" s="14"/>
      <c r="K649" s="14"/>
      <c r="L649" s="14"/>
      <c r="M649" s="14"/>
    </row>
    <row r="650" ht="18.75" customHeight="1">
      <c r="A650" s="7" t="s">
        <v>1641</v>
      </c>
      <c r="B650" s="7" t="s">
        <v>1642</v>
      </c>
      <c r="C650" s="8">
        <v>46174.0</v>
      </c>
      <c r="D650" s="8">
        <v>46176.0</v>
      </c>
      <c r="E650" s="7" t="s">
        <v>416</v>
      </c>
      <c r="F650" s="7" t="s">
        <v>430</v>
      </c>
      <c r="G650" s="7" t="s">
        <v>355</v>
      </c>
      <c r="H650" s="7" t="s">
        <v>355</v>
      </c>
      <c r="I650" s="14"/>
      <c r="J650" s="14"/>
      <c r="K650" s="14"/>
      <c r="L650" s="14"/>
      <c r="M650" s="14"/>
    </row>
    <row r="651" ht="18.75" customHeight="1">
      <c r="A651" s="7" t="s">
        <v>1643</v>
      </c>
      <c r="B651" s="7" t="s">
        <v>1644</v>
      </c>
      <c r="C651" s="8">
        <v>46171.0</v>
      </c>
      <c r="D651" s="8">
        <v>46171.0</v>
      </c>
      <c r="E651" s="7" t="s">
        <v>358</v>
      </c>
      <c r="F651" s="7" t="s">
        <v>387</v>
      </c>
      <c r="G651" s="7" t="s">
        <v>355</v>
      </c>
      <c r="H651" s="7" t="s">
        <v>355</v>
      </c>
      <c r="I651" s="14"/>
      <c r="J651" s="14"/>
      <c r="K651" s="14"/>
      <c r="L651" s="14"/>
      <c r="M651" s="14"/>
    </row>
    <row r="652" ht="18.75" customHeight="1">
      <c r="A652" s="7" t="s">
        <v>1645</v>
      </c>
      <c r="B652" s="7" t="s">
        <v>1646</v>
      </c>
      <c r="C652" s="8">
        <v>46171.0</v>
      </c>
      <c r="D652" s="8">
        <v>46171.0</v>
      </c>
      <c r="E652" s="7" t="s">
        <v>358</v>
      </c>
      <c r="F652" s="7" t="s">
        <v>387</v>
      </c>
      <c r="G652" s="7" t="s">
        <v>355</v>
      </c>
      <c r="H652" s="7" t="s">
        <v>355</v>
      </c>
      <c r="I652" s="14"/>
      <c r="J652" s="14"/>
      <c r="K652" s="14"/>
      <c r="L652" s="14"/>
      <c r="M652" s="14"/>
    </row>
    <row r="653" ht="18.75" customHeight="1">
      <c r="A653" s="7" t="s">
        <v>1647</v>
      </c>
      <c r="B653" s="7" t="s">
        <v>1648</v>
      </c>
      <c r="C653" s="8">
        <v>46175.0</v>
      </c>
      <c r="D653" s="8">
        <v>46175.0</v>
      </c>
      <c r="E653" s="7" t="s">
        <v>358</v>
      </c>
      <c r="F653" s="7" t="s">
        <v>387</v>
      </c>
      <c r="G653" s="7" t="s">
        <v>355</v>
      </c>
      <c r="H653" s="7" t="s">
        <v>355</v>
      </c>
      <c r="I653" s="14"/>
      <c r="J653" s="14"/>
      <c r="K653" s="14"/>
      <c r="L653" s="14"/>
      <c r="M653" s="14"/>
    </row>
    <row r="654" ht="18.75" customHeight="1">
      <c r="A654" s="7" t="s">
        <v>1649</v>
      </c>
      <c r="B654" s="7" t="s">
        <v>1650</v>
      </c>
      <c r="C654" s="8">
        <v>46175.0</v>
      </c>
      <c r="D654" s="8">
        <v>46175.0</v>
      </c>
      <c r="E654" s="7" t="s">
        <v>358</v>
      </c>
      <c r="F654" s="7" t="s">
        <v>387</v>
      </c>
      <c r="G654" s="7" t="s">
        <v>355</v>
      </c>
      <c r="H654" s="7" t="s">
        <v>355</v>
      </c>
      <c r="I654" s="14"/>
      <c r="J654" s="14"/>
      <c r="K654" s="14"/>
      <c r="L654" s="14"/>
      <c r="M654" s="14"/>
    </row>
    <row r="655" ht="18.75" customHeight="1">
      <c r="A655" s="7" t="s">
        <v>1651</v>
      </c>
      <c r="B655" s="7" t="s">
        <v>1652</v>
      </c>
      <c r="C655" s="8">
        <v>46175.0</v>
      </c>
      <c r="D655" s="8">
        <v>46175.0</v>
      </c>
      <c r="E655" s="7" t="s">
        <v>358</v>
      </c>
      <c r="F655" s="7" t="s">
        <v>387</v>
      </c>
      <c r="G655" s="7" t="s">
        <v>355</v>
      </c>
      <c r="H655" s="7" t="s">
        <v>355</v>
      </c>
      <c r="I655" s="14"/>
      <c r="J655" s="14"/>
      <c r="K655" s="14"/>
      <c r="L655" s="14"/>
      <c r="M655" s="14"/>
    </row>
    <row r="656" ht="18.75" customHeight="1">
      <c r="A656" s="7" t="s">
        <v>1653</v>
      </c>
      <c r="B656" s="7" t="s">
        <v>1654</v>
      </c>
      <c r="C656" s="8">
        <v>46168.0</v>
      </c>
      <c r="D656" s="8">
        <v>46169.0</v>
      </c>
      <c r="E656" s="7" t="s">
        <v>353</v>
      </c>
      <c r="F656" s="7" t="s">
        <v>808</v>
      </c>
      <c r="G656" s="7" t="s">
        <v>355</v>
      </c>
      <c r="H656" s="7" t="s">
        <v>355</v>
      </c>
      <c r="I656" s="14"/>
      <c r="J656" s="14"/>
      <c r="K656" s="14"/>
      <c r="L656" s="14"/>
      <c r="M656" s="14"/>
    </row>
    <row r="657" ht="18.75" customHeight="1">
      <c r="A657" s="7" t="s">
        <v>1655</v>
      </c>
      <c r="B657" s="7" t="s">
        <v>1656</v>
      </c>
      <c r="C657" s="8">
        <v>46169.0</v>
      </c>
      <c r="D657" s="8">
        <v>46180.0</v>
      </c>
      <c r="E657" s="7" t="s">
        <v>364</v>
      </c>
      <c r="F657" s="7" t="s">
        <v>365</v>
      </c>
      <c r="G657" s="7" t="s">
        <v>355</v>
      </c>
      <c r="H657" s="7" t="s">
        <v>355</v>
      </c>
      <c r="I657" s="14"/>
      <c r="J657" s="14"/>
      <c r="K657" s="14"/>
      <c r="L657" s="14"/>
      <c r="M657" s="14"/>
    </row>
    <row r="658" ht="18.75" customHeight="1">
      <c r="A658" s="7" t="s">
        <v>1657</v>
      </c>
      <c r="B658" s="7" t="s">
        <v>1658</v>
      </c>
      <c r="C658" s="8">
        <v>46171.0</v>
      </c>
      <c r="D658" s="8">
        <v>46184.0</v>
      </c>
      <c r="E658" s="7" t="s">
        <v>358</v>
      </c>
      <c r="F658" s="7" t="s">
        <v>466</v>
      </c>
      <c r="G658" s="7" t="s">
        <v>355</v>
      </c>
      <c r="H658" s="7" t="s">
        <v>355</v>
      </c>
      <c r="I658" s="14"/>
      <c r="J658" s="14"/>
      <c r="K658" s="14"/>
      <c r="L658" s="14"/>
      <c r="M658" s="14"/>
    </row>
    <row r="659" ht="18.75" customHeight="1">
      <c r="A659" s="7" t="s">
        <v>1659</v>
      </c>
      <c r="B659" s="7" t="s">
        <v>1660</v>
      </c>
      <c r="C659" s="8">
        <v>46174.0</v>
      </c>
      <c r="D659" s="8">
        <v>46188.0</v>
      </c>
      <c r="E659" s="7" t="s">
        <v>364</v>
      </c>
      <c r="F659" s="7" t="s">
        <v>365</v>
      </c>
      <c r="G659" s="7" t="s">
        <v>355</v>
      </c>
      <c r="H659" s="7" t="s">
        <v>355</v>
      </c>
      <c r="I659" s="14"/>
      <c r="J659" s="14"/>
      <c r="K659" s="14"/>
      <c r="L659" s="14"/>
      <c r="M659" s="14"/>
    </row>
    <row r="660" ht="18.75" customHeight="1">
      <c r="A660" s="7" t="s">
        <v>1661</v>
      </c>
      <c r="B660" s="7" t="s">
        <v>1662</v>
      </c>
      <c r="C660" s="8">
        <v>46169.0</v>
      </c>
      <c r="D660" s="8">
        <v>46192.0</v>
      </c>
      <c r="E660" s="7" t="s">
        <v>416</v>
      </c>
      <c r="F660" s="7" t="s">
        <v>417</v>
      </c>
      <c r="G660" s="7" t="s">
        <v>355</v>
      </c>
      <c r="H660" s="7" t="s">
        <v>355</v>
      </c>
      <c r="I660" s="14"/>
      <c r="J660" s="14"/>
      <c r="K660" s="14"/>
      <c r="L660" s="14"/>
      <c r="M660" s="14"/>
    </row>
    <row r="661" ht="18.75" customHeight="1">
      <c r="A661" s="7" t="s">
        <v>1663</v>
      </c>
      <c r="B661" s="7" t="s">
        <v>1664</v>
      </c>
      <c r="C661" s="8">
        <v>46174.0</v>
      </c>
      <c r="D661" s="8">
        <v>46220.0</v>
      </c>
      <c r="E661" s="7" t="s">
        <v>358</v>
      </c>
      <c r="F661" s="7" t="s">
        <v>1665</v>
      </c>
      <c r="G661" s="7" t="s">
        <v>355</v>
      </c>
      <c r="H661" s="7" t="s">
        <v>410</v>
      </c>
      <c r="I661" s="14"/>
      <c r="J661" s="14"/>
      <c r="K661" s="14"/>
      <c r="L661" s="14"/>
      <c r="M661" s="14"/>
    </row>
    <row r="662" ht="18.75" customHeight="1">
      <c r="A662" s="7" t="s">
        <v>1666</v>
      </c>
      <c r="B662" s="7" t="s">
        <v>1667</v>
      </c>
      <c r="C662" s="8">
        <v>46190.0</v>
      </c>
      <c r="D662" s="8">
        <v>46199.0</v>
      </c>
      <c r="E662" s="7" t="s">
        <v>404</v>
      </c>
      <c r="F662" s="7" t="s">
        <v>783</v>
      </c>
      <c r="G662" s="7" t="s">
        <v>355</v>
      </c>
      <c r="H662" s="7" t="s">
        <v>355</v>
      </c>
      <c r="I662" s="14"/>
      <c r="J662" s="14"/>
      <c r="K662" s="14"/>
      <c r="L662" s="14"/>
      <c r="M662" s="14"/>
    </row>
    <row r="663" ht="18.75" customHeight="1">
      <c r="A663" s="7" t="s">
        <v>2156</v>
      </c>
      <c r="B663" s="7" t="s">
        <v>2157</v>
      </c>
      <c r="C663" s="15"/>
      <c r="D663" s="15"/>
      <c r="E663" s="7" t="s">
        <v>358</v>
      </c>
      <c r="F663" s="7" t="s">
        <v>359</v>
      </c>
      <c r="G663" s="7" t="s">
        <v>2120</v>
      </c>
      <c r="H663" s="7" t="s">
        <v>2120</v>
      </c>
      <c r="I663" s="14"/>
      <c r="J663" s="14"/>
      <c r="K663" s="14"/>
      <c r="L663" s="14"/>
      <c r="M663" s="14"/>
    </row>
    <row r="664" ht="18.75" customHeight="1">
      <c r="A664" s="7" t="s">
        <v>1668</v>
      </c>
      <c r="B664" s="7" t="s">
        <v>1669</v>
      </c>
      <c r="C664" s="8">
        <v>46175.0</v>
      </c>
      <c r="D664" s="8">
        <v>46175.0</v>
      </c>
      <c r="E664" s="7" t="s">
        <v>416</v>
      </c>
      <c r="F664" s="7" t="s">
        <v>430</v>
      </c>
      <c r="G664" s="7" t="s">
        <v>355</v>
      </c>
      <c r="H664" s="7" t="s">
        <v>355</v>
      </c>
      <c r="I664" s="14"/>
      <c r="J664" s="14"/>
      <c r="K664" s="14"/>
      <c r="L664" s="14"/>
      <c r="M664" s="14"/>
    </row>
    <row r="665" ht="18.75" customHeight="1">
      <c r="A665" s="7" t="s">
        <v>1670</v>
      </c>
      <c r="B665" s="7" t="s">
        <v>1671</v>
      </c>
      <c r="C665" s="8">
        <v>46170.0</v>
      </c>
      <c r="D665" s="8">
        <v>46175.0</v>
      </c>
      <c r="E665" s="7" t="s">
        <v>416</v>
      </c>
      <c r="F665" s="7" t="s">
        <v>594</v>
      </c>
      <c r="G665" s="7" t="s">
        <v>355</v>
      </c>
      <c r="H665" s="7" t="s">
        <v>355</v>
      </c>
      <c r="I665" s="14"/>
      <c r="J665" s="14"/>
      <c r="K665" s="14"/>
      <c r="L665" s="14"/>
      <c r="M665" s="14"/>
    </row>
    <row r="666" ht="18.75" customHeight="1">
      <c r="A666" s="7" t="s">
        <v>1672</v>
      </c>
      <c r="B666" s="7" t="s">
        <v>1673</v>
      </c>
      <c r="C666" s="8">
        <v>46170.0</v>
      </c>
      <c r="D666" s="8">
        <v>46177.0</v>
      </c>
      <c r="E666" s="7" t="s">
        <v>416</v>
      </c>
      <c r="F666" s="7" t="s">
        <v>378</v>
      </c>
      <c r="G666" s="7" t="s">
        <v>355</v>
      </c>
      <c r="H666" s="7" t="s">
        <v>355</v>
      </c>
      <c r="I666" s="14"/>
      <c r="J666" s="14"/>
      <c r="K666" s="14"/>
      <c r="L666" s="14"/>
      <c r="M666" s="14"/>
    </row>
    <row r="667" ht="18.75" customHeight="1">
      <c r="A667" s="7" t="s">
        <v>1674</v>
      </c>
      <c r="B667" s="7" t="s">
        <v>1675</v>
      </c>
      <c r="C667" s="8">
        <v>46171.0</v>
      </c>
      <c r="D667" s="8">
        <v>46178.0</v>
      </c>
      <c r="E667" s="7" t="s">
        <v>416</v>
      </c>
      <c r="F667" s="7" t="s">
        <v>725</v>
      </c>
      <c r="G667" s="7" t="s">
        <v>355</v>
      </c>
      <c r="H667" s="7" t="s">
        <v>355</v>
      </c>
      <c r="I667" s="14"/>
      <c r="J667" s="14"/>
      <c r="K667" s="14"/>
      <c r="L667" s="14"/>
      <c r="M667" s="14"/>
    </row>
    <row r="668" ht="18.75" customHeight="1">
      <c r="A668" s="7" t="s">
        <v>1676</v>
      </c>
      <c r="B668" s="7" t="s">
        <v>1677</v>
      </c>
      <c r="C668" s="8">
        <v>46170.0</v>
      </c>
      <c r="D668" s="8">
        <v>46192.0</v>
      </c>
      <c r="E668" s="7" t="s">
        <v>416</v>
      </c>
      <c r="F668" s="7" t="s">
        <v>417</v>
      </c>
      <c r="G668" s="7" t="s">
        <v>355</v>
      </c>
      <c r="H668" s="7" t="s">
        <v>355</v>
      </c>
      <c r="I668" s="14"/>
      <c r="J668" s="14"/>
      <c r="K668" s="14"/>
      <c r="L668" s="14"/>
      <c r="M668" s="14"/>
    </row>
    <row r="669" ht="18.75" customHeight="1">
      <c r="A669" s="7" t="s">
        <v>1678</v>
      </c>
      <c r="B669" s="7" t="s">
        <v>1679</v>
      </c>
      <c r="C669" s="8">
        <v>46169.0</v>
      </c>
      <c r="D669" s="8">
        <v>46193.0</v>
      </c>
      <c r="E669" s="7" t="s">
        <v>416</v>
      </c>
      <c r="F669" s="7" t="s">
        <v>417</v>
      </c>
      <c r="G669" s="7" t="s">
        <v>355</v>
      </c>
      <c r="H669" s="7" t="s">
        <v>355</v>
      </c>
      <c r="I669" s="14"/>
      <c r="J669" s="14"/>
      <c r="K669" s="14"/>
      <c r="L669" s="14"/>
      <c r="M669" s="14"/>
    </row>
    <row r="670" ht="18.75" customHeight="1">
      <c r="A670" s="7" t="s">
        <v>1680</v>
      </c>
      <c r="B670" s="7" t="s">
        <v>1681</v>
      </c>
      <c r="C670" s="8">
        <v>46171.0</v>
      </c>
      <c r="D670" s="8">
        <v>46178.0</v>
      </c>
      <c r="E670" s="7" t="s">
        <v>353</v>
      </c>
      <c r="F670" s="7" t="s">
        <v>378</v>
      </c>
      <c r="G670" s="7" t="s">
        <v>355</v>
      </c>
      <c r="H670" s="7" t="s">
        <v>355</v>
      </c>
      <c r="I670" s="14"/>
      <c r="J670" s="14"/>
      <c r="K670" s="14"/>
      <c r="L670" s="14"/>
      <c r="M670" s="14"/>
    </row>
    <row r="671" ht="18.75" customHeight="1">
      <c r="A671" s="7" t="s">
        <v>1682</v>
      </c>
      <c r="B671" s="7" t="s">
        <v>1683</v>
      </c>
      <c r="C671" s="8">
        <v>46171.0</v>
      </c>
      <c r="D671" s="8">
        <v>46177.0</v>
      </c>
      <c r="E671" s="7" t="s">
        <v>416</v>
      </c>
      <c r="F671" s="7" t="s">
        <v>783</v>
      </c>
      <c r="G671" s="7" t="s">
        <v>355</v>
      </c>
      <c r="H671" s="7" t="s">
        <v>355</v>
      </c>
      <c r="I671" s="14"/>
      <c r="J671" s="14"/>
      <c r="K671" s="14"/>
      <c r="L671" s="14"/>
      <c r="M671" s="14"/>
    </row>
    <row r="672" ht="18.75" customHeight="1">
      <c r="A672" s="7" t="s">
        <v>1684</v>
      </c>
      <c r="B672" s="7" t="s">
        <v>1685</v>
      </c>
      <c r="C672" s="8">
        <v>46171.0</v>
      </c>
      <c r="D672" s="8">
        <v>46178.0</v>
      </c>
      <c r="E672" s="7" t="s">
        <v>416</v>
      </c>
      <c r="F672" s="7" t="s">
        <v>466</v>
      </c>
      <c r="G672" s="7" t="s">
        <v>355</v>
      </c>
      <c r="H672" s="7" t="s">
        <v>355</v>
      </c>
      <c r="I672" s="14"/>
      <c r="J672" s="14"/>
      <c r="K672" s="14"/>
      <c r="L672" s="14"/>
      <c r="M672" s="14"/>
    </row>
    <row r="673" ht="18.75" customHeight="1">
      <c r="A673" s="7" t="s">
        <v>1686</v>
      </c>
      <c r="B673" s="7" t="s">
        <v>1687</v>
      </c>
      <c r="C673" s="8">
        <v>46171.0</v>
      </c>
      <c r="D673" s="8">
        <v>46186.0</v>
      </c>
      <c r="E673" s="7" t="s">
        <v>364</v>
      </c>
      <c r="F673" s="7" t="s">
        <v>365</v>
      </c>
      <c r="G673" s="7" t="s">
        <v>355</v>
      </c>
      <c r="H673" s="7" t="s">
        <v>355</v>
      </c>
      <c r="I673" s="14"/>
      <c r="J673" s="14"/>
      <c r="K673" s="14"/>
      <c r="L673" s="14"/>
      <c r="M673" s="14"/>
    </row>
    <row r="674" ht="18.75" customHeight="1">
      <c r="A674" s="7" t="s">
        <v>1688</v>
      </c>
      <c r="B674" s="7" t="s">
        <v>1689</v>
      </c>
      <c r="C674" s="8">
        <v>46170.0</v>
      </c>
      <c r="D674" s="8">
        <v>46170.0</v>
      </c>
      <c r="E674" s="7" t="s">
        <v>353</v>
      </c>
      <c r="F674" s="7" t="s">
        <v>1690</v>
      </c>
      <c r="G674" s="7" t="s">
        <v>355</v>
      </c>
      <c r="H674" s="7" t="s">
        <v>355</v>
      </c>
      <c r="I674" s="14"/>
      <c r="J674" s="14"/>
      <c r="K674" s="14"/>
      <c r="L674" s="14"/>
      <c r="M674" s="14"/>
    </row>
    <row r="675" ht="18.75" customHeight="1">
      <c r="A675" s="7" t="s">
        <v>1691</v>
      </c>
      <c r="B675" s="7" t="s">
        <v>1692</v>
      </c>
      <c r="C675" s="8">
        <v>46171.0</v>
      </c>
      <c r="D675" s="8">
        <v>46203.0</v>
      </c>
      <c r="E675" s="7" t="s">
        <v>364</v>
      </c>
      <c r="F675" s="7" t="s">
        <v>365</v>
      </c>
      <c r="G675" s="7" t="s">
        <v>355</v>
      </c>
      <c r="H675" s="7" t="s">
        <v>355</v>
      </c>
      <c r="I675" s="14"/>
      <c r="J675" s="14"/>
      <c r="K675" s="14"/>
      <c r="L675" s="14"/>
      <c r="M675" s="14"/>
    </row>
    <row r="676" ht="18.75" customHeight="1">
      <c r="A676" s="7" t="s">
        <v>1693</v>
      </c>
      <c r="B676" s="7" t="s">
        <v>1694</v>
      </c>
      <c r="C676" s="8">
        <v>46174.0</v>
      </c>
      <c r="D676" s="8">
        <v>46178.0</v>
      </c>
      <c r="E676" s="7" t="s">
        <v>416</v>
      </c>
      <c r="F676" s="7" t="s">
        <v>466</v>
      </c>
      <c r="G676" s="7" t="s">
        <v>355</v>
      </c>
      <c r="H676" s="7" t="s">
        <v>355</v>
      </c>
      <c r="I676" s="14"/>
      <c r="J676" s="14"/>
      <c r="K676" s="14"/>
      <c r="L676" s="14"/>
      <c r="M676" s="14"/>
    </row>
    <row r="677" ht="18.75" customHeight="1">
      <c r="A677" s="7" t="s">
        <v>1695</v>
      </c>
      <c r="B677" s="7" t="s">
        <v>1696</v>
      </c>
      <c r="C677" s="8">
        <v>46174.0</v>
      </c>
      <c r="D677" s="8">
        <v>46178.0</v>
      </c>
      <c r="E677" s="7" t="s">
        <v>416</v>
      </c>
      <c r="F677" s="7" t="s">
        <v>466</v>
      </c>
      <c r="G677" s="7" t="s">
        <v>355</v>
      </c>
      <c r="H677" s="7" t="s">
        <v>355</v>
      </c>
      <c r="I677" s="14"/>
      <c r="J677" s="14"/>
      <c r="K677" s="14"/>
      <c r="L677" s="14"/>
      <c r="M677" s="14"/>
    </row>
    <row r="678" ht="18.75" customHeight="1">
      <c r="A678" s="7" t="s">
        <v>1697</v>
      </c>
      <c r="B678" s="7" t="s">
        <v>1698</v>
      </c>
      <c r="C678" s="8">
        <v>46174.0</v>
      </c>
      <c r="D678" s="8">
        <v>46178.0</v>
      </c>
      <c r="E678" s="7" t="s">
        <v>416</v>
      </c>
      <c r="F678" s="7" t="s">
        <v>466</v>
      </c>
      <c r="G678" s="7" t="s">
        <v>355</v>
      </c>
      <c r="H678" s="7" t="s">
        <v>355</v>
      </c>
      <c r="I678" s="14"/>
      <c r="J678" s="14"/>
      <c r="K678" s="14"/>
      <c r="L678" s="14"/>
      <c r="M678" s="14"/>
    </row>
    <row r="679" ht="18.75" customHeight="1">
      <c r="A679" s="7" t="s">
        <v>1699</v>
      </c>
      <c r="B679" s="7" t="s">
        <v>1700</v>
      </c>
      <c r="C679" s="8">
        <v>46174.0</v>
      </c>
      <c r="D679" s="8">
        <v>46178.0</v>
      </c>
      <c r="E679" s="7" t="s">
        <v>416</v>
      </c>
      <c r="F679" s="7" t="s">
        <v>466</v>
      </c>
      <c r="G679" s="7" t="s">
        <v>355</v>
      </c>
      <c r="H679" s="7" t="s">
        <v>355</v>
      </c>
      <c r="I679" s="14"/>
      <c r="J679" s="14"/>
      <c r="K679" s="14"/>
      <c r="L679" s="14"/>
      <c r="M679" s="14"/>
    </row>
    <row r="680" ht="18.75" customHeight="1">
      <c r="A680" s="7" t="s">
        <v>1701</v>
      </c>
      <c r="B680" s="7" t="s">
        <v>1702</v>
      </c>
      <c r="C680" s="8">
        <v>46190.0</v>
      </c>
      <c r="D680" s="8">
        <v>46190.0</v>
      </c>
      <c r="E680" s="7" t="s">
        <v>416</v>
      </c>
      <c r="F680" s="7" t="s">
        <v>430</v>
      </c>
      <c r="G680" s="7" t="s">
        <v>355</v>
      </c>
      <c r="H680" s="7" t="s">
        <v>355</v>
      </c>
      <c r="I680" s="14"/>
      <c r="J680" s="14"/>
      <c r="K680" s="14"/>
      <c r="L680" s="14"/>
      <c r="M680" s="14"/>
    </row>
    <row r="681" ht="18.75" customHeight="1">
      <c r="A681" s="7" t="s">
        <v>1703</v>
      </c>
      <c r="B681" s="7" t="s">
        <v>1704</v>
      </c>
      <c r="C681" s="8">
        <v>46150.0</v>
      </c>
      <c r="D681" s="8">
        <v>46178.0</v>
      </c>
      <c r="E681" s="7" t="s">
        <v>416</v>
      </c>
      <c r="F681" s="7" t="s">
        <v>725</v>
      </c>
      <c r="G681" s="7" t="s">
        <v>355</v>
      </c>
      <c r="H681" s="7" t="s">
        <v>355</v>
      </c>
      <c r="I681" s="14"/>
      <c r="J681" s="14"/>
      <c r="K681" s="14"/>
      <c r="L681" s="14"/>
      <c r="M681" s="14"/>
    </row>
    <row r="682" ht="18.75" customHeight="1">
      <c r="A682" s="7" t="s">
        <v>1705</v>
      </c>
      <c r="B682" s="7" t="s">
        <v>1706</v>
      </c>
      <c r="C682" s="8">
        <v>46177.0</v>
      </c>
      <c r="D682" s="8">
        <v>46191.0</v>
      </c>
      <c r="E682" s="7" t="s">
        <v>364</v>
      </c>
      <c r="F682" s="7" t="s">
        <v>365</v>
      </c>
      <c r="G682" s="7" t="s">
        <v>355</v>
      </c>
      <c r="H682" s="7" t="s">
        <v>355</v>
      </c>
      <c r="I682" s="14"/>
      <c r="J682" s="14"/>
      <c r="K682" s="14"/>
      <c r="L682" s="14"/>
      <c r="M682" s="14"/>
    </row>
    <row r="683" ht="18.75" customHeight="1">
      <c r="A683" s="7" t="s">
        <v>1707</v>
      </c>
      <c r="B683" s="7" t="s">
        <v>1708</v>
      </c>
      <c r="C683" s="8">
        <v>46171.0</v>
      </c>
      <c r="D683" s="8">
        <v>46175.0</v>
      </c>
      <c r="E683" s="7" t="s">
        <v>353</v>
      </c>
      <c r="F683" s="7" t="s">
        <v>417</v>
      </c>
      <c r="G683" s="7" t="s">
        <v>355</v>
      </c>
      <c r="H683" s="7" t="s">
        <v>355</v>
      </c>
      <c r="I683" s="14"/>
      <c r="J683" s="14"/>
      <c r="K683" s="14"/>
      <c r="L683" s="14"/>
      <c r="M683" s="14"/>
    </row>
    <row r="684" ht="18.75" customHeight="1">
      <c r="A684" s="7" t="s">
        <v>1709</v>
      </c>
      <c r="B684" s="7" t="s">
        <v>1710</v>
      </c>
      <c r="C684" s="8">
        <v>46182.0</v>
      </c>
      <c r="D684" s="8">
        <v>46182.0</v>
      </c>
      <c r="E684" s="7" t="s">
        <v>404</v>
      </c>
      <c r="F684" s="7" t="s">
        <v>474</v>
      </c>
      <c r="G684" s="7" t="s">
        <v>355</v>
      </c>
      <c r="H684" s="7" t="s">
        <v>355</v>
      </c>
      <c r="I684" s="14"/>
      <c r="J684" s="14"/>
      <c r="K684" s="14"/>
      <c r="L684" s="14"/>
      <c r="M684" s="14"/>
    </row>
    <row r="685" ht="18.75" customHeight="1">
      <c r="A685" s="7" t="s">
        <v>1711</v>
      </c>
      <c r="B685" s="7" t="s">
        <v>1712</v>
      </c>
      <c r="C685" s="8">
        <v>46177.0</v>
      </c>
      <c r="D685" s="8">
        <v>46196.0</v>
      </c>
      <c r="E685" s="7" t="s">
        <v>404</v>
      </c>
      <c r="F685" s="7" t="s">
        <v>667</v>
      </c>
      <c r="G685" s="7" t="s">
        <v>355</v>
      </c>
      <c r="H685" s="7" t="s">
        <v>355</v>
      </c>
      <c r="I685" s="14"/>
      <c r="J685" s="14"/>
      <c r="K685" s="14"/>
      <c r="L685" s="14"/>
      <c r="M685" s="14"/>
    </row>
    <row r="686" ht="18.75" customHeight="1">
      <c r="A686" s="7" t="s">
        <v>2158</v>
      </c>
      <c r="B686" s="7" t="s">
        <v>2159</v>
      </c>
      <c r="C686" s="15"/>
      <c r="D686" s="15"/>
      <c r="E686" s="7" t="s">
        <v>404</v>
      </c>
      <c r="F686" s="7" t="s">
        <v>474</v>
      </c>
      <c r="G686" s="7" t="s">
        <v>2120</v>
      </c>
      <c r="H686" s="7" t="s">
        <v>355</v>
      </c>
      <c r="I686" s="14"/>
      <c r="J686" s="14"/>
      <c r="K686" s="14"/>
      <c r="L686" s="14"/>
      <c r="M686" s="14"/>
    </row>
    <row r="687" ht="18.75" customHeight="1">
      <c r="A687" s="7" t="s">
        <v>1713</v>
      </c>
      <c r="B687" s="7" t="s">
        <v>1714</v>
      </c>
      <c r="C687" s="8">
        <v>46185.0</v>
      </c>
      <c r="D687" s="8">
        <v>46185.0</v>
      </c>
      <c r="E687" s="7" t="s">
        <v>416</v>
      </c>
      <c r="F687" s="7" t="s">
        <v>430</v>
      </c>
      <c r="G687" s="7" t="s">
        <v>355</v>
      </c>
      <c r="H687" s="7" t="s">
        <v>355</v>
      </c>
      <c r="I687" s="14"/>
      <c r="J687" s="14"/>
      <c r="K687" s="14"/>
      <c r="L687" s="14"/>
      <c r="M687" s="14"/>
    </row>
    <row r="688" ht="18.75" customHeight="1">
      <c r="A688" s="7" t="s">
        <v>1715</v>
      </c>
      <c r="B688" s="7" t="s">
        <v>1716</v>
      </c>
      <c r="C688" s="8">
        <v>46174.0</v>
      </c>
      <c r="D688" s="8">
        <v>46174.0</v>
      </c>
      <c r="E688" s="7" t="s">
        <v>358</v>
      </c>
      <c r="F688" s="7" t="s">
        <v>387</v>
      </c>
      <c r="G688" s="7" t="s">
        <v>355</v>
      </c>
      <c r="H688" s="7" t="s">
        <v>355</v>
      </c>
      <c r="I688" s="14"/>
      <c r="J688" s="14"/>
      <c r="K688" s="14"/>
      <c r="L688" s="14"/>
      <c r="M688" s="14"/>
    </row>
    <row r="689" ht="18.75" customHeight="1">
      <c r="A689" s="7" t="s">
        <v>1717</v>
      </c>
      <c r="B689" s="7" t="s">
        <v>1718</v>
      </c>
      <c r="C689" s="8">
        <v>46177.0</v>
      </c>
      <c r="D689" s="8">
        <v>46177.0</v>
      </c>
      <c r="E689" s="7" t="s">
        <v>358</v>
      </c>
      <c r="F689" s="7" t="s">
        <v>387</v>
      </c>
      <c r="G689" s="7" t="s">
        <v>355</v>
      </c>
      <c r="H689" s="7" t="s">
        <v>355</v>
      </c>
      <c r="I689" s="14"/>
      <c r="J689" s="14"/>
      <c r="K689" s="14"/>
      <c r="L689" s="14"/>
      <c r="M689" s="14"/>
    </row>
    <row r="690" ht="18.75" customHeight="1">
      <c r="A690" s="7" t="s">
        <v>1719</v>
      </c>
      <c r="B690" s="7" t="s">
        <v>1720</v>
      </c>
      <c r="C690" s="8">
        <v>46181.0</v>
      </c>
      <c r="D690" s="8">
        <v>46181.0</v>
      </c>
      <c r="E690" s="7" t="s">
        <v>358</v>
      </c>
      <c r="F690" s="7" t="s">
        <v>387</v>
      </c>
      <c r="G690" s="7" t="s">
        <v>355</v>
      </c>
      <c r="H690" s="7" t="s">
        <v>355</v>
      </c>
      <c r="I690" s="14"/>
      <c r="J690" s="14"/>
      <c r="K690" s="14"/>
      <c r="L690" s="14"/>
      <c r="M690" s="14"/>
    </row>
    <row r="691" ht="18.75" customHeight="1">
      <c r="A691" s="7" t="s">
        <v>1721</v>
      </c>
      <c r="B691" s="7" t="s">
        <v>1722</v>
      </c>
      <c r="C691" s="8">
        <v>46181.0</v>
      </c>
      <c r="D691" s="8">
        <v>46181.0</v>
      </c>
      <c r="E691" s="7" t="s">
        <v>358</v>
      </c>
      <c r="F691" s="7" t="s">
        <v>387</v>
      </c>
      <c r="G691" s="7" t="s">
        <v>355</v>
      </c>
      <c r="H691" s="7" t="s">
        <v>355</v>
      </c>
      <c r="I691" s="14"/>
      <c r="J691" s="14"/>
      <c r="K691" s="14"/>
      <c r="L691" s="14"/>
      <c r="M691" s="14"/>
    </row>
    <row r="692" ht="18.75" customHeight="1">
      <c r="A692" s="7" t="s">
        <v>1723</v>
      </c>
      <c r="B692" s="7" t="s">
        <v>1724</v>
      </c>
      <c r="C692" s="8">
        <v>46192.0</v>
      </c>
      <c r="D692" s="8">
        <v>46220.0</v>
      </c>
      <c r="E692" s="7" t="s">
        <v>353</v>
      </c>
      <c r="F692" s="7" t="s">
        <v>413</v>
      </c>
      <c r="G692" s="7" t="s">
        <v>355</v>
      </c>
      <c r="H692" s="7" t="s">
        <v>355</v>
      </c>
      <c r="I692" s="14"/>
      <c r="J692" s="14"/>
      <c r="K692" s="14"/>
      <c r="L692" s="14"/>
      <c r="M692" s="14"/>
    </row>
    <row r="693" ht="18.75" customHeight="1">
      <c r="A693" s="7" t="s">
        <v>1725</v>
      </c>
      <c r="B693" s="7" t="s">
        <v>1726</v>
      </c>
      <c r="C693" s="8">
        <v>46197.0</v>
      </c>
      <c r="D693" s="8">
        <v>46387.0</v>
      </c>
      <c r="E693" s="7" t="s">
        <v>353</v>
      </c>
      <c r="F693" s="7" t="s">
        <v>378</v>
      </c>
      <c r="G693" s="7" t="s">
        <v>410</v>
      </c>
      <c r="H693" s="7" t="s">
        <v>410</v>
      </c>
      <c r="I693" s="14"/>
      <c r="J693" s="14"/>
      <c r="K693" s="14"/>
      <c r="L693" s="14"/>
      <c r="M693" s="14"/>
    </row>
    <row r="694" ht="18.75" customHeight="1">
      <c r="A694" s="7" t="s">
        <v>1727</v>
      </c>
      <c r="B694" s="7" t="s">
        <v>1728</v>
      </c>
      <c r="C694" s="8">
        <v>46183.0</v>
      </c>
      <c r="D694" s="8">
        <v>46183.0</v>
      </c>
      <c r="E694" s="7" t="s">
        <v>364</v>
      </c>
      <c r="F694" s="7" t="s">
        <v>365</v>
      </c>
      <c r="G694" s="7" t="s">
        <v>355</v>
      </c>
      <c r="H694" s="7" t="s">
        <v>355</v>
      </c>
      <c r="I694" s="14"/>
      <c r="J694" s="14"/>
      <c r="K694" s="14"/>
      <c r="L694" s="14"/>
      <c r="M694" s="14"/>
    </row>
    <row r="695" ht="18.75" customHeight="1">
      <c r="A695" s="7" t="s">
        <v>1729</v>
      </c>
      <c r="B695" s="7" t="s">
        <v>1730</v>
      </c>
      <c r="C695" s="8">
        <v>46176.0</v>
      </c>
      <c r="D695" s="8">
        <v>46181.0</v>
      </c>
      <c r="E695" s="7" t="s">
        <v>404</v>
      </c>
      <c r="F695" s="7" t="s">
        <v>405</v>
      </c>
      <c r="G695" s="7" t="s">
        <v>355</v>
      </c>
      <c r="H695" s="7" t="s">
        <v>355</v>
      </c>
      <c r="I695" s="14"/>
      <c r="J695" s="14"/>
      <c r="K695" s="14"/>
      <c r="L695" s="14"/>
      <c r="M695" s="14"/>
    </row>
    <row r="696" ht="18.75" customHeight="1">
      <c r="A696" s="7" t="s">
        <v>1731</v>
      </c>
      <c r="B696" s="7" t="s">
        <v>1732</v>
      </c>
      <c r="C696" s="8">
        <v>46177.0</v>
      </c>
      <c r="D696" s="8">
        <v>46199.0</v>
      </c>
      <c r="E696" s="7" t="s">
        <v>416</v>
      </c>
      <c r="F696" s="7" t="s">
        <v>417</v>
      </c>
      <c r="G696" s="7" t="s">
        <v>355</v>
      </c>
      <c r="H696" s="7" t="s">
        <v>355</v>
      </c>
      <c r="I696" s="14"/>
      <c r="J696" s="14"/>
      <c r="K696" s="14"/>
      <c r="L696" s="14"/>
      <c r="M696" s="14"/>
    </row>
    <row r="697" ht="18.75" customHeight="1">
      <c r="A697" s="7" t="s">
        <v>1733</v>
      </c>
      <c r="B697" s="7" t="s">
        <v>1734</v>
      </c>
      <c r="C697" s="8">
        <v>46190.0</v>
      </c>
      <c r="D697" s="8">
        <v>46234.0</v>
      </c>
      <c r="E697" s="7" t="s">
        <v>353</v>
      </c>
      <c r="F697" s="7" t="s">
        <v>378</v>
      </c>
      <c r="G697" s="7" t="s">
        <v>410</v>
      </c>
      <c r="H697" s="7" t="s">
        <v>410</v>
      </c>
      <c r="I697" s="14"/>
      <c r="J697" s="14"/>
      <c r="K697" s="14"/>
      <c r="L697" s="14"/>
      <c r="M697" s="14"/>
    </row>
    <row r="698" ht="18.75" customHeight="1">
      <c r="A698" s="7" t="s">
        <v>1735</v>
      </c>
      <c r="B698" s="7" t="s">
        <v>1736</v>
      </c>
      <c r="C698" s="8">
        <v>46211.0</v>
      </c>
      <c r="D698" s="8">
        <v>46234.0</v>
      </c>
      <c r="E698" s="7" t="s">
        <v>358</v>
      </c>
      <c r="F698" s="7" t="s">
        <v>359</v>
      </c>
      <c r="G698" s="7" t="s">
        <v>410</v>
      </c>
      <c r="H698" s="7" t="s">
        <v>355</v>
      </c>
      <c r="I698" s="14"/>
      <c r="J698" s="14"/>
      <c r="K698" s="14"/>
      <c r="L698" s="14"/>
      <c r="M698" s="14"/>
    </row>
    <row r="699" ht="18.75" customHeight="1">
      <c r="A699" s="7" t="s">
        <v>1737</v>
      </c>
      <c r="B699" s="7" t="s">
        <v>1738</v>
      </c>
      <c r="C699" s="8">
        <v>46190.0</v>
      </c>
      <c r="D699" s="8">
        <v>46265.0</v>
      </c>
      <c r="E699" s="7" t="s">
        <v>353</v>
      </c>
      <c r="F699" s="7" t="s">
        <v>354</v>
      </c>
      <c r="G699" s="7" t="s">
        <v>410</v>
      </c>
      <c r="H699" s="7" t="s">
        <v>410</v>
      </c>
      <c r="I699" s="14"/>
      <c r="J699" s="14"/>
      <c r="K699" s="14"/>
      <c r="L699" s="14"/>
      <c r="M699" s="14"/>
    </row>
    <row r="700" ht="18.75" customHeight="1">
      <c r="A700" s="7" t="s">
        <v>1739</v>
      </c>
      <c r="B700" s="7" t="s">
        <v>1740</v>
      </c>
      <c r="C700" s="8">
        <v>46193.0</v>
      </c>
      <c r="D700" s="8">
        <v>46210.0</v>
      </c>
      <c r="E700" s="7" t="s">
        <v>364</v>
      </c>
      <c r="F700" s="7" t="s">
        <v>365</v>
      </c>
      <c r="G700" s="7" t="s">
        <v>355</v>
      </c>
      <c r="H700" s="7" t="s">
        <v>355</v>
      </c>
      <c r="I700" s="14"/>
      <c r="J700" s="14"/>
      <c r="K700" s="14"/>
      <c r="L700" s="14"/>
      <c r="M700" s="14"/>
    </row>
    <row r="701" ht="18.75" customHeight="1">
      <c r="A701" s="7" t="s">
        <v>1741</v>
      </c>
      <c r="B701" s="7" t="s">
        <v>1742</v>
      </c>
      <c r="C701" s="8">
        <v>46178.0</v>
      </c>
      <c r="D701" s="8">
        <v>46190.0</v>
      </c>
      <c r="E701" s="7" t="s">
        <v>358</v>
      </c>
      <c r="F701" s="7" t="s">
        <v>466</v>
      </c>
      <c r="G701" s="7" t="s">
        <v>355</v>
      </c>
      <c r="H701" s="7" t="s">
        <v>355</v>
      </c>
      <c r="I701" s="14"/>
      <c r="J701" s="14"/>
      <c r="K701" s="14"/>
      <c r="L701" s="14"/>
      <c r="M701" s="14"/>
    </row>
    <row r="702" ht="18.75" customHeight="1">
      <c r="A702" s="7" t="s">
        <v>1743</v>
      </c>
      <c r="B702" s="7" t="s">
        <v>1744</v>
      </c>
      <c r="C702" s="8">
        <v>46184.0</v>
      </c>
      <c r="D702" s="8">
        <v>46188.0</v>
      </c>
      <c r="E702" s="7" t="s">
        <v>353</v>
      </c>
      <c r="F702" s="7" t="s">
        <v>354</v>
      </c>
      <c r="G702" s="7" t="s">
        <v>355</v>
      </c>
      <c r="H702" s="7" t="s">
        <v>355</v>
      </c>
      <c r="I702" s="14"/>
      <c r="J702" s="14"/>
      <c r="K702" s="14"/>
      <c r="L702" s="14"/>
      <c r="M702" s="14"/>
    </row>
    <row r="703" ht="18.75" customHeight="1">
      <c r="A703" s="7" t="s">
        <v>1745</v>
      </c>
      <c r="B703" s="7" t="s">
        <v>1746</v>
      </c>
      <c r="C703" s="8">
        <v>46178.0</v>
      </c>
      <c r="D703" s="8">
        <v>46180.0</v>
      </c>
      <c r="E703" s="7" t="s">
        <v>364</v>
      </c>
      <c r="F703" s="7" t="s">
        <v>365</v>
      </c>
      <c r="G703" s="7" t="s">
        <v>355</v>
      </c>
      <c r="H703" s="7" t="s">
        <v>355</v>
      </c>
      <c r="I703" s="14"/>
      <c r="J703" s="14"/>
      <c r="K703" s="14"/>
      <c r="L703" s="14"/>
      <c r="M703" s="14"/>
    </row>
    <row r="704" ht="18.75" customHeight="1">
      <c r="A704" s="7" t="s">
        <v>1747</v>
      </c>
      <c r="B704" s="7" t="s">
        <v>1748</v>
      </c>
      <c r="C704" s="8">
        <v>46177.0</v>
      </c>
      <c r="D704" s="8">
        <v>46177.0</v>
      </c>
      <c r="E704" s="7" t="s">
        <v>358</v>
      </c>
      <c r="F704" s="7" t="s">
        <v>387</v>
      </c>
      <c r="G704" s="7" t="s">
        <v>355</v>
      </c>
      <c r="H704" s="7" t="s">
        <v>355</v>
      </c>
      <c r="I704" s="14"/>
      <c r="J704" s="14"/>
      <c r="K704" s="14"/>
      <c r="L704" s="14"/>
      <c r="M704" s="14"/>
    </row>
    <row r="705" ht="18.75" customHeight="1">
      <c r="A705" s="7" t="s">
        <v>1749</v>
      </c>
      <c r="B705" s="7" t="s">
        <v>1750</v>
      </c>
      <c r="C705" s="8">
        <v>46181.0</v>
      </c>
      <c r="D705" s="8">
        <v>46181.0</v>
      </c>
      <c r="E705" s="7" t="s">
        <v>353</v>
      </c>
      <c r="F705" s="7" t="s">
        <v>378</v>
      </c>
      <c r="G705" s="7" t="s">
        <v>355</v>
      </c>
      <c r="H705" s="7" t="s">
        <v>355</v>
      </c>
      <c r="I705" s="14"/>
      <c r="J705" s="14"/>
      <c r="K705" s="14"/>
      <c r="L705" s="14"/>
      <c r="M705" s="14"/>
    </row>
    <row r="706" ht="18.75" customHeight="1">
      <c r="A706" s="7" t="s">
        <v>1751</v>
      </c>
      <c r="B706" s="7" t="s">
        <v>1752</v>
      </c>
      <c r="C706" s="8">
        <v>46177.0</v>
      </c>
      <c r="D706" s="8">
        <v>46179.0</v>
      </c>
      <c r="E706" s="7" t="s">
        <v>404</v>
      </c>
      <c r="F706" s="7" t="s">
        <v>783</v>
      </c>
      <c r="G706" s="7" t="s">
        <v>355</v>
      </c>
      <c r="H706" s="7" t="s">
        <v>355</v>
      </c>
      <c r="I706" s="14"/>
      <c r="J706" s="14"/>
      <c r="K706" s="14"/>
      <c r="L706" s="14"/>
      <c r="M706" s="14"/>
    </row>
    <row r="707" ht="18.75" customHeight="1">
      <c r="A707" s="7" t="s">
        <v>1753</v>
      </c>
      <c r="B707" s="7" t="s">
        <v>1754</v>
      </c>
      <c r="C707" s="8">
        <v>46177.0</v>
      </c>
      <c r="D707" s="8">
        <v>46199.0</v>
      </c>
      <c r="E707" s="7" t="s">
        <v>416</v>
      </c>
      <c r="F707" s="7" t="s">
        <v>417</v>
      </c>
      <c r="G707" s="7" t="s">
        <v>355</v>
      </c>
      <c r="H707" s="7" t="s">
        <v>355</v>
      </c>
      <c r="I707" s="14"/>
      <c r="J707" s="14"/>
      <c r="K707" s="14"/>
      <c r="L707" s="14"/>
      <c r="M707" s="14"/>
    </row>
    <row r="708" ht="18.75" customHeight="1">
      <c r="A708" s="7" t="s">
        <v>1755</v>
      </c>
      <c r="B708" s="7" t="s">
        <v>1756</v>
      </c>
      <c r="C708" s="8">
        <v>46177.0</v>
      </c>
      <c r="D708" s="8">
        <v>46183.0</v>
      </c>
      <c r="E708" s="7" t="s">
        <v>416</v>
      </c>
      <c r="F708" s="7" t="s">
        <v>359</v>
      </c>
      <c r="G708" s="7" t="s">
        <v>355</v>
      </c>
      <c r="H708" s="7" t="s">
        <v>355</v>
      </c>
      <c r="I708" s="14"/>
      <c r="J708" s="14"/>
      <c r="K708" s="14"/>
      <c r="L708" s="14"/>
      <c r="M708" s="14"/>
    </row>
    <row r="709" ht="18.75" customHeight="1">
      <c r="A709" s="7" t="s">
        <v>1757</v>
      </c>
      <c r="B709" s="7" t="s">
        <v>1758</v>
      </c>
      <c r="C709" s="8">
        <v>46178.0</v>
      </c>
      <c r="D709" s="8">
        <v>46200.0</v>
      </c>
      <c r="E709" s="7" t="s">
        <v>416</v>
      </c>
      <c r="F709" s="7" t="s">
        <v>417</v>
      </c>
      <c r="G709" s="7" t="s">
        <v>355</v>
      </c>
      <c r="H709" s="7" t="s">
        <v>355</v>
      </c>
      <c r="I709" s="14"/>
      <c r="J709" s="14"/>
      <c r="K709" s="14"/>
      <c r="L709" s="14"/>
      <c r="M709" s="14"/>
    </row>
    <row r="710" ht="18.75" customHeight="1">
      <c r="A710" s="7" t="s">
        <v>1759</v>
      </c>
      <c r="B710" s="7" t="s">
        <v>1760</v>
      </c>
      <c r="C710" s="8">
        <v>46177.0</v>
      </c>
      <c r="D710" s="8">
        <v>46184.0</v>
      </c>
      <c r="E710" s="7" t="s">
        <v>416</v>
      </c>
      <c r="F710" s="7" t="s">
        <v>594</v>
      </c>
      <c r="G710" s="7" t="s">
        <v>355</v>
      </c>
      <c r="H710" s="7" t="s">
        <v>355</v>
      </c>
      <c r="I710" s="14"/>
      <c r="J710" s="14"/>
      <c r="K710" s="14"/>
      <c r="L710" s="14"/>
      <c r="M710" s="14"/>
    </row>
    <row r="711" ht="18.75" customHeight="1">
      <c r="A711" s="7" t="s">
        <v>1761</v>
      </c>
      <c r="B711" s="7" t="s">
        <v>1762</v>
      </c>
      <c r="C711" s="8">
        <v>46177.0</v>
      </c>
      <c r="D711" s="8">
        <v>46184.0</v>
      </c>
      <c r="E711" s="7" t="s">
        <v>416</v>
      </c>
      <c r="F711" s="7" t="s">
        <v>413</v>
      </c>
      <c r="G711" s="7" t="s">
        <v>355</v>
      </c>
      <c r="H711" s="7" t="s">
        <v>355</v>
      </c>
      <c r="I711" s="14"/>
      <c r="J711" s="14"/>
      <c r="K711" s="14"/>
      <c r="L711" s="14"/>
      <c r="M711" s="14"/>
    </row>
    <row r="712" ht="18.75" customHeight="1">
      <c r="A712" s="7" t="s">
        <v>1763</v>
      </c>
      <c r="B712" s="7" t="s">
        <v>1764</v>
      </c>
      <c r="C712" s="8">
        <v>46178.0</v>
      </c>
      <c r="D712" s="8">
        <v>46203.0</v>
      </c>
      <c r="E712" s="7" t="s">
        <v>358</v>
      </c>
      <c r="F712" s="7" t="s">
        <v>466</v>
      </c>
      <c r="G712" s="7" t="s">
        <v>355</v>
      </c>
      <c r="H712" s="7" t="s">
        <v>355</v>
      </c>
      <c r="I712" s="14"/>
      <c r="J712" s="14"/>
      <c r="K712" s="14"/>
      <c r="L712" s="14"/>
      <c r="M712" s="14"/>
    </row>
    <row r="713" ht="18.75" customHeight="1">
      <c r="A713" s="7" t="s">
        <v>1765</v>
      </c>
      <c r="B713" s="7" t="s">
        <v>1766</v>
      </c>
      <c r="C713" s="8">
        <v>46178.0</v>
      </c>
      <c r="D713" s="8">
        <v>46178.0</v>
      </c>
      <c r="E713" s="7" t="s">
        <v>353</v>
      </c>
      <c r="F713" s="7" t="s">
        <v>378</v>
      </c>
      <c r="G713" s="7" t="s">
        <v>355</v>
      </c>
      <c r="H713" s="7" t="s">
        <v>355</v>
      </c>
      <c r="I713" s="14"/>
      <c r="J713" s="14"/>
      <c r="K713" s="14"/>
      <c r="L713" s="14"/>
      <c r="M713" s="14"/>
    </row>
    <row r="714" ht="18.75" customHeight="1">
      <c r="A714" s="7" t="s">
        <v>1767</v>
      </c>
      <c r="B714" s="7" t="s">
        <v>1768</v>
      </c>
      <c r="C714" s="8">
        <v>46190.0</v>
      </c>
      <c r="D714" s="8">
        <v>46190.0</v>
      </c>
      <c r="E714" s="7" t="s">
        <v>416</v>
      </c>
      <c r="F714" s="7" t="s">
        <v>417</v>
      </c>
      <c r="G714" s="7" t="s">
        <v>355</v>
      </c>
      <c r="H714" s="7" t="s">
        <v>355</v>
      </c>
      <c r="I714" s="14"/>
      <c r="J714" s="14"/>
      <c r="K714" s="14"/>
      <c r="L714" s="14"/>
      <c r="M714" s="14"/>
    </row>
    <row r="715" ht="18.75" customHeight="1">
      <c r="A715" s="7" t="s">
        <v>1769</v>
      </c>
      <c r="B715" s="7" t="s">
        <v>1770</v>
      </c>
      <c r="C715" s="8">
        <v>46150.0</v>
      </c>
      <c r="D715" s="8">
        <v>46185.0</v>
      </c>
      <c r="E715" s="7" t="s">
        <v>416</v>
      </c>
      <c r="F715" s="7" t="s">
        <v>466</v>
      </c>
      <c r="G715" s="7" t="s">
        <v>355</v>
      </c>
      <c r="H715" s="7" t="s">
        <v>355</v>
      </c>
      <c r="I715" s="14"/>
      <c r="J715" s="14"/>
      <c r="K715" s="14"/>
      <c r="L715" s="14"/>
      <c r="M715" s="14"/>
    </row>
    <row r="716" ht="18.75" customHeight="1">
      <c r="A716" s="7" t="s">
        <v>1771</v>
      </c>
      <c r="B716" s="7" t="s">
        <v>1772</v>
      </c>
      <c r="C716" s="8">
        <v>46181.0</v>
      </c>
      <c r="D716" s="8">
        <v>46185.0</v>
      </c>
      <c r="E716" s="7" t="s">
        <v>416</v>
      </c>
      <c r="F716" s="7" t="s">
        <v>466</v>
      </c>
      <c r="G716" s="7" t="s">
        <v>355</v>
      </c>
      <c r="H716" s="7" t="s">
        <v>355</v>
      </c>
      <c r="I716" s="14"/>
      <c r="J716" s="14"/>
      <c r="K716" s="14"/>
      <c r="L716" s="14"/>
      <c r="M716" s="14"/>
    </row>
    <row r="717" ht="18.75" customHeight="1">
      <c r="A717" s="7" t="s">
        <v>1773</v>
      </c>
      <c r="B717" s="7" t="s">
        <v>1774</v>
      </c>
      <c r="C717" s="8">
        <v>46181.0</v>
      </c>
      <c r="D717" s="8">
        <v>46185.0</v>
      </c>
      <c r="E717" s="7" t="s">
        <v>416</v>
      </c>
      <c r="F717" s="7" t="s">
        <v>466</v>
      </c>
      <c r="G717" s="7" t="s">
        <v>355</v>
      </c>
      <c r="H717" s="7" t="s">
        <v>355</v>
      </c>
      <c r="I717" s="14"/>
      <c r="J717" s="14"/>
      <c r="K717" s="14"/>
      <c r="L717" s="14"/>
      <c r="M717" s="14"/>
    </row>
    <row r="718" ht="18.75" customHeight="1">
      <c r="A718" s="7" t="s">
        <v>1775</v>
      </c>
      <c r="B718" s="7" t="s">
        <v>1776</v>
      </c>
      <c r="C718" s="8">
        <v>46181.0</v>
      </c>
      <c r="D718" s="8">
        <v>46185.0</v>
      </c>
      <c r="E718" s="7" t="s">
        <v>416</v>
      </c>
      <c r="F718" s="7" t="s">
        <v>466</v>
      </c>
      <c r="G718" s="7" t="s">
        <v>355</v>
      </c>
      <c r="H718" s="7" t="s">
        <v>355</v>
      </c>
      <c r="I718" s="14"/>
      <c r="J718" s="14"/>
      <c r="K718" s="14"/>
      <c r="L718" s="14"/>
      <c r="M718" s="14"/>
    </row>
    <row r="719" ht="18.75" customHeight="1">
      <c r="A719" s="7" t="s">
        <v>1777</v>
      </c>
      <c r="B719" s="7" t="s">
        <v>1778</v>
      </c>
      <c r="C719" s="8">
        <v>46190.0</v>
      </c>
      <c r="D719" s="8">
        <v>46190.0</v>
      </c>
      <c r="E719" s="7" t="s">
        <v>353</v>
      </c>
      <c r="F719" s="7" t="s">
        <v>725</v>
      </c>
      <c r="G719" s="7" t="s">
        <v>355</v>
      </c>
      <c r="H719" s="7" t="s">
        <v>355</v>
      </c>
      <c r="I719" s="14"/>
      <c r="J719" s="14"/>
      <c r="K719" s="14"/>
      <c r="L719" s="14"/>
      <c r="M719" s="14"/>
    </row>
    <row r="720" ht="18.75" customHeight="1">
      <c r="A720" s="7" t="s">
        <v>1779</v>
      </c>
      <c r="B720" s="7" t="s">
        <v>1780</v>
      </c>
      <c r="C720" s="8">
        <v>46180.0</v>
      </c>
      <c r="D720" s="8">
        <v>46181.0</v>
      </c>
      <c r="E720" s="7" t="s">
        <v>353</v>
      </c>
      <c r="F720" s="7" t="s">
        <v>808</v>
      </c>
      <c r="G720" s="7" t="s">
        <v>355</v>
      </c>
      <c r="H720" s="7" t="s">
        <v>355</v>
      </c>
      <c r="I720" s="14"/>
      <c r="J720" s="14"/>
      <c r="K720" s="14"/>
      <c r="L720" s="14"/>
      <c r="M720" s="14"/>
    </row>
    <row r="721" ht="18.75" customHeight="1">
      <c r="A721" s="7" t="s">
        <v>1781</v>
      </c>
      <c r="B721" s="7" t="s">
        <v>1782</v>
      </c>
      <c r="C721" s="8">
        <v>46184.0</v>
      </c>
      <c r="D721" s="8">
        <v>46184.0</v>
      </c>
      <c r="E721" s="7" t="s">
        <v>353</v>
      </c>
      <c r="F721" s="7" t="s">
        <v>378</v>
      </c>
      <c r="G721" s="7" t="s">
        <v>355</v>
      </c>
      <c r="H721" s="7" t="s">
        <v>355</v>
      </c>
      <c r="I721" s="14"/>
      <c r="J721" s="14"/>
      <c r="K721" s="14"/>
      <c r="L721" s="14"/>
      <c r="M721" s="14"/>
    </row>
    <row r="722" ht="18.75" customHeight="1">
      <c r="A722" s="7" t="s">
        <v>1783</v>
      </c>
      <c r="B722" s="7" t="s">
        <v>1784</v>
      </c>
      <c r="C722" s="8">
        <v>46191.0</v>
      </c>
      <c r="D722" s="8">
        <v>46191.0</v>
      </c>
      <c r="E722" s="7" t="s">
        <v>416</v>
      </c>
      <c r="F722" s="7" t="s">
        <v>430</v>
      </c>
      <c r="G722" s="7" t="s">
        <v>355</v>
      </c>
      <c r="H722" s="7" t="s">
        <v>355</v>
      </c>
      <c r="I722" s="14"/>
      <c r="J722" s="14"/>
      <c r="K722" s="14"/>
      <c r="L722" s="14"/>
      <c r="M722" s="14"/>
    </row>
    <row r="723" ht="18.75" customHeight="1">
      <c r="A723" s="7" t="s">
        <v>1785</v>
      </c>
      <c r="B723" s="7" t="s">
        <v>1786</v>
      </c>
      <c r="C723" s="8">
        <v>46182.0</v>
      </c>
      <c r="D723" s="8">
        <v>46186.0</v>
      </c>
      <c r="E723" s="7" t="s">
        <v>416</v>
      </c>
      <c r="F723" s="7" t="s">
        <v>667</v>
      </c>
      <c r="G723" s="7" t="s">
        <v>355</v>
      </c>
      <c r="H723" s="7" t="s">
        <v>355</v>
      </c>
      <c r="I723" s="14"/>
      <c r="J723" s="14"/>
      <c r="K723" s="14"/>
      <c r="L723" s="14"/>
      <c r="M723" s="14"/>
    </row>
    <row r="724" ht="18.75" customHeight="1">
      <c r="A724" s="7" t="s">
        <v>1787</v>
      </c>
      <c r="B724" s="7" t="s">
        <v>1788</v>
      </c>
      <c r="C724" s="8">
        <v>46182.0</v>
      </c>
      <c r="D724" s="8">
        <v>46186.0</v>
      </c>
      <c r="E724" s="7" t="s">
        <v>416</v>
      </c>
      <c r="F724" s="7" t="s">
        <v>725</v>
      </c>
      <c r="G724" s="7" t="s">
        <v>355</v>
      </c>
      <c r="H724" s="7" t="s">
        <v>355</v>
      </c>
      <c r="I724" s="14"/>
      <c r="J724" s="14"/>
      <c r="K724" s="14"/>
      <c r="L724" s="14"/>
      <c r="M724" s="14"/>
    </row>
    <row r="725" ht="18.75" customHeight="1">
      <c r="A725" s="7" t="s">
        <v>1789</v>
      </c>
      <c r="B725" s="7" t="s">
        <v>1790</v>
      </c>
      <c r="C725" s="8">
        <v>46209.0</v>
      </c>
      <c r="D725" s="8">
        <v>46234.0</v>
      </c>
      <c r="E725" s="7" t="s">
        <v>353</v>
      </c>
      <c r="F725" s="7" t="s">
        <v>833</v>
      </c>
      <c r="G725" s="7" t="s">
        <v>410</v>
      </c>
      <c r="H725" s="7" t="s">
        <v>410</v>
      </c>
      <c r="I725" s="14"/>
      <c r="J725" s="14"/>
      <c r="K725" s="14"/>
      <c r="L725" s="14"/>
      <c r="M725" s="14"/>
    </row>
    <row r="726" ht="18.75" customHeight="1">
      <c r="A726" s="7" t="s">
        <v>1791</v>
      </c>
      <c r="B726" s="7" t="s">
        <v>1792</v>
      </c>
      <c r="C726" s="8">
        <v>46183.0</v>
      </c>
      <c r="D726" s="8">
        <v>46183.0</v>
      </c>
      <c r="E726" s="7" t="s">
        <v>358</v>
      </c>
      <c r="F726" s="7" t="s">
        <v>387</v>
      </c>
      <c r="G726" s="7" t="s">
        <v>355</v>
      </c>
      <c r="H726" s="7" t="s">
        <v>355</v>
      </c>
      <c r="I726" s="14"/>
      <c r="J726" s="14"/>
      <c r="K726" s="14"/>
      <c r="L726" s="14"/>
      <c r="M726" s="14"/>
    </row>
    <row r="727" ht="18.75" customHeight="1">
      <c r="A727" s="7" t="s">
        <v>1793</v>
      </c>
      <c r="B727" s="7" t="s">
        <v>1794</v>
      </c>
      <c r="C727" s="8">
        <v>46184.0</v>
      </c>
      <c r="D727" s="8">
        <v>46184.0</v>
      </c>
      <c r="E727" s="7" t="s">
        <v>358</v>
      </c>
      <c r="F727" s="7" t="s">
        <v>387</v>
      </c>
      <c r="G727" s="7" t="s">
        <v>355</v>
      </c>
      <c r="H727" s="7" t="s">
        <v>355</v>
      </c>
      <c r="I727" s="14"/>
      <c r="J727" s="14"/>
      <c r="K727" s="14"/>
      <c r="L727" s="14"/>
      <c r="M727" s="14"/>
    </row>
    <row r="728" ht="18.75" customHeight="1">
      <c r="A728" s="7" t="s">
        <v>1795</v>
      </c>
      <c r="B728" s="7" t="s">
        <v>1796</v>
      </c>
      <c r="C728" s="8">
        <v>46188.0</v>
      </c>
      <c r="D728" s="8">
        <v>46188.0</v>
      </c>
      <c r="E728" s="7" t="s">
        <v>358</v>
      </c>
      <c r="F728" s="7" t="s">
        <v>387</v>
      </c>
      <c r="G728" s="7" t="s">
        <v>355</v>
      </c>
      <c r="H728" s="7" t="s">
        <v>355</v>
      </c>
      <c r="I728" s="14"/>
      <c r="J728" s="14"/>
      <c r="K728" s="14"/>
      <c r="L728" s="14"/>
      <c r="M728" s="14"/>
    </row>
    <row r="729" ht="18.75" customHeight="1">
      <c r="A729" s="7" t="s">
        <v>1797</v>
      </c>
      <c r="B729" s="7" t="s">
        <v>1798</v>
      </c>
      <c r="C729" s="8">
        <v>46185.0</v>
      </c>
      <c r="D729" s="8">
        <v>46203.0</v>
      </c>
      <c r="E729" s="7" t="s">
        <v>353</v>
      </c>
      <c r="F729" s="7" t="s">
        <v>725</v>
      </c>
      <c r="G729" s="7" t="s">
        <v>355</v>
      </c>
      <c r="H729" s="7" t="s">
        <v>355</v>
      </c>
      <c r="I729" s="14"/>
      <c r="J729" s="14"/>
      <c r="K729" s="14"/>
      <c r="L729" s="14"/>
      <c r="M729" s="14"/>
    </row>
    <row r="730" ht="18.75" customHeight="1">
      <c r="A730" s="7" t="s">
        <v>1799</v>
      </c>
      <c r="B730" s="7" t="s">
        <v>1800</v>
      </c>
      <c r="C730" s="8">
        <v>46181.0</v>
      </c>
      <c r="D730" s="8">
        <v>46181.0</v>
      </c>
      <c r="E730" s="7" t="s">
        <v>358</v>
      </c>
      <c r="F730" s="7" t="s">
        <v>359</v>
      </c>
      <c r="G730" s="7" t="s">
        <v>355</v>
      </c>
      <c r="H730" s="7" t="s">
        <v>355</v>
      </c>
      <c r="I730" s="14"/>
      <c r="J730" s="14"/>
      <c r="K730" s="14"/>
      <c r="L730" s="14"/>
      <c r="M730" s="14"/>
    </row>
    <row r="731" ht="18.75" customHeight="1">
      <c r="A731" s="7" t="s">
        <v>1801</v>
      </c>
      <c r="B731" s="7" t="s">
        <v>1802</v>
      </c>
      <c r="C731" s="8">
        <v>46183.0</v>
      </c>
      <c r="D731" s="8">
        <v>46206.0</v>
      </c>
      <c r="E731" s="7" t="s">
        <v>416</v>
      </c>
      <c r="F731" s="7" t="s">
        <v>417</v>
      </c>
      <c r="G731" s="7" t="s">
        <v>355</v>
      </c>
      <c r="H731" s="7" t="s">
        <v>355</v>
      </c>
      <c r="I731" s="14"/>
      <c r="J731" s="14"/>
      <c r="K731" s="14"/>
      <c r="L731" s="14"/>
      <c r="M731" s="14"/>
    </row>
    <row r="732" ht="18.75" customHeight="1">
      <c r="A732" s="7" t="s">
        <v>1803</v>
      </c>
      <c r="B732" s="7" t="s">
        <v>1804</v>
      </c>
      <c r="C732" s="8">
        <v>46185.0</v>
      </c>
      <c r="D732" s="8">
        <v>46199.0</v>
      </c>
      <c r="E732" s="7" t="s">
        <v>364</v>
      </c>
      <c r="F732" s="7" t="s">
        <v>365</v>
      </c>
      <c r="G732" s="7" t="s">
        <v>355</v>
      </c>
      <c r="H732" s="7" t="s">
        <v>355</v>
      </c>
      <c r="I732" s="14"/>
      <c r="J732" s="14"/>
      <c r="K732" s="14"/>
      <c r="L732" s="14"/>
      <c r="M732" s="14"/>
    </row>
    <row r="733" ht="18.75" customHeight="1">
      <c r="A733" s="7" t="s">
        <v>2160</v>
      </c>
      <c r="B733" s="7" t="s">
        <v>2161</v>
      </c>
      <c r="C733" s="15"/>
      <c r="D733" s="15"/>
      <c r="E733" s="7" t="s">
        <v>404</v>
      </c>
      <c r="F733" s="7" t="s">
        <v>405</v>
      </c>
      <c r="G733" s="7" t="s">
        <v>2120</v>
      </c>
      <c r="H733" s="7" t="s">
        <v>410</v>
      </c>
      <c r="I733" s="14"/>
      <c r="J733" s="14"/>
      <c r="K733" s="14"/>
      <c r="L733" s="14"/>
      <c r="M733" s="14"/>
    </row>
    <row r="734" ht="18.75" customHeight="1">
      <c r="A734" s="7" t="s">
        <v>2162</v>
      </c>
      <c r="B734" s="7" t="s">
        <v>2163</v>
      </c>
      <c r="C734" s="14"/>
      <c r="D734" s="14"/>
      <c r="E734" s="7" t="s">
        <v>404</v>
      </c>
      <c r="F734" s="7" t="s">
        <v>405</v>
      </c>
      <c r="G734" s="7" t="s">
        <v>2120</v>
      </c>
      <c r="H734" s="7" t="s">
        <v>2117</v>
      </c>
      <c r="I734" s="14"/>
      <c r="J734" s="14"/>
      <c r="K734" s="14"/>
      <c r="L734" s="14"/>
      <c r="M734" s="14"/>
    </row>
    <row r="735" ht="18.75" customHeight="1">
      <c r="A735" s="7" t="s">
        <v>1805</v>
      </c>
      <c r="B735" s="7" t="s">
        <v>1806</v>
      </c>
      <c r="C735" s="8">
        <v>46183.0</v>
      </c>
      <c r="D735" s="8">
        <v>46197.0</v>
      </c>
      <c r="E735" s="7" t="s">
        <v>358</v>
      </c>
      <c r="F735" s="7" t="s">
        <v>466</v>
      </c>
      <c r="G735" s="7" t="s">
        <v>355</v>
      </c>
      <c r="H735" s="7" t="s">
        <v>355</v>
      </c>
      <c r="I735" s="14"/>
      <c r="J735" s="14"/>
      <c r="K735" s="14"/>
      <c r="L735" s="14"/>
      <c r="M735" s="14"/>
    </row>
    <row r="736" ht="18.75" customHeight="1">
      <c r="A736" s="7" t="s">
        <v>1807</v>
      </c>
      <c r="B736" s="7" t="s">
        <v>1808</v>
      </c>
      <c r="C736" s="8">
        <v>46190.0</v>
      </c>
      <c r="D736" s="8">
        <v>46204.0</v>
      </c>
      <c r="E736" s="7" t="s">
        <v>353</v>
      </c>
      <c r="F736" s="7" t="s">
        <v>354</v>
      </c>
      <c r="G736" s="7" t="s">
        <v>355</v>
      </c>
      <c r="H736" s="7" t="s">
        <v>355</v>
      </c>
      <c r="I736" s="14"/>
      <c r="J736" s="14"/>
      <c r="K736" s="14"/>
      <c r="L736" s="14"/>
      <c r="M736" s="14"/>
    </row>
    <row r="737" ht="18.75" customHeight="1">
      <c r="A737" s="7" t="s">
        <v>1809</v>
      </c>
      <c r="B737" s="7" t="s">
        <v>1810</v>
      </c>
      <c r="C737" s="8">
        <v>46185.0</v>
      </c>
      <c r="D737" s="8">
        <v>46186.0</v>
      </c>
      <c r="E737" s="7" t="s">
        <v>364</v>
      </c>
      <c r="F737" s="7" t="s">
        <v>365</v>
      </c>
      <c r="G737" s="7" t="s">
        <v>355</v>
      </c>
      <c r="H737" s="7" t="s">
        <v>355</v>
      </c>
      <c r="I737" s="14"/>
      <c r="J737" s="14"/>
      <c r="K737" s="14"/>
      <c r="L737" s="14"/>
      <c r="M737" s="14"/>
    </row>
    <row r="738" ht="18.75" customHeight="1">
      <c r="A738" s="7" t="s">
        <v>1811</v>
      </c>
      <c r="B738" s="7" t="s">
        <v>1812</v>
      </c>
      <c r="C738" s="8">
        <v>46189.0</v>
      </c>
      <c r="D738" s="8">
        <v>46195.0</v>
      </c>
      <c r="E738" s="7" t="s">
        <v>416</v>
      </c>
      <c r="F738" s="7" t="s">
        <v>405</v>
      </c>
      <c r="G738" s="7" t="s">
        <v>355</v>
      </c>
      <c r="H738" s="7" t="s">
        <v>355</v>
      </c>
      <c r="I738" s="14"/>
      <c r="J738" s="14"/>
      <c r="K738" s="14"/>
      <c r="L738" s="14"/>
      <c r="M738" s="14"/>
    </row>
    <row r="739" ht="18.75" customHeight="1">
      <c r="A739" s="7" t="s">
        <v>1813</v>
      </c>
      <c r="B739" s="7" t="s">
        <v>1814</v>
      </c>
      <c r="C739" s="8">
        <v>46183.0</v>
      </c>
      <c r="D739" s="8">
        <v>46196.0</v>
      </c>
      <c r="E739" s="7" t="s">
        <v>358</v>
      </c>
      <c r="F739" s="7" t="s">
        <v>466</v>
      </c>
      <c r="G739" s="7" t="s">
        <v>355</v>
      </c>
      <c r="H739" s="7" t="s">
        <v>355</v>
      </c>
      <c r="I739" s="14"/>
      <c r="J739" s="14"/>
      <c r="K739" s="14"/>
      <c r="L739" s="14"/>
      <c r="M739" s="14"/>
    </row>
    <row r="740" ht="18.75" customHeight="1">
      <c r="A740" s="7" t="s">
        <v>1815</v>
      </c>
      <c r="B740" s="7" t="s">
        <v>1816</v>
      </c>
      <c r="C740" s="8">
        <v>46184.0</v>
      </c>
      <c r="D740" s="8">
        <v>46185.0</v>
      </c>
      <c r="E740" s="7" t="s">
        <v>358</v>
      </c>
      <c r="F740" s="7" t="s">
        <v>359</v>
      </c>
      <c r="G740" s="7" t="s">
        <v>355</v>
      </c>
      <c r="H740" s="7" t="s">
        <v>355</v>
      </c>
      <c r="I740" s="14"/>
      <c r="J740" s="14"/>
      <c r="K740" s="14"/>
      <c r="L740" s="14"/>
      <c r="M740" s="14"/>
    </row>
    <row r="741" ht="18.75" customHeight="1">
      <c r="A741" s="7" t="s">
        <v>1817</v>
      </c>
      <c r="B741" s="7" t="s">
        <v>1818</v>
      </c>
      <c r="C741" s="8">
        <v>46184.0</v>
      </c>
      <c r="D741" s="8">
        <v>46191.0</v>
      </c>
      <c r="E741" s="7" t="s">
        <v>416</v>
      </c>
      <c r="F741" s="7" t="s">
        <v>378</v>
      </c>
      <c r="G741" s="7" t="s">
        <v>355</v>
      </c>
      <c r="H741" s="7" t="s">
        <v>355</v>
      </c>
      <c r="I741" s="14"/>
      <c r="J741" s="14"/>
      <c r="K741" s="14"/>
      <c r="L741" s="14"/>
      <c r="M741" s="14"/>
    </row>
    <row r="742" ht="18.75" customHeight="1">
      <c r="A742" s="7" t="s">
        <v>1819</v>
      </c>
      <c r="B742" s="7" t="s">
        <v>1820</v>
      </c>
      <c r="C742" s="8">
        <v>46184.0</v>
      </c>
      <c r="D742" s="8">
        <v>46192.0</v>
      </c>
      <c r="E742" s="7" t="s">
        <v>416</v>
      </c>
      <c r="F742" s="7" t="s">
        <v>725</v>
      </c>
      <c r="G742" s="7" t="s">
        <v>355</v>
      </c>
      <c r="H742" s="7" t="s">
        <v>355</v>
      </c>
      <c r="I742" s="14"/>
      <c r="J742" s="14"/>
      <c r="K742" s="14"/>
      <c r="L742" s="14"/>
      <c r="M742" s="14"/>
    </row>
    <row r="743" ht="18.75" customHeight="1">
      <c r="A743" s="7" t="s">
        <v>1821</v>
      </c>
      <c r="B743" s="7" t="s">
        <v>1822</v>
      </c>
      <c r="C743" s="8">
        <v>46188.0</v>
      </c>
      <c r="D743" s="8">
        <v>46192.0</v>
      </c>
      <c r="E743" s="7" t="s">
        <v>416</v>
      </c>
      <c r="F743" s="7" t="s">
        <v>466</v>
      </c>
      <c r="G743" s="7" t="s">
        <v>355</v>
      </c>
      <c r="H743" s="7" t="s">
        <v>355</v>
      </c>
      <c r="I743" s="14"/>
      <c r="J743" s="14"/>
      <c r="K743" s="14"/>
      <c r="L743" s="14"/>
      <c r="M743" s="14"/>
    </row>
    <row r="744" ht="18.75" customHeight="1">
      <c r="A744" s="7" t="s">
        <v>1823</v>
      </c>
      <c r="B744" s="7" t="s">
        <v>1824</v>
      </c>
      <c r="C744" s="8">
        <v>46185.0</v>
      </c>
      <c r="D744" s="8">
        <v>46192.0</v>
      </c>
      <c r="E744" s="7" t="s">
        <v>416</v>
      </c>
      <c r="F744" s="7" t="s">
        <v>466</v>
      </c>
      <c r="G744" s="7" t="s">
        <v>355</v>
      </c>
      <c r="H744" s="7" t="s">
        <v>355</v>
      </c>
      <c r="I744" s="14"/>
      <c r="J744" s="14"/>
      <c r="K744" s="14"/>
      <c r="L744" s="14"/>
      <c r="M744" s="14"/>
    </row>
    <row r="745" ht="18.75" customHeight="1">
      <c r="A745" s="7" t="s">
        <v>1825</v>
      </c>
      <c r="B745" s="7" t="s">
        <v>1826</v>
      </c>
      <c r="C745" s="8">
        <v>46185.0</v>
      </c>
      <c r="D745" s="8">
        <v>46192.0</v>
      </c>
      <c r="E745" s="7" t="s">
        <v>416</v>
      </c>
      <c r="F745" s="7" t="s">
        <v>466</v>
      </c>
      <c r="G745" s="7" t="s">
        <v>355</v>
      </c>
      <c r="H745" s="7" t="s">
        <v>355</v>
      </c>
      <c r="I745" s="14"/>
      <c r="J745" s="14"/>
      <c r="K745" s="14"/>
      <c r="L745" s="14"/>
      <c r="M745" s="14"/>
    </row>
    <row r="746" ht="18.75" customHeight="1">
      <c r="A746" s="7" t="s">
        <v>1827</v>
      </c>
      <c r="B746" s="7" t="s">
        <v>1828</v>
      </c>
      <c r="C746" s="8">
        <v>46185.0</v>
      </c>
      <c r="D746" s="8">
        <v>46195.0</v>
      </c>
      <c r="E746" s="7" t="s">
        <v>416</v>
      </c>
      <c r="F746" s="7" t="s">
        <v>466</v>
      </c>
      <c r="G746" s="7" t="s">
        <v>355</v>
      </c>
      <c r="H746" s="7" t="s">
        <v>355</v>
      </c>
      <c r="I746" s="14"/>
      <c r="J746" s="14"/>
      <c r="K746" s="14"/>
      <c r="L746" s="14"/>
      <c r="M746" s="14"/>
    </row>
    <row r="747" ht="18.75" customHeight="1">
      <c r="A747" s="7" t="s">
        <v>1829</v>
      </c>
      <c r="B747" s="7" t="s">
        <v>1830</v>
      </c>
      <c r="C747" s="8">
        <v>46184.0</v>
      </c>
      <c r="D747" s="8">
        <v>46191.0</v>
      </c>
      <c r="E747" s="7" t="s">
        <v>416</v>
      </c>
      <c r="F747" s="7" t="s">
        <v>365</v>
      </c>
      <c r="G747" s="7" t="s">
        <v>355</v>
      </c>
      <c r="H747" s="7" t="s">
        <v>355</v>
      </c>
      <c r="I747" s="14"/>
      <c r="J747" s="14"/>
      <c r="K747" s="14"/>
      <c r="L747" s="14"/>
      <c r="M747" s="14"/>
    </row>
    <row r="748" ht="18.75" customHeight="1">
      <c r="A748" s="7" t="s">
        <v>1831</v>
      </c>
      <c r="B748" s="7" t="s">
        <v>1832</v>
      </c>
      <c r="C748" s="8">
        <v>46191.0</v>
      </c>
      <c r="D748" s="8">
        <v>46251.0</v>
      </c>
      <c r="E748" s="7" t="s">
        <v>358</v>
      </c>
      <c r="F748" s="7" t="s">
        <v>1665</v>
      </c>
      <c r="G748" s="7" t="s">
        <v>410</v>
      </c>
      <c r="H748" s="7" t="s">
        <v>410</v>
      </c>
      <c r="I748" s="14"/>
      <c r="J748" s="14"/>
      <c r="K748" s="14"/>
      <c r="L748" s="14"/>
      <c r="M748" s="14"/>
    </row>
    <row r="749" ht="18.75" customHeight="1">
      <c r="A749" s="7" t="s">
        <v>1833</v>
      </c>
      <c r="B749" s="7" t="s">
        <v>1834</v>
      </c>
      <c r="C749" s="8">
        <v>46196.0</v>
      </c>
      <c r="D749" s="8">
        <v>46206.0</v>
      </c>
      <c r="E749" s="7" t="s">
        <v>404</v>
      </c>
      <c r="F749" s="7" t="s">
        <v>760</v>
      </c>
      <c r="G749" s="7" t="s">
        <v>355</v>
      </c>
      <c r="H749" s="7" t="s">
        <v>355</v>
      </c>
      <c r="I749" s="14"/>
      <c r="J749" s="14"/>
      <c r="K749" s="14"/>
      <c r="L749" s="14"/>
      <c r="M749" s="14"/>
    </row>
    <row r="750" ht="18.75" customHeight="1">
      <c r="A750" s="7" t="s">
        <v>1835</v>
      </c>
      <c r="B750" s="7" t="s">
        <v>1836</v>
      </c>
      <c r="C750" s="8">
        <v>46200.0</v>
      </c>
      <c r="D750" s="8">
        <v>46200.0</v>
      </c>
      <c r="E750" s="7" t="s">
        <v>503</v>
      </c>
      <c r="F750" s="7" t="s">
        <v>1665</v>
      </c>
      <c r="G750" s="7" t="s">
        <v>355</v>
      </c>
      <c r="H750" s="7" t="s">
        <v>355</v>
      </c>
      <c r="I750" s="14"/>
      <c r="J750" s="14"/>
      <c r="K750" s="14"/>
      <c r="L750" s="14"/>
      <c r="M750" s="14"/>
    </row>
    <row r="751" ht="18.75" customHeight="1">
      <c r="A751" s="7" t="s">
        <v>1837</v>
      </c>
      <c r="B751" s="7" t="s">
        <v>1838</v>
      </c>
      <c r="C751" s="8">
        <v>46185.0</v>
      </c>
      <c r="D751" s="8">
        <v>46206.0</v>
      </c>
      <c r="E751" s="7" t="s">
        <v>416</v>
      </c>
      <c r="F751" s="7" t="s">
        <v>417</v>
      </c>
      <c r="G751" s="7" t="s">
        <v>355</v>
      </c>
      <c r="H751" s="7" t="s">
        <v>355</v>
      </c>
      <c r="I751" s="14"/>
      <c r="J751" s="14"/>
      <c r="K751" s="14"/>
      <c r="L751" s="14"/>
      <c r="M751" s="14"/>
    </row>
    <row r="752" ht="18.75" customHeight="1">
      <c r="A752" s="7" t="s">
        <v>1839</v>
      </c>
      <c r="B752" s="7" t="s">
        <v>1840</v>
      </c>
      <c r="C752" s="8">
        <v>46185.0</v>
      </c>
      <c r="D752" s="8">
        <v>46202.0</v>
      </c>
      <c r="E752" s="7" t="s">
        <v>416</v>
      </c>
      <c r="F752" s="7" t="s">
        <v>417</v>
      </c>
      <c r="G752" s="7" t="s">
        <v>355</v>
      </c>
      <c r="H752" s="7" t="s">
        <v>355</v>
      </c>
      <c r="I752" s="14"/>
      <c r="J752" s="14"/>
      <c r="K752" s="14"/>
      <c r="L752" s="14"/>
      <c r="M752" s="14"/>
    </row>
    <row r="753" ht="18.75" customHeight="1">
      <c r="A753" s="7" t="s">
        <v>1841</v>
      </c>
      <c r="B753" s="7" t="s">
        <v>1842</v>
      </c>
      <c r="C753" s="8">
        <v>46190.0</v>
      </c>
      <c r="D753" s="8">
        <v>46190.0</v>
      </c>
      <c r="E753" s="7" t="s">
        <v>404</v>
      </c>
      <c r="F753" s="7" t="s">
        <v>474</v>
      </c>
      <c r="G753" s="7" t="s">
        <v>355</v>
      </c>
      <c r="H753" s="7" t="s">
        <v>355</v>
      </c>
      <c r="I753" s="14"/>
      <c r="J753" s="14"/>
      <c r="K753" s="14"/>
      <c r="L753" s="14"/>
      <c r="M753" s="14"/>
    </row>
    <row r="754" ht="18.75" customHeight="1">
      <c r="A754" s="7" t="s">
        <v>1843</v>
      </c>
      <c r="B754" s="7" t="s">
        <v>1844</v>
      </c>
      <c r="C754" s="8">
        <v>46192.0</v>
      </c>
      <c r="D754" s="8">
        <v>46192.0</v>
      </c>
      <c r="E754" s="7" t="s">
        <v>358</v>
      </c>
      <c r="F754" s="7" t="s">
        <v>387</v>
      </c>
      <c r="G754" s="7" t="s">
        <v>355</v>
      </c>
      <c r="H754" s="7" t="s">
        <v>355</v>
      </c>
      <c r="I754" s="14"/>
      <c r="J754" s="14"/>
      <c r="K754" s="14"/>
      <c r="L754" s="14"/>
      <c r="M754" s="14"/>
    </row>
    <row r="755" ht="18.75" customHeight="1">
      <c r="A755" s="7" t="s">
        <v>1845</v>
      </c>
      <c r="B755" s="7" t="s">
        <v>1846</v>
      </c>
      <c r="C755" s="8">
        <v>46192.0</v>
      </c>
      <c r="D755" s="8">
        <v>46192.0</v>
      </c>
      <c r="E755" s="7" t="s">
        <v>358</v>
      </c>
      <c r="F755" s="7" t="s">
        <v>387</v>
      </c>
      <c r="G755" s="7" t="s">
        <v>355</v>
      </c>
      <c r="H755" s="7" t="s">
        <v>355</v>
      </c>
      <c r="I755" s="14"/>
      <c r="J755" s="14"/>
      <c r="K755" s="14"/>
      <c r="L755" s="14"/>
      <c r="M755" s="14"/>
    </row>
    <row r="756" ht="18.75" customHeight="1">
      <c r="A756" s="7" t="s">
        <v>1847</v>
      </c>
      <c r="B756" s="7" t="s">
        <v>1848</v>
      </c>
      <c r="C756" s="8">
        <v>46192.0</v>
      </c>
      <c r="D756" s="8">
        <v>46192.0</v>
      </c>
      <c r="E756" s="7" t="s">
        <v>358</v>
      </c>
      <c r="F756" s="7" t="s">
        <v>387</v>
      </c>
      <c r="G756" s="7" t="s">
        <v>355</v>
      </c>
      <c r="H756" s="7" t="s">
        <v>355</v>
      </c>
      <c r="I756" s="14"/>
      <c r="J756" s="14"/>
      <c r="K756" s="14"/>
      <c r="L756" s="14"/>
      <c r="M756" s="14"/>
    </row>
    <row r="757" ht="18.75" customHeight="1">
      <c r="A757" s="7" t="s">
        <v>1849</v>
      </c>
      <c r="B757" s="7" t="s">
        <v>1850</v>
      </c>
      <c r="C757" s="8">
        <v>46195.0</v>
      </c>
      <c r="D757" s="8">
        <v>46195.0</v>
      </c>
      <c r="E757" s="7" t="s">
        <v>358</v>
      </c>
      <c r="F757" s="7" t="s">
        <v>387</v>
      </c>
      <c r="G757" s="7" t="s">
        <v>355</v>
      </c>
      <c r="H757" s="7" t="s">
        <v>355</v>
      </c>
      <c r="I757" s="14"/>
      <c r="J757" s="14"/>
      <c r="K757" s="14"/>
      <c r="L757" s="14"/>
      <c r="M757" s="14"/>
    </row>
    <row r="758" ht="18.75" customHeight="1">
      <c r="A758" s="7" t="s">
        <v>1851</v>
      </c>
      <c r="B758" s="7" t="s">
        <v>1852</v>
      </c>
      <c r="C758" s="8">
        <v>46195.0</v>
      </c>
      <c r="D758" s="8">
        <v>46195.0</v>
      </c>
      <c r="E758" s="7" t="s">
        <v>358</v>
      </c>
      <c r="F758" s="7" t="s">
        <v>387</v>
      </c>
      <c r="G758" s="7" t="s">
        <v>355</v>
      </c>
      <c r="H758" s="7" t="s">
        <v>355</v>
      </c>
      <c r="I758" s="14"/>
      <c r="J758" s="14"/>
      <c r="K758" s="14"/>
      <c r="L758" s="14"/>
      <c r="M758" s="14"/>
    </row>
    <row r="759" ht="18.75" customHeight="1">
      <c r="A759" s="7" t="s">
        <v>1853</v>
      </c>
      <c r="B759" s="7" t="s">
        <v>1854</v>
      </c>
      <c r="C759" s="8">
        <v>46195.0</v>
      </c>
      <c r="D759" s="8">
        <v>46196.0</v>
      </c>
      <c r="E759" s="7" t="s">
        <v>358</v>
      </c>
      <c r="F759" s="7" t="s">
        <v>387</v>
      </c>
      <c r="G759" s="7" t="s">
        <v>355</v>
      </c>
      <c r="H759" s="7" t="s">
        <v>355</v>
      </c>
      <c r="I759" s="14"/>
      <c r="J759" s="14"/>
      <c r="K759" s="14"/>
      <c r="L759" s="14"/>
      <c r="M759" s="14"/>
    </row>
    <row r="760" ht="18.75" customHeight="1">
      <c r="A760" s="7" t="s">
        <v>1855</v>
      </c>
      <c r="B760" s="7" t="s">
        <v>1856</v>
      </c>
      <c r="C760" s="8">
        <v>46200.0</v>
      </c>
      <c r="D760" s="8">
        <v>46387.0</v>
      </c>
      <c r="E760" s="7" t="s">
        <v>364</v>
      </c>
      <c r="F760" s="7" t="s">
        <v>365</v>
      </c>
      <c r="G760" s="7" t="s">
        <v>410</v>
      </c>
      <c r="H760" s="7" t="s">
        <v>410</v>
      </c>
      <c r="I760" s="14"/>
      <c r="J760" s="14"/>
      <c r="K760" s="14"/>
      <c r="L760" s="14"/>
      <c r="M760" s="14"/>
    </row>
    <row r="761" ht="18.75" customHeight="1">
      <c r="A761" s="7" t="s">
        <v>2164</v>
      </c>
      <c r="B761" s="7" t="s">
        <v>2165</v>
      </c>
      <c r="C761" s="15"/>
      <c r="D761" s="15"/>
      <c r="E761" s="7" t="s">
        <v>416</v>
      </c>
      <c r="F761" s="7" t="s">
        <v>430</v>
      </c>
      <c r="G761" s="7" t="s">
        <v>2120</v>
      </c>
      <c r="H761" s="7" t="s">
        <v>355</v>
      </c>
      <c r="I761" s="14"/>
      <c r="J761" s="14"/>
      <c r="K761" s="14"/>
      <c r="L761" s="14"/>
      <c r="M761" s="14"/>
    </row>
    <row r="762" ht="18.75" customHeight="1">
      <c r="A762" s="7" t="s">
        <v>1857</v>
      </c>
      <c r="B762" s="7" t="s">
        <v>1858</v>
      </c>
      <c r="C762" s="8">
        <v>46191.0</v>
      </c>
      <c r="D762" s="8">
        <v>46191.0</v>
      </c>
      <c r="E762" s="7" t="s">
        <v>416</v>
      </c>
      <c r="F762" s="7" t="s">
        <v>430</v>
      </c>
      <c r="G762" s="7" t="s">
        <v>355</v>
      </c>
      <c r="H762" s="7" t="s">
        <v>355</v>
      </c>
      <c r="I762" s="14"/>
      <c r="J762" s="14"/>
      <c r="K762" s="14"/>
      <c r="L762" s="14"/>
      <c r="M762" s="14"/>
    </row>
    <row r="763" ht="18.75" customHeight="1">
      <c r="A763" s="7" t="s">
        <v>1859</v>
      </c>
      <c r="B763" s="7" t="s">
        <v>1860</v>
      </c>
      <c r="C763" s="8">
        <v>46202.0</v>
      </c>
      <c r="D763" s="8">
        <v>46211.0</v>
      </c>
      <c r="E763" s="7" t="s">
        <v>364</v>
      </c>
      <c r="F763" s="7" t="s">
        <v>365</v>
      </c>
      <c r="G763" s="7" t="s">
        <v>355</v>
      </c>
      <c r="H763" s="7" t="s">
        <v>355</v>
      </c>
      <c r="I763" s="14"/>
      <c r="J763" s="14"/>
      <c r="K763" s="14"/>
      <c r="L763" s="14"/>
      <c r="M763" s="14"/>
    </row>
    <row r="764" ht="18.75" customHeight="1">
      <c r="A764" s="7" t="s">
        <v>1861</v>
      </c>
      <c r="B764" s="7" t="s">
        <v>1862</v>
      </c>
      <c r="C764" s="8">
        <v>46190.0</v>
      </c>
      <c r="D764" s="8">
        <v>46192.0</v>
      </c>
      <c r="E764" s="7" t="s">
        <v>416</v>
      </c>
      <c r="F764" s="7" t="s">
        <v>725</v>
      </c>
      <c r="G764" s="7" t="s">
        <v>355</v>
      </c>
      <c r="H764" s="7" t="s">
        <v>355</v>
      </c>
      <c r="I764" s="14"/>
      <c r="J764" s="14"/>
      <c r="K764" s="14"/>
      <c r="L764" s="14"/>
      <c r="M764" s="14"/>
    </row>
    <row r="765" ht="18.75" customHeight="1">
      <c r="A765" s="7" t="s">
        <v>1863</v>
      </c>
      <c r="B765" s="7" t="s">
        <v>1864</v>
      </c>
      <c r="C765" s="8">
        <v>46192.0</v>
      </c>
      <c r="D765" s="8">
        <v>46216.0</v>
      </c>
      <c r="E765" s="7" t="s">
        <v>358</v>
      </c>
      <c r="F765" s="7" t="s">
        <v>466</v>
      </c>
      <c r="G765" s="7" t="s">
        <v>355</v>
      </c>
      <c r="H765" s="7" t="s">
        <v>410</v>
      </c>
      <c r="I765" s="14"/>
      <c r="J765" s="14"/>
      <c r="K765" s="14"/>
      <c r="L765" s="14"/>
      <c r="M765" s="14"/>
    </row>
    <row r="766" ht="18.75" customHeight="1">
      <c r="A766" s="7" t="s">
        <v>1865</v>
      </c>
      <c r="B766" s="7" t="s">
        <v>1866</v>
      </c>
      <c r="C766" s="8">
        <v>46193.0</v>
      </c>
      <c r="D766" s="8">
        <v>46219.0</v>
      </c>
      <c r="E766" s="7" t="s">
        <v>416</v>
      </c>
      <c r="F766" s="7" t="s">
        <v>417</v>
      </c>
      <c r="G766" s="7" t="s">
        <v>355</v>
      </c>
      <c r="H766" s="7" t="s">
        <v>355</v>
      </c>
      <c r="I766" s="14"/>
      <c r="J766" s="14"/>
      <c r="K766" s="14"/>
      <c r="L766" s="14"/>
      <c r="M766" s="14"/>
    </row>
    <row r="767" ht="18.75" customHeight="1">
      <c r="A767" s="7" t="s">
        <v>2166</v>
      </c>
      <c r="B767" s="7" t="s">
        <v>2167</v>
      </c>
      <c r="C767" s="15"/>
      <c r="D767" s="15"/>
      <c r="E767" s="7" t="s">
        <v>364</v>
      </c>
      <c r="F767" s="7" t="s">
        <v>365</v>
      </c>
      <c r="G767" s="7" t="s">
        <v>2120</v>
      </c>
      <c r="H767" s="7" t="s">
        <v>410</v>
      </c>
      <c r="I767" s="14"/>
      <c r="J767" s="14"/>
      <c r="K767" s="14"/>
      <c r="L767" s="14"/>
      <c r="M767" s="14"/>
    </row>
    <row r="768" ht="18.75" customHeight="1">
      <c r="A768" s="7" t="s">
        <v>2168</v>
      </c>
      <c r="B768" s="7" t="s">
        <v>2169</v>
      </c>
      <c r="C768" s="14"/>
      <c r="D768" s="14"/>
      <c r="E768" s="7" t="s">
        <v>364</v>
      </c>
      <c r="F768" s="7" t="s">
        <v>365</v>
      </c>
      <c r="G768" s="7" t="s">
        <v>2120</v>
      </c>
      <c r="H768" s="7" t="s">
        <v>410</v>
      </c>
      <c r="I768" s="14"/>
      <c r="J768" s="14"/>
      <c r="K768" s="14"/>
      <c r="L768" s="14"/>
      <c r="M768" s="14"/>
    </row>
    <row r="769" ht="18.75" customHeight="1">
      <c r="A769" s="7" t="s">
        <v>1867</v>
      </c>
      <c r="B769" s="7" t="s">
        <v>1868</v>
      </c>
      <c r="C769" s="8">
        <v>46192.0</v>
      </c>
      <c r="D769" s="8">
        <v>46211.0</v>
      </c>
      <c r="E769" s="7" t="s">
        <v>358</v>
      </c>
      <c r="F769" s="7" t="s">
        <v>466</v>
      </c>
      <c r="G769" s="7" t="s">
        <v>355</v>
      </c>
      <c r="H769" s="7" t="s">
        <v>355</v>
      </c>
      <c r="I769" s="14"/>
      <c r="J769" s="14"/>
      <c r="K769" s="14"/>
      <c r="L769" s="14"/>
      <c r="M769" s="14"/>
    </row>
    <row r="770" ht="18.75" customHeight="1">
      <c r="A770" s="7" t="s">
        <v>2170</v>
      </c>
      <c r="B770" s="7" t="s">
        <v>2171</v>
      </c>
      <c r="C770" s="15"/>
      <c r="D770" s="15"/>
      <c r="E770" s="7" t="s">
        <v>404</v>
      </c>
      <c r="F770" s="7" t="s">
        <v>474</v>
      </c>
      <c r="G770" s="7" t="s">
        <v>2120</v>
      </c>
      <c r="H770" s="7" t="s">
        <v>355</v>
      </c>
      <c r="I770" s="14"/>
      <c r="J770" s="14"/>
      <c r="K770" s="14"/>
      <c r="L770" s="14"/>
      <c r="M770" s="14"/>
    </row>
    <row r="771" ht="18.75" customHeight="1">
      <c r="A771" s="7" t="s">
        <v>1869</v>
      </c>
      <c r="B771" s="7" t="s">
        <v>1870</v>
      </c>
      <c r="C771" s="8">
        <v>46191.0</v>
      </c>
      <c r="D771" s="8">
        <v>46196.0</v>
      </c>
      <c r="E771" s="7" t="s">
        <v>416</v>
      </c>
      <c r="F771" s="7" t="s">
        <v>359</v>
      </c>
      <c r="G771" s="7" t="s">
        <v>355</v>
      </c>
      <c r="H771" s="7" t="s">
        <v>355</v>
      </c>
      <c r="I771" s="14"/>
      <c r="J771" s="14"/>
      <c r="K771" s="14"/>
      <c r="L771" s="14"/>
      <c r="M771" s="14"/>
    </row>
    <row r="772" ht="18.75" customHeight="1">
      <c r="A772" s="7" t="s">
        <v>1871</v>
      </c>
      <c r="B772" s="7" t="s">
        <v>1872</v>
      </c>
      <c r="C772" s="8">
        <v>46191.0</v>
      </c>
      <c r="D772" s="8">
        <v>46198.0</v>
      </c>
      <c r="E772" s="7" t="s">
        <v>416</v>
      </c>
      <c r="F772" s="7" t="s">
        <v>354</v>
      </c>
      <c r="G772" s="7" t="s">
        <v>355</v>
      </c>
      <c r="H772" s="7" t="s">
        <v>355</v>
      </c>
      <c r="I772" s="14"/>
      <c r="J772" s="14"/>
      <c r="K772" s="14"/>
      <c r="L772" s="14"/>
      <c r="M772" s="14"/>
    </row>
    <row r="773" ht="18.75" customHeight="1">
      <c r="A773" s="7" t="s">
        <v>1873</v>
      </c>
      <c r="B773" s="7" t="s">
        <v>1874</v>
      </c>
      <c r="C773" s="8">
        <v>46191.0</v>
      </c>
      <c r="D773" s="8">
        <v>46198.0</v>
      </c>
      <c r="E773" s="7" t="s">
        <v>416</v>
      </c>
      <c r="F773" s="7" t="s">
        <v>783</v>
      </c>
      <c r="G773" s="7" t="s">
        <v>355</v>
      </c>
      <c r="H773" s="7" t="s">
        <v>355</v>
      </c>
      <c r="I773" s="14"/>
      <c r="J773" s="14"/>
      <c r="K773" s="14"/>
      <c r="L773" s="14"/>
      <c r="M773" s="14"/>
    </row>
    <row r="774" ht="18.75" customHeight="1">
      <c r="A774" s="7" t="s">
        <v>1875</v>
      </c>
      <c r="B774" s="7" t="s">
        <v>1876</v>
      </c>
      <c r="C774" s="8">
        <v>46196.0</v>
      </c>
      <c r="D774" s="8">
        <v>46236.0</v>
      </c>
      <c r="E774" s="7" t="s">
        <v>404</v>
      </c>
      <c r="F774" s="7" t="s">
        <v>405</v>
      </c>
      <c r="G774" s="7" t="s">
        <v>410</v>
      </c>
      <c r="H774" s="7" t="s">
        <v>410</v>
      </c>
      <c r="I774" s="14"/>
      <c r="J774" s="14"/>
      <c r="K774" s="14"/>
      <c r="L774" s="14"/>
      <c r="M774" s="14"/>
    </row>
    <row r="775" ht="18.75" customHeight="1">
      <c r="A775" s="7" t="s">
        <v>1877</v>
      </c>
      <c r="B775" s="7" t="s">
        <v>1878</v>
      </c>
      <c r="C775" s="8">
        <v>46196.0</v>
      </c>
      <c r="D775" s="8">
        <v>46211.0</v>
      </c>
      <c r="E775" s="7" t="s">
        <v>353</v>
      </c>
      <c r="F775" s="7" t="s">
        <v>378</v>
      </c>
      <c r="G775" s="7" t="s">
        <v>355</v>
      </c>
      <c r="H775" s="7" t="s">
        <v>355</v>
      </c>
      <c r="I775" s="14"/>
      <c r="J775" s="14"/>
      <c r="K775" s="14"/>
      <c r="L775" s="14"/>
      <c r="M775" s="14"/>
    </row>
    <row r="776" ht="18.75" customHeight="1">
      <c r="A776" s="7" t="s">
        <v>1879</v>
      </c>
      <c r="B776" s="7" t="s">
        <v>1880</v>
      </c>
      <c r="C776" s="8">
        <v>46196.0</v>
      </c>
      <c r="D776" s="8">
        <v>46211.0</v>
      </c>
      <c r="E776" s="7" t="s">
        <v>353</v>
      </c>
      <c r="F776" s="7" t="s">
        <v>378</v>
      </c>
      <c r="G776" s="7" t="s">
        <v>355</v>
      </c>
      <c r="H776" s="7" t="s">
        <v>355</v>
      </c>
      <c r="I776" s="14"/>
      <c r="J776" s="14"/>
      <c r="K776" s="14"/>
      <c r="L776" s="14"/>
      <c r="M776" s="14"/>
    </row>
    <row r="777" ht="18.75" customHeight="1">
      <c r="A777" s="7" t="s">
        <v>2172</v>
      </c>
      <c r="B777" s="7" t="s">
        <v>2173</v>
      </c>
      <c r="C777" s="15"/>
      <c r="D777" s="15"/>
      <c r="E777" s="7" t="s">
        <v>364</v>
      </c>
      <c r="F777" s="7" t="s">
        <v>365</v>
      </c>
      <c r="G777" s="7" t="s">
        <v>2120</v>
      </c>
      <c r="H777" s="7" t="s">
        <v>410</v>
      </c>
      <c r="I777" s="14"/>
      <c r="J777" s="14"/>
      <c r="K777" s="14"/>
      <c r="L777" s="14"/>
      <c r="M777" s="14"/>
    </row>
    <row r="778" ht="18.75" customHeight="1">
      <c r="A778" s="7" t="s">
        <v>1881</v>
      </c>
      <c r="B778" s="7" t="s">
        <v>857</v>
      </c>
      <c r="C778" s="8">
        <v>46190.0</v>
      </c>
      <c r="D778" s="8">
        <v>46192.0</v>
      </c>
      <c r="E778" s="7" t="s">
        <v>364</v>
      </c>
      <c r="F778" s="7" t="s">
        <v>365</v>
      </c>
      <c r="G778" s="7" t="s">
        <v>355</v>
      </c>
      <c r="H778" s="7" t="s">
        <v>355</v>
      </c>
      <c r="I778" s="14"/>
      <c r="J778" s="14"/>
      <c r="K778" s="14"/>
      <c r="L778" s="14"/>
      <c r="M778" s="14"/>
    </row>
    <row r="779" ht="18.75" customHeight="1">
      <c r="A779" s="7" t="s">
        <v>1882</v>
      </c>
      <c r="B779" s="7" t="s">
        <v>1883</v>
      </c>
      <c r="C779" s="8">
        <v>46192.0</v>
      </c>
      <c r="D779" s="8">
        <v>46213.0</v>
      </c>
      <c r="E779" s="7" t="s">
        <v>416</v>
      </c>
      <c r="F779" s="7" t="s">
        <v>417</v>
      </c>
      <c r="G779" s="7" t="s">
        <v>355</v>
      </c>
      <c r="H779" s="7" t="s">
        <v>355</v>
      </c>
      <c r="I779" s="14"/>
      <c r="J779" s="14"/>
      <c r="K779" s="14"/>
      <c r="L779" s="14"/>
      <c r="M779" s="14"/>
    </row>
    <row r="780" ht="18.75" customHeight="1">
      <c r="A780" s="7" t="s">
        <v>1884</v>
      </c>
      <c r="B780" s="7" t="s">
        <v>1885</v>
      </c>
      <c r="C780" s="8">
        <v>46192.0</v>
      </c>
      <c r="D780" s="8">
        <v>46197.0</v>
      </c>
      <c r="E780" s="7" t="s">
        <v>416</v>
      </c>
      <c r="F780" s="7" t="s">
        <v>413</v>
      </c>
      <c r="G780" s="7" t="s">
        <v>355</v>
      </c>
      <c r="H780" s="7" t="s">
        <v>355</v>
      </c>
      <c r="I780" s="14"/>
      <c r="J780" s="14"/>
      <c r="K780" s="14"/>
      <c r="L780" s="14"/>
      <c r="M780" s="14"/>
    </row>
    <row r="781" ht="18.75" customHeight="1">
      <c r="A781" s="7" t="s">
        <v>1886</v>
      </c>
      <c r="B781" s="7" t="s">
        <v>1887</v>
      </c>
      <c r="C781" s="8">
        <v>46195.0</v>
      </c>
      <c r="D781" s="8">
        <v>46195.0</v>
      </c>
      <c r="E781" s="7" t="s">
        <v>353</v>
      </c>
      <c r="F781" s="7" t="s">
        <v>378</v>
      </c>
      <c r="G781" s="7" t="s">
        <v>355</v>
      </c>
      <c r="H781" s="7" t="s">
        <v>355</v>
      </c>
      <c r="I781" s="14"/>
      <c r="J781" s="14"/>
      <c r="K781" s="14"/>
      <c r="L781" s="14"/>
      <c r="M781" s="14"/>
    </row>
    <row r="782" ht="18.75" customHeight="1">
      <c r="A782" s="7" t="s">
        <v>1888</v>
      </c>
      <c r="B782" s="7" t="s">
        <v>1889</v>
      </c>
      <c r="C782" s="8">
        <v>46193.0</v>
      </c>
      <c r="D782" s="8">
        <v>46194.0</v>
      </c>
      <c r="E782" s="7" t="s">
        <v>364</v>
      </c>
      <c r="F782" s="7" t="s">
        <v>365</v>
      </c>
      <c r="G782" s="7" t="s">
        <v>355</v>
      </c>
      <c r="H782" s="7" t="s">
        <v>355</v>
      </c>
      <c r="I782" s="14"/>
      <c r="J782" s="14"/>
      <c r="K782" s="14"/>
      <c r="L782" s="14"/>
      <c r="M782" s="14"/>
    </row>
    <row r="783" ht="18.75" customHeight="1">
      <c r="A783" s="7" t="s">
        <v>1890</v>
      </c>
      <c r="B783" s="7" t="s">
        <v>1891</v>
      </c>
      <c r="C783" s="8">
        <v>46192.0</v>
      </c>
      <c r="D783" s="8">
        <v>46194.0</v>
      </c>
      <c r="E783" s="7" t="s">
        <v>364</v>
      </c>
      <c r="F783" s="7" t="s">
        <v>365</v>
      </c>
      <c r="G783" s="7" t="s">
        <v>355</v>
      </c>
      <c r="H783" s="7" t="s">
        <v>355</v>
      </c>
      <c r="I783" s="14"/>
      <c r="J783" s="14"/>
      <c r="K783" s="14"/>
      <c r="L783" s="14"/>
      <c r="M783" s="14"/>
    </row>
    <row r="784" ht="18.75" customHeight="1">
      <c r="A784" s="7" t="s">
        <v>1892</v>
      </c>
      <c r="B784" s="7" t="s">
        <v>1893</v>
      </c>
      <c r="C784" s="8">
        <v>46192.0</v>
      </c>
      <c r="D784" s="8">
        <v>46203.0</v>
      </c>
      <c r="E784" s="7" t="s">
        <v>364</v>
      </c>
      <c r="F784" s="7" t="s">
        <v>365</v>
      </c>
      <c r="G784" s="7" t="s">
        <v>355</v>
      </c>
      <c r="H784" s="7" t="s">
        <v>410</v>
      </c>
      <c r="I784" s="14"/>
      <c r="J784" s="14"/>
      <c r="K784" s="14"/>
      <c r="L784" s="14"/>
      <c r="M784" s="14"/>
    </row>
    <row r="785" ht="18.75" customHeight="1">
      <c r="A785" s="7" t="s">
        <v>1894</v>
      </c>
      <c r="B785" s="7" t="s">
        <v>1895</v>
      </c>
      <c r="C785" s="8">
        <v>46192.0</v>
      </c>
      <c r="D785" s="8">
        <v>46218.0</v>
      </c>
      <c r="E785" s="7" t="s">
        <v>353</v>
      </c>
      <c r="F785" s="7" t="s">
        <v>378</v>
      </c>
      <c r="G785" s="7" t="s">
        <v>355</v>
      </c>
      <c r="H785" s="7" t="s">
        <v>355</v>
      </c>
      <c r="I785" s="14"/>
      <c r="J785" s="14"/>
      <c r="K785" s="14"/>
      <c r="L785" s="14"/>
      <c r="M785" s="14"/>
    </row>
    <row r="786" ht="18.75" customHeight="1">
      <c r="A786" s="7" t="s">
        <v>1896</v>
      </c>
      <c r="B786" s="7" t="s">
        <v>1897</v>
      </c>
      <c r="C786" s="8">
        <v>46196.0</v>
      </c>
      <c r="D786" s="8">
        <v>46196.0</v>
      </c>
      <c r="E786" s="7" t="s">
        <v>353</v>
      </c>
      <c r="F786" s="7" t="s">
        <v>378</v>
      </c>
      <c r="G786" s="7" t="s">
        <v>355</v>
      </c>
      <c r="H786" s="7" t="s">
        <v>355</v>
      </c>
      <c r="I786" s="14"/>
      <c r="J786" s="14"/>
      <c r="K786" s="14"/>
      <c r="L786" s="14"/>
      <c r="M786" s="14"/>
    </row>
    <row r="787" ht="18.75" customHeight="1">
      <c r="A787" s="7" t="s">
        <v>1898</v>
      </c>
      <c r="B787" s="7" t="s">
        <v>1899</v>
      </c>
      <c r="C787" s="8">
        <v>46195.0</v>
      </c>
      <c r="D787" s="8">
        <v>46199.0</v>
      </c>
      <c r="E787" s="7" t="s">
        <v>416</v>
      </c>
      <c r="F787" s="7" t="s">
        <v>466</v>
      </c>
      <c r="G787" s="7" t="s">
        <v>355</v>
      </c>
      <c r="H787" s="7" t="s">
        <v>355</v>
      </c>
      <c r="I787" s="14"/>
      <c r="J787" s="14"/>
      <c r="K787" s="14"/>
      <c r="L787" s="14"/>
      <c r="M787" s="14"/>
    </row>
    <row r="788" ht="18.75" customHeight="1">
      <c r="A788" s="7" t="s">
        <v>1900</v>
      </c>
      <c r="B788" s="7" t="s">
        <v>1901</v>
      </c>
      <c r="C788" s="8">
        <v>46195.0</v>
      </c>
      <c r="D788" s="8">
        <v>46199.0</v>
      </c>
      <c r="E788" s="7" t="s">
        <v>416</v>
      </c>
      <c r="F788" s="7" t="s">
        <v>466</v>
      </c>
      <c r="G788" s="7" t="s">
        <v>355</v>
      </c>
      <c r="H788" s="7" t="s">
        <v>355</v>
      </c>
      <c r="I788" s="14"/>
      <c r="J788" s="14"/>
      <c r="K788" s="14"/>
      <c r="L788" s="14"/>
      <c r="M788" s="14"/>
    </row>
    <row r="789" ht="18.75" customHeight="1">
      <c r="A789" s="7" t="s">
        <v>1902</v>
      </c>
      <c r="B789" s="7" t="s">
        <v>1903</v>
      </c>
      <c r="C789" s="8">
        <v>46195.0</v>
      </c>
      <c r="D789" s="8">
        <v>46199.0</v>
      </c>
      <c r="E789" s="7" t="s">
        <v>416</v>
      </c>
      <c r="F789" s="7" t="s">
        <v>466</v>
      </c>
      <c r="G789" s="7" t="s">
        <v>355</v>
      </c>
      <c r="H789" s="7" t="s">
        <v>355</v>
      </c>
      <c r="I789" s="14"/>
      <c r="J789" s="14"/>
      <c r="K789" s="14"/>
      <c r="L789" s="14"/>
      <c r="M789" s="14"/>
    </row>
    <row r="790" ht="18.75" customHeight="1">
      <c r="A790" s="7" t="s">
        <v>1904</v>
      </c>
      <c r="B790" s="7" t="s">
        <v>1905</v>
      </c>
      <c r="C790" s="8">
        <v>46166.0</v>
      </c>
      <c r="D790" s="8">
        <v>46199.0</v>
      </c>
      <c r="E790" s="7" t="s">
        <v>416</v>
      </c>
      <c r="F790" s="7" t="s">
        <v>466</v>
      </c>
      <c r="G790" s="7" t="s">
        <v>355</v>
      </c>
      <c r="H790" s="7" t="s">
        <v>355</v>
      </c>
      <c r="I790" s="14"/>
      <c r="J790" s="14"/>
      <c r="K790" s="14"/>
      <c r="L790" s="14"/>
      <c r="M790" s="14"/>
    </row>
    <row r="791" ht="18.75" customHeight="1">
      <c r="A791" s="7" t="s">
        <v>1906</v>
      </c>
      <c r="B791" s="7" t="s">
        <v>1907</v>
      </c>
      <c r="C791" s="8">
        <v>46224.0</v>
      </c>
      <c r="D791" s="8">
        <v>46236.0</v>
      </c>
      <c r="E791" s="7" t="s">
        <v>404</v>
      </c>
      <c r="F791" s="7" t="s">
        <v>405</v>
      </c>
      <c r="G791" s="7" t="s">
        <v>410</v>
      </c>
      <c r="H791" s="7" t="s">
        <v>2120</v>
      </c>
      <c r="I791" s="14"/>
      <c r="J791" s="14"/>
      <c r="K791" s="14"/>
      <c r="L791" s="14"/>
      <c r="M791" s="14"/>
    </row>
    <row r="792" ht="18.75" customHeight="1">
      <c r="A792" s="7" t="s">
        <v>1908</v>
      </c>
      <c r="B792" s="7" t="s">
        <v>1909</v>
      </c>
      <c r="C792" s="8">
        <v>46217.0</v>
      </c>
      <c r="D792" s="8">
        <v>46236.0</v>
      </c>
      <c r="E792" s="7" t="s">
        <v>404</v>
      </c>
      <c r="F792" s="7" t="s">
        <v>405</v>
      </c>
      <c r="G792" s="7" t="s">
        <v>410</v>
      </c>
      <c r="H792" s="7" t="s">
        <v>410</v>
      </c>
      <c r="I792" s="14"/>
      <c r="J792" s="14"/>
      <c r="K792" s="14"/>
      <c r="L792" s="14"/>
      <c r="M792" s="14"/>
    </row>
    <row r="793" ht="18.75" customHeight="1">
      <c r="A793" s="7" t="s">
        <v>1910</v>
      </c>
      <c r="B793" s="7" t="s">
        <v>1911</v>
      </c>
      <c r="C793" s="8">
        <v>46195.0</v>
      </c>
      <c r="D793" s="8">
        <v>46204.0</v>
      </c>
      <c r="E793" s="7" t="s">
        <v>416</v>
      </c>
      <c r="F793" s="7" t="s">
        <v>725</v>
      </c>
      <c r="G793" s="7" t="s">
        <v>355</v>
      </c>
      <c r="H793" s="7" t="s">
        <v>355</v>
      </c>
      <c r="I793" s="14"/>
      <c r="J793" s="14"/>
      <c r="K793" s="14"/>
      <c r="L793" s="14"/>
      <c r="M793" s="14"/>
    </row>
    <row r="794" ht="18.75" customHeight="1">
      <c r="A794" s="7" t="s">
        <v>1912</v>
      </c>
      <c r="B794" s="7" t="s">
        <v>1913</v>
      </c>
      <c r="C794" s="8">
        <v>46195.0</v>
      </c>
      <c r="D794" s="8">
        <v>46200.0</v>
      </c>
      <c r="E794" s="7" t="s">
        <v>416</v>
      </c>
      <c r="F794" s="7" t="s">
        <v>378</v>
      </c>
      <c r="G794" s="7" t="s">
        <v>355</v>
      </c>
      <c r="H794" s="7" t="s">
        <v>355</v>
      </c>
      <c r="I794" s="14"/>
      <c r="J794" s="14"/>
      <c r="K794" s="14"/>
      <c r="L794" s="14"/>
      <c r="M794" s="14"/>
    </row>
    <row r="795" ht="18.75" customHeight="1">
      <c r="A795" s="7" t="s">
        <v>1914</v>
      </c>
      <c r="B795" s="7" t="s">
        <v>1915</v>
      </c>
      <c r="C795" s="8">
        <v>46196.0</v>
      </c>
      <c r="D795" s="8">
        <v>46203.0</v>
      </c>
      <c r="E795" s="7" t="s">
        <v>416</v>
      </c>
      <c r="F795" s="7" t="s">
        <v>594</v>
      </c>
      <c r="G795" s="7" t="s">
        <v>355</v>
      </c>
      <c r="H795" s="7" t="s">
        <v>355</v>
      </c>
      <c r="I795" s="14"/>
      <c r="J795" s="14"/>
      <c r="K795" s="14"/>
      <c r="L795" s="14"/>
      <c r="M795" s="14"/>
    </row>
    <row r="796" ht="18.75" customHeight="1">
      <c r="A796" s="7" t="s">
        <v>1916</v>
      </c>
      <c r="B796" s="7" t="s">
        <v>1917</v>
      </c>
      <c r="C796" s="8">
        <v>46198.0</v>
      </c>
      <c r="D796" s="8">
        <v>46198.0</v>
      </c>
      <c r="E796" s="7" t="s">
        <v>358</v>
      </c>
      <c r="F796" s="7" t="s">
        <v>387</v>
      </c>
      <c r="G796" s="7" t="s">
        <v>355</v>
      </c>
      <c r="H796" s="7" t="s">
        <v>355</v>
      </c>
      <c r="I796" s="14"/>
      <c r="J796" s="14"/>
      <c r="K796" s="14"/>
      <c r="L796" s="14"/>
      <c r="M796" s="14"/>
    </row>
    <row r="797" ht="18.75" customHeight="1">
      <c r="A797" s="7" t="s">
        <v>1918</v>
      </c>
      <c r="B797" s="7" t="s">
        <v>1919</v>
      </c>
      <c r="C797" s="8">
        <v>46198.0</v>
      </c>
      <c r="D797" s="8">
        <v>46198.0</v>
      </c>
      <c r="E797" s="7" t="s">
        <v>358</v>
      </c>
      <c r="F797" s="7" t="s">
        <v>387</v>
      </c>
      <c r="G797" s="7" t="s">
        <v>355</v>
      </c>
      <c r="H797" s="7" t="s">
        <v>355</v>
      </c>
      <c r="I797" s="14"/>
      <c r="J797" s="14"/>
      <c r="K797" s="14"/>
      <c r="L797" s="14"/>
      <c r="M797" s="14"/>
    </row>
    <row r="798" ht="18.75" customHeight="1">
      <c r="A798" s="7" t="s">
        <v>1920</v>
      </c>
      <c r="B798" s="7" t="s">
        <v>1921</v>
      </c>
      <c r="C798" s="8">
        <v>46199.0</v>
      </c>
      <c r="D798" s="8">
        <v>46199.0</v>
      </c>
      <c r="E798" s="7" t="s">
        <v>358</v>
      </c>
      <c r="F798" s="7" t="s">
        <v>387</v>
      </c>
      <c r="G798" s="7" t="s">
        <v>355</v>
      </c>
      <c r="H798" s="7" t="s">
        <v>355</v>
      </c>
      <c r="I798" s="14"/>
      <c r="J798" s="14"/>
      <c r="K798" s="14"/>
      <c r="L798" s="14"/>
      <c r="M798" s="14"/>
    </row>
    <row r="799" ht="18.75" customHeight="1">
      <c r="A799" s="7" t="s">
        <v>1922</v>
      </c>
      <c r="B799" s="7" t="s">
        <v>1923</v>
      </c>
      <c r="C799" s="8">
        <v>46202.0</v>
      </c>
      <c r="D799" s="8">
        <v>46202.0</v>
      </c>
      <c r="E799" s="7" t="s">
        <v>358</v>
      </c>
      <c r="F799" s="7" t="s">
        <v>387</v>
      </c>
      <c r="G799" s="7" t="s">
        <v>355</v>
      </c>
      <c r="H799" s="7" t="s">
        <v>355</v>
      </c>
      <c r="I799" s="14"/>
      <c r="J799" s="14"/>
      <c r="K799" s="14"/>
      <c r="L799" s="14"/>
      <c r="M799" s="14"/>
    </row>
    <row r="800" ht="18.75" customHeight="1">
      <c r="A800" s="7" t="s">
        <v>1924</v>
      </c>
      <c r="B800" s="7" t="s">
        <v>1925</v>
      </c>
      <c r="C800" s="8">
        <v>46202.0</v>
      </c>
      <c r="D800" s="8">
        <v>46202.0</v>
      </c>
      <c r="E800" s="7" t="s">
        <v>358</v>
      </c>
      <c r="F800" s="7" t="s">
        <v>387</v>
      </c>
      <c r="G800" s="7" t="s">
        <v>355</v>
      </c>
      <c r="H800" s="7" t="s">
        <v>355</v>
      </c>
      <c r="I800" s="14"/>
      <c r="J800" s="14"/>
      <c r="K800" s="14"/>
      <c r="L800" s="14"/>
      <c r="M800" s="14"/>
    </row>
    <row r="801" ht="18.75" customHeight="1">
      <c r="A801" s="7" t="s">
        <v>1926</v>
      </c>
      <c r="B801" s="7" t="s">
        <v>1927</v>
      </c>
      <c r="C801" s="8">
        <v>46202.0</v>
      </c>
      <c r="D801" s="8">
        <v>46202.0</v>
      </c>
      <c r="E801" s="7" t="s">
        <v>353</v>
      </c>
      <c r="F801" s="7" t="s">
        <v>1690</v>
      </c>
      <c r="G801" s="7" t="s">
        <v>355</v>
      </c>
      <c r="H801" s="7" t="s">
        <v>355</v>
      </c>
      <c r="I801" s="14"/>
      <c r="J801" s="14"/>
      <c r="K801" s="14"/>
      <c r="L801" s="14"/>
      <c r="M801" s="14"/>
    </row>
    <row r="802" ht="18.75" customHeight="1">
      <c r="A802" s="7" t="s">
        <v>1928</v>
      </c>
      <c r="B802" s="7" t="s">
        <v>1929</v>
      </c>
      <c r="C802" s="8">
        <v>46199.0</v>
      </c>
      <c r="D802" s="8">
        <v>46201.0</v>
      </c>
      <c r="E802" s="7" t="s">
        <v>364</v>
      </c>
      <c r="F802" s="7" t="s">
        <v>365</v>
      </c>
      <c r="G802" s="7" t="s">
        <v>355</v>
      </c>
      <c r="H802" s="7" t="s">
        <v>355</v>
      </c>
      <c r="I802" s="14"/>
      <c r="J802" s="14"/>
      <c r="K802" s="14"/>
      <c r="L802" s="14"/>
      <c r="M802" s="14"/>
    </row>
    <row r="803" ht="18.75" customHeight="1">
      <c r="A803" s="7" t="s">
        <v>1930</v>
      </c>
      <c r="B803" s="7" t="s">
        <v>1931</v>
      </c>
      <c r="C803" s="8">
        <v>46196.0</v>
      </c>
      <c r="D803" s="8">
        <v>46202.0</v>
      </c>
      <c r="E803" s="7" t="s">
        <v>353</v>
      </c>
      <c r="F803" s="7" t="s">
        <v>354</v>
      </c>
      <c r="G803" s="7" t="s">
        <v>355</v>
      </c>
      <c r="H803" s="7" t="s">
        <v>355</v>
      </c>
      <c r="I803" s="14"/>
      <c r="J803" s="14"/>
      <c r="K803" s="14"/>
      <c r="L803" s="14"/>
      <c r="M803" s="14"/>
    </row>
    <row r="804" ht="18.75" customHeight="1">
      <c r="A804" s="7" t="s">
        <v>1932</v>
      </c>
      <c r="B804" s="7" t="s">
        <v>1933</v>
      </c>
      <c r="C804" s="8">
        <v>46197.0</v>
      </c>
      <c r="D804" s="8">
        <v>46211.0</v>
      </c>
      <c r="E804" s="7" t="s">
        <v>503</v>
      </c>
      <c r="F804" s="7" t="s">
        <v>417</v>
      </c>
      <c r="G804" s="7" t="s">
        <v>355</v>
      </c>
      <c r="H804" s="7" t="s">
        <v>355</v>
      </c>
      <c r="I804" s="14"/>
      <c r="J804" s="14"/>
      <c r="K804" s="14"/>
      <c r="L804" s="14"/>
      <c r="M804" s="14"/>
    </row>
    <row r="805" ht="18.75" customHeight="1">
      <c r="A805" s="7" t="s">
        <v>1934</v>
      </c>
      <c r="B805" s="7" t="s">
        <v>1935</v>
      </c>
      <c r="C805" s="8">
        <v>46199.0</v>
      </c>
      <c r="D805" s="8">
        <v>46199.0</v>
      </c>
      <c r="E805" s="7" t="s">
        <v>353</v>
      </c>
      <c r="F805" s="7" t="s">
        <v>354</v>
      </c>
      <c r="G805" s="7" t="s">
        <v>355</v>
      </c>
      <c r="H805" s="7" t="s">
        <v>355</v>
      </c>
      <c r="I805" s="14"/>
      <c r="J805" s="14"/>
      <c r="K805" s="14"/>
      <c r="L805" s="14"/>
      <c r="M805" s="14"/>
    </row>
    <row r="806" ht="18.75" customHeight="1">
      <c r="A806" s="7" t="s">
        <v>1936</v>
      </c>
      <c r="B806" s="7" t="s">
        <v>1937</v>
      </c>
      <c r="C806" s="8">
        <v>46198.0</v>
      </c>
      <c r="D806" s="8">
        <v>46203.0</v>
      </c>
      <c r="E806" s="7" t="s">
        <v>416</v>
      </c>
      <c r="F806" s="7" t="s">
        <v>417</v>
      </c>
      <c r="G806" s="7" t="s">
        <v>355</v>
      </c>
      <c r="H806" s="7" t="s">
        <v>355</v>
      </c>
      <c r="I806" s="14"/>
      <c r="J806" s="14"/>
      <c r="K806" s="14"/>
      <c r="L806" s="14"/>
      <c r="M806" s="14"/>
    </row>
    <row r="807" ht="18.75" customHeight="1">
      <c r="A807" s="7" t="s">
        <v>1938</v>
      </c>
      <c r="B807" s="7" t="s">
        <v>1939</v>
      </c>
      <c r="C807" s="8">
        <v>46198.0</v>
      </c>
      <c r="D807" s="8">
        <v>46205.0</v>
      </c>
      <c r="E807" s="7" t="s">
        <v>416</v>
      </c>
      <c r="F807" s="7" t="s">
        <v>365</v>
      </c>
      <c r="G807" s="7" t="s">
        <v>355</v>
      </c>
      <c r="H807" s="7" t="s">
        <v>355</v>
      </c>
      <c r="I807" s="14"/>
      <c r="J807" s="14"/>
      <c r="K807" s="14"/>
      <c r="L807" s="14"/>
      <c r="M807" s="14"/>
    </row>
    <row r="808" ht="18.75" customHeight="1">
      <c r="A808" s="7" t="s">
        <v>1940</v>
      </c>
      <c r="B808" s="7" t="s">
        <v>1941</v>
      </c>
      <c r="C808" s="8">
        <v>46202.0</v>
      </c>
      <c r="D808" s="8">
        <v>46210.0</v>
      </c>
      <c r="E808" s="7" t="s">
        <v>416</v>
      </c>
      <c r="F808" s="7" t="s">
        <v>594</v>
      </c>
      <c r="G808" s="7" t="s">
        <v>355</v>
      </c>
      <c r="H808" s="7" t="s">
        <v>355</v>
      </c>
      <c r="I808" s="14"/>
      <c r="J808" s="14"/>
      <c r="K808" s="14"/>
      <c r="L808" s="14"/>
      <c r="M808" s="14"/>
    </row>
    <row r="809" ht="18.75" customHeight="1">
      <c r="A809" s="7" t="s">
        <v>1942</v>
      </c>
      <c r="B809" s="7" t="s">
        <v>1943</v>
      </c>
      <c r="C809" s="8">
        <v>46198.0</v>
      </c>
      <c r="D809" s="8">
        <v>46203.0</v>
      </c>
      <c r="E809" s="7" t="s">
        <v>416</v>
      </c>
      <c r="F809" s="7" t="s">
        <v>667</v>
      </c>
      <c r="G809" s="7" t="s">
        <v>355</v>
      </c>
      <c r="H809" s="7" t="s">
        <v>355</v>
      </c>
      <c r="I809" s="14"/>
      <c r="J809" s="14"/>
      <c r="K809" s="14"/>
      <c r="L809" s="14"/>
      <c r="M809" s="14"/>
    </row>
    <row r="810" ht="18.75" customHeight="1">
      <c r="A810" s="7" t="s">
        <v>1944</v>
      </c>
      <c r="B810" s="7" t="s">
        <v>1945</v>
      </c>
      <c r="C810" s="8">
        <v>46199.0</v>
      </c>
      <c r="D810" s="8">
        <v>46204.0</v>
      </c>
      <c r="E810" s="7" t="s">
        <v>416</v>
      </c>
      <c r="F810" s="7" t="s">
        <v>466</v>
      </c>
      <c r="G810" s="7" t="s">
        <v>355</v>
      </c>
      <c r="H810" s="7" t="s">
        <v>355</v>
      </c>
      <c r="I810" s="14"/>
      <c r="J810" s="14"/>
      <c r="K810" s="14"/>
      <c r="L810" s="14"/>
      <c r="M810" s="14"/>
    </row>
    <row r="811" ht="18.75" customHeight="1">
      <c r="A811" s="7" t="s">
        <v>1946</v>
      </c>
      <c r="B811" s="7" t="s">
        <v>1947</v>
      </c>
      <c r="C811" s="8">
        <v>46202.0</v>
      </c>
      <c r="D811" s="8">
        <v>46216.0</v>
      </c>
      <c r="E811" s="7" t="s">
        <v>353</v>
      </c>
      <c r="F811" s="7" t="s">
        <v>378</v>
      </c>
      <c r="G811" s="7" t="s">
        <v>355</v>
      </c>
      <c r="H811" s="7" t="s">
        <v>355</v>
      </c>
      <c r="I811" s="14"/>
      <c r="J811" s="14"/>
      <c r="K811" s="14"/>
      <c r="L811" s="14"/>
      <c r="M811" s="14"/>
    </row>
    <row r="812" ht="18.75" customHeight="1">
      <c r="A812" s="7" t="s">
        <v>1948</v>
      </c>
      <c r="B812" s="7" t="s">
        <v>1949</v>
      </c>
      <c r="C812" s="8">
        <v>46205.0</v>
      </c>
      <c r="D812" s="8">
        <v>46220.0</v>
      </c>
      <c r="E812" s="7" t="s">
        <v>353</v>
      </c>
      <c r="F812" s="7" t="s">
        <v>378</v>
      </c>
      <c r="G812" s="7" t="s">
        <v>355</v>
      </c>
      <c r="H812" s="7" t="s">
        <v>355</v>
      </c>
      <c r="I812" s="14"/>
      <c r="J812" s="14"/>
      <c r="K812" s="14"/>
      <c r="L812" s="14"/>
      <c r="M812" s="14"/>
    </row>
    <row r="813" ht="18.75" customHeight="1">
      <c r="A813" s="7" t="s">
        <v>2174</v>
      </c>
      <c r="B813" s="7" t="s">
        <v>2175</v>
      </c>
      <c r="C813" s="15"/>
      <c r="D813" s="15"/>
      <c r="E813" s="7" t="s">
        <v>503</v>
      </c>
      <c r="F813" s="7" t="s">
        <v>928</v>
      </c>
      <c r="G813" s="7" t="s">
        <v>2120</v>
      </c>
      <c r="H813" s="7" t="s">
        <v>2120</v>
      </c>
      <c r="I813" s="14"/>
      <c r="J813" s="14"/>
      <c r="K813" s="14"/>
      <c r="L813" s="14"/>
      <c r="M813" s="14"/>
    </row>
    <row r="814" ht="18.75" customHeight="1">
      <c r="A814" s="7" t="s">
        <v>1950</v>
      </c>
      <c r="B814" s="7" t="s">
        <v>1951</v>
      </c>
      <c r="C814" s="8">
        <v>46205.0</v>
      </c>
      <c r="D814" s="8">
        <v>46209.0</v>
      </c>
      <c r="E814" s="7" t="s">
        <v>353</v>
      </c>
      <c r="F814" s="7" t="s">
        <v>783</v>
      </c>
      <c r="G814" s="7" t="s">
        <v>355</v>
      </c>
      <c r="H814" s="7" t="s">
        <v>355</v>
      </c>
      <c r="I814" s="14"/>
      <c r="J814" s="14"/>
      <c r="K814" s="14"/>
      <c r="L814" s="14"/>
      <c r="M814" s="14"/>
    </row>
    <row r="815" ht="18.75" customHeight="1">
      <c r="A815" s="7" t="s">
        <v>1952</v>
      </c>
      <c r="B815" s="7" t="s">
        <v>1953</v>
      </c>
      <c r="C815" s="8">
        <v>46204.0</v>
      </c>
      <c r="D815" s="8">
        <v>46204.0</v>
      </c>
      <c r="E815" s="7" t="s">
        <v>416</v>
      </c>
      <c r="F815" s="7" t="s">
        <v>430</v>
      </c>
      <c r="G815" s="7" t="s">
        <v>355</v>
      </c>
      <c r="H815" s="7" t="s">
        <v>355</v>
      </c>
      <c r="I815" s="14"/>
      <c r="J815" s="14"/>
      <c r="K815" s="14"/>
      <c r="L815" s="14"/>
      <c r="M815" s="14"/>
    </row>
    <row r="816" ht="18.75" customHeight="1">
      <c r="A816" s="7" t="s">
        <v>1954</v>
      </c>
      <c r="B816" s="7" t="s">
        <v>1955</v>
      </c>
      <c r="C816" s="8">
        <v>46209.0</v>
      </c>
      <c r="D816" s="8">
        <v>46209.0</v>
      </c>
      <c r="E816" s="7" t="s">
        <v>404</v>
      </c>
      <c r="F816" s="7" t="s">
        <v>474</v>
      </c>
      <c r="G816" s="7" t="s">
        <v>355</v>
      </c>
      <c r="H816" s="7" t="s">
        <v>355</v>
      </c>
      <c r="I816" s="14"/>
      <c r="J816" s="14"/>
      <c r="K816" s="14"/>
      <c r="L816" s="14"/>
      <c r="M816" s="14"/>
    </row>
    <row r="817" ht="18.75" customHeight="1">
      <c r="A817" s="7" t="s">
        <v>1956</v>
      </c>
      <c r="B817" s="7" t="s">
        <v>1957</v>
      </c>
      <c r="C817" s="8">
        <v>46202.0</v>
      </c>
      <c r="D817" s="8">
        <v>46206.0</v>
      </c>
      <c r="E817" s="7" t="s">
        <v>416</v>
      </c>
      <c r="F817" s="7" t="s">
        <v>466</v>
      </c>
      <c r="G817" s="7" t="s">
        <v>355</v>
      </c>
      <c r="H817" s="7" t="s">
        <v>355</v>
      </c>
      <c r="I817" s="14"/>
      <c r="J817" s="14"/>
      <c r="K817" s="14"/>
      <c r="L817" s="14"/>
      <c r="M817" s="14"/>
    </row>
    <row r="818" ht="18.75" customHeight="1">
      <c r="A818" s="7" t="s">
        <v>1958</v>
      </c>
      <c r="B818" s="7" t="s">
        <v>1959</v>
      </c>
      <c r="C818" s="8">
        <v>46202.0</v>
      </c>
      <c r="D818" s="8">
        <v>46206.0</v>
      </c>
      <c r="E818" s="7" t="s">
        <v>416</v>
      </c>
      <c r="F818" s="7" t="s">
        <v>466</v>
      </c>
      <c r="G818" s="7" t="s">
        <v>355</v>
      </c>
      <c r="H818" s="7" t="s">
        <v>355</v>
      </c>
      <c r="I818" s="14"/>
      <c r="J818" s="14"/>
      <c r="K818" s="14"/>
      <c r="L818" s="14"/>
      <c r="M818" s="14"/>
    </row>
    <row r="819" ht="18.75" customHeight="1">
      <c r="A819" s="7" t="s">
        <v>1960</v>
      </c>
      <c r="B819" s="7" t="s">
        <v>1961</v>
      </c>
      <c r="C819" s="8">
        <v>46202.0</v>
      </c>
      <c r="D819" s="8">
        <v>46206.0</v>
      </c>
      <c r="E819" s="7" t="s">
        <v>416</v>
      </c>
      <c r="F819" s="7" t="s">
        <v>466</v>
      </c>
      <c r="G819" s="7" t="s">
        <v>355</v>
      </c>
      <c r="H819" s="7" t="s">
        <v>355</v>
      </c>
      <c r="I819" s="14"/>
      <c r="J819" s="14"/>
      <c r="K819" s="14"/>
      <c r="L819" s="14"/>
      <c r="M819" s="14"/>
    </row>
    <row r="820" ht="18.75" customHeight="1">
      <c r="A820" s="7" t="s">
        <v>1962</v>
      </c>
      <c r="B820" s="7" t="s">
        <v>1963</v>
      </c>
      <c r="C820" s="8">
        <v>46202.0</v>
      </c>
      <c r="D820" s="8">
        <v>46206.0</v>
      </c>
      <c r="E820" s="7" t="s">
        <v>416</v>
      </c>
      <c r="F820" s="7" t="s">
        <v>466</v>
      </c>
      <c r="G820" s="7" t="s">
        <v>355</v>
      </c>
      <c r="H820" s="7" t="s">
        <v>355</v>
      </c>
      <c r="I820" s="14"/>
      <c r="J820" s="14"/>
      <c r="K820" s="14"/>
      <c r="L820" s="14"/>
      <c r="M820" s="14"/>
    </row>
    <row r="821" ht="18.75" customHeight="1">
      <c r="A821" s="7" t="s">
        <v>2176</v>
      </c>
      <c r="B821" s="7" t="s">
        <v>2177</v>
      </c>
      <c r="C821" s="15"/>
      <c r="D821" s="15"/>
      <c r="E821" s="7" t="s">
        <v>503</v>
      </c>
      <c r="F821" s="7" t="s">
        <v>783</v>
      </c>
      <c r="G821" s="7" t="s">
        <v>2120</v>
      </c>
      <c r="H821" s="7" t="s">
        <v>2120</v>
      </c>
      <c r="I821" s="14"/>
      <c r="J821" s="14"/>
      <c r="K821" s="14"/>
      <c r="L821" s="14"/>
      <c r="M821" s="14"/>
    </row>
    <row r="822" ht="18.75" customHeight="1">
      <c r="A822" s="7" t="s">
        <v>1964</v>
      </c>
      <c r="B822" s="7" t="s">
        <v>1965</v>
      </c>
      <c r="C822" s="8">
        <v>46205.0</v>
      </c>
      <c r="D822" s="8">
        <v>46205.0</v>
      </c>
      <c r="E822" s="7" t="s">
        <v>358</v>
      </c>
      <c r="F822" s="7" t="s">
        <v>387</v>
      </c>
      <c r="G822" s="7" t="s">
        <v>355</v>
      </c>
      <c r="H822" s="7" t="s">
        <v>355</v>
      </c>
      <c r="I822" s="14"/>
      <c r="J822" s="14"/>
      <c r="K822" s="14"/>
      <c r="L822" s="14"/>
      <c r="M822" s="14"/>
    </row>
    <row r="823" ht="18.75" customHeight="1">
      <c r="A823" s="7" t="s">
        <v>1966</v>
      </c>
      <c r="B823" s="7" t="s">
        <v>1967</v>
      </c>
      <c r="C823" s="8">
        <v>46205.0</v>
      </c>
      <c r="D823" s="8">
        <v>46216.0</v>
      </c>
      <c r="E823" s="7" t="s">
        <v>358</v>
      </c>
      <c r="F823" s="7" t="s">
        <v>387</v>
      </c>
      <c r="G823" s="7" t="s">
        <v>355</v>
      </c>
      <c r="H823" s="7" t="s">
        <v>355</v>
      </c>
      <c r="I823" s="14"/>
      <c r="J823" s="14"/>
      <c r="K823" s="14"/>
      <c r="L823" s="14"/>
      <c r="M823" s="14"/>
    </row>
    <row r="824" ht="18.75" customHeight="1">
      <c r="A824" s="7" t="s">
        <v>1968</v>
      </c>
      <c r="B824" s="7" t="s">
        <v>1969</v>
      </c>
      <c r="C824" s="8">
        <v>46205.0</v>
      </c>
      <c r="D824" s="8">
        <v>46205.0</v>
      </c>
      <c r="E824" s="7" t="s">
        <v>358</v>
      </c>
      <c r="F824" s="7" t="s">
        <v>387</v>
      </c>
      <c r="G824" s="7" t="s">
        <v>355</v>
      </c>
      <c r="H824" s="7" t="s">
        <v>355</v>
      </c>
      <c r="I824" s="14"/>
      <c r="J824" s="14"/>
      <c r="K824" s="14"/>
      <c r="L824" s="14"/>
      <c r="M824" s="14"/>
    </row>
    <row r="825" ht="18.75" customHeight="1">
      <c r="A825" s="7" t="s">
        <v>1970</v>
      </c>
      <c r="B825" s="7" t="s">
        <v>1971</v>
      </c>
      <c r="C825" s="8">
        <v>46203.0</v>
      </c>
      <c r="D825" s="8">
        <v>46220.0</v>
      </c>
      <c r="E825" s="7" t="s">
        <v>364</v>
      </c>
      <c r="F825" s="7" t="s">
        <v>365</v>
      </c>
      <c r="G825" s="7" t="s">
        <v>355</v>
      </c>
      <c r="H825" s="7" t="s">
        <v>355</v>
      </c>
      <c r="I825" s="14"/>
      <c r="J825" s="14"/>
      <c r="K825" s="14"/>
      <c r="L825" s="14"/>
      <c r="M825" s="14"/>
    </row>
    <row r="826" ht="18.75" customHeight="1">
      <c r="A826" s="7" t="s">
        <v>1972</v>
      </c>
      <c r="B826" s="7" t="s">
        <v>1973</v>
      </c>
      <c r="C826" s="8">
        <v>46205.0</v>
      </c>
      <c r="D826" s="8">
        <v>46224.0</v>
      </c>
      <c r="E826" s="7" t="s">
        <v>358</v>
      </c>
      <c r="F826" s="7" t="s">
        <v>466</v>
      </c>
      <c r="G826" s="7" t="s">
        <v>355</v>
      </c>
      <c r="H826" s="7" t="s">
        <v>410</v>
      </c>
      <c r="I826" s="14"/>
      <c r="J826" s="14"/>
      <c r="K826" s="14"/>
      <c r="L826" s="14"/>
      <c r="M826" s="14"/>
    </row>
    <row r="827" ht="18.75" customHeight="1">
      <c r="A827" s="7" t="s">
        <v>1974</v>
      </c>
      <c r="B827" s="7" t="s">
        <v>1975</v>
      </c>
      <c r="C827" s="8">
        <v>46204.0</v>
      </c>
      <c r="D827" s="8">
        <v>46225.0</v>
      </c>
      <c r="E827" s="7" t="s">
        <v>358</v>
      </c>
      <c r="F827" s="7" t="s">
        <v>466</v>
      </c>
      <c r="G827" s="7" t="s">
        <v>410</v>
      </c>
      <c r="H827" s="7" t="s">
        <v>410</v>
      </c>
      <c r="I827" s="14"/>
      <c r="J827" s="14"/>
      <c r="K827" s="14"/>
      <c r="L827" s="14"/>
      <c r="M827" s="14"/>
    </row>
    <row r="828" ht="18.75" customHeight="1">
      <c r="A828" s="7" t="s">
        <v>1976</v>
      </c>
      <c r="B828" s="7" t="s">
        <v>1977</v>
      </c>
      <c r="C828" s="8">
        <v>46203.0</v>
      </c>
      <c r="D828" s="8">
        <v>46210.0</v>
      </c>
      <c r="E828" s="7" t="s">
        <v>416</v>
      </c>
      <c r="F828" s="7" t="s">
        <v>725</v>
      </c>
      <c r="G828" s="7" t="s">
        <v>355</v>
      </c>
      <c r="H828" s="7" t="s">
        <v>355</v>
      </c>
      <c r="I828" s="14"/>
      <c r="J828" s="14"/>
      <c r="K828" s="14"/>
      <c r="L828" s="14"/>
      <c r="M828" s="14"/>
    </row>
    <row r="829" ht="18.75" customHeight="1">
      <c r="A829" s="7" t="s">
        <v>1978</v>
      </c>
      <c r="B829" s="7" t="s">
        <v>1979</v>
      </c>
      <c r="C829" s="8">
        <v>46204.0</v>
      </c>
      <c r="D829" s="8">
        <v>46204.0</v>
      </c>
      <c r="E829" s="7" t="s">
        <v>358</v>
      </c>
      <c r="F829" s="7" t="s">
        <v>365</v>
      </c>
      <c r="G829" s="7" t="s">
        <v>355</v>
      </c>
      <c r="H829" s="7" t="s">
        <v>355</v>
      </c>
      <c r="I829" s="14"/>
      <c r="J829" s="14"/>
      <c r="K829" s="14"/>
      <c r="L829" s="14"/>
      <c r="M829" s="14"/>
    </row>
    <row r="830" ht="18.75" customHeight="1">
      <c r="A830" s="7" t="s">
        <v>2178</v>
      </c>
      <c r="B830" s="7" t="s">
        <v>2179</v>
      </c>
      <c r="C830" s="15"/>
      <c r="D830" s="15"/>
      <c r="E830" s="7" t="s">
        <v>353</v>
      </c>
      <c r="F830" s="7" t="s">
        <v>725</v>
      </c>
      <c r="G830" s="7" t="s">
        <v>2120</v>
      </c>
      <c r="H830" s="7" t="s">
        <v>355</v>
      </c>
      <c r="I830" s="14"/>
      <c r="J830" s="14"/>
      <c r="K830" s="14"/>
      <c r="L830" s="14"/>
      <c r="M830" s="14"/>
    </row>
    <row r="831" ht="18.75" customHeight="1">
      <c r="A831" s="7" t="s">
        <v>1980</v>
      </c>
      <c r="B831" s="7" t="s">
        <v>1981</v>
      </c>
      <c r="C831" s="8">
        <v>46204.0</v>
      </c>
      <c r="D831" s="8">
        <v>46206.0</v>
      </c>
      <c r="E831" s="7" t="s">
        <v>353</v>
      </c>
      <c r="F831" s="7" t="s">
        <v>725</v>
      </c>
      <c r="G831" s="7" t="s">
        <v>355</v>
      </c>
      <c r="H831" s="7" t="s">
        <v>355</v>
      </c>
      <c r="I831" s="14"/>
      <c r="J831" s="14"/>
      <c r="K831" s="14"/>
      <c r="L831" s="14"/>
      <c r="M831" s="14"/>
    </row>
    <row r="832" ht="18.75" customHeight="1">
      <c r="A832" s="7" t="s">
        <v>2180</v>
      </c>
      <c r="B832" s="7" t="s">
        <v>2181</v>
      </c>
      <c r="C832" s="15"/>
      <c r="D832" s="15"/>
      <c r="E832" s="7" t="s">
        <v>416</v>
      </c>
      <c r="F832" s="7" t="s">
        <v>430</v>
      </c>
      <c r="G832" s="7" t="s">
        <v>2120</v>
      </c>
      <c r="H832" s="7" t="s">
        <v>355</v>
      </c>
      <c r="I832" s="14"/>
      <c r="J832" s="14"/>
      <c r="K832" s="14"/>
      <c r="L832" s="14"/>
      <c r="M832" s="14"/>
    </row>
    <row r="833" ht="18.75" customHeight="1">
      <c r="A833" s="7" t="s">
        <v>1982</v>
      </c>
      <c r="B833" s="7" t="s">
        <v>1983</v>
      </c>
      <c r="C833" s="8">
        <v>46216.0</v>
      </c>
      <c r="D833" s="8">
        <v>46216.0</v>
      </c>
      <c r="E833" s="7" t="s">
        <v>416</v>
      </c>
      <c r="F833" s="7" t="s">
        <v>430</v>
      </c>
      <c r="G833" s="7" t="s">
        <v>355</v>
      </c>
      <c r="H833" s="7" t="s">
        <v>355</v>
      </c>
      <c r="I833" s="14"/>
      <c r="J833" s="14"/>
      <c r="K833" s="14"/>
      <c r="L833" s="14"/>
      <c r="M833" s="14"/>
    </row>
    <row r="834" ht="18.75" customHeight="1">
      <c r="A834" s="7" t="s">
        <v>1984</v>
      </c>
      <c r="B834" s="7" t="s">
        <v>1985</v>
      </c>
      <c r="C834" s="8">
        <v>46220.0</v>
      </c>
      <c r="D834" s="8">
        <v>46230.0</v>
      </c>
      <c r="E834" s="7" t="s">
        <v>416</v>
      </c>
      <c r="F834" s="7" t="s">
        <v>417</v>
      </c>
      <c r="G834" s="7" t="s">
        <v>410</v>
      </c>
      <c r="H834" s="7" t="s">
        <v>410</v>
      </c>
      <c r="I834" s="14"/>
      <c r="J834" s="14"/>
      <c r="K834" s="14"/>
      <c r="L834" s="14"/>
      <c r="M834" s="14"/>
    </row>
    <row r="835" ht="18.75" customHeight="1">
      <c r="A835" s="7" t="s">
        <v>1986</v>
      </c>
      <c r="B835" s="7" t="s">
        <v>1987</v>
      </c>
      <c r="C835" s="8">
        <v>46206.0</v>
      </c>
      <c r="D835" s="8">
        <v>46211.0</v>
      </c>
      <c r="E835" s="7" t="s">
        <v>404</v>
      </c>
      <c r="F835" s="7" t="s">
        <v>783</v>
      </c>
      <c r="G835" s="7" t="s">
        <v>355</v>
      </c>
      <c r="H835" s="7" t="s">
        <v>355</v>
      </c>
      <c r="I835" s="14"/>
      <c r="J835" s="14"/>
      <c r="K835" s="14"/>
      <c r="L835" s="14"/>
      <c r="M835" s="14"/>
    </row>
    <row r="836" ht="18.75" customHeight="1">
      <c r="A836" s="7" t="s">
        <v>1988</v>
      </c>
      <c r="B836" s="7" t="s">
        <v>1989</v>
      </c>
      <c r="C836" s="8">
        <v>46204.0</v>
      </c>
      <c r="D836" s="8">
        <v>46205.0</v>
      </c>
      <c r="E836" s="7" t="s">
        <v>364</v>
      </c>
      <c r="F836" s="7" t="s">
        <v>365</v>
      </c>
      <c r="G836" s="7" t="s">
        <v>355</v>
      </c>
      <c r="H836" s="7" t="s">
        <v>355</v>
      </c>
      <c r="I836" s="14"/>
      <c r="J836" s="14"/>
      <c r="K836" s="14"/>
      <c r="L836" s="14"/>
      <c r="M836" s="14"/>
    </row>
    <row r="837" ht="18.75" customHeight="1">
      <c r="A837" s="7" t="s">
        <v>1990</v>
      </c>
      <c r="B837" s="7" t="s">
        <v>1991</v>
      </c>
      <c r="C837" s="8">
        <v>46218.0</v>
      </c>
      <c r="D837" s="8">
        <v>46218.0</v>
      </c>
      <c r="E837" s="7" t="s">
        <v>416</v>
      </c>
      <c r="F837" s="7" t="s">
        <v>430</v>
      </c>
      <c r="G837" s="7" t="s">
        <v>355</v>
      </c>
      <c r="H837" s="7" t="s">
        <v>2120</v>
      </c>
      <c r="I837" s="14"/>
      <c r="J837" s="14"/>
      <c r="K837" s="14"/>
      <c r="L837" s="14"/>
      <c r="M837" s="14"/>
    </row>
    <row r="838" ht="18.75" customHeight="1">
      <c r="A838" s="7" t="s">
        <v>1992</v>
      </c>
      <c r="B838" s="7" t="s">
        <v>1993</v>
      </c>
      <c r="C838" s="8">
        <v>46206.0</v>
      </c>
      <c r="D838" s="8">
        <v>46216.0</v>
      </c>
      <c r="E838" s="7" t="s">
        <v>416</v>
      </c>
      <c r="F838" s="7" t="s">
        <v>413</v>
      </c>
      <c r="G838" s="7" t="s">
        <v>355</v>
      </c>
      <c r="H838" s="7" t="s">
        <v>355</v>
      </c>
      <c r="I838" s="14"/>
      <c r="J838" s="14"/>
      <c r="K838" s="14"/>
      <c r="L838" s="14"/>
      <c r="M838" s="14"/>
    </row>
    <row r="839" ht="18.75" customHeight="1">
      <c r="A839" s="7" t="s">
        <v>1994</v>
      </c>
      <c r="B839" s="7" t="s">
        <v>1995</v>
      </c>
      <c r="C839" s="8">
        <v>46206.0</v>
      </c>
      <c r="D839" s="8">
        <v>46216.0</v>
      </c>
      <c r="E839" s="7" t="s">
        <v>416</v>
      </c>
      <c r="F839" s="7" t="s">
        <v>466</v>
      </c>
      <c r="G839" s="7" t="s">
        <v>355</v>
      </c>
      <c r="H839" s="7" t="s">
        <v>355</v>
      </c>
      <c r="I839" s="14"/>
      <c r="J839" s="14"/>
      <c r="K839" s="14"/>
      <c r="L839" s="14"/>
      <c r="M839" s="14"/>
    </row>
    <row r="840" ht="18.75" customHeight="1">
      <c r="A840" s="7" t="s">
        <v>1996</v>
      </c>
      <c r="B840" s="7" t="s">
        <v>1997</v>
      </c>
      <c r="C840" s="8">
        <v>46206.0</v>
      </c>
      <c r="D840" s="8">
        <v>46216.0</v>
      </c>
      <c r="E840" s="7" t="s">
        <v>416</v>
      </c>
      <c r="F840" s="7" t="s">
        <v>359</v>
      </c>
      <c r="G840" s="7" t="s">
        <v>355</v>
      </c>
      <c r="H840" s="7" t="s">
        <v>355</v>
      </c>
      <c r="I840" s="14"/>
      <c r="J840" s="14"/>
      <c r="K840" s="14"/>
      <c r="L840" s="14"/>
      <c r="M840" s="14"/>
    </row>
    <row r="841" ht="18.75" customHeight="1">
      <c r="A841" s="7" t="s">
        <v>1998</v>
      </c>
      <c r="B841" s="7" t="s">
        <v>1999</v>
      </c>
      <c r="C841" s="8">
        <v>46206.0</v>
      </c>
      <c r="D841" s="8">
        <v>46216.0</v>
      </c>
      <c r="E841" s="7" t="s">
        <v>416</v>
      </c>
      <c r="F841" s="7" t="s">
        <v>354</v>
      </c>
      <c r="G841" s="7" t="s">
        <v>355</v>
      </c>
      <c r="H841" s="7" t="s">
        <v>355</v>
      </c>
      <c r="I841" s="14"/>
      <c r="J841" s="14"/>
      <c r="K841" s="14"/>
      <c r="L841" s="14"/>
      <c r="M841" s="14"/>
    </row>
    <row r="842" ht="18.75" customHeight="1">
      <c r="A842" s="7" t="s">
        <v>2000</v>
      </c>
      <c r="B842" s="7" t="s">
        <v>2001</v>
      </c>
      <c r="C842" s="8">
        <v>46220.0</v>
      </c>
      <c r="D842" s="8">
        <v>46234.0</v>
      </c>
      <c r="E842" s="7" t="s">
        <v>353</v>
      </c>
      <c r="F842" s="7" t="s">
        <v>378</v>
      </c>
      <c r="G842" s="7" t="s">
        <v>410</v>
      </c>
      <c r="H842" s="7" t="s">
        <v>410</v>
      </c>
      <c r="I842" s="14"/>
      <c r="J842" s="14"/>
      <c r="K842" s="14"/>
      <c r="L842" s="14"/>
      <c r="M842" s="14"/>
    </row>
    <row r="843" ht="18.75" customHeight="1">
      <c r="A843" s="7" t="s">
        <v>2002</v>
      </c>
      <c r="B843" s="7" t="s">
        <v>2003</v>
      </c>
      <c r="C843" s="8">
        <v>46217.0</v>
      </c>
      <c r="D843" s="8">
        <v>46231.0</v>
      </c>
      <c r="E843" s="7" t="s">
        <v>353</v>
      </c>
      <c r="F843" s="7" t="s">
        <v>378</v>
      </c>
      <c r="G843" s="7" t="s">
        <v>410</v>
      </c>
      <c r="H843" s="7" t="s">
        <v>410</v>
      </c>
      <c r="I843" s="14"/>
      <c r="J843" s="14"/>
      <c r="K843" s="14"/>
      <c r="L843" s="14"/>
      <c r="M843" s="14"/>
    </row>
    <row r="844" ht="18.75" customHeight="1">
      <c r="A844" s="7" t="s">
        <v>2004</v>
      </c>
      <c r="B844" s="7" t="s">
        <v>2005</v>
      </c>
      <c r="C844" s="8">
        <v>46206.0</v>
      </c>
      <c r="D844" s="8">
        <v>46227.0</v>
      </c>
      <c r="E844" s="7" t="s">
        <v>358</v>
      </c>
      <c r="F844" s="7" t="s">
        <v>466</v>
      </c>
      <c r="G844" s="7" t="s">
        <v>410</v>
      </c>
      <c r="H844" s="7" t="s">
        <v>410</v>
      </c>
      <c r="I844" s="14"/>
      <c r="J844" s="14"/>
      <c r="K844" s="14"/>
      <c r="L844" s="14"/>
      <c r="M844" s="14"/>
    </row>
    <row r="845" ht="18.75" customHeight="1">
      <c r="A845" s="7" t="s">
        <v>2006</v>
      </c>
      <c r="B845" s="7" t="s">
        <v>2007</v>
      </c>
      <c r="C845" s="8">
        <v>46211.0</v>
      </c>
      <c r="D845" s="8">
        <v>46223.0</v>
      </c>
      <c r="E845" s="7" t="s">
        <v>404</v>
      </c>
      <c r="F845" s="7" t="s">
        <v>760</v>
      </c>
      <c r="G845" s="7" t="s">
        <v>355</v>
      </c>
      <c r="H845" s="7" t="s">
        <v>410</v>
      </c>
      <c r="I845" s="14"/>
      <c r="J845" s="14"/>
      <c r="K845" s="14"/>
      <c r="L845" s="14"/>
      <c r="M845" s="14"/>
    </row>
    <row r="846" ht="18.75" customHeight="1">
      <c r="A846" s="7" t="s">
        <v>2182</v>
      </c>
      <c r="B846" s="7" t="s">
        <v>2183</v>
      </c>
      <c r="C846" s="15"/>
      <c r="D846" s="15"/>
      <c r="E846" s="7" t="s">
        <v>353</v>
      </c>
      <c r="F846" s="7" t="s">
        <v>725</v>
      </c>
      <c r="G846" s="7" t="s">
        <v>2120</v>
      </c>
      <c r="H846" s="7" t="s">
        <v>355</v>
      </c>
      <c r="I846" s="14"/>
      <c r="J846" s="14"/>
      <c r="K846" s="14"/>
      <c r="L846" s="14"/>
      <c r="M846" s="14"/>
    </row>
    <row r="847" ht="18.75" customHeight="1">
      <c r="A847" s="7" t="s">
        <v>2008</v>
      </c>
      <c r="B847" s="7" t="s">
        <v>2009</v>
      </c>
      <c r="C847" s="8">
        <v>46217.0</v>
      </c>
      <c r="D847" s="8">
        <v>46234.0</v>
      </c>
      <c r="E847" s="7" t="s">
        <v>358</v>
      </c>
      <c r="F847" s="7" t="s">
        <v>466</v>
      </c>
      <c r="G847" s="7" t="s">
        <v>410</v>
      </c>
      <c r="H847" s="7" t="s">
        <v>410</v>
      </c>
      <c r="I847" s="14"/>
      <c r="J847" s="14"/>
      <c r="K847" s="14"/>
      <c r="L847" s="14"/>
      <c r="M847" s="14"/>
    </row>
    <row r="848" ht="18.75" customHeight="1">
      <c r="A848" s="7" t="s">
        <v>2010</v>
      </c>
      <c r="B848" s="7" t="s">
        <v>2011</v>
      </c>
      <c r="C848" s="8">
        <v>46210.0</v>
      </c>
      <c r="D848" s="8">
        <v>46212.0</v>
      </c>
      <c r="E848" s="7" t="s">
        <v>404</v>
      </c>
      <c r="F848" s="7" t="s">
        <v>667</v>
      </c>
      <c r="G848" s="7" t="s">
        <v>355</v>
      </c>
      <c r="H848" s="7" t="s">
        <v>355</v>
      </c>
      <c r="I848" s="14"/>
      <c r="J848" s="14"/>
      <c r="K848" s="14"/>
      <c r="L848" s="14"/>
      <c r="M848" s="14"/>
    </row>
    <row r="849" ht="18.75" customHeight="1">
      <c r="A849" s="7" t="s">
        <v>2012</v>
      </c>
      <c r="B849" s="7" t="s">
        <v>2013</v>
      </c>
      <c r="C849" s="8">
        <v>46211.0</v>
      </c>
      <c r="D849" s="8">
        <v>46219.0</v>
      </c>
      <c r="E849" s="7" t="s">
        <v>404</v>
      </c>
      <c r="F849" s="7" t="s">
        <v>405</v>
      </c>
      <c r="G849" s="7" t="s">
        <v>355</v>
      </c>
      <c r="H849" s="7" t="s">
        <v>355</v>
      </c>
      <c r="I849" s="14"/>
      <c r="J849" s="14"/>
      <c r="K849" s="14"/>
      <c r="L849" s="14"/>
      <c r="M849" s="14"/>
    </row>
    <row r="850" ht="18.75" customHeight="1">
      <c r="A850" s="7" t="s">
        <v>2014</v>
      </c>
      <c r="B850" s="7" t="s">
        <v>2015</v>
      </c>
      <c r="C850" s="8">
        <v>46219.0</v>
      </c>
      <c r="D850" s="8">
        <v>46229.0</v>
      </c>
      <c r="E850" s="7" t="s">
        <v>416</v>
      </c>
      <c r="F850" s="7" t="s">
        <v>417</v>
      </c>
      <c r="G850" s="7" t="s">
        <v>410</v>
      </c>
      <c r="H850" s="7" t="s">
        <v>410</v>
      </c>
      <c r="I850" s="14"/>
      <c r="J850" s="14"/>
      <c r="K850" s="14"/>
      <c r="L850" s="14"/>
      <c r="M850" s="14"/>
    </row>
    <row r="851" ht="18.75" customHeight="1">
      <c r="A851" s="7" t="s">
        <v>2016</v>
      </c>
      <c r="B851" s="7" t="s">
        <v>2017</v>
      </c>
      <c r="C851" s="8">
        <v>46219.0</v>
      </c>
      <c r="D851" s="8">
        <v>46229.0</v>
      </c>
      <c r="E851" s="7" t="s">
        <v>416</v>
      </c>
      <c r="F851" s="7" t="s">
        <v>417</v>
      </c>
      <c r="G851" s="7" t="s">
        <v>410</v>
      </c>
      <c r="H851" s="7" t="s">
        <v>410</v>
      </c>
      <c r="I851" s="14"/>
      <c r="J851" s="14"/>
      <c r="K851" s="14"/>
      <c r="L851" s="14"/>
      <c r="M851" s="14"/>
    </row>
    <row r="852" ht="18.75" customHeight="1">
      <c r="A852" s="7" t="s">
        <v>2184</v>
      </c>
      <c r="B852" s="7" t="s">
        <v>2185</v>
      </c>
      <c r="C852" s="15"/>
      <c r="D852" s="15"/>
      <c r="E852" s="7" t="s">
        <v>416</v>
      </c>
      <c r="F852" s="7" t="s">
        <v>430</v>
      </c>
      <c r="G852" s="7" t="s">
        <v>2120</v>
      </c>
      <c r="H852" s="7" t="s">
        <v>2120</v>
      </c>
      <c r="I852" s="14"/>
      <c r="J852" s="14"/>
      <c r="K852" s="14"/>
      <c r="L852" s="14"/>
      <c r="M852" s="14"/>
    </row>
    <row r="853" ht="18.75" customHeight="1">
      <c r="A853" s="7" t="s">
        <v>2018</v>
      </c>
      <c r="B853" s="7" t="s">
        <v>2019</v>
      </c>
      <c r="C853" s="8">
        <v>46211.0</v>
      </c>
      <c r="D853" s="8">
        <v>46212.0</v>
      </c>
      <c r="E853" s="7" t="s">
        <v>364</v>
      </c>
      <c r="F853" s="7" t="s">
        <v>365</v>
      </c>
      <c r="G853" s="7" t="s">
        <v>355</v>
      </c>
      <c r="H853" s="7" t="s">
        <v>355</v>
      </c>
      <c r="I853" s="14"/>
      <c r="J853" s="14"/>
      <c r="K853" s="14"/>
      <c r="L853" s="14"/>
      <c r="M853" s="14"/>
    </row>
    <row r="854" ht="18.75" customHeight="1">
      <c r="A854" s="7" t="s">
        <v>2020</v>
      </c>
      <c r="B854" s="7" t="s">
        <v>2021</v>
      </c>
      <c r="C854" s="8">
        <v>46217.0</v>
      </c>
      <c r="D854" s="8">
        <v>46220.0</v>
      </c>
      <c r="E854" s="7" t="s">
        <v>416</v>
      </c>
      <c r="F854" s="7" t="s">
        <v>466</v>
      </c>
      <c r="G854" s="7" t="s">
        <v>355</v>
      </c>
      <c r="H854" s="7" t="s">
        <v>355</v>
      </c>
      <c r="I854" s="14"/>
      <c r="J854" s="14"/>
      <c r="K854" s="14"/>
      <c r="L854" s="14"/>
      <c r="M854" s="14"/>
    </row>
    <row r="855" ht="18.75" customHeight="1">
      <c r="A855" s="7" t="s">
        <v>2022</v>
      </c>
      <c r="B855" s="7" t="s">
        <v>2023</v>
      </c>
      <c r="C855" s="8">
        <v>46217.0</v>
      </c>
      <c r="D855" s="8">
        <v>46224.0</v>
      </c>
      <c r="E855" s="7" t="s">
        <v>416</v>
      </c>
      <c r="F855" s="7" t="s">
        <v>466</v>
      </c>
      <c r="G855" s="7" t="s">
        <v>355</v>
      </c>
      <c r="H855" s="7" t="s">
        <v>355</v>
      </c>
      <c r="I855" s="14"/>
      <c r="J855" s="14"/>
      <c r="K855" s="14"/>
      <c r="L855" s="14"/>
      <c r="M855" s="14"/>
    </row>
    <row r="856" ht="18.75" customHeight="1">
      <c r="A856" s="7" t="s">
        <v>2024</v>
      </c>
      <c r="B856" s="7" t="s">
        <v>2025</v>
      </c>
      <c r="C856" s="8">
        <v>46217.0</v>
      </c>
      <c r="D856" s="8">
        <v>46220.0</v>
      </c>
      <c r="E856" s="7" t="s">
        <v>416</v>
      </c>
      <c r="F856" s="7" t="s">
        <v>466</v>
      </c>
      <c r="G856" s="7" t="s">
        <v>355</v>
      </c>
      <c r="H856" s="7" t="s">
        <v>355</v>
      </c>
      <c r="I856" s="14"/>
      <c r="J856" s="14"/>
      <c r="K856" s="14"/>
      <c r="L856" s="14"/>
      <c r="M856" s="14"/>
    </row>
    <row r="857" ht="18.75" customHeight="1">
      <c r="A857" s="7" t="s">
        <v>2026</v>
      </c>
      <c r="B857" s="7" t="s">
        <v>2027</v>
      </c>
      <c r="C857" s="8">
        <v>46217.0</v>
      </c>
      <c r="D857" s="8">
        <v>46220.0</v>
      </c>
      <c r="E857" s="7" t="s">
        <v>416</v>
      </c>
      <c r="F857" s="7" t="s">
        <v>466</v>
      </c>
      <c r="G857" s="7" t="s">
        <v>355</v>
      </c>
      <c r="H857" s="7" t="s">
        <v>355</v>
      </c>
      <c r="I857" s="14"/>
      <c r="J857" s="14"/>
      <c r="K857" s="14"/>
      <c r="L857" s="14"/>
      <c r="M857" s="14"/>
    </row>
    <row r="858" ht="18.75" customHeight="1">
      <c r="A858" s="7" t="s">
        <v>2028</v>
      </c>
      <c r="B858" s="7" t="s">
        <v>2029</v>
      </c>
      <c r="C858" s="8">
        <v>46212.0</v>
      </c>
      <c r="D858" s="8">
        <v>46219.0</v>
      </c>
      <c r="E858" s="7" t="s">
        <v>416</v>
      </c>
      <c r="F858" s="7" t="s">
        <v>783</v>
      </c>
      <c r="G858" s="7" t="s">
        <v>355</v>
      </c>
      <c r="H858" s="7" t="s">
        <v>410</v>
      </c>
      <c r="I858" s="14"/>
      <c r="J858" s="14"/>
      <c r="K858" s="14"/>
      <c r="L858" s="14"/>
      <c r="M858" s="14"/>
    </row>
    <row r="859" ht="18.75" customHeight="1">
      <c r="A859" s="7" t="s">
        <v>2030</v>
      </c>
      <c r="B859" s="7" t="s">
        <v>2031</v>
      </c>
      <c r="C859" s="8">
        <v>46212.0</v>
      </c>
      <c r="D859" s="8">
        <v>46212.0</v>
      </c>
      <c r="E859" s="7" t="s">
        <v>358</v>
      </c>
      <c r="F859" s="7" t="s">
        <v>387</v>
      </c>
      <c r="G859" s="7" t="s">
        <v>355</v>
      </c>
      <c r="H859" s="7" t="s">
        <v>410</v>
      </c>
      <c r="I859" s="14"/>
      <c r="J859" s="14"/>
      <c r="K859" s="14"/>
      <c r="L859" s="14"/>
      <c r="M859" s="14"/>
    </row>
    <row r="860" ht="18.75" customHeight="1">
      <c r="A860" s="7" t="s">
        <v>2032</v>
      </c>
      <c r="B860" s="7" t="s">
        <v>2033</v>
      </c>
      <c r="C860" s="8">
        <v>46212.0</v>
      </c>
      <c r="D860" s="8">
        <v>46212.0</v>
      </c>
      <c r="E860" s="7" t="s">
        <v>358</v>
      </c>
      <c r="F860" s="7" t="s">
        <v>387</v>
      </c>
      <c r="G860" s="7" t="s">
        <v>355</v>
      </c>
      <c r="H860" s="7" t="s">
        <v>410</v>
      </c>
      <c r="I860" s="14"/>
      <c r="J860" s="14"/>
      <c r="K860" s="14"/>
      <c r="L860" s="14"/>
      <c r="M860" s="14"/>
    </row>
    <row r="861" ht="18.75" customHeight="1">
      <c r="A861" s="7" t="s">
        <v>2034</v>
      </c>
      <c r="B861" s="7" t="s">
        <v>2035</v>
      </c>
      <c r="C861" s="8">
        <v>46212.0</v>
      </c>
      <c r="D861" s="8">
        <v>46212.0</v>
      </c>
      <c r="E861" s="7" t="s">
        <v>358</v>
      </c>
      <c r="F861" s="7" t="s">
        <v>387</v>
      </c>
      <c r="G861" s="7" t="s">
        <v>355</v>
      </c>
      <c r="H861" s="7" t="s">
        <v>410</v>
      </c>
      <c r="I861" s="14"/>
      <c r="J861" s="14"/>
      <c r="K861" s="14"/>
      <c r="L861" s="14"/>
      <c r="M861" s="14"/>
    </row>
    <row r="862" ht="18.75" customHeight="1">
      <c r="A862" s="7" t="s">
        <v>2036</v>
      </c>
      <c r="B862" s="7" t="s">
        <v>2037</v>
      </c>
      <c r="C862" s="8">
        <v>46212.0</v>
      </c>
      <c r="D862" s="8">
        <v>46212.0</v>
      </c>
      <c r="E862" s="7" t="s">
        <v>358</v>
      </c>
      <c r="F862" s="7" t="s">
        <v>387</v>
      </c>
      <c r="G862" s="7" t="s">
        <v>355</v>
      </c>
      <c r="H862" s="7" t="s">
        <v>410</v>
      </c>
      <c r="I862" s="14"/>
      <c r="J862" s="14"/>
      <c r="K862" s="14"/>
      <c r="L862" s="14"/>
      <c r="M862" s="14"/>
    </row>
    <row r="863" ht="18.75" customHeight="1">
      <c r="A863" s="7" t="s">
        <v>2038</v>
      </c>
      <c r="B863" s="7" t="s">
        <v>2039</v>
      </c>
      <c r="C863" s="8">
        <v>46217.0</v>
      </c>
      <c r="D863" s="8">
        <v>46217.0</v>
      </c>
      <c r="E863" s="7" t="s">
        <v>358</v>
      </c>
      <c r="F863" s="7" t="s">
        <v>387</v>
      </c>
      <c r="G863" s="7" t="s">
        <v>355</v>
      </c>
      <c r="H863" s="7" t="s">
        <v>410</v>
      </c>
      <c r="I863" s="14"/>
      <c r="J863" s="14"/>
      <c r="K863" s="14"/>
      <c r="L863" s="14"/>
      <c r="M863" s="14"/>
    </row>
    <row r="864" ht="18.75" customHeight="1">
      <c r="A864" s="7" t="s">
        <v>2040</v>
      </c>
      <c r="B864" s="7" t="s">
        <v>2041</v>
      </c>
      <c r="C864" s="8">
        <v>46217.0</v>
      </c>
      <c r="D864" s="8">
        <v>46217.0</v>
      </c>
      <c r="E864" s="7" t="s">
        <v>358</v>
      </c>
      <c r="F864" s="7" t="s">
        <v>387</v>
      </c>
      <c r="G864" s="7" t="s">
        <v>355</v>
      </c>
      <c r="H864" s="7" t="s">
        <v>410</v>
      </c>
      <c r="I864" s="14"/>
      <c r="J864" s="14"/>
      <c r="K864" s="14"/>
      <c r="L864" s="14"/>
      <c r="M864" s="14"/>
    </row>
    <row r="865" ht="18.75" customHeight="1">
      <c r="A865" s="7" t="s">
        <v>2042</v>
      </c>
      <c r="B865" s="7" t="s">
        <v>2043</v>
      </c>
      <c r="C865" s="8">
        <v>46211.0</v>
      </c>
      <c r="D865" s="8">
        <v>46217.0</v>
      </c>
      <c r="E865" s="7" t="s">
        <v>416</v>
      </c>
      <c r="F865" s="7" t="s">
        <v>378</v>
      </c>
      <c r="G865" s="7" t="s">
        <v>355</v>
      </c>
      <c r="H865" s="7" t="s">
        <v>355</v>
      </c>
      <c r="I865" s="14"/>
      <c r="J865" s="14"/>
      <c r="K865" s="14"/>
      <c r="L865" s="14"/>
      <c r="M865" s="14"/>
    </row>
    <row r="866" ht="18.75" customHeight="1">
      <c r="A866" s="7" t="s">
        <v>2044</v>
      </c>
      <c r="B866" s="7" t="s">
        <v>2045</v>
      </c>
      <c r="C866" s="8">
        <v>46212.0</v>
      </c>
      <c r="D866" s="8">
        <v>46212.0</v>
      </c>
      <c r="E866" s="7" t="s">
        <v>358</v>
      </c>
      <c r="F866" s="7" t="s">
        <v>387</v>
      </c>
      <c r="G866" s="7" t="s">
        <v>355</v>
      </c>
      <c r="H866" s="7" t="s">
        <v>410</v>
      </c>
      <c r="I866" s="14"/>
      <c r="J866" s="14"/>
      <c r="K866" s="14"/>
      <c r="L866" s="14"/>
      <c r="M866" s="14"/>
    </row>
    <row r="867" ht="18.75" customHeight="1">
      <c r="A867" s="7" t="s">
        <v>2046</v>
      </c>
      <c r="B867" s="7" t="s">
        <v>2047</v>
      </c>
      <c r="C867" s="8">
        <v>46217.0</v>
      </c>
      <c r="D867" s="8">
        <v>46217.0</v>
      </c>
      <c r="E867" s="7" t="s">
        <v>404</v>
      </c>
      <c r="F867" s="7" t="s">
        <v>474</v>
      </c>
      <c r="G867" s="7" t="s">
        <v>355</v>
      </c>
      <c r="H867" s="7" t="s">
        <v>355</v>
      </c>
      <c r="I867" s="14"/>
      <c r="J867" s="14"/>
      <c r="K867" s="14"/>
      <c r="L867" s="14"/>
      <c r="M867" s="14"/>
    </row>
    <row r="868" ht="18.75" customHeight="1">
      <c r="A868" s="7" t="s">
        <v>2048</v>
      </c>
      <c r="B868" s="7" t="s">
        <v>2049</v>
      </c>
      <c r="C868" s="8">
        <v>46211.0</v>
      </c>
      <c r="D868" s="8">
        <v>46217.0</v>
      </c>
      <c r="E868" s="7" t="s">
        <v>416</v>
      </c>
      <c r="F868" s="7" t="s">
        <v>365</v>
      </c>
      <c r="G868" s="7" t="s">
        <v>355</v>
      </c>
      <c r="H868" s="7" t="s">
        <v>355</v>
      </c>
      <c r="I868" s="14"/>
      <c r="J868" s="14"/>
      <c r="K868" s="14"/>
      <c r="L868" s="14"/>
      <c r="M868" s="14"/>
    </row>
    <row r="869" ht="18.75" customHeight="1">
      <c r="A869" s="7" t="s">
        <v>2050</v>
      </c>
      <c r="B869" s="7" t="s">
        <v>2051</v>
      </c>
      <c r="C869" s="8">
        <v>46225.0</v>
      </c>
      <c r="D869" s="8">
        <v>46225.0</v>
      </c>
      <c r="E869" s="7" t="s">
        <v>353</v>
      </c>
      <c r="F869" s="7" t="s">
        <v>378</v>
      </c>
      <c r="G869" s="7" t="s">
        <v>410</v>
      </c>
      <c r="H869" s="7" t="s">
        <v>410</v>
      </c>
      <c r="I869" s="14"/>
      <c r="J869" s="14"/>
      <c r="K869" s="14"/>
      <c r="L869" s="14"/>
      <c r="M869" s="14"/>
    </row>
    <row r="870" ht="18.75" customHeight="1">
      <c r="A870" s="7" t="s">
        <v>2052</v>
      </c>
      <c r="B870" s="7" t="s">
        <v>2053</v>
      </c>
      <c r="C870" s="8">
        <v>46220.0</v>
      </c>
      <c r="D870" s="8">
        <v>46220.0</v>
      </c>
      <c r="E870" s="7" t="s">
        <v>416</v>
      </c>
      <c r="F870" s="7" t="s">
        <v>430</v>
      </c>
      <c r="G870" s="7" t="s">
        <v>355</v>
      </c>
      <c r="H870" s="7" t="s">
        <v>2120</v>
      </c>
      <c r="I870" s="14"/>
      <c r="J870" s="14"/>
      <c r="K870" s="14"/>
      <c r="L870" s="14"/>
      <c r="M870" s="14"/>
    </row>
    <row r="871" ht="18.75" customHeight="1">
      <c r="A871" s="7" t="s">
        <v>2054</v>
      </c>
      <c r="B871" s="7" t="s">
        <v>2055</v>
      </c>
      <c r="C871" s="8">
        <v>46211.0</v>
      </c>
      <c r="D871" s="8">
        <v>46214.0</v>
      </c>
      <c r="E871" s="7" t="s">
        <v>364</v>
      </c>
      <c r="F871" s="7" t="s">
        <v>365</v>
      </c>
      <c r="G871" s="7" t="s">
        <v>355</v>
      </c>
      <c r="H871" s="7" t="s">
        <v>355</v>
      </c>
      <c r="I871" s="14"/>
      <c r="J871" s="14"/>
      <c r="K871" s="14"/>
      <c r="L871" s="14"/>
      <c r="M871" s="14"/>
    </row>
    <row r="872" ht="18.75" customHeight="1">
      <c r="A872" s="7" t="s">
        <v>2056</v>
      </c>
      <c r="B872" s="7" t="s">
        <v>2057</v>
      </c>
      <c r="C872" s="8">
        <v>46219.0</v>
      </c>
      <c r="D872" s="8">
        <v>46225.0</v>
      </c>
      <c r="E872" s="7" t="s">
        <v>404</v>
      </c>
      <c r="F872" s="7" t="s">
        <v>405</v>
      </c>
      <c r="G872" s="7" t="s">
        <v>410</v>
      </c>
      <c r="H872" s="7" t="s">
        <v>410</v>
      </c>
      <c r="I872" s="14"/>
      <c r="J872" s="14"/>
      <c r="K872" s="14"/>
      <c r="L872" s="14"/>
      <c r="M872" s="14"/>
    </row>
    <row r="873" ht="18.75" customHeight="1">
      <c r="A873" s="7" t="s">
        <v>2058</v>
      </c>
      <c r="B873" s="7" t="s">
        <v>2059</v>
      </c>
      <c r="C873" s="8">
        <v>46224.0</v>
      </c>
      <c r="D873" s="8">
        <v>46224.0</v>
      </c>
      <c r="E873" s="7" t="s">
        <v>364</v>
      </c>
      <c r="F873" s="7" t="s">
        <v>365</v>
      </c>
      <c r="G873" s="7" t="s">
        <v>355</v>
      </c>
      <c r="H873" s="7" t="s">
        <v>410</v>
      </c>
      <c r="I873" s="14"/>
      <c r="J873" s="14"/>
      <c r="K873" s="14"/>
      <c r="L873" s="14"/>
      <c r="M873" s="14"/>
    </row>
    <row r="874" ht="18.75" customHeight="1">
      <c r="A874" s="7" t="s">
        <v>2060</v>
      </c>
      <c r="B874" s="7" t="s">
        <v>2061</v>
      </c>
      <c r="C874" s="8">
        <v>46217.0</v>
      </c>
      <c r="D874" s="8">
        <v>46232.0</v>
      </c>
      <c r="E874" s="7" t="s">
        <v>364</v>
      </c>
      <c r="F874" s="7" t="s">
        <v>365</v>
      </c>
      <c r="G874" s="7" t="s">
        <v>410</v>
      </c>
      <c r="H874" s="7" t="s">
        <v>410</v>
      </c>
      <c r="I874" s="14"/>
      <c r="J874" s="14"/>
      <c r="K874" s="14"/>
      <c r="L874" s="14"/>
      <c r="M874" s="14"/>
    </row>
    <row r="875" ht="18.75" customHeight="1">
      <c r="A875" s="7" t="s">
        <v>2186</v>
      </c>
      <c r="B875" s="7" t="s">
        <v>2187</v>
      </c>
      <c r="C875" s="15"/>
      <c r="D875" s="15"/>
      <c r="E875" s="7" t="s">
        <v>364</v>
      </c>
      <c r="F875" s="7" t="s">
        <v>365</v>
      </c>
      <c r="G875" s="7" t="s">
        <v>2120</v>
      </c>
      <c r="H875" s="7" t="s">
        <v>2120</v>
      </c>
      <c r="I875" s="14"/>
      <c r="J875" s="14"/>
      <c r="K875" s="14"/>
      <c r="L875" s="14"/>
      <c r="M875" s="14"/>
    </row>
    <row r="876" ht="18.75" customHeight="1">
      <c r="A876" s="7" t="s">
        <v>2062</v>
      </c>
      <c r="B876" s="7" t="s">
        <v>2063</v>
      </c>
      <c r="C876" s="8">
        <v>46217.0</v>
      </c>
      <c r="D876" s="8">
        <v>46387.0</v>
      </c>
      <c r="E876" s="7" t="s">
        <v>364</v>
      </c>
      <c r="F876" s="7" t="s">
        <v>365</v>
      </c>
      <c r="G876" s="7" t="s">
        <v>410</v>
      </c>
      <c r="H876" s="7" t="s">
        <v>410</v>
      </c>
      <c r="I876" s="14"/>
      <c r="J876" s="14"/>
      <c r="K876" s="14"/>
      <c r="L876" s="14"/>
      <c r="M876" s="14"/>
    </row>
    <row r="877" ht="18.75" customHeight="1">
      <c r="A877" s="7" t="s">
        <v>2188</v>
      </c>
      <c r="B877" s="7" t="s">
        <v>2189</v>
      </c>
      <c r="C877" s="15"/>
      <c r="D877" s="15"/>
      <c r="E877" s="7" t="s">
        <v>404</v>
      </c>
      <c r="F877" s="7" t="s">
        <v>417</v>
      </c>
      <c r="G877" s="7" t="s">
        <v>2120</v>
      </c>
      <c r="H877" s="7" t="s">
        <v>2120</v>
      </c>
      <c r="I877" s="14"/>
      <c r="J877" s="14"/>
      <c r="K877" s="14"/>
      <c r="L877" s="14"/>
      <c r="M877" s="14"/>
    </row>
    <row r="878" ht="18.75" customHeight="1">
      <c r="A878" s="7" t="s">
        <v>2190</v>
      </c>
      <c r="B878" s="7" t="s">
        <v>2191</v>
      </c>
      <c r="C878" s="14"/>
      <c r="D878" s="14"/>
      <c r="E878" s="7" t="s">
        <v>404</v>
      </c>
      <c r="F878" s="7" t="s">
        <v>405</v>
      </c>
      <c r="G878" s="7" t="s">
        <v>2120</v>
      </c>
      <c r="H878" s="7" t="s">
        <v>2120</v>
      </c>
      <c r="I878" s="14"/>
      <c r="J878" s="14"/>
      <c r="K878" s="14"/>
      <c r="L878" s="14"/>
      <c r="M878" s="14"/>
    </row>
    <row r="879" ht="18.75" customHeight="1">
      <c r="A879" s="7" t="s">
        <v>2064</v>
      </c>
      <c r="B879" s="7" t="s">
        <v>2065</v>
      </c>
      <c r="C879" s="8">
        <v>46218.0</v>
      </c>
      <c r="D879" s="8">
        <v>46224.0</v>
      </c>
      <c r="E879" s="7" t="s">
        <v>416</v>
      </c>
      <c r="F879" s="7" t="s">
        <v>725</v>
      </c>
      <c r="G879" s="7" t="s">
        <v>355</v>
      </c>
      <c r="H879" s="7" t="s">
        <v>355</v>
      </c>
      <c r="I879" s="14"/>
      <c r="J879" s="14"/>
      <c r="K879" s="14"/>
      <c r="L879" s="14"/>
      <c r="M879" s="14"/>
    </row>
    <row r="880" ht="18.75" customHeight="1">
      <c r="A880" s="7" t="s">
        <v>2066</v>
      </c>
      <c r="B880" s="7" t="s">
        <v>2067</v>
      </c>
      <c r="C880" s="8">
        <v>46220.0</v>
      </c>
      <c r="D880" s="8">
        <v>46220.0</v>
      </c>
      <c r="E880" s="7" t="s">
        <v>358</v>
      </c>
      <c r="F880" s="7" t="s">
        <v>387</v>
      </c>
      <c r="G880" s="7" t="s">
        <v>355</v>
      </c>
      <c r="H880" s="7" t="s">
        <v>355</v>
      </c>
      <c r="I880" s="14"/>
      <c r="J880" s="14"/>
      <c r="K880" s="14"/>
      <c r="L880" s="14"/>
      <c r="M880" s="14"/>
    </row>
    <row r="881" ht="18.75" customHeight="1">
      <c r="A881" s="7" t="s">
        <v>2068</v>
      </c>
      <c r="B881" s="7" t="s">
        <v>2069</v>
      </c>
      <c r="C881" s="8">
        <v>46220.0</v>
      </c>
      <c r="D881" s="8">
        <v>46220.0</v>
      </c>
      <c r="E881" s="7" t="s">
        <v>358</v>
      </c>
      <c r="F881" s="7" t="s">
        <v>387</v>
      </c>
      <c r="G881" s="7" t="s">
        <v>355</v>
      </c>
      <c r="H881" s="7" t="s">
        <v>355</v>
      </c>
      <c r="I881" s="14"/>
      <c r="J881" s="14"/>
      <c r="K881" s="14"/>
      <c r="L881" s="14"/>
      <c r="M881" s="14"/>
    </row>
    <row r="882" ht="18.75" customHeight="1">
      <c r="A882" s="7" t="s">
        <v>2070</v>
      </c>
      <c r="B882" s="7" t="s">
        <v>2071</v>
      </c>
      <c r="C882" s="8">
        <v>46220.0</v>
      </c>
      <c r="D882" s="8">
        <v>46220.0</v>
      </c>
      <c r="E882" s="7" t="s">
        <v>358</v>
      </c>
      <c r="F882" s="7" t="s">
        <v>387</v>
      </c>
      <c r="G882" s="7" t="s">
        <v>355</v>
      </c>
      <c r="H882" s="7" t="s">
        <v>355</v>
      </c>
      <c r="I882" s="14"/>
      <c r="J882" s="14"/>
      <c r="K882" s="14"/>
      <c r="L882" s="14"/>
      <c r="M882" s="14"/>
    </row>
    <row r="883" ht="18.75" customHeight="1">
      <c r="A883" s="7" t="s">
        <v>2072</v>
      </c>
      <c r="B883" s="7" t="s">
        <v>2073</v>
      </c>
      <c r="C883" s="8">
        <v>46219.0</v>
      </c>
      <c r="D883" s="8">
        <v>46227.0</v>
      </c>
      <c r="E883" s="7" t="s">
        <v>416</v>
      </c>
      <c r="F883" s="7" t="s">
        <v>417</v>
      </c>
      <c r="G883" s="7" t="s">
        <v>410</v>
      </c>
      <c r="H883" s="7" t="s">
        <v>410</v>
      </c>
      <c r="I883" s="14"/>
      <c r="J883" s="14"/>
      <c r="K883" s="14"/>
      <c r="L883" s="14"/>
      <c r="M883" s="14"/>
    </row>
    <row r="884" ht="18.75" customHeight="1">
      <c r="A884" s="7" t="s">
        <v>2074</v>
      </c>
      <c r="B884" s="7" t="s">
        <v>2075</v>
      </c>
      <c r="C884" s="8">
        <v>46219.0</v>
      </c>
      <c r="D884" s="8">
        <v>46234.0</v>
      </c>
      <c r="E884" s="7" t="s">
        <v>473</v>
      </c>
      <c r="F884" s="7" t="s">
        <v>466</v>
      </c>
      <c r="G884" s="7" t="s">
        <v>410</v>
      </c>
      <c r="H884" s="7" t="s">
        <v>410</v>
      </c>
      <c r="I884" s="14"/>
      <c r="J884" s="14"/>
      <c r="K884" s="14"/>
      <c r="L884" s="14"/>
      <c r="M884" s="14"/>
    </row>
    <row r="885" ht="18.75" customHeight="1">
      <c r="A885" s="7" t="s">
        <v>2076</v>
      </c>
      <c r="B885" s="7" t="s">
        <v>2077</v>
      </c>
      <c r="C885" s="8">
        <v>46218.0</v>
      </c>
      <c r="D885" s="8">
        <v>46221.0</v>
      </c>
      <c r="E885" s="7" t="s">
        <v>364</v>
      </c>
      <c r="F885" s="7" t="s">
        <v>365</v>
      </c>
      <c r="G885" s="7" t="s">
        <v>355</v>
      </c>
      <c r="H885" s="7" t="s">
        <v>355</v>
      </c>
      <c r="I885" s="14"/>
      <c r="J885" s="14"/>
      <c r="K885" s="14"/>
      <c r="L885" s="14"/>
      <c r="M885" s="14"/>
    </row>
    <row r="886" ht="18.75" customHeight="1">
      <c r="A886" s="7" t="s">
        <v>2078</v>
      </c>
      <c r="B886" s="7" t="s">
        <v>2079</v>
      </c>
      <c r="C886" s="8">
        <v>46218.0</v>
      </c>
      <c r="D886" s="8">
        <v>46231.0</v>
      </c>
      <c r="E886" s="7" t="s">
        <v>416</v>
      </c>
      <c r="F886" s="7" t="s">
        <v>430</v>
      </c>
      <c r="G886" s="7" t="s">
        <v>410</v>
      </c>
      <c r="H886" s="7" t="s">
        <v>410</v>
      </c>
      <c r="I886" s="14"/>
      <c r="J886" s="14"/>
      <c r="K886" s="14"/>
      <c r="L886" s="14"/>
      <c r="M886" s="14"/>
    </row>
    <row r="887" ht="18.75" customHeight="1">
      <c r="A887" s="7" t="s">
        <v>2080</v>
      </c>
      <c r="B887" s="7" t="s">
        <v>2081</v>
      </c>
      <c r="C887" s="8">
        <v>46225.0</v>
      </c>
      <c r="D887" s="8">
        <v>46236.0</v>
      </c>
      <c r="E887" s="7" t="s">
        <v>404</v>
      </c>
      <c r="F887" s="7" t="s">
        <v>667</v>
      </c>
      <c r="G887" s="7" t="s">
        <v>410</v>
      </c>
      <c r="H887" s="7" t="s">
        <v>2120</v>
      </c>
      <c r="I887" s="14"/>
      <c r="J887" s="14"/>
      <c r="K887" s="14"/>
      <c r="L887" s="14"/>
      <c r="M887" s="14"/>
    </row>
    <row r="888" ht="18.75" customHeight="1">
      <c r="A888" s="7" t="s">
        <v>2082</v>
      </c>
      <c r="B888" s="7" t="s">
        <v>2083</v>
      </c>
      <c r="C888" s="8">
        <v>46225.0</v>
      </c>
      <c r="D888" s="8">
        <v>46236.0</v>
      </c>
      <c r="E888" s="7" t="s">
        <v>404</v>
      </c>
      <c r="F888" s="7" t="s">
        <v>667</v>
      </c>
      <c r="G888" s="7" t="s">
        <v>410</v>
      </c>
      <c r="H888" s="7" t="s">
        <v>2120</v>
      </c>
      <c r="I888" s="14"/>
      <c r="J888" s="14"/>
      <c r="K888" s="14"/>
      <c r="L888" s="14"/>
      <c r="M888" s="14"/>
    </row>
    <row r="889" ht="18.75" customHeight="1">
      <c r="A889" s="7" t="s">
        <v>2084</v>
      </c>
      <c r="B889" s="7" t="s">
        <v>2085</v>
      </c>
      <c r="C889" s="8">
        <v>46224.0</v>
      </c>
      <c r="D889" s="8">
        <v>46236.0</v>
      </c>
      <c r="E889" s="7" t="s">
        <v>404</v>
      </c>
      <c r="F889" s="7" t="s">
        <v>667</v>
      </c>
      <c r="G889" s="7" t="s">
        <v>410</v>
      </c>
      <c r="H889" s="7" t="s">
        <v>2120</v>
      </c>
      <c r="I889" s="14"/>
      <c r="J889" s="14"/>
      <c r="K889" s="14"/>
      <c r="L889" s="14"/>
      <c r="M889" s="14"/>
    </row>
    <row r="890" ht="18.75" customHeight="1">
      <c r="A890" s="7" t="s">
        <v>2192</v>
      </c>
      <c r="B890" s="7" t="s">
        <v>2193</v>
      </c>
      <c r="C890" s="15"/>
      <c r="D890" s="15"/>
      <c r="E890" s="7" t="s">
        <v>416</v>
      </c>
      <c r="F890" s="7" t="s">
        <v>417</v>
      </c>
      <c r="G890" s="7" t="s">
        <v>2120</v>
      </c>
      <c r="H890" s="7" t="s">
        <v>410</v>
      </c>
      <c r="I890" s="14"/>
      <c r="J890" s="14"/>
      <c r="K890" s="14"/>
      <c r="L890" s="14"/>
      <c r="M890" s="14"/>
    </row>
    <row r="891" ht="18.75" customHeight="1">
      <c r="A891" s="7" t="s">
        <v>2194</v>
      </c>
      <c r="B891" s="7" t="s">
        <v>2195</v>
      </c>
      <c r="C891" s="15"/>
      <c r="D891" s="15"/>
      <c r="E891" s="7" t="s">
        <v>364</v>
      </c>
      <c r="F891" s="7" t="s">
        <v>365</v>
      </c>
      <c r="G891" s="7" t="s">
        <v>2120</v>
      </c>
      <c r="H891" s="7" t="s">
        <v>2117</v>
      </c>
      <c r="I891" s="14"/>
      <c r="J891" s="14"/>
      <c r="K891" s="14"/>
      <c r="L891" s="14"/>
    </row>
    <row r="892" ht="18.75" customHeight="1">
      <c r="A892" s="7" t="s">
        <v>2086</v>
      </c>
      <c r="B892" s="7" t="s">
        <v>2087</v>
      </c>
      <c r="C892" s="8">
        <v>46219.0</v>
      </c>
      <c r="D892" s="8">
        <v>46225.0</v>
      </c>
      <c r="E892" s="7" t="s">
        <v>416</v>
      </c>
      <c r="F892" s="7" t="s">
        <v>413</v>
      </c>
      <c r="G892" s="7" t="s">
        <v>410</v>
      </c>
      <c r="H892" s="7" t="s">
        <v>410</v>
      </c>
      <c r="I892" s="14"/>
      <c r="J892" s="14"/>
      <c r="K892" s="14"/>
      <c r="L892" s="14"/>
      <c r="M892" s="14"/>
    </row>
    <row r="893" ht="18.75" customHeight="1">
      <c r="A893" s="7" t="s">
        <v>2196</v>
      </c>
      <c r="B893" s="7" t="s">
        <v>2197</v>
      </c>
      <c r="C893" s="14"/>
      <c r="D893" s="14"/>
      <c r="E893" s="7" t="s">
        <v>416</v>
      </c>
      <c r="F893" s="7" t="s">
        <v>430</v>
      </c>
      <c r="G893" s="7" t="s">
        <v>2120</v>
      </c>
      <c r="H893" s="7" t="s">
        <v>2120</v>
      </c>
      <c r="I893" s="14"/>
      <c r="J893" s="14"/>
      <c r="K893" s="14"/>
      <c r="L893" s="14"/>
      <c r="M893" s="14"/>
    </row>
    <row r="894" ht="18.75" customHeight="1">
      <c r="A894" s="7" t="s">
        <v>2088</v>
      </c>
      <c r="B894" s="7" t="s">
        <v>2089</v>
      </c>
      <c r="C894" s="8">
        <v>46224.0</v>
      </c>
      <c r="D894" s="8">
        <v>46236.0</v>
      </c>
      <c r="E894" s="7" t="s">
        <v>404</v>
      </c>
      <c r="F894" s="7" t="s">
        <v>667</v>
      </c>
      <c r="G894" s="7" t="s">
        <v>410</v>
      </c>
      <c r="H894" s="7" t="s">
        <v>2120</v>
      </c>
      <c r="I894" s="14"/>
      <c r="J894" s="14"/>
      <c r="K894" s="14"/>
      <c r="L894" s="14"/>
      <c r="M894" s="14"/>
    </row>
    <row r="895" ht="18.75" customHeight="1">
      <c r="A895" s="7" t="s">
        <v>2090</v>
      </c>
      <c r="B895" s="7" t="s">
        <v>2091</v>
      </c>
      <c r="C895" s="8">
        <v>46224.0</v>
      </c>
      <c r="D895" s="8">
        <v>46236.0</v>
      </c>
      <c r="E895" s="7" t="s">
        <v>404</v>
      </c>
      <c r="F895" s="7" t="s">
        <v>667</v>
      </c>
      <c r="G895" s="7" t="s">
        <v>410</v>
      </c>
      <c r="H895" s="7" t="s">
        <v>2120</v>
      </c>
      <c r="I895" s="14"/>
      <c r="J895" s="14"/>
      <c r="K895" s="14"/>
      <c r="L895" s="14"/>
      <c r="M895" s="14"/>
    </row>
    <row r="896" ht="18.75" customHeight="1">
      <c r="A896" s="7" t="s">
        <v>2092</v>
      </c>
      <c r="B896" s="7" t="s">
        <v>2093</v>
      </c>
      <c r="C896" s="8">
        <v>46224.0</v>
      </c>
      <c r="D896" s="8">
        <v>46236.0</v>
      </c>
      <c r="E896" s="7" t="s">
        <v>404</v>
      </c>
      <c r="F896" s="7" t="s">
        <v>667</v>
      </c>
      <c r="G896" s="7" t="s">
        <v>410</v>
      </c>
      <c r="H896" s="7" t="s">
        <v>2120</v>
      </c>
      <c r="I896" s="14"/>
      <c r="J896" s="14"/>
      <c r="K896" s="14"/>
      <c r="L896" s="14"/>
      <c r="M896" s="14"/>
    </row>
    <row r="897" ht="18.75" customHeight="1">
      <c r="A897" s="7" t="s">
        <v>2094</v>
      </c>
      <c r="B897" s="7" t="s">
        <v>2095</v>
      </c>
      <c r="C897" s="8">
        <v>46220.0</v>
      </c>
      <c r="D897" s="8">
        <v>46236.0</v>
      </c>
      <c r="E897" s="7" t="s">
        <v>364</v>
      </c>
      <c r="F897" s="7" t="s">
        <v>365</v>
      </c>
      <c r="G897" s="7" t="s">
        <v>410</v>
      </c>
      <c r="H897" s="7" t="s">
        <v>410</v>
      </c>
      <c r="I897" s="14"/>
      <c r="J897" s="14"/>
      <c r="K897" s="14"/>
      <c r="L897" s="14"/>
      <c r="M897" s="14"/>
    </row>
    <row r="898" ht="18.75" customHeight="1">
      <c r="A898" s="7" t="s">
        <v>2096</v>
      </c>
      <c r="B898" s="7" t="s">
        <v>2097</v>
      </c>
      <c r="C898" s="8">
        <v>46220.0</v>
      </c>
      <c r="D898" s="8">
        <v>46220.0</v>
      </c>
      <c r="E898" s="7" t="s">
        <v>353</v>
      </c>
      <c r="F898" s="7" t="s">
        <v>808</v>
      </c>
      <c r="G898" s="7" t="s">
        <v>355</v>
      </c>
      <c r="H898" s="7" t="s">
        <v>355</v>
      </c>
      <c r="I898" s="14"/>
      <c r="J898" s="14"/>
      <c r="K898" s="14"/>
      <c r="L898" s="14"/>
      <c r="M898" s="14"/>
    </row>
    <row r="899" ht="18.75" customHeight="1">
      <c r="A899" s="7" t="s">
        <v>2198</v>
      </c>
      <c r="B899" s="7" t="s">
        <v>2199</v>
      </c>
      <c r="C899" s="14"/>
      <c r="D899" s="14"/>
      <c r="E899" s="7" t="s">
        <v>364</v>
      </c>
      <c r="F899" s="7" t="s">
        <v>365</v>
      </c>
      <c r="G899" s="7" t="s">
        <v>2120</v>
      </c>
      <c r="H899" s="7" t="s">
        <v>2117</v>
      </c>
      <c r="I899" s="14"/>
      <c r="J899" s="14"/>
      <c r="K899" s="14"/>
      <c r="L899" s="14"/>
      <c r="M899" s="14"/>
    </row>
    <row r="900" ht="18.75" customHeight="1">
      <c r="A900" s="7" t="s">
        <v>2098</v>
      </c>
      <c r="B900" s="7" t="s">
        <v>2099</v>
      </c>
      <c r="C900" s="8">
        <v>46225.0</v>
      </c>
      <c r="D900" s="8">
        <v>46225.0</v>
      </c>
      <c r="E900" s="7" t="s">
        <v>358</v>
      </c>
      <c r="F900" s="7" t="s">
        <v>387</v>
      </c>
      <c r="G900" s="7" t="s">
        <v>410</v>
      </c>
      <c r="H900" s="7" t="s">
        <v>2120</v>
      </c>
      <c r="I900" s="14"/>
      <c r="J900" s="14"/>
      <c r="K900" s="14"/>
      <c r="L900" s="14"/>
      <c r="M900" s="14"/>
    </row>
    <row r="901" ht="18.75" customHeight="1">
      <c r="A901" s="7" t="s">
        <v>2100</v>
      </c>
      <c r="B901" s="7" t="s">
        <v>2101</v>
      </c>
      <c r="C901" s="8">
        <v>46223.0</v>
      </c>
      <c r="D901" s="8">
        <v>46226.0</v>
      </c>
      <c r="E901" s="7" t="s">
        <v>416</v>
      </c>
      <c r="F901" s="7" t="s">
        <v>466</v>
      </c>
      <c r="G901" s="7" t="s">
        <v>410</v>
      </c>
      <c r="H901" s="7" t="s">
        <v>410</v>
      </c>
      <c r="I901" s="14"/>
      <c r="J901" s="14"/>
      <c r="K901" s="14"/>
      <c r="L901" s="14"/>
      <c r="M901" s="14"/>
    </row>
    <row r="902" ht="18.75" customHeight="1">
      <c r="A902" s="7" t="s">
        <v>2102</v>
      </c>
      <c r="B902" s="7" t="s">
        <v>2103</v>
      </c>
      <c r="C902" s="8">
        <v>46223.0</v>
      </c>
      <c r="D902" s="8">
        <v>46226.0</v>
      </c>
      <c r="E902" s="7" t="s">
        <v>416</v>
      </c>
      <c r="F902" s="7" t="s">
        <v>466</v>
      </c>
      <c r="G902" s="7" t="s">
        <v>410</v>
      </c>
      <c r="H902" s="7" t="s">
        <v>410</v>
      </c>
      <c r="I902" s="14"/>
      <c r="J902" s="14"/>
      <c r="K902" s="14"/>
      <c r="L902" s="14"/>
      <c r="M902" s="14"/>
    </row>
    <row r="903" ht="18.75" customHeight="1">
      <c r="A903" s="7" t="s">
        <v>2104</v>
      </c>
      <c r="B903" s="7" t="s">
        <v>2105</v>
      </c>
      <c r="C903" s="8">
        <v>46223.0</v>
      </c>
      <c r="D903" s="8">
        <v>46226.0</v>
      </c>
      <c r="E903" s="7" t="s">
        <v>416</v>
      </c>
      <c r="F903" s="7" t="s">
        <v>466</v>
      </c>
      <c r="G903" s="7" t="s">
        <v>410</v>
      </c>
      <c r="H903" s="7" t="s">
        <v>410</v>
      </c>
      <c r="I903" s="14"/>
      <c r="J903" s="14"/>
      <c r="K903" s="14"/>
      <c r="L903" s="14"/>
      <c r="M903" s="14"/>
    </row>
    <row r="904" ht="18.75" customHeight="1">
      <c r="A904" s="7" t="s">
        <v>2106</v>
      </c>
      <c r="B904" s="7" t="s">
        <v>2107</v>
      </c>
      <c r="C904" s="8">
        <v>46223.0</v>
      </c>
      <c r="D904" s="8">
        <v>46226.0</v>
      </c>
      <c r="E904" s="7" t="s">
        <v>416</v>
      </c>
      <c r="F904" s="7" t="s">
        <v>466</v>
      </c>
      <c r="G904" s="7" t="s">
        <v>410</v>
      </c>
      <c r="H904" s="7" t="s">
        <v>410</v>
      </c>
      <c r="I904" s="14"/>
      <c r="J904" s="14"/>
      <c r="K904" s="14"/>
      <c r="L904" s="14"/>
      <c r="M904" s="14"/>
    </row>
    <row r="905" ht="18.75" customHeight="1">
      <c r="A905" s="7" t="s">
        <v>2108</v>
      </c>
      <c r="B905" s="7" t="s">
        <v>2109</v>
      </c>
      <c r="C905" s="8">
        <v>46221.0</v>
      </c>
      <c r="D905" s="8">
        <v>46222.0</v>
      </c>
      <c r="E905" s="7" t="s">
        <v>353</v>
      </c>
      <c r="F905" s="7" t="s">
        <v>808</v>
      </c>
      <c r="G905" s="7" t="s">
        <v>355</v>
      </c>
      <c r="H905" s="7" t="s">
        <v>355</v>
      </c>
      <c r="I905" s="14"/>
      <c r="J905" s="14"/>
      <c r="K905" s="14"/>
      <c r="L905" s="14"/>
      <c r="M905" s="14"/>
    </row>
    <row r="906" ht="18.75" customHeight="1">
      <c r="A906" s="7" t="s">
        <v>2200</v>
      </c>
      <c r="B906" s="7" t="s">
        <v>2201</v>
      </c>
      <c r="C906" s="14"/>
      <c r="D906" s="14"/>
      <c r="E906" s="7" t="s">
        <v>404</v>
      </c>
      <c r="F906" s="7" t="s">
        <v>667</v>
      </c>
      <c r="G906" s="7" t="s">
        <v>2120</v>
      </c>
      <c r="H906" s="7" t="s">
        <v>2120</v>
      </c>
      <c r="I906" s="14"/>
      <c r="J906" s="14"/>
      <c r="K906" s="14"/>
      <c r="L906" s="14"/>
      <c r="M906" s="14"/>
    </row>
    <row r="907" ht="18.75" customHeight="1">
      <c r="A907" s="7" t="s">
        <v>2202</v>
      </c>
      <c r="B907" s="7" t="s">
        <v>2203</v>
      </c>
      <c r="C907" s="14"/>
      <c r="D907" s="14"/>
      <c r="E907" s="7" t="s">
        <v>404</v>
      </c>
      <c r="F907" s="7" t="s">
        <v>359</v>
      </c>
      <c r="G907" s="7" t="s">
        <v>2120</v>
      </c>
      <c r="H907" s="7" t="s">
        <v>2120</v>
      </c>
      <c r="I907" s="14"/>
      <c r="J907" s="14"/>
      <c r="K907" s="14"/>
      <c r="L907" s="14"/>
      <c r="M907" s="14"/>
    </row>
    <row r="908" ht="18.75" customHeight="1">
      <c r="A908" s="7" t="s">
        <v>2204</v>
      </c>
      <c r="B908" s="7" t="s">
        <v>2205</v>
      </c>
      <c r="C908" s="14"/>
      <c r="D908" s="14"/>
      <c r="E908" s="7" t="s">
        <v>404</v>
      </c>
      <c r="F908" s="7" t="s">
        <v>405</v>
      </c>
      <c r="G908" s="7" t="s">
        <v>2120</v>
      </c>
      <c r="H908" s="7" t="s">
        <v>2120</v>
      </c>
      <c r="I908" s="14"/>
      <c r="J908" s="14"/>
      <c r="K908" s="14"/>
      <c r="L908" s="14"/>
      <c r="M908" s="14"/>
    </row>
    <row r="909" ht="18.75" customHeight="1">
      <c r="A909" s="7" t="s">
        <v>2206</v>
      </c>
      <c r="B909" s="7" t="s">
        <v>2207</v>
      </c>
      <c r="C909" s="14"/>
      <c r="D909" s="14"/>
      <c r="E909" s="7" t="s">
        <v>364</v>
      </c>
      <c r="F909" s="7" t="s">
        <v>365</v>
      </c>
      <c r="G909" s="7" t="s">
        <v>2120</v>
      </c>
      <c r="H909" s="7" t="s">
        <v>2120</v>
      </c>
      <c r="I909" s="14"/>
      <c r="J909" s="14"/>
      <c r="K909" s="14"/>
      <c r="L909" s="14"/>
      <c r="M909" s="14"/>
    </row>
    <row r="910" ht="18.75" customHeight="1">
      <c r="A910" s="7" t="s">
        <v>2110</v>
      </c>
      <c r="B910" s="7" t="s">
        <v>2111</v>
      </c>
      <c r="C910" s="8">
        <v>46225.0</v>
      </c>
      <c r="D910" s="8">
        <v>46225.0</v>
      </c>
      <c r="E910" s="7" t="s">
        <v>416</v>
      </c>
      <c r="F910" s="7" t="s">
        <v>594</v>
      </c>
      <c r="G910" s="7" t="s">
        <v>410</v>
      </c>
      <c r="H910" s="7" t="s">
        <v>410</v>
      </c>
      <c r="I910" s="14"/>
      <c r="J910" s="14"/>
      <c r="K910" s="14"/>
      <c r="L910" s="14"/>
      <c r="M910" s="14"/>
    </row>
    <row r="911" ht="18.75" customHeight="1">
      <c r="A911" s="7" t="s">
        <v>2208</v>
      </c>
      <c r="B911" s="7" t="s">
        <v>2209</v>
      </c>
      <c r="C911" s="14"/>
      <c r="D911" s="14"/>
      <c r="E911" s="7" t="s">
        <v>364</v>
      </c>
      <c r="F911" s="7" t="s">
        <v>365</v>
      </c>
      <c r="G911" s="7" t="s">
        <v>2120</v>
      </c>
      <c r="H911" s="7" t="s">
        <v>2120</v>
      </c>
      <c r="I911" s="14"/>
      <c r="J911" s="14"/>
      <c r="K911" s="14"/>
      <c r="L911" s="14"/>
      <c r="M911" s="14"/>
    </row>
    <row r="912" ht="18.75" customHeight="1">
      <c r="A912" s="7" t="s">
        <v>2210</v>
      </c>
      <c r="B912" s="7" t="s">
        <v>2211</v>
      </c>
      <c r="C912" s="14"/>
      <c r="D912" s="14"/>
      <c r="E912" s="7" t="s">
        <v>404</v>
      </c>
      <c r="F912" s="7" t="s">
        <v>474</v>
      </c>
      <c r="G912" s="7" t="s">
        <v>2120</v>
      </c>
      <c r="H912" s="7" t="s">
        <v>2120</v>
      </c>
      <c r="I912" s="14"/>
      <c r="J912" s="14"/>
      <c r="K912" s="14"/>
      <c r="L912" s="14"/>
      <c r="M912" s="14"/>
    </row>
    <row r="913" ht="18.75" customHeight="1">
      <c r="A913" s="7" t="s">
        <v>2212</v>
      </c>
      <c r="B913" s="7" t="s">
        <v>2213</v>
      </c>
      <c r="C913" s="14"/>
      <c r="D913" s="14"/>
      <c r="E913" s="7" t="s">
        <v>358</v>
      </c>
      <c r="F913" s="7" t="s">
        <v>387</v>
      </c>
      <c r="G913" s="7" t="s">
        <v>2120</v>
      </c>
      <c r="H913" s="7" t="s">
        <v>410</v>
      </c>
      <c r="I913" s="14"/>
      <c r="J913" s="14"/>
      <c r="K913" s="14"/>
      <c r="L913" s="14"/>
      <c r="M913" s="14"/>
    </row>
    <row r="914" ht="18.75" customHeight="1">
      <c r="A914" s="7" t="s">
        <v>2214</v>
      </c>
      <c r="B914" s="7" t="s">
        <v>2215</v>
      </c>
      <c r="C914" s="14"/>
      <c r="D914" s="14"/>
      <c r="E914" s="7" t="s">
        <v>358</v>
      </c>
      <c r="F914" s="7" t="s">
        <v>387</v>
      </c>
      <c r="G914" s="7" t="s">
        <v>2120</v>
      </c>
      <c r="H914" s="7" t="s">
        <v>410</v>
      </c>
      <c r="I914" s="14"/>
      <c r="J914" s="14"/>
      <c r="K914" s="14"/>
      <c r="L914" s="14"/>
      <c r="M914" s="14"/>
    </row>
    <row r="915" ht="18.75" customHeight="1">
      <c r="A915" s="7" t="s">
        <v>2112</v>
      </c>
      <c r="B915" s="7" t="s">
        <v>2113</v>
      </c>
      <c r="C915" s="8">
        <v>46225.0</v>
      </c>
      <c r="D915" s="8">
        <v>46231.0</v>
      </c>
      <c r="E915" s="7" t="s">
        <v>416</v>
      </c>
      <c r="F915" s="7" t="s">
        <v>417</v>
      </c>
      <c r="G915" s="7" t="s">
        <v>410</v>
      </c>
      <c r="H915" s="7" t="s">
        <v>410</v>
      </c>
      <c r="I915" s="14"/>
      <c r="J915" s="14"/>
      <c r="K915" s="14"/>
      <c r="L915" s="14"/>
      <c r="M915" s="14"/>
    </row>
    <row r="916" ht="18.75" customHeight="1">
      <c r="A916" s="7" t="s">
        <v>2114</v>
      </c>
      <c r="B916" s="7" t="s">
        <v>2115</v>
      </c>
      <c r="C916" s="8">
        <v>46225.0</v>
      </c>
      <c r="D916" s="8">
        <v>46225.0</v>
      </c>
      <c r="E916" s="7" t="s">
        <v>416</v>
      </c>
      <c r="F916" s="7" t="s">
        <v>725</v>
      </c>
      <c r="G916" s="7" t="s">
        <v>410</v>
      </c>
      <c r="H916" s="7" t="s">
        <v>2120</v>
      </c>
      <c r="I916" s="14"/>
      <c r="J916" s="14"/>
      <c r="K916" s="14"/>
      <c r="L916" s="14"/>
      <c r="M916" s="14"/>
    </row>
    <row r="917" ht="18.75" customHeight="1">
      <c r="A917" s="7" t="s">
        <v>2216</v>
      </c>
      <c r="B917" s="7" t="s">
        <v>2217</v>
      </c>
      <c r="C917" s="14"/>
      <c r="D917" s="14"/>
      <c r="E917" s="7" t="s">
        <v>416</v>
      </c>
      <c r="F917" s="7" t="s">
        <v>417</v>
      </c>
      <c r="G917" s="7" t="s">
        <v>2120</v>
      </c>
      <c r="H917" s="7" t="s">
        <v>2120</v>
      </c>
      <c r="I917" s="14"/>
      <c r="J917" s="14"/>
      <c r="K917" s="14"/>
      <c r="L917" s="14"/>
      <c r="M917" s="14"/>
    </row>
    <row r="918" ht="18.75" customHeight="1">
      <c r="A918" s="7" t="s">
        <v>2218</v>
      </c>
      <c r="B918" s="7" t="s">
        <v>2219</v>
      </c>
      <c r="C918" s="14"/>
      <c r="D918" s="14"/>
      <c r="E918" s="7" t="s">
        <v>358</v>
      </c>
      <c r="F918" s="7" t="s">
        <v>387</v>
      </c>
      <c r="G918" s="7" t="s">
        <v>2120</v>
      </c>
      <c r="H918" s="7" t="s">
        <v>2120</v>
      </c>
      <c r="I918" s="14"/>
      <c r="J918" s="14"/>
      <c r="K918" s="14"/>
      <c r="L918" s="14"/>
      <c r="M918" s="14"/>
    </row>
    <row r="919" ht="18.75" customHeight="1">
      <c r="A919" s="7" t="s">
        <v>2220</v>
      </c>
      <c r="B919" s="7" t="s">
        <v>2221</v>
      </c>
      <c r="C919" s="14"/>
      <c r="D919" s="14"/>
      <c r="E919" s="7" t="s">
        <v>358</v>
      </c>
      <c r="F919" s="7" t="s">
        <v>387</v>
      </c>
      <c r="G919" s="7" t="s">
        <v>2120</v>
      </c>
      <c r="H919" s="7" t="s">
        <v>2120</v>
      </c>
      <c r="I919" s="14"/>
      <c r="J919" s="14"/>
      <c r="K919" s="14"/>
      <c r="L919" s="14"/>
      <c r="M919" s="14"/>
    </row>
    <row r="920" ht="18.75" customHeight="1">
      <c r="A920" s="7" t="s">
        <v>2222</v>
      </c>
      <c r="B920" s="7" t="s">
        <v>2223</v>
      </c>
      <c r="C920" s="14"/>
      <c r="D920" s="14"/>
      <c r="E920" s="7" t="s">
        <v>358</v>
      </c>
      <c r="F920" s="7" t="s">
        <v>387</v>
      </c>
      <c r="G920" s="7" t="s">
        <v>2120</v>
      </c>
      <c r="H920" s="7" t="s">
        <v>2120</v>
      </c>
      <c r="I920" s="14"/>
      <c r="J920" s="14"/>
      <c r="K920" s="14"/>
      <c r="L920" s="14"/>
      <c r="M920" s="14"/>
    </row>
    <row r="921" ht="18.75" customHeight="1">
      <c r="A921" s="7" t="s">
        <v>2224</v>
      </c>
      <c r="B921" s="7" t="s">
        <v>2225</v>
      </c>
      <c r="C921" s="14"/>
      <c r="D921" s="14"/>
      <c r="E921" s="7" t="s">
        <v>358</v>
      </c>
      <c r="F921" s="7" t="s">
        <v>387</v>
      </c>
      <c r="G921" s="7" t="s">
        <v>2120</v>
      </c>
      <c r="H921" s="7" t="s">
        <v>2120</v>
      </c>
      <c r="I921" s="14"/>
      <c r="J921" s="14"/>
      <c r="K921" s="14"/>
      <c r="L921" s="14"/>
      <c r="M921" s="14"/>
    </row>
    <row r="922" ht="18.75" customHeight="1">
      <c r="A922" s="7" t="s">
        <v>2226</v>
      </c>
      <c r="B922" s="7" t="s">
        <v>2227</v>
      </c>
      <c r="C922" s="14"/>
      <c r="D922" s="14"/>
      <c r="E922" s="7" t="s">
        <v>358</v>
      </c>
      <c r="F922" s="7" t="s">
        <v>387</v>
      </c>
      <c r="G922" s="7" t="s">
        <v>2120</v>
      </c>
      <c r="H922" s="7" t="s">
        <v>2120</v>
      </c>
      <c r="I922" s="14"/>
      <c r="J922" s="14"/>
      <c r="K922" s="14"/>
      <c r="L922" s="14"/>
      <c r="M922" s="14"/>
    </row>
    <row r="923" ht="18.75" customHeight="1">
      <c r="A923" s="7" t="s">
        <v>2228</v>
      </c>
      <c r="B923" s="7" t="s">
        <v>2229</v>
      </c>
      <c r="C923" s="14"/>
      <c r="D923" s="14"/>
      <c r="E923" s="7" t="s">
        <v>353</v>
      </c>
      <c r="F923" s="7" t="s">
        <v>378</v>
      </c>
      <c r="G923" s="7" t="s">
        <v>2120</v>
      </c>
      <c r="H923" s="7" t="s">
        <v>2120</v>
      </c>
      <c r="I923" s="14"/>
      <c r="J923" s="14"/>
      <c r="K923" s="14"/>
      <c r="L923" s="14"/>
      <c r="M923" s="14"/>
    </row>
    <row r="924" ht="18.75" customHeight="1">
      <c r="A924" s="14"/>
      <c r="B924" s="14"/>
      <c r="C924" s="14"/>
      <c r="D924" s="14"/>
      <c r="E924" s="15"/>
      <c r="F924" s="14"/>
      <c r="G924" s="14"/>
      <c r="H924" s="15"/>
      <c r="I924" s="14"/>
      <c r="J924" s="14"/>
      <c r="K924" s="14"/>
      <c r="L924" s="14"/>
      <c r="M924" s="14"/>
    </row>
    <row r="925" ht="18.75" customHeight="1">
      <c r="A925" s="14"/>
      <c r="B925" s="14"/>
      <c r="C925" s="14"/>
      <c r="D925" s="14"/>
      <c r="E925" s="15"/>
      <c r="F925" s="14"/>
      <c r="G925" s="14"/>
      <c r="H925" s="15"/>
      <c r="I925" s="14"/>
      <c r="J925" s="14"/>
      <c r="K925" s="14"/>
      <c r="L925" s="14"/>
      <c r="M925" s="14"/>
    </row>
    <row r="926" ht="18.75" customHeight="1">
      <c r="A926" s="14"/>
      <c r="B926" s="14"/>
      <c r="C926" s="14"/>
      <c r="D926" s="14"/>
      <c r="E926" s="15"/>
      <c r="F926" s="14"/>
      <c r="G926" s="14"/>
      <c r="H926" s="15"/>
      <c r="I926" s="14"/>
      <c r="J926" s="14"/>
      <c r="K926" s="14"/>
      <c r="L926" s="14"/>
      <c r="M926" s="14"/>
    </row>
    <row r="927" ht="18.75" customHeight="1">
      <c r="A927" s="14"/>
      <c r="B927" s="14"/>
      <c r="C927" s="14"/>
      <c r="D927" s="14"/>
      <c r="E927" s="15"/>
      <c r="F927" s="14"/>
      <c r="G927" s="14"/>
      <c r="H927" s="15"/>
      <c r="I927" s="14"/>
      <c r="J927" s="14"/>
      <c r="K927" s="14"/>
      <c r="L927" s="14"/>
      <c r="M927" s="14"/>
    </row>
    <row r="928" ht="18.75" customHeight="1">
      <c r="A928" s="14"/>
      <c r="B928" s="14"/>
      <c r="C928" s="14"/>
      <c r="D928" s="14"/>
      <c r="E928" s="15"/>
      <c r="F928" s="14"/>
      <c r="G928" s="14"/>
      <c r="H928" s="15"/>
      <c r="I928" s="14"/>
      <c r="J928" s="14"/>
      <c r="K928" s="14"/>
      <c r="L928" s="14"/>
      <c r="M928" s="14"/>
    </row>
    <row r="929" ht="18.75" customHeight="1">
      <c r="A929" s="14"/>
      <c r="B929" s="14"/>
      <c r="C929" s="14"/>
      <c r="D929" s="14"/>
      <c r="E929" s="15"/>
      <c r="F929" s="14"/>
      <c r="G929" s="14"/>
      <c r="H929" s="15"/>
      <c r="I929" s="14"/>
      <c r="J929" s="14"/>
      <c r="K929" s="14"/>
      <c r="L929" s="14"/>
      <c r="M929" s="14"/>
    </row>
    <row r="930" ht="18.75" customHeight="1">
      <c r="A930" s="14"/>
      <c r="B930" s="14"/>
      <c r="C930" s="14"/>
      <c r="D930" s="14"/>
      <c r="E930" s="15"/>
      <c r="F930" s="14"/>
      <c r="G930" s="14"/>
      <c r="H930" s="15"/>
      <c r="I930" s="14"/>
      <c r="J930" s="14"/>
      <c r="K930" s="14"/>
      <c r="L930" s="14"/>
      <c r="M930" s="14"/>
    </row>
    <row r="931" ht="18.75" customHeight="1">
      <c r="A931" s="14"/>
      <c r="B931" s="14"/>
      <c r="C931" s="14"/>
      <c r="D931" s="14"/>
      <c r="E931" s="15"/>
      <c r="F931" s="14"/>
      <c r="G931" s="14"/>
      <c r="H931" s="15"/>
      <c r="I931" s="14"/>
      <c r="J931" s="14"/>
      <c r="K931" s="14"/>
      <c r="L931" s="14"/>
      <c r="M931" s="14"/>
    </row>
    <row r="932" ht="18.75" customHeight="1">
      <c r="A932" s="14"/>
      <c r="B932" s="14"/>
      <c r="C932" s="14"/>
      <c r="D932" s="14"/>
      <c r="E932" s="15"/>
      <c r="F932" s="14"/>
      <c r="G932" s="14"/>
      <c r="H932" s="15"/>
      <c r="I932" s="14"/>
      <c r="J932" s="14"/>
      <c r="K932" s="14"/>
      <c r="L932" s="14"/>
      <c r="M932" s="14"/>
    </row>
    <row r="933" ht="18.75" customHeight="1">
      <c r="A933" s="14"/>
      <c r="B933" s="14"/>
      <c r="C933" s="14"/>
      <c r="D933" s="14"/>
      <c r="E933" s="15"/>
      <c r="F933" s="14"/>
      <c r="G933" s="14"/>
      <c r="H933" s="15"/>
      <c r="I933" s="14"/>
      <c r="J933" s="14"/>
      <c r="K933" s="14"/>
      <c r="L933" s="14"/>
      <c r="M933" s="14"/>
    </row>
    <row r="934" ht="18.75" customHeight="1">
      <c r="A934" s="14"/>
      <c r="B934" s="14"/>
      <c r="C934" s="14"/>
      <c r="D934" s="14"/>
      <c r="E934" s="15"/>
      <c r="F934" s="14"/>
      <c r="G934" s="14"/>
      <c r="H934" s="15"/>
      <c r="I934" s="14"/>
      <c r="J934" s="14"/>
      <c r="K934" s="14"/>
      <c r="L934" s="14"/>
      <c r="M934" s="14"/>
    </row>
    <row r="935" ht="18.75" customHeight="1">
      <c r="A935" s="14"/>
      <c r="B935" s="14"/>
      <c r="C935" s="14"/>
      <c r="D935" s="14"/>
      <c r="E935" s="15"/>
      <c r="F935" s="14"/>
      <c r="G935" s="14"/>
      <c r="H935" s="15"/>
      <c r="I935" s="14"/>
      <c r="J935" s="14"/>
      <c r="K935" s="14"/>
      <c r="L935" s="14"/>
      <c r="M935" s="14"/>
    </row>
    <row r="936" ht="18.75" customHeight="1">
      <c r="A936" s="14"/>
      <c r="B936" s="14"/>
      <c r="C936" s="14"/>
      <c r="D936" s="14"/>
      <c r="E936" s="15"/>
      <c r="F936" s="14"/>
      <c r="G936" s="14"/>
      <c r="H936" s="15"/>
      <c r="I936" s="14"/>
      <c r="J936" s="14"/>
      <c r="K936" s="14"/>
      <c r="L936" s="14"/>
      <c r="M936" s="14"/>
    </row>
    <row r="937" ht="18.75" customHeight="1">
      <c r="A937" s="14"/>
      <c r="B937" s="14"/>
      <c r="C937" s="14"/>
      <c r="D937" s="14"/>
      <c r="E937" s="15"/>
      <c r="F937" s="14"/>
      <c r="G937" s="14"/>
      <c r="H937" s="15"/>
      <c r="I937" s="14"/>
      <c r="J937" s="14"/>
      <c r="K937" s="14"/>
      <c r="L937" s="14"/>
      <c r="M937" s="14"/>
    </row>
    <row r="938" ht="18.75" customHeight="1">
      <c r="A938" s="14"/>
      <c r="B938" s="14"/>
      <c r="C938" s="14"/>
      <c r="D938" s="14"/>
      <c r="E938" s="15"/>
      <c r="F938" s="14"/>
      <c r="G938" s="14"/>
      <c r="H938" s="15"/>
      <c r="I938" s="14"/>
      <c r="J938" s="14"/>
      <c r="K938" s="14"/>
      <c r="L938" s="14"/>
      <c r="M938" s="14"/>
    </row>
    <row r="939" ht="18.75" customHeight="1">
      <c r="A939" s="14"/>
      <c r="B939" s="14"/>
      <c r="C939" s="14"/>
      <c r="D939" s="14"/>
      <c r="E939" s="15"/>
      <c r="F939" s="14"/>
      <c r="G939" s="14"/>
      <c r="H939" s="15"/>
      <c r="I939" s="14"/>
      <c r="J939" s="14"/>
      <c r="K939" s="14"/>
      <c r="L939" s="14"/>
      <c r="M939" s="14"/>
    </row>
    <row r="940" ht="18.75" customHeight="1">
      <c r="A940" s="14"/>
      <c r="B940" s="14"/>
      <c r="C940" s="14"/>
      <c r="D940" s="14"/>
      <c r="E940" s="15"/>
      <c r="F940" s="14"/>
      <c r="G940" s="14"/>
      <c r="H940" s="15"/>
      <c r="I940" s="14"/>
      <c r="J940" s="14"/>
      <c r="K940" s="14"/>
      <c r="L940" s="14"/>
      <c r="M940" s="14"/>
    </row>
    <row r="941" ht="18.75" customHeight="1">
      <c r="A941" s="14"/>
      <c r="B941" s="14"/>
      <c r="C941" s="14"/>
      <c r="D941" s="14"/>
      <c r="E941" s="15"/>
      <c r="F941" s="14"/>
      <c r="G941" s="14"/>
      <c r="H941" s="15"/>
      <c r="I941" s="14"/>
      <c r="J941" s="14"/>
      <c r="K941" s="14"/>
      <c r="L941" s="14"/>
      <c r="M941" s="14"/>
    </row>
    <row r="942" ht="18.75" customHeight="1">
      <c r="A942" s="14"/>
      <c r="B942" s="14"/>
      <c r="C942" s="14"/>
      <c r="D942" s="14"/>
      <c r="E942" s="15"/>
      <c r="F942" s="14"/>
      <c r="G942" s="14"/>
      <c r="H942" s="15"/>
      <c r="I942" s="14"/>
      <c r="J942" s="14"/>
      <c r="K942" s="14"/>
      <c r="L942" s="14"/>
      <c r="M942" s="14"/>
    </row>
    <row r="943" ht="18.75" customHeight="1">
      <c r="A943" s="14"/>
      <c r="B943" s="14"/>
      <c r="C943" s="14"/>
      <c r="D943" s="14"/>
      <c r="E943" s="15"/>
      <c r="F943" s="14"/>
      <c r="G943" s="14"/>
      <c r="H943" s="15"/>
      <c r="I943" s="14"/>
      <c r="J943" s="14"/>
      <c r="K943" s="14"/>
      <c r="L943" s="14"/>
      <c r="M943" s="14"/>
    </row>
    <row r="944" ht="18.75" customHeight="1">
      <c r="A944" s="14"/>
      <c r="B944" s="14"/>
      <c r="C944" s="14"/>
      <c r="D944" s="14"/>
      <c r="E944" s="15"/>
      <c r="F944" s="14"/>
      <c r="G944" s="14"/>
      <c r="H944" s="15"/>
      <c r="I944" s="14"/>
      <c r="J944" s="14"/>
      <c r="K944" s="14"/>
      <c r="L944" s="14"/>
      <c r="M944" s="14"/>
    </row>
    <row r="945" ht="18.75" customHeight="1">
      <c r="A945" s="14"/>
      <c r="B945" s="14"/>
      <c r="C945" s="14"/>
      <c r="D945" s="14"/>
      <c r="E945" s="15"/>
      <c r="F945" s="14"/>
      <c r="G945" s="14"/>
      <c r="H945" s="15"/>
      <c r="I945" s="14"/>
      <c r="J945" s="14"/>
      <c r="K945" s="14"/>
      <c r="L945" s="14"/>
      <c r="M945" s="14"/>
    </row>
    <row r="946" ht="18.75" customHeight="1">
      <c r="A946" s="14"/>
      <c r="B946" s="14"/>
      <c r="C946" s="14"/>
      <c r="D946" s="14"/>
      <c r="E946" s="15"/>
      <c r="F946" s="14"/>
      <c r="G946" s="14"/>
      <c r="H946" s="15"/>
      <c r="I946" s="14"/>
      <c r="J946" s="14"/>
      <c r="K946" s="14"/>
      <c r="L946" s="14"/>
      <c r="M946" s="14"/>
    </row>
    <row r="947" ht="18.75" customHeight="1">
      <c r="A947" s="14"/>
      <c r="B947" s="14"/>
      <c r="C947" s="14"/>
      <c r="D947" s="14"/>
      <c r="E947" s="15"/>
      <c r="F947" s="14"/>
      <c r="G947" s="14"/>
      <c r="H947" s="15"/>
      <c r="I947" s="14"/>
      <c r="J947" s="14"/>
      <c r="K947" s="14"/>
      <c r="L947" s="14"/>
      <c r="M947" s="14"/>
    </row>
    <row r="948" ht="18.75" customHeight="1">
      <c r="A948" s="14"/>
      <c r="B948" s="14"/>
      <c r="C948" s="14"/>
      <c r="D948" s="14"/>
      <c r="E948" s="15"/>
      <c r="F948" s="14"/>
      <c r="G948" s="14"/>
      <c r="H948" s="15"/>
      <c r="I948" s="14"/>
      <c r="J948" s="14"/>
      <c r="K948" s="14"/>
      <c r="L948" s="14"/>
      <c r="M948" s="14"/>
    </row>
    <row r="949" ht="18.75" customHeight="1">
      <c r="A949" s="14"/>
      <c r="B949" s="14"/>
      <c r="C949" s="14"/>
      <c r="D949" s="14"/>
      <c r="E949" s="15"/>
      <c r="F949" s="14"/>
      <c r="G949" s="14"/>
      <c r="H949" s="15"/>
      <c r="I949" s="14"/>
      <c r="J949" s="14"/>
      <c r="K949" s="14"/>
      <c r="L949" s="14"/>
      <c r="M949" s="14"/>
    </row>
    <row r="950" ht="18.75" customHeight="1">
      <c r="A950" s="14"/>
      <c r="B950" s="14"/>
      <c r="C950" s="14"/>
      <c r="D950" s="14"/>
      <c r="E950" s="15"/>
      <c r="F950" s="14"/>
      <c r="G950" s="14"/>
      <c r="H950" s="15"/>
      <c r="I950" s="14"/>
      <c r="J950" s="14"/>
      <c r="K950" s="14"/>
      <c r="L950" s="14"/>
      <c r="M950" s="14"/>
    </row>
    <row r="951" ht="18.75" customHeight="1">
      <c r="A951" s="14"/>
      <c r="B951" s="14"/>
      <c r="C951" s="14"/>
      <c r="D951" s="14"/>
      <c r="E951" s="15"/>
      <c r="F951" s="14"/>
      <c r="G951" s="14"/>
      <c r="H951" s="15"/>
      <c r="I951" s="14"/>
      <c r="J951" s="14"/>
      <c r="K951" s="14"/>
      <c r="L951" s="14"/>
      <c r="M951" s="14"/>
    </row>
    <row r="952" ht="18.75" customHeight="1">
      <c r="A952" s="14"/>
      <c r="B952" s="14"/>
      <c r="C952" s="14"/>
      <c r="D952" s="14"/>
      <c r="E952" s="15"/>
      <c r="F952" s="14"/>
      <c r="G952" s="14"/>
      <c r="H952" s="15"/>
      <c r="I952" s="14"/>
      <c r="J952" s="14"/>
      <c r="K952" s="14"/>
      <c r="L952" s="14"/>
      <c r="M952" s="14"/>
    </row>
    <row r="953" ht="18.75" customHeight="1">
      <c r="A953" s="14"/>
      <c r="B953" s="14"/>
      <c r="C953" s="14"/>
      <c r="D953" s="14"/>
      <c r="E953" s="15"/>
      <c r="F953" s="14"/>
      <c r="G953" s="14"/>
      <c r="H953" s="15"/>
      <c r="I953" s="14"/>
      <c r="J953" s="14"/>
      <c r="K953" s="14"/>
      <c r="L953" s="14"/>
      <c r="M953" s="14"/>
    </row>
    <row r="954" ht="18.75" customHeight="1">
      <c r="A954" s="14"/>
      <c r="B954" s="14"/>
      <c r="C954" s="14"/>
      <c r="D954" s="14"/>
      <c r="E954" s="15"/>
      <c r="F954" s="14"/>
      <c r="G954" s="14"/>
      <c r="H954" s="15"/>
      <c r="I954" s="14"/>
      <c r="J954" s="14"/>
      <c r="K954" s="14"/>
      <c r="L954" s="14"/>
      <c r="M954" s="14"/>
    </row>
    <row r="955" ht="18.75" customHeight="1">
      <c r="A955" s="14"/>
      <c r="B955" s="14"/>
      <c r="C955" s="14"/>
      <c r="D955" s="14"/>
      <c r="E955" s="15"/>
      <c r="F955" s="14"/>
      <c r="G955" s="14"/>
      <c r="H955" s="15"/>
      <c r="I955" s="14"/>
      <c r="J955" s="14"/>
      <c r="K955" s="14"/>
      <c r="L955" s="14"/>
      <c r="M955" s="14"/>
    </row>
    <row r="956" ht="18.75" customHeight="1">
      <c r="A956" s="14"/>
      <c r="B956" s="14"/>
      <c r="C956" s="14"/>
      <c r="D956" s="14"/>
      <c r="E956" s="15"/>
      <c r="F956" s="14"/>
      <c r="G956" s="14"/>
      <c r="H956" s="15"/>
      <c r="I956" s="14"/>
      <c r="J956" s="14"/>
      <c r="K956" s="14"/>
      <c r="L956" s="14"/>
      <c r="M956" s="14"/>
    </row>
    <row r="957" ht="18.75" customHeight="1">
      <c r="A957" s="14"/>
      <c r="B957" s="14"/>
      <c r="C957" s="14"/>
      <c r="D957" s="14"/>
      <c r="E957" s="15"/>
      <c r="F957" s="14"/>
      <c r="G957" s="14"/>
      <c r="H957" s="15"/>
      <c r="I957" s="14"/>
      <c r="J957" s="14"/>
      <c r="K957" s="14"/>
      <c r="L957" s="14"/>
      <c r="M957" s="14"/>
    </row>
    <row r="958" ht="18.75" customHeight="1">
      <c r="A958" s="14"/>
      <c r="B958" s="14"/>
      <c r="C958" s="14"/>
      <c r="D958" s="14"/>
      <c r="E958" s="15"/>
      <c r="F958" s="14"/>
      <c r="G958" s="14"/>
      <c r="H958" s="15"/>
      <c r="I958" s="14"/>
      <c r="J958" s="14"/>
      <c r="K958" s="14"/>
      <c r="L958" s="14"/>
      <c r="M958" s="14"/>
    </row>
    <row r="959" ht="18.75" customHeight="1">
      <c r="A959" s="14"/>
      <c r="B959" s="14"/>
      <c r="C959" s="14"/>
      <c r="D959" s="14"/>
      <c r="E959" s="15"/>
      <c r="F959" s="14"/>
      <c r="G959" s="14"/>
      <c r="H959" s="15"/>
      <c r="I959" s="14"/>
      <c r="J959" s="14"/>
      <c r="K959" s="14"/>
      <c r="L959" s="14"/>
      <c r="M959" s="14"/>
    </row>
    <row r="960" ht="18.75" customHeight="1">
      <c r="A960" s="14"/>
      <c r="B960" s="14"/>
      <c r="C960" s="14"/>
      <c r="D960" s="14"/>
      <c r="E960" s="15"/>
      <c r="F960" s="14"/>
      <c r="G960" s="14"/>
      <c r="H960" s="15"/>
      <c r="I960" s="14"/>
      <c r="J960" s="14"/>
      <c r="K960" s="14"/>
      <c r="L960" s="14"/>
      <c r="M960" s="14"/>
    </row>
    <row r="961" ht="18.75" customHeight="1">
      <c r="A961" s="14"/>
      <c r="B961" s="14"/>
      <c r="C961" s="14"/>
      <c r="D961" s="14"/>
      <c r="E961" s="15"/>
      <c r="F961" s="14"/>
      <c r="G961" s="14"/>
      <c r="H961" s="15"/>
      <c r="I961" s="14"/>
      <c r="J961" s="14"/>
      <c r="K961" s="14"/>
      <c r="L961" s="14"/>
      <c r="M961" s="14"/>
    </row>
    <row r="962" ht="18.75" customHeight="1">
      <c r="A962" s="14"/>
      <c r="B962" s="14"/>
      <c r="C962" s="14"/>
      <c r="D962" s="14"/>
      <c r="E962" s="15"/>
      <c r="F962" s="14"/>
      <c r="G962" s="14"/>
      <c r="H962" s="15"/>
      <c r="I962" s="14"/>
      <c r="J962" s="14"/>
      <c r="K962" s="14"/>
      <c r="L962" s="14"/>
      <c r="M962" s="14"/>
    </row>
    <row r="963" ht="18.75" customHeight="1">
      <c r="A963" s="14"/>
      <c r="B963" s="14"/>
      <c r="C963" s="14"/>
      <c r="D963" s="14"/>
      <c r="E963" s="15"/>
      <c r="F963" s="14"/>
      <c r="G963" s="14"/>
      <c r="H963" s="15"/>
      <c r="I963" s="14"/>
      <c r="J963" s="14"/>
      <c r="K963" s="14"/>
      <c r="L963" s="14"/>
      <c r="M963" s="14"/>
    </row>
    <row r="964" ht="18.75" customHeight="1">
      <c r="A964" s="14"/>
      <c r="B964" s="14"/>
      <c r="C964" s="14"/>
      <c r="D964" s="14"/>
      <c r="E964" s="15"/>
      <c r="F964" s="14"/>
      <c r="G964" s="14"/>
      <c r="H964" s="15"/>
      <c r="I964" s="14"/>
      <c r="J964" s="14"/>
      <c r="K964" s="14"/>
      <c r="L964" s="14"/>
      <c r="M964" s="14"/>
    </row>
    <row r="965" ht="18.75" customHeight="1">
      <c r="A965" s="14"/>
      <c r="B965" s="14"/>
      <c r="C965" s="14"/>
      <c r="D965" s="14"/>
      <c r="E965" s="15"/>
      <c r="F965" s="14"/>
      <c r="G965" s="14"/>
      <c r="H965" s="15"/>
      <c r="I965" s="14"/>
      <c r="J965" s="14"/>
      <c r="K965" s="14"/>
      <c r="L965" s="14"/>
      <c r="M965" s="14"/>
    </row>
    <row r="966" ht="18.75" customHeight="1">
      <c r="A966" s="14"/>
      <c r="B966" s="14"/>
      <c r="C966" s="14"/>
      <c r="D966" s="14"/>
      <c r="E966" s="15"/>
      <c r="F966" s="14"/>
      <c r="G966" s="14"/>
      <c r="H966" s="15"/>
      <c r="I966" s="14"/>
      <c r="J966" s="14"/>
      <c r="K966" s="14"/>
      <c r="L966" s="14"/>
      <c r="M966" s="14"/>
    </row>
    <row r="967" ht="18.75" customHeight="1">
      <c r="A967" s="14"/>
      <c r="B967" s="14"/>
      <c r="C967" s="14"/>
      <c r="D967" s="14"/>
      <c r="E967" s="15"/>
      <c r="F967" s="14"/>
      <c r="G967" s="14"/>
      <c r="H967" s="15"/>
      <c r="I967" s="14"/>
      <c r="J967" s="14"/>
      <c r="K967" s="14"/>
      <c r="L967" s="14"/>
      <c r="M967" s="14"/>
    </row>
    <row r="968" ht="18.75" customHeight="1">
      <c r="A968" s="14"/>
      <c r="B968" s="14"/>
      <c r="C968" s="14"/>
      <c r="D968" s="14"/>
      <c r="E968" s="15"/>
      <c r="F968" s="14"/>
      <c r="G968" s="14"/>
      <c r="H968" s="15"/>
      <c r="I968" s="14"/>
      <c r="J968" s="14"/>
      <c r="K968" s="14"/>
      <c r="L968" s="14"/>
      <c r="M968" s="14"/>
    </row>
    <row r="969" ht="18.75" customHeight="1">
      <c r="A969" s="14"/>
      <c r="B969" s="14"/>
      <c r="C969" s="14"/>
      <c r="D969" s="14"/>
      <c r="E969" s="15"/>
      <c r="F969" s="14"/>
      <c r="G969" s="14"/>
      <c r="H969" s="15"/>
      <c r="I969" s="14"/>
      <c r="J969" s="14"/>
      <c r="K969" s="14"/>
      <c r="L969" s="14"/>
      <c r="M969" s="14"/>
    </row>
    <row r="970" ht="18.75" customHeight="1">
      <c r="A970" s="14"/>
      <c r="B970" s="14"/>
      <c r="C970" s="14"/>
      <c r="D970" s="14"/>
      <c r="E970" s="15"/>
      <c r="F970" s="14"/>
      <c r="G970" s="14"/>
      <c r="H970" s="15"/>
      <c r="I970" s="14"/>
      <c r="J970" s="14"/>
      <c r="K970" s="14"/>
      <c r="L970" s="14"/>
      <c r="M970" s="14"/>
    </row>
    <row r="971" ht="18.75" customHeight="1">
      <c r="A971" s="14"/>
      <c r="B971" s="14"/>
      <c r="C971" s="14"/>
      <c r="D971" s="14"/>
      <c r="E971" s="15"/>
      <c r="F971" s="14"/>
      <c r="G971" s="14"/>
      <c r="H971" s="15"/>
      <c r="I971" s="14"/>
      <c r="J971" s="14"/>
      <c r="K971" s="14"/>
      <c r="L971" s="14"/>
      <c r="M971" s="14"/>
    </row>
    <row r="972" ht="18.75" customHeight="1">
      <c r="A972" s="14"/>
      <c r="B972" s="14"/>
      <c r="C972" s="14"/>
      <c r="D972" s="14"/>
      <c r="E972" s="15"/>
      <c r="F972" s="14"/>
      <c r="G972" s="14"/>
      <c r="H972" s="15"/>
      <c r="I972" s="14"/>
      <c r="J972" s="14"/>
      <c r="K972" s="14"/>
      <c r="L972" s="14"/>
      <c r="M972" s="14"/>
    </row>
    <row r="973" ht="18.75" customHeight="1">
      <c r="A973" s="14"/>
      <c r="B973" s="14"/>
      <c r="C973" s="14"/>
      <c r="D973" s="14"/>
      <c r="E973" s="15"/>
      <c r="F973" s="14"/>
      <c r="G973" s="14"/>
      <c r="H973" s="15"/>
      <c r="I973" s="14"/>
      <c r="J973" s="14"/>
      <c r="K973" s="14"/>
      <c r="L973" s="14"/>
      <c r="M973" s="14"/>
    </row>
    <row r="974" ht="18.75" customHeight="1">
      <c r="A974" s="14"/>
      <c r="B974" s="14"/>
      <c r="C974" s="14"/>
      <c r="D974" s="14"/>
      <c r="E974" s="15"/>
      <c r="F974" s="14"/>
      <c r="G974" s="14"/>
      <c r="H974" s="15"/>
      <c r="I974" s="14"/>
      <c r="J974" s="14"/>
      <c r="K974" s="14"/>
      <c r="L974" s="14"/>
      <c r="M974" s="14"/>
    </row>
    <row r="975" ht="18.75" customHeight="1">
      <c r="A975" s="14"/>
      <c r="B975" s="14"/>
      <c r="C975" s="14"/>
      <c r="D975" s="14"/>
      <c r="E975" s="15"/>
      <c r="F975" s="14"/>
      <c r="G975" s="14"/>
      <c r="H975" s="15"/>
      <c r="I975" s="14"/>
      <c r="J975" s="14"/>
      <c r="K975" s="14"/>
      <c r="L975" s="14"/>
      <c r="M975" s="14"/>
    </row>
    <row r="976" ht="18.75" customHeight="1">
      <c r="A976" s="14"/>
      <c r="B976" s="14"/>
      <c r="C976" s="14"/>
      <c r="D976" s="14"/>
      <c r="E976" s="15"/>
      <c r="F976" s="14"/>
      <c r="G976" s="14"/>
      <c r="H976" s="15"/>
      <c r="I976" s="14"/>
      <c r="J976" s="14"/>
      <c r="K976" s="14"/>
      <c r="L976" s="14"/>
      <c r="M976" s="14"/>
    </row>
    <row r="977" ht="18.75" customHeight="1">
      <c r="A977" s="14"/>
      <c r="B977" s="14"/>
      <c r="C977" s="14"/>
      <c r="D977" s="14"/>
      <c r="E977" s="15"/>
      <c r="F977" s="14"/>
      <c r="G977" s="14"/>
      <c r="H977" s="15"/>
      <c r="I977" s="14"/>
      <c r="J977" s="14"/>
      <c r="K977" s="14"/>
      <c r="L977" s="14"/>
      <c r="M977" s="14"/>
    </row>
    <row r="978" ht="18.75" customHeight="1">
      <c r="A978" s="14"/>
      <c r="B978" s="14"/>
      <c r="C978" s="14"/>
      <c r="D978" s="14"/>
      <c r="E978" s="15"/>
      <c r="F978" s="14"/>
      <c r="G978" s="14"/>
      <c r="H978" s="15"/>
      <c r="I978" s="14"/>
      <c r="J978" s="14"/>
      <c r="K978" s="14"/>
      <c r="L978" s="14"/>
      <c r="M978" s="14"/>
    </row>
    <row r="979" ht="18.75" customHeight="1">
      <c r="A979" s="14"/>
      <c r="B979" s="14"/>
      <c r="C979" s="14"/>
      <c r="D979" s="14"/>
      <c r="E979" s="15"/>
      <c r="F979" s="14"/>
      <c r="G979" s="14"/>
      <c r="H979" s="15"/>
      <c r="I979" s="14"/>
      <c r="J979" s="14"/>
      <c r="K979" s="14"/>
      <c r="L979" s="14"/>
      <c r="M979" s="14"/>
    </row>
    <row r="980" ht="18.75" customHeight="1">
      <c r="A980" s="14"/>
      <c r="B980" s="14"/>
      <c r="C980" s="14"/>
      <c r="D980" s="14"/>
      <c r="E980" s="15"/>
      <c r="F980" s="14"/>
      <c r="G980" s="14"/>
      <c r="H980" s="15"/>
      <c r="I980" s="14"/>
      <c r="J980" s="14"/>
      <c r="K980" s="14"/>
      <c r="L980" s="14"/>
      <c r="M980" s="14"/>
    </row>
    <row r="981" ht="18.75" customHeight="1">
      <c r="A981" s="14"/>
      <c r="B981" s="14"/>
      <c r="C981" s="14"/>
      <c r="D981" s="14"/>
      <c r="E981" s="15"/>
      <c r="F981" s="14"/>
      <c r="G981" s="14"/>
      <c r="H981" s="15"/>
      <c r="I981" s="14"/>
      <c r="J981" s="14"/>
      <c r="K981" s="14"/>
      <c r="L981" s="14"/>
      <c r="M981" s="14"/>
    </row>
    <row r="982" ht="18.75" customHeight="1">
      <c r="A982" s="14"/>
      <c r="B982" s="14"/>
      <c r="C982" s="14"/>
      <c r="D982" s="14"/>
      <c r="E982" s="15"/>
      <c r="F982" s="14"/>
      <c r="G982" s="14"/>
      <c r="H982" s="15"/>
      <c r="I982" s="14"/>
      <c r="J982" s="14"/>
      <c r="K982" s="14"/>
      <c r="L982" s="14"/>
      <c r="M982" s="14"/>
    </row>
    <row r="983" ht="18.75" customHeight="1">
      <c r="A983" s="14"/>
      <c r="B983" s="14"/>
      <c r="C983" s="14"/>
      <c r="D983" s="14"/>
      <c r="E983" s="15"/>
      <c r="F983" s="14"/>
      <c r="G983" s="14"/>
      <c r="H983" s="15"/>
      <c r="I983" s="14"/>
      <c r="J983" s="14"/>
      <c r="K983" s="14"/>
      <c r="L983" s="14"/>
      <c r="M983" s="14"/>
    </row>
    <row r="984" ht="18.75" customHeight="1">
      <c r="A984" s="14"/>
      <c r="B984" s="14"/>
      <c r="C984" s="14"/>
      <c r="D984" s="14"/>
      <c r="E984" s="15"/>
      <c r="F984" s="14"/>
      <c r="G984" s="14"/>
      <c r="H984" s="15"/>
      <c r="I984" s="14"/>
      <c r="J984" s="14"/>
      <c r="K984" s="14"/>
      <c r="L984" s="14"/>
      <c r="M984" s="14"/>
    </row>
    <row r="985" ht="18.75" customHeight="1">
      <c r="A985" s="14"/>
      <c r="B985" s="14"/>
      <c r="C985" s="14"/>
      <c r="D985" s="14"/>
      <c r="E985" s="15"/>
      <c r="F985" s="14"/>
      <c r="G985" s="14"/>
      <c r="H985" s="15"/>
      <c r="I985" s="14"/>
      <c r="J985" s="14"/>
      <c r="K985" s="14"/>
      <c r="L985" s="14"/>
      <c r="M985" s="14"/>
    </row>
    <row r="986" ht="18.75" customHeight="1">
      <c r="A986" s="14"/>
      <c r="B986" s="14"/>
      <c r="C986" s="14"/>
      <c r="D986" s="14"/>
      <c r="E986" s="15"/>
      <c r="F986" s="14"/>
      <c r="G986" s="14"/>
      <c r="H986" s="15"/>
      <c r="I986" s="14"/>
      <c r="J986" s="14"/>
      <c r="K986" s="14"/>
      <c r="L986" s="14"/>
      <c r="M986" s="14"/>
    </row>
    <row r="987" ht="18.75" customHeight="1">
      <c r="A987" s="14"/>
      <c r="B987" s="14"/>
      <c r="C987" s="14"/>
      <c r="D987" s="14"/>
      <c r="E987" s="15"/>
      <c r="F987" s="14"/>
      <c r="G987" s="14"/>
      <c r="H987" s="15"/>
      <c r="I987" s="14"/>
      <c r="J987" s="14"/>
      <c r="K987" s="14"/>
      <c r="L987" s="14"/>
      <c r="M987" s="14"/>
    </row>
    <row r="988" ht="18.75" customHeight="1">
      <c r="A988" s="14"/>
      <c r="B988" s="14"/>
      <c r="C988" s="14"/>
      <c r="D988" s="14"/>
      <c r="E988" s="15"/>
      <c r="F988" s="14"/>
      <c r="G988" s="14"/>
      <c r="H988" s="15"/>
      <c r="I988" s="14"/>
      <c r="J988" s="14"/>
      <c r="K988" s="14"/>
      <c r="L988" s="14"/>
      <c r="M988" s="14"/>
    </row>
    <row r="989" ht="18.75" customHeight="1">
      <c r="A989" s="14"/>
      <c r="B989" s="14"/>
      <c r="C989" s="14"/>
      <c r="D989" s="14"/>
      <c r="E989" s="15"/>
      <c r="F989" s="14"/>
      <c r="G989" s="14"/>
      <c r="H989" s="15"/>
      <c r="I989" s="14"/>
      <c r="J989" s="14"/>
      <c r="K989" s="14"/>
      <c r="L989" s="14"/>
      <c r="M989" s="14"/>
    </row>
    <row r="990" ht="18.75" customHeight="1">
      <c r="A990" s="14"/>
      <c r="B990" s="14"/>
      <c r="C990" s="14"/>
      <c r="D990" s="14"/>
      <c r="E990" s="15"/>
      <c r="F990" s="14"/>
      <c r="G990" s="14"/>
      <c r="H990" s="15"/>
      <c r="I990" s="14"/>
      <c r="J990" s="14"/>
      <c r="K990" s="14"/>
      <c r="L990" s="14"/>
      <c r="M990" s="14"/>
    </row>
    <row r="991" ht="18.75" customHeight="1">
      <c r="A991" s="14"/>
      <c r="B991" s="14"/>
      <c r="C991" s="14"/>
      <c r="D991" s="14"/>
      <c r="E991" s="15"/>
      <c r="F991" s="14"/>
      <c r="G991" s="14"/>
      <c r="I991" s="14"/>
      <c r="J991" s="14"/>
      <c r="K991" s="14"/>
      <c r="L991" s="14"/>
    </row>
    <row r="992" ht="18.75" customHeight="1">
      <c r="A992" s="14"/>
      <c r="B992" s="14"/>
      <c r="C992" s="14"/>
      <c r="D992" s="14"/>
      <c r="E992" s="15"/>
      <c r="F992" s="14"/>
      <c r="G992" s="14"/>
      <c r="H992" s="15"/>
      <c r="I992" s="14"/>
      <c r="J992" s="14"/>
      <c r="K992" s="14"/>
      <c r="L992" s="14"/>
      <c r="M992" s="14"/>
    </row>
    <row r="993" ht="18.75" customHeight="1">
      <c r="A993" s="14"/>
      <c r="B993" s="14"/>
      <c r="C993" s="14"/>
      <c r="D993" s="14"/>
      <c r="E993" s="15"/>
      <c r="F993" s="14"/>
      <c r="G993" s="14"/>
      <c r="H993" s="15"/>
      <c r="I993" s="14"/>
      <c r="J993" s="14"/>
      <c r="K993" s="14"/>
      <c r="L993" s="14"/>
      <c r="M993" s="14"/>
    </row>
    <row r="994" ht="18.75" customHeight="1">
      <c r="A994" s="14"/>
      <c r="B994" s="14"/>
      <c r="C994" s="14"/>
      <c r="D994" s="14"/>
      <c r="E994" s="15"/>
      <c r="F994" s="14"/>
      <c r="G994" s="14"/>
      <c r="H994" s="15"/>
      <c r="I994" s="14"/>
      <c r="J994" s="14"/>
      <c r="K994" s="14"/>
      <c r="L994" s="14"/>
      <c r="M994" s="14"/>
    </row>
    <row r="995" ht="18.75" customHeight="1">
      <c r="A995" s="14"/>
      <c r="B995" s="14"/>
      <c r="C995" s="14"/>
      <c r="D995" s="14"/>
      <c r="E995" s="15"/>
      <c r="F995" s="14"/>
      <c r="G995" s="14"/>
      <c r="H995" s="15"/>
      <c r="I995" s="14"/>
      <c r="J995" s="14"/>
      <c r="K995" s="14"/>
      <c r="L995" s="14"/>
      <c r="M995" s="14"/>
    </row>
    <row r="996" ht="18.75" customHeight="1">
      <c r="A996" s="14"/>
      <c r="B996" s="14"/>
      <c r="C996" s="14"/>
      <c r="D996" s="14"/>
      <c r="E996" s="15"/>
      <c r="F996" s="14"/>
      <c r="G996" s="14"/>
      <c r="H996" s="15"/>
      <c r="I996" s="14"/>
      <c r="J996" s="14"/>
      <c r="K996" s="14"/>
      <c r="L996" s="14"/>
      <c r="M996" s="14"/>
    </row>
    <row r="997" ht="18.75" customHeight="1">
      <c r="A997" s="14"/>
      <c r="B997" s="14"/>
      <c r="C997" s="14"/>
      <c r="D997" s="14"/>
      <c r="E997" s="15"/>
      <c r="F997" s="14"/>
      <c r="G997" s="14"/>
      <c r="H997" s="15"/>
      <c r="I997" s="14"/>
      <c r="J997" s="14"/>
      <c r="K997" s="14"/>
      <c r="L997" s="14"/>
      <c r="M997" s="14"/>
    </row>
    <row r="998" ht="18.75" customHeight="1">
      <c r="A998" s="14"/>
      <c r="B998" s="14"/>
      <c r="C998" s="14"/>
      <c r="D998" s="14"/>
      <c r="E998" s="15"/>
      <c r="F998" s="14"/>
      <c r="G998" s="14"/>
      <c r="H998" s="15"/>
      <c r="I998" s="14"/>
      <c r="J998" s="14"/>
      <c r="K998" s="14"/>
      <c r="L998" s="14"/>
      <c r="M998" s="14"/>
    </row>
    <row r="999" ht="18.75" customHeight="1">
      <c r="A999" s="14"/>
      <c r="B999" s="14"/>
      <c r="C999" s="14"/>
      <c r="D999" s="14"/>
      <c r="E999" s="15"/>
      <c r="F999" s="14"/>
      <c r="G999" s="14"/>
      <c r="H999" s="15"/>
      <c r="I999" s="14"/>
      <c r="J999" s="14"/>
      <c r="K999" s="14"/>
      <c r="L999" s="14"/>
      <c r="M999" s="14"/>
    </row>
    <row r="1000" ht="18.75" customHeight="1">
      <c r="A1000" s="14"/>
      <c r="B1000" s="14"/>
      <c r="C1000" s="14"/>
      <c r="D1000" s="14"/>
      <c r="E1000" s="15"/>
      <c r="F1000" s="14"/>
      <c r="G1000" s="14"/>
      <c r="H1000" s="15"/>
      <c r="I1000" s="14"/>
      <c r="J1000" s="14"/>
      <c r="K1000" s="14"/>
      <c r="L1000" s="14"/>
      <c r="M1000" s="14"/>
    </row>
    <row r="1001" ht="18.75" customHeight="1">
      <c r="A1001" s="14"/>
      <c r="B1001" s="14"/>
      <c r="C1001" s="14"/>
      <c r="D1001" s="14"/>
      <c r="E1001" s="15"/>
      <c r="F1001" s="14"/>
      <c r="G1001" s="14"/>
      <c r="H1001" s="15"/>
      <c r="I1001" s="14"/>
      <c r="J1001" s="14"/>
      <c r="K1001" s="14"/>
      <c r="L1001" s="14"/>
      <c r="M1001" s="14"/>
    </row>
    <row r="1002" ht="18.75" customHeight="1">
      <c r="A1002" s="14"/>
      <c r="B1002" s="14"/>
      <c r="C1002" s="14"/>
      <c r="D1002" s="14"/>
      <c r="E1002" s="15"/>
      <c r="F1002" s="14"/>
      <c r="G1002" s="14"/>
      <c r="H1002" s="15"/>
      <c r="I1002" s="14"/>
      <c r="J1002" s="14"/>
      <c r="K1002" s="14"/>
      <c r="L1002" s="14"/>
      <c r="M1002" s="14"/>
    </row>
    <row r="1003" ht="18.75" customHeight="1">
      <c r="A1003" s="14"/>
      <c r="B1003" s="14"/>
      <c r="C1003" s="14"/>
      <c r="D1003" s="14"/>
      <c r="E1003" s="15"/>
      <c r="F1003" s="14"/>
      <c r="G1003" s="14"/>
      <c r="H1003" s="15"/>
      <c r="I1003" s="14"/>
      <c r="J1003" s="14"/>
      <c r="K1003" s="14"/>
      <c r="L1003" s="14"/>
      <c r="M1003" s="14"/>
    </row>
    <row r="1004" ht="18.75" customHeight="1">
      <c r="A1004" s="14"/>
      <c r="B1004" s="14"/>
      <c r="C1004" s="14"/>
      <c r="D1004" s="14"/>
      <c r="E1004" s="15"/>
      <c r="F1004" s="14"/>
      <c r="G1004" s="14"/>
      <c r="H1004" s="15"/>
      <c r="I1004" s="14"/>
      <c r="J1004" s="14"/>
      <c r="K1004" s="14"/>
      <c r="L1004" s="14"/>
      <c r="M1004" s="14"/>
    </row>
    <row r="1005" ht="18.75" customHeight="1">
      <c r="A1005" s="14"/>
      <c r="B1005" s="14"/>
      <c r="C1005" s="14"/>
      <c r="D1005" s="14"/>
      <c r="E1005" s="15"/>
      <c r="F1005" s="14"/>
      <c r="G1005" s="14"/>
      <c r="H1005" s="15"/>
      <c r="I1005" s="14"/>
      <c r="J1005" s="14"/>
      <c r="K1005" s="14"/>
      <c r="L1005" s="14"/>
      <c r="M1005" s="14"/>
    </row>
    <row r="1006" ht="18.75" customHeight="1">
      <c r="A1006" s="14"/>
      <c r="B1006" s="14"/>
      <c r="C1006" s="14"/>
      <c r="D1006" s="14"/>
      <c r="E1006" s="15"/>
      <c r="F1006" s="14"/>
      <c r="G1006" s="14"/>
      <c r="H1006" s="15"/>
      <c r="I1006" s="14"/>
      <c r="J1006" s="14"/>
      <c r="K1006" s="14"/>
      <c r="L1006" s="14"/>
      <c r="M1006" s="14"/>
    </row>
    <row r="1007" ht="18.75" customHeight="1">
      <c r="A1007" s="14"/>
      <c r="B1007" s="14"/>
      <c r="C1007" s="14"/>
      <c r="D1007" s="14"/>
      <c r="E1007" s="15"/>
      <c r="F1007" s="14"/>
      <c r="G1007" s="14"/>
      <c r="H1007" s="15"/>
      <c r="I1007" s="14"/>
      <c r="J1007" s="14"/>
      <c r="K1007" s="14"/>
      <c r="L1007" s="14"/>
      <c r="M1007" s="14"/>
    </row>
    <row r="1008" ht="18.75" customHeight="1">
      <c r="A1008" s="14"/>
      <c r="B1008" s="14"/>
      <c r="C1008" s="14"/>
      <c r="D1008" s="14"/>
      <c r="E1008" s="15"/>
      <c r="F1008" s="14"/>
      <c r="G1008" s="14"/>
      <c r="H1008" s="15"/>
      <c r="I1008" s="14"/>
      <c r="J1008" s="14"/>
      <c r="K1008" s="14"/>
      <c r="L1008" s="14"/>
      <c r="M1008" s="14"/>
    </row>
    <row r="1009" ht="18.75" customHeight="1">
      <c r="A1009" s="14"/>
      <c r="B1009" s="14"/>
      <c r="C1009" s="14"/>
      <c r="D1009" s="14"/>
      <c r="E1009" s="15"/>
      <c r="F1009" s="14"/>
      <c r="G1009" s="14"/>
      <c r="H1009" s="15"/>
      <c r="I1009" s="14"/>
      <c r="J1009" s="14"/>
      <c r="K1009" s="14"/>
      <c r="L1009" s="14"/>
      <c r="M1009" s="14"/>
    </row>
    <row r="1010" ht="18.75" customHeight="1">
      <c r="A1010" s="14"/>
      <c r="B1010" s="14"/>
      <c r="C1010" s="14"/>
      <c r="D1010" s="14"/>
      <c r="E1010" s="15"/>
      <c r="F1010" s="14"/>
      <c r="G1010" s="14"/>
      <c r="H1010" s="15"/>
      <c r="I1010" s="14"/>
      <c r="J1010" s="14"/>
      <c r="K1010" s="14"/>
      <c r="L1010" s="14"/>
      <c r="M1010" s="14"/>
    </row>
    <row r="1011" ht="18.75" customHeight="1">
      <c r="A1011" s="14"/>
      <c r="B1011" s="14"/>
      <c r="C1011" s="14"/>
      <c r="D1011" s="14"/>
      <c r="E1011" s="15"/>
      <c r="F1011" s="14"/>
      <c r="G1011" s="14"/>
      <c r="H1011" s="15"/>
      <c r="I1011" s="14"/>
      <c r="J1011" s="14"/>
      <c r="K1011" s="14"/>
      <c r="L1011" s="14"/>
      <c r="M1011" s="14"/>
    </row>
    <row r="1012" ht="18.75" customHeight="1">
      <c r="A1012" s="14"/>
      <c r="B1012" s="14"/>
      <c r="C1012" s="14"/>
      <c r="D1012" s="14"/>
      <c r="E1012" s="15"/>
      <c r="F1012" s="14"/>
      <c r="G1012" s="14"/>
      <c r="H1012" s="15"/>
      <c r="I1012" s="14"/>
      <c r="J1012" s="14"/>
      <c r="K1012" s="14"/>
      <c r="L1012" s="14"/>
      <c r="M1012" s="14"/>
    </row>
    <row r="1013" ht="18.75" customHeight="1">
      <c r="A1013" s="14"/>
      <c r="B1013" s="14"/>
      <c r="C1013" s="14"/>
      <c r="D1013" s="14"/>
      <c r="E1013" s="15"/>
      <c r="F1013" s="14"/>
      <c r="G1013" s="14"/>
      <c r="H1013" s="15"/>
      <c r="I1013" s="14"/>
      <c r="J1013" s="14"/>
      <c r="K1013" s="14"/>
      <c r="L1013" s="14"/>
      <c r="M1013" s="14"/>
    </row>
    <row r="1014" ht="18.75" customHeight="1">
      <c r="A1014" s="14"/>
      <c r="B1014" s="14"/>
      <c r="C1014" s="14"/>
      <c r="D1014" s="14"/>
      <c r="E1014" s="15"/>
      <c r="F1014" s="14"/>
      <c r="G1014" s="14"/>
      <c r="H1014" s="15"/>
      <c r="I1014" s="14"/>
      <c r="J1014" s="14"/>
      <c r="K1014" s="14"/>
      <c r="L1014" s="14"/>
      <c r="M1014" s="14"/>
    </row>
    <row r="1015" ht="18.75" customHeight="1">
      <c r="A1015" s="14"/>
      <c r="B1015" s="14"/>
      <c r="C1015" s="14"/>
      <c r="D1015" s="14"/>
      <c r="E1015" s="15"/>
      <c r="F1015" s="14"/>
      <c r="G1015" s="14"/>
      <c r="H1015" s="15"/>
      <c r="I1015" s="14"/>
      <c r="J1015" s="14"/>
      <c r="K1015" s="14"/>
      <c r="L1015" s="14"/>
      <c r="M1015" s="14"/>
    </row>
    <row r="1016" ht="18.75" customHeight="1">
      <c r="A1016" s="14"/>
      <c r="B1016" s="14"/>
      <c r="C1016" s="14"/>
      <c r="D1016" s="14"/>
      <c r="E1016" s="15"/>
      <c r="F1016" s="14"/>
      <c r="G1016" s="14"/>
      <c r="H1016" s="15"/>
      <c r="I1016" s="14"/>
      <c r="J1016" s="14"/>
      <c r="K1016" s="14"/>
      <c r="L1016" s="14"/>
      <c r="M1016" s="14"/>
    </row>
    <row r="1017" ht="18.75" customHeight="1">
      <c r="A1017" s="14"/>
      <c r="B1017" s="14"/>
      <c r="C1017" s="14"/>
      <c r="D1017" s="14"/>
      <c r="E1017" s="15"/>
      <c r="F1017" s="14"/>
      <c r="G1017" s="14"/>
      <c r="H1017" s="15"/>
      <c r="I1017" s="14"/>
      <c r="J1017" s="14"/>
      <c r="K1017" s="14"/>
      <c r="L1017" s="14"/>
      <c r="M1017" s="14"/>
    </row>
    <row r="1018" ht="18.75" customHeight="1">
      <c r="A1018" s="14"/>
      <c r="B1018" s="14"/>
      <c r="C1018" s="14"/>
      <c r="D1018" s="14"/>
      <c r="E1018" s="15"/>
      <c r="F1018" s="14"/>
      <c r="G1018" s="14"/>
      <c r="H1018" s="15"/>
      <c r="I1018" s="14"/>
      <c r="J1018" s="14"/>
      <c r="K1018" s="14"/>
      <c r="L1018" s="14"/>
      <c r="M1018" s="14"/>
    </row>
    <row r="1019" ht="18.75" customHeight="1">
      <c r="A1019" s="14"/>
      <c r="B1019" s="14"/>
      <c r="C1019" s="14"/>
      <c r="D1019" s="14"/>
      <c r="E1019" s="15"/>
      <c r="F1019" s="14"/>
      <c r="G1019" s="14"/>
      <c r="H1019" s="15"/>
      <c r="I1019" s="14"/>
      <c r="J1019" s="14"/>
      <c r="K1019" s="14"/>
      <c r="L1019" s="14"/>
      <c r="M1019" s="14"/>
    </row>
    <row r="1020" ht="18.75" customHeight="1">
      <c r="A1020" s="14"/>
      <c r="B1020" s="14"/>
      <c r="C1020" s="14"/>
      <c r="D1020" s="14"/>
      <c r="E1020" s="15"/>
      <c r="F1020" s="14"/>
      <c r="G1020" s="14"/>
      <c r="H1020" s="15"/>
      <c r="I1020" s="14"/>
      <c r="J1020" s="14"/>
      <c r="K1020" s="14"/>
      <c r="L1020" s="14"/>
      <c r="M1020" s="14"/>
    </row>
    <row r="1021" ht="18.75" customHeight="1">
      <c r="A1021" s="14"/>
      <c r="B1021" s="14"/>
      <c r="C1021" s="14"/>
      <c r="D1021" s="14"/>
      <c r="E1021" s="15"/>
      <c r="F1021" s="14"/>
      <c r="G1021" s="14"/>
      <c r="I1021" s="14"/>
      <c r="J1021" s="14"/>
      <c r="K1021" s="14"/>
      <c r="L1021" s="14"/>
    </row>
    <row r="1022" ht="18.75" customHeight="1">
      <c r="A1022" s="14"/>
      <c r="B1022" s="14"/>
      <c r="C1022" s="14"/>
      <c r="D1022" s="14"/>
      <c r="E1022" s="15"/>
      <c r="F1022" s="14"/>
      <c r="G1022" s="14"/>
      <c r="H1022" s="15"/>
      <c r="I1022" s="14"/>
      <c r="J1022" s="14"/>
      <c r="K1022" s="14"/>
      <c r="L1022" s="14"/>
      <c r="M1022" s="14"/>
    </row>
    <row r="1023" ht="18.75" customHeight="1">
      <c r="A1023" s="14"/>
      <c r="B1023" s="14"/>
      <c r="C1023" s="14"/>
      <c r="D1023" s="14"/>
      <c r="E1023" s="15"/>
      <c r="F1023" s="14"/>
      <c r="G1023" s="14"/>
      <c r="H1023" s="15"/>
      <c r="I1023" s="14"/>
      <c r="J1023" s="14"/>
      <c r="K1023" s="14"/>
      <c r="L1023" s="14"/>
      <c r="M1023" s="14"/>
    </row>
    <row r="1024" ht="18.75" customHeight="1">
      <c r="A1024" s="14"/>
      <c r="B1024" s="14"/>
      <c r="C1024" s="14"/>
      <c r="D1024" s="14"/>
      <c r="E1024" s="15"/>
      <c r="F1024" s="14"/>
      <c r="G1024" s="14"/>
      <c r="H1024" s="15"/>
      <c r="I1024" s="14"/>
      <c r="J1024" s="14"/>
      <c r="K1024" s="14"/>
      <c r="L1024" s="14"/>
      <c r="M1024" s="14"/>
    </row>
    <row r="1025" ht="18.75" customHeight="1">
      <c r="A1025" s="14"/>
      <c r="B1025" s="14"/>
      <c r="C1025" s="14"/>
      <c r="D1025" s="14"/>
      <c r="E1025" s="15"/>
      <c r="F1025" s="14"/>
      <c r="G1025" s="14"/>
      <c r="H1025" s="15"/>
      <c r="I1025" s="14"/>
      <c r="J1025" s="14"/>
      <c r="K1025" s="14"/>
      <c r="L1025" s="14"/>
      <c r="M1025" s="14"/>
    </row>
    <row r="1026" ht="18.75" customHeight="1">
      <c r="A1026" s="14"/>
      <c r="B1026" s="14"/>
      <c r="C1026" s="14"/>
      <c r="D1026" s="14"/>
      <c r="E1026" s="15"/>
      <c r="F1026" s="14"/>
      <c r="G1026" s="14"/>
      <c r="H1026" s="15"/>
      <c r="I1026" s="14"/>
      <c r="J1026" s="14"/>
      <c r="K1026" s="14"/>
      <c r="L1026" s="14"/>
      <c r="M1026" s="14"/>
    </row>
    <row r="1027" ht="18.75" customHeight="1">
      <c r="A1027" s="14"/>
      <c r="B1027" s="14"/>
      <c r="C1027" s="14"/>
      <c r="D1027" s="14"/>
      <c r="E1027" s="15"/>
      <c r="F1027" s="14"/>
      <c r="G1027" s="14"/>
      <c r="H1027" s="15"/>
      <c r="I1027" s="14"/>
      <c r="J1027" s="14"/>
      <c r="K1027" s="14"/>
      <c r="L1027" s="14"/>
      <c r="M1027" s="14"/>
    </row>
    <row r="1028" ht="18.75" customHeight="1">
      <c r="A1028" s="14"/>
      <c r="B1028" s="14"/>
      <c r="C1028" s="14"/>
      <c r="D1028" s="14"/>
      <c r="E1028" s="15"/>
      <c r="F1028" s="14"/>
      <c r="G1028" s="14"/>
      <c r="H1028" s="15"/>
      <c r="I1028" s="14"/>
      <c r="J1028" s="14"/>
      <c r="K1028" s="14"/>
      <c r="L1028" s="14"/>
      <c r="M1028" s="14"/>
    </row>
    <row r="1029" ht="18.75" customHeight="1">
      <c r="A1029" s="14"/>
      <c r="B1029" s="14"/>
      <c r="C1029" s="14"/>
      <c r="D1029" s="14"/>
      <c r="E1029" s="15"/>
      <c r="F1029" s="14"/>
      <c r="G1029" s="14"/>
      <c r="H1029" s="15"/>
      <c r="I1029" s="14"/>
      <c r="J1029" s="14"/>
      <c r="K1029" s="14"/>
      <c r="L1029" s="14"/>
      <c r="M1029" s="14"/>
    </row>
    <row r="1030" ht="18.75" customHeight="1">
      <c r="A1030" s="14"/>
      <c r="B1030" s="14"/>
      <c r="C1030" s="14"/>
      <c r="D1030" s="14"/>
      <c r="E1030" s="15"/>
      <c r="F1030" s="14"/>
      <c r="G1030" s="14"/>
      <c r="H1030" s="15"/>
      <c r="I1030" s="14"/>
      <c r="J1030" s="14"/>
      <c r="K1030" s="14"/>
      <c r="L1030" s="14"/>
      <c r="M1030" s="14"/>
    </row>
    <row r="1031" ht="18.75" customHeight="1">
      <c r="A1031" s="14"/>
      <c r="B1031" s="14"/>
      <c r="C1031" s="14"/>
      <c r="D1031" s="14"/>
      <c r="E1031" s="15"/>
      <c r="F1031" s="14"/>
      <c r="G1031" s="14"/>
      <c r="H1031" s="15"/>
      <c r="I1031" s="14"/>
      <c r="J1031" s="14"/>
      <c r="K1031" s="14"/>
      <c r="L1031" s="14"/>
      <c r="M1031" s="14"/>
    </row>
    <row r="1032" ht="18.75" customHeight="1">
      <c r="A1032" s="14"/>
      <c r="B1032" s="14"/>
      <c r="C1032" s="14"/>
      <c r="D1032" s="14"/>
      <c r="E1032" s="15"/>
      <c r="F1032" s="14"/>
      <c r="G1032" s="14"/>
      <c r="H1032" s="15"/>
      <c r="I1032" s="14"/>
      <c r="J1032" s="14"/>
      <c r="K1032" s="14"/>
      <c r="L1032" s="14"/>
      <c r="M1032" s="14"/>
    </row>
    <row r="1033" ht="18.75" customHeight="1">
      <c r="A1033" s="14"/>
      <c r="B1033" s="14"/>
      <c r="C1033" s="14"/>
      <c r="D1033" s="14"/>
      <c r="E1033" s="15"/>
      <c r="F1033" s="14"/>
      <c r="G1033" s="14"/>
      <c r="H1033" s="15"/>
      <c r="I1033" s="14"/>
      <c r="J1033" s="14"/>
      <c r="K1033" s="14"/>
      <c r="L1033" s="14"/>
      <c r="M1033" s="14"/>
    </row>
    <row r="1034" ht="18.75" customHeight="1">
      <c r="A1034" s="14"/>
      <c r="B1034" s="14"/>
      <c r="C1034" s="14"/>
      <c r="D1034" s="14"/>
      <c r="E1034" s="15"/>
      <c r="F1034" s="14"/>
      <c r="G1034" s="14"/>
      <c r="H1034" s="15"/>
      <c r="I1034" s="14"/>
      <c r="J1034" s="14"/>
      <c r="K1034" s="14"/>
      <c r="L1034" s="14"/>
      <c r="M1034" s="14"/>
    </row>
    <row r="1035" ht="18.75" customHeight="1">
      <c r="A1035" s="14"/>
      <c r="B1035" s="14"/>
      <c r="C1035" s="14"/>
      <c r="D1035" s="14"/>
      <c r="E1035" s="15"/>
      <c r="F1035" s="14"/>
      <c r="G1035" s="14"/>
      <c r="H1035" s="15"/>
      <c r="I1035" s="14"/>
      <c r="J1035" s="14"/>
      <c r="K1035" s="14"/>
      <c r="L1035" s="14"/>
      <c r="M1035" s="14"/>
    </row>
    <row r="1036" ht="18.75" customHeight="1">
      <c r="A1036" s="14"/>
      <c r="B1036" s="14"/>
      <c r="C1036" s="14"/>
      <c r="D1036" s="14"/>
      <c r="E1036" s="15"/>
      <c r="F1036" s="14"/>
      <c r="G1036" s="14"/>
      <c r="H1036" s="15"/>
      <c r="I1036" s="14"/>
      <c r="J1036" s="14"/>
      <c r="K1036" s="14"/>
      <c r="L1036" s="14"/>
      <c r="M1036" s="14"/>
    </row>
    <row r="1037" ht="18.75" customHeight="1">
      <c r="A1037" s="14"/>
      <c r="B1037" s="14"/>
      <c r="C1037" s="14"/>
      <c r="D1037" s="14"/>
      <c r="E1037" s="15"/>
      <c r="F1037" s="14"/>
      <c r="G1037" s="14"/>
      <c r="H1037" s="15"/>
      <c r="I1037" s="14"/>
      <c r="J1037" s="14"/>
      <c r="K1037" s="14"/>
      <c r="L1037" s="14"/>
      <c r="M1037" s="14"/>
    </row>
    <row r="1038" ht="18.75" customHeight="1">
      <c r="A1038" s="14"/>
      <c r="B1038" s="14"/>
      <c r="C1038" s="14"/>
      <c r="D1038" s="14"/>
      <c r="E1038" s="15"/>
      <c r="F1038" s="14"/>
      <c r="G1038" s="14"/>
      <c r="I1038" s="14"/>
      <c r="J1038" s="14"/>
      <c r="K1038" s="14"/>
      <c r="L1038" s="14"/>
    </row>
    <row r="1039" ht="18.75" customHeight="1">
      <c r="A1039" s="14"/>
      <c r="B1039" s="14"/>
      <c r="C1039" s="14"/>
      <c r="D1039" s="14"/>
      <c r="E1039" s="15"/>
      <c r="F1039" s="14"/>
      <c r="G1039" s="14"/>
      <c r="H1039" s="15"/>
      <c r="I1039" s="14"/>
      <c r="J1039" s="14"/>
      <c r="K1039" s="14"/>
      <c r="L1039" s="14"/>
      <c r="M1039" s="14"/>
    </row>
    <row r="1040" ht="18.75" customHeight="1">
      <c r="A1040" s="14"/>
      <c r="B1040" s="14"/>
      <c r="C1040" s="14"/>
      <c r="D1040" s="14"/>
      <c r="E1040" s="15"/>
      <c r="F1040" s="14"/>
      <c r="G1040" s="14"/>
      <c r="H1040" s="15"/>
      <c r="I1040" s="14"/>
      <c r="J1040" s="14"/>
      <c r="K1040" s="14"/>
      <c r="L1040" s="14"/>
      <c r="M1040" s="14"/>
    </row>
    <row r="1041" ht="18.75" customHeight="1">
      <c r="A1041" s="14"/>
      <c r="B1041" s="14"/>
      <c r="C1041" s="14"/>
      <c r="D1041" s="14"/>
      <c r="E1041" s="15"/>
      <c r="F1041" s="14"/>
      <c r="G1041" s="14"/>
      <c r="H1041" s="15"/>
      <c r="I1041" s="14"/>
      <c r="J1041" s="14"/>
      <c r="K1041" s="14"/>
      <c r="L1041" s="14"/>
      <c r="M1041" s="14"/>
    </row>
    <row r="1042" ht="18.75" customHeight="1">
      <c r="A1042" s="14"/>
      <c r="B1042" s="14"/>
      <c r="C1042" s="14"/>
      <c r="D1042" s="14"/>
      <c r="E1042" s="15"/>
      <c r="F1042" s="14"/>
      <c r="G1042" s="14"/>
      <c r="H1042" s="15"/>
      <c r="I1042" s="14"/>
      <c r="J1042" s="14"/>
      <c r="K1042" s="14"/>
      <c r="L1042" s="14"/>
      <c r="M1042" s="14"/>
    </row>
    <row r="1043" ht="18.75" customHeight="1">
      <c r="A1043" s="14"/>
      <c r="B1043" s="14"/>
      <c r="C1043" s="14"/>
      <c r="D1043" s="14"/>
      <c r="E1043" s="15"/>
      <c r="F1043" s="14"/>
      <c r="G1043" s="14"/>
      <c r="H1043" s="15"/>
      <c r="I1043" s="14"/>
      <c r="J1043" s="14"/>
      <c r="K1043" s="14"/>
      <c r="L1043" s="14"/>
      <c r="M1043" s="14"/>
    </row>
    <row r="1044" ht="18.75" customHeight="1">
      <c r="A1044" s="14"/>
      <c r="B1044" s="14"/>
      <c r="C1044" s="14"/>
      <c r="D1044" s="14"/>
      <c r="E1044" s="15"/>
      <c r="F1044" s="14"/>
      <c r="G1044" s="14"/>
      <c r="H1044" s="15"/>
      <c r="I1044" s="14"/>
      <c r="J1044" s="14"/>
      <c r="K1044" s="14"/>
      <c r="L1044" s="14"/>
      <c r="M1044" s="14"/>
    </row>
    <row r="1045" ht="18.75" customHeight="1">
      <c r="A1045" s="14"/>
      <c r="B1045" s="14"/>
      <c r="C1045" s="14"/>
      <c r="D1045" s="14"/>
      <c r="E1045" s="15"/>
      <c r="F1045" s="14"/>
      <c r="G1045" s="14"/>
      <c r="H1045" s="15"/>
      <c r="I1045" s="14"/>
      <c r="J1045" s="14"/>
      <c r="K1045" s="14"/>
      <c r="L1045" s="14"/>
      <c r="M1045" s="14"/>
    </row>
    <row r="1046" ht="18.75" customHeight="1">
      <c r="A1046" s="14"/>
      <c r="B1046" s="14"/>
      <c r="C1046" s="14"/>
      <c r="D1046" s="14"/>
      <c r="E1046" s="15"/>
      <c r="F1046" s="14"/>
      <c r="G1046" s="14"/>
      <c r="H1046" s="15"/>
      <c r="I1046" s="14"/>
      <c r="J1046" s="14"/>
      <c r="K1046" s="14"/>
      <c r="L1046" s="14"/>
      <c r="M1046" s="14"/>
    </row>
    <row r="1047" ht="18.75" customHeight="1">
      <c r="A1047" s="14"/>
      <c r="B1047" s="14"/>
      <c r="C1047" s="14"/>
      <c r="D1047" s="14"/>
      <c r="E1047" s="15"/>
      <c r="F1047" s="14"/>
      <c r="G1047" s="14"/>
      <c r="H1047" s="15"/>
      <c r="I1047" s="14"/>
      <c r="J1047" s="14"/>
      <c r="K1047" s="14"/>
      <c r="L1047" s="14"/>
      <c r="M1047" s="14"/>
    </row>
    <row r="1048" ht="18.75" customHeight="1">
      <c r="A1048" s="14"/>
      <c r="B1048" s="14"/>
      <c r="C1048" s="14"/>
      <c r="D1048" s="14"/>
      <c r="E1048" s="15"/>
      <c r="F1048" s="14"/>
      <c r="G1048" s="14"/>
      <c r="H1048" s="15"/>
      <c r="I1048" s="14"/>
      <c r="J1048" s="14"/>
      <c r="K1048" s="14"/>
      <c r="L1048" s="14"/>
      <c r="M1048" s="14"/>
    </row>
    <row r="1049" ht="18.75" customHeight="1">
      <c r="A1049" s="14"/>
      <c r="B1049" s="14"/>
      <c r="C1049" s="14"/>
      <c r="D1049" s="14"/>
      <c r="E1049" s="15"/>
      <c r="F1049" s="14"/>
      <c r="G1049" s="14"/>
      <c r="H1049" s="15"/>
      <c r="I1049" s="14"/>
      <c r="J1049" s="14"/>
      <c r="K1049" s="14"/>
      <c r="L1049" s="14"/>
      <c r="M1049" s="14"/>
    </row>
    <row r="1050" ht="18.75" customHeight="1">
      <c r="A1050" s="14"/>
      <c r="B1050" s="14"/>
      <c r="C1050" s="14"/>
      <c r="D1050" s="14"/>
      <c r="E1050" s="15"/>
      <c r="F1050" s="14"/>
      <c r="G1050" s="14"/>
      <c r="H1050" s="15"/>
      <c r="I1050" s="14"/>
      <c r="J1050" s="14"/>
      <c r="K1050" s="14"/>
      <c r="L1050" s="14"/>
      <c r="M1050" s="14"/>
    </row>
    <row r="1051" ht="18.75" customHeight="1">
      <c r="A1051" s="14"/>
      <c r="B1051" s="14"/>
      <c r="C1051" s="14"/>
      <c r="D1051" s="14"/>
      <c r="E1051" s="15"/>
      <c r="F1051" s="14"/>
      <c r="G1051" s="14"/>
      <c r="H1051" s="15"/>
      <c r="I1051" s="14"/>
      <c r="J1051" s="14"/>
      <c r="K1051" s="14"/>
      <c r="L1051" s="14"/>
      <c r="M1051" s="14"/>
    </row>
    <row r="1052" ht="18.75" customHeight="1">
      <c r="A1052" s="14"/>
      <c r="B1052" s="14"/>
      <c r="C1052" s="14"/>
      <c r="D1052" s="14"/>
      <c r="E1052" s="15"/>
      <c r="F1052" s="14"/>
      <c r="G1052" s="14"/>
      <c r="H1052" s="15"/>
      <c r="I1052" s="14"/>
      <c r="J1052" s="14"/>
      <c r="K1052" s="14"/>
      <c r="L1052" s="14"/>
      <c r="M1052" s="14"/>
    </row>
    <row r="1053" ht="18.75" customHeight="1">
      <c r="A1053" s="14"/>
      <c r="B1053" s="14"/>
      <c r="C1053" s="14"/>
      <c r="D1053" s="14"/>
      <c r="E1053" s="15"/>
      <c r="F1053" s="14"/>
      <c r="G1053" s="14"/>
      <c r="H1053" s="15"/>
      <c r="I1053" s="14"/>
      <c r="J1053" s="14"/>
      <c r="K1053" s="14"/>
      <c r="L1053" s="14"/>
      <c r="M1053" s="14"/>
    </row>
    <row r="1054" ht="18.75" customHeight="1">
      <c r="A1054" s="14"/>
      <c r="B1054" s="14"/>
      <c r="C1054" s="14"/>
      <c r="D1054" s="14"/>
      <c r="E1054" s="15"/>
      <c r="F1054" s="14"/>
      <c r="G1054" s="14"/>
      <c r="H1054" s="15"/>
      <c r="I1054" s="14"/>
      <c r="J1054" s="14"/>
      <c r="K1054" s="14"/>
      <c r="L1054" s="14"/>
      <c r="M1054" s="14"/>
    </row>
    <row r="1055" ht="18.75" customHeight="1">
      <c r="A1055" s="14"/>
      <c r="B1055" s="14"/>
      <c r="C1055" s="14"/>
      <c r="D1055" s="14"/>
      <c r="E1055" s="15"/>
      <c r="F1055" s="14"/>
      <c r="G1055" s="14"/>
      <c r="H1055" s="15"/>
      <c r="I1055" s="14"/>
      <c r="J1055" s="14"/>
      <c r="K1055" s="14"/>
      <c r="L1055" s="14"/>
      <c r="M1055" s="14"/>
    </row>
    <row r="1056" ht="18.75" customHeight="1">
      <c r="A1056" s="14"/>
      <c r="B1056" s="14"/>
      <c r="C1056" s="14"/>
      <c r="D1056" s="14"/>
      <c r="E1056" s="15"/>
      <c r="F1056" s="14"/>
      <c r="G1056" s="14"/>
      <c r="H1056" s="15"/>
      <c r="I1056" s="14"/>
      <c r="J1056" s="14"/>
      <c r="K1056" s="14"/>
      <c r="L1056" s="14"/>
      <c r="M1056" s="14"/>
    </row>
    <row r="1057" ht="18.75" customHeight="1">
      <c r="A1057" s="14"/>
      <c r="B1057" s="14"/>
      <c r="C1057" s="14"/>
      <c r="D1057" s="14"/>
      <c r="E1057" s="15"/>
      <c r="F1057" s="14"/>
      <c r="G1057" s="14"/>
      <c r="H1057" s="15"/>
      <c r="I1057" s="14"/>
      <c r="J1057" s="14"/>
      <c r="K1057" s="14"/>
      <c r="L1057" s="14"/>
      <c r="M1057" s="14"/>
    </row>
    <row r="1058" ht="18.75" customHeight="1">
      <c r="A1058" s="14"/>
      <c r="B1058" s="14"/>
      <c r="C1058" s="14"/>
      <c r="D1058" s="14"/>
      <c r="E1058" s="15"/>
      <c r="F1058" s="14"/>
      <c r="G1058" s="14"/>
      <c r="H1058" s="15"/>
      <c r="I1058" s="14"/>
      <c r="J1058" s="14"/>
      <c r="K1058" s="14"/>
      <c r="L1058" s="14"/>
      <c r="M1058" s="14"/>
    </row>
    <row r="1059" ht="18.75" customHeight="1">
      <c r="A1059" s="14"/>
      <c r="B1059" s="14"/>
      <c r="C1059" s="14"/>
      <c r="D1059" s="14"/>
      <c r="E1059" s="15"/>
      <c r="F1059" s="14"/>
      <c r="G1059" s="14"/>
      <c r="H1059" s="15"/>
      <c r="I1059" s="14"/>
      <c r="J1059" s="14"/>
      <c r="K1059" s="14"/>
      <c r="L1059" s="14"/>
      <c r="M1059" s="14"/>
    </row>
    <row r="1060" ht="18.75" customHeight="1">
      <c r="A1060" s="14"/>
      <c r="B1060" s="14"/>
      <c r="C1060" s="14"/>
      <c r="D1060" s="14"/>
      <c r="E1060" s="15"/>
      <c r="F1060" s="14"/>
      <c r="G1060" s="14"/>
      <c r="H1060" s="15"/>
      <c r="I1060" s="14"/>
      <c r="J1060" s="14"/>
      <c r="K1060" s="14"/>
      <c r="L1060" s="14"/>
      <c r="M1060" s="14"/>
    </row>
    <row r="1061" ht="18.75" customHeight="1">
      <c r="A1061" s="14"/>
      <c r="B1061" s="14"/>
      <c r="C1061" s="14"/>
      <c r="D1061" s="14"/>
      <c r="E1061" s="15"/>
      <c r="F1061" s="14"/>
      <c r="G1061" s="14"/>
      <c r="H1061" s="15"/>
      <c r="I1061" s="14"/>
      <c r="J1061" s="14"/>
      <c r="K1061" s="14"/>
      <c r="L1061" s="14"/>
      <c r="M1061" s="14"/>
    </row>
    <row r="1062" ht="18.75" customHeight="1">
      <c r="A1062" s="14"/>
      <c r="B1062" s="14"/>
      <c r="C1062" s="14"/>
      <c r="D1062" s="14"/>
      <c r="E1062" s="15"/>
      <c r="F1062" s="14"/>
      <c r="G1062" s="14"/>
      <c r="H1062" s="15"/>
      <c r="I1062" s="14"/>
      <c r="J1062" s="14"/>
      <c r="K1062" s="14"/>
      <c r="L1062" s="14"/>
      <c r="M1062" s="14"/>
    </row>
    <row r="1063" ht="18.75" customHeight="1">
      <c r="A1063" s="14"/>
      <c r="B1063" s="14"/>
      <c r="C1063" s="14"/>
      <c r="D1063" s="14"/>
      <c r="E1063" s="15"/>
      <c r="F1063" s="14"/>
      <c r="G1063" s="14"/>
      <c r="H1063" s="15"/>
      <c r="I1063" s="14"/>
      <c r="J1063" s="14"/>
      <c r="K1063" s="14"/>
      <c r="L1063" s="14"/>
      <c r="M1063" s="14"/>
    </row>
    <row r="1064" ht="18.75" customHeight="1">
      <c r="A1064" s="14"/>
      <c r="B1064" s="14"/>
      <c r="C1064" s="14"/>
      <c r="D1064" s="14"/>
      <c r="E1064" s="15"/>
      <c r="F1064" s="14"/>
      <c r="G1064" s="14"/>
      <c r="H1064" s="15"/>
      <c r="I1064" s="14"/>
      <c r="J1064" s="14"/>
      <c r="K1064" s="14"/>
      <c r="L1064" s="14"/>
      <c r="M1064" s="14"/>
    </row>
    <row r="1065" ht="18.75" customHeight="1">
      <c r="A1065" s="14"/>
      <c r="B1065" s="14"/>
      <c r="C1065" s="14"/>
      <c r="D1065" s="14"/>
      <c r="E1065" s="15"/>
      <c r="F1065" s="14"/>
      <c r="G1065" s="14"/>
      <c r="H1065" s="15"/>
      <c r="I1065" s="14"/>
      <c r="J1065" s="14"/>
      <c r="K1065" s="14"/>
      <c r="L1065" s="14"/>
      <c r="M1065" s="14"/>
    </row>
    <row r="1066" ht="18.75" customHeight="1">
      <c r="A1066" s="14"/>
      <c r="B1066" s="14"/>
      <c r="C1066" s="14"/>
      <c r="D1066" s="14"/>
      <c r="E1066" s="15"/>
      <c r="F1066" s="14"/>
      <c r="G1066" s="14"/>
      <c r="H1066" s="15"/>
      <c r="I1066" s="14"/>
      <c r="J1066" s="14"/>
      <c r="K1066" s="14"/>
      <c r="L1066" s="14"/>
      <c r="M1066" s="14"/>
    </row>
    <row r="1067" ht="18.75" customHeight="1">
      <c r="A1067" s="14"/>
      <c r="B1067" s="14"/>
      <c r="C1067" s="14"/>
      <c r="D1067" s="14"/>
      <c r="E1067" s="15"/>
      <c r="F1067" s="14"/>
      <c r="G1067" s="14"/>
      <c r="H1067" s="15"/>
      <c r="I1067" s="14"/>
      <c r="J1067" s="14"/>
      <c r="K1067" s="14"/>
      <c r="L1067" s="14"/>
      <c r="M1067" s="14"/>
    </row>
    <row r="1068" ht="18.75" customHeight="1">
      <c r="A1068" s="14"/>
      <c r="B1068" s="14"/>
      <c r="C1068" s="14"/>
      <c r="D1068" s="14"/>
      <c r="E1068" s="15"/>
      <c r="F1068" s="14"/>
      <c r="G1068" s="14"/>
      <c r="H1068" s="15"/>
      <c r="I1068" s="14"/>
      <c r="J1068" s="14"/>
      <c r="K1068" s="14"/>
      <c r="L1068" s="14"/>
      <c r="M1068" s="14"/>
    </row>
    <row r="1069" ht="18.75" customHeight="1">
      <c r="A1069" s="14"/>
      <c r="B1069" s="14"/>
      <c r="C1069" s="14"/>
      <c r="D1069" s="14"/>
      <c r="E1069" s="15"/>
      <c r="F1069" s="14"/>
      <c r="G1069" s="14"/>
      <c r="H1069" s="15"/>
      <c r="I1069" s="14"/>
      <c r="J1069" s="14"/>
      <c r="K1069" s="14"/>
      <c r="L1069" s="14"/>
      <c r="M1069" s="14"/>
    </row>
    <row r="1070" ht="18.75" customHeight="1">
      <c r="A1070" s="14"/>
      <c r="B1070" s="14"/>
      <c r="C1070" s="14"/>
      <c r="D1070" s="14"/>
      <c r="E1070" s="15"/>
      <c r="F1070" s="14"/>
      <c r="G1070" s="14"/>
      <c r="H1070" s="15"/>
      <c r="I1070" s="14"/>
      <c r="J1070" s="14"/>
      <c r="K1070" s="14"/>
      <c r="L1070" s="14"/>
      <c r="M1070" s="14"/>
    </row>
    <row r="1071" ht="18.75" customHeight="1">
      <c r="A1071" s="14"/>
      <c r="B1071" s="14"/>
      <c r="C1071" s="14"/>
      <c r="D1071" s="14"/>
      <c r="E1071" s="15"/>
      <c r="F1071" s="14"/>
      <c r="G1071" s="14"/>
      <c r="H1071" s="15"/>
      <c r="I1071" s="14"/>
      <c r="J1071" s="14"/>
      <c r="K1071" s="14"/>
      <c r="L1071" s="14"/>
      <c r="M1071" s="14"/>
    </row>
    <row r="1072" ht="18.75" customHeight="1">
      <c r="A1072" s="14"/>
      <c r="B1072" s="14"/>
      <c r="C1072" s="14"/>
      <c r="D1072" s="14"/>
      <c r="E1072" s="15"/>
      <c r="F1072" s="14"/>
      <c r="G1072" s="14"/>
      <c r="H1072" s="15"/>
      <c r="I1072" s="14"/>
      <c r="J1072" s="14"/>
      <c r="K1072" s="14"/>
      <c r="L1072" s="14"/>
      <c r="M1072" s="14"/>
    </row>
    <row r="1073" ht="18.75" customHeight="1">
      <c r="A1073" s="14"/>
      <c r="B1073" s="14"/>
      <c r="C1073" s="14"/>
      <c r="D1073" s="14"/>
      <c r="E1073" s="15"/>
      <c r="F1073" s="14"/>
      <c r="G1073" s="14"/>
      <c r="H1073" s="15"/>
      <c r="I1073" s="14"/>
      <c r="J1073" s="14"/>
      <c r="K1073" s="14"/>
      <c r="L1073" s="14"/>
      <c r="M1073" s="14"/>
    </row>
    <row r="1074" ht="18.75" customHeight="1">
      <c r="A1074" s="14"/>
      <c r="B1074" s="14"/>
      <c r="C1074" s="14"/>
      <c r="D1074" s="14"/>
      <c r="E1074" s="15"/>
      <c r="F1074" s="14"/>
      <c r="G1074" s="14"/>
      <c r="H1074" s="15"/>
      <c r="I1074" s="14"/>
      <c r="J1074" s="14"/>
      <c r="K1074" s="14"/>
      <c r="L1074" s="14"/>
      <c r="M1074" s="14"/>
    </row>
    <row r="1075" ht="18.75" customHeight="1">
      <c r="A1075" s="14"/>
      <c r="B1075" s="14"/>
      <c r="C1075" s="14"/>
      <c r="D1075" s="14"/>
      <c r="E1075" s="15"/>
      <c r="F1075" s="14"/>
      <c r="G1075" s="14"/>
      <c r="H1075" s="15"/>
      <c r="I1075" s="14"/>
      <c r="J1075" s="14"/>
      <c r="K1075" s="14"/>
      <c r="L1075" s="14"/>
      <c r="M1075" s="14"/>
    </row>
    <row r="1076" ht="18.75" customHeight="1">
      <c r="A1076" s="14"/>
      <c r="B1076" s="14"/>
      <c r="C1076" s="14"/>
      <c r="D1076" s="14"/>
      <c r="E1076" s="15"/>
      <c r="F1076" s="14"/>
      <c r="G1076" s="14"/>
      <c r="H1076" s="15"/>
      <c r="I1076" s="14"/>
      <c r="J1076" s="14"/>
      <c r="K1076" s="14"/>
      <c r="L1076" s="14"/>
      <c r="M1076" s="14"/>
    </row>
    <row r="1077" ht="18.75" customHeight="1">
      <c r="A1077" s="14"/>
      <c r="B1077" s="14"/>
      <c r="C1077" s="14"/>
      <c r="D1077" s="14"/>
      <c r="E1077" s="15"/>
      <c r="F1077" s="14"/>
      <c r="G1077" s="14"/>
      <c r="H1077" s="15"/>
      <c r="I1077" s="14"/>
      <c r="J1077" s="14"/>
      <c r="K1077" s="14"/>
      <c r="L1077" s="14"/>
      <c r="M1077" s="14"/>
    </row>
    <row r="1078" ht="18.75" customHeight="1">
      <c r="A1078" s="14"/>
      <c r="B1078" s="14"/>
      <c r="C1078" s="14"/>
      <c r="D1078" s="14"/>
      <c r="E1078" s="15"/>
      <c r="F1078" s="14"/>
      <c r="G1078" s="14"/>
      <c r="H1078" s="15"/>
      <c r="I1078" s="14"/>
      <c r="J1078" s="14"/>
      <c r="K1078" s="14"/>
      <c r="L1078" s="14"/>
      <c r="M1078" s="14"/>
    </row>
    <row r="1079" ht="18.75" customHeight="1">
      <c r="A1079" s="14"/>
      <c r="B1079" s="14"/>
      <c r="C1079" s="14"/>
      <c r="D1079" s="14"/>
      <c r="E1079" s="15"/>
      <c r="F1079" s="14"/>
      <c r="G1079" s="14"/>
      <c r="H1079" s="15"/>
      <c r="I1079" s="14"/>
      <c r="J1079" s="14"/>
      <c r="K1079" s="14"/>
      <c r="L1079" s="14"/>
      <c r="M1079" s="14"/>
    </row>
    <row r="1080" ht="18.75" customHeight="1">
      <c r="A1080" s="14"/>
      <c r="B1080" s="14"/>
      <c r="C1080" s="14"/>
      <c r="D1080" s="14"/>
      <c r="E1080" s="15"/>
      <c r="F1080" s="14"/>
      <c r="G1080" s="14"/>
      <c r="H1080" s="15"/>
      <c r="I1080" s="14"/>
      <c r="J1080" s="14"/>
      <c r="K1080" s="14"/>
      <c r="L1080" s="14"/>
      <c r="M1080" s="14"/>
    </row>
    <row r="1081" ht="18.75" customHeight="1">
      <c r="A1081" s="14"/>
      <c r="B1081" s="14"/>
      <c r="C1081" s="14"/>
      <c r="D1081" s="14"/>
      <c r="E1081" s="15"/>
      <c r="F1081" s="14"/>
      <c r="G1081" s="14"/>
      <c r="H1081" s="15"/>
      <c r="I1081" s="14"/>
      <c r="J1081" s="14"/>
      <c r="K1081" s="14"/>
      <c r="L1081" s="14"/>
      <c r="M1081" s="14"/>
    </row>
    <row r="1082" ht="18.75" customHeight="1">
      <c r="A1082" s="14"/>
      <c r="B1082" s="14"/>
      <c r="C1082" s="14"/>
      <c r="D1082" s="14"/>
      <c r="E1082" s="15"/>
      <c r="F1082" s="14"/>
      <c r="G1082" s="14"/>
      <c r="H1082" s="15"/>
      <c r="I1082" s="14"/>
      <c r="J1082" s="14"/>
      <c r="K1082" s="14"/>
      <c r="L1082" s="14"/>
      <c r="M1082" s="14"/>
    </row>
    <row r="1083" ht="18.75" customHeight="1">
      <c r="A1083" s="14"/>
      <c r="B1083" s="14"/>
      <c r="C1083" s="14"/>
      <c r="D1083" s="14"/>
      <c r="E1083" s="15"/>
      <c r="F1083" s="14"/>
      <c r="G1083" s="14"/>
      <c r="H1083" s="15"/>
      <c r="I1083" s="14"/>
      <c r="J1083" s="14"/>
      <c r="K1083" s="14"/>
      <c r="L1083" s="14"/>
      <c r="M1083" s="14"/>
    </row>
    <row r="1084" ht="18.75" customHeight="1">
      <c r="A1084" s="14"/>
      <c r="B1084" s="14"/>
      <c r="C1084" s="14"/>
      <c r="D1084" s="14"/>
      <c r="E1084" s="15"/>
      <c r="F1084" s="14"/>
      <c r="G1084" s="14"/>
      <c r="H1084" s="15"/>
      <c r="I1084" s="14"/>
      <c r="J1084" s="14"/>
      <c r="K1084" s="14"/>
      <c r="L1084" s="14"/>
      <c r="M1084" s="14"/>
    </row>
    <row r="1085" ht="18.75" customHeight="1">
      <c r="A1085" s="14"/>
      <c r="B1085" s="14"/>
      <c r="C1085" s="14"/>
      <c r="D1085" s="14"/>
      <c r="E1085" s="15"/>
      <c r="F1085" s="14"/>
      <c r="G1085" s="14"/>
      <c r="H1085" s="15"/>
      <c r="I1085" s="14"/>
      <c r="J1085" s="14"/>
      <c r="K1085" s="14"/>
      <c r="L1085" s="14"/>
      <c r="M1085" s="14"/>
    </row>
    <row r="1086" ht="18.75" customHeight="1">
      <c r="A1086" s="14"/>
      <c r="B1086" s="14"/>
      <c r="C1086" s="14"/>
      <c r="D1086" s="14"/>
      <c r="E1086" s="15"/>
      <c r="F1086" s="14"/>
      <c r="G1086" s="14"/>
      <c r="H1086" s="15"/>
      <c r="I1086" s="14"/>
      <c r="J1086" s="14"/>
      <c r="K1086" s="14"/>
      <c r="L1086" s="14"/>
      <c r="M1086" s="14"/>
    </row>
    <row r="1087" ht="18.75" customHeight="1">
      <c r="A1087" s="14"/>
      <c r="B1087" s="14"/>
      <c r="C1087" s="14"/>
      <c r="D1087" s="14"/>
      <c r="E1087" s="15"/>
      <c r="F1087" s="14"/>
      <c r="G1087" s="14"/>
      <c r="H1087" s="15"/>
      <c r="I1087" s="14"/>
      <c r="J1087" s="14"/>
      <c r="K1087" s="14"/>
      <c r="L1087" s="14"/>
      <c r="M1087" s="14"/>
    </row>
    <row r="1088" ht="18.75" customHeight="1">
      <c r="A1088" s="14"/>
      <c r="B1088" s="14"/>
      <c r="C1088" s="14"/>
      <c r="D1088" s="14"/>
      <c r="E1088" s="15"/>
      <c r="F1088" s="14"/>
      <c r="G1088" s="14"/>
      <c r="H1088" s="15"/>
      <c r="I1088" s="14"/>
      <c r="J1088" s="14"/>
      <c r="K1088" s="14"/>
      <c r="L1088" s="14"/>
      <c r="M1088" s="14"/>
    </row>
    <row r="1089" ht="18.75" customHeight="1">
      <c r="A1089" s="14"/>
      <c r="B1089" s="14"/>
      <c r="C1089" s="14"/>
      <c r="D1089" s="14"/>
      <c r="E1089" s="15"/>
      <c r="F1089" s="14"/>
      <c r="G1089" s="14"/>
      <c r="H1089" s="15"/>
      <c r="I1089" s="14"/>
      <c r="J1089" s="14"/>
      <c r="K1089" s="14"/>
      <c r="L1089" s="14"/>
      <c r="M1089" s="14"/>
    </row>
    <row r="1090" ht="18.75" customHeight="1">
      <c r="A1090" s="14"/>
      <c r="B1090" s="14"/>
      <c r="C1090" s="14"/>
      <c r="D1090" s="14"/>
      <c r="E1090" s="15"/>
      <c r="F1090" s="14"/>
      <c r="G1090" s="14"/>
      <c r="H1090" s="15"/>
      <c r="I1090" s="14"/>
      <c r="J1090" s="14"/>
      <c r="K1090" s="14"/>
      <c r="L1090" s="14"/>
      <c r="M1090" s="14"/>
    </row>
    <row r="1091" ht="18.75" customHeight="1">
      <c r="A1091" s="14"/>
      <c r="B1091" s="14"/>
      <c r="C1091" s="14"/>
      <c r="D1091" s="14"/>
      <c r="E1091" s="15"/>
      <c r="F1091" s="14"/>
      <c r="G1091" s="14"/>
      <c r="H1091" s="15"/>
      <c r="I1091" s="14"/>
      <c r="J1091" s="14"/>
      <c r="K1091" s="14"/>
      <c r="L1091" s="14"/>
      <c r="M1091" s="14"/>
    </row>
    <row r="1092" ht="18.75" customHeight="1">
      <c r="A1092" s="14"/>
      <c r="B1092" s="14"/>
      <c r="C1092" s="14"/>
      <c r="D1092" s="14"/>
      <c r="E1092" s="15"/>
      <c r="F1092" s="14"/>
      <c r="G1092" s="14"/>
      <c r="H1092" s="15"/>
      <c r="I1092" s="14"/>
      <c r="J1092" s="14"/>
      <c r="K1092" s="14"/>
      <c r="L1092" s="14"/>
      <c r="M1092" s="14"/>
    </row>
    <row r="1093" ht="18.75" customHeight="1">
      <c r="A1093" s="14"/>
      <c r="B1093" s="14"/>
      <c r="C1093" s="14"/>
      <c r="D1093" s="14"/>
      <c r="E1093" s="15"/>
      <c r="F1093" s="14"/>
      <c r="G1093" s="14"/>
      <c r="H1093" s="15"/>
      <c r="I1093" s="14"/>
      <c r="J1093" s="14"/>
      <c r="K1093" s="14"/>
      <c r="L1093" s="14"/>
      <c r="M1093" s="14"/>
    </row>
    <row r="1094" ht="18.75" customHeight="1">
      <c r="A1094" s="14"/>
      <c r="B1094" s="14"/>
      <c r="C1094" s="14"/>
      <c r="D1094" s="14"/>
      <c r="E1094" s="15"/>
      <c r="F1094" s="14"/>
      <c r="G1094" s="14"/>
      <c r="H1094" s="15"/>
      <c r="I1094" s="14"/>
      <c r="J1094" s="14"/>
      <c r="K1094" s="14"/>
      <c r="L1094" s="14"/>
      <c r="M1094" s="14"/>
    </row>
    <row r="1095" ht="18.75" customHeight="1">
      <c r="A1095" s="14"/>
      <c r="B1095" s="14"/>
      <c r="C1095" s="14"/>
      <c r="D1095" s="14"/>
      <c r="E1095" s="15"/>
      <c r="F1095" s="14"/>
      <c r="G1095" s="14"/>
      <c r="H1095" s="15"/>
      <c r="I1095" s="14"/>
      <c r="J1095" s="14"/>
      <c r="K1095" s="14"/>
      <c r="L1095" s="14"/>
      <c r="M1095" s="14"/>
    </row>
    <row r="1096" ht="18.75" customHeight="1">
      <c r="A1096" s="14"/>
      <c r="B1096" s="14"/>
      <c r="C1096" s="14"/>
      <c r="D1096" s="14"/>
      <c r="E1096" s="15"/>
      <c r="F1096" s="14"/>
      <c r="G1096" s="14"/>
      <c r="H1096" s="15"/>
      <c r="I1096" s="14"/>
      <c r="J1096" s="14"/>
      <c r="K1096" s="14"/>
      <c r="L1096" s="14"/>
      <c r="M1096" s="14"/>
    </row>
    <row r="1097" ht="18.75" customHeight="1">
      <c r="A1097" s="14"/>
      <c r="B1097" s="14"/>
      <c r="C1097" s="14"/>
      <c r="D1097" s="14"/>
      <c r="E1097" s="15"/>
      <c r="F1097" s="14"/>
      <c r="G1097" s="14"/>
      <c r="H1097" s="15"/>
      <c r="I1097" s="14"/>
      <c r="J1097" s="14"/>
      <c r="K1097" s="14"/>
      <c r="L1097" s="14"/>
      <c r="M1097" s="14"/>
    </row>
    <row r="1098" ht="18.75" customHeight="1">
      <c r="A1098" s="14"/>
      <c r="B1098" s="14"/>
      <c r="C1098" s="14"/>
      <c r="D1098" s="14"/>
      <c r="E1098" s="15"/>
      <c r="F1098" s="14"/>
      <c r="G1098" s="14"/>
      <c r="H1098" s="15"/>
      <c r="I1098" s="14"/>
      <c r="J1098" s="14"/>
      <c r="K1098" s="14"/>
      <c r="L1098" s="14"/>
      <c r="M1098" s="14"/>
    </row>
    <row r="1099" ht="18.75" customHeight="1">
      <c r="A1099" s="14"/>
      <c r="B1099" s="14"/>
      <c r="C1099" s="14"/>
      <c r="D1099" s="14"/>
      <c r="E1099" s="15"/>
      <c r="F1099" s="14"/>
      <c r="G1099" s="14"/>
      <c r="H1099" s="15"/>
      <c r="I1099" s="14"/>
      <c r="J1099" s="14"/>
      <c r="K1099" s="14"/>
      <c r="L1099" s="14"/>
      <c r="M1099" s="14"/>
    </row>
    <row r="1100" ht="18.75" customHeight="1">
      <c r="A1100" s="14"/>
      <c r="B1100" s="14"/>
      <c r="C1100" s="14"/>
      <c r="D1100" s="14"/>
      <c r="E1100" s="15"/>
      <c r="F1100" s="14"/>
      <c r="G1100" s="14"/>
      <c r="H1100" s="15"/>
      <c r="I1100" s="14"/>
      <c r="J1100" s="14"/>
      <c r="K1100" s="14"/>
      <c r="L1100" s="14"/>
      <c r="M1100" s="14"/>
    </row>
    <row r="1101" ht="18.75" customHeight="1">
      <c r="A1101" s="14"/>
      <c r="B1101" s="14"/>
      <c r="C1101" s="14"/>
      <c r="D1101" s="14"/>
      <c r="E1101" s="15"/>
      <c r="F1101" s="14"/>
      <c r="G1101" s="14"/>
      <c r="H1101" s="15"/>
      <c r="I1101" s="14"/>
      <c r="J1101" s="14"/>
      <c r="K1101" s="14"/>
      <c r="L1101" s="14"/>
      <c r="M1101" s="14"/>
    </row>
    <row r="1102" ht="18.75" customHeight="1">
      <c r="A1102" s="14"/>
      <c r="B1102" s="14"/>
      <c r="C1102" s="14"/>
      <c r="D1102" s="14"/>
      <c r="E1102" s="15"/>
      <c r="F1102" s="14"/>
      <c r="G1102" s="14"/>
      <c r="H1102" s="14"/>
      <c r="I1102" s="14"/>
      <c r="J1102" s="14"/>
      <c r="K1102" s="14"/>
      <c r="L1102" s="14"/>
      <c r="M1102" s="14"/>
    </row>
    <row r="1103" ht="18.75" customHeight="1">
      <c r="A1103" s="14"/>
      <c r="B1103" s="14"/>
      <c r="C1103" s="14"/>
      <c r="D1103" s="14"/>
      <c r="E1103" s="15"/>
      <c r="F1103" s="14"/>
      <c r="G1103" s="14"/>
      <c r="H1103" s="15"/>
      <c r="I1103" s="14"/>
      <c r="J1103" s="14"/>
      <c r="K1103" s="14"/>
      <c r="L1103" s="14"/>
      <c r="M1103" s="14"/>
    </row>
    <row r="1104" ht="18.75" customHeight="1">
      <c r="A1104" s="14"/>
      <c r="B1104" s="14"/>
      <c r="C1104" s="14"/>
      <c r="D1104" s="14"/>
      <c r="E1104" s="15"/>
      <c r="F1104" s="14"/>
      <c r="G1104" s="14"/>
      <c r="H1104" s="15"/>
      <c r="I1104" s="14"/>
      <c r="J1104" s="14"/>
      <c r="K1104" s="14"/>
      <c r="L1104" s="14"/>
      <c r="M1104" s="14"/>
    </row>
    <row r="1105" ht="18.75" customHeight="1">
      <c r="A1105" s="14"/>
      <c r="B1105" s="14"/>
      <c r="C1105" s="14"/>
      <c r="D1105" s="14"/>
      <c r="E1105" s="15"/>
      <c r="F1105" s="14"/>
      <c r="G1105" s="14"/>
      <c r="H1105" s="15"/>
      <c r="I1105" s="14"/>
      <c r="J1105" s="14"/>
      <c r="K1105" s="14"/>
      <c r="L1105" s="14"/>
      <c r="M1105" s="14"/>
    </row>
    <row r="1106" ht="18.75" customHeight="1">
      <c r="A1106" s="14"/>
      <c r="B1106" s="14"/>
      <c r="C1106" s="14"/>
      <c r="D1106" s="14"/>
      <c r="E1106" s="15"/>
      <c r="F1106" s="14"/>
      <c r="G1106" s="14"/>
      <c r="H1106" s="15"/>
      <c r="I1106" s="14"/>
      <c r="J1106" s="14"/>
      <c r="K1106" s="14"/>
      <c r="L1106" s="14"/>
      <c r="M1106" s="14"/>
    </row>
    <row r="1107" ht="18.75" customHeight="1">
      <c r="A1107" s="14"/>
      <c r="B1107" s="14"/>
      <c r="C1107" s="14"/>
      <c r="D1107" s="14"/>
      <c r="E1107" s="15"/>
      <c r="F1107" s="14"/>
      <c r="G1107" s="14"/>
      <c r="H1107" s="15"/>
      <c r="I1107" s="14"/>
      <c r="J1107" s="14"/>
      <c r="K1107" s="14"/>
      <c r="L1107" s="14"/>
      <c r="M1107" s="14"/>
    </row>
    <row r="1108" ht="18.75" customHeight="1">
      <c r="A1108" s="14"/>
      <c r="B1108" s="14"/>
      <c r="C1108" s="14"/>
      <c r="D1108" s="14"/>
      <c r="E1108" s="15"/>
      <c r="F1108" s="14"/>
      <c r="G1108" s="14"/>
      <c r="H1108" s="15"/>
      <c r="I1108" s="14"/>
      <c r="J1108" s="14"/>
      <c r="K1108" s="14"/>
      <c r="L1108" s="14"/>
      <c r="M1108" s="14"/>
    </row>
    <row r="1109" ht="18.75" customHeight="1">
      <c r="A1109" s="14"/>
      <c r="B1109" s="14"/>
      <c r="C1109" s="14"/>
      <c r="D1109" s="14"/>
      <c r="E1109" s="15"/>
      <c r="F1109" s="14"/>
      <c r="G1109" s="14"/>
      <c r="H1109" s="15"/>
      <c r="I1109" s="14"/>
      <c r="J1109" s="14"/>
      <c r="K1109" s="14"/>
      <c r="L1109" s="14"/>
    </row>
    <row r="1110" ht="18.75" customHeight="1">
      <c r="A1110" s="14"/>
      <c r="B1110" s="14"/>
      <c r="C1110" s="14"/>
      <c r="D1110" s="14"/>
      <c r="E1110" s="15"/>
      <c r="F1110" s="14"/>
      <c r="G1110" s="14"/>
      <c r="H1110" s="15"/>
      <c r="I1110" s="14"/>
      <c r="J1110" s="14"/>
      <c r="K1110" s="14"/>
      <c r="L1110" s="14"/>
      <c r="M1110" s="14"/>
    </row>
    <row r="1111" ht="18.75" customHeight="1">
      <c r="A1111" s="14"/>
      <c r="B1111" s="14"/>
      <c r="C1111" s="14"/>
      <c r="D1111" s="14"/>
      <c r="E1111" s="15"/>
      <c r="F1111" s="14"/>
      <c r="G1111" s="14"/>
      <c r="H1111" s="15"/>
      <c r="I1111" s="14"/>
      <c r="J1111" s="14"/>
      <c r="K1111" s="14"/>
      <c r="L1111" s="14"/>
      <c r="M1111" s="14"/>
    </row>
    <row r="1112" ht="18.75" customHeight="1">
      <c r="A1112" s="14"/>
      <c r="B1112" s="14"/>
      <c r="C1112" s="14"/>
      <c r="D1112" s="14"/>
      <c r="E1112" s="15"/>
      <c r="F1112" s="14"/>
      <c r="G1112" s="14"/>
      <c r="H1112" s="15"/>
      <c r="I1112" s="14"/>
      <c r="J1112" s="14"/>
      <c r="K1112" s="14"/>
      <c r="L1112" s="14"/>
      <c r="M1112" s="14"/>
    </row>
    <row r="1113" ht="18.75" customHeight="1">
      <c r="A1113" s="14"/>
      <c r="B1113" s="14"/>
      <c r="C1113" s="14"/>
      <c r="D1113" s="14"/>
      <c r="E1113" s="15"/>
      <c r="F1113" s="14"/>
      <c r="G1113" s="14"/>
      <c r="H1113" s="15"/>
      <c r="I1113" s="14"/>
      <c r="J1113" s="14"/>
      <c r="K1113" s="14"/>
      <c r="L1113" s="14"/>
      <c r="M1113" s="14"/>
    </row>
    <row r="1114" ht="18.75" customHeight="1">
      <c r="A1114" s="14"/>
      <c r="B1114" s="14"/>
      <c r="C1114" s="14"/>
      <c r="D1114" s="14"/>
      <c r="E1114" s="15"/>
      <c r="F1114" s="14"/>
      <c r="G1114" s="14"/>
      <c r="H1114" s="15"/>
      <c r="I1114" s="14"/>
      <c r="J1114" s="14"/>
      <c r="K1114" s="14"/>
      <c r="L1114" s="14"/>
      <c r="M1114" s="14"/>
    </row>
    <row r="1115" ht="18.75" customHeight="1">
      <c r="A1115" s="14"/>
      <c r="B1115" s="14"/>
      <c r="C1115" s="14"/>
      <c r="D1115" s="14"/>
      <c r="E1115" s="15"/>
      <c r="F1115" s="14"/>
      <c r="G1115" s="14"/>
      <c r="H1115" s="15"/>
      <c r="I1115" s="14"/>
      <c r="J1115" s="14"/>
      <c r="K1115" s="14"/>
      <c r="L1115" s="14"/>
      <c r="M1115" s="14"/>
    </row>
    <row r="1116" ht="18.75" customHeight="1">
      <c r="A1116" s="14"/>
      <c r="B1116" s="14"/>
      <c r="C1116" s="14"/>
      <c r="D1116" s="14"/>
      <c r="E1116" s="15"/>
      <c r="F1116" s="14"/>
      <c r="G1116" s="14"/>
      <c r="H1116" s="15"/>
      <c r="I1116" s="14"/>
      <c r="J1116" s="14"/>
      <c r="K1116" s="14"/>
      <c r="L1116" s="14"/>
      <c r="M1116" s="14"/>
    </row>
    <row r="1117" ht="18.75" customHeight="1">
      <c r="A1117" s="14"/>
      <c r="B1117" s="14"/>
      <c r="C1117" s="14"/>
      <c r="D1117" s="14"/>
      <c r="E1117" s="15"/>
      <c r="F1117" s="14"/>
      <c r="G1117" s="14"/>
      <c r="H1117" s="15"/>
      <c r="I1117" s="14"/>
      <c r="J1117" s="14"/>
      <c r="K1117" s="14"/>
      <c r="L1117" s="14"/>
      <c r="M1117" s="14"/>
    </row>
    <row r="1118" ht="18.75" customHeight="1">
      <c r="A1118" s="14"/>
      <c r="B1118" s="14"/>
      <c r="C1118" s="14"/>
      <c r="D1118" s="14"/>
      <c r="E1118" s="15"/>
      <c r="F1118" s="14"/>
      <c r="G1118" s="14"/>
      <c r="H1118" s="15"/>
      <c r="I1118" s="14"/>
      <c r="J1118" s="14"/>
      <c r="K1118" s="14"/>
      <c r="L1118" s="14"/>
      <c r="M1118" s="14"/>
    </row>
    <row r="1119" ht="18.75" customHeight="1">
      <c r="A1119" s="14"/>
      <c r="B1119" s="14"/>
      <c r="C1119" s="14"/>
      <c r="D1119" s="14"/>
      <c r="E1119" s="15"/>
      <c r="F1119" s="14"/>
      <c r="G1119" s="14"/>
      <c r="H1119" s="15"/>
      <c r="I1119" s="14"/>
      <c r="J1119" s="14"/>
      <c r="K1119" s="14"/>
      <c r="L1119" s="14"/>
      <c r="M1119" s="14"/>
    </row>
    <row r="1120" ht="18.75" customHeight="1">
      <c r="A1120" s="14"/>
      <c r="B1120" s="14"/>
      <c r="C1120" s="14"/>
      <c r="D1120" s="14"/>
      <c r="E1120" s="15"/>
      <c r="F1120" s="14"/>
      <c r="G1120" s="14"/>
      <c r="H1120" s="15"/>
      <c r="I1120" s="14"/>
      <c r="J1120" s="14"/>
      <c r="K1120" s="14"/>
      <c r="L1120" s="14"/>
      <c r="M1120" s="14"/>
    </row>
    <row r="1121" ht="18.75" customHeight="1">
      <c r="A1121" s="14"/>
      <c r="B1121" s="14"/>
      <c r="C1121" s="14"/>
      <c r="D1121" s="14"/>
      <c r="E1121" s="15"/>
      <c r="F1121" s="14"/>
      <c r="G1121" s="14"/>
      <c r="H1121" s="15"/>
      <c r="I1121" s="14"/>
      <c r="J1121" s="14"/>
      <c r="K1121" s="14"/>
      <c r="L1121" s="14"/>
      <c r="M1121" s="14"/>
    </row>
    <row r="1122" ht="18.75" customHeight="1">
      <c r="A1122" s="14"/>
      <c r="B1122" s="14"/>
      <c r="C1122" s="14"/>
      <c r="D1122" s="14"/>
      <c r="E1122" s="15"/>
      <c r="F1122" s="14"/>
      <c r="G1122" s="14"/>
      <c r="H1122" s="15"/>
      <c r="I1122" s="14"/>
      <c r="J1122" s="14"/>
      <c r="K1122" s="14"/>
      <c r="L1122" s="14"/>
      <c r="M1122" s="14"/>
    </row>
    <row r="1123" ht="18.75" customHeight="1">
      <c r="A1123" s="14"/>
      <c r="B1123" s="14"/>
      <c r="C1123" s="14"/>
      <c r="D1123" s="14"/>
      <c r="E1123" s="15"/>
      <c r="F1123" s="14"/>
      <c r="G1123" s="14"/>
      <c r="H1123" s="15"/>
      <c r="I1123" s="14"/>
      <c r="J1123" s="14"/>
      <c r="K1123" s="14"/>
      <c r="L1123" s="14"/>
      <c r="M1123" s="14"/>
    </row>
    <row r="1124" ht="18.75" customHeight="1">
      <c r="A1124" s="14"/>
      <c r="B1124" s="14"/>
      <c r="C1124" s="14"/>
      <c r="D1124" s="14"/>
      <c r="E1124" s="15"/>
      <c r="F1124" s="14"/>
      <c r="G1124" s="14"/>
      <c r="H1124" s="15"/>
      <c r="I1124" s="14"/>
      <c r="J1124" s="14"/>
      <c r="K1124" s="14"/>
      <c r="L1124" s="14"/>
      <c r="M1124" s="14"/>
    </row>
    <row r="1125" ht="18.75" customHeight="1">
      <c r="A1125" s="14"/>
      <c r="B1125" s="14"/>
      <c r="C1125" s="14"/>
      <c r="D1125" s="14"/>
      <c r="E1125" s="15"/>
      <c r="F1125" s="14"/>
      <c r="G1125" s="14"/>
      <c r="H1125" s="15"/>
      <c r="I1125" s="14"/>
      <c r="J1125" s="14"/>
      <c r="K1125" s="14"/>
      <c r="L1125" s="14"/>
      <c r="M1125" s="14"/>
    </row>
    <row r="1126" ht="18.75" customHeight="1">
      <c r="A1126" s="14"/>
      <c r="B1126" s="14"/>
      <c r="C1126" s="14"/>
      <c r="D1126" s="14"/>
      <c r="E1126" s="15"/>
      <c r="F1126" s="14"/>
      <c r="G1126" s="14"/>
      <c r="H1126" s="15"/>
      <c r="I1126" s="14"/>
      <c r="J1126" s="14"/>
      <c r="K1126" s="14"/>
      <c r="L1126" s="14"/>
      <c r="M1126" s="14"/>
    </row>
    <row r="1127" ht="18.75" customHeight="1">
      <c r="A1127" s="14"/>
      <c r="B1127" s="14"/>
      <c r="C1127" s="14"/>
      <c r="D1127" s="14"/>
      <c r="E1127" s="15"/>
      <c r="F1127" s="14"/>
      <c r="G1127" s="14"/>
      <c r="H1127" s="15"/>
      <c r="I1127" s="14"/>
      <c r="J1127" s="14"/>
      <c r="K1127" s="14"/>
      <c r="L1127" s="14"/>
      <c r="M1127" s="14"/>
    </row>
    <row r="1128" ht="18.75" customHeight="1">
      <c r="A1128" s="14"/>
      <c r="B1128" s="14"/>
      <c r="C1128" s="14"/>
      <c r="D1128" s="14"/>
      <c r="E1128" s="15"/>
      <c r="F1128" s="14"/>
      <c r="G1128" s="14"/>
      <c r="H1128" s="15"/>
      <c r="I1128" s="14"/>
      <c r="J1128" s="14"/>
      <c r="K1128" s="14"/>
      <c r="L1128" s="14"/>
      <c r="M1128" s="14"/>
    </row>
    <row r="1129" ht="18.75" customHeight="1">
      <c r="A1129" s="14"/>
      <c r="B1129" s="14"/>
      <c r="C1129" s="14"/>
      <c r="D1129" s="14"/>
      <c r="E1129" s="15"/>
      <c r="F1129" s="14"/>
      <c r="G1129" s="14"/>
      <c r="H1129" s="15"/>
      <c r="I1129" s="14"/>
      <c r="J1129" s="14"/>
      <c r="K1129" s="14"/>
      <c r="L1129" s="14"/>
      <c r="M1129" s="14"/>
    </row>
    <row r="1130" ht="18.75" customHeight="1">
      <c r="A1130" s="14"/>
      <c r="B1130" s="14"/>
      <c r="C1130" s="14"/>
      <c r="D1130" s="14"/>
      <c r="E1130" s="15"/>
      <c r="F1130" s="14"/>
      <c r="G1130" s="14"/>
      <c r="H1130" s="15"/>
      <c r="I1130" s="14"/>
      <c r="J1130" s="14"/>
      <c r="K1130" s="14"/>
      <c r="L1130" s="14"/>
      <c r="M1130" s="14"/>
    </row>
    <row r="1131" ht="18.75" customHeight="1">
      <c r="A1131" s="14"/>
      <c r="B1131" s="14"/>
      <c r="C1131" s="14"/>
      <c r="D1131" s="14"/>
      <c r="E1131" s="15"/>
      <c r="F1131" s="14"/>
      <c r="G1131" s="14"/>
      <c r="H1131" s="15"/>
      <c r="I1131" s="14"/>
      <c r="J1131" s="14"/>
      <c r="K1131" s="14"/>
      <c r="L1131" s="14"/>
      <c r="M1131" s="14"/>
    </row>
    <row r="1132" ht="18.75" customHeight="1">
      <c r="A1132" s="14"/>
      <c r="B1132" s="14"/>
      <c r="C1132" s="14"/>
      <c r="D1132" s="14"/>
      <c r="E1132" s="15"/>
      <c r="F1132" s="14"/>
      <c r="G1132" s="14"/>
      <c r="H1132" s="15"/>
      <c r="I1132" s="14"/>
      <c r="J1132" s="14"/>
      <c r="K1132" s="14"/>
      <c r="L1132" s="14"/>
      <c r="M1132" s="14"/>
    </row>
    <row r="1133" ht="18.75" customHeight="1">
      <c r="A1133" s="14"/>
      <c r="B1133" s="14"/>
      <c r="C1133" s="14"/>
      <c r="D1133" s="14"/>
      <c r="E1133" s="15"/>
      <c r="F1133" s="14"/>
      <c r="G1133" s="14"/>
      <c r="H1133" s="15"/>
      <c r="I1133" s="14"/>
      <c r="J1133" s="14"/>
      <c r="K1133" s="14"/>
      <c r="L1133" s="14"/>
      <c r="M1133" s="14"/>
    </row>
    <row r="1134" ht="18.75" customHeight="1">
      <c r="A1134" s="14"/>
      <c r="B1134" s="14"/>
      <c r="C1134" s="14"/>
      <c r="D1134" s="14"/>
      <c r="E1134" s="15"/>
      <c r="F1134" s="14"/>
      <c r="G1134" s="14"/>
      <c r="H1134" s="15"/>
      <c r="I1134" s="14"/>
      <c r="J1134" s="14"/>
      <c r="K1134" s="14"/>
      <c r="L1134" s="14"/>
      <c r="M1134" s="14"/>
    </row>
    <row r="1135" ht="18.75" customHeight="1">
      <c r="A1135" s="14"/>
      <c r="B1135" s="14"/>
      <c r="C1135" s="14"/>
      <c r="D1135" s="14"/>
      <c r="E1135" s="15"/>
      <c r="F1135" s="14"/>
      <c r="G1135" s="14"/>
      <c r="H1135" s="15"/>
      <c r="I1135" s="14"/>
      <c r="J1135" s="14"/>
      <c r="K1135" s="14"/>
      <c r="L1135" s="14"/>
      <c r="M1135" s="14"/>
    </row>
    <row r="1136" ht="18.75" customHeight="1">
      <c r="A1136" s="14"/>
      <c r="B1136" s="14"/>
      <c r="C1136" s="14"/>
      <c r="D1136" s="14"/>
      <c r="E1136" s="15"/>
      <c r="F1136" s="14"/>
      <c r="G1136" s="14"/>
      <c r="H1136" s="15"/>
      <c r="I1136" s="14"/>
      <c r="J1136" s="14"/>
      <c r="K1136" s="14"/>
      <c r="L1136" s="14"/>
      <c r="M1136" s="14"/>
    </row>
    <row r="1137" ht="18.75" customHeight="1">
      <c r="A1137" s="14"/>
      <c r="B1137" s="14"/>
      <c r="C1137" s="14"/>
      <c r="D1137" s="14"/>
      <c r="E1137" s="15"/>
      <c r="F1137" s="14"/>
      <c r="G1137" s="14"/>
      <c r="H1137" s="15"/>
      <c r="I1137" s="14"/>
      <c r="J1137" s="14"/>
      <c r="K1137" s="14"/>
      <c r="L1137" s="14"/>
      <c r="M1137" s="14"/>
    </row>
    <row r="1138" ht="18.75" customHeight="1">
      <c r="A1138" s="14"/>
      <c r="B1138" s="14"/>
      <c r="C1138" s="14"/>
      <c r="D1138" s="14"/>
      <c r="E1138" s="15"/>
      <c r="F1138" s="14"/>
      <c r="G1138" s="14"/>
      <c r="H1138" s="15"/>
      <c r="I1138" s="14"/>
      <c r="J1138" s="14"/>
      <c r="K1138" s="14"/>
      <c r="L1138" s="14"/>
      <c r="M1138" s="14"/>
    </row>
    <row r="1139" ht="18.75" customHeight="1">
      <c r="A1139" s="14"/>
      <c r="B1139" s="14"/>
      <c r="C1139" s="14"/>
      <c r="D1139" s="14"/>
      <c r="E1139" s="15"/>
      <c r="F1139" s="14"/>
      <c r="G1139" s="14"/>
      <c r="H1139" s="15"/>
      <c r="I1139" s="14"/>
      <c r="J1139" s="14"/>
      <c r="K1139" s="14"/>
      <c r="L1139" s="14"/>
      <c r="M1139" s="14"/>
    </row>
    <row r="1140" ht="18.75" customHeight="1">
      <c r="A1140" s="14"/>
      <c r="B1140" s="14"/>
      <c r="C1140" s="14"/>
      <c r="D1140" s="14"/>
      <c r="E1140" s="15"/>
      <c r="F1140" s="14"/>
      <c r="G1140" s="14"/>
      <c r="H1140" s="15"/>
      <c r="I1140" s="14"/>
      <c r="J1140" s="14"/>
      <c r="K1140" s="14"/>
      <c r="L1140" s="14"/>
      <c r="M1140" s="14"/>
    </row>
    <row r="1141" ht="18.75" customHeight="1">
      <c r="A1141" s="14"/>
      <c r="B1141" s="14"/>
      <c r="C1141" s="14"/>
      <c r="D1141" s="14"/>
      <c r="E1141" s="15"/>
      <c r="F1141" s="14"/>
      <c r="G1141" s="14"/>
      <c r="H1141" s="15"/>
      <c r="I1141" s="14"/>
      <c r="J1141" s="14"/>
      <c r="K1141" s="14"/>
      <c r="L1141" s="14"/>
      <c r="M1141" s="14"/>
    </row>
    <row r="1142" ht="18.75" customHeight="1">
      <c r="A1142" s="14"/>
      <c r="B1142" s="14"/>
      <c r="C1142" s="14"/>
      <c r="D1142" s="14"/>
      <c r="E1142" s="15"/>
      <c r="F1142" s="14"/>
      <c r="G1142" s="14"/>
      <c r="H1142" s="15"/>
      <c r="I1142" s="14"/>
      <c r="J1142" s="14"/>
      <c r="K1142" s="14"/>
      <c r="L1142" s="14"/>
      <c r="M1142" s="14"/>
    </row>
    <row r="1143" ht="18.75" customHeight="1">
      <c r="A1143" s="14"/>
      <c r="B1143" s="14"/>
      <c r="C1143" s="14"/>
      <c r="D1143" s="14"/>
      <c r="E1143" s="15"/>
      <c r="F1143" s="14"/>
      <c r="G1143" s="14"/>
      <c r="H1143" s="15"/>
      <c r="I1143" s="14"/>
      <c r="J1143" s="14"/>
      <c r="K1143" s="14"/>
      <c r="L1143" s="14"/>
      <c r="M1143" s="14"/>
    </row>
    <row r="1144" ht="18.75" customHeight="1">
      <c r="A1144" s="14"/>
      <c r="B1144" s="14"/>
      <c r="C1144" s="14"/>
      <c r="D1144" s="14"/>
      <c r="E1144" s="15"/>
      <c r="F1144" s="14"/>
      <c r="G1144" s="14"/>
      <c r="I1144" s="14"/>
      <c r="J1144" s="14"/>
      <c r="K1144" s="14"/>
      <c r="L1144" s="14"/>
      <c r="M1144" s="14"/>
    </row>
    <row r="1145" ht="18.75" customHeight="1">
      <c r="A1145" s="14"/>
      <c r="B1145" s="14"/>
      <c r="C1145" s="14"/>
      <c r="D1145" s="14"/>
      <c r="E1145" s="15"/>
      <c r="F1145" s="14"/>
      <c r="G1145" s="14"/>
      <c r="H1145" s="15"/>
      <c r="I1145" s="14"/>
      <c r="J1145" s="14"/>
      <c r="K1145" s="14"/>
      <c r="L1145" s="14"/>
      <c r="M1145" s="14"/>
    </row>
    <row r="1146" ht="18.75" customHeight="1">
      <c r="A1146" s="14"/>
      <c r="B1146" s="14"/>
      <c r="C1146" s="14"/>
      <c r="D1146" s="14"/>
      <c r="E1146" s="15"/>
      <c r="F1146" s="14"/>
      <c r="G1146" s="14"/>
      <c r="H1146" s="15"/>
      <c r="I1146" s="14"/>
      <c r="J1146" s="14"/>
      <c r="K1146" s="14"/>
      <c r="L1146" s="14"/>
      <c r="M1146" s="14"/>
    </row>
    <row r="1147" ht="18.75" customHeight="1">
      <c r="A1147" s="14"/>
      <c r="B1147" s="14"/>
      <c r="C1147" s="14"/>
      <c r="D1147" s="14"/>
      <c r="E1147" s="15"/>
      <c r="F1147" s="14"/>
      <c r="G1147" s="14"/>
      <c r="H1147" s="15"/>
      <c r="I1147" s="14"/>
      <c r="J1147" s="14"/>
      <c r="K1147" s="14"/>
      <c r="L1147" s="14"/>
      <c r="M1147" s="14"/>
    </row>
    <row r="1148" ht="18.75" customHeight="1">
      <c r="A1148" s="14"/>
      <c r="B1148" s="14"/>
      <c r="C1148" s="14"/>
      <c r="D1148" s="14"/>
      <c r="E1148" s="15"/>
      <c r="F1148" s="14"/>
      <c r="G1148" s="14"/>
      <c r="H1148" s="15"/>
      <c r="I1148" s="14"/>
      <c r="J1148" s="14"/>
      <c r="K1148" s="14"/>
      <c r="L1148" s="14"/>
      <c r="M1148" s="14"/>
    </row>
    <row r="1149" ht="18.75" customHeight="1">
      <c r="A1149" s="14"/>
      <c r="B1149" s="14"/>
      <c r="C1149" s="14"/>
      <c r="D1149" s="14"/>
      <c r="E1149" s="15"/>
      <c r="F1149" s="14"/>
      <c r="G1149" s="14"/>
      <c r="H1149" s="15"/>
      <c r="I1149" s="14"/>
      <c r="J1149" s="14"/>
      <c r="K1149" s="14"/>
      <c r="L1149" s="14"/>
      <c r="M1149" s="14"/>
    </row>
    <row r="1150" ht="18.75" customHeight="1">
      <c r="A1150" s="14"/>
      <c r="B1150" s="14"/>
      <c r="C1150" s="14"/>
      <c r="D1150" s="14"/>
      <c r="E1150" s="15"/>
      <c r="F1150" s="14"/>
      <c r="G1150" s="14"/>
      <c r="H1150" s="15"/>
      <c r="I1150" s="14"/>
      <c r="J1150" s="14"/>
      <c r="K1150" s="14"/>
      <c r="L1150" s="14"/>
      <c r="M1150" s="14"/>
    </row>
    <row r="1151" ht="18.75" customHeight="1">
      <c r="A1151" s="14"/>
      <c r="B1151" s="14"/>
      <c r="C1151" s="14"/>
      <c r="D1151" s="14"/>
      <c r="E1151" s="15"/>
      <c r="F1151" s="14"/>
      <c r="G1151" s="14"/>
      <c r="H1151" s="15"/>
      <c r="I1151" s="14"/>
      <c r="J1151" s="14"/>
      <c r="K1151" s="14"/>
      <c r="L1151" s="14"/>
      <c r="M1151" s="14"/>
    </row>
    <row r="1152" ht="18.75" customHeight="1">
      <c r="A1152" s="14"/>
      <c r="B1152" s="14"/>
      <c r="C1152" s="14"/>
      <c r="D1152" s="14"/>
      <c r="E1152" s="15"/>
      <c r="F1152" s="14"/>
      <c r="G1152" s="14"/>
      <c r="H1152" s="15"/>
      <c r="I1152" s="14"/>
      <c r="J1152" s="14"/>
      <c r="K1152" s="14"/>
      <c r="L1152" s="14"/>
      <c r="M1152" s="14"/>
    </row>
    <row r="1153" ht="18.75" customHeight="1">
      <c r="A1153" s="14"/>
      <c r="B1153" s="14"/>
      <c r="C1153" s="14"/>
      <c r="D1153" s="14"/>
      <c r="E1153" s="15"/>
      <c r="F1153" s="14"/>
      <c r="G1153" s="14"/>
      <c r="H1153" s="15"/>
      <c r="I1153" s="14"/>
      <c r="J1153" s="14"/>
      <c r="K1153" s="14"/>
      <c r="L1153" s="14"/>
      <c r="M1153" s="14"/>
    </row>
    <row r="1154" ht="18.75" customHeight="1">
      <c r="A1154" s="14"/>
      <c r="B1154" s="14"/>
      <c r="C1154" s="14"/>
      <c r="D1154" s="14"/>
      <c r="E1154" s="15"/>
      <c r="F1154" s="14"/>
      <c r="G1154" s="14"/>
      <c r="H1154" s="15"/>
      <c r="I1154" s="14"/>
      <c r="J1154" s="14"/>
      <c r="K1154" s="14"/>
      <c r="L1154" s="14"/>
      <c r="M1154" s="14"/>
    </row>
    <row r="1155" ht="18.75" customHeight="1">
      <c r="A1155" s="14"/>
      <c r="B1155" s="14"/>
      <c r="C1155" s="14"/>
      <c r="D1155" s="14"/>
      <c r="E1155" s="15"/>
      <c r="F1155" s="14"/>
      <c r="G1155" s="14"/>
      <c r="H1155" s="15"/>
      <c r="I1155" s="14"/>
      <c r="J1155" s="14"/>
      <c r="K1155" s="14"/>
      <c r="L1155" s="14"/>
      <c r="M1155" s="14"/>
    </row>
    <row r="1156" ht="18.75" customHeight="1">
      <c r="A1156" s="14"/>
      <c r="B1156" s="14"/>
      <c r="C1156" s="14"/>
      <c r="D1156" s="14"/>
      <c r="E1156" s="15"/>
      <c r="F1156" s="14"/>
      <c r="G1156" s="14"/>
      <c r="H1156" s="15"/>
      <c r="I1156" s="14"/>
      <c r="J1156" s="14"/>
      <c r="K1156" s="14"/>
      <c r="L1156" s="14"/>
      <c r="M1156" s="14"/>
    </row>
    <row r="1157" ht="18.75" customHeight="1">
      <c r="A1157" s="14"/>
      <c r="B1157" s="14"/>
      <c r="C1157" s="14"/>
      <c r="D1157" s="14"/>
      <c r="E1157" s="15"/>
      <c r="F1157" s="14"/>
      <c r="G1157" s="14"/>
      <c r="H1157" s="15"/>
      <c r="I1157" s="14"/>
      <c r="J1157" s="14"/>
      <c r="K1157" s="14"/>
      <c r="L1157" s="14"/>
      <c r="M1157" s="14"/>
    </row>
    <row r="1158" ht="18.75" customHeight="1">
      <c r="A1158" s="14"/>
      <c r="B1158" s="14"/>
      <c r="C1158" s="14"/>
      <c r="D1158" s="14"/>
      <c r="E1158" s="15"/>
      <c r="F1158" s="14"/>
      <c r="G1158" s="14"/>
      <c r="H1158" s="15"/>
      <c r="I1158" s="14"/>
      <c r="J1158" s="14"/>
      <c r="K1158" s="14"/>
      <c r="L1158" s="14"/>
      <c r="M1158" s="14"/>
    </row>
    <row r="1159" ht="18.75" customHeight="1">
      <c r="A1159" s="14"/>
      <c r="B1159" s="14"/>
      <c r="C1159" s="14"/>
      <c r="D1159" s="14"/>
      <c r="E1159" s="15"/>
      <c r="F1159" s="14"/>
      <c r="G1159" s="14"/>
      <c r="H1159" s="15"/>
      <c r="I1159" s="14"/>
      <c r="J1159" s="14"/>
      <c r="K1159" s="14"/>
      <c r="L1159" s="14"/>
      <c r="M1159" s="14"/>
    </row>
    <row r="1160" ht="18.75" customHeight="1">
      <c r="A1160" s="14"/>
      <c r="B1160" s="14"/>
      <c r="C1160" s="14"/>
      <c r="D1160" s="14"/>
      <c r="E1160" s="15"/>
      <c r="F1160" s="14"/>
      <c r="G1160" s="14"/>
      <c r="H1160" s="15"/>
      <c r="I1160" s="14"/>
      <c r="J1160" s="14"/>
      <c r="K1160" s="14"/>
      <c r="L1160" s="14"/>
      <c r="M1160" s="14"/>
    </row>
    <row r="1161" ht="18.75" customHeight="1">
      <c r="A1161" s="14"/>
      <c r="B1161" s="14"/>
      <c r="C1161" s="14"/>
      <c r="D1161" s="14"/>
      <c r="E1161" s="15"/>
      <c r="F1161" s="14"/>
      <c r="G1161" s="14"/>
      <c r="H1161" s="15"/>
      <c r="I1161" s="14"/>
      <c r="J1161" s="14"/>
      <c r="K1161" s="14"/>
      <c r="L1161" s="14"/>
      <c r="M1161" s="14"/>
    </row>
    <row r="1162" ht="18.75" customHeight="1">
      <c r="A1162" s="14"/>
      <c r="B1162" s="14"/>
      <c r="C1162" s="14"/>
      <c r="D1162" s="14"/>
      <c r="E1162" s="15"/>
      <c r="F1162" s="14"/>
      <c r="G1162" s="14"/>
      <c r="H1162" s="15"/>
      <c r="I1162" s="14"/>
      <c r="J1162" s="14"/>
      <c r="K1162" s="14"/>
      <c r="L1162" s="14"/>
      <c r="M1162" s="14"/>
    </row>
    <row r="1163" ht="18.75" customHeight="1">
      <c r="A1163" s="14"/>
      <c r="B1163" s="14"/>
      <c r="C1163" s="14"/>
      <c r="D1163" s="14"/>
      <c r="E1163" s="15"/>
      <c r="F1163" s="14"/>
      <c r="G1163" s="14"/>
      <c r="H1163" s="15"/>
      <c r="I1163" s="14"/>
      <c r="J1163" s="14"/>
      <c r="K1163" s="14"/>
      <c r="L1163" s="14"/>
      <c r="M1163" s="14"/>
    </row>
    <row r="1164" ht="18.75" customHeight="1">
      <c r="A1164" s="14"/>
      <c r="B1164" s="14"/>
      <c r="C1164" s="14"/>
      <c r="D1164" s="14"/>
      <c r="E1164" s="15"/>
      <c r="F1164" s="14"/>
      <c r="G1164" s="14"/>
      <c r="H1164" s="15"/>
      <c r="I1164" s="14"/>
      <c r="J1164" s="14"/>
      <c r="K1164" s="14"/>
      <c r="L1164" s="14"/>
      <c r="M1164" s="14"/>
    </row>
    <row r="1165" ht="18.75" customHeight="1">
      <c r="A1165" s="14"/>
      <c r="B1165" s="14"/>
      <c r="C1165" s="14"/>
      <c r="D1165" s="14"/>
      <c r="E1165" s="15"/>
      <c r="F1165" s="14"/>
      <c r="G1165" s="14"/>
      <c r="H1165" s="15"/>
      <c r="I1165" s="14"/>
      <c r="J1165" s="14"/>
      <c r="K1165" s="14"/>
      <c r="L1165" s="14"/>
      <c r="M1165" s="14"/>
    </row>
    <row r="1166" ht="18.75" customHeight="1">
      <c r="A1166" s="14"/>
      <c r="B1166" s="14"/>
      <c r="C1166" s="14"/>
      <c r="D1166" s="14"/>
      <c r="E1166" s="15"/>
      <c r="F1166" s="14"/>
      <c r="G1166" s="14"/>
      <c r="H1166" s="15"/>
      <c r="I1166" s="14"/>
      <c r="J1166" s="14"/>
      <c r="K1166" s="14"/>
      <c r="L1166" s="14"/>
      <c r="M1166" s="14"/>
    </row>
    <row r="1167" ht="18.75" customHeight="1">
      <c r="A1167" s="14"/>
      <c r="B1167" s="14"/>
      <c r="C1167" s="14"/>
      <c r="D1167" s="14"/>
      <c r="E1167" s="15"/>
      <c r="F1167" s="14"/>
      <c r="G1167" s="14"/>
      <c r="H1167" s="15"/>
      <c r="I1167" s="14"/>
      <c r="J1167" s="14"/>
      <c r="K1167" s="14"/>
      <c r="L1167" s="14"/>
      <c r="M1167" s="14"/>
    </row>
    <row r="1168" ht="18.75" customHeight="1">
      <c r="A1168" s="14"/>
      <c r="B1168" s="14"/>
      <c r="C1168" s="14"/>
      <c r="D1168" s="14"/>
      <c r="E1168" s="15"/>
      <c r="F1168" s="14"/>
      <c r="G1168" s="14"/>
      <c r="I1168" s="14"/>
      <c r="J1168" s="14"/>
      <c r="K1168" s="14"/>
      <c r="L1168" s="14"/>
    </row>
    <row r="1169" ht="18.75" customHeight="1">
      <c r="A1169" s="14"/>
      <c r="B1169" s="14"/>
      <c r="C1169" s="14"/>
      <c r="D1169" s="14"/>
      <c r="E1169" s="15"/>
      <c r="F1169" s="14"/>
      <c r="G1169" s="14"/>
      <c r="H1169" s="15"/>
      <c r="I1169" s="14"/>
      <c r="J1169" s="14"/>
      <c r="K1169" s="14"/>
      <c r="L1169" s="14"/>
      <c r="M1169" s="14"/>
    </row>
    <row r="1170" ht="18.75" customHeight="1">
      <c r="A1170" s="14"/>
      <c r="B1170" s="14"/>
      <c r="C1170" s="14"/>
      <c r="D1170" s="14"/>
      <c r="E1170" s="15"/>
      <c r="F1170" s="14"/>
      <c r="G1170" s="14"/>
      <c r="H1170" s="15"/>
      <c r="I1170" s="14"/>
      <c r="J1170" s="14"/>
      <c r="K1170" s="14"/>
      <c r="L1170" s="14"/>
      <c r="M1170" s="14"/>
    </row>
    <row r="1171" ht="18.75" customHeight="1">
      <c r="A1171" s="14"/>
      <c r="B1171" s="14"/>
      <c r="C1171" s="14"/>
      <c r="D1171" s="14"/>
      <c r="E1171" s="15"/>
      <c r="F1171" s="14"/>
      <c r="G1171" s="14"/>
      <c r="H1171" s="15"/>
      <c r="I1171" s="14"/>
      <c r="J1171" s="14"/>
      <c r="K1171" s="14"/>
      <c r="L1171" s="14"/>
      <c r="M1171" s="14"/>
    </row>
    <row r="1172" ht="18.75" customHeight="1">
      <c r="A1172" s="14"/>
      <c r="B1172" s="14"/>
      <c r="C1172" s="14"/>
      <c r="D1172" s="14"/>
      <c r="E1172" s="15"/>
      <c r="F1172" s="14"/>
      <c r="G1172" s="14"/>
      <c r="H1172" s="15"/>
      <c r="I1172" s="14"/>
      <c r="J1172" s="14"/>
      <c r="K1172" s="14"/>
      <c r="L1172" s="14"/>
      <c r="M1172" s="14"/>
    </row>
    <row r="1173" ht="18.75" customHeight="1">
      <c r="A1173" s="14"/>
      <c r="B1173" s="14"/>
      <c r="C1173" s="14"/>
      <c r="D1173" s="14"/>
      <c r="E1173" s="15"/>
      <c r="F1173" s="14"/>
      <c r="G1173" s="14"/>
      <c r="H1173" s="15"/>
      <c r="I1173" s="14"/>
      <c r="J1173" s="14"/>
      <c r="K1173" s="14"/>
      <c r="L1173" s="14"/>
      <c r="M1173" s="14"/>
    </row>
    <row r="1174" ht="18.75" customHeight="1">
      <c r="A1174" s="14"/>
      <c r="B1174" s="14"/>
      <c r="C1174" s="14"/>
      <c r="D1174" s="14"/>
      <c r="E1174" s="15"/>
      <c r="F1174" s="14"/>
      <c r="G1174" s="14"/>
      <c r="H1174" s="15"/>
      <c r="I1174" s="14"/>
      <c r="J1174" s="14"/>
      <c r="K1174" s="14"/>
      <c r="L1174" s="14"/>
      <c r="M1174" s="14"/>
    </row>
    <row r="1175" ht="18.75" customHeight="1">
      <c r="A1175" s="14"/>
      <c r="B1175" s="14"/>
      <c r="C1175" s="14"/>
      <c r="D1175" s="14"/>
      <c r="E1175" s="15"/>
      <c r="F1175" s="14"/>
      <c r="G1175" s="14"/>
      <c r="H1175" s="15"/>
      <c r="I1175" s="14"/>
      <c r="J1175" s="14"/>
      <c r="K1175" s="14"/>
      <c r="L1175" s="14"/>
    </row>
    <row r="1176" ht="18.75" customHeight="1">
      <c r="A1176" s="14"/>
      <c r="B1176" s="14"/>
      <c r="C1176" s="14"/>
      <c r="D1176" s="14"/>
      <c r="E1176" s="15"/>
      <c r="F1176" s="14"/>
      <c r="G1176" s="14"/>
      <c r="H1176" s="15"/>
      <c r="I1176" s="14"/>
      <c r="J1176" s="14"/>
      <c r="K1176" s="14"/>
      <c r="L1176" s="14"/>
      <c r="M1176" s="14"/>
    </row>
    <row r="1177" ht="18.75" customHeight="1">
      <c r="A1177" s="14"/>
      <c r="B1177" s="14"/>
      <c r="C1177" s="14"/>
      <c r="D1177" s="14"/>
      <c r="E1177" s="15"/>
      <c r="F1177" s="14"/>
      <c r="G1177" s="14"/>
      <c r="H1177" s="15"/>
      <c r="I1177" s="14"/>
      <c r="J1177" s="14"/>
      <c r="K1177" s="14"/>
      <c r="L1177" s="14"/>
      <c r="M1177" s="14"/>
    </row>
    <row r="1178" ht="18.75" customHeight="1">
      <c r="A1178" s="14"/>
      <c r="B1178" s="14"/>
      <c r="C1178" s="14"/>
      <c r="D1178" s="14"/>
      <c r="E1178" s="15"/>
      <c r="F1178" s="14"/>
      <c r="G1178" s="14"/>
      <c r="H1178" s="15"/>
      <c r="I1178" s="14"/>
      <c r="J1178" s="14"/>
      <c r="K1178" s="14"/>
      <c r="L1178" s="14"/>
      <c r="M1178" s="14"/>
    </row>
    <row r="1179" ht="18.75" customHeight="1">
      <c r="A1179" s="14"/>
      <c r="B1179" s="14"/>
      <c r="C1179" s="14"/>
      <c r="D1179" s="14"/>
      <c r="E1179" s="15"/>
      <c r="F1179" s="14"/>
      <c r="G1179" s="14"/>
      <c r="H1179" s="15"/>
      <c r="I1179" s="14"/>
      <c r="J1179" s="14"/>
      <c r="K1179" s="14"/>
      <c r="L1179" s="14"/>
      <c r="M1179" s="14"/>
    </row>
    <row r="1180" ht="18.75" customHeight="1">
      <c r="A1180" s="14"/>
      <c r="B1180" s="14"/>
      <c r="C1180" s="14"/>
      <c r="D1180" s="14"/>
      <c r="E1180" s="15"/>
      <c r="F1180" s="14"/>
      <c r="G1180" s="14"/>
      <c r="H1180" s="15"/>
      <c r="I1180" s="14"/>
      <c r="J1180" s="14"/>
      <c r="K1180" s="14"/>
      <c r="L1180" s="14"/>
      <c r="M1180" s="14"/>
    </row>
    <row r="1181" ht="18.75" customHeight="1">
      <c r="A1181" s="14"/>
      <c r="B1181" s="14"/>
      <c r="C1181" s="14"/>
      <c r="D1181" s="14"/>
      <c r="E1181" s="15"/>
      <c r="F1181" s="14"/>
      <c r="G1181" s="14"/>
      <c r="H1181" s="15"/>
      <c r="I1181" s="14"/>
      <c r="J1181" s="14"/>
      <c r="K1181" s="14"/>
      <c r="L1181" s="14"/>
      <c r="M1181" s="14"/>
    </row>
    <row r="1182" ht="18.75" customHeight="1">
      <c r="A1182" s="14"/>
      <c r="B1182" s="14"/>
      <c r="C1182" s="14"/>
      <c r="D1182" s="14"/>
      <c r="E1182" s="15"/>
      <c r="F1182" s="14"/>
      <c r="G1182" s="14"/>
      <c r="H1182" s="15"/>
      <c r="I1182" s="14"/>
      <c r="J1182" s="14"/>
      <c r="K1182" s="14"/>
      <c r="L1182" s="14"/>
      <c r="M1182" s="14"/>
    </row>
    <row r="1183" ht="18.75" customHeight="1">
      <c r="A1183" s="14"/>
      <c r="B1183" s="14"/>
      <c r="C1183" s="14"/>
      <c r="D1183" s="14"/>
      <c r="E1183" s="15"/>
      <c r="F1183" s="14"/>
      <c r="G1183" s="14"/>
      <c r="H1183" s="15"/>
      <c r="I1183" s="14"/>
      <c r="J1183" s="14"/>
      <c r="K1183" s="14"/>
      <c r="L1183" s="14"/>
      <c r="M1183" s="14"/>
    </row>
    <row r="1184" ht="18.75" customHeight="1">
      <c r="A1184" s="14"/>
      <c r="B1184" s="14"/>
      <c r="C1184" s="14"/>
      <c r="D1184" s="14"/>
      <c r="E1184" s="15"/>
      <c r="F1184" s="14"/>
      <c r="G1184" s="14"/>
      <c r="H1184" s="15"/>
      <c r="I1184" s="14"/>
      <c r="J1184" s="14"/>
      <c r="K1184" s="14"/>
      <c r="L1184" s="14"/>
      <c r="M1184" s="14"/>
    </row>
    <row r="1185" ht="18.75" customHeight="1">
      <c r="A1185" s="14"/>
      <c r="B1185" s="14"/>
      <c r="C1185" s="14"/>
      <c r="D1185" s="14"/>
      <c r="E1185" s="15"/>
      <c r="F1185" s="14"/>
      <c r="G1185" s="14"/>
      <c r="H1185" s="15"/>
      <c r="I1185" s="14"/>
      <c r="J1185" s="14"/>
      <c r="K1185" s="14"/>
      <c r="L1185" s="14"/>
      <c r="M1185" s="14"/>
    </row>
    <row r="1186" ht="18.75" customHeight="1">
      <c r="A1186" s="14"/>
      <c r="B1186" s="14"/>
      <c r="C1186" s="14"/>
      <c r="D1186" s="14"/>
      <c r="E1186" s="15"/>
      <c r="F1186" s="14"/>
      <c r="G1186" s="14"/>
      <c r="H1186" s="15"/>
      <c r="I1186" s="14"/>
      <c r="J1186" s="14"/>
      <c r="K1186" s="14"/>
      <c r="L1186" s="14"/>
      <c r="M1186" s="14"/>
    </row>
    <row r="1187" ht="18.75" customHeight="1">
      <c r="A1187" s="14"/>
      <c r="B1187" s="14"/>
      <c r="C1187" s="14"/>
      <c r="D1187" s="14"/>
      <c r="E1187" s="15"/>
      <c r="F1187" s="14"/>
      <c r="G1187" s="14"/>
      <c r="H1187" s="15"/>
      <c r="I1187" s="14"/>
      <c r="J1187" s="14"/>
      <c r="K1187" s="14"/>
      <c r="L1187" s="14"/>
      <c r="M1187" s="14"/>
    </row>
    <row r="1188" ht="18.75" customHeight="1">
      <c r="A1188" s="14"/>
      <c r="B1188" s="14"/>
      <c r="C1188" s="14"/>
      <c r="D1188" s="14"/>
      <c r="E1188" s="15"/>
      <c r="F1188" s="14"/>
      <c r="G1188" s="14"/>
      <c r="H1188" s="15"/>
      <c r="I1188" s="14"/>
      <c r="J1188" s="14"/>
      <c r="K1188" s="14"/>
      <c r="L1188" s="14"/>
      <c r="M1188" s="14"/>
    </row>
    <row r="1189" ht="18.75" customHeight="1">
      <c r="A1189" s="14"/>
      <c r="B1189" s="14"/>
      <c r="C1189" s="14"/>
      <c r="D1189" s="14"/>
      <c r="E1189" s="15"/>
      <c r="F1189" s="14"/>
      <c r="G1189" s="14"/>
      <c r="H1189" s="15"/>
      <c r="I1189" s="14"/>
      <c r="J1189" s="14"/>
      <c r="K1189" s="14"/>
      <c r="L1189" s="14"/>
      <c r="M1189" s="14"/>
    </row>
    <row r="1190" ht="18.75" customHeight="1">
      <c r="A1190" s="14"/>
      <c r="B1190" s="14"/>
      <c r="C1190" s="14"/>
      <c r="D1190" s="14"/>
      <c r="E1190" s="15"/>
      <c r="F1190" s="14"/>
      <c r="G1190" s="14"/>
      <c r="H1190" s="15"/>
      <c r="I1190" s="14"/>
      <c r="J1190" s="14"/>
      <c r="K1190" s="14"/>
      <c r="L1190" s="14"/>
      <c r="M1190" s="14"/>
    </row>
    <row r="1191" ht="18.75" customHeight="1">
      <c r="A1191" s="14"/>
      <c r="B1191" s="14"/>
      <c r="C1191" s="14"/>
      <c r="D1191" s="14"/>
      <c r="E1191" s="15"/>
      <c r="F1191" s="14"/>
      <c r="G1191" s="14"/>
      <c r="H1191" s="15"/>
      <c r="I1191" s="14"/>
      <c r="J1191" s="14"/>
      <c r="K1191" s="14"/>
      <c r="L1191" s="14"/>
      <c r="M1191" s="14"/>
    </row>
    <row r="1192" ht="18.75" customHeight="1">
      <c r="A1192" s="14"/>
      <c r="B1192" s="14"/>
      <c r="C1192" s="14"/>
      <c r="D1192" s="14"/>
      <c r="E1192" s="15"/>
      <c r="F1192" s="14"/>
      <c r="G1192" s="14"/>
      <c r="H1192" s="15"/>
      <c r="I1192" s="14"/>
      <c r="J1192" s="14"/>
      <c r="K1192" s="14"/>
      <c r="L1192" s="14"/>
      <c r="M1192" s="14"/>
    </row>
    <row r="1193" ht="18.75" customHeight="1">
      <c r="A1193" s="14"/>
      <c r="B1193" s="14"/>
      <c r="C1193" s="14"/>
      <c r="D1193" s="14"/>
      <c r="E1193" s="15"/>
      <c r="F1193" s="14"/>
      <c r="G1193" s="14"/>
      <c r="H1193" s="15"/>
      <c r="I1193" s="14"/>
      <c r="J1193" s="14"/>
      <c r="K1193" s="14"/>
      <c r="L1193" s="14"/>
      <c r="M1193" s="14"/>
    </row>
    <row r="1194" ht="18.75" customHeight="1">
      <c r="A1194" s="14"/>
      <c r="B1194" s="14"/>
      <c r="C1194" s="14"/>
      <c r="D1194" s="14"/>
      <c r="E1194" s="15"/>
      <c r="F1194" s="14"/>
      <c r="G1194" s="14"/>
      <c r="H1194" s="15"/>
      <c r="I1194" s="14"/>
      <c r="J1194" s="14"/>
      <c r="K1194" s="14"/>
      <c r="L1194" s="14"/>
      <c r="M1194" s="14"/>
    </row>
    <row r="1195" ht="18.75" customHeight="1">
      <c r="A1195" s="14"/>
      <c r="B1195" s="14"/>
      <c r="C1195" s="14"/>
      <c r="D1195" s="14"/>
      <c r="E1195" s="15"/>
      <c r="F1195" s="14"/>
      <c r="G1195" s="14"/>
      <c r="H1195" s="15"/>
      <c r="I1195" s="14"/>
      <c r="J1195" s="14"/>
      <c r="K1195" s="14"/>
      <c r="L1195" s="14"/>
      <c r="M1195" s="14"/>
    </row>
    <row r="1196" ht="18.75" customHeight="1">
      <c r="A1196" s="14"/>
      <c r="B1196" s="14"/>
      <c r="C1196" s="14"/>
      <c r="D1196" s="14"/>
      <c r="E1196" s="15"/>
      <c r="F1196" s="14"/>
      <c r="G1196" s="14"/>
      <c r="H1196" s="15"/>
      <c r="I1196" s="14"/>
      <c r="J1196" s="14"/>
      <c r="K1196" s="14"/>
      <c r="L1196" s="14"/>
      <c r="M1196" s="14"/>
    </row>
    <row r="1197" ht="18.75" customHeight="1">
      <c r="A1197" s="14"/>
      <c r="B1197" s="14"/>
      <c r="C1197" s="14"/>
      <c r="D1197" s="14"/>
      <c r="E1197" s="15"/>
      <c r="F1197" s="14"/>
      <c r="G1197" s="14"/>
      <c r="H1197" s="15"/>
      <c r="I1197" s="14"/>
      <c r="J1197" s="14"/>
      <c r="K1197" s="14"/>
      <c r="L1197" s="14"/>
      <c r="M1197" s="14"/>
    </row>
    <row r="1198" ht="18.75" customHeight="1">
      <c r="A1198" s="14"/>
      <c r="B1198" s="14"/>
      <c r="C1198" s="14"/>
      <c r="D1198" s="14"/>
      <c r="E1198" s="15"/>
      <c r="F1198" s="14"/>
      <c r="G1198" s="14"/>
      <c r="H1198" s="15"/>
      <c r="I1198" s="14"/>
      <c r="J1198" s="14"/>
      <c r="K1198" s="14"/>
      <c r="L1198" s="14"/>
      <c r="M1198" s="14"/>
    </row>
    <row r="1199" ht="18.75" customHeight="1">
      <c r="A1199" s="14"/>
      <c r="B1199" s="14"/>
      <c r="C1199" s="14"/>
      <c r="D1199" s="14"/>
      <c r="E1199" s="15"/>
      <c r="F1199" s="14"/>
      <c r="G1199" s="14"/>
      <c r="H1199" s="15"/>
      <c r="I1199" s="14"/>
      <c r="J1199" s="14"/>
      <c r="K1199" s="14"/>
      <c r="L1199" s="14"/>
      <c r="M1199" s="14"/>
    </row>
    <row r="1200" ht="18.75" customHeight="1">
      <c r="A1200" s="14"/>
      <c r="B1200" s="14"/>
      <c r="C1200" s="14"/>
      <c r="D1200" s="14"/>
      <c r="E1200" s="15"/>
      <c r="F1200" s="14"/>
      <c r="G1200" s="14"/>
      <c r="H1200" s="15"/>
      <c r="I1200" s="14"/>
      <c r="J1200" s="14"/>
      <c r="K1200" s="14"/>
      <c r="L1200" s="14"/>
      <c r="M1200" s="14"/>
    </row>
    <row r="1201" ht="18.75" customHeight="1">
      <c r="A1201" s="14"/>
      <c r="B1201" s="14"/>
      <c r="C1201" s="14"/>
      <c r="D1201" s="14"/>
      <c r="E1201" s="15"/>
      <c r="F1201" s="14"/>
      <c r="G1201" s="14"/>
      <c r="H1201" s="15"/>
      <c r="I1201" s="14"/>
      <c r="J1201" s="14"/>
      <c r="K1201" s="14"/>
      <c r="L1201" s="14"/>
      <c r="M1201" s="14"/>
    </row>
    <row r="1202" ht="18.75" customHeight="1">
      <c r="A1202" s="14"/>
      <c r="B1202" s="14"/>
      <c r="C1202" s="14"/>
      <c r="D1202" s="14"/>
      <c r="E1202" s="15"/>
      <c r="F1202" s="14"/>
      <c r="G1202" s="14"/>
      <c r="H1202" s="15"/>
      <c r="I1202" s="14"/>
      <c r="J1202" s="14"/>
      <c r="K1202" s="14"/>
      <c r="L1202" s="14"/>
      <c r="M1202" s="14"/>
    </row>
    <row r="1203" ht="18.75" customHeight="1">
      <c r="A1203" s="14"/>
      <c r="B1203" s="14"/>
      <c r="C1203" s="14"/>
      <c r="D1203" s="14"/>
      <c r="E1203" s="15"/>
      <c r="F1203" s="14"/>
      <c r="G1203" s="14"/>
      <c r="H1203" s="15"/>
      <c r="I1203" s="14"/>
      <c r="J1203" s="14"/>
      <c r="K1203" s="14"/>
      <c r="L1203" s="14"/>
      <c r="M1203" s="14"/>
    </row>
    <row r="1204" ht="18.75" customHeight="1">
      <c r="A1204" s="14"/>
      <c r="B1204" s="14"/>
      <c r="C1204" s="14"/>
      <c r="D1204" s="14"/>
      <c r="E1204" s="15"/>
      <c r="F1204" s="14"/>
      <c r="G1204" s="14"/>
      <c r="H1204" s="15"/>
      <c r="I1204" s="14"/>
      <c r="J1204" s="14"/>
      <c r="K1204" s="14"/>
      <c r="L1204" s="14"/>
      <c r="M1204" s="14"/>
    </row>
    <row r="1205" ht="18.75" customHeight="1">
      <c r="A1205" s="14"/>
      <c r="B1205" s="14"/>
      <c r="C1205" s="14"/>
      <c r="D1205" s="14"/>
      <c r="E1205" s="15"/>
      <c r="F1205" s="14"/>
      <c r="G1205" s="14"/>
      <c r="H1205" s="15"/>
      <c r="I1205" s="14"/>
      <c r="J1205" s="14"/>
      <c r="K1205" s="14"/>
      <c r="L1205" s="14"/>
      <c r="M1205" s="14"/>
    </row>
    <row r="1206" ht="18.75" customHeight="1">
      <c r="A1206" s="14"/>
      <c r="B1206" s="14"/>
      <c r="C1206" s="14"/>
      <c r="D1206" s="14"/>
      <c r="E1206" s="15"/>
      <c r="F1206" s="14"/>
      <c r="G1206" s="14"/>
      <c r="H1206" s="15"/>
      <c r="I1206" s="14"/>
      <c r="J1206" s="14"/>
      <c r="K1206" s="14"/>
      <c r="L1206" s="14"/>
      <c r="M1206" s="14"/>
    </row>
    <row r="1207" ht="18.75" customHeight="1">
      <c r="A1207" s="14"/>
      <c r="B1207" s="14"/>
      <c r="C1207" s="14"/>
      <c r="D1207" s="14"/>
      <c r="E1207" s="15"/>
      <c r="F1207" s="14"/>
      <c r="G1207" s="14"/>
      <c r="H1207" s="15"/>
      <c r="I1207" s="14"/>
      <c r="J1207" s="14"/>
      <c r="K1207" s="14"/>
      <c r="L1207" s="14"/>
      <c r="M1207" s="14"/>
    </row>
    <row r="1208" ht="18.75" customHeight="1">
      <c r="A1208" s="14"/>
      <c r="B1208" s="14"/>
      <c r="C1208" s="14"/>
      <c r="D1208" s="14"/>
      <c r="E1208" s="15"/>
      <c r="F1208" s="14"/>
      <c r="G1208" s="14"/>
      <c r="H1208" s="15"/>
      <c r="I1208" s="14"/>
      <c r="J1208" s="14"/>
      <c r="K1208" s="14"/>
      <c r="L1208" s="14"/>
      <c r="M1208" s="14"/>
    </row>
    <row r="1209" ht="18.75" customHeight="1">
      <c r="A1209" s="14"/>
      <c r="B1209" s="14"/>
      <c r="C1209" s="14"/>
      <c r="D1209" s="14"/>
      <c r="E1209" s="15"/>
      <c r="F1209" s="14"/>
      <c r="G1209" s="14"/>
      <c r="H1209" s="15"/>
      <c r="I1209" s="14"/>
      <c r="J1209" s="14"/>
      <c r="K1209" s="14"/>
      <c r="L1209" s="14"/>
      <c r="M1209" s="14"/>
    </row>
    <row r="1210" ht="18.75" customHeight="1">
      <c r="A1210" s="14"/>
      <c r="B1210" s="14"/>
      <c r="C1210" s="14"/>
      <c r="D1210" s="14"/>
      <c r="E1210" s="15"/>
      <c r="F1210" s="14"/>
      <c r="G1210" s="14"/>
      <c r="H1210" s="15"/>
      <c r="I1210" s="14"/>
      <c r="J1210" s="14"/>
      <c r="K1210" s="14"/>
      <c r="L1210" s="14"/>
      <c r="M1210" s="14"/>
    </row>
    <row r="1211" ht="18.75" customHeight="1">
      <c r="A1211" s="14"/>
      <c r="B1211" s="14"/>
      <c r="C1211" s="14"/>
      <c r="D1211" s="14"/>
      <c r="E1211" s="15"/>
      <c r="F1211" s="14"/>
      <c r="G1211" s="14"/>
      <c r="H1211" s="15"/>
      <c r="I1211" s="14"/>
      <c r="J1211" s="14"/>
      <c r="K1211" s="14"/>
      <c r="L1211" s="14"/>
      <c r="M1211" s="14"/>
    </row>
    <row r="1212" ht="18.75" customHeight="1">
      <c r="A1212" s="14"/>
      <c r="B1212" s="14"/>
      <c r="C1212" s="14"/>
      <c r="D1212" s="14"/>
      <c r="E1212" s="15"/>
      <c r="F1212" s="14"/>
      <c r="G1212" s="14"/>
      <c r="H1212" s="15"/>
      <c r="I1212" s="14"/>
      <c r="J1212" s="14"/>
      <c r="K1212" s="14"/>
      <c r="L1212" s="14"/>
      <c r="M1212" s="14"/>
    </row>
    <row r="1213" ht="18.75" customHeight="1">
      <c r="A1213" s="14"/>
      <c r="B1213" s="14"/>
      <c r="C1213" s="14"/>
      <c r="D1213" s="14"/>
      <c r="E1213" s="15"/>
      <c r="F1213" s="14"/>
      <c r="G1213" s="14"/>
      <c r="H1213" s="15"/>
      <c r="I1213" s="14"/>
      <c r="J1213" s="14"/>
      <c r="K1213" s="14"/>
      <c r="L1213" s="14"/>
      <c r="M1213" s="14"/>
    </row>
    <row r="1214" ht="18.75" customHeight="1">
      <c r="A1214" s="14"/>
      <c r="B1214" s="14"/>
      <c r="C1214" s="14"/>
      <c r="D1214" s="14"/>
      <c r="E1214" s="15"/>
      <c r="F1214" s="14"/>
      <c r="G1214" s="14"/>
      <c r="H1214" s="15"/>
      <c r="I1214" s="14"/>
      <c r="J1214" s="14"/>
      <c r="K1214" s="14"/>
      <c r="L1214" s="14"/>
      <c r="M1214" s="14"/>
    </row>
    <row r="1215" ht="18.75" customHeight="1">
      <c r="A1215" s="14"/>
      <c r="B1215" s="14"/>
      <c r="C1215" s="14"/>
      <c r="D1215" s="14"/>
      <c r="E1215" s="15"/>
      <c r="F1215" s="14"/>
      <c r="G1215" s="14"/>
      <c r="H1215" s="15"/>
      <c r="I1215" s="14"/>
      <c r="J1215" s="14"/>
      <c r="K1215" s="14"/>
      <c r="L1215" s="14"/>
      <c r="M1215" s="14"/>
    </row>
    <row r="1216" ht="18.75" customHeight="1">
      <c r="A1216" s="14"/>
      <c r="B1216" s="14"/>
      <c r="C1216" s="14"/>
      <c r="D1216" s="14"/>
      <c r="E1216" s="15"/>
      <c r="F1216" s="14"/>
      <c r="G1216" s="14"/>
      <c r="H1216" s="15"/>
      <c r="I1216" s="14"/>
      <c r="J1216" s="14"/>
      <c r="K1216" s="14"/>
      <c r="L1216" s="14"/>
      <c r="M1216" s="14"/>
    </row>
    <row r="1217" ht="18.75" customHeight="1">
      <c r="A1217" s="14"/>
      <c r="B1217" s="14"/>
      <c r="C1217" s="14"/>
      <c r="D1217" s="14"/>
      <c r="E1217" s="15"/>
      <c r="F1217" s="14"/>
      <c r="G1217" s="14"/>
      <c r="H1217" s="15"/>
      <c r="I1217" s="14"/>
      <c r="J1217" s="14"/>
      <c r="K1217" s="14"/>
      <c r="L1217" s="14"/>
      <c r="M1217" s="14"/>
    </row>
    <row r="1218" ht="18.75" customHeight="1">
      <c r="A1218" s="14"/>
      <c r="B1218" s="14"/>
      <c r="C1218" s="14"/>
      <c r="D1218" s="14"/>
      <c r="E1218" s="15"/>
      <c r="F1218" s="14"/>
      <c r="G1218" s="14"/>
      <c r="H1218" s="15"/>
      <c r="I1218" s="14"/>
      <c r="J1218" s="14"/>
      <c r="K1218" s="14"/>
      <c r="L1218" s="14"/>
      <c r="M1218" s="14"/>
    </row>
    <row r="1219" ht="18.75" customHeight="1">
      <c r="A1219" s="14"/>
      <c r="B1219" s="14"/>
      <c r="C1219" s="14"/>
      <c r="D1219" s="14"/>
      <c r="E1219" s="15"/>
      <c r="F1219" s="14"/>
      <c r="G1219" s="14"/>
      <c r="H1219" s="15"/>
      <c r="I1219" s="14"/>
      <c r="J1219" s="14"/>
      <c r="K1219" s="14"/>
      <c r="L1219" s="14"/>
      <c r="M1219" s="14"/>
    </row>
    <row r="1220" ht="18.75" customHeight="1">
      <c r="A1220" s="14"/>
      <c r="B1220" s="14"/>
      <c r="C1220" s="14"/>
      <c r="D1220" s="14"/>
      <c r="E1220" s="15"/>
      <c r="F1220" s="14"/>
      <c r="G1220" s="14"/>
      <c r="H1220" s="15"/>
      <c r="I1220" s="14"/>
      <c r="J1220" s="14"/>
      <c r="K1220" s="14"/>
      <c r="L1220" s="14"/>
      <c r="M1220" s="14"/>
    </row>
    <row r="1221" ht="18.75" customHeight="1">
      <c r="A1221" s="14"/>
      <c r="B1221" s="14"/>
      <c r="C1221" s="14"/>
      <c r="D1221" s="14"/>
      <c r="E1221" s="15"/>
      <c r="F1221" s="14"/>
      <c r="G1221" s="14"/>
      <c r="H1221" s="15"/>
      <c r="I1221" s="14"/>
      <c r="J1221" s="14"/>
      <c r="K1221" s="14"/>
      <c r="L1221" s="14"/>
      <c r="M1221" s="14"/>
    </row>
    <row r="1222" ht="18.75" customHeight="1">
      <c r="A1222" s="14"/>
      <c r="B1222" s="14"/>
      <c r="C1222" s="14"/>
      <c r="D1222" s="14"/>
      <c r="E1222" s="15"/>
      <c r="F1222" s="14"/>
      <c r="G1222" s="14"/>
      <c r="H1222" s="15"/>
      <c r="I1222" s="14"/>
      <c r="J1222" s="14"/>
      <c r="K1222" s="14"/>
      <c r="L1222" s="14"/>
      <c r="M1222" s="14"/>
    </row>
    <row r="1223" ht="18.75" customHeight="1">
      <c r="A1223" s="14"/>
      <c r="B1223" s="14"/>
      <c r="C1223" s="14"/>
      <c r="D1223" s="14"/>
      <c r="E1223" s="15"/>
      <c r="F1223" s="14"/>
      <c r="G1223" s="14"/>
      <c r="H1223" s="15"/>
      <c r="I1223" s="14"/>
      <c r="J1223" s="14"/>
      <c r="K1223" s="14"/>
      <c r="L1223" s="14"/>
      <c r="M1223" s="14"/>
    </row>
    <row r="1224" ht="18.75" customHeight="1">
      <c r="A1224" s="14"/>
      <c r="B1224" s="14"/>
      <c r="C1224" s="14"/>
      <c r="D1224" s="14"/>
      <c r="E1224" s="15"/>
      <c r="F1224" s="14"/>
      <c r="G1224" s="14"/>
      <c r="H1224" s="15"/>
      <c r="I1224" s="14"/>
      <c r="J1224" s="14"/>
      <c r="K1224" s="14"/>
      <c r="L1224" s="14"/>
      <c r="M1224" s="14"/>
    </row>
    <row r="1225" ht="18.75" customHeight="1">
      <c r="A1225" s="14"/>
      <c r="B1225" s="14"/>
      <c r="C1225" s="14"/>
      <c r="D1225" s="14"/>
      <c r="E1225" s="15"/>
      <c r="F1225" s="14"/>
      <c r="G1225" s="14"/>
      <c r="H1225" s="15"/>
      <c r="I1225" s="14"/>
      <c r="J1225" s="14"/>
      <c r="K1225" s="14"/>
      <c r="L1225" s="14"/>
      <c r="M1225" s="14"/>
    </row>
    <row r="1226" ht="18.75" customHeight="1">
      <c r="A1226" s="14"/>
      <c r="B1226" s="14"/>
      <c r="C1226" s="14"/>
      <c r="D1226" s="14"/>
      <c r="E1226" s="15"/>
      <c r="F1226" s="14"/>
      <c r="G1226" s="14"/>
      <c r="H1226" s="15"/>
      <c r="I1226" s="14"/>
      <c r="J1226" s="14"/>
      <c r="K1226" s="14"/>
      <c r="L1226" s="14"/>
      <c r="M1226" s="14"/>
    </row>
    <row r="1227" ht="18.75" customHeight="1">
      <c r="A1227" s="14"/>
      <c r="B1227" s="14"/>
      <c r="C1227" s="14"/>
      <c r="D1227" s="14"/>
      <c r="E1227" s="15"/>
      <c r="F1227" s="14"/>
      <c r="G1227" s="14"/>
      <c r="H1227" s="15"/>
      <c r="I1227" s="14"/>
      <c r="J1227" s="14"/>
      <c r="K1227" s="14"/>
      <c r="L1227" s="14"/>
      <c r="M1227" s="14"/>
    </row>
    <row r="1228" ht="18.75" customHeight="1">
      <c r="A1228" s="14"/>
      <c r="B1228" s="14"/>
      <c r="C1228" s="14"/>
      <c r="D1228" s="14"/>
      <c r="E1228" s="15"/>
      <c r="F1228" s="14"/>
      <c r="G1228" s="14"/>
      <c r="H1228" s="15"/>
      <c r="I1228" s="14"/>
      <c r="J1228" s="14"/>
      <c r="K1228" s="14"/>
      <c r="L1228" s="14"/>
      <c r="M1228" s="14"/>
    </row>
    <row r="1229" ht="18.75" customHeight="1">
      <c r="A1229" s="14"/>
      <c r="B1229" s="14"/>
      <c r="C1229" s="14"/>
      <c r="D1229" s="14"/>
      <c r="E1229" s="15"/>
      <c r="F1229" s="14"/>
      <c r="G1229" s="14"/>
      <c r="H1229" s="15"/>
      <c r="I1229" s="14"/>
      <c r="J1229" s="14"/>
      <c r="K1229" s="14"/>
      <c r="L1229" s="14"/>
      <c r="M1229" s="14"/>
    </row>
    <row r="1230" ht="18.75" customHeight="1">
      <c r="A1230" s="14"/>
      <c r="B1230" s="14"/>
      <c r="C1230" s="14"/>
      <c r="D1230" s="14"/>
      <c r="E1230" s="15"/>
      <c r="F1230" s="14"/>
      <c r="G1230" s="14"/>
      <c r="H1230" s="15"/>
      <c r="I1230" s="14"/>
      <c r="J1230" s="14"/>
      <c r="K1230" s="14"/>
      <c r="L1230" s="14"/>
      <c r="M1230" s="14"/>
    </row>
    <row r="1231" ht="18.75" customHeight="1">
      <c r="A1231" s="14"/>
      <c r="B1231" s="14"/>
      <c r="C1231" s="14"/>
      <c r="D1231" s="14"/>
      <c r="E1231" s="15"/>
      <c r="F1231" s="14"/>
      <c r="G1231" s="14"/>
      <c r="H1231" s="15"/>
      <c r="I1231" s="14"/>
      <c r="J1231" s="14"/>
      <c r="K1231" s="14"/>
      <c r="L1231" s="14"/>
      <c r="M1231" s="14"/>
    </row>
    <row r="1232" ht="18.75" customHeight="1">
      <c r="A1232" s="14"/>
      <c r="B1232" s="14"/>
      <c r="C1232" s="14"/>
      <c r="D1232" s="14"/>
      <c r="E1232" s="15"/>
      <c r="F1232" s="14"/>
      <c r="G1232" s="14"/>
      <c r="H1232" s="15"/>
      <c r="I1232" s="14"/>
      <c r="J1232" s="14"/>
      <c r="K1232" s="14"/>
      <c r="L1232" s="14"/>
      <c r="M1232" s="14"/>
    </row>
    <row r="1233" ht="18.75" customHeight="1">
      <c r="A1233" s="14"/>
      <c r="B1233" s="14"/>
      <c r="C1233" s="14"/>
      <c r="D1233" s="14"/>
      <c r="E1233" s="15"/>
      <c r="F1233" s="14"/>
      <c r="G1233" s="14"/>
      <c r="H1233" s="15"/>
      <c r="I1233" s="14"/>
      <c r="J1233" s="14"/>
      <c r="K1233" s="14"/>
      <c r="L1233" s="14"/>
      <c r="M1233" s="14"/>
    </row>
    <row r="1234" ht="18.75" customHeight="1">
      <c r="A1234" s="14"/>
      <c r="B1234" s="14"/>
      <c r="C1234" s="14"/>
      <c r="D1234" s="14"/>
      <c r="E1234" s="15"/>
      <c r="F1234" s="14"/>
      <c r="G1234" s="14"/>
      <c r="H1234" s="15"/>
      <c r="I1234" s="14"/>
      <c r="J1234" s="14"/>
      <c r="K1234" s="14"/>
      <c r="L1234" s="14"/>
      <c r="M1234" s="14"/>
    </row>
    <row r="1235" ht="18.75" customHeight="1">
      <c r="A1235" s="14"/>
      <c r="B1235" s="14"/>
      <c r="C1235" s="14"/>
      <c r="D1235" s="14"/>
      <c r="E1235" s="15"/>
      <c r="F1235" s="14"/>
      <c r="G1235" s="14"/>
      <c r="H1235" s="15"/>
      <c r="I1235" s="14"/>
      <c r="J1235" s="14"/>
      <c r="K1235" s="14"/>
      <c r="L1235" s="14"/>
      <c r="M1235" s="14"/>
    </row>
    <row r="1236" ht="18.75" customHeight="1">
      <c r="A1236" s="14"/>
      <c r="B1236" s="14"/>
      <c r="C1236" s="14"/>
      <c r="D1236" s="14"/>
      <c r="E1236" s="15"/>
      <c r="F1236" s="14"/>
      <c r="G1236" s="14"/>
      <c r="H1236" s="15"/>
      <c r="I1236" s="14"/>
      <c r="J1236" s="14"/>
      <c r="K1236" s="14"/>
      <c r="L1236" s="14"/>
      <c r="M1236" s="14"/>
    </row>
    <row r="1237" ht="18.75" customHeight="1">
      <c r="A1237" s="14"/>
      <c r="B1237" s="14"/>
      <c r="C1237" s="14"/>
      <c r="D1237" s="14"/>
      <c r="E1237" s="15"/>
      <c r="F1237" s="14"/>
      <c r="G1237" s="14"/>
      <c r="H1237" s="15"/>
      <c r="I1237" s="14"/>
      <c r="J1237" s="14"/>
      <c r="K1237" s="14"/>
      <c r="L1237" s="14"/>
      <c r="M1237" s="14"/>
    </row>
    <row r="1238" ht="18.75" customHeight="1">
      <c r="A1238" s="14"/>
      <c r="B1238" s="14"/>
      <c r="C1238" s="14"/>
      <c r="D1238" s="14"/>
      <c r="E1238" s="15"/>
      <c r="F1238" s="14"/>
      <c r="G1238" s="14"/>
      <c r="H1238" s="15"/>
      <c r="I1238" s="14"/>
      <c r="J1238" s="14"/>
      <c r="K1238" s="14"/>
      <c r="L1238" s="14"/>
      <c r="M1238" s="14"/>
    </row>
    <row r="1239" ht="18.75" customHeight="1">
      <c r="A1239" s="14"/>
      <c r="B1239" s="14"/>
      <c r="C1239" s="14"/>
      <c r="D1239" s="14"/>
      <c r="E1239" s="15"/>
      <c r="F1239" s="14"/>
      <c r="G1239" s="14"/>
      <c r="H1239" s="15"/>
      <c r="I1239" s="14"/>
      <c r="J1239" s="14"/>
      <c r="K1239" s="14"/>
      <c r="L1239" s="14"/>
      <c r="M1239" s="14"/>
    </row>
    <row r="1240" ht="18.75" customHeight="1">
      <c r="A1240" s="14"/>
      <c r="B1240" s="14"/>
      <c r="C1240" s="14"/>
      <c r="D1240" s="14"/>
      <c r="E1240" s="15"/>
      <c r="F1240" s="14"/>
      <c r="G1240" s="14"/>
      <c r="H1240" s="15"/>
      <c r="I1240" s="14"/>
      <c r="J1240" s="14"/>
      <c r="K1240" s="14"/>
      <c r="L1240" s="14"/>
      <c r="M1240" s="14"/>
    </row>
    <row r="1241" ht="18.75" customHeight="1">
      <c r="A1241" s="14"/>
      <c r="B1241" s="14"/>
      <c r="C1241" s="14"/>
      <c r="D1241" s="14"/>
      <c r="E1241" s="15"/>
      <c r="F1241" s="14"/>
      <c r="G1241" s="14"/>
      <c r="H1241" s="15"/>
      <c r="I1241" s="14"/>
      <c r="J1241" s="14"/>
      <c r="K1241" s="14"/>
      <c r="L1241" s="14"/>
      <c r="M1241" s="14"/>
    </row>
    <row r="1242" ht="18.75" customHeight="1">
      <c r="A1242" s="14"/>
      <c r="B1242" s="14"/>
      <c r="C1242" s="14"/>
      <c r="D1242" s="14"/>
      <c r="E1242" s="15"/>
      <c r="F1242" s="14"/>
      <c r="G1242" s="14"/>
      <c r="H1242" s="15"/>
      <c r="I1242" s="14"/>
      <c r="J1242" s="14"/>
      <c r="K1242" s="14"/>
      <c r="L1242" s="14"/>
      <c r="M1242" s="14"/>
    </row>
    <row r="1243" ht="18.75" customHeight="1">
      <c r="A1243" s="14"/>
      <c r="B1243" s="14"/>
      <c r="C1243" s="14"/>
      <c r="D1243" s="14"/>
      <c r="E1243" s="15"/>
      <c r="F1243" s="14"/>
      <c r="G1243" s="14"/>
      <c r="H1243" s="15"/>
      <c r="I1243" s="14"/>
      <c r="J1243" s="14"/>
      <c r="K1243" s="14"/>
      <c r="L1243" s="14"/>
      <c r="M1243" s="14"/>
    </row>
    <row r="1244" ht="18.75" customHeight="1">
      <c r="A1244" s="14"/>
      <c r="B1244" s="14"/>
      <c r="C1244" s="14"/>
      <c r="D1244" s="14"/>
      <c r="E1244" s="15"/>
      <c r="F1244" s="14"/>
      <c r="G1244" s="14"/>
      <c r="H1244" s="15"/>
      <c r="I1244" s="14"/>
      <c r="J1244" s="14"/>
      <c r="K1244" s="14"/>
      <c r="L1244" s="14"/>
      <c r="M1244" s="14"/>
    </row>
    <row r="1245" ht="18.75" customHeight="1">
      <c r="A1245" s="14"/>
      <c r="B1245" s="14"/>
      <c r="C1245" s="14"/>
      <c r="D1245" s="14"/>
      <c r="E1245" s="15"/>
      <c r="F1245" s="14"/>
      <c r="G1245" s="14"/>
      <c r="H1245" s="15"/>
      <c r="I1245" s="14"/>
      <c r="J1245" s="14"/>
      <c r="K1245" s="14"/>
      <c r="L1245" s="14"/>
      <c r="M1245" s="14"/>
    </row>
    <row r="1246" ht="18.75" customHeight="1">
      <c r="A1246" s="14"/>
      <c r="B1246" s="14"/>
      <c r="C1246" s="14"/>
      <c r="D1246" s="14"/>
      <c r="E1246" s="15"/>
      <c r="F1246" s="14"/>
      <c r="G1246" s="14"/>
      <c r="H1246" s="15"/>
      <c r="I1246" s="14"/>
      <c r="J1246" s="14"/>
      <c r="K1246" s="14"/>
      <c r="L1246" s="14"/>
      <c r="M1246" s="14"/>
    </row>
    <row r="1247" ht="18.75" customHeight="1">
      <c r="A1247" s="14"/>
      <c r="B1247" s="14"/>
      <c r="C1247" s="14"/>
      <c r="D1247" s="14"/>
      <c r="E1247" s="15"/>
      <c r="F1247" s="14"/>
      <c r="G1247" s="14"/>
      <c r="H1247" s="15"/>
      <c r="I1247" s="14"/>
      <c r="J1247" s="14"/>
      <c r="K1247" s="14"/>
      <c r="L1247" s="14"/>
      <c r="M1247" s="14"/>
    </row>
    <row r="1248" ht="18.75" customHeight="1">
      <c r="A1248" s="14"/>
      <c r="B1248" s="14"/>
      <c r="C1248" s="14"/>
      <c r="D1248" s="14"/>
      <c r="E1248" s="15"/>
      <c r="F1248" s="14"/>
      <c r="G1248" s="14"/>
      <c r="H1248" s="15"/>
      <c r="I1248" s="14"/>
      <c r="J1248" s="14"/>
      <c r="K1248" s="14"/>
      <c r="L1248" s="14"/>
      <c r="M1248" s="14"/>
    </row>
    <row r="1249" ht="18.75" customHeight="1">
      <c r="A1249" s="14"/>
      <c r="B1249" s="14"/>
      <c r="C1249" s="14"/>
      <c r="D1249" s="14"/>
      <c r="E1249" s="15"/>
      <c r="F1249" s="14"/>
      <c r="G1249" s="14"/>
      <c r="H1249" s="15"/>
      <c r="I1249" s="14"/>
      <c r="J1249" s="14"/>
      <c r="K1249" s="14"/>
      <c r="L1249" s="14"/>
      <c r="M1249" s="14"/>
    </row>
    <row r="1250" ht="18.75" customHeight="1">
      <c r="A1250" s="14"/>
      <c r="B1250" s="14"/>
      <c r="C1250" s="14"/>
      <c r="D1250" s="14"/>
      <c r="E1250" s="15"/>
      <c r="F1250" s="14"/>
      <c r="G1250" s="14"/>
      <c r="H1250" s="15"/>
      <c r="I1250" s="14"/>
      <c r="J1250" s="14"/>
      <c r="K1250" s="14"/>
      <c r="L1250" s="14"/>
      <c r="M1250" s="14"/>
    </row>
    <row r="1251" ht="18.75" customHeight="1">
      <c r="A1251" s="14"/>
      <c r="B1251" s="14"/>
      <c r="C1251" s="14"/>
      <c r="D1251" s="14"/>
      <c r="E1251" s="15"/>
      <c r="F1251" s="14"/>
      <c r="G1251" s="14"/>
      <c r="H1251" s="15"/>
      <c r="I1251" s="14"/>
      <c r="J1251" s="14"/>
      <c r="K1251" s="14"/>
      <c r="L1251" s="14"/>
      <c r="M1251" s="14"/>
    </row>
    <row r="1252" ht="18.75" customHeight="1">
      <c r="A1252" s="14"/>
      <c r="B1252" s="14"/>
      <c r="C1252" s="14"/>
      <c r="D1252" s="14"/>
      <c r="E1252" s="15"/>
      <c r="F1252" s="14"/>
      <c r="G1252" s="14"/>
      <c r="H1252" s="15"/>
      <c r="I1252" s="14"/>
      <c r="J1252" s="14"/>
      <c r="K1252" s="14"/>
      <c r="L1252" s="14"/>
      <c r="M1252" s="14"/>
    </row>
    <row r="1253" ht="18.75" customHeight="1">
      <c r="A1253" s="14"/>
      <c r="B1253" s="14"/>
      <c r="C1253" s="14"/>
      <c r="D1253" s="14"/>
      <c r="E1253" s="15"/>
      <c r="F1253" s="14"/>
      <c r="G1253" s="14"/>
      <c r="H1253" s="15"/>
      <c r="I1253" s="14"/>
      <c r="J1253" s="14"/>
      <c r="K1253" s="14"/>
      <c r="L1253" s="14"/>
      <c r="M1253" s="14"/>
    </row>
    <row r="1254" ht="18.75" customHeight="1">
      <c r="A1254" s="14"/>
      <c r="B1254" s="14"/>
      <c r="C1254" s="14"/>
      <c r="D1254" s="14"/>
      <c r="E1254" s="15"/>
      <c r="F1254" s="14"/>
      <c r="G1254" s="14"/>
      <c r="H1254" s="15"/>
      <c r="I1254" s="14"/>
      <c r="J1254" s="14"/>
      <c r="K1254" s="14"/>
      <c r="L1254" s="14"/>
      <c r="M1254" s="14"/>
    </row>
    <row r="1255" ht="18.75" customHeight="1">
      <c r="A1255" s="14"/>
      <c r="B1255" s="14"/>
      <c r="C1255" s="14"/>
      <c r="D1255" s="14"/>
      <c r="E1255" s="15"/>
      <c r="F1255" s="14"/>
      <c r="G1255" s="14"/>
      <c r="H1255" s="15"/>
      <c r="I1255" s="14"/>
      <c r="J1255" s="14"/>
      <c r="K1255" s="14"/>
      <c r="L1255" s="14"/>
      <c r="M1255" s="14"/>
    </row>
    <row r="1256" ht="18.75" customHeight="1">
      <c r="A1256" s="14"/>
      <c r="B1256" s="14"/>
      <c r="C1256" s="14"/>
      <c r="D1256" s="14"/>
      <c r="E1256" s="15"/>
      <c r="F1256" s="14"/>
      <c r="G1256" s="14"/>
      <c r="H1256" s="15"/>
      <c r="I1256" s="14"/>
      <c r="J1256" s="14"/>
      <c r="K1256" s="14"/>
      <c r="L1256" s="14"/>
      <c r="M1256" s="14"/>
    </row>
    <row r="1257" ht="18.75" customHeight="1">
      <c r="A1257" s="14"/>
      <c r="B1257" s="14"/>
      <c r="C1257" s="14"/>
      <c r="D1257" s="14"/>
      <c r="E1257" s="15"/>
      <c r="F1257" s="14"/>
      <c r="G1257" s="14"/>
      <c r="H1257" s="15"/>
      <c r="I1257" s="14"/>
      <c r="J1257" s="14"/>
      <c r="K1257" s="14"/>
      <c r="L1257" s="14"/>
      <c r="M1257" s="14"/>
    </row>
    <row r="1258" ht="18.75" customHeight="1">
      <c r="A1258" s="14"/>
      <c r="B1258" s="14"/>
      <c r="C1258" s="14"/>
      <c r="D1258" s="14"/>
      <c r="E1258" s="15"/>
      <c r="F1258" s="14"/>
      <c r="G1258" s="14"/>
      <c r="H1258" s="15"/>
      <c r="I1258" s="14"/>
      <c r="J1258" s="14"/>
      <c r="K1258" s="14"/>
      <c r="L1258" s="14"/>
      <c r="M1258" s="14"/>
    </row>
    <row r="1259" ht="18.75" customHeight="1">
      <c r="A1259" s="14"/>
      <c r="B1259" s="14"/>
      <c r="C1259" s="14"/>
      <c r="D1259" s="14"/>
      <c r="E1259" s="15"/>
      <c r="F1259" s="14"/>
      <c r="G1259" s="14"/>
      <c r="H1259" s="15"/>
      <c r="I1259" s="14"/>
      <c r="J1259" s="14"/>
      <c r="K1259" s="14"/>
      <c r="L1259" s="14"/>
      <c r="M1259" s="14"/>
    </row>
    <row r="1260" ht="18.75" customHeight="1">
      <c r="A1260" s="14"/>
      <c r="B1260" s="14"/>
      <c r="C1260" s="14"/>
      <c r="D1260" s="14"/>
      <c r="E1260" s="15"/>
      <c r="F1260" s="14"/>
      <c r="G1260" s="14"/>
      <c r="H1260" s="15"/>
      <c r="I1260" s="14"/>
      <c r="J1260" s="14"/>
      <c r="K1260" s="14"/>
      <c r="L1260" s="14"/>
      <c r="M1260" s="14"/>
    </row>
    <row r="1261" ht="18.75" customHeight="1">
      <c r="A1261" s="14"/>
      <c r="B1261" s="14"/>
      <c r="C1261" s="14"/>
      <c r="D1261" s="14"/>
      <c r="E1261" s="15"/>
      <c r="F1261" s="14"/>
      <c r="G1261" s="14"/>
      <c r="H1261" s="15"/>
      <c r="I1261" s="14"/>
      <c r="J1261" s="14"/>
      <c r="K1261" s="14"/>
      <c r="L1261" s="14"/>
      <c r="M1261" s="14"/>
    </row>
    <row r="1262" ht="18.75" customHeight="1">
      <c r="A1262" s="14"/>
      <c r="B1262" s="14"/>
      <c r="C1262" s="14"/>
      <c r="D1262" s="14"/>
      <c r="E1262" s="15"/>
      <c r="F1262" s="14"/>
      <c r="G1262" s="14"/>
      <c r="H1262" s="15"/>
      <c r="I1262" s="14"/>
      <c r="J1262" s="14"/>
      <c r="K1262" s="14"/>
      <c r="L1262" s="14"/>
      <c r="M1262" s="14"/>
    </row>
    <row r="1263" ht="18.75" customHeight="1">
      <c r="A1263" s="14"/>
      <c r="B1263" s="14"/>
      <c r="C1263" s="14"/>
      <c r="D1263" s="14"/>
      <c r="E1263" s="15"/>
      <c r="F1263" s="14"/>
      <c r="G1263" s="14"/>
      <c r="H1263" s="15"/>
      <c r="I1263" s="14"/>
      <c r="J1263" s="14"/>
      <c r="K1263" s="14"/>
      <c r="L1263" s="14"/>
      <c r="M1263" s="14"/>
    </row>
    <row r="1264" ht="18.75" customHeight="1">
      <c r="A1264" s="14"/>
      <c r="B1264" s="14"/>
      <c r="C1264" s="14"/>
      <c r="D1264" s="14"/>
      <c r="E1264" s="15"/>
      <c r="F1264" s="14"/>
      <c r="G1264" s="14"/>
      <c r="H1264" s="15"/>
      <c r="I1264" s="14"/>
      <c r="J1264" s="14"/>
      <c r="K1264" s="14"/>
      <c r="L1264" s="14"/>
      <c r="M1264" s="14"/>
    </row>
    <row r="1265" ht="18.75" customHeight="1">
      <c r="A1265" s="14"/>
      <c r="B1265" s="14"/>
      <c r="C1265" s="14"/>
      <c r="D1265" s="14"/>
      <c r="E1265" s="15"/>
      <c r="F1265" s="14"/>
      <c r="G1265" s="14"/>
      <c r="H1265" s="15"/>
      <c r="I1265" s="14"/>
      <c r="J1265" s="14"/>
      <c r="K1265" s="14"/>
      <c r="L1265" s="14"/>
      <c r="M1265" s="14"/>
    </row>
    <row r="1266" ht="18.75" customHeight="1">
      <c r="A1266" s="14"/>
      <c r="B1266" s="14"/>
      <c r="C1266" s="14"/>
      <c r="D1266" s="14"/>
      <c r="E1266" s="15"/>
      <c r="F1266" s="14"/>
      <c r="G1266" s="14"/>
      <c r="I1266" s="14"/>
      <c r="J1266" s="14"/>
      <c r="K1266" s="14"/>
      <c r="L1266" s="14"/>
    </row>
    <row r="1267" ht="18.75" customHeight="1">
      <c r="A1267" s="14"/>
      <c r="B1267" s="14"/>
      <c r="C1267" s="14"/>
      <c r="D1267" s="14"/>
      <c r="E1267" s="15"/>
      <c r="F1267" s="14"/>
      <c r="G1267" s="14"/>
      <c r="H1267" s="15"/>
      <c r="I1267" s="14"/>
      <c r="J1267" s="14"/>
      <c r="K1267" s="14"/>
      <c r="L1267" s="14"/>
      <c r="M1267" s="14"/>
    </row>
    <row r="1268" ht="18.75" customHeight="1">
      <c r="A1268" s="14"/>
      <c r="B1268" s="14"/>
      <c r="C1268" s="14"/>
      <c r="D1268" s="14"/>
      <c r="E1268" s="15"/>
      <c r="F1268" s="14"/>
      <c r="G1268" s="14"/>
      <c r="H1268" s="15"/>
      <c r="I1268" s="14"/>
      <c r="J1268" s="14"/>
      <c r="K1268" s="14"/>
      <c r="L1268" s="14"/>
      <c r="M1268" s="14"/>
    </row>
    <row r="1269" ht="18.75" customHeight="1">
      <c r="A1269" s="14"/>
      <c r="B1269" s="14"/>
      <c r="C1269" s="14"/>
      <c r="D1269" s="14"/>
      <c r="E1269" s="15"/>
      <c r="F1269" s="14"/>
      <c r="G1269" s="14"/>
      <c r="H1269" s="15"/>
      <c r="I1269" s="14"/>
      <c r="J1269" s="14"/>
      <c r="K1269" s="14"/>
      <c r="L1269" s="14"/>
      <c r="M1269" s="14"/>
    </row>
    <row r="1270" ht="18.75" customHeight="1">
      <c r="A1270" s="14"/>
      <c r="B1270" s="14"/>
      <c r="C1270" s="14"/>
      <c r="D1270" s="14"/>
      <c r="E1270" s="15"/>
      <c r="F1270" s="14"/>
      <c r="G1270" s="14"/>
      <c r="H1270" s="15"/>
      <c r="I1270" s="14"/>
      <c r="J1270" s="14"/>
      <c r="K1270" s="14"/>
      <c r="L1270" s="14"/>
      <c r="M1270" s="14"/>
    </row>
    <row r="1271" ht="18.75" customHeight="1">
      <c r="A1271" s="14"/>
      <c r="B1271" s="14"/>
      <c r="C1271" s="14"/>
      <c r="D1271" s="14"/>
      <c r="E1271" s="15"/>
      <c r="F1271" s="14"/>
      <c r="G1271" s="14"/>
      <c r="H1271" s="15"/>
      <c r="I1271" s="14"/>
      <c r="J1271" s="14"/>
      <c r="K1271" s="14"/>
      <c r="L1271" s="14"/>
      <c r="M1271" s="14"/>
    </row>
    <row r="1272" ht="18.75" customHeight="1">
      <c r="A1272" s="14"/>
      <c r="B1272" s="14"/>
      <c r="C1272" s="14"/>
      <c r="D1272" s="14"/>
      <c r="E1272" s="15"/>
      <c r="F1272" s="14"/>
      <c r="G1272" s="14"/>
      <c r="H1272" s="15"/>
      <c r="I1272" s="14"/>
      <c r="J1272" s="14"/>
      <c r="K1272" s="14"/>
      <c r="L1272" s="14"/>
      <c r="M1272" s="14"/>
    </row>
    <row r="1273" ht="18.75" customHeight="1">
      <c r="A1273" s="14"/>
      <c r="B1273" s="14"/>
      <c r="C1273" s="14"/>
      <c r="D1273" s="14"/>
      <c r="E1273" s="15"/>
      <c r="F1273" s="14"/>
      <c r="G1273" s="14"/>
      <c r="H1273" s="15"/>
      <c r="I1273" s="14"/>
      <c r="J1273" s="14"/>
      <c r="K1273" s="14"/>
      <c r="L1273" s="14"/>
      <c r="M1273" s="14"/>
    </row>
    <row r="1274" ht="18.75" customHeight="1">
      <c r="A1274" s="14"/>
      <c r="B1274" s="14"/>
      <c r="C1274" s="14"/>
      <c r="D1274" s="14"/>
      <c r="E1274" s="15"/>
      <c r="F1274" s="14"/>
      <c r="G1274" s="14"/>
      <c r="H1274" s="15"/>
      <c r="I1274" s="14"/>
      <c r="J1274" s="14"/>
      <c r="K1274" s="14"/>
      <c r="L1274" s="14"/>
      <c r="M1274" s="14"/>
    </row>
    <row r="1275" ht="18.75" customHeight="1">
      <c r="A1275" s="14"/>
      <c r="B1275" s="14"/>
      <c r="C1275" s="14"/>
      <c r="D1275" s="14"/>
      <c r="E1275" s="15"/>
      <c r="F1275" s="14"/>
      <c r="G1275" s="14"/>
      <c r="H1275" s="15"/>
      <c r="I1275" s="14"/>
      <c r="J1275" s="14"/>
      <c r="K1275" s="14"/>
      <c r="L1275" s="14"/>
      <c r="M1275" s="14"/>
    </row>
    <row r="1276" ht="18.75" customHeight="1">
      <c r="A1276" s="14"/>
      <c r="B1276" s="14"/>
      <c r="C1276" s="14"/>
      <c r="D1276" s="14"/>
      <c r="E1276" s="15"/>
      <c r="F1276" s="14"/>
      <c r="G1276" s="14"/>
      <c r="H1276" s="15"/>
      <c r="I1276" s="14"/>
      <c r="J1276" s="14"/>
      <c r="K1276" s="14"/>
      <c r="L1276" s="14"/>
      <c r="M1276" s="14"/>
    </row>
    <row r="1277" ht="18.75" customHeight="1">
      <c r="A1277" s="14"/>
      <c r="B1277" s="14"/>
      <c r="C1277" s="14"/>
      <c r="D1277" s="14"/>
      <c r="E1277" s="15"/>
      <c r="F1277" s="14"/>
      <c r="G1277" s="14"/>
      <c r="H1277" s="15"/>
      <c r="I1277" s="14"/>
      <c r="J1277" s="14"/>
      <c r="K1277" s="14"/>
      <c r="L1277" s="14"/>
      <c r="M1277" s="14"/>
    </row>
    <row r="1278" ht="18.75" customHeight="1">
      <c r="A1278" s="14"/>
      <c r="B1278" s="14"/>
      <c r="C1278" s="14"/>
      <c r="D1278" s="14"/>
      <c r="E1278" s="15"/>
      <c r="F1278" s="14"/>
      <c r="G1278" s="14"/>
      <c r="H1278" s="15"/>
      <c r="I1278" s="14"/>
      <c r="J1278" s="14"/>
      <c r="K1278" s="14"/>
      <c r="L1278" s="14"/>
      <c r="M1278" s="14"/>
    </row>
    <row r="1279" ht="18.75" customHeight="1">
      <c r="A1279" s="14"/>
      <c r="B1279" s="14"/>
      <c r="C1279" s="14"/>
      <c r="D1279" s="14"/>
      <c r="E1279" s="15"/>
      <c r="F1279" s="14"/>
      <c r="G1279" s="14"/>
      <c r="H1279" s="15"/>
      <c r="I1279" s="14"/>
      <c r="J1279" s="14"/>
      <c r="K1279" s="14"/>
      <c r="L1279" s="14"/>
      <c r="M1279" s="14"/>
    </row>
    <row r="1280" ht="18.75" customHeight="1">
      <c r="A1280" s="14"/>
      <c r="B1280" s="14"/>
      <c r="C1280" s="14"/>
      <c r="D1280" s="14"/>
      <c r="E1280" s="15"/>
      <c r="F1280" s="14"/>
      <c r="G1280" s="14"/>
      <c r="H1280" s="15"/>
      <c r="I1280" s="14"/>
      <c r="J1280" s="14"/>
      <c r="K1280" s="14"/>
      <c r="L1280" s="14"/>
      <c r="M1280" s="14"/>
    </row>
    <row r="1281" ht="18.75" customHeight="1">
      <c r="A1281" s="14"/>
      <c r="B1281" s="14"/>
      <c r="C1281" s="14"/>
      <c r="D1281" s="14"/>
      <c r="E1281" s="15"/>
      <c r="F1281" s="14"/>
      <c r="G1281" s="14"/>
      <c r="H1281" s="15"/>
      <c r="I1281" s="14"/>
      <c r="J1281" s="14"/>
      <c r="K1281" s="14"/>
      <c r="L1281" s="14"/>
      <c r="M1281" s="14"/>
    </row>
    <row r="1282" ht="18.75" customHeight="1">
      <c r="A1282" s="14"/>
      <c r="B1282" s="14"/>
      <c r="C1282" s="14"/>
      <c r="D1282" s="14"/>
      <c r="E1282" s="15"/>
      <c r="F1282" s="14"/>
      <c r="G1282" s="14"/>
      <c r="I1282" s="14"/>
      <c r="J1282" s="14"/>
      <c r="K1282" s="14"/>
      <c r="L1282" s="14"/>
      <c r="M1282" s="14"/>
    </row>
    <row r="1283" ht="18.75" customHeight="1">
      <c r="A1283" s="14"/>
      <c r="B1283" s="14"/>
      <c r="C1283" s="14"/>
      <c r="D1283" s="14"/>
      <c r="E1283" s="15"/>
      <c r="F1283" s="14"/>
      <c r="G1283" s="14"/>
      <c r="H1283" s="15"/>
      <c r="I1283" s="14"/>
      <c r="J1283" s="14"/>
      <c r="K1283" s="14"/>
      <c r="L1283" s="14"/>
      <c r="M1283" s="14"/>
    </row>
    <row r="1284" ht="18.75" customHeight="1">
      <c r="A1284" s="14"/>
      <c r="B1284" s="14"/>
      <c r="C1284" s="14"/>
      <c r="D1284" s="14"/>
      <c r="E1284" s="15"/>
      <c r="F1284" s="14"/>
      <c r="G1284" s="14"/>
      <c r="H1284" s="15"/>
      <c r="I1284" s="14"/>
      <c r="J1284" s="14"/>
      <c r="K1284" s="14"/>
      <c r="L1284" s="14"/>
      <c r="M1284" s="14"/>
    </row>
    <row r="1285" ht="18.75" customHeight="1">
      <c r="A1285" s="14"/>
      <c r="B1285" s="14"/>
      <c r="C1285" s="14"/>
      <c r="D1285" s="14"/>
      <c r="E1285" s="15"/>
      <c r="F1285" s="14"/>
      <c r="G1285" s="14"/>
      <c r="H1285" s="15"/>
      <c r="I1285" s="14"/>
      <c r="J1285" s="14"/>
      <c r="K1285" s="14"/>
      <c r="L1285" s="14"/>
      <c r="M1285" s="14"/>
    </row>
    <row r="1286" ht="18.75" customHeight="1">
      <c r="A1286" s="14"/>
      <c r="B1286" s="14"/>
      <c r="C1286" s="14"/>
      <c r="D1286" s="14"/>
      <c r="E1286" s="15"/>
      <c r="F1286" s="14"/>
      <c r="G1286" s="14"/>
      <c r="H1286" s="15"/>
      <c r="I1286" s="14"/>
      <c r="J1286" s="14"/>
      <c r="K1286" s="14"/>
      <c r="L1286" s="14"/>
      <c r="M1286" s="14"/>
    </row>
    <row r="1287" ht="18.75" customHeight="1">
      <c r="A1287" s="14"/>
      <c r="B1287" s="14"/>
      <c r="C1287" s="14"/>
      <c r="D1287" s="14"/>
      <c r="E1287" s="15"/>
      <c r="F1287" s="14"/>
      <c r="G1287" s="14"/>
      <c r="H1287" s="15"/>
      <c r="I1287" s="14"/>
      <c r="J1287" s="14"/>
      <c r="K1287" s="14"/>
      <c r="L1287" s="14"/>
      <c r="M1287" s="14"/>
    </row>
    <row r="1288" ht="18.75" customHeight="1">
      <c r="A1288" s="14"/>
      <c r="B1288" s="14"/>
      <c r="C1288" s="14"/>
      <c r="D1288" s="14"/>
      <c r="E1288" s="15"/>
      <c r="F1288" s="14"/>
      <c r="G1288" s="14"/>
      <c r="H1288" s="15"/>
      <c r="I1288" s="14"/>
      <c r="J1288" s="14"/>
      <c r="K1288" s="14"/>
      <c r="L1288" s="14"/>
      <c r="M1288" s="14"/>
    </row>
    <row r="1289" ht="18.75" customHeight="1">
      <c r="A1289" s="14"/>
      <c r="B1289" s="14"/>
      <c r="C1289" s="14"/>
      <c r="D1289" s="14"/>
      <c r="E1289" s="15"/>
      <c r="F1289" s="14"/>
      <c r="G1289" s="14"/>
      <c r="H1289" s="15"/>
      <c r="I1289" s="14"/>
      <c r="J1289" s="14"/>
      <c r="K1289" s="14"/>
      <c r="L1289" s="14"/>
      <c r="M1289" s="14"/>
    </row>
    <row r="1290" ht="18.75" customHeight="1">
      <c r="A1290" s="14"/>
      <c r="B1290" s="14"/>
      <c r="C1290" s="14"/>
      <c r="D1290" s="14"/>
      <c r="E1290" s="15"/>
      <c r="F1290" s="14"/>
      <c r="G1290" s="14"/>
      <c r="H1290" s="15"/>
      <c r="I1290" s="14"/>
      <c r="J1290" s="14"/>
      <c r="K1290" s="14"/>
      <c r="L1290" s="14"/>
      <c r="M1290" s="14"/>
    </row>
    <row r="1291" ht="18.75" customHeight="1">
      <c r="A1291" s="14"/>
      <c r="B1291" s="14"/>
      <c r="C1291" s="14"/>
      <c r="D1291" s="14"/>
      <c r="E1291" s="15"/>
      <c r="F1291" s="14"/>
      <c r="G1291" s="14"/>
      <c r="H1291" s="15"/>
      <c r="I1291" s="14"/>
      <c r="J1291" s="14"/>
      <c r="K1291" s="14"/>
      <c r="L1291" s="14"/>
      <c r="M1291" s="14"/>
    </row>
    <row r="1292" ht="18.75" customHeight="1">
      <c r="A1292" s="14"/>
      <c r="B1292" s="14"/>
      <c r="C1292" s="14"/>
      <c r="D1292" s="14"/>
      <c r="E1292" s="15"/>
      <c r="F1292" s="14"/>
      <c r="G1292" s="14"/>
      <c r="H1292" s="15"/>
      <c r="I1292" s="14"/>
      <c r="J1292" s="14"/>
      <c r="K1292" s="14"/>
      <c r="L1292" s="14"/>
      <c r="M1292" s="14"/>
    </row>
    <row r="1293" ht="18.75" customHeight="1">
      <c r="A1293" s="14"/>
      <c r="B1293" s="14"/>
      <c r="C1293" s="14"/>
      <c r="D1293" s="14"/>
      <c r="E1293" s="15"/>
      <c r="F1293" s="14"/>
      <c r="G1293" s="14"/>
      <c r="H1293" s="15"/>
      <c r="I1293" s="14"/>
      <c r="J1293" s="14"/>
      <c r="K1293" s="14"/>
      <c r="L1293" s="14"/>
      <c r="M1293" s="14"/>
    </row>
    <row r="1294" ht="18.75" customHeight="1">
      <c r="A1294" s="14"/>
      <c r="B1294" s="14"/>
      <c r="C1294" s="14"/>
      <c r="D1294" s="14"/>
      <c r="E1294" s="15"/>
      <c r="F1294" s="14"/>
      <c r="G1294" s="14"/>
      <c r="H1294" s="15"/>
      <c r="I1294" s="14"/>
      <c r="J1294" s="14"/>
      <c r="K1294" s="14"/>
      <c r="L1294" s="14"/>
      <c r="M1294" s="14"/>
    </row>
    <row r="1295" ht="18.75" customHeight="1">
      <c r="A1295" s="14"/>
      <c r="B1295" s="14"/>
      <c r="C1295" s="14"/>
      <c r="D1295" s="14"/>
      <c r="E1295" s="15"/>
      <c r="F1295" s="14"/>
      <c r="G1295" s="14"/>
      <c r="H1295" s="15"/>
      <c r="I1295" s="14"/>
      <c r="J1295" s="14"/>
      <c r="K1295" s="14"/>
      <c r="L1295" s="14"/>
      <c r="M1295" s="14"/>
    </row>
    <row r="1296" ht="18.75" customHeight="1">
      <c r="A1296" s="14"/>
      <c r="B1296" s="14"/>
      <c r="C1296" s="14"/>
      <c r="D1296" s="14"/>
      <c r="E1296" s="15"/>
      <c r="F1296" s="14"/>
      <c r="G1296" s="14"/>
      <c r="H1296" s="15"/>
      <c r="I1296" s="14"/>
      <c r="J1296" s="14"/>
      <c r="K1296" s="14"/>
      <c r="L1296" s="14"/>
      <c r="M1296" s="14"/>
    </row>
    <row r="1297" ht="18.75" customHeight="1">
      <c r="A1297" s="14"/>
      <c r="B1297" s="14"/>
      <c r="C1297" s="14"/>
      <c r="D1297" s="14"/>
      <c r="E1297" s="15"/>
      <c r="F1297" s="14"/>
      <c r="G1297" s="14"/>
      <c r="H1297" s="15"/>
      <c r="I1297" s="14"/>
      <c r="J1297" s="14"/>
      <c r="K1297" s="14"/>
      <c r="L1297" s="14"/>
      <c r="M1297" s="14"/>
    </row>
    <row r="1298" ht="18.75" customHeight="1">
      <c r="A1298" s="14"/>
      <c r="B1298" s="14"/>
      <c r="C1298" s="14"/>
      <c r="D1298" s="14"/>
      <c r="E1298" s="15"/>
      <c r="F1298" s="14"/>
      <c r="G1298" s="14"/>
      <c r="H1298" s="15"/>
      <c r="I1298" s="14"/>
      <c r="J1298" s="14"/>
      <c r="K1298" s="14"/>
      <c r="L1298" s="14"/>
      <c r="M1298" s="14"/>
    </row>
    <row r="1299" ht="18.75" customHeight="1">
      <c r="A1299" s="14"/>
      <c r="B1299" s="14"/>
      <c r="C1299" s="14"/>
      <c r="D1299" s="14"/>
      <c r="E1299" s="15"/>
      <c r="F1299" s="14"/>
      <c r="G1299" s="14"/>
      <c r="H1299" s="15"/>
      <c r="I1299" s="14"/>
      <c r="J1299" s="14"/>
      <c r="K1299" s="14"/>
      <c r="L1299" s="14"/>
      <c r="M1299" s="14"/>
    </row>
    <row r="1300" ht="18.75" customHeight="1">
      <c r="A1300" s="14"/>
      <c r="B1300" s="14"/>
      <c r="C1300" s="14"/>
      <c r="D1300" s="14"/>
      <c r="E1300" s="15"/>
      <c r="F1300" s="14"/>
      <c r="G1300" s="14"/>
      <c r="H1300" s="15"/>
      <c r="I1300" s="14"/>
      <c r="J1300" s="14"/>
      <c r="K1300" s="14"/>
      <c r="L1300" s="14"/>
      <c r="M1300" s="14"/>
    </row>
    <row r="1301" ht="18.75" customHeight="1">
      <c r="A1301" s="14"/>
      <c r="B1301" s="14"/>
      <c r="C1301" s="14"/>
      <c r="D1301" s="14"/>
      <c r="E1301" s="15"/>
      <c r="F1301" s="14"/>
      <c r="G1301" s="14"/>
      <c r="H1301" s="15"/>
      <c r="I1301" s="14"/>
      <c r="J1301" s="14"/>
      <c r="K1301" s="14"/>
      <c r="L1301" s="14"/>
      <c r="M1301" s="14"/>
    </row>
    <row r="1302" ht="18.75" customHeight="1">
      <c r="A1302" s="14"/>
      <c r="B1302" s="14"/>
      <c r="C1302" s="14"/>
      <c r="D1302" s="14"/>
      <c r="E1302" s="15"/>
      <c r="F1302" s="14"/>
      <c r="G1302" s="14"/>
      <c r="H1302" s="15"/>
      <c r="I1302" s="14"/>
      <c r="J1302" s="14"/>
      <c r="K1302" s="14"/>
      <c r="L1302" s="14"/>
      <c r="M1302" s="14"/>
    </row>
    <row r="1303" ht="18.75" customHeight="1">
      <c r="A1303" s="14"/>
      <c r="B1303" s="14"/>
      <c r="C1303" s="14"/>
      <c r="D1303" s="14"/>
      <c r="E1303" s="15"/>
      <c r="F1303" s="14"/>
      <c r="G1303" s="14"/>
      <c r="H1303" s="15"/>
      <c r="I1303" s="14"/>
      <c r="J1303" s="14"/>
      <c r="K1303" s="14"/>
      <c r="L1303" s="14"/>
      <c r="M1303" s="14"/>
    </row>
    <row r="1304" ht="18.75" customHeight="1">
      <c r="A1304" s="14"/>
      <c r="B1304" s="14"/>
      <c r="C1304" s="14"/>
      <c r="D1304" s="14"/>
      <c r="E1304" s="15"/>
      <c r="F1304" s="14"/>
      <c r="G1304" s="14"/>
      <c r="H1304" s="15"/>
      <c r="I1304" s="14"/>
      <c r="J1304" s="14"/>
      <c r="K1304" s="14"/>
      <c r="L1304" s="14"/>
      <c r="M1304" s="14"/>
    </row>
    <row r="1305" ht="18.75" customHeight="1">
      <c r="A1305" s="14"/>
      <c r="B1305" s="14"/>
      <c r="C1305" s="14"/>
      <c r="D1305" s="14"/>
      <c r="E1305" s="15"/>
      <c r="F1305" s="14"/>
      <c r="G1305" s="14"/>
      <c r="H1305" s="15"/>
      <c r="I1305" s="14"/>
      <c r="J1305" s="14"/>
      <c r="K1305" s="14"/>
      <c r="L1305" s="14"/>
      <c r="M1305" s="14"/>
    </row>
    <row r="1306" ht="18.75" customHeight="1">
      <c r="A1306" s="14"/>
      <c r="B1306" s="14"/>
      <c r="C1306" s="14"/>
      <c r="D1306" s="14"/>
      <c r="E1306" s="15"/>
      <c r="F1306" s="14"/>
      <c r="G1306" s="14"/>
      <c r="H1306" s="15"/>
      <c r="I1306" s="14"/>
      <c r="J1306" s="14"/>
      <c r="K1306" s="14"/>
      <c r="L1306" s="14"/>
      <c r="M1306" s="14"/>
    </row>
    <row r="1307" ht="18.75" customHeight="1">
      <c r="A1307" s="14"/>
      <c r="B1307" s="14"/>
      <c r="C1307" s="14"/>
      <c r="D1307" s="14"/>
      <c r="E1307" s="15"/>
      <c r="F1307" s="14"/>
      <c r="G1307" s="14"/>
      <c r="H1307" s="15"/>
      <c r="I1307" s="14"/>
      <c r="J1307" s="14"/>
      <c r="K1307" s="14"/>
      <c r="L1307" s="14"/>
      <c r="M1307" s="14"/>
    </row>
    <row r="1308" ht="18.75" customHeight="1">
      <c r="A1308" s="14"/>
      <c r="B1308" s="14"/>
      <c r="C1308" s="14"/>
      <c r="D1308" s="14"/>
      <c r="E1308" s="15"/>
      <c r="F1308" s="14"/>
      <c r="G1308" s="14"/>
      <c r="H1308" s="15"/>
      <c r="I1308" s="14"/>
      <c r="J1308" s="14"/>
      <c r="K1308" s="14"/>
      <c r="L1308" s="14"/>
      <c r="M1308" s="14"/>
    </row>
    <row r="1309" ht="18.75" customHeight="1">
      <c r="A1309" s="14"/>
      <c r="B1309" s="14"/>
      <c r="C1309" s="14"/>
      <c r="D1309" s="14"/>
      <c r="E1309" s="15"/>
      <c r="F1309" s="14"/>
      <c r="G1309" s="14"/>
      <c r="H1309" s="15"/>
      <c r="I1309" s="14"/>
      <c r="J1309" s="14"/>
      <c r="K1309" s="14"/>
      <c r="L1309" s="14"/>
      <c r="M1309" s="14"/>
    </row>
    <row r="1310" ht="18.75" customHeight="1">
      <c r="A1310" s="14"/>
      <c r="B1310" s="14"/>
      <c r="C1310" s="14"/>
      <c r="D1310" s="14"/>
      <c r="E1310" s="15"/>
      <c r="F1310" s="14"/>
      <c r="G1310" s="14"/>
      <c r="H1310" s="15"/>
      <c r="I1310" s="14"/>
      <c r="J1310" s="14"/>
      <c r="K1310" s="14"/>
      <c r="L1310" s="14"/>
      <c r="M1310" s="14"/>
    </row>
    <row r="1311" ht="18.75" customHeight="1">
      <c r="A1311" s="14"/>
      <c r="B1311" s="14"/>
      <c r="C1311" s="14"/>
      <c r="D1311" s="14"/>
      <c r="E1311" s="15"/>
      <c r="F1311" s="14"/>
      <c r="G1311" s="14"/>
      <c r="H1311" s="15"/>
      <c r="I1311" s="14"/>
      <c r="J1311" s="14"/>
      <c r="K1311" s="14"/>
      <c r="L1311" s="14"/>
      <c r="M1311" s="14"/>
    </row>
    <row r="1312" ht="18.75" customHeight="1">
      <c r="A1312" s="14"/>
      <c r="B1312" s="14"/>
      <c r="C1312" s="14"/>
      <c r="D1312" s="14"/>
      <c r="E1312" s="15"/>
      <c r="F1312" s="14"/>
      <c r="G1312" s="14"/>
      <c r="H1312" s="15"/>
      <c r="I1312" s="14"/>
      <c r="J1312" s="14"/>
      <c r="K1312" s="14"/>
      <c r="L1312" s="14"/>
      <c r="M1312" s="14"/>
    </row>
    <row r="1313" ht="18.75" customHeight="1">
      <c r="A1313" s="14"/>
      <c r="B1313" s="14"/>
      <c r="C1313" s="14"/>
      <c r="D1313" s="14"/>
      <c r="E1313" s="15"/>
      <c r="F1313" s="14"/>
      <c r="G1313" s="14"/>
      <c r="H1313" s="15"/>
      <c r="I1313" s="14"/>
      <c r="J1313" s="14"/>
      <c r="K1313" s="14"/>
      <c r="L1313" s="14"/>
      <c r="M1313" s="14"/>
    </row>
    <row r="1314" ht="18.75" customHeight="1">
      <c r="A1314" s="14"/>
      <c r="B1314" s="14"/>
      <c r="C1314" s="14"/>
      <c r="D1314" s="14"/>
      <c r="E1314" s="15"/>
      <c r="F1314" s="14"/>
      <c r="G1314" s="14"/>
      <c r="H1314" s="15"/>
      <c r="I1314" s="14"/>
      <c r="J1314" s="14"/>
      <c r="K1314" s="14"/>
      <c r="L1314" s="14"/>
      <c r="M1314" s="14"/>
    </row>
    <row r="1315" ht="18.75" customHeight="1">
      <c r="A1315" s="14"/>
      <c r="B1315" s="14"/>
      <c r="C1315" s="14"/>
      <c r="D1315" s="14"/>
      <c r="E1315" s="15"/>
      <c r="F1315" s="14"/>
      <c r="G1315" s="14"/>
      <c r="H1315" s="15"/>
      <c r="I1315" s="14"/>
      <c r="J1315" s="14"/>
      <c r="K1315" s="14"/>
      <c r="L1315" s="14"/>
      <c r="M1315" s="14"/>
    </row>
    <row r="1316" ht="18.75" customHeight="1">
      <c r="A1316" s="14"/>
      <c r="B1316" s="14"/>
      <c r="C1316" s="14"/>
      <c r="D1316" s="14"/>
      <c r="E1316" s="15"/>
      <c r="F1316" s="14"/>
      <c r="G1316" s="14"/>
      <c r="H1316" s="15"/>
      <c r="I1316" s="14"/>
      <c r="J1316" s="14"/>
      <c r="K1316" s="14"/>
      <c r="L1316" s="14"/>
      <c r="M1316" s="14"/>
    </row>
    <row r="1317" ht="18.75" customHeight="1">
      <c r="A1317" s="14"/>
      <c r="B1317" s="14"/>
      <c r="C1317" s="14"/>
      <c r="D1317" s="14"/>
      <c r="E1317" s="15"/>
      <c r="F1317" s="14"/>
      <c r="G1317" s="14"/>
      <c r="H1317" s="15"/>
      <c r="I1317" s="14"/>
      <c r="J1317" s="14"/>
      <c r="K1317" s="14"/>
      <c r="L1317" s="14"/>
      <c r="M1317" s="14"/>
    </row>
    <row r="1318" ht="18.75" customHeight="1">
      <c r="A1318" s="14"/>
      <c r="B1318" s="14"/>
      <c r="C1318" s="14"/>
      <c r="D1318" s="14"/>
      <c r="E1318" s="15"/>
      <c r="F1318" s="14"/>
      <c r="G1318" s="14"/>
      <c r="H1318" s="15"/>
      <c r="I1318" s="14"/>
      <c r="J1318" s="14"/>
      <c r="K1318" s="14"/>
      <c r="L1318" s="14"/>
      <c r="M1318" s="14"/>
    </row>
    <row r="1319" ht="18.75" customHeight="1">
      <c r="A1319" s="14"/>
      <c r="B1319" s="14"/>
      <c r="C1319" s="14"/>
      <c r="D1319" s="14"/>
      <c r="E1319" s="15"/>
      <c r="F1319" s="14"/>
      <c r="G1319" s="14"/>
      <c r="H1319" s="15"/>
      <c r="I1319" s="14"/>
      <c r="J1319" s="14"/>
      <c r="K1319" s="14"/>
      <c r="L1319" s="14"/>
      <c r="M1319" s="14"/>
    </row>
    <row r="1320" ht="18.75" customHeight="1">
      <c r="A1320" s="14"/>
      <c r="B1320" s="14"/>
      <c r="C1320" s="14"/>
      <c r="D1320" s="14"/>
      <c r="E1320" s="15"/>
      <c r="F1320" s="14"/>
      <c r="G1320" s="14"/>
      <c r="H1320" s="15"/>
      <c r="I1320" s="14"/>
      <c r="J1320" s="14"/>
      <c r="K1320" s="14"/>
      <c r="L1320" s="14"/>
      <c r="M1320" s="14"/>
    </row>
    <row r="1321" ht="18.75" customHeight="1">
      <c r="A1321" s="14"/>
      <c r="B1321" s="14"/>
      <c r="C1321" s="14"/>
      <c r="D1321" s="14"/>
      <c r="E1321" s="15"/>
      <c r="F1321" s="14"/>
      <c r="G1321" s="14"/>
      <c r="H1321" s="15"/>
      <c r="I1321" s="14"/>
      <c r="J1321" s="14"/>
      <c r="K1321" s="14"/>
      <c r="L1321" s="14"/>
      <c r="M1321" s="14"/>
    </row>
    <row r="1322" ht="18.75" customHeight="1">
      <c r="A1322" s="14"/>
      <c r="B1322" s="14"/>
      <c r="C1322" s="14"/>
      <c r="D1322" s="14"/>
      <c r="E1322" s="15"/>
      <c r="F1322" s="14"/>
      <c r="G1322" s="14"/>
      <c r="H1322" s="15"/>
      <c r="I1322" s="14"/>
      <c r="J1322" s="14"/>
      <c r="K1322" s="14"/>
      <c r="L1322" s="14"/>
      <c r="M1322" s="14"/>
    </row>
    <row r="1323" ht="18.75" customHeight="1">
      <c r="A1323" s="14"/>
      <c r="B1323" s="14"/>
      <c r="C1323" s="14"/>
      <c r="D1323" s="14"/>
      <c r="E1323" s="15"/>
      <c r="F1323" s="14"/>
      <c r="G1323" s="14"/>
      <c r="H1323" s="15"/>
      <c r="I1323" s="14"/>
      <c r="J1323" s="14"/>
      <c r="K1323" s="14"/>
      <c r="L1323" s="14"/>
      <c r="M1323" s="14"/>
    </row>
    <row r="1324" ht="18.75" customHeight="1">
      <c r="A1324" s="14"/>
      <c r="B1324" s="14"/>
      <c r="C1324" s="14"/>
      <c r="D1324" s="14"/>
      <c r="E1324" s="15"/>
      <c r="F1324" s="14"/>
      <c r="G1324" s="14"/>
      <c r="H1324" s="15"/>
      <c r="I1324" s="14"/>
      <c r="J1324" s="14"/>
      <c r="K1324" s="14"/>
      <c r="L1324" s="14"/>
      <c r="M1324" s="14"/>
    </row>
    <row r="1325" ht="18.75" customHeight="1">
      <c r="A1325" s="14"/>
      <c r="B1325" s="14"/>
      <c r="C1325" s="14"/>
      <c r="D1325" s="14"/>
      <c r="E1325" s="15"/>
      <c r="F1325" s="14"/>
      <c r="G1325" s="14"/>
      <c r="H1325" s="15"/>
      <c r="I1325" s="14"/>
      <c r="J1325" s="14"/>
      <c r="K1325" s="14"/>
      <c r="L1325" s="14"/>
      <c r="M1325" s="14"/>
    </row>
    <row r="1326" ht="18.75" customHeight="1">
      <c r="A1326" s="14"/>
      <c r="B1326" s="14"/>
      <c r="C1326" s="14"/>
      <c r="D1326" s="14"/>
      <c r="E1326" s="15"/>
      <c r="F1326" s="14"/>
      <c r="G1326" s="14"/>
      <c r="H1326" s="15"/>
      <c r="I1326" s="14"/>
      <c r="J1326" s="14"/>
      <c r="K1326" s="14"/>
      <c r="L1326" s="14"/>
      <c r="M1326" s="14"/>
    </row>
    <row r="1327" ht="18.75" customHeight="1">
      <c r="A1327" s="14"/>
      <c r="B1327" s="14"/>
      <c r="C1327" s="14"/>
      <c r="D1327" s="14"/>
      <c r="E1327" s="15"/>
      <c r="F1327" s="14"/>
      <c r="G1327" s="14"/>
      <c r="H1327" s="15"/>
      <c r="I1327" s="14"/>
      <c r="J1327" s="14"/>
      <c r="K1327" s="14"/>
      <c r="L1327" s="14"/>
      <c r="M1327" s="14"/>
    </row>
    <row r="1328" ht="18.75" customHeight="1">
      <c r="A1328" s="14"/>
      <c r="B1328" s="14"/>
      <c r="C1328" s="14"/>
      <c r="D1328" s="14"/>
      <c r="E1328" s="15"/>
      <c r="F1328" s="14"/>
      <c r="G1328" s="14"/>
      <c r="H1328" s="15"/>
      <c r="I1328" s="14"/>
      <c r="J1328" s="14"/>
      <c r="K1328" s="14"/>
      <c r="L1328" s="14"/>
      <c r="M1328" s="14"/>
    </row>
    <row r="1329" ht="18.75" customHeight="1">
      <c r="A1329" s="14"/>
      <c r="B1329" s="14"/>
      <c r="C1329" s="14"/>
      <c r="D1329" s="14"/>
      <c r="E1329" s="15"/>
      <c r="F1329" s="14"/>
      <c r="G1329" s="14"/>
      <c r="H1329" s="15"/>
      <c r="I1329" s="14"/>
      <c r="J1329" s="14"/>
      <c r="K1329" s="14"/>
      <c r="L1329" s="14"/>
      <c r="M1329" s="14"/>
    </row>
    <row r="1330" ht="18.75" customHeight="1">
      <c r="A1330" s="14"/>
      <c r="B1330" s="14"/>
      <c r="C1330" s="14"/>
      <c r="D1330" s="14"/>
      <c r="E1330" s="15"/>
      <c r="F1330" s="14"/>
      <c r="G1330" s="14"/>
      <c r="H1330" s="15"/>
      <c r="I1330" s="14"/>
      <c r="J1330" s="14"/>
      <c r="K1330" s="14"/>
      <c r="L1330" s="14"/>
      <c r="M1330" s="14"/>
    </row>
    <row r="1331" ht="18.75" customHeight="1">
      <c r="A1331" s="14"/>
      <c r="B1331" s="14"/>
      <c r="C1331" s="14"/>
      <c r="D1331" s="14"/>
      <c r="E1331" s="15"/>
      <c r="F1331" s="14"/>
      <c r="G1331" s="14"/>
      <c r="H1331" s="15"/>
      <c r="I1331" s="14"/>
      <c r="J1331" s="14"/>
      <c r="K1331" s="14"/>
      <c r="L1331" s="14"/>
      <c r="M1331" s="14"/>
    </row>
    <row r="1332" ht="18.75" customHeight="1">
      <c r="A1332" s="14"/>
      <c r="B1332" s="14"/>
      <c r="C1332" s="14"/>
      <c r="D1332" s="14"/>
      <c r="E1332" s="15"/>
      <c r="F1332" s="14"/>
      <c r="G1332" s="14"/>
      <c r="H1332" s="15"/>
      <c r="I1332" s="14"/>
      <c r="J1332" s="14"/>
      <c r="K1332" s="14"/>
      <c r="L1332" s="14"/>
      <c r="M1332" s="14"/>
    </row>
    <row r="1333" ht="18.75" customHeight="1">
      <c r="A1333" s="14"/>
      <c r="B1333" s="14"/>
      <c r="C1333" s="14"/>
      <c r="D1333" s="14"/>
      <c r="E1333" s="15"/>
      <c r="F1333" s="14"/>
      <c r="G1333" s="14"/>
      <c r="H1333" s="15"/>
      <c r="I1333" s="14"/>
      <c r="J1333" s="14"/>
      <c r="K1333" s="14"/>
      <c r="L1333" s="14"/>
      <c r="M1333" s="14"/>
    </row>
    <row r="1334" ht="18.75" customHeight="1">
      <c r="A1334" s="14"/>
      <c r="B1334" s="14"/>
      <c r="C1334" s="14"/>
      <c r="D1334" s="14"/>
      <c r="E1334" s="15"/>
      <c r="F1334" s="14"/>
      <c r="G1334" s="14"/>
      <c r="H1334" s="15"/>
      <c r="I1334" s="14"/>
      <c r="J1334" s="14"/>
      <c r="K1334" s="14"/>
      <c r="L1334" s="14"/>
      <c r="M1334" s="14"/>
    </row>
    <row r="1335" ht="18.75" customHeight="1">
      <c r="A1335" s="14"/>
      <c r="B1335" s="14"/>
      <c r="C1335" s="14"/>
      <c r="D1335" s="14"/>
      <c r="E1335" s="15"/>
      <c r="F1335" s="14"/>
      <c r="G1335" s="14"/>
      <c r="H1335" s="15"/>
      <c r="I1335" s="14"/>
      <c r="J1335" s="14"/>
      <c r="K1335" s="14"/>
      <c r="L1335" s="14"/>
      <c r="M1335" s="14"/>
    </row>
    <row r="1336" ht="18.75" customHeight="1">
      <c r="A1336" s="14"/>
      <c r="B1336" s="14"/>
      <c r="C1336" s="14"/>
      <c r="D1336" s="14"/>
      <c r="E1336" s="15"/>
      <c r="F1336" s="14"/>
      <c r="G1336" s="14"/>
      <c r="H1336" s="15"/>
      <c r="I1336" s="14"/>
      <c r="J1336" s="14"/>
      <c r="K1336" s="14"/>
      <c r="L1336" s="14"/>
      <c r="M1336" s="14"/>
    </row>
    <row r="1337" ht="18.75" customHeight="1">
      <c r="A1337" s="14"/>
      <c r="B1337" s="14"/>
      <c r="C1337" s="14"/>
      <c r="D1337" s="14"/>
      <c r="E1337" s="15"/>
      <c r="F1337" s="14"/>
      <c r="G1337" s="14"/>
      <c r="H1337" s="15"/>
      <c r="I1337" s="14"/>
      <c r="J1337" s="14"/>
      <c r="K1337" s="14"/>
      <c r="L1337" s="14"/>
      <c r="M1337" s="14"/>
    </row>
    <row r="1338" ht="18.75" customHeight="1">
      <c r="A1338" s="14"/>
      <c r="B1338" s="14"/>
      <c r="C1338" s="14"/>
      <c r="D1338" s="14"/>
      <c r="E1338" s="15"/>
      <c r="F1338" s="14"/>
      <c r="G1338" s="14"/>
      <c r="H1338" s="15"/>
      <c r="I1338" s="14"/>
      <c r="J1338" s="14"/>
      <c r="K1338" s="14"/>
      <c r="L1338" s="14"/>
      <c r="M1338" s="14"/>
    </row>
    <row r="1339" ht="18.75" customHeight="1">
      <c r="A1339" s="14"/>
      <c r="B1339" s="14"/>
      <c r="C1339" s="14"/>
      <c r="D1339" s="14"/>
      <c r="E1339" s="15"/>
      <c r="F1339" s="14"/>
      <c r="G1339" s="14"/>
      <c r="H1339" s="15"/>
      <c r="I1339" s="14"/>
      <c r="J1339" s="14"/>
      <c r="K1339" s="14"/>
      <c r="L1339" s="14"/>
      <c r="M1339" s="14"/>
    </row>
    <row r="1340" ht="18.75" customHeight="1">
      <c r="A1340" s="14"/>
      <c r="B1340" s="14"/>
      <c r="C1340" s="14"/>
      <c r="D1340" s="14"/>
      <c r="E1340" s="15"/>
      <c r="F1340" s="14"/>
      <c r="G1340" s="14"/>
      <c r="H1340" s="15"/>
      <c r="I1340" s="14"/>
      <c r="J1340" s="14"/>
      <c r="K1340" s="14"/>
      <c r="L1340" s="14"/>
      <c r="M1340" s="14"/>
    </row>
    <row r="1341" ht="18.75" customHeight="1">
      <c r="A1341" s="14"/>
      <c r="B1341" s="14"/>
      <c r="C1341" s="14"/>
      <c r="D1341" s="14"/>
      <c r="E1341" s="15"/>
      <c r="F1341" s="14"/>
      <c r="G1341" s="14"/>
      <c r="H1341" s="15"/>
      <c r="I1341" s="14"/>
      <c r="J1341" s="14"/>
      <c r="K1341" s="14"/>
      <c r="L1341" s="14"/>
      <c r="M1341" s="14"/>
    </row>
    <row r="1342" ht="18.75" customHeight="1">
      <c r="A1342" s="14"/>
      <c r="B1342" s="14"/>
      <c r="C1342" s="14"/>
      <c r="D1342" s="14"/>
      <c r="E1342" s="15"/>
      <c r="F1342" s="14"/>
      <c r="G1342" s="14"/>
      <c r="H1342" s="15"/>
      <c r="I1342" s="14"/>
      <c r="J1342" s="14"/>
      <c r="K1342" s="14"/>
      <c r="L1342" s="14"/>
      <c r="M1342" s="14"/>
    </row>
    <row r="1343" ht="18.75" customHeight="1">
      <c r="A1343" s="14"/>
      <c r="B1343" s="14"/>
      <c r="C1343" s="14"/>
      <c r="D1343" s="14"/>
      <c r="E1343" s="15"/>
      <c r="F1343" s="14"/>
      <c r="G1343" s="14"/>
      <c r="H1343" s="15"/>
      <c r="I1343" s="14"/>
      <c r="J1343" s="14"/>
      <c r="K1343" s="14"/>
      <c r="L1343" s="14"/>
      <c r="M1343" s="14"/>
    </row>
    <row r="1344" ht="18.75" customHeight="1">
      <c r="A1344" s="14"/>
      <c r="B1344" s="14"/>
      <c r="C1344" s="14"/>
      <c r="D1344" s="14"/>
      <c r="E1344" s="15"/>
      <c r="F1344" s="14"/>
      <c r="G1344" s="14"/>
      <c r="H1344" s="15"/>
      <c r="I1344" s="14"/>
      <c r="J1344" s="14"/>
      <c r="K1344" s="14"/>
      <c r="L1344" s="14"/>
      <c r="M1344" s="14"/>
    </row>
    <row r="1345" ht="18.75" customHeight="1">
      <c r="A1345" s="14"/>
      <c r="B1345" s="14"/>
      <c r="C1345" s="14"/>
      <c r="D1345" s="14"/>
      <c r="E1345" s="15"/>
      <c r="F1345" s="14"/>
      <c r="G1345" s="14"/>
      <c r="H1345" s="15"/>
      <c r="I1345" s="14"/>
      <c r="J1345" s="14"/>
      <c r="K1345" s="14"/>
      <c r="L1345" s="14"/>
      <c r="M1345" s="14"/>
    </row>
    <row r="1346" ht="18.75" customHeight="1">
      <c r="A1346" s="14"/>
      <c r="B1346" s="14"/>
      <c r="C1346" s="14"/>
      <c r="D1346" s="14"/>
      <c r="E1346" s="15"/>
      <c r="F1346" s="14"/>
      <c r="G1346" s="14"/>
      <c r="H1346" s="15"/>
      <c r="I1346" s="14"/>
      <c r="J1346" s="14"/>
      <c r="K1346" s="14"/>
      <c r="L1346" s="14"/>
      <c r="M1346" s="14"/>
    </row>
    <row r="1347" ht="18.75" customHeight="1">
      <c r="A1347" s="14"/>
      <c r="B1347" s="14"/>
      <c r="C1347" s="14"/>
      <c r="D1347" s="14"/>
      <c r="E1347" s="15"/>
      <c r="F1347" s="14"/>
      <c r="G1347" s="14"/>
      <c r="H1347" s="15"/>
      <c r="I1347" s="14"/>
      <c r="J1347" s="14"/>
      <c r="K1347" s="14"/>
      <c r="L1347" s="14"/>
      <c r="M1347" s="14"/>
    </row>
    <row r="1348" ht="18.75" customHeight="1">
      <c r="A1348" s="14"/>
      <c r="B1348" s="14"/>
      <c r="C1348" s="14"/>
      <c r="D1348" s="14"/>
      <c r="E1348" s="15"/>
      <c r="F1348" s="14"/>
      <c r="G1348" s="14"/>
      <c r="H1348" s="15"/>
      <c r="I1348" s="14"/>
      <c r="J1348" s="14"/>
      <c r="K1348" s="14"/>
      <c r="L1348" s="14"/>
      <c r="M1348" s="14"/>
    </row>
    <row r="1349" ht="18.75" customHeight="1">
      <c r="A1349" s="14"/>
      <c r="B1349" s="14"/>
      <c r="C1349" s="14"/>
      <c r="D1349" s="14"/>
      <c r="E1349" s="15"/>
      <c r="F1349" s="14"/>
      <c r="G1349" s="14"/>
      <c r="H1349" s="15"/>
      <c r="I1349" s="14"/>
      <c r="J1349" s="14"/>
      <c r="K1349" s="14"/>
      <c r="L1349" s="14"/>
      <c r="M1349" s="14"/>
    </row>
    <row r="1350" ht="18.75" customHeight="1">
      <c r="A1350" s="14"/>
      <c r="B1350" s="14"/>
      <c r="C1350" s="14"/>
      <c r="D1350" s="14"/>
      <c r="E1350" s="15"/>
      <c r="F1350" s="14"/>
      <c r="G1350" s="14"/>
      <c r="H1350" s="15"/>
      <c r="I1350" s="14"/>
      <c r="J1350" s="14"/>
      <c r="K1350" s="14"/>
      <c r="L1350" s="14"/>
      <c r="M1350" s="14"/>
    </row>
    <row r="1351" ht="18.75" customHeight="1">
      <c r="A1351" s="14"/>
      <c r="B1351" s="14"/>
      <c r="C1351" s="14"/>
      <c r="D1351" s="14"/>
      <c r="E1351" s="15"/>
      <c r="F1351" s="14"/>
      <c r="G1351" s="14"/>
      <c r="H1351" s="15"/>
      <c r="I1351" s="14"/>
      <c r="J1351" s="14"/>
      <c r="K1351" s="14"/>
      <c r="L1351" s="14"/>
      <c r="M1351" s="14"/>
    </row>
    <row r="1352" ht="18.75" customHeight="1">
      <c r="A1352" s="14"/>
      <c r="B1352" s="14"/>
      <c r="C1352" s="14"/>
      <c r="D1352" s="14"/>
      <c r="E1352" s="15"/>
      <c r="F1352" s="14"/>
      <c r="G1352" s="14"/>
      <c r="H1352" s="15"/>
      <c r="I1352" s="14"/>
      <c r="J1352" s="14"/>
      <c r="K1352" s="14"/>
      <c r="L1352" s="14"/>
      <c r="M1352" s="14"/>
    </row>
    <row r="1353" ht="18.75" customHeight="1">
      <c r="A1353" s="14"/>
      <c r="B1353" s="14"/>
      <c r="C1353" s="14"/>
      <c r="D1353" s="14"/>
      <c r="E1353" s="15"/>
      <c r="F1353" s="14"/>
      <c r="G1353" s="14"/>
      <c r="H1353" s="15"/>
      <c r="I1353" s="14"/>
      <c r="J1353" s="14"/>
      <c r="K1353" s="14"/>
      <c r="L1353" s="14"/>
      <c r="M1353" s="14"/>
    </row>
    <row r="1354" ht="18.75" customHeight="1">
      <c r="A1354" s="14"/>
      <c r="B1354" s="14"/>
      <c r="C1354" s="14"/>
      <c r="D1354" s="14"/>
      <c r="E1354" s="15"/>
      <c r="F1354" s="14"/>
      <c r="G1354" s="14"/>
      <c r="H1354" s="15"/>
      <c r="I1354" s="14"/>
      <c r="J1354" s="14"/>
      <c r="K1354" s="14"/>
      <c r="L1354" s="14"/>
      <c r="M1354" s="14"/>
    </row>
    <row r="1355" ht="18.75" customHeight="1">
      <c r="A1355" s="14"/>
      <c r="B1355" s="14"/>
      <c r="C1355" s="14"/>
      <c r="D1355" s="14"/>
      <c r="E1355" s="15"/>
      <c r="F1355" s="14"/>
      <c r="G1355" s="14"/>
      <c r="H1355" s="15"/>
      <c r="I1355" s="14"/>
      <c r="J1355" s="14"/>
      <c r="K1355" s="14"/>
      <c r="L1355" s="14"/>
      <c r="M1355" s="14"/>
    </row>
    <row r="1356" ht="18.75" customHeight="1">
      <c r="A1356" s="14"/>
      <c r="B1356" s="14"/>
      <c r="C1356" s="14"/>
      <c r="D1356" s="14"/>
      <c r="E1356" s="15"/>
      <c r="F1356" s="14"/>
      <c r="G1356" s="14"/>
      <c r="H1356" s="15"/>
      <c r="I1356" s="14"/>
      <c r="J1356" s="14"/>
      <c r="K1356" s="14"/>
      <c r="L1356" s="14"/>
      <c r="M1356" s="14"/>
    </row>
    <row r="1357" ht="18.75" customHeight="1">
      <c r="A1357" s="14"/>
      <c r="B1357" s="14"/>
      <c r="C1357" s="14"/>
      <c r="D1357" s="14"/>
      <c r="E1357" s="15"/>
      <c r="F1357" s="14"/>
      <c r="G1357" s="14"/>
      <c r="H1357" s="15"/>
      <c r="I1357" s="14"/>
      <c r="J1357" s="14"/>
      <c r="K1357" s="14"/>
      <c r="L1357" s="14"/>
      <c r="M1357" s="14"/>
    </row>
    <row r="1358" ht="18.75" customHeight="1">
      <c r="A1358" s="14"/>
      <c r="B1358" s="14"/>
      <c r="C1358" s="14"/>
      <c r="D1358" s="14"/>
      <c r="E1358" s="15"/>
      <c r="F1358" s="14"/>
      <c r="G1358" s="14"/>
      <c r="H1358" s="15"/>
      <c r="I1358" s="14"/>
      <c r="J1358" s="14"/>
      <c r="K1358" s="14"/>
      <c r="L1358" s="14"/>
      <c r="M1358" s="14"/>
    </row>
    <row r="1359" ht="18.75" customHeight="1">
      <c r="A1359" s="14"/>
      <c r="B1359" s="14"/>
      <c r="C1359" s="14"/>
      <c r="D1359" s="14"/>
      <c r="E1359" s="15"/>
      <c r="F1359" s="14"/>
      <c r="G1359" s="14"/>
      <c r="H1359" s="15"/>
      <c r="I1359" s="14"/>
      <c r="J1359" s="14"/>
      <c r="K1359" s="14"/>
      <c r="L1359" s="14"/>
      <c r="M1359" s="14"/>
    </row>
    <row r="1360" ht="18.75" customHeight="1">
      <c r="A1360" s="14"/>
      <c r="B1360" s="14"/>
      <c r="C1360" s="14"/>
      <c r="D1360" s="14"/>
      <c r="E1360" s="15"/>
      <c r="F1360" s="14"/>
      <c r="G1360" s="14"/>
      <c r="H1360" s="15"/>
      <c r="I1360" s="14"/>
      <c r="J1360" s="14"/>
      <c r="K1360" s="14"/>
      <c r="L1360" s="14"/>
      <c r="M1360" s="14"/>
    </row>
    <row r="1361" ht="18.75" customHeight="1">
      <c r="A1361" s="14"/>
      <c r="B1361" s="14"/>
      <c r="C1361" s="14"/>
      <c r="D1361" s="14"/>
      <c r="E1361" s="15"/>
      <c r="F1361" s="14"/>
      <c r="G1361" s="14"/>
      <c r="H1361" s="15"/>
      <c r="I1361" s="14"/>
      <c r="J1361" s="14"/>
      <c r="K1361" s="14"/>
      <c r="L1361" s="14"/>
      <c r="M1361" s="14"/>
    </row>
    <row r="1362" ht="18.75" customHeight="1">
      <c r="A1362" s="14"/>
      <c r="B1362" s="14"/>
      <c r="C1362" s="14"/>
      <c r="D1362" s="14"/>
      <c r="E1362" s="15"/>
      <c r="F1362" s="14"/>
      <c r="G1362" s="14"/>
      <c r="H1362" s="15"/>
      <c r="I1362" s="14"/>
      <c r="J1362" s="14"/>
      <c r="K1362" s="14"/>
      <c r="L1362" s="14"/>
      <c r="M1362" s="14"/>
    </row>
    <row r="1363" ht="18.75" customHeight="1">
      <c r="A1363" s="14"/>
      <c r="B1363" s="14"/>
      <c r="C1363" s="14"/>
      <c r="D1363" s="14"/>
      <c r="E1363" s="15"/>
      <c r="F1363" s="14"/>
      <c r="G1363" s="14"/>
      <c r="H1363" s="15"/>
      <c r="I1363" s="14"/>
      <c r="J1363" s="14"/>
      <c r="K1363" s="14"/>
      <c r="L1363" s="14"/>
      <c r="M1363" s="14"/>
    </row>
    <row r="1364" ht="18.75" customHeight="1">
      <c r="A1364" s="14"/>
      <c r="B1364" s="14"/>
      <c r="C1364" s="14"/>
      <c r="D1364" s="14"/>
      <c r="E1364" s="15"/>
      <c r="F1364" s="14"/>
      <c r="G1364" s="14"/>
      <c r="H1364" s="15"/>
      <c r="I1364" s="14"/>
      <c r="J1364" s="14"/>
      <c r="K1364" s="14"/>
      <c r="L1364" s="14"/>
      <c r="M1364" s="14"/>
    </row>
    <row r="1365" ht="18.75" customHeight="1">
      <c r="A1365" s="14"/>
      <c r="B1365" s="14"/>
      <c r="C1365" s="14"/>
      <c r="D1365" s="14"/>
      <c r="E1365" s="15"/>
      <c r="F1365" s="14"/>
      <c r="G1365" s="14"/>
      <c r="H1365" s="15"/>
      <c r="I1365" s="14"/>
      <c r="J1365" s="14"/>
      <c r="K1365" s="14"/>
      <c r="L1365" s="14"/>
      <c r="M1365" s="14"/>
    </row>
    <row r="1366" ht="18.75" customHeight="1">
      <c r="A1366" s="14"/>
      <c r="B1366" s="14"/>
      <c r="C1366" s="14"/>
      <c r="D1366" s="14"/>
      <c r="E1366" s="15"/>
      <c r="F1366" s="14"/>
      <c r="G1366" s="14"/>
      <c r="H1366" s="15"/>
      <c r="I1366" s="14"/>
      <c r="J1366" s="14"/>
      <c r="K1366" s="14"/>
      <c r="L1366" s="14"/>
      <c r="M1366" s="14"/>
    </row>
    <row r="1367" ht="18.75" customHeight="1">
      <c r="A1367" s="14"/>
      <c r="B1367" s="14"/>
      <c r="C1367" s="14"/>
      <c r="D1367" s="14"/>
      <c r="E1367" s="15"/>
      <c r="F1367" s="14"/>
      <c r="G1367" s="14"/>
      <c r="H1367" s="15"/>
      <c r="I1367" s="14"/>
      <c r="J1367" s="14"/>
      <c r="K1367" s="14"/>
      <c r="L1367" s="14"/>
      <c r="M1367" s="14"/>
    </row>
    <row r="1368" ht="18.75" customHeight="1">
      <c r="A1368" s="14"/>
      <c r="B1368" s="14"/>
      <c r="C1368" s="14"/>
      <c r="D1368" s="14"/>
      <c r="E1368" s="15"/>
      <c r="F1368" s="14"/>
      <c r="G1368" s="14"/>
      <c r="H1368" s="15"/>
      <c r="I1368" s="14"/>
      <c r="J1368" s="14"/>
      <c r="K1368" s="14"/>
      <c r="L1368" s="14"/>
      <c r="M1368" s="14"/>
    </row>
    <row r="1369" ht="18.75" customHeight="1">
      <c r="A1369" s="14"/>
      <c r="B1369" s="14"/>
      <c r="C1369" s="14"/>
      <c r="D1369" s="14"/>
      <c r="E1369" s="15"/>
      <c r="F1369" s="14"/>
      <c r="G1369" s="14"/>
      <c r="H1369" s="15"/>
      <c r="I1369" s="14"/>
      <c r="J1369" s="14"/>
      <c r="K1369" s="14"/>
      <c r="L1369" s="14"/>
      <c r="M1369" s="14"/>
    </row>
    <row r="1370" ht="18.75" customHeight="1">
      <c r="A1370" s="14"/>
      <c r="B1370" s="14"/>
      <c r="C1370" s="14"/>
      <c r="D1370" s="14"/>
      <c r="E1370" s="15"/>
      <c r="F1370" s="14"/>
      <c r="G1370" s="14"/>
      <c r="H1370" s="15"/>
      <c r="I1370" s="14"/>
      <c r="J1370" s="14"/>
      <c r="K1370" s="14"/>
      <c r="L1370" s="14"/>
      <c r="M1370" s="14"/>
    </row>
    <row r="1371" ht="18.75" customHeight="1">
      <c r="A1371" s="14"/>
      <c r="B1371" s="14"/>
      <c r="C1371" s="14"/>
      <c r="D1371" s="14"/>
      <c r="E1371" s="15"/>
      <c r="F1371" s="14"/>
      <c r="G1371" s="14"/>
      <c r="H1371" s="15"/>
      <c r="I1371" s="14"/>
      <c r="J1371" s="14"/>
      <c r="K1371" s="14"/>
      <c r="L1371" s="14"/>
      <c r="M1371" s="14"/>
    </row>
    <row r="1372" ht="18.75" customHeight="1">
      <c r="A1372" s="14"/>
      <c r="B1372" s="14"/>
      <c r="C1372" s="14"/>
      <c r="D1372" s="14"/>
      <c r="E1372" s="15"/>
      <c r="F1372" s="14"/>
      <c r="G1372" s="14"/>
      <c r="H1372" s="15"/>
      <c r="I1372" s="14"/>
      <c r="J1372" s="14"/>
      <c r="K1372" s="14"/>
      <c r="L1372" s="14"/>
      <c r="M1372" s="14"/>
    </row>
    <row r="1373" ht="18.75" customHeight="1">
      <c r="A1373" s="14"/>
      <c r="B1373" s="14"/>
      <c r="C1373" s="14"/>
      <c r="D1373" s="14"/>
      <c r="E1373" s="15"/>
      <c r="F1373" s="14"/>
      <c r="G1373" s="14"/>
      <c r="H1373" s="15"/>
      <c r="I1373" s="14"/>
      <c r="J1373" s="14"/>
      <c r="K1373" s="14"/>
      <c r="L1373" s="14"/>
      <c r="M1373" s="14"/>
    </row>
    <row r="1374" ht="18.75" customHeight="1">
      <c r="A1374" s="14"/>
      <c r="B1374" s="14"/>
      <c r="C1374" s="14"/>
      <c r="D1374" s="14"/>
      <c r="E1374" s="15"/>
      <c r="F1374" s="14"/>
      <c r="G1374" s="14"/>
      <c r="H1374" s="15"/>
      <c r="I1374" s="14"/>
      <c r="J1374" s="14"/>
      <c r="K1374" s="14"/>
      <c r="L1374" s="14"/>
      <c r="M1374" s="14"/>
    </row>
    <row r="1375" ht="18.75" customHeight="1">
      <c r="A1375" s="14"/>
      <c r="B1375" s="14"/>
      <c r="C1375" s="14"/>
      <c r="D1375" s="14"/>
      <c r="E1375" s="15"/>
      <c r="F1375" s="14"/>
      <c r="G1375" s="14"/>
      <c r="H1375" s="15"/>
      <c r="I1375" s="14"/>
      <c r="J1375" s="14"/>
      <c r="K1375" s="14"/>
      <c r="L1375" s="14"/>
      <c r="M1375" s="14"/>
    </row>
    <row r="1376" ht="18.75" customHeight="1">
      <c r="A1376" s="14"/>
      <c r="B1376" s="14"/>
      <c r="C1376" s="14"/>
      <c r="D1376" s="14"/>
      <c r="E1376" s="15"/>
      <c r="F1376" s="14"/>
      <c r="G1376" s="14"/>
      <c r="H1376" s="15"/>
      <c r="I1376" s="14"/>
      <c r="J1376" s="14"/>
      <c r="K1376" s="14"/>
      <c r="L1376" s="14"/>
      <c r="M1376" s="14"/>
    </row>
    <row r="1377" ht="18.75" customHeight="1">
      <c r="A1377" s="14"/>
      <c r="B1377" s="14"/>
      <c r="C1377" s="14"/>
      <c r="D1377" s="14"/>
      <c r="E1377" s="15"/>
      <c r="F1377" s="14"/>
      <c r="G1377" s="14"/>
      <c r="H1377" s="15"/>
      <c r="I1377" s="14"/>
      <c r="J1377" s="14"/>
      <c r="K1377" s="14"/>
      <c r="L1377" s="14"/>
      <c r="M1377" s="14"/>
    </row>
    <row r="1378" ht="18.75" customHeight="1">
      <c r="A1378" s="14"/>
      <c r="B1378" s="14"/>
      <c r="C1378" s="14"/>
      <c r="D1378" s="14"/>
      <c r="E1378" s="15"/>
      <c r="F1378" s="14"/>
      <c r="G1378" s="14"/>
      <c r="H1378" s="15"/>
      <c r="I1378" s="14"/>
      <c r="J1378" s="14"/>
      <c r="K1378" s="14"/>
      <c r="L1378" s="14"/>
      <c r="M1378" s="14"/>
    </row>
    <row r="1379" ht="18.75" customHeight="1">
      <c r="A1379" s="14"/>
      <c r="B1379" s="14"/>
      <c r="C1379" s="14"/>
      <c r="D1379" s="14"/>
      <c r="E1379" s="15"/>
      <c r="F1379" s="14"/>
      <c r="G1379" s="14"/>
      <c r="H1379" s="15"/>
      <c r="I1379" s="14"/>
      <c r="J1379" s="14"/>
      <c r="K1379" s="14"/>
      <c r="L1379" s="14"/>
      <c r="M1379" s="14"/>
    </row>
    <row r="1380" ht="18.75" customHeight="1">
      <c r="A1380" s="14"/>
      <c r="B1380" s="14"/>
      <c r="C1380" s="14"/>
      <c r="D1380" s="14"/>
      <c r="E1380" s="15"/>
      <c r="F1380" s="14"/>
      <c r="G1380" s="14"/>
      <c r="H1380" s="15"/>
      <c r="I1380" s="14"/>
      <c r="J1380" s="14"/>
      <c r="K1380" s="14"/>
      <c r="L1380" s="14"/>
      <c r="M1380" s="14"/>
    </row>
    <row r="1381" ht="18.75" customHeight="1">
      <c r="A1381" s="14"/>
      <c r="B1381" s="14"/>
      <c r="C1381" s="14"/>
      <c r="D1381" s="14"/>
      <c r="E1381" s="15"/>
      <c r="F1381" s="14"/>
      <c r="G1381" s="14"/>
      <c r="H1381" s="15"/>
      <c r="I1381" s="14"/>
      <c r="J1381" s="14"/>
      <c r="K1381" s="14"/>
      <c r="L1381" s="14"/>
      <c r="M1381" s="14"/>
    </row>
    <row r="1382" ht="18.75" customHeight="1">
      <c r="A1382" s="14"/>
      <c r="B1382" s="14"/>
      <c r="C1382" s="14"/>
      <c r="D1382" s="14"/>
      <c r="E1382" s="15"/>
      <c r="F1382" s="14"/>
      <c r="G1382" s="14"/>
      <c r="H1382" s="15"/>
      <c r="I1382" s="14"/>
      <c r="J1382" s="14"/>
      <c r="K1382" s="14"/>
      <c r="L1382" s="14"/>
      <c r="M1382" s="14"/>
    </row>
    <row r="1383" ht="18.75" customHeight="1">
      <c r="A1383" s="14"/>
      <c r="B1383" s="14"/>
      <c r="C1383" s="14"/>
      <c r="D1383" s="14"/>
      <c r="E1383" s="15"/>
      <c r="F1383" s="14"/>
      <c r="G1383" s="14"/>
      <c r="H1383" s="15"/>
      <c r="I1383" s="14"/>
      <c r="J1383" s="14"/>
      <c r="K1383" s="14"/>
      <c r="L1383" s="14"/>
      <c r="M1383" s="14"/>
    </row>
    <row r="1384" ht="18.75" customHeight="1">
      <c r="A1384" s="14"/>
      <c r="B1384" s="14"/>
      <c r="C1384" s="14"/>
      <c r="D1384" s="14"/>
      <c r="E1384" s="15"/>
      <c r="F1384" s="14"/>
      <c r="G1384" s="14"/>
      <c r="H1384" s="15"/>
      <c r="I1384" s="14"/>
      <c r="J1384" s="14"/>
      <c r="K1384" s="14"/>
      <c r="L1384" s="14"/>
      <c r="M1384" s="14"/>
    </row>
    <row r="1385" ht="18.75" customHeight="1">
      <c r="A1385" s="14"/>
      <c r="B1385" s="14"/>
      <c r="C1385" s="14"/>
      <c r="D1385" s="14"/>
      <c r="E1385" s="15"/>
      <c r="F1385" s="14"/>
      <c r="G1385" s="14"/>
      <c r="H1385" s="15"/>
      <c r="I1385" s="14"/>
      <c r="J1385" s="14"/>
      <c r="K1385" s="14"/>
      <c r="L1385" s="14"/>
      <c r="M1385" s="14"/>
    </row>
    <row r="1386" ht="18.75" customHeight="1">
      <c r="A1386" s="14"/>
      <c r="B1386" s="14"/>
      <c r="C1386" s="14"/>
      <c r="D1386" s="14"/>
      <c r="E1386" s="15"/>
      <c r="F1386" s="14"/>
      <c r="G1386" s="14"/>
      <c r="H1386" s="15"/>
      <c r="I1386" s="14"/>
      <c r="J1386" s="14"/>
      <c r="K1386" s="14"/>
      <c r="L1386" s="14"/>
      <c r="M1386" s="14"/>
    </row>
    <row r="1387" ht="18.75" customHeight="1">
      <c r="A1387" s="14"/>
      <c r="B1387" s="14"/>
      <c r="C1387" s="14"/>
      <c r="D1387" s="14"/>
      <c r="E1387" s="15"/>
      <c r="F1387" s="14"/>
      <c r="G1387" s="14"/>
      <c r="H1387" s="15"/>
      <c r="I1387" s="14"/>
      <c r="J1387" s="14"/>
      <c r="K1387" s="14"/>
      <c r="L1387" s="14"/>
      <c r="M1387" s="14"/>
    </row>
    <row r="1388" ht="18.75" customHeight="1">
      <c r="A1388" s="14"/>
      <c r="B1388" s="14"/>
      <c r="C1388" s="14"/>
      <c r="D1388" s="14"/>
      <c r="E1388" s="15"/>
      <c r="F1388" s="14"/>
      <c r="G1388" s="14"/>
      <c r="H1388" s="15"/>
      <c r="I1388" s="14"/>
      <c r="J1388" s="14"/>
      <c r="K1388" s="14"/>
      <c r="L1388" s="14"/>
      <c r="M1388" s="14"/>
    </row>
    <row r="1389" ht="18.75" customHeight="1">
      <c r="A1389" s="14"/>
      <c r="B1389" s="14"/>
      <c r="C1389" s="14"/>
      <c r="D1389" s="14"/>
      <c r="E1389" s="15"/>
      <c r="F1389" s="14"/>
      <c r="G1389" s="14"/>
      <c r="H1389" s="15"/>
      <c r="I1389" s="14"/>
      <c r="J1389" s="14"/>
      <c r="K1389" s="14"/>
      <c r="L1389" s="14"/>
      <c r="M1389" s="14"/>
    </row>
    <row r="1390" ht="18.75" customHeight="1">
      <c r="A1390" s="14"/>
      <c r="B1390" s="14"/>
      <c r="C1390" s="14"/>
      <c r="D1390" s="14"/>
      <c r="E1390" s="15"/>
      <c r="F1390" s="14"/>
      <c r="G1390" s="14"/>
      <c r="H1390" s="15"/>
      <c r="I1390" s="14"/>
      <c r="J1390" s="14"/>
      <c r="K1390" s="14"/>
      <c r="L1390" s="14"/>
      <c r="M1390" s="14"/>
    </row>
    <row r="1391" ht="18.75" customHeight="1">
      <c r="A1391" s="14"/>
      <c r="B1391" s="14"/>
      <c r="C1391" s="14"/>
      <c r="D1391" s="14"/>
      <c r="E1391" s="15"/>
      <c r="F1391" s="14"/>
      <c r="G1391" s="14"/>
      <c r="H1391" s="15"/>
      <c r="I1391" s="14"/>
      <c r="J1391" s="14"/>
      <c r="K1391" s="14"/>
      <c r="L1391" s="14"/>
      <c r="M1391" s="14"/>
    </row>
    <row r="1392" ht="18.75" customHeight="1">
      <c r="A1392" s="14"/>
      <c r="B1392" s="14"/>
      <c r="C1392" s="14"/>
      <c r="D1392" s="14"/>
      <c r="E1392" s="15"/>
      <c r="F1392" s="14"/>
      <c r="G1392" s="14"/>
      <c r="H1392" s="15"/>
      <c r="I1392" s="14"/>
      <c r="J1392" s="14"/>
      <c r="K1392" s="14"/>
      <c r="L1392" s="14"/>
      <c r="M1392" s="14"/>
    </row>
    <row r="1393" ht="18.75" customHeight="1">
      <c r="A1393" s="14"/>
      <c r="B1393" s="14"/>
      <c r="C1393" s="14"/>
      <c r="D1393" s="14"/>
      <c r="E1393" s="15"/>
      <c r="F1393" s="14"/>
      <c r="G1393" s="14"/>
      <c r="H1393" s="15"/>
      <c r="I1393" s="14"/>
      <c r="J1393" s="14"/>
      <c r="K1393" s="14"/>
      <c r="L1393" s="14"/>
      <c r="M1393" s="14"/>
    </row>
    <row r="1394" ht="18.75" customHeight="1">
      <c r="A1394" s="14"/>
      <c r="B1394" s="14"/>
      <c r="C1394" s="14"/>
      <c r="D1394" s="14"/>
      <c r="E1394" s="15"/>
      <c r="F1394" s="14"/>
      <c r="G1394" s="14"/>
      <c r="H1394" s="15"/>
      <c r="I1394" s="14"/>
      <c r="J1394" s="14"/>
      <c r="K1394" s="14"/>
      <c r="L1394" s="14"/>
      <c r="M1394" s="14"/>
    </row>
    <row r="1395" ht="18.75" customHeight="1">
      <c r="A1395" s="14"/>
      <c r="B1395" s="14"/>
      <c r="C1395" s="14"/>
      <c r="D1395" s="14"/>
      <c r="E1395" s="15"/>
      <c r="F1395" s="14"/>
      <c r="G1395" s="14"/>
      <c r="H1395" s="15"/>
      <c r="I1395" s="14"/>
      <c r="J1395" s="14"/>
      <c r="K1395" s="14"/>
      <c r="L1395" s="14"/>
      <c r="M1395" s="14"/>
    </row>
    <row r="1396" ht="18.75" customHeight="1">
      <c r="A1396" s="14"/>
      <c r="B1396" s="14"/>
      <c r="C1396" s="14"/>
      <c r="D1396" s="14"/>
      <c r="E1396" s="15"/>
      <c r="F1396" s="14"/>
      <c r="G1396" s="14"/>
      <c r="H1396" s="15"/>
      <c r="I1396" s="14"/>
      <c r="J1396" s="14"/>
      <c r="K1396" s="14"/>
      <c r="L1396" s="14"/>
      <c r="M1396" s="14"/>
    </row>
    <row r="1397" ht="18.75" customHeight="1">
      <c r="A1397" s="14"/>
      <c r="B1397" s="14"/>
      <c r="C1397" s="14"/>
      <c r="D1397" s="14"/>
      <c r="E1397" s="15"/>
      <c r="F1397" s="14"/>
      <c r="G1397" s="14"/>
      <c r="H1397" s="15"/>
      <c r="I1397" s="14"/>
      <c r="J1397" s="14"/>
      <c r="K1397" s="14"/>
      <c r="L1397" s="14"/>
      <c r="M1397" s="14"/>
    </row>
    <row r="1398" ht="18.75" customHeight="1">
      <c r="A1398" s="14"/>
      <c r="B1398" s="14"/>
      <c r="C1398" s="14"/>
      <c r="D1398" s="14"/>
      <c r="E1398" s="15"/>
      <c r="F1398" s="14"/>
      <c r="G1398" s="14"/>
      <c r="H1398" s="15"/>
      <c r="I1398" s="14"/>
      <c r="J1398" s="14"/>
      <c r="K1398" s="14"/>
      <c r="L1398" s="14"/>
      <c r="M1398" s="14"/>
    </row>
    <row r="1399" ht="18.75" customHeight="1">
      <c r="A1399" s="14"/>
      <c r="B1399" s="14"/>
      <c r="C1399" s="14"/>
      <c r="D1399" s="14"/>
      <c r="E1399" s="15"/>
      <c r="F1399" s="14"/>
      <c r="G1399" s="14"/>
      <c r="H1399" s="15"/>
      <c r="I1399" s="14"/>
      <c r="J1399" s="14"/>
      <c r="K1399" s="14"/>
      <c r="L1399" s="14"/>
      <c r="M1399" s="14"/>
    </row>
    <row r="1400" ht="18.75" customHeight="1">
      <c r="A1400" s="14"/>
      <c r="B1400" s="14"/>
      <c r="C1400" s="14"/>
      <c r="D1400" s="14"/>
      <c r="E1400" s="15"/>
      <c r="F1400" s="14"/>
      <c r="G1400" s="14"/>
      <c r="H1400" s="15"/>
      <c r="I1400" s="14"/>
      <c r="J1400" s="14"/>
      <c r="K1400" s="14"/>
      <c r="L1400" s="14"/>
      <c r="M1400" s="14"/>
    </row>
    <row r="1401" ht="18.75" customHeight="1">
      <c r="A1401" s="14"/>
      <c r="B1401" s="14"/>
      <c r="C1401" s="14"/>
      <c r="D1401" s="14"/>
      <c r="E1401" s="15"/>
      <c r="F1401" s="14"/>
      <c r="G1401" s="14"/>
      <c r="H1401" s="15"/>
      <c r="I1401" s="14"/>
      <c r="J1401" s="14"/>
      <c r="K1401" s="14"/>
      <c r="L1401" s="14"/>
      <c r="M1401" s="14"/>
    </row>
    <row r="1402" ht="18.75" customHeight="1">
      <c r="A1402" s="14"/>
      <c r="B1402" s="14"/>
      <c r="C1402" s="14"/>
      <c r="D1402" s="14"/>
      <c r="E1402" s="15"/>
      <c r="F1402" s="14"/>
      <c r="G1402" s="14"/>
      <c r="H1402" s="15"/>
      <c r="I1402" s="14"/>
      <c r="J1402" s="14"/>
      <c r="K1402" s="14"/>
      <c r="L1402" s="14"/>
      <c r="M1402" s="14"/>
    </row>
    <row r="1403" ht="18.75" customHeight="1">
      <c r="A1403" s="14"/>
      <c r="B1403" s="14"/>
      <c r="C1403" s="14"/>
      <c r="D1403" s="14"/>
      <c r="E1403" s="15"/>
      <c r="F1403" s="14"/>
      <c r="G1403" s="14"/>
      <c r="H1403" s="15"/>
      <c r="I1403" s="14"/>
      <c r="J1403" s="14"/>
      <c r="K1403" s="14"/>
      <c r="L1403" s="14"/>
      <c r="M1403" s="14"/>
    </row>
    <row r="1404" ht="18.75" customHeight="1">
      <c r="A1404" s="14"/>
      <c r="B1404" s="14"/>
      <c r="C1404" s="14"/>
      <c r="D1404" s="14"/>
      <c r="E1404" s="15"/>
      <c r="F1404" s="14"/>
      <c r="G1404" s="14"/>
      <c r="H1404" s="15"/>
      <c r="I1404" s="14"/>
      <c r="J1404" s="14"/>
      <c r="K1404" s="14"/>
      <c r="L1404" s="14"/>
      <c r="M1404" s="14"/>
    </row>
    <row r="1405" ht="18.75" customHeight="1">
      <c r="A1405" s="14"/>
      <c r="B1405" s="14"/>
      <c r="C1405" s="14"/>
      <c r="D1405" s="14"/>
      <c r="E1405" s="15"/>
      <c r="F1405" s="14"/>
      <c r="G1405" s="14"/>
      <c r="H1405" s="15"/>
      <c r="I1405" s="14"/>
      <c r="J1405" s="14"/>
      <c r="K1405" s="14"/>
      <c r="L1405" s="14"/>
      <c r="M1405" s="14"/>
    </row>
    <row r="1406" ht="18.75" customHeight="1">
      <c r="A1406" s="14"/>
      <c r="B1406" s="14"/>
      <c r="C1406" s="14"/>
      <c r="D1406" s="14"/>
      <c r="E1406" s="15"/>
      <c r="F1406" s="14"/>
      <c r="G1406" s="14"/>
      <c r="H1406" s="15"/>
      <c r="I1406" s="14"/>
      <c r="J1406" s="14"/>
      <c r="K1406" s="14"/>
      <c r="L1406" s="14"/>
      <c r="M1406" s="14"/>
    </row>
    <row r="1407" ht="18.75" customHeight="1">
      <c r="A1407" s="14"/>
      <c r="B1407" s="14"/>
      <c r="C1407" s="14"/>
      <c r="D1407" s="14"/>
      <c r="E1407" s="15"/>
      <c r="F1407" s="14"/>
      <c r="G1407" s="14"/>
      <c r="H1407" s="15"/>
      <c r="I1407" s="14"/>
      <c r="J1407" s="14"/>
      <c r="K1407" s="14"/>
      <c r="L1407" s="14"/>
      <c r="M1407" s="14"/>
    </row>
    <row r="1408" ht="18.75" customHeight="1">
      <c r="A1408" s="14"/>
      <c r="B1408" s="14"/>
      <c r="C1408" s="14"/>
      <c r="D1408" s="14"/>
      <c r="E1408" s="15"/>
      <c r="F1408" s="14"/>
      <c r="G1408" s="14"/>
      <c r="H1408" s="15"/>
      <c r="I1408" s="14"/>
      <c r="J1408" s="14"/>
      <c r="K1408" s="14"/>
      <c r="L1408" s="14"/>
      <c r="M1408" s="14"/>
    </row>
    <row r="1409" ht="18.75" customHeight="1">
      <c r="A1409" s="14"/>
      <c r="B1409" s="14"/>
      <c r="C1409" s="14"/>
      <c r="D1409" s="14"/>
      <c r="E1409" s="15"/>
      <c r="F1409" s="14"/>
      <c r="G1409" s="14"/>
      <c r="H1409" s="15"/>
      <c r="I1409" s="14"/>
      <c r="J1409" s="14"/>
      <c r="K1409" s="14"/>
      <c r="L1409" s="14"/>
      <c r="M1409" s="14"/>
    </row>
    <row r="1410" ht="18.75" customHeight="1">
      <c r="A1410" s="14"/>
      <c r="B1410" s="14"/>
      <c r="C1410" s="14"/>
      <c r="D1410" s="14"/>
      <c r="E1410" s="15"/>
      <c r="F1410" s="14"/>
      <c r="G1410" s="14"/>
      <c r="H1410" s="15"/>
      <c r="I1410" s="14"/>
      <c r="J1410" s="14"/>
      <c r="K1410" s="14"/>
      <c r="L1410" s="14"/>
      <c r="M1410" s="14"/>
    </row>
    <row r="1411" ht="18.75" customHeight="1">
      <c r="A1411" s="14"/>
      <c r="B1411" s="14"/>
      <c r="C1411" s="14"/>
      <c r="D1411" s="14"/>
      <c r="E1411" s="15"/>
      <c r="F1411" s="14"/>
      <c r="G1411" s="14"/>
      <c r="H1411" s="15"/>
      <c r="I1411" s="14"/>
      <c r="J1411" s="14"/>
      <c r="K1411" s="14"/>
      <c r="L1411" s="14"/>
      <c r="M1411" s="14"/>
    </row>
    <row r="1412" ht="18.75" customHeight="1">
      <c r="A1412" s="14"/>
      <c r="B1412" s="14"/>
      <c r="C1412" s="14"/>
      <c r="D1412" s="14"/>
      <c r="E1412" s="15"/>
      <c r="F1412" s="14"/>
      <c r="G1412" s="14"/>
      <c r="H1412" s="15"/>
      <c r="I1412" s="14"/>
      <c r="J1412" s="14"/>
      <c r="K1412" s="14"/>
      <c r="L1412" s="14"/>
      <c r="M1412" s="14"/>
    </row>
    <row r="1413" ht="18.75" customHeight="1">
      <c r="A1413" s="14"/>
      <c r="B1413" s="14"/>
      <c r="C1413" s="14"/>
      <c r="D1413" s="14"/>
      <c r="E1413" s="15"/>
      <c r="F1413" s="14"/>
      <c r="G1413" s="14"/>
      <c r="H1413" s="15"/>
      <c r="I1413" s="14"/>
      <c r="J1413" s="14"/>
      <c r="K1413" s="14"/>
      <c r="L1413" s="14"/>
      <c r="M1413" s="14"/>
    </row>
    <row r="1414" ht="18.75" customHeight="1">
      <c r="A1414" s="14"/>
      <c r="B1414" s="14"/>
      <c r="C1414" s="14"/>
      <c r="D1414" s="14"/>
      <c r="E1414" s="15"/>
      <c r="F1414" s="14"/>
      <c r="G1414" s="14"/>
      <c r="H1414" s="15"/>
      <c r="I1414" s="14"/>
      <c r="J1414" s="14"/>
      <c r="K1414" s="14"/>
      <c r="L1414" s="14"/>
      <c r="M1414" s="14"/>
    </row>
    <row r="1415" ht="18.75" customHeight="1">
      <c r="A1415" s="14"/>
      <c r="B1415" s="14"/>
      <c r="C1415" s="14"/>
      <c r="D1415" s="14"/>
      <c r="E1415" s="15"/>
      <c r="F1415" s="14"/>
      <c r="G1415" s="14"/>
      <c r="H1415" s="15"/>
      <c r="I1415" s="14"/>
      <c r="J1415" s="14"/>
      <c r="K1415" s="14"/>
      <c r="L1415" s="14"/>
      <c r="M1415" s="14"/>
    </row>
    <row r="1416" ht="18.75" customHeight="1">
      <c r="A1416" s="14"/>
      <c r="B1416" s="14"/>
      <c r="C1416" s="14"/>
      <c r="D1416" s="14"/>
      <c r="E1416" s="15"/>
      <c r="F1416" s="14"/>
      <c r="G1416" s="14"/>
      <c r="H1416" s="15"/>
      <c r="I1416" s="14"/>
      <c r="J1416" s="14"/>
      <c r="K1416" s="14"/>
      <c r="L1416" s="14"/>
      <c r="M1416" s="14"/>
    </row>
    <row r="1417" ht="18.75" customHeight="1">
      <c r="A1417" s="14"/>
      <c r="B1417" s="14"/>
      <c r="C1417" s="14"/>
      <c r="D1417" s="14"/>
      <c r="E1417" s="15"/>
      <c r="F1417" s="14"/>
      <c r="G1417" s="14"/>
      <c r="H1417" s="15"/>
      <c r="I1417" s="14"/>
      <c r="J1417" s="14"/>
      <c r="K1417" s="14"/>
      <c r="L1417" s="14"/>
      <c r="M1417" s="14"/>
    </row>
    <row r="1418" ht="18.75" customHeight="1">
      <c r="A1418" s="14"/>
      <c r="B1418" s="14"/>
      <c r="C1418" s="14"/>
      <c r="D1418" s="14"/>
      <c r="E1418" s="15"/>
      <c r="F1418" s="14"/>
      <c r="G1418" s="14"/>
      <c r="I1418" s="14"/>
      <c r="J1418" s="14"/>
      <c r="K1418" s="14"/>
      <c r="L1418" s="14"/>
    </row>
    <row r="1419" ht="18.75" customHeight="1">
      <c r="A1419" s="14"/>
      <c r="B1419" s="14"/>
      <c r="C1419" s="14"/>
      <c r="D1419" s="14"/>
      <c r="E1419" s="15"/>
      <c r="F1419" s="14"/>
      <c r="G1419" s="14"/>
      <c r="H1419" s="15"/>
      <c r="I1419" s="14"/>
      <c r="J1419" s="14"/>
      <c r="K1419" s="14"/>
      <c r="L1419" s="14"/>
      <c r="M1419" s="14"/>
    </row>
    <row r="1420" ht="18.75" customHeight="1">
      <c r="A1420" s="14"/>
      <c r="B1420" s="14"/>
      <c r="C1420" s="14"/>
      <c r="D1420" s="14"/>
      <c r="E1420" s="15"/>
      <c r="F1420" s="14"/>
      <c r="G1420" s="14"/>
      <c r="H1420" s="15"/>
      <c r="I1420" s="14"/>
      <c r="J1420" s="14"/>
      <c r="K1420" s="14"/>
      <c r="L1420" s="14"/>
      <c r="M1420" s="14"/>
    </row>
    <row r="1421" ht="18.75" customHeight="1">
      <c r="A1421" s="14"/>
      <c r="B1421" s="14"/>
      <c r="C1421" s="14"/>
      <c r="D1421" s="14"/>
      <c r="E1421" s="15"/>
      <c r="F1421" s="14"/>
      <c r="G1421" s="14"/>
      <c r="H1421" s="15"/>
      <c r="I1421" s="14"/>
      <c r="J1421" s="14"/>
      <c r="K1421" s="14"/>
      <c r="L1421" s="14"/>
      <c r="M1421" s="14"/>
    </row>
    <row r="1422" ht="18.75" customHeight="1">
      <c r="A1422" s="14"/>
      <c r="B1422" s="14"/>
      <c r="C1422" s="14"/>
      <c r="D1422" s="14"/>
      <c r="E1422" s="15"/>
      <c r="F1422" s="14"/>
      <c r="G1422" s="14"/>
      <c r="H1422" s="15"/>
      <c r="I1422" s="14"/>
      <c r="J1422" s="14"/>
      <c r="K1422" s="14"/>
      <c r="L1422" s="14"/>
      <c r="M1422" s="14"/>
    </row>
    <row r="1423" ht="18.75" customHeight="1">
      <c r="A1423" s="14"/>
      <c r="B1423" s="14"/>
      <c r="C1423" s="14"/>
      <c r="D1423" s="14"/>
      <c r="E1423" s="15"/>
      <c r="F1423" s="14"/>
      <c r="G1423" s="14"/>
      <c r="H1423" s="15"/>
      <c r="I1423" s="14"/>
      <c r="J1423" s="14"/>
      <c r="K1423" s="14"/>
      <c r="L1423" s="14"/>
      <c r="M1423" s="14"/>
    </row>
    <row r="1424" ht="18.75" customHeight="1">
      <c r="A1424" s="14"/>
      <c r="B1424" s="14"/>
      <c r="C1424" s="14"/>
      <c r="D1424" s="14"/>
      <c r="E1424" s="15"/>
      <c r="F1424" s="14"/>
      <c r="G1424" s="14"/>
      <c r="H1424" s="15"/>
      <c r="I1424" s="14"/>
      <c r="J1424" s="14"/>
      <c r="K1424" s="14"/>
      <c r="L1424" s="14"/>
      <c r="M1424" s="14"/>
    </row>
    <row r="1425" ht="18.75" customHeight="1">
      <c r="A1425" s="14"/>
      <c r="B1425" s="14"/>
      <c r="C1425" s="14"/>
      <c r="D1425" s="14"/>
      <c r="E1425" s="15"/>
      <c r="F1425" s="14"/>
      <c r="G1425" s="14"/>
      <c r="H1425" s="15"/>
      <c r="I1425" s="14"/>
      <c r="J1425" s="14"/>
      <c r="K1425" s="14"/>
      <c r="L1425" s="14"/>
      <c r="M1425" s="14"/>
    </row>
    <row r="1426" ht="18.75" customHeight="1">
      <c r="A1426" s="14"/>
      <c r="B1426" s="14"/>
      <c r="C1426" s="14"/>
      <c r="D1426" s="14"/>
      <c r="E1426" s="15"/>
      <c r="F1426" s="14"/>
      <c r="G1426" s="14"/>
      <c r="H1426" s="15"/>
      <c r="I1426" s="14"/>
      <c r="J1426" s="14"/>
      <c r="K1426" s="14"/>
      <c r="L1426" s="14"/>
      <c r="M1426" s="14"/>
    </row>
    <row r="1427" ht="18.75" customHeight="1">
      <c r="A1427" s="14"/>
      <c r="B1427" s="14"/>
      <c r="C1427" s="14"/>
      <c r="D1427" s="14"/>
      <c r="E1427" s="15"/>
      <c r="F1427" s="14"/>
      <c r="G1427" s="14"/>
      <c r="H1427" s="15"/>
      <c r="I1427" s="14"/>
      <c r="J1427" s="14"/>
      <c r="K1427" s="14"/>
      <c r="L1427" s="14"/>
      <c r="M1427" s="14"/>
    </row>
    <row r="1428" ht="18.75" customHeight="1">
      <c r="A1428" s="14"/>
      <c r="B1428" s="14"/>
      <c r="C1428" s="14"/>
      <c r="D1428" s="14"/>
      <c r="E1428" s="15"/>
      <c r="F1428" s="14"/>
      <c r="G1428" s="14"/>
      <c r="H1428" s="15"/>
      <c r="I1428" s="14"/>
      <c r="J1428" s="14"/>
      <c r="K1428" s="14"/>
      <c r="L1428" s="14"/>
      <c r="M1428" s="14"/>
    </row>
    <row r="1429" ht="18.75" customHeight="1">
      <c r="A1429" s="14"/>
      <c r="B1429" s="14"/>
      <c r="C1429" s="14"/>
      <c r="D1429" s="14"/>
      <c r="E1429" s="15"/>
      <c r="F1429" s="14"/>
      <c r="G1429" s="14"/>
      <c r="H1429" s="15"/>
      <c r="I1429" s="14"/>
      <c r="J1429" s="14"/>
      <c r="K1429" s="14"/>
      <c r="L1429" s="14"/>
      <c r="M1429" s="14"/>
    </row>
    <row r="1430" ht="18.75" customHeight="1">
      <c r="A1430" s="14"/>
      <c r="B1430" s="14"/>
      <c r="C1430" s="14"/>
      <c r="D1430" s="14"/>
      <c r="E1430" s="15"/>
      <c r="F1430" s="14"/>
      <c r="G1430" s="14"/>
      <c r="H1430" s="15"/>
      <c r="I1430" s="14"/>
      <c r="J1430" s="14"/>
      <c r="K1430" s="14"/>
      <c r="L1430" s="14"/>
      <c r="M1430" s="14"/>
    </row>
    <row r="1431" ht="18.75" customHeight="1">
      <c r="A1431" s="14"/>
      <c r="B1431" s="14"/>
      <c r="C1431" s="14"/>
      <c r="D1431" s="14"/>
      <c r="E1431" s="15"/>
      <c r="F1431" s="14"/>
      <c r="G1431" s="14"/>
      <c r="H1431" s="15"/>
      <c r="I1431" s="14"/>
      <c r="J1431" s="14"/>
      <c r="K1431" s="14"/>
      <c r="L1431" s="14"/>
      <c r="M1431" s="14"/>
    </row>
    <row r="1432" ht="18.75" customHeight="1">
      <c r="A1432" s="14"/>
      <c r="B1432" s="14"/>
      <c r="C1432" s="14"/>
      <c r="D1432" s="14"/>
      <c r="E1432" s="15"/>
      <c r="F1432" s="14"/>
      <c r="G1432" s="14"/>
      <c r="H1432" s="15"/>
      <c r="I1432" s="14"/>
      <c r="J1432" s="14"/>
      <c r="K1432" s="14"/>
      <c r="L1432" s="14"/>
      <c r="M1432" s="14"/>
    </row>
    <row r="1433" ht="18.75" customHeight="1">
      <c r="A1433" s="14"/>
      <c r="B1433" s="14"/>
      <c r="C1433" s="14"/>
      <c r="D1433" s="14"/>
      <c r="E1433" s="15"/>
      <c r="F1433" s="14"/>
      <c r="G1433" s="14"/>
      <c r="H1433" s="15"/>
      <c r="I1433" s="14"/>
      <c r="J1433" s="14"/>
      <c r="K1433" s="14"/>
      <c r="L1433" s="14"/>
      <c r="M1433" s="14"/>
    </row>
    <row r="1434" ht="18.75" customHeight="1">
      <c r="A1434" s="14"/>
      <c r="B1434" s="14"/>
      <c r="C1434" s="14"/>
      <c r="D1434" s="14"/>
      <c r="E1434" s="15"/>
      <c r="F1434" s="14"/>
      <c r="G1434" s="14"/>
      <c r="H1434" s="15"/>
      <c r="I1434" s="14"/>
      <c r="J1434" s="14"/>
      <c r="K1434" s="14"/>
      <c r="L1434" s="14"/>
      <c r="M1434" s="14"/>
    </row>
    <row r="1435" ht="18.75" customHeight="1">
      <c r="A1435" s="14"/>
      <c r="B1435" s="14"/>
      <c r="C1435" s="14"/>
      <c r="D1435" s="14"/>
      <c r="E1435" s="15"/>
      <c r="F1435" s="14"/>
      <c r="G1435" s="14"/>
      <c r="H1435" s="15"/>
      <c r="I1435" s="14"/>
      <c r="J1435" s="14"/>
      <c r="K1435" s="14"/>
      <c r="L1435" s="14"/>
      <c r="M1435" s="14"/>
    </row>
    <row r="1436" ht="18.75" customHeight="1">
      <c r="A1436" s="14"/>
      <c r="B1436" s="14"/>
      <c r="C1436" s="14"/>
      <c r="D1436" s="14"/>
      <c r="E1436" s="15"/>
      <c r="F1436" s="14"/>
      <c r="G1436" s="14"/>
      <c r="H1436" s="15"/>
      <c r="I1436" s="14"/>
      <c r="J1436" s="14"/>
      <c r="K1436" s="14"/>
      <c r="L1436" s="14"/>
      <c r="M1436" s="14"/>
    </row>
    <row r="1437" ht="18.75" customHeight="1">
      <c r="A1437" s="14"/>
      <c r="B1437" s="14"/>
      <c r="C1437" s="14"/>
      <c r="D1437" s="14"/>
      <c r="E1437" s="15"/>
      <c r="F1437" s="14"/>
      <c r="G1437" s="14"/>
      <c r="H1437" s="15"/>
      <c r="I1437" s="14"/>
      <c r="J1437" s="14"/>
      <c r="K1437" s="14"/>
      <c r="L1437" s="14"/>
      <c r="M1437" s="14"/>
    </row>
    <row r="1438" ht="18.75" customHeight="1">
      <c r="A1438" s="14"/>
      <c r="B1438" s="14"/>
      <c r="C1438" s="14"/>
      <c r="D1438" s="14"/>
      <c r="E1438" s="15"/>
      <c r="F1438" s="14"/>
      <c r="G1438" s="14"/>
      <c r="H1438" s="15"/>
      <c r="I1438" s="14"/>
      <c r="J1438" s="14"/>
      <c r="K1438" s="14"/>
      <c r="L1438" s="14"/>
      <c r="M1438" s="14"/>
    </row>
    <row r="1439" ht="18.75" customHeight="1">
      <c r="A1439" s="14"/>
      <c r="B1439" s="14"/>
      <c r="C1439" s="14"/>
      <c r="D1439" s="14"/>
      <c r="E1439" s="15"/>
      <c r="F1439" s="14"/>
      <c r="G1439" s="14"/>
      <c r="H1439" s="15"/>
      <c r="I1439" s="14"/>
      <c r="J1439" s="14"/>
      <c r="K1439" s="14"/>
      <c r="L1439" s="14"/>
      <c r="M1439" s="14"/>
    </row>
    <row r="1440" ht="18.75" customHeight="1">
      <c r="A1440" s="14"/>
      <c r="B1440" s="14"/>
      <c r="C1440" s="14"/>
      <c r="D1440" s="14"/>
      <c r="E1440" s="15"/>
      <c r="F1440" s="14"/>
      <c r="G1440" s="14"/>
      <c r="H1440" s="15"/>
      <c r="I1440" s="14"/>
      <c r="J1440" s="14"/>
      <c r="K1440" s="14"/>
      <c r="L1440" s="14"/>
      <c r="M1440" s="14"/>
    </row>
    <row r="1441" ht="18.75" customHeight="1">
      <c r="A1441" s="14"/>
      <c r="B1441" s="14"/>
      <c r="C1441" s="14"/>
      <c r="D1441" s="14"/>
      <c r="E1441" s="15"/>
      <c r="F1441" s="14"/>
      <c r="G1441" s="14"/>
      <c r="H1441" s="15"/>
      <c r="I1441" s="14"/>
      <c r="J1441" s="14"/>
      <c r="K1441" s="14"/>
      <c r="L1441" s="14"/>
      <c r="M1441" s="14"/>
    </row>
    <row r="1442" ht="18.75" customHeight="1">
      <c r="A1442" s="14"/>
      <c r="B1442" s="14"/>
      <c r="C1442" s="14"/>
      <c r="D1442" s="14"/>
      <c r="E1442" s="15"/>
      <c r="F1442" s="14"/>
      <c r="G1442" s="14"/>
      <c r="H1442" s="15"/>
      <c r="I1442" s="14"/>
      <c r="J1442" s="14"/>
      <c r="K1442" s="14"/>
      <c r="L1442" s="14"/>
      <c r="M1442" s="14"/>
    </row>
    <row r="1443" ht="18.75" customHeight="1">
      <c r="A1443" s="14"/>
      <c r="B1443" s="14"/>
      <c r="C1443" s="14"/>
      <c r="D1443" s="14"/>
      <c r="E1443" s="15"/>
      <c r="F1443" s="14"/>
      <c r="G1443" s="14"/>
      <c r="H1443" s="15"/>
      <c r="I1443" s="14"/>
      <c r="J1443" s="14"/>
      <c r="K1443" s="14"/>
      <c r="L1443" s="14"/>
      <c r="M1443" s="14"/>
    </row>
    <row r="1444" ht="18.75" customHeight="1">
      <c r="A1444" s="14"/>
      <c r="B1444" s="14"/>
      <c r="C1444" s="14"/>
      <c r="D1444" s="14"/>
      <c r="E1444" s="15"/>
      <c r="F1444" s="14"/>
      <c r="G1444" s="14"/>
      <c r="H1444" s="15"/>
      <c r="I1444" s="14"/>
      <c r="J1444" s="14"/>
      <c r="K1444" s="14"/>
      <c r="L1444" s="14"/>
      <c r="M1444" s="14"/>
    </row>
    <row r="1445" ht="18.75" customHeight="1">
      <c r="A1445" s="14"/>
      <c r="B1445" s="14"/>
      <c r="C1445" s="14"/>
      <c r="D1445" s="14"/>
      <c r="E1445" s="15"/>
      <c r="F1445" s="14"/>
      <c r="G1445" s="14"/>
      <c r="H1445" s="15"/>
      <c r="I1445" s="14"/>
      <c r="J1445" s="14"/>
      <c r="K1445" s="14"/>
      <c r="L1445" s="14"/>
      <c r="M1445" s="14"/>
    </row>
    <row r="1446" ht="18.75" customHeight="1">
      <c r="A1446" s="14"/>
      <c r="B1446" s="14"/>
      <c r="C1446" s="14"/>
      <c r="D1446" s="14"/>
      <c r="E1446" s="15"/>
      <c r="F1446" s="14"/>
      <c r="G1446" s="14"/>
      <c r="H1446" s="15"/>
      <c r="I1446" s="14"/>
      <c r="J1446" s="14"/>
      <c r="K1446" s="14"/>
      <c r="L1446" s="14"/>
      <c r="M1446" s="14"/>
    </row>
    <row r="1447" ht="18.75" customHeight="1">
      <c r="A1447" s="14"/>
      <c r="B1447" s="14"/>
      <c r="C1447" s="14"/>
      <c r="D1447" s="14"/>
      <c r="E1447" s="15"/>
      <c r="F1447" s="14"/>
      <c r="G1447" s="14"/>
      <c r="H1447" s="15"/>
      <c r="I1447" s="14"/>
      <c r="J1447" s="14"/>
      <c r="K1447" s="14"/>
      <c r="L1447" s="14"/>
      <c r="M1447" s="14"/>
    </row>
    <row r="1448" ht="18.75" customHeight="1">
      <c r="A1448" s="14"/>
      <c r="B1448" s="14"/>
      <c r="C1448" s="14"/>
      <c r="D1448" s="14"/>
      <c r="E1448" s="15"/>
      <c r="F1448" s="14"/>
      <c r="G1448" s="14"/>
      <c r="H1448" s="15"/>
      <c r="I1448" s="14"/>
      <c r="J1448" s="14"/>
      <c r="K1448" s="14"/>
      <c r="L1448" s="14"/>
      <c r="M1448" s="14"/>
    </row>
    <row r="1449" ht="18.75" customHeight="1">
      <c r="A1449" s="14"/>
      <c r="B1449" s="14"/>
      <c r="C1449" s="14"/>
      <c r="D1449" s="14"/>
      <c r="E1449" s="15"/>
      <c r="F1449" s="14"/>
      <c r="G1449" s="14"/>
      <c r="H1449" s="15"/>
      <c r="I1449" s="14"/>
      <c r="J1449" s="14"/>
      <c r="K1449" s="14"/>
      <c r="L1449" s="14"/>
      <c r="M1449" s="14"/>
    </row>
    <row r="1450" ht="18.75" customHeight="1">
      <c r="A1450" s="14"/>
      <c r="B1450" s="14"/>
      <c r="C1450" s="14"/>
      <c r="D1450" s="14"/>
      <c r="E1450" s="15"/>
      <c r="F1450" s="14"/>
      <c r="G1450" s="14"/>
      <c r="H1450" s="15"/>
      <c r="I1450" s="14"/>
      <c r="J1450" s="14"/>
      <c r="K1450" s="14"/>
      <c r="L1450" s="14"/>
      <c r="M1450" s="14"/>
    </row>
    <row r="1451" ht="18.75" customHeight="1">
      <c r="A1451" s="14"/>
      <c r="B1451" s="14"/>
      <c r="C1451" s="14"/>
      <c r="D1451" s="14"/>
      <c r="E1451" s="15"/>
      <c r="F1451" s="14"/>
      <c r="G1451" s="14"/>
      <c r="H1451" s="14"/>
      <c r="I1451" s="14"/>
      <c r="J1451" s="14"/>
      <c r="K1451" s="14"/>
      <c r="L1451" s="14"/>
      <c r="M1451" s="14"/>
    </row>
    <row r="1452" ht="18.75" customHeight="1">
      <c r="A1452" s="14"/>
      <c r="B1452" s="14"/>
      <c r="C1452" s="14"/>
      <c r="D1452" s="14"/>
      <c r="E1452" s="15"/>
      <c r="F1452" s="14"/>
      <c r="G1452" s="14"/>
      <c r="H1452" s="15"/>
      <c r="I1452" s="14"/>
      <c r="J1452" s="14"/>
      <c r="K1452" s="14"/>
      <c r="L1452" s="14"/>
      <c r="M1452" s="14"/>
    </row>
    <row r="1453" ht="18.75" customHeight="1">
      <c r="A1453" s="14"/>
      <c r="B1453" s="14"/>
      <c r="C1453" s="14"/>
      <c r="D1453" s="14"/>
      <c r="E1453" s="15"/>
      <c r="F1453" s="14"/>
      <c r="G1453" s="14"/>
      <c r="H1453" s="15"/>
      <c r="I1453" s="14"/>
      <c r="J1453" s="14"/>
      <c r="K1453" s="14"/>
      <c r="L1453" s="14"/>
      <c r="M1453" s="14"/>
    </row>
    <row r="1454" ht="18.75" customHeight="1">
      <c r="A1454" s="14"/>
      <c r="B1454" s="14"/>
      <c r="C1454" s="14"/>
      <c r="D1454" s="14"/>
      <c r="E1454" s="15"/>
      <c r="F1454" s="14"/>
      <c r="G1454" s="14"/>
      <c r="H1454" s="15"/>
      <c r="I1454" s="14"/>
      <c r="J1454" s="14"/>
      <c r="K1454" s="14"/>
      <c r="L1454" s="14"/>
      <c r="M1454" s="14"/>
    </row>
    <row r="1455" ht="18.75" customHeight="1">
      <c r="A1455" s="14"/>
      <c r="B1455" s="14"/>
      <c r="C1455" s="14"/>
      <c r="D1455" s="14"/>
      <c r="E1455" s="15"/>
      <c r="F1455" s="14"/>
      <c r="G1455" s="14"/>
      <c r="H1455" s="15"/>
      <c r="I1455" s="14"/>
      <c r="J1455" s="14"/>
      <c r="K1455" s="14"/>
      <c r="L1455" s="14"/>
      <c r="M1455" s="14"/>
    </row>
    <row r="1456" ht="18.75" customHeight="1">
      <c r="A1456" s="14"/>
      <c r="B1456" s="14"/>
      <c r="C1456" s="14"/>
      <c r="D1456" s="14"/>
      <c r="E1456" s="15"/>
      <c r="F1456" s="14"/>
      <c r="G1456" s="14"/>
      <c r="H1456" s="15"/>
      <c r="I1456" s="14"/>
      <c r="J1456" s="14"/>
      <c r="K1456" s="14"/>
      <c r="L1456" s="14"/>
      <c r="M1456" s="14"/>
    </row>
    <row r="1457" ht="18.75" customHeight="1">
      <c r="A1457" s="14"/>
      <c r="B1457" s="14"/>
      <c r="C1457" s="14"/>
      <c r="D1457" s="14"/>
      <c r="E1457" s="15"/>
      <c r="F1457" s="14"/>
      <c r="G1457" s="14"/>
      <c r="H1457" s="15"/>
      <c r="I1457" s="14"/>
      <c r="J1457" s="14"/>
      <c r="K1457" s="14"/>
      <c r="L1457" s="14"/>
      <c r="M1457" s="14"/>
    </row>
    <row r="1458" ht="18.75" customHeight="1">
      <c r="A1458" s="14"/>
      <c r="B1458" s="14"/>
      <c r="C1458" s="14"/>
      <c r="D1458" s="14"/>
      <c r="E1458" s="15"/>
      <c r="F1458" s="14"/>
      <c r="G1458" s="14"/>
      <c r="H1458" s="15"/>
      <c r="I1458" s="14"/>
      <c r="J1458" s="14"/>
      <c r="K1458" s="14"/>
      <c r="L1458" s="14"/>
      <c r="M1458" s="14"/>
    </row>
    <row r="1459" ht="18.75" customHeight="1">
      <c r="A1459" s="14"/>
      <c r="B1459" s="14"/>
      <c r="C1459" s="14"/>
      <c r="D1459" s="14"/>
      <c r="E1459" s="15"/>
      <c r="F1459" s="14"/>
      <c r="G1459" s="14"/>
      <c r="H1459" s="15"/>
      <c r="I1459" s="14"/>
      <c r="J1459" s="14"/>
      <c r="K1459" s="14"/>
      <c r="L1459" s="14"/>
      <c r="M1459" s="14"/>
    </row>
    <row r="1460" ht="18.75" customHeight="1">
      <c r="A1460" s="14"/>
      <c r="B1460" s="14"/>
      <c r="C1460" s="14"/>
      <c r="D1460" s="14"/>
      <c r="E1460" s="15"/>
      <c r="F1460" s="14"/>
      <c r="G1460" s="14"/>
      <c r="H1460" s="15"/>
      <c r="I1460" s="14"/>
      <c r="J1460" s="14"/>
      <c r="K1460" s="14"/>
      <c r="L1460" s="14"/>
      <c r="M1460" s="14"/>
    </row>
    <row r="1461" ht="18.75" customHeight="1">
      <c r="A1461" s="14"/>
      <c r="B1461" s="14"/>
      <c r="C1461" s="14"/>
      <c r="D1461" s="14"/>
      <c r="E1461" s="15"/>
      <c r="F1461" s="14"/>
      <c r="G1461" s="14"/>
      <c r="H1461" s="15"/>
      <c r="I1461" s="14"/>
      <c r="J1461" s="14"/>
      <c r="K1461" s="14"/>
      <c r="L1461" s="14"/>
      <c r="M1461" s="14"/>
    </row>
    <row r="1462" ht="18.75" customHeight="1">
      <c r="A1462" s="14"/>
      <c r="B1462" s="14"/>
      <c r="C1462" s="14"/>
      <c r="D1462" s="14"/>
      <c r="E1462" s="15"/>
      <c r="F1462" s="14"/>
      <c r="G1462" s="14"/>
      <c r="H1462" s="15"/>
      <c r="I1462" s="14"/>
      <c r="J1462" s="14"/>
      <c r="K1462" s="14"/>
      <c r="L1462" s="14"/>
      <c r="M1462" s="14"/>
    </row>
    <row r="1463" ht="18.75" customHeight="1">
      <c r="A1463" s="14"/>
      <c r="B1463" s="14"/>
      <c r="C1463" s="14"/>
      <c r="D1463" s="14"/>
      <c r="E1463" s="15"/>
      <c r="F1463" s="14"/>
      <c r="G1463" s="14"/>
      <c r="H1463" s="15"/>
      <c r="I1463" s="14"/>
      <c r="J1463" s="14"/>
      <c r="K1463" s="14"/>
      <c r="L1463" s="14"/>
      <c r="M1463" s="14"/>
    </row>
    <row r="1464" ht="18.75" customHeight="1">
      <c r="A1464" s="14"/>
      <c r="B1464" s="14"/>
      <c r="C1464" s="14"/>
      <c r="D1464" s="14"/>
      <c r="E1464" s="15"/>
      <c r="F1464" s="14"/>
      <c r="G1464" s="14"/>
      <c r="H1464" s="15"/>
      <c r="I1464" s="14"/>
      <c r="J1464" s="14"/>
      <c r="K1464" s="14"/>
      <c r="L1464" s="14"/>
      <c r="M1464" s="14"/>
    </row>
    <row r="1465" ht="18.75" customHeight="1">
      <c r="A1465" s="14"/>
      <c r="B1465" s="14"/>
      <c r="C1465" s="14"/>
      <c r="D1465" s="14"/>
      <c r="E1465" s="15"/>
      <c r="F1465" s="14"/>
      <c r="G1465" s="14"/>
      <c r="H1465" s="15"/>
      <c r="I1465" s="14"/>
      <c r="J1465" s="14"/>
      <c r="K1465" s="14"/>
      <c r="L1465" s="14"/>
      <c r="M1465" s="14"/>
    </row>
    <row r="1466" ht="18.75" customHeight="1">
      <c r="A1466" s="14"/>
      <c r="B1466" s="14"/>
      <c r="C1466" s="14"/>
      <c r="D1466" s="14"/>
      <c r="E1466" s="15"/>
      <c r="F1466" s="14"/>
      <c r="G1466" s="14"/>
      <c r="H1466" s="15"/>
      <c r="I1466" s="14"/>
      <c r="J1466" s="14"/>
      <c r="K1466" s="14"/>
      <c r="L1466" s="14"/>
      <c r="M1466" s="14"/>
    </row>
    <row r="1467" ht="18.75" customHeight="1">
      <c r="A1467" s="14"/>
      <c r="B1467" s="14"/>
      <c r="C1467" s="14"/>
      <c r="D1467" s="14"/>
      <c r="E1467" s="15"/>
      <c r="F1467" s="14"/>
      <c r="G1467" s="14"/>
      <c r="H1467" s="15"/>
      <c r="I1467" s="14"/>
      <c r="J1467" s="14"/>
      <c r="K1467" s="14"/>
      <c r="L1467" s="14"/>
      <c r="M1467" s="14"/>
    </row>
    <row r="1468" ht="18.75" customHeight="1">
      <c r="A1468" s="14"/>
      <c r="B1468" s="14"/>
      <c r="C1468" s="14"/>
      <c r="D1468" s="14"/>
      <c r="E1468" s="15"/>
      <c r="F1468" s="14"/>
      <c r="G1468" s="14"/>
      <c r="H1468" s="15"/>
      <c r="I1468" s="14"/>
      <c r="J1468" s="14"/>
      <c r="K1468" s="14"/>
      <c r="L1468" s="14"/>
      <c r="M1468" s="14"/>
    </row>
    <row r="1469" ht="18.75" customHeight="1">
      <c r="A1469" s="14"/>
      <c r="B1469" s="14"/>
      <c r="C1469" s="14"/>
      <c r="D1469" s="14"/>
      <c r="E1469" s="15"/>
      <c r="F1469" s="14"/>
      <c r="G1469" s="14"/>
      <c r="H1469" s="15"/>
      <c r="I1469" s="14"/>
      <c r="J1469" s="14"/>
      <c r="K1469" s="14"/>
      <c r="L1469" s="14"/>
      <c r="M1469" s="14"/>
    </row>
    <row r="1470" ht="18.75" customHeight="1">
      <c r="A1470" s="14"/>
      <c r="B1470" s="14"/>
      <c r="C1470" s="14"/>
      <c r="D1470" s="14"/>
      <c r="E1470" s="15"/>
      <c r="F1470" s="14"/>
      <c r="G1470" s="14"/>
      <c r="H1470" s="15"/>
      <c r="I1470" s="14"/>
      <c r="J1470" s="14"/>
      <c r="K1470" s="14"/>
      <c r="L1470" s="14"/>
      <c r="M1470" s="14"/>
    </row>
    <row r="1471" ht="18.75" customHeight="1">
      <c r="A1471" s="14"/>
      <c r="B1471" s="14"/>
      <c r="C1471" s="14"/>
      <c r="D1471" s="14"/>
      <c r="E1471" s="15"/>
      <c r="F1471" s="14"/>
      <c r="G1471" s="14"/>
      <c r="H1471" s="15"/>
      <c r="I1471" s="14"/>
      <c r="J1471" s="14"/>
      <c r="K1471" s="14"/>
      <c r="L1471" s="14"/>
      <c r="M1471" s="14"/>
    </row>
    <row r="1472" ht="18.75" customHeight="1">
      <c r="A1472" s="14"/>
      <c r="B1472" s="14"/>
      <c r="C1472" s="14"/>
      <c r="D1472" s="14"/>
      <c r="E1472" s="15"/>
      <c r="F1472" s="14"/>
      <c r="G1472" s="14"/>
      <c r="H1472" s="15"/>
      <c r="I1472" s="14"/>
      <c r="J1472" s="14"/>
      <c r="K1472" s="14"/>
      <c r="L1472" s="14"/>
      <c r="M1472" s="14"/>
    </row>
    <row r="1473" ht="18.75" customHeight="1">
      <c r="A1473" s="14"/>
      <c r="B1473" s="14"/>
      <c r="C1473" s="14"/>
      <c r="D1473" s="14"/>
      <c r="E1473" s="15"/>
      <c r="F1473" s="14"/>
      <c r="G1473" s="14"/>
      <c r="H1473" s="15"/>
      <c r="I1473" s="14"/>
      <c r="J1473" s="14"/>
      <c r="K1473" s="14"/>
      <c r="L1473" s="14"/>
      <c r="M1473" s="14"/>
    </row>
    <row r="1474" ht="18.75" customHeight="1">
      <c r="A1474" s="14"/>
      <c r="B1474" s="14"/>
      <c r="C1474" s="14"/>
      <c r="D1474" s="14"/>
      <c r="E1474" s="15"/>
      <c r="F1474" s="14"/>
      <c r="G1474" s="14"/>
      <c r="H1474" s="15"/>
      <c r="I1474" s="14"/>
      <c r="J1474" s="14"/>
      <c r="K1474" s="14"/>
      <c r="L1474" s="14"/>
      <c r="M1474" s="14"/>
    </row>
    <row r="1475" ht="18.75" customHeight="1">
      <c r="A1475" s="14"/>
      <c r="B1475" s="14"/>
      <c r="C1475" s="14"/>
      <c r="D1475" s="14"/>
      <c r="E1475" s="15"/>
      <c r="F1475" s="14"/>
      <c r="G1475" s="14"/>
      <c r="H1475" s="15"/>
      <c r="I1475" s="14"/>
      <c r="J1475" s="14"/>
      <c r="K1475" s="14"/>
      <c r="L1475" s="14"/>
      <c r="M1475" s="14"/>
    </row>
    <row r="1476" ht="18.75" customHeight="1">
      <c r="A1476" s="14"/>
      <c r="B1476" s="14"/>
      <c r="C1476" s="14"/>
      <c r="D1476" s="14"/>
      <c r="E1476" s="15"/>
      <c r="F1476" s="14"/>
      <c r="G1476" s="14"/>
      <c r="H1476" s="15"/>
      <c r="I1476" s="14"/>
      <c r="J1476" s="14"/>
      <c r="K1476" s="14"/>
      <c r="L1476" s="14"/>
      <c r="M1476" s="14"/>
    </row>
    <row r="1477" ht="18.75" customHeight="1">
      <c r="A1477" s="14"/>
      <c r="B1477" s="14"/>
      <c r="C1477" s="14"/>
      <c r="D1477" s="14"/>
      <c r="E1477" s="15"/>
      <c r="F1477" s="14"/>
      <c r="G1477" s="14"/>
      <c r="H1477" s="15"/>
      <c r="I1477" s="14"/>
      <c r="J1477" s="14"/>
      <c r="K1477" s="14"/>
      <c r="L1477" s="14"/>
      <c r="M1477" s="14"/>
    </row>
    <row r="1478" ht="18.75" customHeight="1">
      <c r="A1478" s="14"/>
      <c r="B1478" s="14"/>
      <c r="C1478" s="14"/>
      <c r="D1478" s="14"/>
      <c r="E1478" s="15"/>
      <c r="F1478" s="14"/>
      <c r="G1478" s="14"/>
      <c r="H1478" s="15"/>
      <c r="I1478" s="14"/>
      <c r="J1478" s="14"/>
      <c r="K1478" s="14"/>
      <c r="L1478" s="14"/>
      <c r="M1478" s="14"/>
    </row>
    <row r="1479" ht="18.75" customHeight="1">
      <c r="A1479" s="14"/>
      <c r="B1479" s="14"/>
      <c r="C1479" s="14"/>
      <c r="D1479" s="14"/>
      <c r="E1479" s="15"/>
      <c r="F1479" s="14"/>
      <c r="G1479" s="14"/>
      <c r="H1479" s="15"/>
      <c r="I1479" s="14"/>
      <c r="J1479" s="14"/>
      <c r="K1479" s="14"/>
      <c r="L1479" s="14"/>
      <c r="M1479" s="14"/>
    </row>
    <row r="1480" ht="18.75" customHeight="1">
      <c r="A1480" s="14"/>
      <c r="B1480" s="14"/>
      <c r="C1480" s="14"/>
      <c r="D1480" s="14"/>
      <c r="E1480" s="15"/>
      <c r="F1480" s="14"/>
      <c r="G1480" s="14"/>
      <c r="H1480" s="15"/>
      <c r="I1480" s="14"/>
      <c r="J1480" s="14"/>
      <c r="K1480" s="14"/>
      <c r="L1480" s="14"/>
      <c r="M1480" s="14"/>
    </row>
    <row r="1481" ht="18.75" customHeight="1">
      <c r="A1481" s="14"/>
      <c r="B1481" s="14"/>
      <c r="C1481" s="14"/>
      <c r="D1481" s="14"/>
      <c r="E1481" s="15"/>
      <c r="F1481" s="14"/>
      <c r="G1481" s="14"/>
      <c r="H1481" s="15"/>
      <c r="I1481" s="14"/>
      <c r="J1481" s="14"/>
      <c r="K1481" s="14"/>
      <c r="L1481" s="14"/>
      <c r="M1481" s="14"/>
    </row>
    <row r="1482" ht="18.75" customHeight="1">
      <c r="A1482" s="14"/>
      <c r="B1482" s="14"/>
      <c r="C1482" s="14"/>
      <c r="D1482" s="14"/>
      <c r="E1482" s="15"/>
      <c r="F1482" s="14"/>
      <c r="G1482" s="14"/>
      <c r="H1482" s="15"/>
      <c r="I1482" s="14"/>
      <c r="J1482" s="14"/>
      <c r="K1482" s="14"/>
      <c r="L1482" s="14"/>
      <c r="M1482" s="14"/>
    </row>
    <row r="1483" ht="18.75" customHeight="1">
      <c r="A1483" s="14"/>
      <c r="B1483" s="14"/>
      <c r="C1483" s="14"/>
      <c r="D1483" s="14"/>
      <c r="E1483" s="15"/>
      <c r="F1483" s="14"/>
      <c r="G1483" s="14"/>
      <c r="H1483" s="15"/>
      <c r="I1483" s="14"/>
      <c r="J1483" s="14"/>
      <c r="K1483" s="14"/>
      <c r="L1483" s="14"/>
      <c r="M1483" s="14"/>
    </row>
    <row r="1484" ht="18.75" customHeight="1">
      <c r="A1484" s="14"/>
      <c r="B1484" s="14"/>
      <c r="C1484" s="14"/>
      <c r="D1484" s="14"/>
      <c r="E1484" s="15"/>
      <c r="F1484" s="14"/>
      <c r="G1484" s="14"/>
      <c r="H1484" s="15"/>
      <c r="I1484" s="14"/>
      <c r="J1484" s="14"/>
      <c r="K1484" s="14"/>
      <c r="L1484" s="14"/>
      <c r="M1484" s="14"/>
    </row>
    <row r="1485" ht="18.75" customHeight="1">
      <c r="A1485" s="14"/>
      <c r="B1485" s="14"/>
      <c r="C1485" s="14"/>
      <c r="D1485" s="14"/>
      <c r="E1485" s="15"/>
      <c r="F1485" s="14"/>
      <c r="G1485" s="14"/>
      <c r="H1485" s="15"/>
      <c r="I1485" s="14"/>
      <c r="J1485" s="14"/>
      <c r="K1485" s="14"/>
      <c r="L1485" s="14"/>
      <c r="M1485" s="14"/>
    </row>
    <row r="1486" ht="18.75" customHeight="1">
      <c r="A1486" s="14"/>
      <c r="B1486" s="14"/>
      <c r="C1486" s="14"/>
      <c r="D1486" s="14"/>
      <c r="E1486" s="15"/>
      <c r="F1486" s="14"/>
      <c r="G1486" s="14"/>
      <c r="H1486" s="15"/>
      <c r="I1486" s="14"/>
      <c r="J1486" s="14"/>
      <c r="K1486" s="14"/>
      <c r="L1486" s="14"/>
      <c r="M1486" s="14"/>
    </row>
    <row r="1487" ht="18.75" customHeight="1">
      <c r="A1487" s="14"/>
      <c r="B1487" s="14"/>
      <c r="C1487" s="14"/>
      <c r="D1487" s="14"/>
      <c r="E1487" s="15"/>
      <c r="F1487" s="14"/>
      <c r="G1487" s="14"/>
      <c r="H1487" s="15"/>
      <c r="I1487" s="14"/>
      <c r="J1487" s="14"/>
      <c r="K1487" s="14"/>
      <c r="L1487" s="14"/>
      <c r="M1487" s="14"/>
    </row>
    <row r="1488" ht="18.75" customHeight="1">
      <c r="A1488" s="14"/>
      <c r="B1488" s="14"/>
      <c r="C1488" s="14"/>
      <c r="D1488" s="14"/>
      <c r="E1488" s="15"/>
      <c r="F1488" s="14"/>
      <c r="G1488" s="14"/>
      <c r="H1488" s="15"/>
      <c r="I1488" s="14"/>
      <c r="J1488" s="14"/>
      <c r="K1488" s="14"/>
      <c r="L1488" s="14"/>
      <c r="M1488" s="14"/>
    </row>
    <row r="1489" ht="18.75" customHeight="1">
      <c r="A1489" s="14"/>
      <c r="B1489" s="14"/>
      <c r="C1489" s="14"/>
      <c r="D1489" s="14"/>
      <c r="E1489" s="15"/>
      <c r="F1489" s="14"/>
      <c r="G1489" s="14"/>
      <c r="H1489" s="15"/>
      <c r="I1489" s="14"/>
      <c r="J1489" s="14"/>
      <c r="K1489" s="14"/>
      <c r="L1489" s="14"/>
      <c r="M1489" s="14"/>
    </row>
    <row r="1490" ht="18.75" customHeight="1">
      <c r="A1490" s="14"/>
      <c r="B1490" s="14"/>
      <c r="C1490" s="14"/>
      <c r="D1490" s="14"/>
      <c r="E1490" s="15"/>
      <c r="F1490" s="14"/>
      <c r="G1490" s="14"/>
      <c r="H1490" s="15"/>
      <c r="I1490" s="14"/>
      <c r="J1490" s="14"/>
      <c r="K1490" s="14"/>
      <c r="L1490" s="14"/>
      <c r="M1490" s="14"/>
    </row>
    <row r="1491" ht="18.75" customHeight="1">
      <c r="A1491" s="14"/>
      <c r="B1491" s="14"/>
      <c r="C1491" s="14"/>
      <c r="D1491" s="14"/>
      <c r="E1491" s="15"/>
      <c r="F1491" s="14"/>
      <c r="G1491" s="14"/>
      <c r="H1491" s="15"/>
      <c r="I1491" s="14"/>
      <c r="J1491" s="14"/>
      <c r="K1491" s="14"/>
      <c r="L1491" s="14"/>
      <c r="M1491" s="14"/>
    </row>
    <row r="1492" ht="18.75" customHeight="1">
      <c r="A1492" s="14"/>
      <c r="B1492" s="14"/>
      <c r="C1492" s="14"/>
      <c r="D1492" s="14"/>
      <c r="E1492" s="15"/>
      <c r="F1492" s="14"/>
      <c r="G1492" s="14"/>
      <c r="H1492" s="15"/>
      <c r="I1492" s="14"/>
      <c r="J1492" s="14"/>
      <c r="K1492" s="14"/>
      <c r="L1492" s="14"/>
      <c r="M1492" s="14"/>
    </row>
    <row r="1493" ht="18.75" customHeight="1">
      <c r="A1493" s="14"/>
      <c r="B1493" s="14"/>
      <c r="C1493" s="14"/>
      <c r="D1493" s="14"/>
      <c r="E1493" s="15"/>
      <c r="F1493" s="14"/>
      <c r="G1493" s="14"/>
      <c r="H1493" s="15"/>
      <c r="I1493" s="14"/>
      <c r="J1493" s="14"/>
      <c r="K1493" s="14"/>
      <c r="L1493" s="14"/>
      <c r="M1493" s="14"/>
    </row>
    <row r="1494" ht="18.75" customHeight="1">
      <c r="A1494" s="14"/>
      <c r="B1494" s="14"/>
      <c r="C1494" s="14"/>
      <c r="D1494" s="14"/>
      <c r="E1494" s="15"/>
      <c r="F1494" s="14"/>
      <c r="G1494" s="14"/>
      <c r="H1494" s="15"/>
      <c r="I1494" s="14"/>
      <c r="J1494" s="14"/>
      <c r="K1494" s="14"/>
      <c r="L1494" s="14"/>
      <c r="M1494" s="14"/>
    </row>
    <row r="1495" ht="18.75" customHeight="1">
      <c r="A1495" s="14"/>
      <c r="B1495" s="14"/>
      <c r="C1495" s="14"/>
      <c r="D1495" s="14"/>
      <c r="E1495" s="15"/>
      <c r="F1495" s="14"/>
      <c r="G1495" s="14"/>
      <c r="H1495" s="15"/>
      <c r="I1495" s="14"/>
      <c r="J1495" s="14"/>
      <c r="K1495" s="14"/>
      <c r="L1495" s="14"/>
      <c r="M1495" s="14"/>
    </row>
    <row r="1496" ht="18.75" customHeight="1">
      <c r="A1496" s="14"/>
      <c r="B1496" s="14"/>
      <c r="C1496" s="14"/>
      <c r="D1496" s="14"/>
      <c r="E1496" s="15"/>
      <c r="F1496" s="14"/>
      <c r="G1496" s="14"/>
      <c r="H1496" s="15"/>
      <c r="I1496" s="14"/>
      <c r="J1496" s="14"/>
      <c r="K1496" s="14"/>
      <c r="L1496" s="14"/>
      <c r="M1496" s="14"/>
    </row>
    <row r="1497" ht="18.75" customHeight="1">
      <c r="A1497" s="14"/>
      <c r="B1497" s="14"/>
      <c r="C1497" s="14"/>
      <c r="D1497" s="14"/>
      <c r="E1497" s="15"/>
      <c r="F1497" s="14"/>
      <c r="G1497" s="14"/>
      <c r="H1497" s="15"/>
      <c r="I1497" s="14"/>
      <c r="J1497" s="14"/>
      <c r="K1497" s="14"/>
      <c r="L1497" s="14"/>
      <c r="M1497" s="14"/>
    </row>
    <row r="1498" ht="18.75" customHeight="1">
      <c r="A1498" s="14"/>
      <c r="B1498" s="14"/>
      <c r="C1498" s="14"/>
      <c r="D1498" s="14"/>
      <c r="E1498" s="15"/>
      <c r="F1498" s="14"/>
      <c r="G1498" s="14"/>
      <c r="H1498" s="15"/>
      <c r="I1498" s="14"/>
      <c r="J1498" s="14"/>
      <c r="K1498" s="14"/>
      <c r="L1498" s="14"/>
      <c r="M1498" s="14"/>
    </row>
    <row r="1499" ht="18.75" customHeight="1">
      <c r="A1499" s="14"/>
      <c r="B1499" s="14"/>
      <c r="C1499" s="14"/>
      <c r="D1499" s="14"/>
      <c r="E1499" s="15"/>
      <c r="F1499" s="14"/>
      <c r="G1499" s="14"/>
      <c r="H1499" s="15"/>
      <c r="I1499" s="14"/>
      <c r="J1499" s="14"/>
      <c r="K1499" s="14"/>
      <c r="L1499" s="14"/>
      <c r="M1499" s="14"/>
    </row>
    <row r="1500" ht="18.75" customHeight="1">
      <c r="A1500" s="14"/>
      <c r="B1500" s="14"/>
      <c r="C1500" s="14"/>
      <c r="D1500" s="14"/>
      <c r="E1500" s="15"/>
      <c r="F1500" s="14"/>
      <c r="G1500" s="14"/>
      <c r="H1500" s="15"/>
      <c r="I1500" s="14"/>
      <c r="J1500" s="14"/>
      <c r="K1500" s="14"/>
      <c r="L1500" s="14"/>
      <c r="M1500" s="14"/>
    </row>
    <row r="1501" ht="18.75" customHeight="1">
      <c r="A1501" s="14"/>
      <c r="B1501" s="14"/>
      <c r="C1501" s="14"/>
      <c r="D1501" s="14"/>
      <c r="E1501" s="15"/>
      <c r="F1501" s="14"/>
      <c r="G1501" s="14"/>
      <c r="H1501" s="15"/>
      <c r="I1501" s="14"/>
      <c r="J1501" s="14"/>
      <c r="K1501" s="14"/>
      <c r="L1501" s="14"/>
      <c r="M1501" s="14"/>
    </row>
    <row r="1502" ht="18.75" customHeight="1">
      <c r="A1502" s="14"/>
      <c r="B1502" s="14"/>
      <c r="C1502" s="14"/>
      <c r="D1502" s="14"/>
      <c r="E1502" s="15"/>
      <c r="F1502" s="14"/>
      <c r="G1502" s="14"/>
      <c r="H1502" s="15"/>
      <c r="I1502" s="14"/>
      <c r="J1502" s="14"/>
      <c r="K1502" s="14"/>
      <c r="L1502" s="14"/>
      <c r="M1502" s="14"/>
    </row>
    <row r="1503" ht="18.75" customHeight="1">
      <c r="A1503" s="14"/>
      <c r="B1503" s="14"/>
      <c r="C1503" s="14"/>
      <c r="D1503" s="14"/>
      <c r="E1503" s="15"/>
      <c r="F1503" s="14"/>
      <c r="G1503" s="14"/>
      <c r="H1503" s="15"/>
      <c r="I1503" s="14"/>
      <c r="J1503" s="14"/>
      <c r="K1503" s="14"/>
      <c r="L1503" s="14"/>
      <c r="M1503" s="14"/>
    </row>
    <row r="1504" ht="18.75" customHeight="1">
      <c r="A1504" s="14"/>
      <c r="B1504" s="14"/>
      <c r="C1504" s="14"/>
      <c r="D1504" s="14"/>
      <c r="E1504" s="15"/>
      <c r="F1504" s="14"/>
      <c r="G1504" s="14"/>
      <c r="H1504" s="15"/>
      <c r="I1504" s="14"/>
      <c r="J1504" s="14"/>
      <c r="K1504" s="14"/>
      <c r="L1504" s="14"/>
      <c r="M1504" s="14"/>
    </row>
    <row r="1505" ht="18.75" customHeight="1">
      <c r="A1505" s="14"/>
      <c r="B1505" s="14"/>
      <c r="C1505" s="14"/>
      <c r="D1505" s="14"/>
      <c r="E1505" s="15"/>
      <c r="F1505" s="14"/>
      <c r="G1505" s="14"/>
      <c r="H1505" s="15"/>
      <c r="I1505" s="14"/>
      <c r="J1505" s="14"/>
      <c r="K1505" s="14"/>
      <c r="L1505" s="14"/>
      <c r="M1505" s="14"/>
    </row>
    <row r="1506" ht="18.75" customHeight="1">
      <c r="A1506" s="14"/>
      <c r="B1506" s="14"/>
      <c r="C1506" s="14"/>
      <c r="D1506" s="14"/>
      <c r="E1506" s="15"/>
      <c r="F1506" s="14"/>
      <c r="G1506" s="14"/>
      <c r="H1506" s="15"/>
      <c r="I1506" s="14"/>
      <c r="J1506" s="14"/>
      <c r="K1506" s="14"/>
      <c r="L1506" s="14"/>
      <c r="M1506" s="14"/>
    </row>
    <row r="1507" ht="18.75" customHeight="1">
      <c r="A1507" s="14"/>
      <c r="B1507" s="14"/>
      <c r="C1507" s="14"/>
      <c r="D1507" s="14"/>
      <c r="E1507" s="15"/>
      <c r="F1507" s="14"/>
      <c r="G1507" s="14"/>
      <c r="H1507" s="15"/>
      <c r="I1507" s="14"/>
      <c r="J1507" s="14"/>
      <c r="K1507" s="14"/>
      <c r="L1507" s="14"/>
      <c r="M1507" s="14"/>
    </row>
    <row r="1508" ht="18.75" customHeight="1">
      <c r="A1508" s="14"/>
      <c r="B1508" s="14"/>
      <c r="C1508" s="14"/>
      <c r="D1508" s="14"/>
      <c r="E1508" s="15"/>
      <c r="F1508" s="14"/>
      <c r="G1508" s="14"/>
      <c r="H1508" s="15"/>
      <c r="I1508" s="14"/>
      <c r="J1508" s="14"/>
      <c r="K1508" s="14"/>
      <c r="L1508" s="14"/>
      <c r="M1508" s="14"/>
    </row>
    <row r="1509" ht="18.75" customHeight="1">
      <c r="A1509" s="14"/>
      <c r="B1509" s="14"/>
      <c r="C1509" s="14"/>
      <c r="D1509" s="14"/>
      <c r="E1509" s="15"/>
      <c r="F1509" s="14"/>
      <c r="G1509" s="14"/>
      <c r="H1509" s="15"/>
      <c r="I1509" s="14"/>
      <c r="J1509" s="14"/>
      <c r="K1509" s="14"/>
      <c r="L1509" s="14"/>
      <c r="M1509" s="14"/>
    </row>
    <row r="1510" ht="18.75" customHeight="1">
      <c r="A1510" s="14"/>
      <c r="B1510" s="14"/>
      <c r="C1510" s="14"/>
      <c r="D1510" s="14"/>
      <c r="E1510" s="15"/>
      <c r="F1510" s="14"/>
      <c r="G1510" s="14"/>
      <c r="H1510" s="15"/>
      <c r="I1510" s="14"/>
      <c r="J1510" s="14"/>
      <c r="K1510" s="14"/>
      <c r="L1510" s="14"/>
      <c r="M1510" s="14"/>
    </row>
    <row r="1511" ht="18.75" customHeight="1">
      <c r="A1511" s="14"/>
      <c r="B1511" s="14"/>
      <c r="C1511" s="14"/>
      <c r="D1511" s="14"/>
      <c r="E1511" s="15"/>
      <c r="F1511" s="14"/>
      <c r="G1511" s="14"/>
      <c r="H1511" s="15"/>
      <c r="I1511" s="14"/>
      <c r="J1511" s="14"/>
      <c r="K1511" s="14"/>
      <c r="L1511" s="14"/>
      <c r="M1511" s="14"/>
    </row>
    <row r="1512" ht="18.75" customHeight="1">
      <c r="A1512" s="14"/>
      <c r="B1512" s="14"/>
      <c r="C1512" s="14"/>
      <c r="D1512" s="14"/>
      <c r="E1512" s="15"/>
      <c r="F1512" s="14"/>
      <c r="G1512" s="14"/>
      <c r="H1512" s="15"/>
      <c r="I1512" s="14"/>
      <c r="J1512" s="14"/>
      <c r="K1512" s="14"/>
      <c r="L1512" s="14"/>
      <c r="M1512" s="14"/>
    </row>
    <row r="1513" ht="18.75" customHeight="1">
      <c r="A1513" s="14"/>
      <c r="B1513" s="14"/>
      <c r="C1513" s="14"/>
      <c r="D1513" s="14"/>
      <c r="E1513" s="15"/>
      <c r="F1513" s="14"/>
      <c r="G1513" s="14"/>
      <c r="H1513" s="15"/>
      <c r="I1513" s="14"/>
      <c r="J1513" s="14"/>
      <c r="K1513" s="14"/>
      <c r="L1513" s="14"/>
      <c r="M1513" s="14"/>
    </row>
    <row r="1514" ht="18.75" customHeight="1">
      <c r="A1514" s="14"/>
      <c r="B1514" s="14"/>
      <c r="C1514" s="14"/>
      <c r="D1514" s="14"/>
      <c r="E1514" s="15"/>
      <c r="F1514" s="14"/>
      <c r="G1514" s="14"/>
      <c r="H1514" s="15"/>
      <c r="I1514" s="14"/>
      <c r="J1514" s="14"/>
      <c r="K1514" s="14"/>
      <c r="L1514" s="14"/>
      <c r="M1514" s="14"/>
    </row>
    <row r="1515" ht="18.75" customHeight="1">
      <c r="A1515" s="14"/>
      <c r="B1515" s="14"/>
      <c r="C1515" s="14"/>
      <c r="D1515" s="14"/>
      <c r="E1515" s="15"/>
      <c r="F1515" s="14"/>
      <c r="G1515" s="14"/>
      <c r="H1515" s="15"/>
      <c r="I1515" s="14"/>
      <c r="J1515" s="14"/>
      <c r="K1515" s="14"/>
      <c r="L1515" s="14"/>
      <c r="M1515" s="14"/>
    </row>
    <row r="1516" ht="18.75" customHeight="1">
      <c r="A1516" s="14"/>
      <c r="B1516" s="14"/>
      <c r="C1516" s="14"/>
      <c r="D1516" s="14"/>
      <c r="E1516" s="15"/>
      <c r="F1516" s="14"/>
      <c r="G1516" s="14"/>
      <c r="H1516" s="15"/>
      <c r="I1516" s="14"/>
      <c r="J1516" s="14"/>
      <c r="K1516" s="14"/>
      <c r="L1516" s="14"/>
      <c r="M1516" s="14"/>
    </row>
    <row r="1517" ht="18.75" customHeight="1">
      <c r="A1517" s="14"/>
      <c r="B1517" s="14"/>
      <c r="C1517" s="14"/>
      <c r="D1517" s="14"/>
      <c r="E1517" s="15"/>
      <c r="F1517" s="14"/>
      <c r="G1517" s="14"/>
      <c r="H1517" s="15"/>
      <c r="I1517" s="14"/>
      <c r="J1517" s="14"/>
      <c r="K1517" s="14"/>
      <c r="L1517" s="14"/>
      <c r="M1517" s="14"/>
    </row>
    <row r="1518" ht="18.75" customHeight="1">
      <c r="A1518" s="14"/>
      <c r="B1518" s="14"/>
      <c r="C1518" s="14"/>
      <c r="D1518" s="14"/>
      <c r="E1518" s="15"/>
      <c r="F1518" s="14"/>
      <c r="G1518" s="14"/>
      <c r="H1518" s="15"/>
      <c r="I1518" s="14"/>
      <c r="J1518" s="14"/>
      <c r="K1518" s="14"/>
      <c r="L1518" s="14"/>
      <c r="M1518" s="14"/>
    </row>
    <row r="1519" ht="18.75" customHeight="1">
      <c r="A1519" s="14"/>
      <c r="B1519" s="14"/>
      <c r="C1519" s="14"/>
      <c r="D1519" s="14"/>
      <c r="E1519" s="15"/>
      <c r="F1519" s="14"/>
      <c r="G1519" s="14"/>
      <c r="H1519" s="15"/>
      <c r="I1519" s="14"/>
      <c r="J1519" s="14"/>
      <c r="K1519" s="14"/>
      <c r="L1519" s="14"/>
      <c r="M1519" s="14"/>
    </row>
    <row r="1520" ht="18.75" customHeight="1">
      <c r="A1520" s="14"/>
      <c r="B1520" s="14"/>
      <c r="C1520" s="14"/>
      <c r="D1520" s="14"/>
      <c r="E1520" s="15"/>
      <c r="F1520" s="14"/>
      <c r="G1520" s="14"/>
      <c r="H1520" s="15"/>
      <c r="I1520" s="14"/>
      <c r="J1520" s="14"/>
      <c r="K1520" s="14"/>
      <c r="L1520" s="14"/>
      <c r="M1520" s="14"/>
    </row>
    <row r="1521" ht="18.75" customHeight="1">
      <c r="A1521" s="14"/>
      <c r="B1521" s="14"/>
      <c r="C1521" s="14"/>
      <c r="D1521" s="14"/>
      <c r="E1521" s="15"/>
      <c r="F1521" s="14"/>
      <c r="G1521" s="14"/>
      <c r="H1521" s="15"/>
      <c r="I1521" s="14"/>
      <c r="J1521" s="14"/>
      <c r="K1521" s="14"/>
      <c r="L1521" s="14"/>
      <c r="M1521" s="14"/>
    </row>
    <row r="1522" ht="18.75" customHeight="1">
      <c r="A1522" s="14"/>
      <c r="B1522" s="14"/>
      <c r="C1522" s="14"/>
      <c r="D1522" s="14"/>
      <c r="E1522" s="15"/>
      <c r="F1522" s="14"/>
      <c r="G1522" s="14"/>
      <c r="H1522" s="15"/>
      <c r="I1522" s="14"/>
      <c r="J1522" s="14"/>
      <c r="K1522" s="14"/>
      <c r="L1522" s="14"/>
      <c r="M1522" s="14"/>
    </row>
    <row r="1523" ht="18.75" customHeight="1">
      <c r="A1523" s="14"/>
      <c r="B1523" s="14"/>
      <c r="C1523" s="14"/>
      <c r="D1523" s="14"/>
      <c r="E1523" s="15"/>
      <c r="F1523" s="14"/>
      <c r="G1523" s="14"/>
      <c r="H1523" s="15"/>
      <c r="I1523" s="14"/>
      <c r="J1523" s="14"/>
      <c r="K1523" s="14"/>
      <c r="L1523" s="14"/>
      <c r="M1523" s="14"/>
    </row>
    <row r="1524" ht="18.75" customHeight="1">
      <c r="A1524" s="14"/>
      <c r="B1524" s="14"/>
      <c r="C1524" s="14"/>
      <c r="D1524" s="14"/>
      <c r="E1524" s="15"/>
      <c r="F1524" s="14"/>
      <c r="G1524" s="14"/>
      <c r="H1524" s="15"/>
      <c r="I1524" s="14"/>
      <c r="J1524" s="14"/>
      <c r="K1524" s="14"/>
      <c r="L1524" s="14"/>
      <c r="M1524" s="14"/>
    </row>
    <row r="1525" ht="18.75" customHeight="1">
      <c r="A1525" s="14"/>
      <c r="B1525" s="14"/>
      <c r="C1525" s="14"/>
      <c r="D1525" s="14"/>
      <c r="E1525" s="15"/>
      <c r="F1525" s="14"/>
      <c r="G1525" s="14"/>
      <c r="H1525" s="15"/>
      <c r="I1525" s="14"/>
      <c r="J1525" s="14"/>
      <c r="K1525" s="14"/>
      <c r="L1525" s="14"/>
      <c r="M1525" s="14"/>
    </row>
    <row r="1526" ht="18.75" customHeight="1">
      <c r="A1526" s="14"/>
      <c r="B1526" s="14"/>
      <c r="C1526" s="14"/>
      <c r="D1526" s="14"/>
      <c r="E1526" s="15"/>
      <c r="F1526" s="14"/>
      <c r="G1526" s="14"/>
      <c r="H1526" s="15"/>
      <c r="I1526" s="14"/>
      <c r="J1526" s="14"/>
      <c r="K1526" s="14"/>
      <c r="L1526" s="14"/>
      <c r="M1526" s="14"/>
    </row>
    <row r="1527" ht="18.75" customHeight="1">
      <c r="A1527" s="14"/>
      <c r="B1527" s="14"/>
      <c r="C1527" s="14"/>
      <c r="D1527" s="14"/>
      <c r="E1527" s="15"/>
      <c r="F1527" s="14"/>
      <c r="G1527" s="14"/>
      <c r="H1527" s="15"/>
      <c r="I1527" s="14"/>
      <c r="J1527" s="14"/>
      <c r="K1527" s="14"/>
      <c r="L1527" s="14"/>
      <c r="M1527" s="14"/>
    </row>
    <row r="1528" ht="18.75" customHeight="1">
      <c r="A1528" s="14"/>
      <c r="B1528" s="14"/>
      <c r="C1528" s="14"/>
      <c r="D1528" s="14"/>
      <c r="E1528" s="15"/>
      <c r="F1528" s="14"/>
      <c r="G1528" s="14"/>
      <c r="H1528" s="15"/>
      <c r="I1528" s="14"/>
      <c r="J1528" s="14"/>
      <c r="K1528" s="14"/>
      <c r="L1528" s="14"/>
      <c r="M1528" s="14"/>
    </row>
    <row r="1529" ht="18.75" customHeight="1">
      <c r="A1529" s="14"/>
      <c r="B1529" s="14"/>
      <c r="C1529" s="14"/>
      <c r="D1529" s="14"/>
      <c r="E1529" s="15"/>
      <c r="F1529" s="14"/>
      <c r="G1529" s="14"/>
      <c r="H1529" s="15"/>
      <c r="I1529" s="14"/>
      <c r="J1529" s="14"/>
      <c r="K1529" s="14"/>
      <c r="L1529" s="14"/>
      <c r="M1529" s="14"/>
    </row>
    <row r="1530" ht="18.75" customHeight="1">
      <c r="A1530" s="14"/>
      <c r="B1530" s="14"/>
      <c r="C1530" s="14"/>
      <c r="D1530" s="14"/>
      <c r="E1530" s="15"/>
      <c r="F1530" s="14"/>
      <c r="G1530" s="14"/>
      <c r="H1530" s="15"/>
      <c r="I1530" s="14"/>
      <c r="J1530" s="14"/>
      <c r="K1530" s="14"/>
      <c r="L1530" s="14"/>
      <c r="M1530" s="14"/>
    </row>
    <row r="1531" ht="18.75" customHeight="1">
      <c r="A1531" s="14"/>
      <c r="B1531" s="14"/>
      <c r="C1531" s="14"/>
      <c r="D1531" s="14"/>
      <c r="E1531" s="15"/>
      <c r="F1531" s="14"/>
      <c r="G1531" s="14"/>
      <c r="H1531" s="15"/>
      <c r="I1531" s="14"/>
      <c r="J1531" s="14"/>
      <c r="K1531" s="14"/>
      <c r="L1531" s="14"/>
      <c r="M1531" s="14"/>
    </row>
    <row r="1532" ht="18.75" customHeight="1">
      <c r="A1532" s="14"/>
      <c r="B1532" s="14"/>
      <c r="C1532" s="14"/>
      <c r="D1532" s="14"/>
      <c r="E1532" s="15"/>
      <c r="F1532" s="14"/>
      <c r="G1532" s="14"/>
      <c r="H1532" s="15"/>
      <c r="I1532" s="14"/>
      <c r="J1532" s="14"/>
      <c r="K1532" s="14"/>
      <c r="L1532" s="14"/>
      <c r="M1532" s="14"/>
    </row>
    <row r="1533" ht="18.75" customHeight="1">
      <c r="A1533" s="14"/>
      <c r="B1533" s="14"/>
      <c r="C1533" s="14"/>
      <c r="D1533" s="14"/>
      <c r="E1533" s="15"/>
      <c r="F1533" s="14"/>
      <c r="G1533" s="14"/>
      <c r="H1533" s="15"/>
      <c r="I1533" s="14"/>
      <c r="J1533" s="14"/>
      <c r="K1533" s="14"/>
      <c r="L1533" s="14"/>
      <c r="M1533" s="14"/>
    </row>
    <row r="1534" ht="18.75" customHeight="1">
      <c r="A1534" s="14"/>
      <c r="B1534" s="14"/>
      <c r="C1534" s="14"/>
      <c r="D1534" s="14"/>
      <c r="E1534" s="15"/>
      <c r="F1534" s="14"/>
      <c r="G1534" s="14"/>
      <c r="H1534" s="15"/>
      <c r="I1534" s="14"/>
      <c r="J1534" s="14"/>
      <c r="K1534" s="14"/>
      <c r="L1534" s="14"/>
      <c r="M1534" s="14"/>
    </row>
    <row r="1535" ht="18.75" customHeight="1">
      <c r="A1535" s="14"/>
      <c r="B1535" s="14"/>
      <c r="C1535" s="14"/>
      <c r="D1535" s="14"/>
      <c r="E1535" s="15"/>
      <c r="F1535" s="14"/>
      <c r="G1535" s="14"/>
      <c r="H1535" s="15"/>
      <c r="I1535" s="14"/>
      <c r="J1535" s="14"/>
      <c r="K1535" s="14"/>
      <c r="L1535" s="14"/>
      <c r="M1535" s="14"/>
    </row>
    <row r="1536" ht="18.75" customHeight="1">
      <c r="A1536" s="14"/>
      <c r="B1536" s="14"/>
      <c r="C1536" s="14"/>
      <c r="D1536" s="14"/>
      <c r="E1536" s="15"/>
      <c r="F1536" s="14"/>
      <c r="G1536" s="14"/>
      <c r="H1536" s="15"/>
      <c r="I1536" s="14"/>
      <c r="J1536" s="14"/>
      <c r="K1536" s="14"/>
      <c r="L1536" s="14"/>
      <c r="M1536" s="14"/>
    </row>
    <row r="1537" ht="18.75" customHeight="1">
      <c r="A1537" s="14"/>
      <c r="B1537" s="14"/>
      <c r="C1537" s="14"/>
      <c r="D1537" s="14"/>
      <c r="E1537" s="15"/>
      <c r="F1537" s="14"/>
      <c r="G1537" s="14"/>
      <c r="H1537" s="15"/>
      <c r="I1537" s="14"/>
      <c r="J1537" s="14"/>
      <c r="K1537" s="14"/>
      <c r="L1537" s="14"/>
      <c r="M1537" s="14"/>
    </row>
    <row r="1538" ht="18.75" customHeight="1">
      <c r="A1538" s="14"/>
      <c r="B1538" s="14"/>
      <c r="C1538" s="14"/>
      <c r="D1538" s="14"/>
      <c r="E1538" s="15"/>
      <c r="F1538" s="14"/>
      <c r="G1538" s="14"/>
      <c r="H1538" s="15"/>
      <c r="I1538" s="14"/>
      <c r="J1538" s="14"/>
      <c r="K1538" s="14"/>
      <c r="L1538" s="14"/>
      <c r="M1538" s="14"/>
    </row>
    <row r="1539" ht="18.75" customHeight="1">
      <c r="A1539" s="14"/>
      <c r="B1539" s="14"/>
      <c r="C1539" s="14"/>
      <c r="D1539" s="14"/>
      <c r="E1539" s="15"/>
      <c r="F1539" s="14"/>
      <c r="G1539" s="14"/>
      <c r="H1539" s="15"/>
      <c r="I1539" s="14"/>
      <c r="J1539" s="14"/>
      <c r="K1539" s="14"/>
      <c r="L1539" s="14"/>
      <c r="M1539" s="14"/>
    </row>
    <row r="1540" ht="18.75" customHeight="1">
      <c r="A1540" s="14"/>
      <c r="B1540" s="14"/>
      <c r="C1540" s="14"/>
      <c r="D1540" s="14"/>
      <c r="E1540" s="15"/>
      <c r="F1540" s="14"/>
      <c r="G1540" s="14"/>
      <c r="H1540" s="15"/>
      <c r="I1540" s="14"/>
      <c r="J1540" s="14"/>
      <c r="K1540" s="14"/>
      <c r="L1540" s="14"/>
      <c r="M1540" s="14"/>
    </row>
    <row r="1541" ht="18.75" customHeight="1">
      <c r="A1541" s="14"/>
      <c r="B1541" s="14"/>
      <c r="C1541" s="14"/>
      <c r="D1541" s="14"/>
      <c r="E1541" s="15"/>
      <c r="F1541" s="14"/>
      <c r="G1541" s="14"/>
      <c r="H1541" s="15"/>
      <c r="I1541" s="14"/>
      <c r="J1541" s="14"/>
      <c r="K1541" s="14"/>
      <c r="L1541" s="14"/>
      <c r="M1541" s="14"/>
    </row>
    <row r="1542" ht="18.75" customHeight="1">
      <c r="A1542" s="14"/>
      <c r="B1542" s="14"/>
      <c r="C1542" s="14"/>
      <c r="D1542" s="14"/>
      <c r="E1542" s="15"/>
      <c r="F1542" s="14"/>
      <c r="G1542" s="14"/>
      <c r="H1542" s="15"/>
      <c r="I1542" s="14"/>
      <c r="J1542" s="14"/>
      <c r="K1542" s="14"/>
      <c r="L1542" s="14"/>
      <c r="M1542" s="14"/>
    </row>
    <row r="1543" ht="18.75" customHeight="1">
      <c r="A1543" s="14"/>
      <c r="B1543" s="14"/>
      <c r="C1543" s="14"/>
      <c r="D1543" s="14"/>
      <c r="E1543" s="15"/>
      <c r="F1543" s="14"/>
      <c r="G1543" s="14"/>
      <c r="H1543" s="15"/>
      <c r="I1543" s="14"/>
      <c r="J1543" s="14"/>
      <c r="K1543" s="14"/>
      <c r="L1543" s="14"/>
      <c r="M1543" s="14"/>
    </row>
    <row r="1544" ht="18.75" customHeight="1">
      <c r="A1544" s="14"/>
      <c r="B1544" s="14"/>
      <c r="C1544" s="14"/>
      <c r="D1544" s="14"/>
      <c r="E1544" s="15"/>
      <c r="F1544" s="14"/>
      <c r="G1544" s="14"/>
      <c r="H1544" s="15"/>
      <c r="I1544" s="14"/>
      <c r="J1544" s="14"/>
      <c r="K1544" s="14"/>
      <c r="L1544" s="14"/>
      <c r="M1544" s="14"/>
    </row>
    <row r="1545" ht="18.75" customHeight="1">
      <c r="A1545" s="14"/>
      <c r="B1545" s="14"/>
      <c r="C1545" s="14"/>
      <c r="D1545" s="14"/>
      <c r="E1545" s="15"/>
      <c r="F1545" s="14"/>
      <c r="G1545" s="14"/>
      <c r="H1545" s="15"/>
      <c r="I1545" s="14"/>
      <c r="J1545" s="14"/>
      <c r="K1545" s="14"/>
      <c r="L1545" s="14"/>
      <c r="M1545" s="14"/>
    </row>
    <row r="1546" ht="18.75" customHeight="1">
      <c r="A1546" s="14"/>
      <c r="B1546" s="14"/>
      <c r="C1546" s="14"/>
      <c r="D1546" s="14"/>
      <c r="E1546" s="15"/>
      <c r="F1546" s="14"/>
      <c r="G1546" s="14"/>
      <c r="H1546" s="15"/>
      <c r="I1546" s="14"/>
      <c r="J1546" s="14"/>
      <c r="K1546" s="14"/>
      <c r="L1546" s="14"/>
      <c r="M1546" s="14"/>
    </row>
    <row r="1547" ht="18.75" customHeight="1">
      <c r="A1547" s="14"/>
      <c r="B1547" s="14"/>
      <c r="C1547" s="14"/>
      <c r="D1547" s="14"/>
      <c r="E1547" s="15"/>
      <c r="F1547" s="14"/>
      <c r="G1547" s="14"/>
      <c r="H1547" s="15"/>
      <c r="I1547" s="14"/>
      <c r="J1547" s="14"/>
      <c r="K1547" s="14"/>
      <c r="L1547" s="14"/>
      <c r="M1547" s="14"/>
    </row>
    <row r="1548" ht="18.75" customHeight="1">
      <c r="A1548" s="14"/>
      <c r="B1548" s="14"/>
      <c r="C1548" s="14"/>
      <c r="D1548" s="14"/>
      <c r="E1548" s="15"/>
      <c r="F1548" s="14"/>
      <c r="G1548" s="14"/>
      <c r="H1548" s="15"/>
      <c r="I1548" s="14"/>
      <c r="J1548" s="14"/>
      <c r="K1548" s="14"/>
      <c r="L1548" s="14"/>
      <c r="M1548" s="14"/>
    </row>
    <row r="1549" ht="18.75" customHeight="1">
      <c r="A1549" s="14"/>
      <c r="B1549" s="14"/>
      <c r="C1549" s="14"/>
      <c r="D1549" s="14"/>
      <c r="E1549" s="15"/>
      <c r="F1549" s="14"/>
      <c r="G1549" s="14"/>
      <c r="H1549" s="15"/>
      <c r="I1549" s="14"/>
      <c r="J1549" s="14"/>
      <c r="K1549" s="14"/>
      <c r="L1549" s="14"/>
      <c r="M1549" s="14"/>
    </row>
    <row r="1550" ht="18.75" customHeight="1">
      <c r="A1550" s="14"/>
      <c r="B1550" s="14"/>
      <c r="C1550" s="14"/>
      <c r="D1550" s="14"/>
      <c r="E1550" s="15"/>
      <c r="F1550" s="14"/>
      <c r="G1550" s="14"/>
      <c r="H1550" s="15"/>
      <c r="I1550" s="14"/>
      <c r="J1550" s="14"/>
      <c r="K1550" s="14"/>
      <c r="L1550" s="14"/>
      <c r="M1550" s="14"/>
    </row>
    <row r="1551" ht="18.75" customHeight="1">
      <c r="A1551" s="14"/>
      <c r="B1551" s="14"/>
      <c r="C1551" s="14"/>
      <c r="D1551" s="14"/>
      <c r="E1551" s="15"/>
      <c r="F1551" s="14"/>
      <c r="G1551" s="14"/>
      <c r="H1551" s="15"/>
      <c r="I1551" s="14"/>
      <c r="J1551" s="14"/>
      <c r="K1551" s="14"/>
      <c r="L1551" s="14"/>
      <c r="M1551" s="14"/>
    </row>
    <row r="1552" ht="18.75" customHeight="1">
      <c r="A1552" s="14"/>
      <c r="B1552" s="14"/>
      <c r="C1552" s="14"/>
      <c r="D1552" s="14"/>
      <c r="E1552" s="15"/>
      <c r="F1552" s="14"/>
      <c r="G1552" s="14"/>
      <c r="H1552" s="15"/>
      <c r="I1552" s="14"/>
      <c r="J1552" s="14"/>
      <c r="K1552" s="14"/>
      <c r="L1552" s="14"/>
      <c r="M1552" s="14"/>
    </row>
    <row r="1553" ht="18.75" customHeight="1">
      <c r="A1553" s="14"/>
      <c r="B1553" s="14"/>
      <c r="C1553" s="14"/>
      <c r="D1553" s="14"/>
      <c r="E1553" s="15"/>
      <c r="F1553" s="14"/>
      <c r="G1553" s="14"/>
      <c r="H1553" s="15"/>
      <c r="I1553" s="14"/>
      <c r="J1553" s="14"/>
      <c r="K1553" s="14"/>
      <c r="L1553" s="14"/>
      <c r="M1553" s="14"/>
    </row>
    <row r="1554" ht="18.75" customHeight="1">
      <c r="A1554" s="14"/>
      <c r="B1554" s="14"/>
      <c r="C1554" s="14"/>
      <c r="D1554" s="14"/>
      <c r="E1554" s="15"/>
      <c r="F1554" s="14"/>
      <c r="G1554" s="14"/>
      <c r="H1554" s="15"/>
      <c r="I1554" s="14"/>
      <c r="J1554" s="14"/>
      <c r="K1554" s="14"/>
      <c r="L1554" s="14"/>
      <c r="M1554" s="14"/>
    </row>
    <row r="1555" ht="18.75" customHeight="1">
      <c r="A1555" s="14"/>
      <c r="B1555" s="14"/>
      <c r="C1555" s="14"/>
      <c r="D1555" s="14"/>
      <c r="E1555" s="15"/>
      <c r="F1555" s="14"/>
      <c r="G1555" s="14"/>
      <c r="H1555" s="15"/>
      <c r="I1555" s="14"/>
      <c r="J1555" s="14"/>
      <c r="K1555" s="14"/>
      <c r="L1555" s="14"/>
      <c r="M1555" s="14"/>
    </row>
    <row r="1556" ht="18.75" customHeight="1">
      <c r="A1556" s="14"/>
      <c r="B1556" s="14"/>
      <c r="C1556" s="14"/>
      <c r="D1556" s="14"/>
      <c r="E1556" s="15"/>
      <c r="F1556" s="14"/>
      <c r="G1556" s="14"/>
      <c r="H1556" s="15"/>
      <c r="I1556" s="14"/>
      <c r="J1556" s="14"/>
      <c r="K1556" s="14"/>
      <c r="L1556" s="14"/>
      <c r="M1556" s="14"/>
    </row>
    <row r="1557" ht="18.75" customHeight="1">
      <c r="A1557" s="14"/>
      <c r="B1557" s="14"/>
      <c r="C1557" s="14"/>
      <c r="D1557" s="14"/>
      <c r="E1557" s="15"/>
      <c r="F1557" s="14"/>
      <c r="G1557" s="14"/>
      <c r="H1557" s="15"/>
      <c r="I1557" s="14"/>
      <c r="J1557" s="14"/>
      <c r="K1557" s="14"/>
      <c r="L1557" s="14"/>
      <c r="M1557" s="14"/>
    </row>
    <row r="1558" ht="18.75" customHeight="1">
      <c r="A1558" s="14"/>
      <c r="B1558" s="14"/>
      <c r="C1558" s="14"/>
      <c r="D1558" s="14"/>
      <c r="E1558" s="15"/>
      <c r="F1558" s="14"/>
      <c r="G1558" s="14"/>
      <c r="H1558" s="15"/>
      <c r="I1558" s="14"/>
      <c r="J1558" s="14"/>
      <c r="K1558" s="14"/>
      <c r="L1558" s="14"/>
      <c r="M1558" s="14"/>
    </row>
    <row r="1559" ht="18.75" customHeight="1">
      <c r="A1559" s="14"/>
      <c r="B1559" s="14"/>
      <c r="C1559" s="14"/>
      <c r="D1559" s="14"/>
      <c r="E1559" s="15"/>
      <c r="F1559" s="14"/>
      <c r="G1559" s="14"/>
      <c r="H1559" s="15"/>
      <c r="I1559" s="14"/>
      <c r="J1559" s="14"/>
      <c r="K1559" s="14"/>
      <c r="L1559" s="14"/>
      <c r="M1559" s="14"/>
    </row>
    <row r="1560" ht="18.75" customHeight="1">
      <c r="A1560" s="14"/>
      <c r="B1560" s="14"/>
      <c r="C1560" s="14"/>
      <c r="D1560" s="14"/>
      <c r="E1560" s="15"/>
      <c r="F1560" s="14"/>
      <c r="G1560" s="14"/>
      <c r="H1560" s="15"/>
      <c r="I1560" s="14"/>
      <c r="J1560" s="14"/>
      <c r="K1560" s="14"/>
      <c r="L1560" s="14"/>
      <c r="M1560" s="14"/>
    </row>
    <row r="1561" ht="18.75" customHeight="1">
      <c r="A1561" s="14"/>
      <c r="B1561" s="14"/>
      <c r="C1561" s="14"/>
      <c r="D1561" s="14"/>
      <c r="E1561" s="15"/>
      <c r="F1561" s="14"/>
      <c r="G1561" s="14"/>
      <c r="H1561" s="15"/>
      <c r="I1561" s="14"/>
      <c r="J1561" s="14"/>
      <c r="K1561" s="14"/>
      <c r="L1561" s="14"/>
      <c r="M1561" s="14"/>
    </row>
    <row r="1562" ht="18.75" customHeight="1">
      <c r="A1562" s="14"/>
      <c r="B1562" s="14"/>
      <c r="C1562" s="14"/>
      <c r="D1562" s="14"/>
      <c r="E1562" s="15"/>
      <c r="F1562" s="14"/>
      <c r="G1562" s="14"/>
      <c r="H1562" s="15"/>
      <c r="I1562" s="14"/>
      <c r="J1562" s="14"/>
      <c r="K1562" s="14"/>
      <c r="L1562" s="14"/>
      <c r="M1562" s="14"/>
    </row>
    <row r="1563" ht="18.75" customHeight="1">
      <c r="A1563" s="14"/>
      <c r="B1563" s="14"/>
      <c r="C1563" s="14"/>
      <c r="D1563" s="14"/>
      <c r="E1563" s="15"/>
      <c r="F1563" s="14"/>
      <c r="G1563" s="14"/>
      <c r="H1563" s="15"/>
      <c r="I1563" s="14"/>
      <c r="J1563" s="14"/>
      <c r="K1563" s="14"/>
      <c r="L1563" s="14"/>
      <c r="M1563" s="14"/>
    </row>
    <row r="1564" ht="18.75" customHeight="1">
      <c r="A1564" s="14"/>
      <c r="B1564" s="14"/>
      <c r="C1564" s="14"/>
      <c r="D1564" s="14"/>
      <c r="E1564" s="15"/>
      <c r="F1564" s="14"/>
      <c r="G1564" s="14"/>
      <c r="H1564" s="15"/>
      <c r="I1564" s="14"/>
      <c r="J1564" s="14"/>
      <c r="K1564" s="14"/>
      <c r="L1564" s="14"/>
      <c r="M1564" s="14"/>
    </row>
    <row r="1565" ht="18.75" customHeight="1">
      <c r="A1565" s="14"/>
      <c r="B1565" s="14"/>
      <c r="C1565" s="14"/>
      <c r="D1565" s="14"/>
      <c r="E1565" s="15"/>
      <c r="F1565" s="14"/>
      <c r="G1565" s="14"/>
      <c r="H1565" s="15"/>
      <c r="I1565" s="14"/>
      <c r="J1565" s="14"/>
      <c r="K1565" s="14"/>
      <c r="L1565" s="14"/>
      <c r="M1565" s="14"/>
    </row>
    <row r="1566" ht="18.75" customHeight="1">
      <c r="A1566" s="14"/>
      <c r="B1566" s="14"/>
      <c r="C1566" s="14"/>
      <c r="D1566" s="14"/>
      <c r="E1566" s="15"/>
      <c r="F1566" s="14"/>
      <c r="G1566" s="14"/>
      <c r="H1566" s="15"/>
      <c r="I1566" s="14"/>
      <c r="J1566" s="14"/>
      <c r="K1566" s="14"/>
      <c r="L1566" s="14"/>
      <c r="M1566" s="14"/>
    </row>
    <row r="1567" ht="18.75" customHeight="1">
      <c r="A1567" s="14"/>
      <c r="B1567" s="14"/>
      <c r="C1567" s="14"/>
      <c r="D1567" s="14"/>
      <c r="E1567" s="15"/>
      <c r="F1567" s="14"/>
      <c r="G1567" s="14"/>
      <c r="H1567" s="15"/>
      <c r="I1567" s="14"/>
      <c r="J1567" s="14"/>
      <c r="K1567" s="14"/>
      <c r="L1567" s="14"/>
      <c r="M1567" s="14"/>
    </row>
    <row r="1568" ht="18.75" customHeight="1">
      <c r="A1568" s="14"/>
      <c r="B1568" s="14"/>
      <c r="C1568" s="14"/>
      <c r="D1568" s="14"/>
      <c r="E1568" s="15"/>
      <c r="F1568" s="14"/>
      <c r="G1568" s="14"/>
      <c r="H1568" s="15"/>
      <c r="I1568" s="14"/>
      <c r="J1568" s="14"/>
      <c r="K1568" s="14"/>
      <c r="L1568" s="14"/>
      <c r="M1568" s="14"/>
    </row>
    <row r="1569" ht="18.75" customHeight="1">
      <c r="A1569" s="14"/>
      <c r="B1569" s="14"/>
      <c r="C1569" s="14"/>
      <c r="D1569" s="14"/>
      <c r="E1569" s="15"/>
      <c r="F1569" s="14"/>
      <c r="G1569" s="14"/>
      <c r="H1569" s="15"/>
      <c r="I1569" s="14"/>
      <c r="J1569" s="14"/>
      <c r="K1569" s="14"/>
      <c r="L1569" s="14"/>
      <c r="M1569" s="14"/>
    </row>
    <row r="1570" ht="18.75" customHeight="1">
      <c r="A1570" s="14"/>
      <c r="B1570" s="14"/>
      <c r="C1570" s="14"/>
      <c r="D1570" s="14"/>
      <c r="E1570" s="15"/>
      <c r="F1570" s="14"/>
      <c r="G1570" s="14"/>
      <c r="H1570" s="15"/>
      <c r="I1570" s="14"/>
      <c r="J1570" s="14"/>
      <c r="K1570" s="14"/>
      <c r="L1570" s="14"/>
      <c r="M1570" s="14"/>
    </row>
    <row r="1571" ht="18.75" customHeight="1">
      <c r="A1571" s="14"/>
      <c r="B1571" s="14"/>
      <c r="C1571" s="14"/>
      <c r="D1571" s="14"/>
      <c r="E1571" s="15"/>
      <c r="F1571" s="14"/>
      <c r="G1571" s="14"/>
      <c r="H1571" s="15"/>
      <c r="I1571" s="14"/>
      <c r="J1571" s="14"/>
      <c r="K1571" s="14"/>
      <c r="L1571" s="14"/>
      <c r="M1571" s="14"/>
    </row>
    <row r="1572" ht="18.75" customHeight="1">
      <c r="A1572" s="14"/>
      <c r="B1572" s="14"/>
      <c r="C1572" s="14"/>
      <c r="D1572" s="14"/>
      <c r="E1572" s="15"/>
      <c r="F1572" s="14"/>
      <c r="G1572" s="14"/>
      <c r="H1572" s="15"/>
      <c r="I1572" s="14"/>
      <c r="J1572" s="14"/>
      <c r="K1572" s="14"/>
      <c r="L1572" s="14"/>
      <c r="M1572" s="14"/>
    </row>
    <row r="1573" ht="18.75" customHeight="1">
      <c r="A1573" s="14"/>
      <c r="B1573" s="14"/>
      <c r="C1573" s="14"/>
      <c r="D1573" s="14"/>
      <c r="E1573" s="15"/>
      <c r="F1573" s="14"/>
      <c r="G1573" s="14"/>
      <c r="H1573" s="15"/>
      <c r="I1573" s="14"/>
      <c r="J1573" s="14"/>
      <c r="K1573" s="14"/>
      <c r="L1573" s="14"/>
      <c r="M1573" s="14"/>
    </row>
    <row r="1574" ht="18.75" customHeight="1">
      <c r="A1574" s="14"/>
      <c r="B1574" s="14"/>
      <c r="C1574" s="14"/>
      <c r="D1574" s="14"/>
      <c r="E1574" s="15"/>
      <c r="F1574" s="14"/>
      <c r="G1574" s="14"/>
      <c r="H1574" s="15"/>
      <c r="I1574" s="14"/>
      <c r="J1574" s="14"/>
      <c r="K1574" s="14"/>
      <c r="L1574" s="14"/>
      <c r="M1574" s="14"/>
    </row>
    <row r="1575" ht="18.75" customHeight="1">
      <c r="A1575" s="14"/>
      <c r="B1575" s="14"/>
      <c r="C1575" s="14"/>
      <c r="D1575" s="14"/>
      <c r="E1575" s="15"/>
      <c r="F1575" s="14"/>
      <c r="G1575" s="14"/>
      <c r="H1575" s="15"/>
      <c r="I1575" s="14"/>
      <c r="J1575" s="14"/>
      <c r="K1575" s="14"/>
      <c r="L1575" s="14"/>
      <c r="M1575" s="14"/>
    </row>
    <row r="1576" ht="18.75" customHeight="1">
      <c r="A1576" s="14"/>
      <c r="B1576" s="14"/>
      <c r="C1576" s="14"/>
      <c r="D1576" s="14"/>
      <c r="E1576" s="15"/>
      <c r="F1576" s="14"/>
      <c r="G1576" s="14"/>
      <c r="H1576" s="15"/>
      <c r="I1576" s="14"/>
      <c r="J1576" s="14"/>
      <c r="K1576" s="14"/>
      <c r="L1576" s="14"/>
      <c r="M1576" s="14"/>
    </row>
    <row r="1577" ht="18.75" customHeight="1">
      <c r="A1577" s="14"/>
      <c r="B1577" s="14"/>
      <c r="C1577" s="14"/>
      <c r="D1577" s="14"/>
      <c r="E1577" s="15"/>
      <c r="F1577" s="14"/>
      <c r="G1577" s="14"/>
      <c r="H1577" s="15"/>
      <c r="I1577" s="14"/>
      <c r="J1577" s="14"/>
      <c r="K1577" s="14"/>
      <c r="L1577" s="14"/>
      <c r="M1577" s="14"/>
    </row>
    <row r="1578" ht="18.75" customHeight="1">
      <c r="A1578" s="14"/>
      <c r="B1578" s="14"/>
      <c r="C1578" s="14"/>
      <c r="D1578" s="14"/>
      <c r="E1578" s="15"/>
      <c r="F1578" s="14"/>
      <c r="G1578" s="14"/>
      <c r="H1578" s="15"/>
      <c r="I1578" s="14"/>
      <c r="J1578" s="14"/>
      <c r="K1578" s="14"/>
      <c r="L1578" s="14"/>
      <c r="M1578" s="14"/>
    </row>
    <row r="1579" ht="18.75" customHeight="1">
      <c r="A1579" s="14"/>
      <c r="B1579" s="14"/>
      <c r="C1579" s="14"/>
      <c r="D1579" s="14"/>
      <c r="E1579" s="15"/>
      <c r="F1579" s="14"/>
      <c r="G1579" s="14"/>
      <c r="H1579" s="15"/>
      <c r="I1579" s="14"/>
      <c r="J1579" s="14"/>
      <c r="K1579" s="14"/>
      <c r="L1579" s="14"/>
      <c r="M1579" s="14"/>
    </row>
    <row r="1580" ht="18.75" customHeight="1">
      <c r="A1580" s="14"/>
      <c r="B1580" s="14"/>
      <c r="C1580" s="14"/>
      <c r="D1580" s="14"/>
      <c r="E1580" s="15"/>
      <c r="F1580" s="14"/>
      <c r="G1580" s="14"/>
      <c r="H1580" s="15"/>
      <c r="I1580" s="14"/>
      <c r="J1580" s="14"/>
      <c r="K1580" s="14"/>
      <c r="L1580" s="14"/>
      <c r="M1580" s="14"/>
    </row>
    <row r="1581" ht="18.75" customHeight="1">
      <c r="A1581" s="14"/>
      <c r="B1581" s="14"/>
      <c r="C1581" s="14"/>
      <c r="D1581" s="14"/>
      <c r="E1581" s="15"/>
      <c r="F1581" s="14"/>
      <c r="G1581" s="14"/>
      <c r="H1581" s="15"/>
      <c r="I1581" s="14"/>
      <c r="J1581" s="14"/>
      <c r="K1581" s="14"/>
      <c r="L1581" s="14"/>
      <c r="M1581" s="14"/>
    </row>
    <row r="1582" ht="18.75" customHeight="1">
      <c r="A1582" s="14"/>
      <c r="B1582" s="14"/>
      <c r="C1582" s="14"/>
      <c r="D1582" s="14"/>
      <c r="E1582" s="15"/>
      <c r="F1582" s="14"/>
      <c r="G1582" s="14"/>
      <c r="H1582" s="15"/>
      <c r="I1582" s="14"/>
      <c r="J1582" s="14"/>
      <c r="K1582" s="14"/>
      <c r="L1582" s="14"/>
      <c r="M1582" s="14"/>
    </row>
    <row r="1583" ht="18.75" customHeight="1">
      <c r="A1583" s="14"/>
      <c r="B1583" s="14"/>
      <c r="C1583" s="14"/>
      <c r="D1583" s="14"/>
      <c r="E1583" s="15"/>
      <c r="F1583" s="14"/>
      <c r="G1583" s="14"/>
      <c r="H1583" s="15"/>
      <c r="I1583" s="14"/>
      <c r="J1583" s="14"/>
      <c r="K1583" s="14"/>
      <c r="L1583" s="14"/>
      <c r="M1583" s="14"/>
    </row>
    <row r="1584" ht="18.75" customHeight="1">
      <c r="A1584" s="14"/>
      <c r="B1584" s="14"/>
      <c r="C1584" s="14"/>
      <c r="D1584" s="14"/>
      <c r="E1584" s="15"/>
      <c r="F1584" s="14"/>
      <c r="G1584" s="14"/>
      <c r="H1584" s="15"/>
      <c r="I1584" s="14"/>
      <c r="J1584" s="14"/>
      <c r="K1584" s="14"/>
      <c r="L1584" s="14"/>
      <c r="M1584" s="14"/>
    </row>
    <row r="1585" ht="18.75" customHeight="1">
      <c r="A1585" s="14"/>
      <c r="B1585" s="14"/>
      <c r="C1585" s="14"/>
      <c r="D1585" s="14"/>
      <c r="E1585" s="15"/>
      <c r="F1585" s="14"/>
      <c r="G1585" s="14"/>
      <c r="H1585" s="15"/>
      <c r="I1585" s="14"/>
      <c r="J1585" s="14"/>
      <c r="K1585" s="14"/>
      <c r="L1585" s="14"/>
      <c r="M1585" s="14"/>
    </row>
    <row r="1586" ht="18.75" customHeight="1">
      <c r="A1586" s="14"/>
      <c r="B1586" s="14"/>
      <c r="C1586" s="14"/>
      <c r="D1586" s="14"/>
      <c r="E1586" s="15"/>
      <c r="F1586" s="14"/>
      <c r="G1586" s="14"/>
      <c r="H1586" s="15"/>
      <c r="I1586" s="14"/>
      <c r="J1586" s="14"/>
      <c r="K1586" s="14"/>
      <c r="L1586" s="14"/>
      <c r="M1586" s="14"/>
    </row>
    <row r="1587" ht="18.75" customHeight="1">
      <c r="A1587" s="14"/>
      <c r="B1587" s="14"/>
      <c r="C1587" s="14"/>
      <c r="D1587" s="14"/>
      <c r="E1587" s="15"/>
      <c r="F1587" s="14"/>
      <c r="G1587" s="14"/>
      <c r="H1587" s="15"/>
      <c r="I1587" s="14"/>
      <c r="J1587" s="14"/>
      <c r="K1587" s="14"/>
      <c r="L1587" s="14"/>
      <c r="M1587" s="14"/>
    </row>
    <row r="1588" ht="18.75" customHeight="1">
      <c r="A1588" s="14"/>
      <c r="B1588" s="14"/>
      <c r="C1588" s="14"/>
      <c r="D1588" s="14"/>
      <c r="E1588" s="15"/>
      <c r="F1588" s="14"/>
      <c r="G1588" s="14"/>
      <c r="H1588" s="15"/>
      <c r="I1588" s="14"/>
      <c r="J1588" s="14"/>
      <c r="K1588" s="14"/>
      <c r="L1588" s="14"/>
      <c r="M1588" s="14"/>
    </row>
    <row r="1589" ht="18.75" customHeight="1">
      <c r="A1589" s="14"/>
      <c r="B1589" s="14"/>
      <c r="C1589" s="14"/>
      <c r="D1589" s="14"/>
      <c r="E1589" s="15"/>
      <c r="F1589" s="14"/>
      <c r="G1589" s="14"/>
      <c r="H1589" s="15"/>
      <c r="I1589" s="14"/>
      <c r="J1589" s="14"/>
      <c r="K1589" s="14"/>
      <c r="L1589" s="14"/>
      <c r="M1589" s="14"/>
    </row>
    <row r="1590" ht="18.75" customHeight="1">
      <c r="A1590" s="14"/>
      <c r="B1590" s="14"/>
      <c r="C1590" s="14"/>
      <c r="D1590" s="14"/>
      <c r="E1590" s="15"/>
      <c r="F1590" s="14"/>
      <c r="G1590" s="14"/>
      <c r="H1590" s="15"/>
      <c r="I1590" s="14"/>
      <c r="J1590" s="14"/>
      <c r="K1590" s="14"/>
      <c r="L1590" s="14"/>
      <c r="M1590" s="14"/>
    </row>
    <row r="1591" ht="18.75" customHeight="1">
      <c r="A1591" s="14"/>
      <c r="B1591" s="14"/>
      <c r="C1591" s="14"/>
      <c r="D1591" s="14"/>
      <c r="E1591" s="15"/>
      <c r="F1591" s="14"/>
      <c r="G1591" s="14"/>
      <c r="H1591" s="15"/>
      <c r="I1591" s="14"/>
      <c r="J1591" s="14"/>
      <c r="K1591" s="14"/>
      <c r="L1591" s="14"/>
      <c r="M1591" s="14"/>
    </row>
    <row r="1592" ht="18.75" customHeight="1">
      <c r="A1592" s="14"/>
      <c r="B1592" s="14"/>
      <c r="C1592" s="14"/>
      <c r="D1592" s="14"/>
      <c r="E1592" s="15"/>
      <c r="F1592" s="14"/>
      <c r="G1592" s="14"/>
      <c r="H1592" s="15"/>
      <c r="I1592" s="14"/>
      <c r="J1592" s="14"/>
      <c r="K1592" s="14"/>
      <c r="L1592" s="14"/>
      <c r="M1592" s="14"/>
    </row>
    <row r="1593" ht="18.75" customHeight="1">
      <c r="A1593" s="14"/>
      <c r="B1593" s="14"/>
      <c r="C1593" s="14"/>
      <c r="D1593" s="14"/>
      <c r="E1593" s="15"/>
      <c r="F1593" s="14"/>
      <c r="G1593" s="14"/>
      <c r="H1593" s="15"/>
      <c r="I1593" s="14"/>
      <c r="J1593" s="14"/>
      <c r="K1593" s="14"/>
      <c r="L1593" s="14"/>
      <c r="M1593" s="14"/>
    </row>
    <row r="1594" ht="18.75" customHeight="1">
      <c r="A1594" s="14"/>
      <c r="B1594" s="14"/>
      <c r="C1594" s="14"/>
      <c r="D1594" s="14"/>
      <c r="E1594" s="15"/>
      <c r="F1594" s="14"/>
      <c r="G1594" s="14"/>
      <c r="H1594" s="15"/>
      <c r="I1594" s="14"/>
      <c r="J1594" s="14"/>
      <c r="K1594" s="14"/>
      <c r="L1594" s="14"/>
      <c r="M1594" s="14"/>
    </row>
    <row r="1595" ht="18.75" customHeight="1">
      <c r="A1595" s="14"/>
      <c r="B1595" s="14"/>
      <c r="C1595" s="14"/>
      <c r="D1595" s="14"/>
      <c r="E1595" s="15"/>
      <c r="F1595" s="14"/>
      <c r="G1595" s="14"/>
      <c r="H1595" s="15"/>
      <c r="I1595" s="14"/>
      <c r="J1595" s="14"/>
      <c r="K1595" s="14"/>
      <c r="L1595" s="14"/>
      <c r="M1595" s="14"/>
    </row>
    <row r="1596" ht="18.75" customHeight="1">
      <c r="A1596" s="14"/>
      <c r="B1596" s="14"/>
      <c r="C1596" s="14"/>
      <c r="D1596" s="14"/>
      <c r="E1596" s="15"/>
      <c r="F1596" s="14"/>
      <c r="G1596" s="14"/>
      <c r="H1596" s="15"/>
      <c r="I1596" s="14"/>
      <c r="J1596" s="14"/>
      <c r="K1596" s="14"/>
      <c r="L1596" s="14"/>
      <c r="M1596" s="14"/>
    </row>
    <row r="1597" ht="18.75" customHeight="1">
      <c r="A1597" s="14"/>
      <c r="B1597" s="14"/>
      <c r="C1597" s="14"/>
      <c r="D1597" s="14"/>
      <c r="E1597" s="15"/>
      <c r="F1597" s="14"/>
      <c r="G1597" s="14"/>
      <c r="H1597" s="15"/>
      <c r="I1597" s="14"/>
      <c r="J1597" s="14"/>
      <c r="K1597" s="14"/>
      <c r="L1597" s="14"/>
      <c r="M1597" s="14"/>
    </row>
    <row r="1598" ht="18.75" customHeight="1">
      <c r="A1598" s="14"/>
      <c r="B1598" s="14"/>
      <c r="C1598" s="14"/>
      <c r="D1598" s="14"/>
      <c r="E1598" s="15"/>
      <c r="F1598" s="14"/>
      <c r="G1598" s="14"/>
      <c r="H1598" s="15"/>
      <c r="I1598" s="14"/>
      <c r="J1598" s="14"/>
      <c r="K1598" s="14"/>
      <c r="L1598" s="14"/>
      <c r="M1598" s="14"/>
    </row>
    <row r="1599" ht="18.75" customHeight="1">
      <c r="A1599" s="14"/>
      <c r="B1599" s="14"/>
      <c r="C1599" s="14"/>
      <c r="D1599" s="14"/>
      <c r="E1599" s="15"/>
      <c r="F1599" s="14"/>
      <c r="G1599" s="14"/>
      <c r="H1599" s="15"/>
      <c r="I1599" s="14"/>
      <c r="J1599" s="14"/>
      <c r="K1599" s="14"/>
      <c r="L1599" s="14"/>
      <c r="M1599" s="14"/>
    </row>
    <row r="1600" ht="18.75" customHeight="1">
      <c r="A1600" s="14"/>
      <c r="B1600" s="14"/>
      <c r="C1600" s="14"/>
      <c r="D1600" s="14"/>
      <c r="E1600" s="15"/>
      <c r="F1600" s="14"/>
      <c r="G1600" s="14"/>
      <c r="H1600" s="15"/>
      <c r="I1600" s="14"/>
      <c r="J1600" s="14"/>
      <c r="K1600" s="14"/>
      <c r="L1600" s="14"/>
      <c r="M1600" s="14"/>
    </row>
    <row r="1601" ht="18.75" customHeight="1">
      <c r="A1601" s="14"/>
      <c r="B1601" s="14"/>
      <c r="C1601" s="14"/>
      <c r="D1601" s="14"/>
      <c r="E1601" s="15"/>
      <c r="F1601" s="14"/>
      <c r="G1601" s="14"/>
      <c r="H1601" s="15"/>
      <c r="I1601" s="14"/>
      <c r="J1601" s="14"/>
      <c r="K1601" s="14"/>
      <c r="L1601" s="14"/>
      <c r="M1601" s="14"/>
    </row>
    <row r="1602" ht="18.75" customHeight="1">
      <c r="A1602" s="14"/>
      <c r="B1602" s="14"/>
      <c r="C1602" s="14"/>
      <c r="D1602" s="14"/>
      <c r="E1602" s="15"/>
      <c r="F1602" s="14"/>
      <c r="G1602" s="14"/>
      <c r="H1602" s="15"/>
      <c r="I1602" s="14"/>
      <c r="J1602" s="14"/>
      <c r="K1602" s="14"/>
      <c r="L1602" s="14"/>
      <c r="M1602" s="14"/>
    </row>
    <row r="1603" ht="18.75" customHeight="1">
      <c r="A1603" s="14"/>
      <c r="B1603" s="14"/>
      <c r="C1603" s="14"/>
      <c r="D1603" s="14"/>
      <c r="E1603" s="15"/>
      <c r="F1603" s="14"/>
      <c r="G1603" s="14"/>
      <c r="H1603" s="15"/>
      <c r="I1603" s="14"/>
      <c r="J1603" s="14"/>
      <c r="K1603" s="14"/>
      <c r="L1603" s="14"/>
      <c r="M1603" s="14"/>
    </row>
    <row r="1604" ht="18.75" customHeight="1">
      <c r="A1604" s="14"/>
      <c r="B1604" s="14"/>
      <c r="C1604" s="14"/>
      <c r="D1604" s="14"/>
      <c r="E1604" s="15"/>
      <c r="F1604" s="14"/>
      <c r="G1604" s="14"/>
      <c r="H1604" s="15"/>
      <c r="I1604" s="14"/>
      <c r="J1604" s="14"/>
      <c r="K1604" s="14"/>
      <c r="L1604" s="14"/>
      <c r="M1604" s="14"/>
    </row>
    <row r="1605" ht="18.75" customHeight="1">
      <c r="A1605" s="14"/>
      <c r="B1605" s="14"/>
      <c r="C1605" s="14"/>
      <c r="D1605" s="14"/>
      <c r="E1605" s="15"/>
      <c r="F1605" s="14"/>
      <c r="G1605" s="14"/>
      <c r="H1605" s="15"/>
      <c r="I1605" s="14"/>
      <c r="J1605" s="14"/>
      <c r="K1605" s="14"/>
      <c r="L1605" s="14"/>
      <c r="M1605" s="14"/>
    </row>
    <row r="1606" ht="18.75" customHeight="1">
      <c r="A1606" s="14"/>
      <c r="B1606" s="14"/>
      <c r="C1606" s="14"/>
      <c r="D1606" s="14"/>
      <c r="E1606" s="15"/>
      <c r="F1606" s="14"/>
      <c r="G1606" s="14"/>
      <c r="H1606" s="15"/>
      <c r="I1606" s="14"/>
      <c r="J1606" s="14"/>
      <c r="K1606" s="14"/>
      <c r="L1606" s="14"/>
      <c r="M1606" s="14"/>
    </row>
    <row r="1607" ht="18.75" customHeight="1">
      <c r="A1607" s="14"/>
      <c r="B1607" s="14"/>
      <c r="C1607" s="14"/>
      <c r="D1607" s="14"/>
      <c r="E1607" s="15"/>
      <c r="F1607" s="14"/>
      <c r="G1607" s="14"/>
      <c r="H1607" s="15"/>
      <c r="I1607" s="14"/>
      <c r="J1607" s="14"/>
      <c r="K1607" s="14"/>
      <c r="L1607" s="14"/>
      <c r="M1607" s="14"/>
    </row>
    <row r="1608" ht="18.75" customHeight="1">
      <c r="A1608" s="14"/>
      <c r="B1608" s="14"/>
      <c r="C1608" s="14"/>
      <c r="D1608" s="14"/>
      <c r="E1608" s="15"/>
      <c r="F1608" s="14"/>
      <c r="G1608" s="14"/>
      <c r="H1608" s="15"/>
      <c r="I1608" s="14"/>
      <c r="J1608" s="14"/>
      <c r="K1608" s="14"/>
      <c r="L1608" s="14"/>
      <c r="M1608" s="14"/>
    </row>
    <row r="1609" ht="18.75" customHeight="1">
      <c r="A1609" s="14"/>
      <c r="B1609" s="14"/>
      <c r="C1609" s="14"/>
      <c r="D1609" s="14"/>
      <c r="E1609" s="15"/>
      <c r="F1609" s="14"/>
      <c r="G1609" s="14"/>
      <c r="H1609" s="15"/>
      <c r="I1609" s="14"/>
      <c r="J1609" s="14"/>
      <c r="K1609" s="14"/>
      <c r="L1609" s="14"/>
      <c r="M1609" s="14"/>
    </row>
    <row r="1610" ht="18.75" customHeight="1">
      <c r="A1610" s="14"/>
      <c r="B1610" s="14"/>
      <c r="C1610" s="14"/>
      <c r="D1610" s="14"/>
      <c r="E1610" s="15"/>
      <c r="F1610" s="14"/>
      <c r="G1610" s="14"/>
      <c r="H1610" s="15"/>
      <c r="I1610" s="14"/>
      <c r="J1610" s="14"/>
      <c r="K1610" s="14"/>
      <c r="L1610" s="14"/>
      <c r="M1610" s="14"/>
    </row>
    <row r="1611" ht="18.75" customHeight="1">
      <c r="A1611" s="14"/>
      <c r="B1611" s="14"/>
      <c r="C1611" s="14"/>
      <c r="D1611" s="14"/>
      <c r="E1611" s="15"/>
      <c r="F1611" s="14"/>
      <c r="G1611" s="14"/>
      <c r="H1611" s="15"/>
      <c r="I1611" s="14"/>
      <c r="J1611" s="14"/>
      <c r="K1611" s="14"/>
      <c r="L1611" s="14"/>
      <c r="M1611" s="14"/>
    </row>
    <row r="1612" ht="18.75" customHeight="1">
      <c r="A1612" s="14"/>
      <c r="B1612" s="14"/>
      <c r="C1612" s="14"/>
      <c r="D1612" s="14"/>
      <c r="E1612" s="15"/>
      <c r="F1612" s="14"/>
      <c r="G1612" s="14"/>
      <c r="H1612" s="15"/>
      <c r="I1612" s="14"/>
      <c r="J1612" s="14"/>
      <c r="K1612" s="14"/>
      <c r="L1612" s="14"/>
      <c r="M1612" s="14"/>
    </row>
    <row r="1613" ht="18.75" customHeight="1">
      <c r="A1613" s="14"/>
      <c r="B1613" s="14"/>
      <c r="C1613" s="14"/>
      <c r="D1613" s="14"/>
      <c r="E1613" s="15"/>
      <c r="F1613" s="14"/>
      <c r="G1613" s="14"/>
      <c r="H1613" s="15"/>
      <c r="I1613" s="14"/>
      <c r="J1613" s="14"/>
      <c r="K1613" s="14"/>
      <c r="L1613" s="14"/>
      <c r="M1613" s="14"/>
    </row>
    <row r="1614" ht="18.75" customHeight="1">
      <c r="A1614" s="14"/>
      <c r="B1614" s="14"/>
      <c r="C1614" s="14"/>
      <c r="D1614" s="14"/>
      <c r="E1614" s="15"/>
      <c r="F1614" s="14"/>
      <c r="G1614" s="14"/>
      <c r="H1614" s="15"/>
      <c r="I1614" s="14"/>
      <c r="J1614" s="14"/>
      <c r="K1614" s="14"/>
      <c r="L1614" s="14"/>
      <c r="M1614" s="14"/>
    </row>
    <row r="1615" ht="18.75" customHeight="1">
      <c r="A1615" s="14"/>
      <c r="B1615" s="14"/>
      <c r="C1615" s="14"/>
      <c r="D1615" s="14"/>
      <c r="E1615" s="15"/>
      <c r="F1615" s="14"/>
      <c r="G1615" s="14"/>
      <c r="H1615" s="15"/>
      <c r="I1615" s="14"/>
      <c r="J1615" s="14"/>
      <c r="K1615" s="14"/>
      <c r="L1615" s="14"/>
      <c r="M1615" s="14"/>
    </row>
    <row r="1616" ht="18.75" customHeight="1">
      <c r="A1616" s="14"/>
      <c r="B1616" s="14"/>
      <c r="C1616" s="14"/>
      <c r="D1616" s="14"/>
      <c r="E1616" s="15"/>
      <c r="F1616" s="14"/>
      <c r="G1616" s="14"/>
      <c r="H1616" s="15"/>
      <c r="I1616" s="14"/>
      <c r="J1616" s="14"/>
      <c r="K1616" s="14"/>
      <c r="L1616" s="14"/>
      <c r="M1616" s="14"/>
    </row>
    <row r="1617" ht="18.75" customHeight="1">
      <c r="A1617" s="14"/>
      <c r="B1617" s="14"/>
      <c r="C1617" s="14"/>
      <c r="D1617" s="14"/>
      <c r="E1617" s="15"/>
      <c r="F1617" s="14"/>
      <c r="G1617" s="14"/>
      <c r="H1617" s="15"/>
      <c r="I1617" s="14"/>
      <c r="J1617" s="14"/>
      <c r="K1617" s="14"/>
      <c r="L1617" s="14"/>
      <c r="M1617" s="14"/>
    </row>
    <row r="1618" ht="18.75" customHeight="1">
      <c r="A1618" s="14"/>
      <c r="B1618" s="14"/>
      <c r="C1618" s="14"/>
      <c r="D1618" s="14"/>
      <c r="E1618" s="15"/>
      <c r="F1618" s="14"/>
      <c r="G1618" s="14"/>
      <c r="H1618" s="15"/>
      <c r="I1618" s="14"/>
      <c r="J1618" s="14"/>
      <c r="K1618" s="14"/>
      <c r="L1618" s="14"/>
      <c r="M1618" s="14"/>
    </row>
    <row r="1619" ht="18.75" customHeight="1">
      <c r="A1619" s="14"/>
      <c r="B1619" s="14"/>
      <c r="C1619" s="14"/>
      <c r="D1619" s="14"/>
      <c r="E1619" s="15"/>
      <c r="F1619" s="14"/>
      <c r="G1619" s="14"/>
      <c r="H1619" s="15"/>
      <c r="I1619" s="14"/>
      <c r="J1619" s="14"/>
      <c r="K1619" s="14"/>
      <c r="L1619" s="14"/>
      <c r="M1619" s="14"/>
    </row>
    <row r="1620" ht="18.75" customHeight="1">
      <c r="A1620" s="14"/>
      <c r="B1620" s="14"/>
      <c r="C1620" s="14"/>
      <c r="D1620" s="14"/>
      <c r="E1620" s="15"/>
      <c r="F1620" s="14"/>
      <c r="G1620" s="14"/>
      <c r="H1620" s="15"/>
      <c r="I1620" s="14"/>
      <c r="J1620" s="14"/>
      <c r="K1620" s="14"/>
      <c r="L1620" s="14"/>
      <c r="M1620" s="14"/>
    </row>
    <row r="1621" ht="18.75" customHeight="1">
      <c r="A1621" s="14"/>
      <c r="B1621" s="14"/>
      <c r="C1621" s="14"/>
      <c r="D1621" s="14"/>
      <c r="E1621" s="15"/>
      <c r="F1621" s="14"/>
      <c r="G1621" s="14"/>
      <c r="H1621" s="15"/>
      <c r="I1621" s="14"/>
      <c r="J1621" s="14"/>
      <c r="K1621" s="14"/>
      <c r="L1621" s="14"/>
      <c r="M1621" s="14"/>
    </row>
    <row r="1622" ht="18.75" customHeight="1">
      <c r="A1622" s="14"/>
      <c r="B1622" s="14"/>
      <c r="C1622" s="14"/>
      <c r="D1622" s="14"/>
      <c r="E1622" s="15"/>
      <c r="F1622" s="14"/>
      <c r="G1622" s="14"/>
      <c r="H1622" s="15"/>
      <c r="I1622" s="14"/>
      <c r="J1622" s="14"/>
      <c r="K1622" s="14"/>
      <c r="L1622" s="14"/>
      <c r="M1622" s="14"/>
    </row>
    <row r="1623" ht="18.75" customHeight="1">
      <c r="A1623" s="14"/>
      <c r="B1623" s="14"/>
      <c r="C1623" s="14"/>
      <c r="D1623" s="14"/>
      <c r="E1623" s="15"/>
      <c r="F1623" s="14"/>
      <c r="G1623" s="14"/>
      <c r="H1623" s="15"/>
      <c r="I1623" s="14"/>
      <c r="J1623" s="14"/>
      <c r="K1623" s="14"/>
      <c r="L1623" s="14"/>
      <c r="M1623" s="14"/>
    </row>
    <row r="1624" ht="18.75" customHeight="1">
      <c r="A1624" s="14"/>
      <c r="B1624" s="14"/>
      <c r="C1624" s="14"/>
      <c r="D1624" s="14"/>
      <c r="E1624" s="15"/>
      <c r="F1624" s="14"/>
      <c r="G1624" s="14"/>
      <c r="H1624" s="15"/>
      <c r="I1624" s="14"/>
      <c r="J1624" s="14"/>
      <c r="K1624" s="14"/>
      <c r="L1624" s="14"/>
      <c r="M1624" s="14"/>
    </row>
    <row r="1625" ht="18.75" customHeight="1">
      <c r="A1625" s="14"/>
      <c r="B1625" s="14"/>
      <c r="C1625" s="14"/>
      <c r="D1625" s="14"/>
      <c r="E1625" s="15"/>
      <c r="F1625" s="14"/>
      <c r="G1625" s="14"/>
      <c r="H1625" s="15"/>
      <c r="I1625" s="14"/>
      <c r="J1625" s="14"/>
      <c r="K1625" s="14"/>
      <c r="L1625" s="14"/>
      <c r="M1625" s="14"/>
    </row>
    <row r="1626" ht="18.75" customHeight="1">
      <c r="A1626" s="14"/>
      <c r="B1626" s="14"/>
      <c r="C1626" s="14"/>
      <c r="D1626" s="14"/>
      <c r="E1626" s="15"/>
      <c r="F1626" s="14"/>
      <c r="G1626" s="14"/>
      <c r="H1626" s="15"/>
      <c r="I1626" s="14"/>
      <c r="J1626" s="14"/>
      <c r="K1626" s="14"/>
      <c r="L1626" s="14"/>
      <c r="M1626" s="14"/>
    </row>
    <row r="1627" ht="18.75" customHeight="1">
      <c r="A1627" s="14"/>
      <c r="B1627" s="14"/>
      <c r="C1627" s="14"/>
      <c r="D1627" s="14"/>
      <c r="E1627" s="15"/>
      <c r="F1627" s="14"/>
      <c r="G1627" s="14"/>
      <c r="H1627" s="15"/>
      <c r="I1627" s="14"/>
      <c r="J1627" s="14"/>
      <c r="K1627" s="14"/>
      <c r="L1627" s="14"/>
      <c r="M1627" s="14"/>
    </row>
    <row r="1628" ht="18.75" customHeight="1">
      <c r="A1628" s="14"/>
      <c r="B1628" s="14"/>
      <c r="C1628" s="14"/>
      <c r="D1628" s="14"/>
      <c r="E1628" s="15"/>
      <c r="F1628" s="14"/>
      <c r="G1628" s="14"/>
      <c r="H1628" s="15"/>
      <c r="I1628" s="14"/>
      <c r="J1628" s="14"/>
      <c r="K1628" s="14"/>
      <c r="L1628" s="14"/>
      <c r="M1628" s="14"/>
    </row>
    <row r="1629" ht="18.75" customHeight="1">
      <c r="A1629" s="14"/>
      <c r="B1629" s="14"/>
      <c r="C1629" s="14"/>
      <c r="D1629" s="14"/>
      <c r="E1629" s="15"/>
      <c r="F1629" s="14"/>
      <c r="G1629" s="14"/>
      <c r="H1629" s="15"/>
      <c r="I1629" s="14"/>
      <c r="J1629" s="14"/>
      <c r="K1629" s="14"/>
      <c r="L1629" s="14"/>
      <c r="M1629" s="14"/>
    </row>
    <row r="1630" ht="18.75" customHeight="1">
      <c r="A1630" s="14"/>
      <c r="B1630" s="14"/>
      <c r="C1630" s="14"/>
      <c r="D1630" s="14"/>
      <c r="E1630" s="15"/>
      <c r="F1630" s="14"/>
      <c r="G1630" s="14"/>
      <c r="H1630" s="15"/>
      <c r="I1630" s="14"/>
      <c r="J1630" s="14"/>
      <c r="K1630" s="14"/>
      <c r="L1630" s="14"/>
      <c r="M1630" s="14"/>
    </row>
    <row r="1631" ht="18.75" customHeight="1">
      <c r="A1631" s="14"/>
      <c r="B1631" s="14"/>
      <c r="C1631" s="14"/>
      <c r="D1631" s="14"/>
      <c r="E1631" s="15"/>
      <c r="F1631" s="14"/>
      <c r="G1631" s="14"/>
      <c r="H1631" s="15"/>
      <c r="I1631" s="14"/>
      <c r="J1631" s="14"/>
      <c r="K1631" s="14"/>
      <c r="L1631" s="14"/>
      <c r="M1631" s="14"/>
    </row>
    <row r="1632" ht="18.75" customHeight="1">
      <c r="A1632" s="14"/>
      <c r="B1632" s="14"/>
      <c r="C1632" s="14"/>
      <c r="D1632" s="14"/>
      <c r="E1632" s="15"/>
      <c r="F1632" s="14"/>
      <c r="G1632" s="14"/>
      <c r="H1632" s="15"/>
      <c r="I1632" s="14"/>
      <c r="J1632" s="14"/>
      <c r="K1632" s="14"/>
      <c r="L1632" s="14"/>
      <c r="M1632" s="14"/>
    </row>
    <row r="1633" ht="18.75" customHeight="1">
      <c r="A1633" s="14"/>
      <c r="B1633" s="14"/>
      <c r="C1633" s="14"/>
      <c r="D1633" s="14"/>
      <c r="E1633" s="15"/>
      <c r="F1633" s="14"/>
      <c r="G1633" s="14"/>
      <c r="H1633" s="15"/>
      <c r="I1633" s="14"/>
      <c r="J1633" s="14"/>
      <c r="K1633" s="14"/>
      <c r="L1633" s="14"/>
      <c r="M1633" s="14"/>
    </row>
    <row r="1634" ht="18.75" customHeight="1">
      <c r="A1634" s="14"/>
      <c r="B1634" s="14"/>
      <c r="C1634" s="14"/>
      <c r="D1634" s="14"/>
      <c r="E1634" s="15"/>
      <c r="F1634" s="14"/>
      <c r="G1634" s="14"/>
      <c r="H1634" s="15"/>
      <c r="I1634" s="14"/>
      <c r="J1634" s="14"/>
      <c r="K1634" s="14"/>
      <c r="L1634" s="14"/>
      <c r="M1634" s="14"/>
    </row>
    <row r="1635" ht="18.75" customHeight="1">
      <c r="A1635" s="14"/>
      <c r="B1635" s="14"/>
      <c r="C1635" s="14"/>
      <c r="D1635" s="14"/>
      <c r="E1635" s="15"/>
      <c r="F1635" s="14"/>
      <c r="G1635" s="14"/>
      <c r="H1635" s="15"/>
      <c r="I1635" s="14"/>
      <c r="J1635" s="14"/>
      <c r="K1635" s="14"/>
      <c r="L1635" s="14"/>
      <c r="M1635" s="14"/>
    </row>
    <row r="1636" ht="18.75" customHeight="1">
      <c r="A1636" s="14"/>
      <c r="B1636" s="14"/>
      <c r="C1636" s="14"/>
      <c r="D1636" s="14"/>
      <c r="E1636" s="15"/>
      <c r="F1636" s="14"/>
      <c r="G1636" s="14"/>
      <c r="H1636" s="15"/>
      <c r="I1636" s="14"/>
      <c r="J1636" s="14"/>
      <c r="K1636" s="14"/>
      <c r="L1636" s="14"/>
      <c r="M1636" s="14"/>
    </row>
    <row r="1637" ht="18.75" customHeight="1">
      <c r="A1637" s="14"/>
      <c r="B1637" s="14"/>
      <c r="C1637" s="14"/>
      <c r="D1637" s="14"/>
      <c r="E1637" s="15"/>
      <c r="F1637" s="14"/>
      <c r="G1637" s="14"/>
      <c r="H1637" s="15"/>
      <c r="I1637" s="14"/>
      <c r="J1637" s="14"/>
      <c r="K1637" s="14"/>
      <c r="L1637" s="14"/>
      <c r="M1637" s="14"/>
    </row>
    <row r="1638" ht="18.75" customHeight="1">
      <c r="A1638" s="14"/>
      <c r="B1638" s="14"/>
      <c r="C1638" s="14"/>
      <c r="D1638" s="14"/>
      <c r="E1638" s="15"/>
      <c r="F1638" s="14"/>
      <c r="G1638" s="14"/>
      <c r="H1638" s="15"/>
      <c r="I1638" s="14"/>
      <c r="J1638" s="14"/>
      <c r="K1638" s="14"/>
      <c r="L1638" s="14"/>
      <c r="M1638" s="14"/>
    </row>
    <row r="1639" ht="18.75" customHeight="1">
      <c r="A1639" s="14"/>
      <c r="B1639" s="14"/>
      <c r="C1639" s="14"/>
      <c r="D1639" s="14"/>
      <c r="E1639" s="15"/>
      <c r="F1639" s="14"/>
      <c r="G1639" s="14"/>
      <c r="H1639" s="15"/>
      <c r="I1639" s="14"/>
      <c r="J1639" s="14"/>
      <c r="K1639" s="14"/>
      <c r="L1639" s="14"/>
      <c r="M1639" s="14"/>
    </row>
    <row r="1640" ht="18.75" customHeight="1">
      <c r="A1640" s="14"/>
      <c r="B1640" s="14"/>
      <c r="C1640" s="14"/>
      <c r="D1640" s="14"/>
      <c r="E1640" s="15"/>
      <c r="F1640" s="14"/>
      <c r="G1640" s="14"/>
      <c r="H1640" s="15"/>
      <c r="I1640" s="14"/>
      <c r="J1640" s="14"/>
      <c r="K1640" s="14"/>
      <c r="L1640" s="14"/>
      <c r="M1640" s="14"/>
    </row>
    <row r="1641" ht="18.75" customHeight="1">
      <c r="A1641" s="14"/>
      <c r="B1641" s="14"/>
      <c r="C1641" s="14"/>
      <c r="D1641" s="14"/>
      <c r="E1641" s="15"/>
      <c r="F1641" s="14"/>
      <c r="G1641" s="14"/>
      <c r="H1641" s="15"/>
      <c r="I1641" s="14"/>
      <c r="J1641" s="14"/>
      <c r="K1641" s="14"/>
      <c r="L1641" s="14"/>
      <c r="M1641" s="14"/>
    </row>
    <row r="1642" ht="18.75" customHeight="1">
      <c r="A1642" s="14"/>
      <c r="B1642" s="14"/>
      <c r="C1642" s="14"/>
      <c r="D1642" s="14"/>
      <c r="E1642" s="15"/>
      <c r="F1642" s="14"/>
      <c r="G1642" s="14"/>
      <c r="H1642" s="15"/>
      <c r="I1642" s="14"/>
      <c r="J1642" s="14"/>
      <c r="K1642" s="14"/>
      <c r="L1642" s="14"/>
      <c r="M1642" s="14"/>
    </row>
    <row r="1643" ht="18.75" customHeight="1">
      <c r="A1643" s="14"/>
      <c r="B1643" s="14"/>
      <c r="C1643" s="14"/>
      <c r="D1643" s="14"/>
      <c r="E1643" s="15"/>
      <c r="F1643" s="14"/>
      <c r="G1643" s="14"/>
      <c r="H1643" s="15"/>
      <c r="I1643" s="14"/>
      <c r="J1643" s="14"/>
      <c r="K1643" s="14"/>
      <c r="L1643" s="14"/>
      <c r="M1643" s="14"/>
    </row>
    <row r="1644" ht="18.75" customHeight="1">
      <c r="A1644" s="14"/>
      <c r="B1644" s="14"/>
      <c r="C1644" s="14"/>
      <c r="D1644" s="14"/>
      <c r="E1644" s="15"/>
      <c r="F1644" s="14"/>
      <c r="G1644" s="14"/>
      <c r="H1644" s="15"/>
      <c r="I1644" s="14"/>
      <c r="J1644" s="14"/>
      <c r="K1644" s="14"/>
      <c r="L1644" s="14"/>
      <c r="M1644" s="14"/>
    </row>
    <row r="1645" ht="18.75" customHeight="1">
      <c r="A1645" s="14"/>
      <c r="B1645" s="14"/>
      <c r="C1645" s="14"/>
      <c r="D1645" s="14"/>
      <c r="E1645" s="15"/>
      <c r="F1645" s="14"/>
      <c r="G1645" s="14"/>
      <c r="H1645" s="15"/>
      <c r="I1645" s="14"/>
      <c r="J1645" s="14"/>
      <c r="K1645" s="14"/>
      <c r="L1645" s="14"/>
      <c r="M1645" s="14"/>
    </row>
    <row r="1646" ht="18.75" customHeight="1">
      <c r="A1646" s="14"/>
      <c r="B1646" s="14"/>
      <c r="C1646" s="14"/>
      <c r="D1646" s="14"/>
      <c r="E1646" s="15"/>
      <c r="F1646" s="14"/>
      <c r="G1646" s="14"/>
      <c r="H1646" s="15"/>
      <c r="I1646" s="14"/>
      <c r="J1646" s="14"/>
      <c r="K1646" s="14"/>
      <c r="L1646" s="14"/>
      <c r="M1646" s="14"/>
    </row>
    <row r="1647" ht="18.75" customHeight="1">
      <c r="A1647" s="14"/>
      <c r="B1647" s="14"/>
      <c r="C1647" s="14"/>
      <c r="D1647" s="14"/>
      <c r="E1647" s="15"/>
      <c r="F1647" s="14"/>
      <c r="G1647" s="14"/>
      <c r="H1647" s="15"/>
      <c r="I1647" s="14"/>
      <c r="J1647" s="14"/>
      <c r="K1647" s="14"/>
      <c r="L1647" s="14"/>
      <c r="M1647" s="14"/>
    </row>
    <row r="1648" ht="18.75" customHeight="1">
      <c r="A1648" s="14"/>
      <c r="B1648" s="14"/>
      <c r="C1648" s="14"/>
      <c r="D1648" s="14"/>
      <c r="E1648" s="15"/>
      <c r="F1648" s="14"/>
      <c r="G1648" s="14"/>
      <c r="H1648" s="15"/>
      <c r="I1648" s="14"/>
      <c r="J1648" s="14"/>
      <c r="K1648" s="14"/>
      <c r="L1648" s="14"/>
      <c r="M1648" s="14"/>
    </row>
    <row r="1649" ht="18.75" customHeight="1">
      <c r="A1649" s="14"/>
      <c r="B1649" s="14"/>
      <c r="C1649" s="14"/>
      <c r="D1649" s="14"/>
      <c r="E1649" s="15"/>
      <c r="F1649" s="14"/>
      <c r="G1649" s="14"/>
      <c r="H1649" s="15"/>
      <c r="I1649" s="14"/>
      <c r="J1649" s="14"/>
      <c r="K1649" s="14"/>
      <c r="L1649" s="14"/>
      <c r="M1649" s="14"/>
    </row>
    <row r="1650" ht="18.75" customHeight="1">
      <c r="A1650" s="14"/>
      <c r="B1650" s="14"/>
      <c r="C1650" s="14"/>
      <c r="D1650" s="14"/>
      <c r="E1650" s="15"/>
      <c r="F1650" s="14"/>
      <c r="G1650" s="14"/>
      <c r="H1650" s="15"/>
      <c r="I1650" s="14"/>
      <c r="J1650" s="14"/>
      <c r="K1650" s="14"/>
      <c r="L1650" s="14"/>
      <c r="M1650" s="14"/>
    </row>
    <row r="1651" ht="18.75" customHeight="1">
      <c r="A1651" s="14"/>
      <c r="B1651" s="14"/>
      <c r="C1651" s="14"/>
      <c r="D1651" s="14"/>
      <c r="E1651" s="15"/>
      <c r="F1651" s="14"/>
      <c r="G1651" s="14"/>
      <c r="H1651" s="15"/>
      <c r="I1651" s="14"/>
      <c r="J1651" s="14"/>
      <c r="K1651" s="14"/>
      <c r="L1651" s="14"/>
      <c r="M1651" s="14"/>
    </row>
    <row r="1652" ht="18.75" customHeight="1">
      <c r="A1652" s="14"/>
      <c r="B1652" s="14"/>
      <c r="C1652" s="14"/>
      <c r="D1652" s="14"/>
      <c r="E1652" s="15"/>
      <c r="F1652" s="14"/>
      <c r="G1652" s="14"/>
      <c r="H1652" s="15"/>
      <c r="I1652" s="14"/>
      <c r="J1652" s="14"/>
      <c r="K1652" s="14"/>
      <c r="L1652" s="14"/>
      <c r="M1652" s="14"/>
    </row>
    <row r="1653" ht="18.75" customHeight="1">
      <c r="A1653" s="14"/>
      <c r="B1653" s="14"/>
      <c r="C1653" s="14"/>
      <c r="D1653" s="14"/>
      <c r="E1653" s="15"/>
      <c r="F1653" s="14"/>
      <c r="G1653" s="14"/>
      <c r="H1653" s="15"/>
      <c r="I1653" s="14"/>
      <c r="J1653" s="14"/>
      <c r="K1653" s="14"/>
      <c r="L1653" s="14"/>
      <c r="M1653" s="14"/>
    </row>
    <row r="1654" ht="18.75" customHeight="1">
      <c r="A1654" s="14"/>
      <c r="B1654" s="14"/>
      <c r="C1654" s="14"/>
      <c r="D1654" s="14"/>
      <c r="E1654" s="15"/>
      <c r="F1654" s="14"/>
      <c r="G1654" s="14"/>
      <c r="H1654" s="15"/>
      <c r="I1654" s="14"/>
      <c r="J1654" s="14"/>
      <c r="K1654" s="14"/>
      <c r="L1654" s="14"/>
      <c r="M1654" s="14"/>
    </row>
    <row r="1655" ht="18.75" customHeight="1">
      <c r="A1655" s="14"/>
      <c r="B1655" s="14"/>
      <c r="C1655" s="14"/>
      <c r="D1655" s="14"/>
      <c r="E1655" s="15"/>
      <c r="F1655" s="14"/>
      <c r="G1655" s="14"/>
      <c r="H1655" s="15"/>
      <c r="I1655" s="14"/>
      <c r="J1655" s="14"/>
      <c r="K1655" s="14"/>
      <c r="L1655" s="14"/>
      <c r="M1655" s="14"/>
    </row>
    <row r="1656" ht="18.75" customHeight="1">
      <c r="A1656" s="14"/>
      <c r="B1656" s="14"/>
      <c r="C1656" s="14"/>
      <c r="D1656" s="14"/>
      <c r="E1656" s="15"/>
      <c r="F1656" s="14"/>
      <c r="G1656" s="14"/>
      <c r="H1656" s="15"/>
      <c r="I1656" s="14"/>
      <c r="J1656" s="14"/>
      <c r="K1656" s="14"/>
      <c r="L1656" s="14"/>
      <c r="M1656" s="14"/>
    </row>
    <row r="1657" ht="18.75" customHeight="1">
      <c r="A1657" s="14"/>
      <c r="B1657" s="14"/>
      <c r="C1657" s="14"/>
      <c r="D1657" s="14"/>
      <c r="E1657" s="15"/>
      <c r="F1657" s="14"/>
      <c r="G1657" s="14"/>
      <c r="H1657" s="15"/>
      <c r="I1657" s="14"/>
      <c r="J1657" s="14"/>
      <c r="K1657" s="14"/>
      <c r="L1657" s="14"/>
      <c r="M1657" s="14"/>
    </row>
    <row r="1658" ht="18.75" customHeight="1">
      <c r="A1658" s="14"/>
      <c r="B1658" s="14"/>
      <c r="C1658" s="14"/>
      <c r="D1658" s="14"/>
      <c r="E1658" s="15"/>
      <c r="F1658" s="14"/>
      <c r="G1658" s="14"/>
      <c r="H1658" s="15"/>
      <c r="I1658" s="14"/>
      <c r="J1658" s="14"/>
      <c r="K1658" s="14"/>
      <c r="L1658" s="14"/>
      <c r="M1658" s="14"/>
    </row>
    <row r="1659" ht="18.75" customHeight="1">
      <c r="A1659" s="14"/>
      <c r="B1659" s="14"/>
      <c r="C1659" s="14"/>
      <c r="D1659" s="14"/>
      <c r="E1659" s="15"/>
      <c r="F1659" s="14"/>
      <c r="G1659" s="14"/>
      <c r="H1659" s="15"/>
      <c r="I1659" s="14"/>
      <c r="J1659" s="14"/>
      <c r="K1659" s="14"/>
      <c r="L1659" s="14"/>
      <c r="M1659" s="14"/>
    </row>
    <row r="1660" ht="18.75" customHeight="1">
      <c r="A1660" s="14"/>
      <c r="B1660" s="14"/>
      <c r="C1660" s="14"/>
      <c r="D1660" s="14"/>
      <c r="E1660" s="15"/>
      <c r="F1660" s="14"/>
      <c r="G1660" s="14"/>
      <c r="H1660" s="15"/>
      <c r="I1660" s="14"/>
      <c r="J1660" s="14"/>
      <c r="K1660" s="14"/>
      <c r="L1660" s="14"/>
      <c r="M1660" s="14"/>
    </row>
    <row r="1661" ht="18.75" customHeight="1">
      <c r="A1661" s="14"/>
      <c r="B1661" s="14"/>
      <c r="C1661" s="14"/>
      <c r="D1661" s="14"/>
      <c r="E1661" s="15"/>
      <c r="F1661" s="14"/>
      <c r="G1661" s="14"/>
      <c r="H1661" s="15"/>
      <c r="I1661" s="14"/>
      <c r="J1661" s="14"/>
      <c r="K1661" s="14"/>
      <c r="L1661" s="14"/>
      <c r="M1661" s="14"/>
    </row>
    <row r="1662" ht="18.75" customHeight="1">
      <c r="A1662" s="14"/>
      <c r="B1662" s="14"/>
      <c r="C1662" s="14"/>
      <c r="D1662" s="14"/>
      <c r="E1662" s="15"/>
      <c r="F1662" s="14"/>
      <c r="G1662" s="14"/>
      <c r="H1662" s="15"/>
      <c r="I1662" s="14"/>
      <c r="J1662" s="14"/>
      <c r="K1662" s="14"/>
      <c r="L1662" s="14"/>
      <c r="M1662" s="14"/>
    </row>
    <row r="1663" ht="18.75" customHeight="1">
      <c r="A1663" s="14"/>
      <c r="B1663" s="14"/>
      <c r="C1663" s="14"/>
      <c r="D1663" s="14"/>
      <c r="E1663" s="15"/>
      <c r="F1663" s="14"/>
      <c r="G1663" s="14"/>
      <c r="H1663" s="15"/>
      <c r="I1663" s="14"/>
      <c r="J1663" s="14"/>
      <c r="K1663" s="14"/>
      <c r="L1663" s="14"/>
      <c r="M1663" s="14"/>
    </row>
    <row r="1664" ht="18.75" customHeight="1">
      <c r="A1664" s="14"/>
      <c r="B1664" s="14"/>
      <c r="C1664" s="14"/>
      <c r="D1664" s="14"/>
      <c r="E1664" s="15"/>
      <c r="F1664" s="14"/>
      <c r="G1664" s="14"/>
      <c r="H1664" s="15"/>
      <c r="I1664" s="14"/>
      <c r="J1664" s="14"/>
      <c r="K1664" s="14"/>
      <c r="L1664" s="14"/>
      <c r="M1664" s="14"/>
    </row>
    <row r="1665" ht="18.75" customHeight="1">
      <c r="A1665" s="14"/>
      <c r="B1665" s="14"/>
      <c r="C1665" s="14"/>
      <c r="D1665" s="14"/>
      <c r="E1665" s="15"/>
      <c r="F1665" s="14"/>
      <c r="G1665" s="14"/>
      <c r="H1665" s="15"/>
      <c r="I1665" s="14"/>
      <c r="J1665" s="14"/>
      <c r="K1665" s="14"/>
      <c r="L1665" s="14"/>
      <c r="M1665" s="14"/>
    </row>
    <row r="1666" ht="18.75" customHeight="1">
      <c r="A1666" s="14"/>
      <c r="B1666" s="14"/>
      <c r="C1666" s="14"/>
      <c r="D1666" s="14"/>
      <c r="E1666" s="15"/>
      <c r="F1666" s="14"/>
      <c r="G1666" s="14"/>
      <c r="H1666" s="15"/>
      <c r="I1666" s="14"/>
      <c r="J1666" s="14"/>
      <c r="K1666" s="14"/>
      <c r="L1666" s="14"/>
      <c r="M1666" s="14"/>
    </row>
    <row r="1667" ht="18.75" customHeight="1">
      <c r="A1667" s="14"/>
      <c r="B1667" s="14"/>
      <c r="C1667" s="14"/>
      <c r="D1667" s="14"/>
      <c r="E1667" s="15"/>
      <c r="F1667" s="14"/>
      <c r="G1667" s="14"/>
      <c r="H1667" s="15"/>
      <c r="I1667" s="14"/>
      <c r="J1667" s="14"/>
      <c r="K1667" s="14"/>
      <c r="L1667" s="14"/>
      <c r="M1667" s="14"/>
    </row>
    <row r="1668" ht="18.75" customHeight="1">
      <c r="A1668" s="14"/>
      <c r="B1668" s="14"/>
      <c r="C1668" s="14"/>
      <c r="D1668" s="14"/>
      <c r="E1668" s="15"/>
      <c r="F1668" s="14"/>
      <c r="G1668" s="14"/>
      <c r="I1668" s="14"/>
      <c r="J1668" s="14"/>
      <c r="K1668" s="14"/>
      <c r="L1668" s="14"/>
    </row>
    <row r="1669" ht="18.75" customHeight="1">
      <c r="A1669" s="14"/>
      <c r="B1669" s="14"/>
      <c r="C1669" s="14"/>
      <c r="D1669" s="14"/>
      <c r="E1669" s="15"/>
      <c r="F1669" s="14"/>
      <c r="G1669" s="14"/>
      <c r="H1669" s="15"/>
      <c r="I1669" s="14"/>
      <c r="J1669" s="14"/>
      <c r="K1669" s="14"/>
      <c r="L1669" s="14"/>
      <c r="M1669" s="14"/>
    </row>
    <row r="1670" ht="18.75" customHeight="1">
      <c r="A1670" s="14"/>
      <c r="B1670" s="14"/>
      <c r="C1670" s="14"/>
      <c r="D1670" s="14"/>
      <c r="E1670" s="15"/>
      <c r="F1670" s="14"/>
      <c r="G1670" s="14"/>
      <c r="H1670" s="15"/>
      <c r="I1670" s="14"/>
      <c r="J1670" s="14"/>
      <c r="K1670" s="14"/>
      <c r="L1670" s="14"/>
      <c r="M1670" s="14"/>
    </row>
    <row r="1671" ht="18.75" customHeight="1">
      <c r="A1671" s="14"/>
      <c r="B1671" s="14"/>
      <c r="C1671" s="14"/>
      <c r="D1671" s="14"/>
      <c r="E1671" s="15"/>
      <c r="F1671" s="14"/>
      <c r="G1671" s="14"/>
      <c r="H1671" s="15"/>
      <c r="I1671" s="14"/>
      <c r="J1671" s="14"/>
      <c r="K1671" s="14"/>
      <c r="L1671" s="14"/>
      <c r="M1671" s="14"/>
    </row>
    <row r="1672" ht="18.75" customHeight="1">
      <c r="A1672" s="14"/>
      <c r="B1672" s="14"/>
      <c r="C1672" s="14"/>
      <c r="D1672" s="14"/>
      <c r="E1672" s="15"/>
      <c r="F1672" s="14"/>
      <c r="G1672" s="14"/>
      <c r="H1672" s="15"/>
      <c r="I1672" s="14"/>
      <c r="J1672" s="14"/>
      <c r="K1672" s="14"/>
      <c r="L1672" s="14"/>
      <c r="M1672" s="14"/>
    </row>
    <row r="1673" ht="18.75" customHeight="1">
      <c r="A1673" s="14"/>
      <c r="B1673" s="14"/>
      <c r="C1673" s="14"/>
      <c r="D1673" s="14"/>
      <c r="E1673" s="15"/>
      <c r="F1673" s="14"/>
      <c r="G1673" s="14"/>
      <c r="H1673" s="15"/>
      <c r="I1673" s="14"/>
      <c r="J1673" s="14"/>
      <c r="K1673" s="14"/>
      <c r="L1673" s="14"/>
      <c r="M1673" s="14"/>
    </row>
    <row r="1674" ht="18.75" customHeight="1">
      <c r="A1674" s="14"/>
      <c r="B1674" s="14"/>
      <c r="C1674" s="14"/>
      <c r="D1674" s="14"/>
      <c r="E1674" s="15"/>
      <c r="F1674" s="14"/>
      <c r="G1674" s="14"/>
      <c r="H1674" s="15"/>
      <c r="I1674" s="14"/>
      <c r="J1674" s="14"/>
      <c r="K1674" s="14"/>
      <c r="L1674" s="14"/>
      <c r="M1674" s="14"/>
    </row>
    <row r="1675" ht="18.75" customHeight="1">
      <c r="A1675" s="14"/>
      <c r="B1675" s="14"/>
      <c r="C1675" s="14"/>
      <c r="D1675" s="14"/>
      <c r="E1675" s="15"/>
      <c r="F1675" s="14"/>
      <c r="G1675" s="14"/>
      <c r="H1675" s="15"/>
      <c r="I1675" s="14"/>
      <c r="J1675" s="14"/>
      <c r="K1675" s="14"/>
      <c r="L1675" s="14"/>
      <c r="M1675" s="14"/>
    </row>
    <row r="1676" ht="18.75" customHeight="1">
      <c r="A1676" s="14"/>
      <c r="B1676" s="14"/>
      <c r="C1676" s="14"/>
      <c r="D1676" s="14"/>
      <c r="E1676" s="15"/>
      <c r="F1676" s="14"/>
      <c r="G1676" s="14"/>
      <c r="H1676" s="15"/>
      <c r="I1676" s="14"/>
      <c r="J1676" s="14"/>
      <c r="K1676" s="14"/>
      <c r="L1676" s="14"/>
      <c r="M1676" s="14"/>
    </row>
    <row r="1677" ht="18.75" customHeight="1">
      <c r="A1677" s="14"/>
      <c r="B1677" s="14"/>
      <c r="C1677" s="14"/>
      <c r="D1677" s="14"/>
      <c r="E1677" s="15"/>
      <c r="F1677" s="14"/>
      <c r="G1677" s="14"/>
      <c r="H1677" s="15"/>
      <c r="I1677" s="14"/>
      <c r="J1677" s="14"/>
      <c r="K1677" s="14"/>
      <c r="L1677" s="14"/>
      <c r="M1677" s="14"/>
    </row>
    <row r="1678" ht="18.75" customHeight="1">
      <c r="A1678" s="14"/>
      <c r="B1678" s="14"/>
      <c r="C1678" s="14"/>
      <c r="D1678" s="14"/>
      <c r="E1678" s="15"/>
      <c r="F1678" s="14"/>
      <c r="G1678" s="14"/>
      <c r="H1678" s="15"/>
      <c r="I1678" s="14"/>
      <c r="J1678" s="14"/>
      <c r="K1678" s="14"/>
      <c r="L1678" s="14"/>
      <c r="M1678" s="14"/>
    </row>
    <row r="1679" ht="18.75" customHeight="1">
      <c r="A1679" s="14"/>
      <c r="B1679" s="14"/>
      <c r="C1679" s="14"/>
      <c r="D1679" s="14"/>
      <c r="E1679" s="15"/>
      <c r="F1679" s="14"/>
      <c r="G1679" s="14"/>
      <c r="H1679" s="15"/>
      <c r="I1679" s="14"/>
      <c r="J1679" s="14"/>
      <c r="K1679" s="14"/>
      <c r="L1679" s="14"/>
      <c r="M1679" s="14"/>
    </row>
    <row r="1680" ht="18.75" customHeight="1">
      <c r="A1680" s="14"/>
      <c r="B1680" s="14"/>
      <c r="C1680" s="14"/>
      <c r="D1680" s="14"/>
      <c r="E1680" s="15"/>
      <c r="F1680" s="14"/>
      <c r="G1680" s="14"/>
      <c r="H1680" s="15"/>
      <c r="I1680" s="14"/>
      <c r="J1680" s="14"/>
      <c r="K1680" s="14"/>
      <c r="L1680" s="14"/>
      <c r="M1680" s="14"/>
    </row>
    <row r="1681" ht="18.75" customHeight="1">
      <c r="A1681" s="14"/>
      <c r="B1681" s="14"/>
      <c r="C1681" s="14"/>
      <c r="D1681" s="14"/>
      <c r="E1681" s="15"/>
      <c r="F1681" s="14"/>
      <c r="G1681" s="14"/>
      <c r="H1681" s="15"/>
      <c r="I1681" s="14"/>
      <c r="J1681" s="14"/>
      <c r="K1681" s="14"/>
      <c r="L1681" s="14"/>
      <c r="M1681" s="14"/>
    </row>
    <row r="1682" ht="18.75" customHeight="1">
      <c r="A1682" s="14"/>
      <c r="B1682" s="14"/>
      <c r="C1682" s="14"/>
      <c r="D1682" s="14"/>
      <c r="E1682" s="15"/>
      <c r="F1682" s="14"/>
      <c r="G1682" s="14"/>
      <c r="H1682" s="15"/>
      <c r="I1682" s="14"/>
      <c r="J1682" s="14"/>
      <c r="K1682" s="14"/>
      <c r="L1682" s="14"/>
      <c r="M1682" s="14"/>
    </row>
    <row r="1683" ht="18.75" customHeight="1">
      <c r="A1683" s="14"/>
      <c r="B1683" s="14"/>
      <c r="C1683" s="14"/>
      <c r="D1683" s="14"/>
      <c r="E1683" s="15"/>
      <c r="F1683" s="14"/>
      <c r="G1683" s="14"/>
      <c r="H1683" s="15"/>
      <c r="I1683" s="14"/>
      <c r="J1683" s="14"/>
      <c r="K1683" s="14"/>
      <c r="L1683" s="14"/>
      <c r="M1683" s="14"/>
    </row>
    <row r="1684" ht="18.75" customHeight="1">
      <c r="A1684" s="14"/>
      <c r="B1684" s="14"/>
      <c r="C1684" s="14"/>
      <c r="D1684" s="14"/>
      <c r="E1684" s="15"/>
      <c r="F1684" s="14"/>
      <c r="G1684" s="14"/>
      <c r="H1684" s="15"/>
      <c r="I1684" s="14"/>
      <c r="J1684" s="14"/>
      <c r="K1684" s="14"/>
      <c r="L1684" s="14"/>
      <c r="M1684" s="14"/>
    </row>
    <row r="1685" ht="18.75" customHeight="1">
      <c r="A1685" s="14"/>
      <c r="B1685" s="14"/>
      <c r="C1685" s="14"/>
      <c r="D1685" s="14"/>
      <c r="E1685" s="15"/>
      <c r="F1685" s="14"/>
      <c r="G1685" s="14"/>
      <c r="H1685" s="15"/>
      <c r="I1685" s="14"/>
      <c r="J1685" s="14"/>
      <c r="K1685" s="14"/>
      <c r="L1685" s="14"/>
      <c r="M1685" s="14"/>
    </row>
    <row r="1686" ht="18.75" customHeight="1">
      <c r="A1686" s="14"/>
      <c r="B1686" s="14"/>
      <c r="C1686" s="14"/>
      <c r="D1686" s="14"/>
      <c r="E1686" s="15"/>
      <c r="F1686" s="14"/>
      <c r="G1686" s="14"/>
      <c r="H1686" s="15"/>
      <c r="I1686" s="14"/>
      <c r="J1686" s="14"/>
      <c r="K1686" s="14"/>
      <c r="L1686" s="14"/>
      <c r="M1686" s="14"/>
    </row>
    <row r="1687" ht="18.75" customHeight="1">
      <c r="A1687" s="14"/>
      <c r="B1687" s="14"/>
      <c r="C1687" s="14"/>
      <c r="D1687" s="14"/>
      <c r="E1687" s="15"/>
      <c r="F1687" s="14"/>
      <c r="G1687" s="14"/>
      <c r="H1687" s="15"/>
      <c r="I1687" s="14"/>
      <c r="J1687" s="14"/>
      <c r="K1687" s="14"/>
      <c r="L1687" s="14"/>
      <c r="M1687" s="14"/>
    </row>
    <row r="1688" ht="18.75" customHeight="1">
      <c r="A1688" s="14"/>
      <c r="B1688" s="14"/>
      <c r="C1688" s="14"/>
      <c r="D1688" s="14"/>
      <c r="E1688" s="15"/>
      <c r="F1688" s="14"/>
      <c r="G1688" s="14"/>
      <c r="H1688" s="15"/>
      <c r="I1688" s="14"/>
      <c r="J1688" s="14"/>
      <c r="K1688" s="14"/>
      <c r="L1688" s="14"/>
      <c r="M1688" s="14"/>
    </row>
    <row r="1689" ht="18.75" customHeight="1">
      <c r="A1689" s="14"/>
      <c r="B1689" s="14"/>
      <c r="C1689" s="14"/>
      <c r="D1689" s="14"/>
      <c r="E1689" s="15"/>
      <c r="F1689" s="14"/>
      <c r="G1689" s="14"/>
      <c r="H1689" s="15"/>
      <c r="I1689" s="14"/>
      <c r="J1689" s="14"/>
      <c r="K1689" s="14"/>
      <c r="L1689" s="14"/>
      <c r="M1689" s="14"/>
    </row>
    <row r="1690" ht="18.75" customHeight="1">
      <c r="A1690" s="14"/>
      <c r="B1690" s="14"/>
      <c r="C1690" s="14"/>
      <c r="D1690" s="14"/>
      <c r="E1690" s="15"/>
      <c r="F1690" s="14"/>
      <c r="G1690" s="14"/>
      <c r="H1690" s="15"/>
      <c r="I1690" s="14"/>
      <c r="J1690" s="14"/>
      <c r="K1690" s="14"/>
      <c r="L1690" s="14"/>
      <c r="M1690" s="14"/>
    </row>
    <row r="1691" ht="18.75" customHeight="1">
      <c r="A1691" s="14"/>
      <c r="B1691" s="14"/>
      <c r="C1691" s="14"/>
      <c r="D1691" s="14"/>
      <c r="E1691" s="15"/>
      <c r="F1691" s="14"/>
      <c r="G1691" s="14"/>
      <c r="H1691" s="15"/>
      <c r="I1691" s="14"/>
      <c r="J1691" s="14"/>
      <c r="K1691" s="14"/>
      <c r="L1691" s="14"/>
      <c r="M1691" s="14"/>
    </row>
    <row r="1692" ht="18.75" customHeight="1">
      <c r="A1692" s="14"/>
      <c r="B1692" s="14"/>
      <c r="C1692" s="14"/>
      <c r="D1692" s="14"/>
      <c r="E1692" s="15"/>
      <c r="F1692" s="14"/>
      <c r="G1692" s="14"/>
      <c r="H1692" s="15"/>
      <c r="I1692" s="14"/>
      <c r="J1692" s="14"/>
      <c r="K1692" s="14"/>
      <c r="L1692" s="14"/>
      <c r="M1692" s="14"/>
    </row>
    <row r="1693" ht="18.75" customHeight="1">
      <c r="A1693" s="14"/>
      <c r="B1693" s="14"/>
      <c r="C1693" s="14"/>
      <c r="D1693" s="14"/>
      <c r="E1693" s="15"/>
      <c r="F1693" s="14"/>
      <c r="G1693" s="14"/>
      <c r="H1693" s="15"/>
      <c r="I1693" s="14"/>
      <c r="J1693" s="14"/>
      <c r="K1693" s="14"/>
      <c r="L1693" s="14"/>
      <c r="M1693" s="14"/>
    </row>
    <row r="1694" ht="18.75" customHeight="1">
      <c r="A1694" s="14"/>
      <c r="B1694" s="14"/>
      <c r="C1694" s="14"/>
      <c r="D1694" s="14"/>
      <c r="E1694" s="15"/>
      <c r="F1694" s="14"/>
      <c r="G1694" s="14"/>
      <c r="H1694" s="15"/>
      <c r="I1694" s="14"/>
      <c r="J1694" s="14"/>
      <c r="K1694" s="14"/>
      <c r="L1694" s="14"/>
      <c r="M1694" s="14"/>
    </row>
    <row r="1695" ht="18.75" customHeight="1">
      <c r="A1695" s="14"/>
      <c r="B1695" s="14"/>
      <c r="C1695" s="14"/>
      <c r="D1695" s="14"/>
      <c r="E1695" s="15"/>
      <c r="F1695" s="14"/>
      <c r="G1695" s="14"/>
      <c r="H1695" s="15"/>
      <c r="I1695" s="14"/>
      <c r="J1695" s="14"/>
      <c r="K1695" s="14"/>
      <c r="L1695" s="14"/>
      <c r="M1695" s="14"/>
    </row>
    <row r="1696" ht="18.75" customHeight="1">
      <c r="A1696" s="14"/>
      <c r="B1696" s="14"/>
      <c r="C1696" s="14"/>
      <c r="D1696" s="14"/>
      <c r="E1696" s="15"/>
      <c r="F1696" s="14"/>
      <c r="G1696" s="14"/>
      <c r="H1696" s="15"/>
      <c r="I1696" s="14"/>
      <c r="J1696" s="14"/>
      <c r="K1696" s="14"/>
      <c r="L1696" s="14"/>
      <c r="M1696" s="14"/>
    </row>
    <row r="1697" ht="18.75" customHeight="1">
      <c r="A1697" s="14"/>
      <c r="B1697" s="14"/>
      <c r="C1697" s="14"/>
      <c r="D1697" s="14"/>
      <c r="E1697" s="15"/>
      <c r="F1697" s="14"/>
      <c r="G1697" s="14"/>
      <c r="H1697" s="15"/>
      <c r="I1697" s="14"/>
      <c r="J1697" s="14"/>
      <c r="K1697" s="14"/>
      <c r="L1697" s="14"/>
      <c r="M1697" s="14"/>
    </row>
    <row r="1698" ht="18.75" customHeight="1">
      <c r="A1698" s="14"/>
      <c r="B1698" s="14"/>
      <c r="C1698" s="14"/>
      <c r="D1698" s="14"/>
      <c r="E1698" s="15"/>
      <c r="F1698" s="14"/>
      <c r="G1698" s="14"/>
      <c r="H1698" s="15"/>
      <c r="I1698" s="14"/>
      <c r="J1698" s="14"/>
      <c r="K1698" s="14"/>
      <c r="L1698" s="14"/>
      <c r="M1698" s="14"/>
    </row>
    <row r="1699" ht="18.75" customHeight="1">
      <c r="A1699" s="14"/>
      <c r="B1699" s="14"/>
      <c r="C1699" s="14"/>
      <c r="D1699" s="14"/>
      <c r="E1699" s="15"/>
      <c r="F1699" s="14"/>
      <c r="G1699" s="14"/>
      <c r="H1699" s="15"/>
      <c r="I1699" s="14"/>
      <c r="J1699" s="14"/>
      <c r="K1699" s="14"/>
      <c r="L1699" s="14"/>
      <c r="M1699" s="14"/>
    </row>
    <row r="1700" ht="18.75" customHeight="1">
      <c r="A1700" s="14"/>
      <c r="B1700" s="14"/>
      <c r="C1700" s="14"/>
      <c r="D1700" s="14"/>
      <c r="E1700" s="15"/>
      <c r="F1700" s="14"/>
      <c r="G1700" s="14"/>
      <c r="H1700" s="15"/>
      <c r="I1700" s="14"/>
      <c r="J1700" s="14"/>
      <c r="K1700" s="14"/>
      <c r="L1700" s="14"/>
      <c r="M1700" s="14"/>
    </row>
    <row r="1701" ht="18.75" customHeight="1">
      <c r="A1701" s="14"/>
      <c r="B1701" s="14"/>
      <c r="C1701" s="14"/>
      <c r="D1701" s="14"/>
      <c r="E1701" s="15"/>
      <c r="F1701" s="14"/>
      <c r="G1701" s="14"/>
      <c r="H1701" s="15"/>
      <c r="I1701" s="14"/>
      <c r="J1701" s="14"/>
      <c r="K1701" s="14"/>
      <c r="L1701" s="14"/>
      <c r="M1701" s="14"/>
    </row>
    <row r="1702" ht="18.75" customHeight="1">
      <c r="A1702" s="14"/>
      <c r="B1702" s="14"/>
      <c r="C1702" s="14"/>
      <c r="D1702" s="14"/>
      <c r="E1702" s="15"/>
      <c r="F1702" s="14"/>
      <c r="G1702" s="14"/>
      <c r="H1702" s="15"/>
      <c r="I1702" s="14"/>
      <c r="J1702" s="14"/>
      <c r="K1702" s="14"/>
      <c r="L1702" s="14"/>
      <c r="M1702" s="14"/>
    </row>
    <row r="1703" ht="18.75" customHeight="1">
      <c r="A1703" s="14"/>
      <c r="B1703" s="14"/>
      <c r="C1703" s="14"/>
      <c r="D1703" s="14"/>
      <c r="E1703" s="15"/>
      <c r="F1703" s="14"/>
      <c r="G1703" s="14"/>
      <c r="H1703" s="15"/>
      <c r="I1703" s="14"/>
      <c r="J1703" s="14"/>
      <c r="K1703" s="14"/>
      <c r="L1703" s="14"/>
      <c r="M1703" s="14"/>
    </row>
    <row r="1704" ht="18.75" customHeight="1">
      <c r="A1704" s="14"/>
      <c r="B1704" s="14"/>
      <c r="C1704" s="14"/>
      <c r="D1704" s="14"/>
      <c r="E1704" s="15"/>
      <c r="F1704" s="14"/>
      <c r="G1704" s="14"/>
      <c r="H1704" s="15"/>
      <c r="I1704" s="14"/>
      <c r="J1704" s="14"/>
      <c r="K1704" s="14"/>
      <c r="L1704" s="14"/>
      <c r="M1704" s="14"/>
    </row>
    <row r="1705" ht="18.75" customHeight="1">
      <c r="A1705" s="14"/>
      <c r="B1705" s="14"/>
      <c r="C1705" s="14"/>
      <c r="D1705" s="14"/>
      <c r="E1705" s="15"/>
      <c r="F1705" s="14"/>
      <c r="G1705" s="14"/>
      <c r="H1705" s="15"/>
      <c r="I1705" s="14"/>
      <c r="J1705" s="14"/>
      <c r="K1705" s="14"/>
      <c r="L1705" s="14"/>
      <c r="M1705" s="14"/>
    </row>
    <row r="1706" ht="18.75" customHeight="1">
      <c r="A1706" s="14"/>
      <c r="B1706" s="14"/>
      <c r="C1706" s="14"/>
      <c r="D1706" s="14"/>
      <c r="E1706" s="15"/>
      <c r="F1706" s="14"/>
      <c r="G1706" s="14"/>
      <c r="H1706" s="15"/>
      <c r="I1706" s="14"/>
      <c r="J1706" s="14"/>
      <c r="K1706" s="14"/>
      <c r="L1706" s="14"/>
      <c r="M1706" s="14"/>
    </row>
    <row r="1707" ht="18.75" customHeight="1">
      <c r="A1707" s="14"/>
      <c r="B1707" s="14"/>
      <c r="C1707" s="14"/>
      <c r="D1707" s="14"/>
      <c r="E1707" s="15"/>
      <c r="F1707" s="14"/>
      <c r="G1707" s="14"/>
      <c r="H1707" s="15"/>
      <c r="I1707" s="14"/>
      <c r="J1707" s="14"/>
      <c r="K1707" s="14"/>
      <c r="L1707" s="14"/>
      <c r="M1707" s="14"/>
    </row>
    <row r="1708" ht="18.75" customHeight="1">
      <c r="A1708" s="14"/>
      <c r="B1708" s="14"/>
      <c r="C1708" s="14"/>
      <c r="D1708" s="14"/>
      <c r="E1708" s="15"/>
      <c r="F1708" s="14"/>
      <c r="G1708" s="14"/>
      <c r="H1708" s="15"/>
      <c r="I1708" s="14"/>
      <c r="J1708" s="14"/>
      <c r="K1708" s="14"/>
      <c r="L1708" s="14"/>
      <c r="M1708" s="14"/>
    </row>
    <row r="1709" ht="18.75" customHeight="1">
      <c r="A1709" s="14"/>
      <c r="B1709" s="14"/>
      <c r="C1709" s="14"/>
      <c r="D1709" s="14"/>
      <c r="E1709" s="15"/>
      <c r="F1709" s="14"/>
      <c r="G1709" s="14"/>
      <c r="H1709" s="15"/>
      <c r="I1709" s="14"/>
      <c r="J1709" s="14"/>
      <c r="K1709" s="14"/>
      <c r="L1709" s="14"/>
      <c r="M1709" s="14"/>
    </row>
    <row r="1710" ht="18.75" customHeight="1">
      <c r="A1710" s="14"/>
      <c r="B1710" s="14"/>
      <c r="C1710" s="14"/>
      <c r="D1710" s="14"/>
      <c r="E1710" s="15"/>
      <c r="F1710" s="14"/>
      <c r="G1710" s="14"/>
      <c r="H1710" s="15"/>
      <c r="I1710" s="14"/>
      <c r="J1710" s="14"/>
      <c r="K1710" s="14"/>
      <c r="L1710" s="14"/>
      <c r="M1710" s="14"/>
    </row>
    <row r="1711" ht="18.75" customHeight="1">
      <c r="A1711" s="14"/>
      <c r="B1711" s="14"/>
      <c r="C1711" s="14"/>
      <c r="D1711" s="14"/>
      <c r="E1711" s="15"/>
      <c r="F1711" s="14"/>
      <c r="G1711" s="14"/>
      <c r="H1711" s="15"/>
      <c r="I1711" s="14"/>
      <c r="J1711" s="14"/>
      <c r="K1711" s="14"/>
      <c r="L1711" s="14"/>
      <c r="M1711" s="14"/>
    </row>
    <row r="1712" ht="18.75" customHeight="1">
      <c r="A1712" s="14"/>
      <c r="B1712" s="14"/>
      <c r="C1712" s="14"/>
      <c r="D1712" s="14"/>
      <c r="E1712" s="15"/>
      <c r="F1712" s="14"/>
      <c r="G1712" s="14"/>
      <c r="H1712" s="15"/>
      <c r="I1712" s="14"/>
      <c r="J1712" s="14"/>
      <c r="K1712" s="14"/>
      <c r="L1712" s="14"/>
      <c r="M1712" s="14"/>
    </row>
    <row r="1713" ht="18.75" customHeight="1">
      <c r="A1713" s="14"/>
      <c r="B1713" s="14"/>
      <c r="C1713" s="14"/>
      <c r="D1713" s="14"/>
      <c r="E1713" s="15"/>
      <c r="F1713" s="14"/>
      <c r="G1713" s="14"/>
      <c r="H1713" s="15"/>
      <c r="I1713" s="14"/>
      <c r="J1713" s="14"/>
      <c r="K1713" s="14"/>
      <c r="L1713" s="14"/>
      <c r="M1713" s="14"/>
    </row>
    <row r="1714" ht="18.75" customHeight="1">
      <c r="A1714" s="14"/>
      <c r="B1714" s="14"/>
      <c r="C1714" s="14"/>
      <c r="D1714" s="14"/>
      <c r="E1714" s="15"/>
      <c r="F1714" s="14"/>
      <c r="G1714" s="14"/>
      <c r="H1714" s="15"/>
      <c r="I1714" s="14"/>
      <c r="J1714" s="14"/>
      <c r="K1714" s="14"/>
      <c r="L1714" s="14"/>
      <c r="M1714" s="14"/>
    </row>
    <row r="1715" ht="18.75" customHeight="1">
      <c r="A1715" s="14"/>
      <c r="B1715" s="14"/>
      <c r="C1715" s="14"/>
      <c r="D1715" s="14"/>
      <c r="E1715" s="15"/>
      <c r="F1715" s="14"/>
      <c r="G1715" s="14"/>
      <c r="H1715" s="15"/>
      <c r="I1715" s="14"/>
      <c r="J1715" s="14"/>
      <c r="K1715" s="14"/>
      <c r="L1715" s="14"/>
      <c r="M1715" s="14"/>
    </row>
    <row r="1716" ht="18.75" customHeight="1">
      <c r="A1716" s="14"/>
      <c r="B1716" s="14"/>
      <c r="C1716" s="14"/>
      <c r="D1716" s="14"/>
      <c r="E1716" s="15"/>
      <c r="F1716" s="14"/>
      <c r="G1716" s="14"/>
      <c r="H1716" s="15"/>
      <c r="I1716" s="14"/>
      <c r="J1716" s="14"/>
      <c r="K1716" s="14"/>
      <c r="L1716" s="14"/>
      <c r="M1716" s="14"/>
    </row>
    <row r="1717" ht="18.75" customHeight="1">
      <c r="A1717" s="14"/>
      <c r="B1717" s="14"/>
      <c r="C1717" s="14"/>
      <c r="D1717" s="14"/>
      <c r="E1717" s="15"/>
      <c r="F1717" s="14"/>
      <c r="G1717" s="14"/>
      <c r="H1717" s="15"/>
      <c r="I1717" s="14"/>
      <c r="J1717" s="14"/>
      <c r="K1717" s="14"/>
      <c r="L1717" s="14"/>
      <c r="M1717" s="14"/>
    </row>
    <row r="1718" ht="18.75" customHeight="1">
      <c r="A1718" s="14"/>
      <c r="B1718" s="14"/>
      <c r="C1718" s="14"/>
      <c r="D1718" s="14"/>
      <c r="E1718" s="15"/>
      <c r="F1718" s="14"/>
      <c r="G1718" s="14"/>
      <c r="H1718" s="15"/>
      <c r="I1718" s="14"/>
      <c r="J1718" s="14"/>
      <c r="K1718" s="14"/>
      <c r="L1718" s="14"/>
      <c r="M1718" s="14"/>
    </row>
    <row r="1719" ht="18.75" customHeight="1">
      <c r="A1719" s="14"/>
      <c r="B1719" s="14"/>
      <c r="C1719" s="14"/>
      <c r="D1719" s="14"/>
      <c r="E1719" s="15"/>
      <c r="F1719" s="14"/>
      <c r="G1719" s="14"/>
      <c r="H1719" s="15"/>
      <c r="I1719" s="14"/>
      <c r="J1719" s="14"/>
      <c r="K1719" s="14"/>
      <c r="L1719" s="14"/>
      <c r="M1719" s="14"/>
    </row>
    <row r="1720" ht="18.75" customHeight="1">
      <c r="A1720" s="14"/>
      <c r="B1720" s="14"/>
      <c r="C1720" s="14"/>
      <c r="D1720" s="14"/>
      <c r="E1720" s="15"/>
      <c r="F1720" s="14"/>
      <c r="G1720" s="14"/>
      <c r="H1720" s="15"/>
      <c r="I1720" s="14"/>
      <c r="J1720" s="14"/>
      <c r="K1720" s="14"/>
      <c r="L1720" s="14"/>
      <c r="M1720" s="14"/>
    </row>
    <row r="1721" ht="18.75" customHeight="1">
      <c r="A1721" s="14"/>
      <c r="B1721" s="14"/>
      <c r="C1721" s="14"/>
      <c r="D1721" s="14"/>
      <c r="E1721" s="15"/>
      <c r="F1721" s="14"/>
      <c r="G1721" s="14"/>
      <c r="H1721" s="15"/>
      <c r="I1721" s="14"/>
      <c r="J1721" s="14"/>
      <c r="K1721" s="14"/>
      <c r="L1721" s="14"/>
      <c r="M1721" s="14"/>
    </row>
    <row r="1722" ht="18.75" customHeight="1">
      <c r="A1722" s="14"/>
      <c r="B1722" s="14"/>
      <c r="C1722" s="14"/>
      <c r="D1722" s="14"/>
      <c r="E1722" s="15"/>
      <c r="F1722" s="14"/>
      <c r="G1722" s="14"/>
      <c r="H1722" s="15"/>
      <c r="I1722" s="14"/>
      <c r="J1722" s="14"/>
      <c r="K1722" s="14"/>
      <c r="L1722" s="14"/>
      <c r="M1722" s="14"/>
    </row>
    <row r="1723" ht="18.75" customHeight="1">
      <c r="A1723" s="14"/>
      <c r="B1723" s="14"/>
      <c r="C1723" s="14"/>
      <c r="D1723" s="14"/>
      <c r="E1723" s="15"/>
      <c r="F1723" s="14"/>
      <c r="G1723" s="14"/>
      <c r="H1723" s="15"/>
      <c r="I1723" s="14"/>
      <c r="J1723" s="14"/>
      <c r="K1723" s="14"/>
      <c r="L1723" s="14"/>
      <c r="M1723" s="14"/>
    </row>
    <row r="1724" ht="18.75" customHeight="1">
      <c r="A1724" s="14"/>
      <c r="B1724" s="14"/>
      <c r="C1724" s="14"/>
      <c r="D1724" s="14"/>
      <c r="E1724" s="15"/>
      <c r="F1724" s="14"/>
      <c r="G1724" s="14"/>
      <c r="H1724" s="15"/>
      <c r="I1724" s="14"/>
      <c r="J1724" s="14"/>
      <c r="K1724" s="14"/>
      <c r="L1724" s="14"/>
      <c r="M1724" s="14"/>
    </row>
    <row r="1725" ht="18.75" customHeight="1">
      <c r="A1725" s="14"/>
      <c r="B1725" s="14"/>
      <c r="C1725" s="14"/>
      <c r="D1725" s="14"/>
      <c r="E1725" s="15"/>
      <c r="F1725" s="14"/>
      <c r="G1725" s="14"/>
      <c r="H1725" s="15"/>
      <c r="I1725" s="14"/>
      <c r="J1725" s="14"/>
      <c r="K1725" s="14"/>
      <c r="L1725" s="14"/>
      <c r="M1725" s="14"/>
    </row>
    <row r="1726" ht="18.75" customHeight="1">
      <c r="A1726" s="14"/>
      <c r="B1726" s="14"/>
      <c r="C1726" s="14"/>
      <c r="D1726" s="14"/>
      <c r="E1726" s="15"/>
      <c r="F1726" s="14"/>
      <c r="G1726" s="14"/>
      <c r="H1726" s="15"/>
      <c r="I1726" s="14"/>
      <c r="J1726" s="14"/>
      <c r="K1726" s="14"/>
      <c r="L1726" s="14"/>
      <c r="M1726" s="14"/>
    </row>
    <row r="1727" ht="18.75" customHeight="1">
      <c r="A1727" s="14"/>
      <c r="B1727" s="14"/>
      <c r="C1727" s="14"/>
      <c r="D1727" s="14"/>
      <c r="E1727" s="15"/>
      <c r="F1727" s="14"/>
      <c r="G1727" s="14"/>
      <c r="H1727" s="15"/>
      <c r="I1727" s="14"/>
      <c r="J1727" s="14"/>
      <c r="K1727" s="14"/>
      <c r="L1727" s="14"/>
      <c r="M1727" s="14"/>
    </row>
    <row r="1728" ht="18.75" customHeight="1">
      <c r="A1728" s="14"/>
      <c r="B1728" s="14"/>
      <c r="C1728" s="14"/>
      <c r="D1728" s="14"/>
      <c r="E1728" s="15"/>
      <c r="F1728" s="14"/>
      <c r="G1728" s="14"/>
      <c r="H1728" s="15"/>
      <c r="I1728" s="14"/>
      <c r="J1728" s="14"/>
      <c r="K1728" s="14"/>
      <c r="L1728" s="14"/>
      <c r="M1728" s="14"/>
    </row>
    <row r="1729" ht="18.75" customHeight="1">
      <c r="A1729" s="14"/>
      <c r="B1729" s="14"/>
      <c r="C1729" s="14"/>
      <c r="D1729" s="14"/>
      <c r="E1729" s="15"/>
      <c r="F1729" s="14"/>
      <c r="G1729" s="14"/>
      <c r="H1729" s="15"/>
      <c r="I1729" s="14"/>
      <c r="J1729" s="14"/>
      <c r="K1729" s="14"/>
      <c r="L1729" s="14"/>
      <c r="M1729" s="14"/>
    </row>
    <row r="1730" ht="18.75" customHeight="1">
      <c r="A1730" s="14"/>
      <c r="B1730" s="14"/>
      <c r="C1730" s="14"/>
      <c r="D1730" s="14"/>
      <c r="E1730" s="15"/>
      <c r="F1730" s="14"/>
      <c r="G1730" s="14"/>
      <c r="H1730" s="15"/>
      <c r="I1730" s="14"/>
      <c r="J1730" s="14"/>
      <c r="K1730" s="14"/>
      <c r="L1730" s="14"/>
      <c r="M1730" s="14"/>
    </row>
    <row r="1731" ht="18.75" customHeight="1">
      <c r="A1731" s="14"/>
      <c r="B1731" s="14"/>
      <c r="C1731" s="14"/>
      <c r="D1731" s="14"/>
      <c r="E1731" s="15"/>
      <c r="F1731" s="14"/>
      <c r="G1731" s="14"/>
      <c r="H1731" s="15"/>
      <c r="I1731" s="14"/>
      <c r="J1731" s="14"/>
      <c r="K1731" s="14"/>
      <c r="L1731" s="14"/>
      <c r="M1731" s="14"/>
    </row>
    <row r="1732" ht="18.75" customHeight="1">
      <c r="A1732" s="14"/>
      <c r="B1732" s="14"/>
      <c r="C1732" s="14"/>
      <c r="D1732" s="14"/>
      <c r="E1732" s="15"/>
      <c r="F1732" s="14"/>
      <c r="G1732" s="14"/>
      <c r="H1732" s="15"/>
      <c r="I1732" s="14"/>
      <c r="J1732" s="14"/>
      <c r="K1732" s="14"/>
      <c r="L1732" s="14"/>
      <c r="M1732" s="14"/>
    </row>
    <row r="1733" ht="18.75" customHeight="1">
      <c r="A1733" s="14"/>
      <c r="B1733" s="14"/>
      <c r="C1733" s="14"/>
      <c r="D1733" s="14"/>
      <c r="E1733" s="15"/>
      <c r="F1733" s="14"/>
      <c r="G1733" s="14"/>
      <c r="H1733" s="15"/>
      <c r="I1733" s="14"/>
      <c r="J1733" s="14"/>
      <c r="K1733" s="14"/>
      <c r="L1733" s="14"/>
      <c r="M1733" s="14"/>
    </row>
    <row r="1734" ht="18.75" customHeight="1">
      <c r="A1734" s="14"/>
      <c r="B1734" s="14"/>
      <c r="C1734" s="14"/>
      <c r="D1734" s="14"/>
      <c r="E1734" s="15"/>
      <c r="F1734" s="14"/>
      <c r="G1734" s="14"/>
      <c r="H1734" s="15"/>
      <c r="I1734" s="14"/>
      <c r="J1734" s="14"/>
      <c r="K1734" s="14"/>
      <c r="L1734" s="14"/>
      <c r="M1734" s="14"/>
    </row>
    <row r="1735" ht="18.75" customHeight="1">
      <c r="A1735" s="14"/>
      <c r="B1735" s="14"/>
      <c r="C1735" s="14"/>
      <c r="D1735" s="14"/>
      <c r="E1735" s="15"/>
      <c r="F1735" s="14"/>
      <c r="G1735" s="14"/>
      <c r="H1735" s="15"/>
      <c r="I1735" s="14"/>
      <c r="J1735" s="14"/>
      <c r="K1735" s="14"/>
      <c r="L1735" s="14"/>
      <c r="M1735" s="14"/>
    </row>
    <row r="1736" ht="18.75" customHeight="1">
      <c r="A1736" s="14"/>
      <c r="B1736" s="14"/>
      <c r="C1736" s="14"/>
      <c r="D1736" s="14"/>
      <c r="E1736" s="15"/>
      <c r="F1736" s="14"/>
      <c r="G1736" s="14"/>
      <c r="H1736" s="15"/>
      <c r="I1736" s="14"/>
      <c r="J1736" s="14"/>
      <c r="K1736" s="14"/>
      <c r="L1736" s="14"/>
      <c r="M1736" s="14"/>
    </row>
    <row r="1737" ht="18.75" customHeight="1">
      <c r="A1737" s="14"/>
      <c r="B1737" s="14"/>
      <c r="C1737" s="14"/>
      <c r="D1737" s="14"/>
      <c r="E1737" s="15"/>
      <c r="F1737" s="14"/>
      <c r="G1737" s="14"/>
      <c r="H1737" s="15"/>
      <c r="I1737" s="14"/>
      <c r="J1737" s="14"/>
      <c r="K1737" s="14"/>
      <c r="L1737" s="14"/>
      <c r="M1737" s="14"/>
    </row>
    <row r="1738" ht="18.75" customHeight="1">
      <c r="A1738" s="14"/>
      <c r="B1738" s="14"/>
      <c r="C1738" s="14"/>
      <c r="D1738" s="14"/>
      <c r="E1738" s="15"/>
      <c r="F1738" s="14"/>
      <c r="G1738" s="14"/>
      <c r="H1738" s="15"/>
      <c r="I1738" s="14"/>
      <c r="J1738" s="14"/>
      <c r="K1738" s="14"/>
      <c r="L1738" s="14"/>
      <c r="M1738" s="14"/>
    </row>
    <row r="1739" ht="18.75" customHeight="1">
      <c r="A1739" s="14"/>
      <c r="B1739" s="14"/>
      <c r="C1739" s="14"/>
      <c r="D1739" s="14"/>
      <c r="E1739" s="15"/>
      <c r="F1739" s="14"/>
      <c r="G1739" s="14"/>
      <c r="H1739" s="15"/>
      <c r="I1739" s="14"/>
      <c r="J1739" s="14"/>
      <c r="K1739" s="14"/>
      <c r="L1739" s="14"/>
      <c r="M1739" s="14"/>
    </row>
    <row r="1740" ht="18.75" customHeight="1">
      <c r="A1740" s="14"/>
      <c r="B1740" s="14"/>
      <c r="C1740" s="14"/>
      <c r="D1740" s="14"/>
      <c r="E1740" s="15"/>
      <c r="F1740" s="14"/>
      <c r="G1740" s="14"/>
      <c r="H1740" s="15"/>
      <c r="I1740" s="14"/>
      <c r="J1740" s="14"/>
      <c r="K1740" s="14"/>
      <c r="L1740" s="14"/>
      <c r="M1740" s="14"/>
    </row>
    <row r="1741" ht="18.75" customHeight="1">
      <c r="A1741" s="14"/>
      <c r="B1741" s="14"/>
      <c r="C1741" s="14"/>
      <c r="D1741" s="14"/>
      <c r="E1741" s="15"/>
      <c r="F1741" s="14"/>
      <c r="G1741" s="14"/>
      <c r="H1741" s="15"/>
      <c r="I1741" s="14"/>
      <c r="J1741" s="14"/>
      <c r="K1741" s="14"/>
      <c r="L1741" s="14"/>
      <c r="M1741" s="14"/>
    </row>
    <row r="1742" ht="18.75" customHeight="1">
      <c r="A1742" s="14"/>
      <c r="B1742" s="14"/>
      <c r="C1742" s="14"/>
      <c r="D1742" s="14"/>
      <c r="E1742" s="15"/>
      <c r="F1742" s="14"/>
      <c r="G1742" s="14"/>
      <c r="H1742" s="15"/>
      <c r="I1742" s="14"/>
      <c r="J1742" s="14"/>
      <c r="K1742" s="14"/>
      <c r="L1742" s="14"/>
      <c r="M1742" s="14"/>
    </row>
    <row r="1743" ht="18.75" customHeight="1">
      <c r="A1743" s="14"/>
      <c r="B1743" s="14"/>
      <c r="C1743" s="14"/>
      <c r="D1743" s="14"/>
      <c r="E1743" s="15"/>
      <c r="F1743" s="14"/>
      <c r="G1743" s="14"/>
      <c r="H1743" s="15"/>
      <c r="I1743" s="14"/>
      <c r="J1743" s="14"/>
      <c r="K1743" s="14"/>
      <c r="L1743" s="14"/>
      <c r="M1743" s="14"/>
    </row>
    <row r="1744" ht="18.75" customHeight="1">
      <c r="A1744" s="14"/>
      <c r="B1744" s="14"/>
      <c r="C1744" s="14"/>
      <c r="D1744" s="14"/>
      <c r="E1744" s="15"/>
      <c r="F1744" s="14"/>
      <c r="G1744" s="14"/>
      <c r="H1744" s="15"/>
      <c r="I1744" s="14"/>
      <c r="J1744" s="14"/>
      <c r="K1744" s="14"/>
      <c r="L1744" s="14"/>
      <c r="M1744" s="14"/>
    </row>
    <row r="1745" ht="18.75" customHeight="1">
      <c r="A1745" s="14"/>
      <c r="B1745" s="14"/>
      <c r="C1745" s="14"/>
      <c r="D1745" s="14"/>
      <c r="E1745" s="15"/>
      <c r="F1745" s="14"/>
      <c r="G1745" s="14"/>
      <c r="H1745" s="15"/>
      <c r="I1745" s="14"/>
      <c r="J1745" s="14"/>
      <c r="K1745" s="14"/>
      <c r="L1745" s="14"/>
      <c r="M1745" s="14"/>
    </row>
    <row r="1746" ht="18.75" customHeight="1">
      <c r="A1746" s="14"/>
      <c r="B1746" s="14"/>
      <c r="C1746" s="14"/>
      <c r="D1746" s="14"/>
      <c r="E1746" s="15"/>
      <c r="F1746" s="14"/>
      <c r="G1746" s="14"/>
      <c r="H1746" s="15"/>
      <c r="I1746" s="14"/>
      <c r="J1746" s="14"/>
      <c r="K1746" s="14"/>
      <c r="L1746" s="14"/>
      <c r="M1746" s="14"/>
    </row>
    <row r="1747" ht="18.75" customHeight="1">
      <c r="A1747" s="14"/>
      <c r="B1747" s="14"/>
      <c r="C1747" s="14"/>
      <c r="D1747" s="14"/>
      <c r="E1747" s="15"/>
      <c r="F1747" s="14"/>
      <c r="G1747" s="14"/>
      <c r="H1747" s="15"/>
      <c r="I1747" s="14"/>
      <c r="J1747" s="14"/>
      <c r="K1747" s="14"/>
      <c r="L1747" s="14"/>
      <c r="M1747" s="14"/>
    </row>
    <row r="1748" ht="18.75" customHeight="1">
      <c r="A1748" s="14"/>
      <c r="B1748" s="14"/>
      <c r="C1748" s="14"/>
      <c r="D1748" s="14"/>
      <c r="E1748" s="15"/>
      <c r="F1748" s="14"/>
      <c r="G1748" s="14"/>
      <c r="H1748" s="15"/>
      <c r="I1748" s="14"/>
      <c r="J1748" s="14"/>
      <c r="K1748" s="14"/>
      <c r="L1748" s="14"/>
      <c r="M1748" s="14"/>
    </row>
    <row r="1749" ht="18.75" customHeight="1">
      <c r="A1749" s="14"/>
      <c r="B1749" s="14"/>
      <c r="C1749" s="14"/>
      <c r="D1749" s="14"/>
      <c r="E1749" s="15"/>
      <c r="F1749" s="14"/>
      <c r="G1749" s="14"/>
      <c r="H1749" s="15"/>
      <c r="I1749" s="14"/>
      <c r="J1749" s="14"/>
      <c r="K1749" s="14"/>
      <c r="L1749" s="14"/>
      <c r="M1749" s="14"/>
    </row>
    <row r="1750" ht="18.75" customHeight="1">
      <c r="A1750" s="14"/>
      <c r="B1750" s="14"/>
      <c r="C1750" s="14"/>
      <c r="D1750" s="14"/>
      <c r="E1750" s="15"/>
      <c r="F1750" s="14"/>
      <c r="G1750" s="14"/>
      <c r="H1750" s="15"/>
      <c r="I1750" s="14"/>
      <c r="J1750" s="14"/>
      <c r="K1750" s="14"/>
      <c r="L1750" s="14"/>
      <c r="M1750" s="14"/>
    </row>
    <row r="1751" ht="18.75" customHeight="1">
      <c r="A1751" s="14"/>
      <c r="B1751" s="14"/>
      <c r="C1751" s="14"/>
      <c r="D1751" s="14"/>
      <c r="E1751" s="15"/>
      <c r="F1751" s="14"/>
      <c r="G1751" s="14"/>
      <c r="H1751" s="15"/>
      <c r="I1751" s="14"/>
      <c r="J1751" s="14"/>
      <c r="K1751" s="14"/>
      <c r="L1751" s="14"/>
      <c r="M1751" s="14"/>
    </row>
    <row r="1752" ht="18.75" customHeight="1">
      <c r="A1752" s="14"/>
      <c r="B1752" s="14"/>
      <c r="C1752" s="14"/>
      <c r="D1752" s="14"/>
      <c r="E1752" s="15"/>
      <c r="F1752" s="14"/>
      <c r="G1752" s="14"/>
      <c r="H1752" s="15"/>
      <c r="I1752" s="14"/>
      <c r="J1752" s="14"/>
      <c r="K1752" s="14"/>
      <c r="L1752" s="14"/>
      <c r="M1752" s="14"/>
    </row>
    <row r="1753" ht="18.75" customHeight="1">
      <c r="A1753" s="14"/>
      <c r="B1753" s="14"/>
      <c r="C1753" s="14"/>
      <c r="D1753" s="14"/>
      <c r="E1753" s="15"/>
      <c r="F1753" s="14"/>
      <c r="G1753" s="14"/>
      <c r="H1753" s="15"/>
      <c r="I1753" s="14"/>
      <c r="J1753" s="14"/>
      <c r="K1753" s="14"/>
      <c r="L1753" s="14"/>
      <c r="M1753" s="14"/>
    </row>
    <row r="1754" ht="18.75" customHeight="1">
      <c r="A1754" s="14"/>
      <c r="B1754" s="14"/>
      <c r="C1754" s="14"/>
      <c r="D1754" s="14"/>
      <c r="E1754" s="15"/>
      <c r="F1754" s="14"/>
      <c r="G1754" s="14"/>
      <c r="H1754" s="15"/>
      <c r="I1754" s="14"/>
      <c r="J1754" s="14"/>
      <c r="K1754" s="14"/>
      <c r="L1754" s="14"/>
      <c r="M1754" s="14"/>
    </row>
    <row r="1755" ht="18.75" customHeight="1">
      <c r="A1755" s="14"/>
      <c r="B1755" s="14"/>
      <c r="C1755" s="14"/>
      <c r="D1755" s="14"/>
      <c r="E1755" s="15"/>
      <c r="F1755" s="14"/>
      <c r="G1755" s="14"/>
      <c r="H1755" s="15"/>
      <c r="I1755" s="14"/>
      <c r="J1755" s="14"/>
      <c r="K1755" s="14"/>
      <c r="L1755" s="14"/>
      <c r="M1755" s="14"/>
    </row>
    <row r="1756" ht="18.75" customHeight="1">
      <c r="A1756" s="14"/>
      <c r="B1756" s="14"/>
      <c r="C1756" s="14"/>
      <c r="D1756" s="14"/>
      <c r="E1756" s="15"/>
      <c r="F1756" s="14"/>
      <c r="G1756" s="14"/>
      <c r="H1756" s="15"/>
      <c r="I1756" s="14"/>
      <c r="J1756" s="14"/>
      <c r="K1756" s="14"/>
      <c r="L1756" s="14"/>
      <c r="M1756" s="14"/>
    </row>
    <row r="1757" ht="18.75" customHeight="1">
      <c r="A1757" s="14"/>
      <c r="B1757" s="14"/>
      <c r="C1757" s="14"/>
      <c r="D1757" s="14"/>
      <c r="E1757" s="15"/>
      <c r="F1757" s="14"/>
      <c r="G1757" s="14"/>
      <c r="H1757" s="15"/>
      <c r="I1757" s="14"/>
      <c r="J1757" s="14"/>
      <c r="K1757" s="14"/>
      <c r="L1757" s="14"/>
      <c r="M1757" s="14"/>
    </row>
    <row r="1758" ht="18.75" customHeight="1">
      <c r="A1758" s="14"/>
      <c r="B1758" s="14"/>
      <c r="C1758" s="14"/>
      <c r="D1758" s="14"/>
      <c r="E1758" s="15"/>
      <c r="F1758" s="14"/>
      <c r="G1758" s="14"/>
      <c r="H1758" s="15"/>
      <c r="I1758" s="14"/>
      <c r="J1758" s="14"/>
      <c r="K1758" s="14"/>
      <c r="L1758" s="14"/>
      <c r="M1758" s="14"/>
    </row>
    <row r="1759" ht="18.75" customHeight="1">
      <c r="A1759" s="14"/>
      <c r="B1759" s="14"/>
      <c r="C1759" s="14"/>
      <c r="D1759" s="14"/>
      <c r="E1759" s="15"/>
      <c r="F1759" s="14"/>
      <c r="G1759" s="14"/>
      <c r="H1759" s="15"/>
      <c r="I1759" s="14"/>
      <c r="J1759" s="14"/>
      <c r="K1759" s="14"/>
      <c r="L1759" s="14"/>
      <c r="M1759" s="14"/>
    </row>
    <row r="1760" ht="18.75" customHeight="1">
      <c r="A1760" s="14"/>
      <c r="B1760" s="14"/>
      <c r="C1760" s="14"/>
      <c r="D1760" s="14"/>
      <c r="E1760" s="15"/>
      <c r="F1760" s="14"/>
      <c r="G1760" s="14"/>
      <c r="H1760" s="15"/>
      <c r="I1760" s="14"/>
      <c r="J1760" s="14"/>
      <c r="K1760" s="14"/>
      <c r="L1760" s="14"/>
      <c r="M1760" s="14"/>
    </row>
    <row r="1761" ht="18.75" customHeight="1">
      <c r="A1761" s="14"/>
      <c r="B1761" s="14"/>
      <c r="C1761" s="14"/>
      <c r="D1761" s="14"/>
      <c r="E1761" s="15"/>
      <c r="F1761" s="14"/>
      <c r="G1761" s="14"/>
      <c r="H1761" s="15"/>
      <c r="I1761" s="14"/>
      <c r="J1761" s="14"/>
      <c r="K1761" s="14"/>
      <c r="L1761" s="14"/>
      <c r="M1761" s="14"/>
    </row>
    <row r="1762" ht="18.75" customHeight="1">
      <c r="A1762" s="14"/>
      <c r="B1762" s="14"/>
      <c r="C1762" s="14"/>
      <c r="D1762" s="14"/>
      <c r="E1762" s="15"/>
      <c r="F1762" s="14"/>
      <c r="G1762" s="14"/>
      <c r="H1762" s="15"/>
      <c r="I1762" s="14"/>
      <c r="J1762" s="14"/>
      <c r="K1762" s="14"/>
      <c r="L1762" s="14"/>
      <c r="M1762" s="14"/>
    </row>
    <row r="1763" ht="18.75" customHeight="1">
      <c r="A1763" s="14"/>
      <c r="B1763" s="14"/>
      <c r="C1763" s="14"/>
      <c r="D1763" s="14"/>
      <c r="E1763" s="15"/>
      <c r="F1763" s="14"/>
      <c r="G1763" s="14"/>
      <c r="H1763" s="15"/>
      <c r="I1763" s="14"/>
      <c r="J1763" s="14"/>
      <c r="K1763" s="14"/>
      <c r="L1763" s="14"/>
      <c r="M1763" s="14"/>
    </row>
    <row r="1764" ht="18.75" customHeight="1">
      <c r="A1764" s="14"/>
      <c r="B1764" s="14"/>
      <c r="C1764" s="14"/>
      <c r="D1764" s="14"/>
      <c r="E1764" s="15"/>
      <c r="F1764" s="14"/>
      <c r="G1764" s="14"/>
      <c r="H1764" s="15"/>
      <c r="I1764" s="14"/>
      <c r="J1764" s="14"/>
      <c r="K1764" s="14"/>
      <c r="L1764" s="14"/>
      <c r="M1764" s="14"/>
    </row>
    <row r="1765" ht="18.75" customHeight="1">
      <c r="A1765" s="14"/>
      <c r="B1765" s="14"/>
      <c r="C1765" s="14"/>
      <c r="D1765" s="14"/>
      <c r="E1765" s="15"/>
      <c r="F1765" s="14"/>
      <c r="G1765" s="14"/>
      <c r="H1765" s="15"/>
      <c r="I1765" s="14"/>
      <c r="J1765" s="14"/>
      <c r="K1765" s="14"/>
      <c r="L1765" s="14"/>
      <c r="M1765" s="14"/>
    </row>
    <row r="1766" ht="18.75" customHeight="1">
      <c r="A1766" s="14"/>
      <c r="B1766" s="14"/>
      <c r="C1766" s="14"/>
      <c r="D1766" s="14"/>
      <c r="E1766" s="15"/>
      <c r="F1766" s="14"/>
      <c r="G1766" s="14"/>
      <c r="H1766" s="15"/>
      <c r="I1766" s="14"/>
      <c r="J1766" s="14"/>
      <c r="K1766" s="14"/>
      <c r="L1766" s="14"/>
      <c r="M1766" s="14"/>
    </row>
    <row r="1767" ht="18.75" customHeight="1">
      <c r="A1767" s="14"/>
      <c r="B1767" s="14"/>
      <c r="C1767" s="14"/>
      <c r="D1767" s="14"/>
      <c r="E1767" s="15"/>
      <c r="F1767" s="14"/>
      <c r="G1767" s="14"/>
      <c r="H1767" s="15"/>
      <c r="I1767" s="14"/>
      <c r="J1767" s="14"/>
      <c r="K1767" s="14"/>
      <c r="L1767" s="14"/>
      <c r="M1767" s="14"/>
    </row>
    <row r="1768" ht="18.75" customHeight="1">
      <c r="A1768" s="14"/>
      <c r="B1768" s="14"/>
      <c r="C1768" s="14"/>
      <c r="D1768" s="14"/>
      <c r="E1768" s="15"/>
      <c r="F1768" s="14"/>
      <c r="G1768" s="14"/>
      <c r="H1768" s="15"/>
      <c r="I1768" s="14"/>
      <c r="J1768" s="14"/>
      <c r="K1768" s="14"/>
      <c r="L1768" s="14"/>
      <c r="M1768" s="14"/>
    </row>
    <row r="1769" ht="18.75" customHeight="1">
      <c r="A1769" s="14"/>
      <c r="B1769" s="14"/>
      <c r="C1769" s="14"/>
      <c r="D1769" s="14"/>
      <c r="E1769" s="15"/>
      <c r="F1769" s="14"/>
      <c r="G1769" s="14"/>
      <c r="H1769" s="15"/>
      <c r="I1769" s="14"/>
      <c r="J1769" s="14"/>
      <c r="K1769" s="14"/>
      <c r="L1769" s="14"/>
      <c r="M1769" s="14"/>
    </row>
    <row r="1770" ht="18.75" customHeight="1">
      <c r="A1770" s="14"/>
      <c r="B1770" s="14"/>
      <c r="C1770" s="14"/>
      <c r="D1770" s="14"/>
      <c r="E1770" s="15"/>
      <c r="F1770" s="14"/>
      <c r="G1770" s="14"/>
      <c r="H1770" s="15"/>
      <c r="I1770" s="14"/>
      <c r="J1770" s="14"/>
      <c r="K1770" s="14"/>
      <c r="L1770" s="14"/>
      <c r="M1770" s="14"/>
    </row>
    <row r="1771" ht="18.75" customHeight="1">
      <c r="A1771" s="14"/>
      <c r="B1771" s="14"/>
      <c r="C1771" s="14"/>
      <c r="D1771" s="14"/>
      <c r="E1771" s="15"/>
      <c r="F1771" s="14"/>
      <c r="G1771" s="14"/>
      <c r="H1771" s="15"/>
      <c r="I1771" s="14"/>
      <c r="J1771" s="14"/>
      <c r="K1771" s="14"/>
      <c r="L1771" s="14"/>
      <c r="M1771" s="14"/>
    </row>
    <row r="1772" ht="18.75" customHeight="1">
      <c r="A1772" s="14"/>
      <c r="B1772" s="14"/>
      <c r="C1772" s="14"/>
      <c r="D1772" s="14"/>
      <c r="E1772" s="15"/>
      <c r="F1772" s="14"/>
      <c r="G1772" s="14"/>
      <c r="H1772" s="15"/>
      <c r="I1772" s="14"/>
      <c r="J1772" s="14"/>
      <c r="K1772" s="14"/>
      <c r="L1772" s="14"/>
      <c r="M1772" s="14"/>
    </row>
    <row r="1773" ht="18.75" customHeight="1">
      <c r="A1773" s="14"/>
      <c r="B1773" s="14"/>
      <c r="C1773" s="14"/>
      <c r="D1773" s="14"/>
      <c r="E1773" s="15"/>
      <c r="F1773" s="14"/>
      <c r="G1773" s="14"/>
      <c r="H1773" s="15"/>
      <c r="I1773" s="14"/>
      <c r="J1773" s="14"/>
      <c r="K1773" s="14"/>
      <c r="L1773" s="14"/>
      <c r="M1773" s="14"/>
    </row>
    <row r="1774" ht="18.75" customHeight="1">
      <c r="A1774" s="14"/>
      <c r="B1774" s="14"/>
      <c r="C1774" s="14"/>
      <c r="D1774" s="14"/>
      <c r="E1774" s="15"/>
      <c r="F1774" s="14"/>
      <c r="G1774" s="14"/>
      <c r="H1774" s="15"/>
      <c r="I1774" s="14"/>
      <c r="J1774" s="14"/>
      <c r="K1774" s="14"/>
      <c r="L1774" s="14"/>
      <c r="M1774" s="14"/>
    </row>
    <row r="1775" ht="18.75" customHeight="1">
      <c r="A1775" s="14"/>
      <c r="B1775" s="14"/>
      <c r="C1775" s="14"/>
      <c r="D1775" s="14"/>
      <c r="E1775" s="15"/>
      <c r="F1775" s="14"/>
      <c r="G1775" s="14"/>
      <c r="H1775" s="15"/>
      <c r="I1775" s="14"/>
      <c r="J1775" s="14"/>
      <c r="K1775" s="14"/>
      <c r="L1775" s="14"/>
      <c r="M1775" s="14"/>
    </row>
    <row r="1776" ht="18.75" customHeight="1">
      <c r="A1776" s="14"/>
      <c r="B1776" s="14"/>
      <c r="C1776" s="14"/>
      <c r="D1776" s="14"/>
      <c r="E1776" s="15"/>
      <c r="F1776" s="14"/>
      <c r="G1776" s="14"/>
      <c r="H1776" s="15"/>
      <c r="I1776" s="14"/>
      <c r="J1776" s="14"/>
      <c r="K1776" s="14"/>
      <c r="L1776" s="14"/>
      <c r="M1776" s="14"/>
    </row>
    <row r="1777" ht="18.75" customHeight="1">
      <c r="A1777" s="14"/>
      <c r="B1777" s="14"/>
      <c r="C1777" s="14"/>
      <c r="D1777" s="14"/>
      <c r="E1777" s="15"/>
      <c r="F1777" s="14"/>
      <c r="G1777" s="14"/>
      <c r="H1777" s="15"/>
      <c r="I1777" s="14"/>
      <c r="J1777" s="14"/>
      <c r="K1777" s="14"/>
      <c r="L1777" s="14"/>
      <c r="M1777" s="14"/>
    </row>
    <row r="1778" ht="18.75" customHeight="1">
      <c r="A1778" s="14"/>
      <c r="B1778" s="14"/>
      <c r="C1778" s="14"/>
      <c r="D1778" s="14"/>
      <c r="E1778" s="15"/>
      <c r="F1778" s="14"/>
      <c r="G1778" s="14"/>
      <c r="H1778" s="15"/>
      <c r="I1778" s="14"/>
      <c r="J1778" s="14"/>
      <c r="K1778" s="14"/>
      <c r="L1778" s="14"/>
      <c r="M1778" s="14"/>
    </row>
    <row r="1779" ht="18.75" customHeight="1">
      <c r="A1779" s="14"/>
      <c r="B1779" s="14"/>
      <c r="C1779" s="14"/>
      <c r="D1779" s="14"/>
      <c r="E1779" s="15"/>
      <c r="F1779" s="14"/>
      <c r="G1779" s="14"/>
      <c r="H1779" s="15"/>
      <c r="I1779" s="14"/>
      <c r="J1779" s="14"/>
      <c r="K1779" s="14"/>
      <c r="L1779" s="14"/>
      <c r="M1779" s="14"/>
    </row>
    <row r="1780" ht="18.75" customHeight="1">
      <c r="A1780" s="14"/>
      <c r="B1780" s="14"/>
      <c r="C1780" s="14"/>
      <c r="D1780" s="14"/>
      <c r="E1780" s="15"/>
      <c r="F1780" s="14"/>
      <c r="G1780" s="14"/>
      <c r="H1780" s="15"/>
      <c r="I1780" s="14"/>
      <c r="J1780" s="14"/>
      <c r="K1780" s="14"/>
      <c r="L1780" s="14"/>
      <c r="M1780" s="14"/>
    </row>
    <row r="1781" ht="18.75" customHeight="1">
      <c r="A1781" s="14"/>
      <c r="B1781" s="14"/>
      <c r="C1781" s="14"/>
      <c r="D1781" s="14"/>
      <c r="E1781" s="15"/>
      <c r="F1781" s="14"/>
      <c r="G1781" s="14"/>
      <c r="H1781" s="15"/>
      <c r="I1781" s="14"/>
      <c r="J1781" s="14"/>
      <c r="K1781" s="14"/>
      <c r="L1781" s="14"/>
      <c r="M1781" s="14"/>
    </row>
    <row r="1782" ht="18.75" customHeight="1">
      <c r="A1782" s="14"/>
      <c r="B1782" s="14"/>
      <c r="C1782" s="14"/>
      <c r="D1782" s="14"/>
      <c r="E1782" s="15"/>
      <c r="F1782" s="14"/>
      <c r="G1782" s="14"/>
      <c r="H1782" s="15"/>
      <c r="I1782" s="14"/>
      <c r="J1782" s="14"/>
      <c r="K1782" s="14"/>
      <c r="L1782" s="14"/>
      <c r="M1782" s="14"/>
    </row>
    <row r="1783" ht="18.75" customHeight="1">
      <c r="A1783" s="14"/>
      <c r="B1783" s="14"/>
      <c r="C1783" s="14"/>
      <c r="D1783" s="14"/>
      <c r="E1783" s="15"/>
      <c r="F1783" s="14"/>
      <c r="G1783" s="14"/>
      <c r="H1783" s="15"/>
      <c r="I1783" s="14"/>
      <c r="J1783" s="14"/>
      <c r="K1783" s="14"/>
      <c r="L1783" s="14"/>
      <c r="M1783" s="14"/>
    </row>
    <row r="1784" ht="18.75" customHeight="1">
      <c r="A1784" s="14"/>
      <c r="B1784" s="14"/>
      <c r="C1784" s="14"/>
      <c r="D1784" s="14"/>
      <c r="E1784" s="15"/>
      <c r="F1784" s="14"/>
      <c r="G1784" s="14"/>
      <c r="H1784" s="15"/>
      <c r="I1784" s="14"/>
      <c r="J1784" s="14"/>
      <c r="K1784" s="14"/>
      <c r="L1784" s="14"/>
      <c r="M1784" s="14"/>
    </row>
    <row r="1785" ht="18.75" customHeight="1">
      <c r="A1785" s="14"/>
      <c r="B1785" s="14"/>
      <c r="C1785" s="14"/>
      <c r="D1785" s="14"/>
      <c r="E1785" s="15"/>
      <c r="F1785" s="14"/>
      <c r="G1785" s="14"/>
      <c r="H1785" s="15"/>
      <c r="I1785" s="14"/>
      <c r="J1785" s="14"/>
      <c r="K1785" s="14"/>
      <c r="L1785" s="14"/>
      <c r="M1785" s="14"/>
    </row>
    <row r="1786" ht="18.75" customHeight="1">
      <c r="A1786" s="14"/>
      <c r="B1786" s="14"/>
      <c r="C1786" s="14"/>
      <c r="D1786" s="14"/>
      <c r="E1786" s="15"/>
      <c r="F1786" s="14"/>
      <c r="G1786" s="14"/>
      <c r="H1786" s="15"/>
      <c r="I1786" s="14"/>
      <c r="J1786" s="14"/>
      <c r="K1786" s="14"/>
      <c r="L1786" s="14"/>
      <c r="M1786" s="14"/>
    </row>
    <row r="1787" ht="18.75" customHeight="1">
      <c r="A1787" s="14"/>
      <c r="B1787" s="14"/>
      <c r="C1787" s="14"/>
      <c r="D1787" s="14"/>
      <c r="E1787" s="15"/>
      <c r="F1787" s="14"/>
      <c r="G1787" s="14"/>
      <c r="H1787" s="15"/>
      <c r="I1787" s="14"/>
      <c r="J1787" s="14"/>
      <c r="K1787" s="14"/>
      <c r="L1787" s="14"/>
      <c r="M1787" s="14"/>
    </row>
    <row r="1788" ht="18.75" customHeight="1">
      <c r="A1788" s="14"/>
      <c r="B1788" s="14"/>
      <c r="C1788" s="14"/>
      <c r="D1788" s="14"/>
      <c r="E1788" s="15"/>
      <c r="F1788" s="14"/>
      <c r="G1788" s="14"/>
      <c r="H1788" s="15"/>
      <c r="I1788" s="14"/>
      <c r="J1788" s="14"/>
      <c r="K1788" s="14"/>
      <c r="L1788" s="14"/>
      <c r="M1788" s="14"/>
    </row>
    <row r="1789" ht="18.75" customHeight="1">
      <c r="A1789" s="14"/>
      <c r="B1789" s="14"/>
      <c r="C1789" s="14"/>
      <c r="D1789" s="14"/>
      <c r="E1789" s="15"/>
      <c r="F1789" s="14"/>
      <c r="G1789" s="14"/>
      <c r="H1789" s="15"/>
      <c r="I1789" s="14"/>
      <c r="J1789" s="14"/>
      <c r="K1789" s="14"/>
      <c r="L1789" s="14"/>
      <c r="M1789" s="14"/>
    </row>
    <row r="1790" ht="18.75" customHeight="1">
      <c r="A1790" s="14"/>
      <c r="B1790" s="14"/>
      <c r="C1790" s="14"/>
      <c r="D1790" s="14"/>
      <c r="E1790" s="15"/>
      <c r="F1790" s="14"/>
      <c r="G1790" s="14"/>
      <c r="H1790" s="15"/>
      <c r="I1790" s="14"/>
      <c r="J1790" s="14"/>
      <c r="K1790" s="14"/>
      <c r="L1790" s="14"/>
      <c r="M1790" s="14"/>
    </row>
    <row r="1791" ht="18.75" customHeight="1">
      <c r="A1791" s="14"/>
      <c r="B1791" s="14"/>
      <c r="C1791" s="14"/>
      <c r="D1791" s="14"/>
      <c r="E1791" s="15"/>
      <c r="F1791" s="14"/>
      <c r="G1791" s="14"/>
      <c r="H1791" s="15"/>
      <c r="I1791" s="14"/>
      <c r="J1791" s="14"/>
      <c r="K1791" s="14"/>
      <c r="L1791" s="14"/>
      <c r="M1791" s="14"/>
    </row>
    <row r="1792" ht="18.75" customHeight="1">
      <c r="A1792" s="14"/>
      <c r="B1792" s="14"/>
      <c r="C1792" s="14"/>
      <c r="D1792" s="14"/>
      <c r="E1792" s="15"/>
      <c r="F1792" s="14"/>
      <c r="G1792" s="14"/>
      <c r="H1792" s="15"/>
      <c r="I1792" s="14"/>
      <c r="J1792" s="14"/>
      <c r="K1792" s="14"/>
      <c r="L1792" s="14"/>
      <c r="M1792" s="14"/>
    </row>
    <row r="1793" ht="18.75" customHeight="1">
      <c r="A1793" s="14"/>
      <c r="B1793" s="14"/>
      <c r="C1793" s="14"/>
      <c r="D1793" s="14"/>
      <c r="E1793" s="15"/>
      <c r="F1793" s="14"/>
      <c r="G1793" s="14"/>
      <c r="H1793" s="15"/>
      <c r="I1793" s="14"/>
      <c r="J1793" s="14"/>
      <c r="K1793" s="14"/>
      <c r="L1793" s="14"/>
      <c r="M1793" s="14"/>
    </row>
    <row r="1794" ht="18.75" customHeight="1">
      <c r="A1794" s="14"/>
      <c r="B1794" s="14"/>
      <c r="C1794" s="14"/>
      <c r="D1794" s="14"/>
      <c r="E1794" s="15"/>
      <c r="F1794" s="14"/>
      <c r="G1794" s="14"/>
      <c r="H1794" s="15"/>
      <c r="I1794" s="14"/>
      <c r="J1794" s="14"/>
      <c r="K1794" s="14"/>
      <c r="L1794" s="14"/>
      <c r="M1794" s="14"/>
    </row>
    <row r="1795" ht="18.75" customHeight="1">
      <c r="A1795" s="14"/>
      <c r="B1795" s="14"/>
      <c r="C1795" s="14"/>
      <c r="D1795" s="14"/>
      <c r="E1795" s="15"/>
      <c r="F1795" s="14"/>
      <c r="G1795" s="14"/>
      <c r="H1795" s="15"/>
      <c r="I1795" s="14"/>
      <c r="J1795" s="14"/>
      <c r="K1795" s="14"/>
      <c r="L1795" s="14"/>
      <c r="M1795" s="14"/>
    </row>
    <row r="1796" ht="18.75" customHeight="1">
      <c r="A1796" s="14"/>
      <c r="B1796" s="14"/>
      <c r="C1796" s="14"/>
      <c r="D1796" s="14"/>
      <c r="E1796" s="15"/>
      <c r="F1796" s="14"/>
      <c r="G1796" s="14"/>
      <c r="H1796" s="15"/>
      <c r="I1796" s="14"/>
      <c r="J1796" s="14"/>
      <c r="K1796" s="14"/>
      <c r="L1796" s="14"/>
      <c r="M1796" s="14"/>
    </row>
    <row r="1797" ht="18.75" customHeight="1">
      <c r="A1797" s="14"/>
      <c r="B1797" s="14"/>
      <c r="C1797" s="14"/>
      <c r="D1797" s="14"/>
      <c r="E1797" s="15"/>
      <c r="F1797" s="14"/>
      <c r="G1797" s="14"/>
      <c r="H1797" s="15"/>
      <c r="I1797" s="14"/>
      <c r="J1797" s="14"/>
      <c r="K1797" s="14"/>
      <c r="L1797" s="14"/>
      <c r="M1797" s="14"/>
    </row>
    <row r="1798" ht="18.75" customHeight="1">
      <c r="A1798" s="14"/>
      <c r="B1798" s="14"/>
      <c r="C1798" s="14"/>
      <c r="D1798" s="14"/>
      <c r="E1798" s="15"/>
      <c r="F1798" s="14"/>
      <c r="G1798" s="14"/>
      <c r="H1798" s="15"/>
      <c r="I1798" s="14"/>
      <c r="J1798" s="14"/>
      <c r="K1798" s="14"/>
      <c r="L1798" s="14"/>
      <c r="M1798" s="14"/>
    </row>
    <row r="1799" ht="18.75" customHeight="1">
      <c r="A1799" s="14"/>
      <c r="B1799" s="14"/>
      <c r="C1799" s="14"/>
      <c r="D1799" s="14"/>
      <c r="E1799" s="15"/>
      <c r="F1799" s="14"/>
      <c r="G1799" s="14"/>
      <c r="H1799" s="15"/>
      <c r="I1799" s="14"/>
      <c r="J1799" s="14"/>
      <c r="K1799" s="14"/>
      <c r="L1799" s="14"/>
      <c r="M1799" s="14"/>
    </row>
    <row r="1800" ht="18.75" customHeight="1">
      <c r="A1800" s="14"/>
      <c r="B1800" s="14"/>
      <c r="C1800" s="14"/>
      <c r="D1800" s="14"/>
      <c r="E1800" s="15"/>
      <c r="F1800" s="14"/>
      <c r="G1800" s="14"/>
      <c r="H1800" s="15"/>
      <c r="I1800" s="14"/>
      <c r="J1800" s="14"/>
      <c r="K1800" s="14"/>
      <c r="L1800" s="14"/>
      <c r="M1800" s="14"/>
    </row>
    <row r="1801" ht="18.75" customHeight="1">
      <c r="A1801" s="14"/>
      <c r="B1801" s="14"/>
      <c r="C1801" s="14"/>
      <c r="D1801" s="14"/>
      <c r="E1801" s="15"/>
      <c r="F1801" s="14"/>
      <c r="G1801" s="14"/>
      <c r="H1801" s="15"/>
      <c r="I1801" s="14"/>
      <c r="J1801" s="14"/>
      <c r="K1801" s="14"/>
      <c r="L1801" s="14"/>
      <c r="M1801" s="14"/>
    </row>
    <row r="1802" ht="18.75" customHeight="1">
      <c r="A1802" s="14"/>
      <c r="B1802" s="14"/>
      <c r="C1802" s="14"/>
      <c r="D1802" s="14"/>
      <c r="E1802" s="15"/>
      <c r="F1802" s="14"/>
      <c r="G1802" s="14"/>
      <c r="H1802" s="15"/>
      <c r="I1802" s="14"/>
      <c r="J1802" s="14"/>
      <c r="K1802" s="14"/>
      <c r="L1802" s="14"/>
      <c r="M1802" s="14"/>
    </row>
    <row r="1803" ht="18.75" customHeight="1">
      <c r="A1803" s="14"/>
      <c r="B1803" s="14"/>
      <c r="C1803" s="14"/>
      <c r="D1803" s="14"/>
      <c r="E1803" s="15"/>
      <c r="F1803" s="14"/>
      <c r="G1803" s="14"/>
      <c r="H1803" s="15"/>
      <c r="I1803" s="14"/>
      <c r="J1803" s="14"/>
      <c r="K1803" s="14"/>
      <c r="L1803" s="14"/>
      <c r="M1803" s="14"/>
    </row>
    <row r="1804" ht="18.75" customHeight="1">
      <c r="A1804" s="14"/>
      <c r="B1804" s="14"/>
      <c r="C1804" s="14"/>
      <c r="D1804" s="14"/>
      <c r="E1804" s="15"/>
      <c r="F1804" s="14"/>
      <c r="G1804" s="14"/>
      <c r="H1804" s="15"/>
      <c r="I1804" s="14"/>
      <c r="J1804" s="14"/>
      <c r="K1804" s="14"/>
      <c r="L1804" s="14"/>
      <c r="M1804" s="14"/>
    </row>
    <row r="1805" ht="18.75" customHeight="1">
      <c r="A1805" s="14"/>
      <c r="B1805" s="14"/>
      <c r="C1805" s="14"/>
      <c r="D1805" s="14"/>
      <c r="E1805" s="15"/>
      <c r="F1805" s="14"/>
      <c r="G1805" s="14"/>
      <c r="H1805" s="15"/>
      <c r="I1805" s="14"/>
      <c r="J1805" s="14"/>
      <c r="K1805" s="14"/>
      <c r="L1805" s="14"/>
      <c r="M1805" s="14"/>
    </row>
    <row r="1806" ht="18.75" customHeight="1">
      <c r="A1806" s="14"/>
      <c r="B1806" s="14"/>
      <c r="C1806" s="14"/>
      <c r="D1806" s="14"/>
      <c r="E1806" s="15"/>
      <c r="F1806" s="14"/>
      <c r="G1806" s="14"/>
      <c r="H1806" s="15"/>
      <c r="I1806" s="14"/>
      <c r="J1806" s="14"/>
      <c r="K1806" s="14"/>
      <c r="L1806" s="14"/>
      <c r="M1806" s="14"/>
    </row>
    <row r="1807" ht="18.75" customHeight="1">
      <c r="A1807" s="14"/>
      <c r="B1807" s="14"/>
      <c r="C1807" s="14"/>
      <c r="D1807" s="14"/>
      <c r="E1807" s="15"/>
      <c r="F1807" s="14"/>
      <c r="G1807" s="14"/>
      <c r="H1807" s="15"/>
      <c r="I1807" s="14"/>
      <c r="J1807" s="14"/>
      <c r="K1807" s="14"/>
      <c r="L1807" s="14"/>
      <c r="M1807" s="14"/>
    </row>
    <row r="1808" ht="18.75" customHeight="1">
      <c r="A1808" s="14"/>
      <c r="B1808" s="14"/>
      <c r="C1808" s="14"/>
      <c r="D1808" s="14"/>
      <c r="E1808" s="15"/>
      <c r="F1808" s="14"/>
      <c r="G1808" s="14"/>
      <c r="H1808" s="15"/>
      <c r="I1808" s="14"/>
      <c r="J1808" s="14"/>
      <c r="K1808" s="14"/>
      <c r="L1808" s="14"/>
      <c r="M1808" s="14"/>
    </row>
    <row r="1809" ht="18.75" customHeight="1">
      <c r="A1809" s="14"/>
      <c r="B1809" s="14"/>
      <c r="C1809" s="14"/>
      <c r="D1809" s="14"/>
      <c r="E1809" s="15"/>
      <c r="F1809" s="14"/>
      <c r="G1809" s="14"/>
      <c r="H1809" s="15"/>
      <c r="I1809" s="14"/>
      <c r="J1809" s="14"/>
      <c r="K1809" s="14"/>
      <c r="L1809" s="14"/>
      <c r="M1809" s="14"/>
    </row>
    <row r="1810" ht="18.75" customHeight="1">
      <c r="A1810" s="14"/>
      <c r="B1810" s="14"/>
      <c r="C1810" s="14"/>
      <c r="D1810" s="14"/>
      <c r="E1810" s="15"/>
      <c r="F1810" s="14"/>
      <c r="G1810" s="14"/>
      <c r="H1810" s="15"/>
      <c r="I1810" s="14"/>
      <c r="J1810" s="14"/>
      <c r="K1810" s="14"/>
      <c r="L1810" s="14"/>
      <c r="M1810" s="14"/>
    </row>
    <row r="1811" ht="18.75" customHeight="1">
      <c r="A1811" s="14"/>
      <c r="B1811" s="14"/>
      <c r="C1811" s="14"/>
      <c r="D1811" s="14"/>
      <c r="E1811" s="15"/>
      <c r="F1811" s="14"/>
      <c r="G1811" s="14"/>
      <c r="H1811" s="15"/>
      <c r="I1811" s="14"/>
      <c r="J1811" s="14"/>
      <c r="K1811" s="14"/>
      <c r="L1811" s="14"/>
      <c r="M1811" s="14"/>
    </row>
    <row r="1812" ht="18.75" customHeight="1">
      <c r="A1812" s="14"/>
      <c r="B1812" s="14"/>
      <c r="C1812" s="14"/>
      <c r="D1812" s="14"/>
      <c r="E1812" s="15"/>
      <c r="F1812" s="14"/>
      <c r="G1812" s="14"/>
      <c r="H1812" s="15"/>
      <c r="I1812" s="14"/>
      <c r="J1812" s="14"/>
      <c r="K1812" s="14"/>
      <c r="L1812" s="14"/>
      <c r="M1812" s="14"/>
    </row>
    <row r="1813" ht="18.75" customHeight="1">
      <c r="A1813" s="14"/>
      <c r="B1813" s="14"/>
      <c r="C1813" s="14"/>
      <c r="D1813" s="14"/>
      <c r="E1813" s="15"/>
      <c r="F1813" s="14"/>
      <c r="G1813" s="14"/>
      <c r="H1813" s="15"/>
      <c r="I1813" s="14"/>
      <c r="J1813" s="14"/>
      <c r="K1813" s="14"/>
      <c r="L1813" s="14"/>
      <c r="M1813" s="14"/>
    </row>
    <row r="1814" ht="18.75" customHeight="1">
      <c r="A1814" s="14"/>
      <c r="B1814" s="14"/>
      <c r="C1814" s="14"/>
      <c r="D1814" s="14"/>
      <c r="E1814" s="15"/>
      <c r="F1814" s="14"/>
      <c r="G1814" s="14"/>
      <c r="H1814" s="15"/>
      <c r="I1814" s="14"/>
      <c r="J1814" s="14"/>
      <c r="K1814" s="14"/>
      <c r="L1814" s="14"/>
      <c r="M1814" s="14"/>
    </row>
    <row r="1815" ht="18.75" customHeight="1">
      <c r="A1815" s="14"/>
      <c r="B1815" s="14"/>
      <c r="C1815" s="14"/>
      <c r="D1815" s="14"/>
      <c r="E1815" s="15"/>
      <c r="F1815" s="14"/>
      <c r="G1815" s="14"/>
      <c r="H1815" s="15"/>
      <c r="I1815" s="14"/>
      <c r="J1815" s="14"/>
      <c r="K1815" s="14"/>
      <c r="L1815" s="14"/>
      <c r="M1815" s="14"/>
    </row>
    <row r="1816" ht="18.75" customHeight="1">
      <c r="A1816" s="14"/>
      <c r="B1816" s="14"/>
      <c r="C1816" s="14"/>
      <c r="D1816" s="14"/>
      <c r="E1816" s="15"/>
      <c r="F1816" s="14"/>
      <c r="G1816" s="14"/>
      <c r="H1816" s="15"/>
      <c r="I1816" s="14"/>
      <c r="J1816" s="14"/>
      <c r="K1816" s="14"/>
      <c r="L1816" s="14"/>
      <c r="M1816" s="14"/>
    </row>
    <row r="1817" ht="18.75" customHeight="1">
      <c r="A1817" s="14"/>
      <c r="B1817" s="14"/>
      <c r="C1817" s="14"/>
      <c r="D1817" s="14"/>
      <c r="E1817" s="15"/>
      <c r="F1817" s="14"/>
      <c r="G1817" s="14"/>
      <c r="H1817" s="15"/>
      <c r="I1817" s="14"/>
      <c r="J1817" s="14"/>
      <c r="K1817" s="14"/>
      <c r="L1817" s="14"/>
      <c r="M1817" s="14"/>
    </row>
    <row r="1818" ht="18.75" customHeight="1">
      <c r="A1818" s="14"/>
      <c r="B1818" s="14"/>
      <c r="C1818" s="14"/>
      <c r="D1818" s="14"/>
      <c r="E1818" s="15"/>
      <c r="F1818" s="14"/>
      <c r="G1818" s="14"/>
      <c r="H1818" s="15"/>
      <c r="I1818" s="14"/>
      <c r="J1818" s="14"/>
      <c r="K1818" s="14"/>
      <c r="L1818" s="14"/>
      <c r="M1818" s="14"/>
    </row>
    <row r="1819" ht="18.75" customHeight="1">
      <c r="A1819" s="14"/>
      <c r="B1819" s="14"/>
      <c r="C1819" s="14"/>
      <c r="D1819" s="14"/>
      <c r="E1819" s="15"/>
      <c r="F1819" s="14"/>
      <c r="G1819" s="14"/>
      <c r="H1819" s="15"/>
      <c r="I1819" s="14"/>
      <c r="J1819" s="14"/>
      <c r="K1819" s="14"/>
      <c r="L1819" s="14"/>
      <c r="M1819" s="14"/>
    </row>
    <row r="1820" ht="18.75" customHeight="1">
      <c r="A1820" s="14"/>
      <c r="B1820" s="14"/>
      <c r="C1820" s="14"/>
      <c r="D1820" s="14"/>
      <c r="E1820" s="15"/>
      <c r="F1820" s="14"/>
      <c r="G1820" s="14"/>
      <c r="H1820" s="15"/>
      <c r="I1820" s="14"/>
      <c r="J1820" s="14"/>
      <c r="K1820" s="14"/>
      <c r="L1820" s="14"/>
      <c r="M1820" s="14"/>
    </row>
    <row r="1821" ht="18.75" customHeight="1">
      <c r="A1821" s="14"/>
      <c r="B1821" s="14"/>
      <c r="C1821" s="14"/>
      <c r="D1821" s="14"/>
      <c r="E1821" s="15"/>
      <c r="F1821" s="14"/>
      <c r="G1821" s="14"/>
      <c r="H1821" s="15"/>
      <c r="I1821" s="14"/>
      <c r="J1821" s="14"/>
      <c r="K1821" s="14"/>
      <c r="L1821" s="14"/>
      <c r="M1821" s="14"/>
    </row>
    <row r="1822" ht="18.75" customHeight="1">
      <c r="A1822" s="14"/>
      <c r="B1822" s="14"/>
      <c r="C1822" s="14"/>
      <c r="D1822" s="14"/>
      <c r="E1822" s="15"/>
      <c r="F1822" s="14"/>
      <c r="G1822" s="14"/>
      <c r="H1822" s="15"/>
      <c r="I1822" s="14"/>
      <c r="J1822" s="14"/>
      <c r="K1822" s="14"/>
      <c r="L1822" s="14"/>
      <c r="M1822" s="14"/>
    </row>
    <row r="1823" ht="18.75" customHeight="1">
      <c r="A1823" s="14"/>
      <c r="B1823" s="14"/>
      <c r="C1823" s="14"/>
      <c r="D1823" s="14"/>
      <c r="E1823" s="15"/>
      <c r="F1823" s="14"/>
      <c r="G1823" s="14"/>
      <c r="H1823" s="15"/>
      <c r="I1823" s="14"/>
      <c r="J1823" s="14"/>
      <c r="K1823" s="14"/>
      <c r="L1823" s="14"/>
      <c r="M1823" s="14"/>
    </row>
    <row r="1824" ht="18.75" customHeight="1">
      <c r="A1824" s="14"/>
      <c r="B1824" s="14"/>
      <c r="C1824" s="14"/>
      <c r="D1824" s="14"/>
      <c r="E1824" s="15"/>
      <c r="F1824" s="14"/>
      <c r="G1824" s="14"/>
      <c r="H1824" s="15"/>
      <c r="I1824" s="14"/>
      <c r="J1824" s="14"/>
      <c r="K1824" s="14"/>
      <c r="L1824" s="14"/>
      <c r="M1824" s="14"/>
    </row>
    <row r="1825" ht="18.75" customHeight="1">
      <c r="A1825" s="14"/>
      <c r="B1825" s="14"/>
      <c r="C1825" s="14"/>
      <c r="D1825" s="14"/>
      <c r="E1825" s="15"/>
      <c r="F1825" s="14"/>
      <c r="G1825" s="14"/>
      <c r="H1825" s="15"/>
      <c r="I1825" s="14"/>
      <c r="J1825" s="14"/>
      <c r="K1825" s="14"/>
      <c r="L1825" s="14"/>
      <c r="M1825" s="14"/>
    </row>
    <row r="1826" ht="18.75" customHeight="1">
      <c r="A1826" s="14"/>
      <c r="B1826" s="14"/>
      <c r="C1826" s="14"/>
      <c r="D1826" s="14"/>
      <c r="E1826" s="15"/>
      <c r="F1826" s="14"/>
      <c r="G1826" s="14"/>
      <c r="H1826" s="15"/>
      <c r="I1826" s="14"/>
      <c r="J1826" s="14"/>
      <c r="K1826" s="14"/>
      <c r="L1826" s="14"/>
      <c r="M1826" s="14"/>
    </row>
    <row r="1827" ht="18.75" customHeight="1">
      <c r="A1827" s="14"/>
      <c r="B1827" s="14"/>
      <c r="C1827" s="14"/>
      <c r="D1827" s="14"/>
      <c r="E1827" s="15"/>
      <c r="F1827" s="14"/>
      <c r="G1827" s="14"/>
      <c r="H1827" s="15"/>
      <c r="I1827" s="14"/>
      <c r="J1827" s="14"/>
      <c r="K1827" s="14"/>
      <c r="L1827" s="14"/>
      <c r="M1827" s="14"/>
    </row>
    <row r="1828" ht="18.75" customHeight="1">
      <c r="A1828" s="14"/>
      <c r="B1828" s="14"/>
      <c r="C1828" s="14"/>
      <c r="D1828" s="14"/>
      <c r="E1828" s="15"/>
      <c r="F1828" s="14"/>
      <c r="G1828" s="14"/>
      <c r="H1828" s="15"/>
      <c r="I1828" s="14"/>
      <c r="J1828" s="14"/>
      <c r="K1828" s="14"/>
      <c r="L1828" s="14"/>
      <c r="M1828" s="14"/>
    </row>
    <row r="1829" ht="18.75" customHeight="1">
      <c r="A1829" s="14"/>
      <c r="B1829" s="14"/>
      <c r="C1829" s="14"/>
      <c r="D1829" s="14"/>
      <c r="E1829" s="15"/>
      <c r="F1829" s="14"/>
      <c r="G1829" s="14"/>
      <c r="H1829" s="15"/>
      <c r="I1829" s="14"/>
      <c r="J1829" s="14"/>
      <c r="K1829" s="14"/>
      <c r="L1829" s="14"/>
      <c r="M1829" s="14"/>
    </row>
    <row r="1830" ht="18.75" customHeight="1">
      <c r="A1830" s="14"/>
      <c r="B1830" s="14"/>
      <c r="C1830" s="14"/>
      <c r="D1830" s="14"/>
      <c r="E1830" s="15"/>
      <c r="F1830" s="14"/>
      <c r="G1830" s="14"/>
      <c r="H1830" s="15"/>
      <c r="I1830" s="14"/>
      <c r="J1830" s="14"/>
      <c r="K1830" s="14"/>
      <c r="L1830" s="14"/>
      <c r="M1830" s="14"/>
    </row>
    <row r="1831" ht="18.75" customHeight="1">
      <c r="A1831" s="14"/>
      <c r="B1831" s="14"/>
      <c r="C1831" s="14"/>
      <c r="D1831" s="14"/>
      <c r="E1831" s="15"/>
      <c r="F1831" s="14"/>
      <c r="G1831" s="14"/>
      <c r="H1831" s="15"/>
      <c r="I1831" s="14"/>
      <c r="J1831" s="14"/>
      <c r="K1831" s="14"/>
      <c r="L1831" s="14"/>
      <c r="M1831" s="14"/>
    </row>
    <row r="1832" ht="18.75" customHeight="1">
      <c r="A1832" s="14"/>
      <c r="B1832" s="14"/>
      <c r="C1832" s="14"/>
      <c r="D1832" s="14"/>
      <c r="E1832" s="15"/>
      <c r="F1832" s="14"/>
      <c r="G1832" s="14"/>
      <c r="H1832" s="15"/>
      <c r="I1832" s="14"/>
      <c r="J1832" s="14"/>
      <c r="K1832" s="14"/>
      <c r="L1832" s="14"/>
      <c r="M1832" s="14"/>
    </row>
    <row r="1833" ht="18.75" customHeight="1">
      <c r="A1833" s="14"/>
      <c r="B1833" s="14"/>
      <c r="C1833" s="14"/>
      <c r="D1833" s="14"/>
      <c r="E1833" s="15"/>
      <c r="F1833" s="14"/>
      <c r="G1833" s="14"/>
      <c r="H1833" s="15"/>
      <c r="I1833" s="14"/>
      <c r="J1833" s="14"/>
      <c r="K1833" s="14"/>
      <c r="L1833" s="14"/>
      <c r="M1833" s="14"/>
    </row>
    <row r="1834" ht="18.75" customHeight="1">
      <c r="A1834" s="14"/>
      <c r="B1834" s="14"/>
      <c r="C1834" s="14"/>
      <c r="D1834" s="14"/>
      <c r="E1834" s="15"/>
      <c r="F1834" s="14"/>
      <c r="G1834" s="14"/>
      <c r="H1834" s="15"/>
      <c r="I1834" s="14"/>
      <c r="J1834" s="14"/>
      <c r="K1834" s="14"/>
      <c r="L1834" s="14"/>
      <c r="M1834" s="14"/>
    </row>
    <row r="1835" ht="18.75" customHeight="1">
      <c r="A1835" s="14"/>
      <c r="B1835" s="14"/>
      <c r="C1835" s="14"/>
      <c r="D1835" s="14"/>
      <c r="E1835" s="15"/>
      <c r="F1835" s="14"/>
      <c r="G1835" s="14"/>
      <c r="H1835" s="15"/>
      <c r="I1835" s="14"/>
      <c r="J1835" s="14"/>
      <c r="K1835" s="14"/>
      <c r="L1835" s="14"/>
      <c r="M1835" s="14"/>
    </row>
    <row r="1836" ht="18.75" customHeight="1">
      <c r="A1836" s="14"/>
      <c r="B1836" s="14"/>
      <c r="C1836" s="14"/>
      <c r="D1836" s="14"/>
      <c r="E1836" s="15"/>
      <c r="F1836" s="14"/>
      <c r="G1836" s="14"/>
      <c r="H1836" s="15"/>
      <c r="I1836" s="14"/>
      <c r="J1836" s="14"/>
      <c r="K1836" s="14"/>
      <c r="L1836" s="14"/>
      <c r="M1836" s="14"/>
    </row>
    <row r="1837" ht="18.75" customHeight="1">
      <c r="A1837" s="14"/>
      <c r="B1837" s="14"/>
      <c r="C1837" s="14"/>
      <c r="D1837" s="14"/>
      <c r="E1837" s="15"/>
      <c r="F1837" s="14"/>
      <c r="G1837" s="14"/>
      <c r="H1837" s="15"/>
      <c r="I1837" s="14"/>
      <c r="J1837" s="14"/>
      <c r="K1837" s="14"/>
      <c r="L1837" s="14"/>
      <c r="M1837" s="14"/>
    </row>
    <row r="1838" ht="18.75" customHeight="1">
      <c r="A1838" s="14"/>
      <c r="B1838" s="14"/>
      <c r="C1838" s="14"/>
      <c r="D1838" s="14"/>
      <c r="E1838" s="15"/>
      <c r="F1838" s="14"/>
      <c r="G1838" s="14"/>
      <c r="H1838" s="15"/>
      <c r="I1838" s="14"/>
      <c r="J1838" s="14"/>
      <c r="K1838" s="14"/>
      <c r="L1838" s="14"/>
      <c r="M1838" s="14"/>
    </row>
    <row r="1839" ht="18.75" customHeight="1">
      <c r="A1839" s="14"/>
      <c r="B1839" s="14"/>
      <c r="C1839" s="14"/>
      <c r="D1839" s="14"/>
      <c r="E1839" s="15"/>
      <c r="F1839" s="14"/>
      <c r="G1839" s="14"/>
      <c r="H1839" s="15"/>
      <c r="I1839" s="14"/>
      <c r="J1839" s="14"/>
      <c r="K1839" s="14"/>
      <c r="L1839" s="14"/>
      <c r="M1839" s="14"/>
    </row>
    <row r="1840" ht="18.75" customHeight="1">
      <c r="A1840" s="14"/>
      <c r="B1840" s="14"/>
      <c r="C1840" s="14"/>
      <c r="D1840" s="14"/>
      <c r="E1840" s="15"/>
      <c r="F1840" s="14"/>
      <c r="G1840" s="14"/>
      <c r="H1840" s="15"/>
      <c r="I1840" s="14"/>
      <c r="J1840" s="14"/>
      <c r="K1840" s="14"/>
      <c r="L1840" s="14"/>
      <c r="M1840" s="14"/>
    </row>
    <row r="1841" ht="18.75" customHeight="1">
      <c r="A1841" s="14"/>
      <c r="B1841" s="14"/>
      <c r="C1841" s="14"/>
      <c r="D1841" s="14"/>
      <c r="E1841" s="15"/>
      <c r="F1841" s="14"/>
      <c r="G1841" s="14"/>
      <c r="H1841" s="15"/>
      <c r="I1841" s="14"/>
      <c r="J1841" s="14"/>
      <c r="K1841" s="14"/>
      <c r="L1841" s="14"/>
      <c r="M1841" s="14"/>
    </row>
    <row r="1842" ht="18.75" customHeight="1">
      <c r="A1842" s="14"/>
      <c r="B1842" s="14"/>
      <c r="C1842" s="14"/>
      <c r="D1842" s="14"/>
      <c r="E1842" s="15"/>
      <c r="F1842" s="14"/>
      <c r="G1842" s="14"/>
      <c r="H1842" s="15"/>
      <c r="I1842" s="14"/>
      <c r="J1842" s="14"/>
      <c r="K1842" s="14"/>
      <c r="L1842" s="14"/>
      <c r="M1842" s="14"/>
    </row>
    <row r="1843" ht="18.75" customHeight="1">
      <c r="A1843" s="14"/>
      <c r="B1843" s="14"/>
      <c r="C1843" s="14"/>
      <c r="D1843" s="14"/>
      <c r="E1843" s="15"/>
      <c r="F1843" s="14"/>
      <c r="G1843" s="14"/>
      <c r="H1843" s="15"/>
      <c r="I1843" s="14"/>
      <c r="J1843" s="14"/>
      <c r="K1843" s="14"/>
      <c r="L1843" s="14"/>
    </row>
    <row r="1844" ht="18.75" customHeight="1">
      <c r="A1844" s="14"/>
      <c r="B1844" s="14"/>
      <c r="C1844" s="14"/>
      <c r="D1844" s="14"/>
      <c r="E1844" s="15"/>
      <c r="F1844" s="14"/>
      <c r="G1844" s="14"/>
      <c r="H1844" s="15"/>
      <c r="I1844" s="14"/>
      <c r="J1844" s="14"/>
      <c r="K1844" s="14"/>
      <c r="L1844" s="14"/>
      <c r="M1844" s="14"/>
    </row>
    <row r="1845" ht="18.75" customHeight="1">
      <c r="A1845" s="14"/>
      <c r="B1845" s="14"/>
      <c r="C1845" s="14"/>
      <c r="D1845" s="14"/>
      <c r="E1845" s="15"/>
      <c r="F1845" s="14"/>
      <c r="G1845" s="14"/>
      <c r="H1845" s="15"/>
      <c r="I1845" s="14"/>
      <c r="J1845" s="14"/>
      <c r="K1845" s="14"/>
      <c r="L1845" s="14"/>
      <c r="M1845" s="14"/>
    </row>
    <row r="1846" ht="18.75" customHeight="1">
      <c r="A1846" s="14"/>
      <c r="B1846" s="14"/>
      <c r="C1846" s="14"/>
      <c r="D1846" s="14"/>
      <c r="E1846" s="15"/>
      <c r="F1846" s="14"/>
      <c r="G1846" s="14"/>
      <c r="H1846" s="15"/>
      <c r="I1846" s="14"/>
      <c r="J1846" s="14"/>
      <c r="K1846" s="14"/>
      <c r="L1846" s="14"/>
      <c r="M1846" s="14"/>
    </row>
    <row r="1847" ht="18.75" customHeight="1">
      <c r="A1847" s="14"/>
      <c r="B1847" s="14"/>
      <c r="C1847" s="14"/>
      <c r="D1847" s="14"/>
      <c r="E1847" s="16"/>
      <c r="F1847" s="14"/>
      <c r="G1847" s="14"/>
      <c r="H1847" s="15"/>
      <c r="I1847" s="14"/>
      <c r="J1847" s="14"/>
      <c r="K1847" s="14"/>
      <c r="L1847" s="14"/>
      <c r="M1847" s="14"/>
    </row>
    <row r="1848" ht="18.75" customHeight="1">
      <c r="A1848" s="14"/>
      <c r="B1848" s="14"/>
      <c r="C1848" s="14"/>
      <c r="D1848" s="14"/>
      <c r="E1848" s="15"/>
      <c r="F1848" s="14"/>
      <c r="G1848" s="14"/>
      <c r="H1848" s="15"/>
      <c r="I1848" s="14"/>
      <c r="J1848" s="14"/>
      <c r="K1848" s="14"/>
      <c r="L1848" s="14"/>
      <c r="M1848" s="14"/>
    </row>
    <row r="1849" ht="18.75" customHeight="1">
      <c r="A1849" s="14"/>
      <c r="B1849" s="14"/>
      <c r="C1849" s="14"/>
      <c r="D1849" s="14"/>
      <c r="E1849" s="15"/>
      <c r="F1849" s="14"/>
      <c r="G1849" s="14"/>
      <c r="H1849" s="15"/>
      <c r="I1849" s="14"/>
      <c r="J1849" s="14"/>
      <c r="K1849" s="14"/>
      <c r="L1849" s="14"/>
      <c r="M1849" s="14"/>
    </row>
    <row r="1850" ht="18.75" customHeight="1">
      <c r="A1850" s="14"/>
      <c r="B1850" s="14"/>
      <c r="C1850" s="14"/>
      <c r="D1850" s="14"/>
      <c r="E1850" s="15"/>
      <c r="F1850" s="14"/>
      <c r="G1850" s="14"/>
      <c r="H1850" s="15"/>
      <c r="I1850" s="14"/>
      <c r="J1850" s="14"/>
      <c r="K1850" s="14"/>
      <c r="L1850" s="14"/>
      <c r="M1850" s="14"/>
    </row>
    <row r="1851" ht="18.75" customHeight="1">
      <c r="A1851" s="14"/>
      <c r="B1851" s="14"/>
      <c r="C1851" s="14"/>
      <c r="D1851" s="14"/>
      <c r="E1851" s="15"/>
      <c r="F1851" s="14"/>
      <c r="G1851" s="14"/>
      <c r="H1851" s="15"/>
      <c r="I1851" s="14"/>
      <c r="J1851" s="14"/>
      <c r="K1851" s="14"/>
      <c r="L1851" s="14"/>
      <c r="M1851" s="14"/>
    </row>
    <row r="1852" ht="18.75" customHeight="1">
      <c r="A1852" s="14"/>
      <c r="B1852" s="14"/>
      <c r="C1852" s="14"/>
      <c r="D1852" s="14"/>
      <c r="E1852" s="15"/>
      <c r="F1852" s="14"/>
      <c r="G1852" s="14"/>
      <c r="H1852" s="15"/>
      <c r="I1852" s="14"/>
      <c r="J1852" s="14"/>
      <c r="K1852" s="14"/>
      <c r="L1852" s="14"/>
      <c r="M1852" s="14"/>
    </row>
    <row r="1853" ht="18.75" customHeight="1">
      <c r="A1853" s="14"/>
      <c r="B1853" s="14"/>
      <c r="C1853" s="14"/>
      <c r="D1853" s="14"/>
      <c r="E1853" s="15"/>
      <c r="F1853" s="14"/>
      <c r="G1853" s="14"/>
      <c r="H1853" s="15"/>
      <c r="I1853" s="14"/>
      <c r="J1853" s="14"/>
      <c r="K1853" s="14"/>
      <c r="L1853" s="14"/>
      <c r="M1853" s="14"/>
    </row>
    <row r="1854" ht="18.75" customHeight="1">
      <c r="A1854" s="14"/>
      <c r="B1854" s="14"/>
      <c r="C1854" s="14"/>
      <c r="D1854" s="14"/>
      <c r="E1854" s="15"/>
      <c r="F1854" s="14"/>
      <c r="G1854" s="14"/>
      <c r="H1854" s="15"/>
      <c r="I1854" s="14"/>
      <c r="J1854" s="14"/>
      <c r="K1854" s="14"/>
      <c r="L1854" s="14"/>
      <c r="M1854" s="14"/>
    </row>
    <row r="1855" ht="18.75" customHeight="1">
      <c r="A1855" s="14"/>
      <c r="B1855" s="14"/>
      <c r="C1855" s="14"/>
      <c r="D1855" s="14"/>
      <c r="E1855" s="15"/>
      <c r="F1855" s="14"/>
      <c r="G1855" s="14"/>
      <c r="H1855" s="15"/>
      <c r="I1855" s="14"/>
      <c r="J1855" s="14"/>
      <c r="K1855" s="14"/>
      <c r="L1855" s="14"/>
      <c r="M1855" s="14"/>
    </row>
    <row r="1856" ht="18.75" customHeight="1">
      <c r="A1856" s="14"/>
      <c r="B1856" s="14"/>
      <c r="C1856" s="14"/>
      <c r="D1856" s="14"/>
      <c r="E1856" s="15"/>
      <c r="F1856" s="14"/>
      <c r="G1856" s="14"/>
      <c r="H1856" s="15"/>
      <c r="I1856" s="14"/>
      <c r="J1856" s="14"/>
      <c r="K1856" s="14"/>
      <c r="L1856" s="14"/>
      <c r="M1856" s="14"/>
    </row>
    <row r="1857" ht="18.75" customHeight="1">
      <c r="A1857" s="14"/>
      <c r="B1857" s="14"/>
      <c r="C1857" s="14"/>
      <c r="D1857" s="14"/>
      <c r="E1857" s="15"/>
      <c r="F1857" s="14"/>
      <c r="G1857" s="14"/>
      <c r="H1857" s="15"/>
      <c r="I1857" s="14"/>
      <c r="J1857" s="14"/>
      <c r="K1857" s="14"/>
      <c r="L1857" s="14"/>
      <c r="M1857" s="14"/>
    </row>
    <row r="1858" ht="18.75" customHeight="1">
      <c r="A1858" s="14"/>
      <c r="B1858" s="14"/>
      <c r="C1858" s="14"/>
      <c r="D1858" s="14"/>
      <c r="E1858" s="15"/>
      <c r="F1858" s="14"/>
      <c r="G1858" s="14"/>
      <c r="H1858" s="15"/>
      <c r="I1858" s="14"/>
      <c r="J1858" s="14"/>
      <c r="K1858" s="14"/>
      <c r="L1858" s="14"/>
      <c r="M1858" s="14"/>
    </row>
    <row r="1859" ht="18.75" customHeight="1">
      <c r="A1859" s="14"/>
      <c r="B1859" s="14"/>
      <c r="C1859" s="14"/>
      <c r="D1859" s="14"/>
      <c r="E1859" s="15"/>
      <c r="F1859" s="14"/>
      <c r="G1859" s="14"/>
      <c r="H1859" s="15"/>
      <c r="I1859" s="14"/>
      <c r="J1859" s="14"/>
      <c r="K1859" s="14"/>
      <c r="L1859" s="14"/>
      <c r="M1859" s="14"/>
    </row>
    <row r="1860" ht="18.75" customHeight="1">
      <c r="A1860" s="14"/>
      <c r="B1860" s="14"/>
      <c r="C1860" s="14"/>
      <c r="D1860" s="14"/>
      <c r="E1860" s="15"/>
      <c r="F1860" s="14"/>
      <c r="G1860" s="14"/>
      <c r="H1860" s="15"/>
      <c r="I1860" s="14"/>
      <c r="J1860" s="14"/>
      <c r="K1860" s="14"/>
      <c r="L1860" s="14"/>
      <c r="M1860" s="14"/>
    </row>
    <row r="1861" ht="18.75" customHeight="1">
      <c r="A1861" s="14"/>
      <c r="B1861" s="14"/>
      <c r="C1861" s="14"/>
      <c r="D1861" s="14"/>
      <c r="E1861" s="15"/>
      <c r="F1861" s="14"/>
      <c r="G1861" s="14"/>
      <c r="H1861" s="15"/>
      <c r="I1861" s="14"/>
      <c r="J1861" s="14"/>
      <c r="K1861" s="14"/>
      <c r="L1861" s="14"/>
      <c r="M1861" s="14"/>
    </row>
    <row r="1862" ht="18.75" customHeight="1">
      <c r="A1862" s="14"/>
      <c r="B1862" s="14"/>
      <c r="C1862" s="14"/>
      <c r="D1862" s="14"/>
      <c r="E1862" s="15"/>
      <c r="F1862" s="14"/>
      <c r="G1862" s="14"/>
      <c r="H1862" s="15"/>
      <c r="I1862" s="14"/>
      <c r="J1862" s="14"/>
      <c r="K1862" s="14"/>
      <c r="L1862" s="14"/>
      <c r="M1862" s="14"/>
    </row>
    <row r="1863" ht="18.75" customHeight="1">
      <c r="A1863" s="14"/>
      <c r="B1863" s="14"/>
      <c r="C1863" s="14"/>
      <c r="D1863" s="14"/>
      <c r="E1863" s="15"/>
      <c r="F1863" s="14"/>
      <c r="G1863" s="14"/>
      <c r="H1863" s="15"/>
      <c r="I1863" s="14"/>
      <c r="J1863" s="14"/>
      <c r="K1863" s="14"/>
      <c r="L1863" s="14"/>
      <c r="M1863" s="14"/>
    </row>
    <row r="1864" ht="18.75" customHeight="1">
      <c r="A1864" s="14"/>
      <c r="B1864" s="14"/>
      <c r="C1864" s="14"/>
      <c r="D1864" s="14"/>
      <c r="E1864" s="15"/>
      <c r="F1864" s="14"/>
      <c r="G1864" s="14"/>
      <c r="H1864" s="15"/>
      <c r="I1864" s="14"/>
      <c r="J1864" s="14"/>
      <c r="K1864" s="14"/>
      <c r="L1864" s="14"/>
      <c r="M1864" s="14"/>
    </row>
    <row r="1865" ht="18.75" customHeight="1">
      <c r="A1865" s="14"/>
      <c r="B1865" s="14"/>
      <c r="C1865" s="14"/>
      <c r="D1865" s="14"/>
      <c r="E1865" s="15"/>
      <c r="F1865" s="14"/>
      <c r="G1865" s="14"/>
      <c r="H1865" s="15"/>
      <c r="I1865" s="14"/>
      <c r="J1865" s="14"/>
      <c r="K1865" s="14"/>
      <c r="L1865" s="14"/>
      <c r="M1865" s="14"/>
    </row>
    <row r="1866" ht="18.75" customHeight="1">
      <c r="A1866" s="14"/>
      <c r="B1866" s="14"/>
      <c r="C1866" s="14"/>
      <c r="D1866" s="14"/>
      <c r="E1866" s="15"/>
      <c r="F1866" s="14"/>
      <c r="G1866" s="14"/>
      <c r="H1866" s="15"/>
      <c r="I1866" s="14"/>
      <c r="J1866" s="14"/>
      <c r="K1866" s="14"/>
      <c r="L1866" s="14"/>
      <c r="M1866" s="14"/>
    </row>
    <row r="1867" ht="18.75" customHeight="1">
      <c r="A1867" s="14"/>
      <c r="B1867" s="14"/>
      <c r="C1867" s="14"/>
      <c r="D1867" s="14"/>
      <c r="E1867" s="15"/>
      <c r="F1867" s="14"/>
      <c r="G1867" s="14"/>
      <c r="H1867" s="15"/>
      <c r="I1867" s="14"/>
      <c r="J1867" s="14"/>
      <c r="K1867" s="14"/>
      <c r="L1867" s="14"/>
      <c r="M1867" s="14"/>
    </row>
    <row r="1868" ht="18.75" customHeight="1">
      <c r="A1868" s="14"/>
      <c r="B1868" s="14"/>
      <c r="C1868" s="14"/>
      <c r="D1868" s="14"/>
      <c r="E1868" s="15"/>
      <c r="F1868" s="14"/>
      <c r="G1868" s="14"/>
      <c r="H1868" s="15"/>
      <c r="I1868" s="14"/>
      <c r="J1868" s="14"/>
      <c r="K1868" s="14"/>
      <c r="L1868" s="14"/>
      <c r="M1868" s="14"/>
    </row>
    <row r="1869" ht="18.75" customHeight="1">
      <c r="A1869" s="14"/>
      <c r="B1869" s="14"/>
      <c r="C1869" s="14"/>
      <c r="D1869" s="14"/>
      <c r="E1869" s="15"/>
      <c r="F1869" s="14"/>
      <c r="G1869" s="14"/>
      <c r="H1869" s="15"/>
      <c r="I1869" s="14"/>
      <c r="J1869" s="14"/>
      <c r="K1869" s="14"/>
      <c r="L1869" s="14"/>
      <c r="M1869" s="14"/>
    </row>
    <row r="1870" ht="18.75" customHeight="1">
      <c r="A1870" s="14"/>
      <c r="B1870" s="14"/>
      <c r="C1870" s="14"/>
      <c r="D1870" s="14"/>
      <c r="E1870" s="15"/>
      <c r="F1870" s="14"/>
      <c r="G1870" s="14"/>
      <c r="H1870" s="15"/>
      <c r="I1870" s="14"/>
      <c r="J1870" s="14"/>
      <c r="K1870" s="14"/>
      <c r="L1870" s="14"/>
      <c r="M1870" s="14"/>
    </row>
    <row r="1871" ht="18.75" customHeight="1">
      <c r="A1871" s="14"/>
      <c r="B1871" s="14"/>
      <c r="C1871" s="14"/>
      <c r="D1871" s="14"/>
      <c r="E1871" s="15"/>
      <c r="F1871" s="14"/>
      <c r="G1871" s="14"/>
      <c r="H1871" s="15"/>
      <c r="I1871" s="14"/>
      <c r="J1871" s="14"/>
      <c r="K1871" s="14"/>
      <c r="L1871" s="14"/>
      <c r="M1871" s="14"/>
    </row>
    <row r="1872" ht="18.75" customHeight="1">
      <c r="A1872" s="14"/>
      <c r="B1872" s="14"/>
      <c r="C1872" s="14"/>
      <c r="D1872" s="14"/>
      <c r="E1872" s="15"/>
      <c r="F1872" s="14"/>
      <c r="G1872" s="14"/>
      <c r="H1872" s="15"/>
      <c r="I1872" s="14"/>
      <c r="J1872" s="14"/>
      <c r="K1872" s="14"/>
      <c r="L1872" s="14"/>
      <c r="M1872" s="14"/>
    </row>
    <row r="1873" ht="18.75" customHeight="1">
      <c r="A1873" s="14"/>
      <c r="B1873" s="14"/>
      <c r="C1873" s="14"/>
      <c r="D1873" s="14"/>
      <c r="E1873" s="15"/>
      <c r="F1873" s="14"/>
      <c r="G1873" s="14"/>
      <c r="H1873" s="15"/>
      <c r="I1873" s="14"/>
      <c r="J1873" s="14"/>
      <c r="K1873" s="14"/>
      <c r="L1873" s="14"/>
      <c r="M1873" s="14"/>
    </row>
    <row r="1874" ht="18.75" customHeight="1">
      <c r="A1874" s="14"/>
      <c r="B1874" s="14"/>
      <c r="C1874" s="14"/>
      <c r="D1874" s="14"/>
      <c r="E1874" s="15"/>
      <c r="F1874" s="14"/>
      <c r="G1874" s="14"/>
      <c r="H1874" s="15"/>
      <c r="I1874" s="14"/>
      <c r="J1874" s="14"/>
      <c r="K1874" s="14"/>
      <c r="L1874" s="14"/>
      <c r="M1874" s="14"/>
    </row>
    <row r="1875" ht="18.75" customHeight="1">
      <c r="A1875" s="14"/>
      <c r="B1875" s="14"/>
      <c r="C1875" s="14"/>
      <c r="D1875" s="14"/>
      <c r="E1875" s="15"/>
      <c r="F1875" s="14"/>
      <c r="G1875" s="14"/>
      <c r="H1875" s="15"/>
      <c r="I1875" s="14"/>
      <c r="J1875" s="14"/>
      <c r="K1875" s="14"/>
      <c r="L1875" s="14"/>
      <c r="M1875" s="14"/>
    </row>
    <row r="1876" ht="18.75" customHeight="1">
      <c r="A1876" s="14"/>
      <c r="B1876" s="14"/>
      <c r="C1876" s="14"/>
      <c r="D1876" s="14"/>
      <c r="E1876" s="15"/>
      <c r="F1876" s="14"/>
      <c r="G1876" s="14"/>
      <c r="H1876" s="15"/>
      <c r="I1876" s="14"/>
      <c r="J1876" s="14"/>
      <c r="K1876" s="14"/>
      <c r="L1876" s="14"/>
      <c r="M1876" s="14"/>
    </row>
    <row r="1877" ht="18.75" customHeight="1">
      <c r="A1877" s="14"/>
      <c r="B1877" s="14"/>
      <c r="C1877" s="14"/>
      <c r="D1877" s="14"/>
      <c r="E1877" s="15"/>
      <c r="F1877" s="14"/>
      <c r="G1877" s="14"/>
      <c r="H1877" s="15"/>
      <c r="I1877" s="14"/>
      <c r="J1877" s="14"/>
      <c r="K1877" s="14"/>
      <c r="L1877" s="14"/>
      <c r="M1877" s="14"/>
    </row>
    <row r="1878" ht="18.75" customHeight="1">
      <c r="A1878" s="14"/>
      <c r="B1878" s="14"/>
      <c r="C1878" s="14"/>
      <c r="D1878" s="14"/>
      <c r="E1878" s="15"/>
      <c r="F1878" s="14"/>
      <c r="G1878" s="14"/>
      <c r="H1878" s="15"/>
      <c r="I1878" s="14"/>
      <c r="J1878" s="14"/>
      <c r="K1878" s="14"/>
      <c r="L1878" s="14"/>
      <c r="M1878" s="14"/>
    </row>
    <row r="1879" ht="18.75" customHeight="1">
      <c r="A1879" s="14"/>
      <c r="B1879" s="14"/>
      <c r="C1879" s="14"/>
      <c r="D1879" s="14"/>
      <c r="E1879" s="15"/>
      <c r="F1879" s="14"/>
      <c r="G1879" s="14"/>
      <c r="H1879" s="15"/>
      <c r="I1879" s="14"/>
      <c r="J1879" s="14"/>
      <c r="K1879" s="14"/>
      <c r="L1879" s="14"/>
      <c r="M1879" s="14"/>
    </row>
    <row r="1880" ht="18.75" customHeight="1">
      <c r="A1880" s="14"/>
      <c r="B1880" s="14"/>
      <c r="C1880" s="14"/>
      <c r="D1880" s="14"/>
      <c r="E1880" s="15"/>
      <c r="F1880" s="14"/>
      <c r="G1880" s="14"/>
      <c r="H1880" s="15"/>
      <c r="I1880" s="14"/>
      <c r="J1880" s="14"/>
      <c r="K1880" s="14"/>
      <c r="L1880" s="14"/>
      <c r="M1880" s="14"/>
    </row>
    <row r="1881" ht="18.75" customHeight="1">
      <c r="A1881" s="14"/>
      <c r="B1881" s="14"/>
      <c r="C1881" s="14"/>
      <c r="D1881" s="14"/>
      <c r="E1881" s="15"/>
      <c r="F1881" s="14"/>
      <c r="G1881" s="14"/>
      <c r="H1881" s="15"/>
      <c r="I1881" s="14"/>
      <c r="J1881" s="14"/>
      <c r="K1881" s="14"/>
      <c r="L1881" s="14"/>
      <c r="M1881" s="14"/>
    </row>
    <row r="1882" ht="18.75" customHeight="1">
      <c r="A1882" s="14"/>
      <c r="B1882" s="14"/>
      <c r="C1882" s="14"/>
      <c r="D1882" s="14"/>
      <c r="E1882" s="15"/>
      <c r="F1882" s="14"/>
      <c r="G1882" s="14"/>
      <c r="H1882" s="15"/>
      <c r="I1882" s="14"/>
      <c r="J1882" s="14"/>
      <c r="K1882" s="14"/>
      <c r="L1882" s="14"/>
      <c r="M1882" s="14"/>
    </row>
    <row r="1883" ht="18.75" customHeight="1">
      <c r="A1883" s="14"/>
      <c r="B1883" s="14"/>
      <c r="C1883" s="14"/>
      <c r="D1883" s="14"/>
      <c r="E1883" s="15"/>
      <c r="F1883" s="14"/>
      <c r="G1883" s="14"/>
      <c r="H1883" s="15"/>
      <c r="I1883" s="14"/>
      <c r="J1883" s="14"/>
      <c r="K1883" s="14"/>
      <c r="L1883" s="14"/>
      <c r="M1883" s="14"/>
    </row>
    <row r="1884" ht="18.75" customHeight="1">
      <c r="A1884" s="14"/>
      <c r="B1884" s="14"/>
      <c r="C1884" s="14"/>
      <c r="D1884" s="14"/>
      <c r="E1884" s="15"/>
      <c r="F1884" s="14"/>
      <c r="G1884" s="14"/>
      <c r="H1884" s="15"/>
      <c r="I1884" s="14"/>
      <c r="J1884" s="14"/>
      <c r="K1884" s="14"/>
      <c r="L1884" s="14"/>
      <c r="M1884" s="14"/>
    </row>
    <row r="1885" ht="18.75" customHeight="1">
      <c r="A1885" s="14"/>
      <c r="B1885" s="14"/>
      <c r="C1885" s="14"/>
      <c r="D1885" s="14"/>
      <c r="E1885" s="15"/>
      <c r="F1885" s="14"/>
      <c r="G1885" s="14"/>
      <c r="H1885" s="15"/>
      <c r="I1885" s="14"/>
      <c r="J1885" s="14"/>
      <c r="K1885" s="14"/>
      <c r="L1885" s="14"/>
      <c r="M1885" s="14"/>
    </row>
    <row r="1886" ht="18.75" customHeight="1">
      <c r="A1886" s="14"/>
      <c r="B1886" s="14"/>
      <c r="C1886" s="14"/>
      <c r="D1886" s="14"/>
      <c r="E1886" s="15"/>
      <c r="F1886" s="14"/>
      <c r="G1886" s="14"/>
      <c r="H1886" s="15"/>
      <c r="I1886" s="14"/>
      <c r="J1886" s="14"/>
      <c r="K1886" s="14"/>
      <c r="L1886" s="14"/>
      <c r="M1886" s="14"/>
    </row>
    <row r="1887" ht="18.75" customHeight="1">
      <c r="A1887" s="14"/>
      <c r="B1887" s="14"/>
      <c r="C1887" s="14"/>
      <c r="D1887" s="14"/>
      <c r="E1887" s="15"/>
      <c r="F1887" s="14"/>
      <c r="G1887" s="14"/>
      <c r="H1887" s="15"/>
      <c r="I1887" s="14"/>
      <c r="J1887" s="14"/>
      <c r="K1887" s="14"/>
      <c r="L1887" s="14"/>
      <c r="M1887" s="14"/>
    </row>
    <row r="1888" ht="18.75" customHeight="1">
      <c r="A1888" s="14"/>
      <c r="B1888" s="14"/>
      <c r="C1888" s="14"/>
      <c r="D1888" s="14"/>
      <c r="E1888" s="15"/>
      <c r="F1888" s="14"/>
      <c r="G1888" s="14"/>
      <c r="H1888" s="15"/>
      <c r="I1888" s="14"/>
      <c r="J1888" s="14"/>
      <c r="K1888" s="14"/>
      <c r="L1888" s="14"/>
      <c r="M1888" s="14"/>
    </row>
    <row r="1889" ht="18.75" customHeight="1">
      <c r="A1889" s="14"/>
      <c r="B1889" s="14"/>
      <c r="C1889" s="14"/>
      <c r="D1889" s="14"/>
      <c r="E1889" s="15"/>
      <c r="F1889" s="14"/>
      <c r="G1889" s="14"/>
      <c r="H1889" s="15"/>
      <c r="I1889" s="14"/>
      <c r="J1889" s="14"/>
      <c r="K1889" s="14"/>
      <c r="L1889" s="14"/>
      <c r="M1889" s="14"/>
    </row>
    <row r="1890" ht="18.75" customHeight="1">
      <c r="A1890" s="14"/>
      <c r="B1890" s="14"/>
      <c r="C1890" s="14"/>
      <c r="D1890" s="14"/>
      <c r="E1890" s="15"/>
      <c r="F1890" s="14"/>
      <c r="G1890" s="14"/>
      <c r="H1890" s="15"/>
      <c r="I1890" s="14"/>
      <c r="J1890" s="14"/>
      <c r="K1890" s="14"/>
      <c r="L1890" s="14"/>
      <c r="M1890" s="14"/>
    </row>
    <row r="1891" ht="18.75" customHeight="1">
      <c r="A1891" s="14"/>
      <c r="B1891" s="14"/>
      <c r="C1891" s="14"/>
      <c r="D1891" s="14"/>
      <c r="E1891" s="15"/>
      <c r="F1891" s="14"/>
      <c r="G1891" s="14"/>
      <c r="H1891" s="15"/>
      <c r="I1891" s="14"/>
      <c r="J1891" s="14"/>
      <c r="K1891" s="14"/>
      <c r="L1891" s="14"/>
      <c r="M1891" s="14"/>
    </row>
    <row r="1892" ht="18.75" customHeight="1">
      <c r="A1892" s="14"/>
      <c r="B1892" s="14"/>
      <c r="C1892" s="14"/>
      <c r="D1892" s="14"/>
      <c r="E1892" s="15"/>
      <c r="F1892" s="14"/>
      <c r="G1892" s="14"/>
      <c r="H1892" s="15"/>
      <c r="I1892" s="14"/>
      <c r="J1892" s="14"/>
      <c r="K1892" s="14"/>
      <c r="L1892" s="14"/>
      <c r="M1892" s="14"/>
    </row>
    <row r="1893" ht="18.75" customHeight="1">
      <c r="A1893" s="14"/>
      <c r="B1893" s="14"/>
      <c r="C1893" s="14"/>
      <c r="D1893" s="14"/>
      <c r="E1893" s="15"/>
      <c r="F1893" s="14"/>
      <c r="G1893" s="14"/>
      <c r="H1893" s="15"/>
      <c r="I1893" s="14"/>
      <c r="J1893" s="14"/>
      <c r="K1893" s="14"/>
      <c r="L1893" s="14"/>
      <c r="M1893" s="14"/>
    </row>
    <row r="1894" ht="18.75" customHeight="1">
      <c r="A1894" s="14"/>
      <c r="B1894" s="14"/>
      <c r="C1894" s="14"/>
      <c r="D1894" s="14"/>
      <c r="E1894" s="15"/>
      <c r="F1894" s="14"/>
      <c r="G1894" s="14"/>
      <c r="H1894" s="15"/>
      <c r="I1894" s="14"/>
      <c r="J1894" s="14"/>
      <c r="K1894" s="14"/>
      <c r="L1894" s="14"/>
      <c r="M1894" s="14"/>
    </row>
    <row r="1895" ht="18.75" customHeight="1">
      <c r="A1895" s="14"/>
      <c r="B1895" s="14"/>
      <c r="C1895" s="14"/>
      <c r="D1895" s="14"/>
      <c r="E1895" s="15"/>
      <c r="F1895" s="14"/>
      <c r="G1895" s="14"/>
      <c r="H1895" s="15"/>
      <c r="I1895" s="14"/>
      <c r="J1895" s="14"/>
      <c r="K1895" s="14"/>
      <c r="L1895" s="14"/>
      <c r="M1895" s="14"/>
    </row>
    <row r="1896" ht="18.75" customHeight="1">
      <c r="A1896" s="14"/>
      <c r="B1896" s="14"/>
      <c r="C1896" s="14"/>
      <c r="D1896" s="14"/>
      <c r="E1896" s="15"/>
      <c r="F1896" s="14"/>
      <c r="G1896" s="14"/>
      <c r="H1896" s="15"/>
      <c r="I1896" s="14"/>
      <c r="J1896" s="14"/>
      <c r="K1896" s="14"/>
      <c r="L1896" s="14"/>
      <c r="M1896" s="14"/>
    </row>
    <row r="1897" ht="18.75" customHeight="1">
      <c r="A1897" s="14"/>
      <c r="B1897" s="14"/>
      <c r="C1897" s="14"/>
      <c r="D1897" s="14"/>
      <c r="E1897" s="15"/>
      <c r="F1897" s="14"/>
      <c r="G1897" s="14"/>
      <c r="H1897" s="15"/>
      <c r="I1897" s="14"/>
      <c r="J1897" s="14"/>
      <c r="K1897" s="14"/>
      <c r="L1897" s="14"/>
      <c r="M1897" s="14"/>
    </row>
    <row r="1898" ht="18.75" customHeight="1">
      <c r="A1898" s="14"/>
      <c r="B1898" s="14"/>
      <c r="C1898" s="14"/>
      <c r="D1898" s="14"/>
      <c r="E1898" s="15"/>
      <c r="F1898" s="14"/>
      <c r="G1898" s="14"/>
      <c r="H1898" s="15"/>
      <c r="I1898" s="14"/>
      <c r="J1898" s="14"/>
      <c r="K1898" s="14"/>
      <c r="L1898" s="14"/>
      <c r="M1898" s="14"/>
    </row>
    <row r="1899" ht="18.75" customHeight="1">
      <c r="A1899" s="14"/>
      <c r="B1899" s="14"/>
      <c r="C1899" s="14"/>
      <c r="D1899" s="14"/>
      <c r="E1899" s="15"/>
      <c r="F1899" s="14"/>
      <c r="G1899" s="14"/>
      <c r="H1899" s="15"/>
      <c r="I1899" s="14"/>
      <c r="J1899" s="14"/>
      <c r="K1899" s="14"/>
      <c r="L1899" s="14"/>
      <c r="M1899" s="14"/>
    </row>
    <row r="1900" ht="18.75" customHeight="1">
      <c r="A1900" s="14"/>
      <c r="B1900" s="14"/>
      <c r="C1900" s="14"/>
      <c r="D1900" s="14"/>
      <c r="E1900" s="15"/>
      <c r="F1900" s="14"/>
      <c r="G1900" s="14"/>
      <c r="H1900" s="15"/>
      <c r="I1900" s="14"/>
      <c r="J1900" s="14"/>
      <c r="K1900" s="14"/>
      <c r="L1900" s="14"/>
      <c r="M1900" s="14"/>
    </row>
    <row r="1901" ht="18.75" customHeight="1">
      <c r="A1901" s="14"/>
      <c r="B1901" s="14"/>
      <c r="C1901" s="14"/>
      <c r="D1901" s="14"/>
      <c r="E1901" s="15"/>
      <c r="F1901" s="14"/>
      <c r="G1901" s="14"/>
      <c r="H1901" s="15"/>
      <c r="I1901" s="14"/>
      <c r="J1901" s="14"/>
      <c r="K1901" s="14"/>
      <c r="L1901" s="14"/>
      <c r="M1901" s="14"/>
    </row>
    <row r="1902" ht="18.75" customHeight="1">
      <c r="A1902" s="14"/>
      <c r="B1902" s="14"/>
      <c r="C1902" s="14"/>
      <c r="D1902" s="14"/>
      <c r="E1902" s="15"/>
      <c r="F1902" s="14"/>
      <c r="G1902" s="14"/>
      <c r="H1902" s="15"/>
      <c r="I1902" s="14"/>
      <c r="J1902" s="14"/>
      <c r="K1902" s="14"/>
      <c r="L1902" s="14"/>
      <c r="M1902" s="14"/>
    </row>
    <row r="1903" ht="18.75" customHeight="1">
      <c r="A1903" s="14"/>
      <c r="B1903" s="14"/>
      <c r="C1903" s="14"/>
      <c r="D1903" s="14"/>
      <c r="E1903" s="15"/>
      <c r="F1903" s="14"/>
      <c r="G1903" s="14"/>
      <c r="H1903" s="15"/>
      <c r="I1903" s="14"/>
      <c r="J1903" s="14"/>
      <c r="K1903" s="14"/>
      <c r="L1903" s="14"/>
      <c r="M1903" s="14"/>
    </row>
    <row r="1904" ht="18.75" customHeight="1">
      <c r="A1904" s="14"/>
      <c r="B1904" s="14"/>
      <c r="C1904" s="14"/>
      <c r="D1904" s="14"/>
      <c r="E1904" s="15"/>
      <c r="F1904" s="14"/>
      <c r="G1904" s="14"/>
      <c r="H1904" s="15"/>
      <c r="I1904" s="14"/>
      <c r="J1904" s="14"/>
      <c r="K1904" s="14"/>
      <c r="L1904" s="14"/>
      <c r="M1904" s="14"/>
    </row>
    <row r="1905" ht="18.75" customHeight="1">
      <c r="A1905" s="14"/>
      <c r="B1905" s="14"/>
      <c r="C1905" s="14"/>
      <c r="D1905" s="14"/>
      <c r="E1905" s="15"/>
      <c r="F1905" s="14"/>
      <c r="G1905" s="14"/>
      <c r="H1905" s="15"/>
      <c r="I1905" s="14"/>
      <c r="J1905" s="14"/>
      <c r="K1905" s="14"/>
      <c r="L1905" s="14"/>
      <c r="M1905" s="14"/>
    </row>
    <row r="1906" ht="18.75" customHeight="1">
      <c r="A1906" s="14"/>
      <c r="B1906" s="14"/>
      <c r="C1906" s="14"/>
      <c r="D1906" s="14"/>
      <c r="E1906" s="15"/>
      <c r="F1906" s="14"/>
      <c r="G1906" s="14"/>
      <c r="H1906" s="15"/>
      <c r="I1906" s="14"/>
      <c r="J1906" s="14"/>
      <c r="K1906" s="14"/>
      <c r="L1906" s="14"/>
      <c r="M1906" s="14"/>
    </row>
    <row r="1907" ht="18.75" customHeight="1">
      <c r="A1907" s="14"/>
      <c r="B1907" s="14"/>
      <c r="C1907" s="14"/>
      <c r="D1907" s="14"/>
      <c r="E1907" s="15"/>
      <c r="F1907" s="14"/>
      <c r="G1907" s="14"/>
      <c r="H1907" s="15"/>
      <c r="I1907" s="14"/>
      <c r="J1907" s="14"/>
      <c r="K1907" s="14"/>
      <c r="L1907" s="14"/>
      <c r="M1907" s="14"/>
    </row>
    <row r="1908" ht="18.75" customHeight="1">
      <c r="A1908" s="14"/>
      <c r="B1908" s="14"/>
      <c r="C1908" s="14"/>
      <c r="D1908" s="14"/>
      <c r="E1908" s="15"/>
      <c r="F1908" s="14"/>
      <c r="G1908" s="14"/>
      <c r="H1908" s="15"/>
      <c r="I1908" s="14"/>
      <c r="J1908" s="14"/>
      <c r="K1908" s="14"/>
      <c r="L1908" s="14"/>
      <c r="M1908" s="14"/>
    </row>
    <row r="1909" ht="18.75" customHeight="1">
      <c r="A1909" s="14"/>
      <c r="B1909" s="14"/>
      <c r="C1909" s="14"/>
      <c r="D1909" s="14"/>
      <c r="E1909" s="15"/>
      <c r="F1909" s="14"/>
      <c r="G1909" s="14"/>
      <c r="H1909" s="15"/>
      <c r="I1909" s="14"/>
      <c r="J1909" s="14"/>
      <c r="K1909" s="14"/>
      <c r="L1909" s="14"/>
      <c r="M1909" s="14"/>
    </row>
    <row r="1910" ht="18.75" customHeight="1">
      <c r="A1910" s="14"/>
      <c r="B1910" s="14"/>
      <c r="C1910" s="14"/>
      <c r="D1910" s="14"/>
      <c r="E1910" s="15"/>
      <c r="F1910" s="14"/>
      <c r="G1910" s="14"/>
      <c r="H1910" s="15"/>
      <c r="I1910" s="14"/>
      <c r="J1910" s="14"/>
      <c r="K1910" s="14"/>
      <c r="L1910" s="14"/>
      <c r="M1910" s="14"/>
    </row>
    <row r="1911" ht="18.75" customHeight="1">
      <c r="A1911" s="14"/>
      <c r="B1911" s="14"/>
      <c r="C1911" s="14"/>
      <c r="D1911" s="14"/>
      <c r="E1911" s="15"/>
      <c r="F1911" s="14"/>
      <c r="G1911" s="14"/>
      <c r="H1911" s="15"/>
      <c r="I1911" s="14"/>
      <c r="J1911" s="14"/>
      <c r="K1911" s="14"/>
      <c r="L1911" s="14"/>
      <c r="M1911" s="14"/>
    </row>
    <row r="1912" ht="18.75" customHeight="1">
      <c r="A1912" s="14"/>
      <c r="B1912" s="14"/>
      <c r="C1912" s="14"/>
      <c r="D1912" s="14"/>
      <c r="E1912" s="15"/>
      <c r="F1912" s="14"/>
      <c r="G1912" s="14"/>
      <c r="H1912" s="15"/>
      <c r="I1912" s="14"/>
      <c r="J1912" s="14"/>
      <c r="K1912" s="14"/>
      <c r="L1912" s="14"/>
      <c r="M1912" s="14"/>
    </row>
    <row r="1913" ht="18.75" customHeight="1">
      <c r="A1913" s="14"/>
      <c r="B1913" s="14"/>
      <c r="C1913" s="14"/>
      <c r="D1913" s="14"/>
      <c r="E1913" s="15"/>
      <c r="F1913" s="14"/>
      <c r="G1913" s="14"/>
      <c r="H1913" s="15"/>
      <c r="I1913" s="14"/>
      <c r="J1913" s="14"/>
      <c r="K1913" s="14"/>
      <c r="L1913" s="14"/>
      <c r="M1913" s="14"/>
    </row>
    <row r="1914" ht="18.75" customHeight="1">
      <c r="A1914" s="14"/>
      <c r="B1914" s="14"/>
      <c r="C1914" s="14"/>
      <c r="D1914" s="14"/>
      <c r="E1914" s="15"/>
      <c r="F1914" s="14"/>
      <c r="G1914" s="14"/>
      <c r="H1914" s="15"/>
      <c r="I1914" s="14"/>
      <c r="J1914" s="14"/>
      <c r="K1914" s="14"/>
      <c r="L1914" s="14"/>
      <c r="M1914" s="14"/>
    </row>
    <row r="1915" ht="18.75" customHeight="1">
      <c r="A1915" s="14"/>
      <c r="B1915" s="14"/>
      <c r="C1915" s="14"/>
      <c r="D1915" s="14"/>
      <c r="E1915" s="15"/>
      <c r="F1915" s="14"/>
      <c r="G1915" s="14"/>
      <c r="H1915" s="15"/>
      <c r="I1915" s="14"/>
      <c r="J1915" s="14"/>
      <c r="K1915" s="14"/>
      <c r="L1915" s="14"/>
      <c r="M1915" s="14"/>
    </row>
    <row r="1916" ht="18.75" customHeight="1">
      <c r="A1916" s="14"/>
      <c r="B1916" s="14"/>
      <c r="C1916" s="14"/>
      <c r="D1916" s="14"/>
      <c r="E1916" s="15"/>
      <c r="F1916" s="14"/>
      <c r="G1916" s="14"/>
      <c r="H1916" s="15"/>
      <c r="I1916" s="14"/>
      <c r="J1916" s="14"/>
      <c r="K1916" s="14"/>
      <c r="L1916" s="14"/>
      <c r="M1916" s="14"/>
    </row>
    <row r="1917" ht="18.75" customHeight="1">
      <c r="A1917" s="14"/>
      <c r="B1917" s="14"/>
      <c r="C1917" s="14"/>
      <c r="D1917" s="14"/>
      <c r="E1917" s="15"/>
      <c r="F1917" s="14"/>
      <c r="G1917" s="14"/>
      <c r="H1917" s="15"/>
      <c r="I1917" s="14"/>
      <c r="J1917" s="14"/>
      <c r="K1917" s="14"/>
      <c r="L1917" s="14"/>
      <c r="M1917" s="14"/>
    </row>
    <row r="1918" ht="18.75" customHeight="1">
      <c r="A1918" s="14"/>
      <c r="B1918" s="14"/>
      <c r="C1918" s="14"/>
      <c r="D1918" s="14"/>
      <c r="E1918" s="15"/>
      <c r="F1918" s="14"/>
      <c r="G1918" s="14"/>
      <c r="H1918" s="15"/>
      <c r="I1918" s="14"/>
      <c r="J1918" s="14"/>
      <c r="K1918" s="14"/>
      <c r="L1918" s="14"/>
      <c r="M1918" s="14"/>
    </row>
    <row r="1919" ht="18.75" customHeight="1">
      <c r="A1919" s="14"/>
      <c r="B1919" s="14"/>
      <c r="C1919" s="14"/>
      <c r="D1919" s="14"/>
      <c r="E1919" s="15"/>
      <c r="F1919" s="14"/>
      <c r="G1919" s="14"/>
      <c r="H1919" s="15"/>
      <c r="I1919" s="14"/>
      <c r="J1919" s="14"/>
      <c r="K1919" s="14"/>
      <c r="L1919" s="14"/>
      <c r="M1919" s="14"/>
    </row>
    <row r="1920" ht="18.75" customHeight="1">
      <c r="A1920" s="14"/>
      <c r="B1920" s="14"/>
      <c r="C1920" s="14"/>
      <c r="D1920" s="14"/>
      <c r="E1920" s="15"/>
      <c r="F1920" s="14"/>
      <c r="G1920" s="14"/>
      <c r="H1920" s="15"/>
      <c r="I1920" s="14"/>
      <c r="J1920" s="14"/>
      <c r="K1920" s="14"/>
      <c r="L1920" s="14"/>
      <c r="M1920" s="14"/>
    </row>
    <row r="1921" ht="18.75" customHeight="1">
      <c r="A1921" s="14"/>
      <c r="B1921" s="14"/>
      <c r="C1921" s="14"/>
      <c r="D1921" s="14"/>
      <c r="E1921" s="15"/>
      <c r="F1921" s="14"/>
      <c r="G1921" s="14"/>
      <c r="H1921" s="15"/>
      <c r="I1921" s="14"/>
      <c r="J1921" s="14"/>
      <c r="K1921" s="14"/>
      <c r="L1921" s="14"/>
      <c r="M1921" s="14"/>
    </row>
    <row r="1922" ht="18.75" customHeight="1">
      <c r="A1922" s="14"/>
      <c r="B1922" s="14"/>
      <c r="C1922" s="14"/>
      <c r="D1922" s="14"/>
      <c r="E1922" s="15"/>
      <c r="F1922" s="14"/>
      <c r="G1922" s="14"/>
      <c r="H1922" s="15"/>
      <c r="I1922" s="14"/>
      <c r="J1922" s="14"/>
      <c r="K1922" s="14"/>
      <c r="L1922" s="14"/>
      <c r="M1922" s="14"/>
    </row>
    <row r="1923" ht="18.75" customHeight="1">
      <c r="A1923" s="14"/>
      <c r="B1923" s="14"/>
      <c r="C1923" s="14"/>
      <c r="D1923" s="14"/>
      <c r="E1923" s="15"/>
      <c r="F1923" s="14"/>
      <c r="G1923" s="14"/>
      <c r="H1923" s="15"/>
      <c r="I1923" s="14"/>
      <c r="J1923" s="14"/>
      <c r="K1923" s="14"/>
      <c r="L1923" s="14"/>
      <c r="M1923" s="14"/>
    </row>
    <row r="1924" ht="18.75" customHeight="1">
      <c r="A1924" s="14"/>
      <c r="B1924" s="14"/>
      <c r="C1924" s="14"/>
      <c r="D1924" s="14"/>
      <c r="E1924" s="15"/>
      <c r="F1924" s="14"/>
      <c r="G1924" s="14"/>
      <c r="H1924" s="15"/>
      <c r="I1924" s="14"/>
      <c r="J1924" s="14"/>
      <c r="K1924" s="14"/>
      <c r="L1924" s="14"/>
      <c r="M1924" s="14"/>
    </row>
    <row r="1925" ht="18.75" customHeight="1">
      <c r="A1925" s="14"/>
      <c r="B1925" s="14"/>
      <c r="C1925" s="14"/>
      <c r="D1925" s="14"/>
      <c r="E1925" s="15"/>
      <c r="F1925" s="14"/>
      <c r="G1925" s="14"/>
      <c r="H1925" s="15"/>
      <c r="I1925" s="14"/>
      <c r="J1925" s="14"/>
      <c r="K1925" s="14"/>
      <c r="L1925" s="14"/>
      <c r="M1925" s="14"/>
    </row>
    <row r="1926" ht="18.75" customHeight="1">
      <c r="A1926" s="14"/>
      <c r="B1926" s="14"/>
      <c r="C1926" s="14"/>
      <c r="D1926" s="14"/>
      <c r="E1926" s="15"/>
      <c r="F1926" s="14"/>
      <c r="G1926" s="14"/>
      <c r="H1926" s="15"/>
      <c r="I1926" s="14"/>
      <c r="J1926" s="14"/>
      <c r="K1926" s="14"/>
      <c r="L1926" s="14"/>
      <c r="M1926" s="14"/>
    </row>
    <row r="1927" ht="18.75" customHeight="1">
      <c r="A1927" s="14"/>
      <c r="B1927" s="14"/>
      <c r="C1927" s="14"/>
      <c r="D1927" s="14"/>
      <c r="E1927" s="15"/>
      <c r="F1927" s="14"/>
      <c r="G1927" s="14"/>
      <c r="H1927" s="15"/>
      <c r="I1927" s="14"/>
      <c r="J1927" s="14"/>
      <c r="K1927" s="14"/>
      <c r="L1927" s="14"/>
      <c r="M1927" s="14"/>
    </row>
    <row r="1928" ht="18.75" customHeight="1">
      <c r="A1928" s="14"/>
      <c r="B1928" s="14"/>
      <c r="C1928" s="14"/>
      <c r="D1928" s="14"/>
      <c r="E1928" s="15"/>
      <c r="F1928" s="14"/>
      <c r="G1928" s="14"/>
      <c r="H1928" s="15"/>
      <c r="I1928" s="14"/>
      <c r="J1928" s="14"/>
      <c r="K1928" s="14"/>
      <c r="L1928" s="14"/>
      <c r="M1928" s="14"/>
    </row>
    <row r="1929" ht="18.75" customHeight="1">
      <c r="A1929" s="14"/>
      <c r="B1929" s="14"/>
      <c r="C1929" s="14"/>
      <c r="D1929" s="14"/>
      <c r="E1929" s="15"/>
      <c r="F1929" s="14"/>
      <c r="G1929" s="14"/>
      <c r="H1929" s="15"/>
      <c r="I1929" s="14"/>
      <c r="J1929" s="14"/>
      <c r="K1929" s="14"/>
      <c r="L1929" s="14"/>
      <c r="M1929" s="14"/>
    </row>
    <row r="1930" ht="18.75" customHeight="1">
      <c r="A1930" s="14"/>
      <c r="B1930" s="14"/>
      <c r="C1930" s="14"/>
      <c r="D1930" s="14"/>
      <c r="E1930" s="15"/>
      <c r="F1930" s="14"/>
      <c r="G1930" s="14"/>
      <c r="H1930" s="15"/>
      <c r="I1930" s="14"/>
      <c r="J1930" s="14"/>
      <c r="K1930" s="14"/>
      <c r="L1930" s="14"/>
      <c r="M1930" s="14"/>
    </row>
    <row r="1931" ht="18.75" customHeight="1">
      <c r="A1931" s="14"/>
      <c r="B1931" s="14"/>
      <c r="C1931" s="14"/>
      <c r="D1931" s="14"/>
      <c r="E1931" s="15"/>
      <c r="F1931" s="14"/>
      <c r="G1931" s="14"/>
      <c r="H1931" s="15"/>
      <c r="I1931" s="14"/>
      <c r="J1931" s="14"/>
      <c r="K1931" s="14"/>
      <c r="L1931" s="14"/>
      <c r="M1931" s="14"/>
    </row>
    <row r="1932" ht="18.75" customHeight="1">
      <c r="A1932" s="14"/>
      <c r="B1932" s="14"/>
      <c r="C1932" s="14"/>
      <c r="D1932" s="14"/>
      <c r="E1932" s="15"/>
      <c r="F1932" s="14"/>
      <c r="G1932" s="14"/>
      <c r="H1932" s="15"/>
      <c r="I1932" s="14"/>
      <c r="J1932" s="14"/>
      <c r="K1932" s="14"/>
      <c r="L1932" s="14"/>
      <c r="M1932" s="14"/>
    </row>
    <row r="1933" ht="18.75" customHeight="1">
      <c r="A1933" s="14"/>
      <c r="B1933" s="14"/>
      <c r="C1933" s="14"/>
      <c r="D1933" s="14"/>
      <c r="E1933" s="15"/>
      <c r="F1933" s="14"/>
      <c r="G1933" s="14"/>
      <c r="H1933" s="15"/>
      <c r="I1933" s="14"/>
      <c r="J1933" s="14"/>
      <c r="K1933" s="14"/>
      <c r="L1933" s="14"/>
      <c r="M1933" s="14"/>
    </row>
    <row r="1934" ht="18.75" customHeight="1">
      <c r="A1934" s="14"/>
      <c r="B1934" s="14"/>
      <c r="C1934" s="14"/>
      <c r="D1934" s="14"/>
      <c r="E1934" s="15"/>
      <c r="F1934" s="14"/>
      <c r="G1934" s="14"/>
      <c r="H1934" s="15"/>
      <c r="I1934" s="14"/>
      <c r="J1934" s="14"/>
      <c r="K1934" s="14"/>
      <c r="L1934" s="14"/>
      <c r="M1934" s="14"/>
    </row>
    <row r="1935" ht="18.75" customHeight="1">
      <c r="A1935" s="14"/>
      <c r="B1935" s="14"/>
      <c r="C1935" s="14"/>
      <c r="D1935" s="14"/>
      <c r="E1935" s="15"/>
      <c r="F1935" s="14"/>
      <c r="G1935" s="14"/>
      <c r="H1935" s="15"/>
      <c r="I1935" s="14"/>
      <c r="J1935" s="14"/>
      <c r="K1935" s="14"/>
      <c r="L1935" s="14"/>
      <c r="M1935" s="14"/>
    </row>
    <row r="1936" ht="18.75" customHeight="1">
      <c r="A1936" s="14"/>
      <c r="B1936" s="14"/>
      <c r="C1936" s="14"/>
      <c r="D1936" s="14"/>
      <c r="E1936" s="15"/>
      <c r="F1936" s="14"/>
      <c r="G1936" s="14"/>
      <c r="H1936" s="15"/>
      <c r="I1936" s="14"/>
      <c r="J1936" s="14"/>
      <c r="K1936" s="14"/>
      <c r="L1936" s="14"/>
      <c r="M1936" s="14"/>
    </row>
    <row r="1937" ht="18.75" customHeight="1">
      <c r="A1937" s="14"/>
      <c r="B1937" s="14"/>
      <c r="C1937" s="14"/>
      <c r="D1937" s="14"/>
      <c r="E1937" s="15"/>
      <c r="F1937" s="14"/>
      <c r="G1937" s="14"/>
      <c r="H1937" s="15"/>
      <c r="I1937" s="14"/>
      <c r="J1937" s="14"/>
      <c r="K1937" s="14"/>
      <c r="L1937" s="14"/>
      <c r="M1937" s="14"/>
    </row>
    <row r="1938" ht="18.75" customHeight="1">
      <c r="A1938" s="14"/>
      <c r="B1938" s="14"/>
      <c r="C1938" s="14"/>
      <c r="D1938" s="14"/>
      <c r="E1938" s="15"/>
      <c r="F1938" s="14"/>
      <c r="G1938" s="14"/>
      <c r="H1938" s="15"/>
      <c r="I1938" s="14"/>
      <c r="J1938" s="14"/>
      <c r="K1938" s="14"/>
      <c r="L1938" s="14"/>
      <c r="M1938" s="14"/>
    </row>
    <row r="1939" ht="18.75" customHeight="1">
      <c r="A1939" s="14"/>
      <c r="B1939" s="14"/>
      <c r="C1939" s="14"/>
      <c r="D1939" s="14"/>
      <c r="E1939" s="15"/>
      <c r="F1939" s="14"/>
      <c r="G1939" s="14"/>
      <c r="H1939" s="15"/>
      <c r="I1939" s="14"/>
      <c r="J1939" s="14"/>
      <c r="K1939" s="14"/>
      <c r="L1939" s="14"/>
      <c r="M1939" s="14"/>
    </row>
    <row r="1940" ht="18.75" customHeight="1">
      <c r="A1940" s="14"/>
      <c r="B1940" s="14"/>
      <c r="C1940" s="14"/>
      <c r="D1940" s="14"/>
      <c r="E1940" s="15"/>
      <c r="F1940" s="14"/>
      <c r="G1940" s="14"/>
      <c r="H1940" s="15"/>
      <c r="I1940" s="14"/>
      <c r="J1940" s="14"/>
      <c r="K1940" s="14"/>
      <c r="L1940" s="14"/>
      <c r="M1940" s="14"/>
    </row>
    <row r="1941" ht="18.75" customHeight="1">
      <c r="A1941" s="14"/>
      <c r="B1941" s="14"/>
      <c r="C1941" s="14"/>
      <c r="D1941" s="14"/>
      <c r="E1941" s="15"/>
      <c r="F1941" s="14"/>
      <c r="G1941" s="14"/>
      <c r="H1941" s="15"/>
      <c r="I1941" s="14"/>
      <c r="J1941" s="14"/>
      <c r="K1941" s="14"/>
      <c r="L1941" s="14"/>
      <c r="M1941" s="14"/>
    </row>
    <row r="1942" ht="18.75" customHeight="1">
      <c r="A1942" s="14"/>
      <c r="B1942" s="14"/>
      <c r="C1942" s="14"/>
      <c r="D1942" s="14"/>
      <c r="E1942" s="15"/>
      <c r="F1942" s="14"/>
      <c r="G1942" s="14"/>
      <c r="H1942" s="15"/>
      <c r="I1942" s="14"/>
      <c r="J1942" s="14"/>
      <c r="K1942" s="14"/>
      <c r="L1942" s="14"/>
      <c r="M1942" s="14"/>
    </row>
    <row r="1943" ht="18.75" customHeight="1">
      <c r="A1943" s="14"/>
      <c r="B1943" s="14"/>
      <c r="C1943" s="14"/>
      <c r="D1943" s="14"/>
      <c r="E1943" s="15"/>
      <c r="F1943" s="14"/>
      <c r="G1943" s="14"/>
      <c r="H1943" s="15"/>
      <c r="I1943" s="14"/>
      <c r="J1943" s="14"/>
      <c r="K1943" s="14"/>
      <c r="L1943" s="14"/>
      <c r="M1943" s="14"/>
    </row>
    <row r="1944" ht="18.75" customHeight="1">
      <c r="A1944" s="14"/>
      <c r="B1944" s="14"/>
      <c r="C1944" s="14"/>
      <c r="D1944" s="14"/>
      <c r="E1944" s="15"/>
      <c r="F1944" s="14"/>
      <c r="G1944" s="14"/>
      <c r="H1944" s="15"/>
      <c r="I1944" s="14"/>
      <c r="J1944" s="14"/>
      <c r="K1944" s="14"/>
      <c r="L1944" s="14"/>
      <c r="M1944" s="14"/>
    </row>
    <row r="1945" ht="18.75" customHeight="1">
      <c r="A1945" s="14"/>
      <c r="B1945" s="14"/>
      <c r="C1945" s="14"/>
      <c r="D1945" s="14"/>
      <c r="E1945" s="15"/>
      <c r="F1945" s="14"/>
      <c r="G1945" s="14"/>
      <c r="H1945" s="15"/>
      <c r="I1945" s="14"/>
      <c r="J1945" s="14"/>
      <c r="K1945" s="14"/>
      <c r="L1945" s="14"/>
      <c r="M1945" s="14"/>
    </row>
    <row r="1946" ht="18.75" customHeight="1">
      <c r="A1946" s="14"/>
      <c r="B1946" s="14"/>
      <c r="C1946" s="14"/>
      <c r="D1946" s="14"/>
      <c r="E1946" s="15"/>
      <c r="F1946" s="14"/>
      <c r="G1946" s="14"/>
      <c r="H1946" s="15"/>
      <c r="I1946" s="14"/>
      <c r="J1946" s="14"/>
      <c r="K1946" s="14"/>
      <c r="L1946" s="14"/>
      <c r="M1946" s="14"/>
    </row>
    <row r="1947" ht="18.75" customHeight="1">
      <c r="A1947" s="14"/>
      <c r="B1947" s="14"/>
      <c r="C1947" s="14"/>
      <c r="D1947" s="14"/>
      <c r="E1947" s="15"/>
      <c r="F1947" s="14"/>
      <c r="G1947" s="14"/>
      <c r="H1947" s="15"/>
      <c r="I1947" s="14"/>
      <c r="J1947" s="14"/>
      <c r="K1947" s="14"/>
      <c r="L1947" s="14"/>
      <c r="M1947" s="14"/>
    </row>
    <row r="1948" ht="18.75" customHeight="1">
      <c r="A1948" s="14"/>
      <c r="B1948" s="14"/>
      <c r="C1948" s="14"/>
      <c r="D1948" s="14"/>
      <c r="E1948" s="15"/>
      <c r="F1948" s="14"/>
      <c r="G1948" s="14"/>
      <c r="H1948" s="15"/>
      <c r="I1948" s="14"/>
      <c r="J1948" s="14"/>
      <c r="K1948" s="14"/>
      <c r="L1948" s="14"/>
      <c r="M1948" s="14"/>
    </row>
    <row r="1949" ht="18.75" customHeight="1">
      <c r="A1949" s="14"/>
      <c r="B1949" s="14"/>
      <c r="C1949" s="14"/>
      <c r="D1949" s="14"/>
      <c r="E1949" s="15"/>
      <c r="F1949" s="14"/>
      <c r="G1949" s="14"/>
      <c r="H1949" s="15"/>
      <c r="I1949" s="14"/>
      <c r="J1949" s="14"/>
      <c r="K1949" s="14"/>
      <c r="L1949" s="14"/>
      <c r="M1949" s="14"/>
    </row>
    <row r="1950" ht="18.75" customHeight="1">
      <c r="A1950" s="14"/>
      <c r="B1950" s="14"/>
      <c r="C1950" s="14"/>
      <c r="D1950" s="14"/>
      <c r="E1950" s="15"/>
      <c r="F1950" s="14"/>
      <c r="G1950" s="14"/>
      <c r="H1950" s="15"/>
      <c r="I1950" s="14"/>
      <c r="J1950" s="14"/>
      <c r="K1950" s="14"/>
      <c r="L1950" s="14"/>
      <c r="M1950" s="14"/>
    </row>
    <row r="1951" ht="18.75" customHeight="1">
      <c r="A1951" s="14"/>
      <c r="B1951" s="14"/>
      <c r="C1951" s="14"/>
      <c r="D1951" s="14"/>
      <c r="E1951" s="15"/>
      <c r="F1951" s="14"/>
      <c r="G1951" s="14"/>
      <c r="H1951" s="15"/>
      <c r="I1951" s="14"/>
      <c r="J1951" s="14"/>
      <c r="K1951" s="14"/>
      <c r="L1951" s="14"/>
      <c r="M1951" s="14"/>
    </row>
    <row r="1952" ht="18.75" customHeight="1">
      <c r="A1952" s="14"/>
      <c r="B1952" s="14"/>
      <c r="C1952" s="14"/>
      <c r="D1952" s="14"/>
      <c r="E1952" s="15"/>
      <c r="F1952" s="14"/>
      <c r="G1952" s="14"/>
      <c r="H1952" s="15"/>
      <c r="I1952" s="14"/>
      <c r="J1952" s="14"/>
      <c r="K1952" s="14"/>
      <c r="L1952" s="14"/>
      <c r="M1952" s="14"/>
    </row>
    <row r="1953" ht="18.75" customHeight="1">
      <c r="A1953" s="14"/>
      <c r="B1953" s="14"/>
      <c r="C1953" s="14"/>
      <c r="D1953" s="14"/>
      <c r="E1953" s="15"/>
      <c r="F1953" s="14"/>
      <c r="G1953" s="14"/>
      <c r="H1953" s="15"/>
      <c r="I1953" s="14"/>
      <c r="J1953" s="14"/>
      <c r="K1953" s="14"/>
      <c r="L1953" s="14"/>
      <c r="M1953" s="14"/>
    </row>
    <row r="1954" ht="18.75" customHeight="1">
      <c r="A1954" s="14"/>
      <c r="B1954" s="14"/>
      <c r="C1954" s="14"/>
      <c r="D1954" s="14"/>
      <c r="E1954" s="15"/>
      <c r="F1954" s="14"/>
      <c r="G1954" s="14"/>
      <c r="H1954" s="15"/>
      <c r="I1954" s="14"/>
      <c r="J1954" s="14"/>
      <c r="K1954" s="14"/>
      <c r="L1954" s="14"/>
      <c r="M1954" s="14"/>
    </row>
    <row r="1955" ht="18.75" customHeight="1">
      <c r="A1955" s="14"/>
      <c r="B1955" s="14"/>
      <c r="C1955" s="14"/>
      <c r="D1955" s="14"/>
      <c r="E1955" s="15"/>
      <c r="F1955" s="14"/>
      <c r="G1955" s="14"/>
      <c r="H1955" s="15"/>
      <c r="I1955" s="14"/>
      <c r="J1955" s="14"/>
      <c r="K1955" s="14"/>
      <c r="L1955" s="14"/>
      <c r="M1955" s="14"/>
    </row>
    <row r="1956" ht="18.75" customHeight="1">
      <c r="A1956" s="14"/>
      <c r="B1956" s="14"/>
      <c r="C1956" s="14"/>
      <c r="D1956" s="14"/>
      <c r="E1956" s="15"/>
      <c r="F1956" s="14"/>
      <c r="G1956" s="14"/>
      <c r="H1956" s="15"/>
      <c r="I1956" s="14"/>
      <c r="J1956" s="14"/>
      <c r="K1956" s="14"/>
      <c r="L1956" s="14"/>
      <c r="M1956" s="14"/>
    </row>
    <row r="1957" ht="18.75" customHeight="1">
      <c r="A1957" s="14"/>
      <c r="B1957" s="14"/>
      <c r="C1957" s="14"/>
      <c r="D1957" s="14"/>
      <c r="E1957" s="15"/>
      <c r="F1957" s="14"/>
      <c r="G1957" s="14"/>
      <c r="H1957" s="15"/>
      <c r="I1957" s="14"/>
      <c r="J1957" s="14"/>
      <c r="K1957" s="14"/>
      <c r="L1957" s="14"/>
      <c r="M1957" s="14"/>
    </row>
    <row r="1958" ht="18.75" customHeight="1">
      <c r="A1958" s="14"/>
      <c r="B1958" s="14"/>
      <c r="C1958" s="14"/>
      <c r="D1958" s="14"/>
      <c r="E1958" s="15"/>
      <c r="F1958" s="14"/>
      <c r="G1958" s="14"/>
      <c r="H1958" s="15"/>
      <c r="I1958" s="14"/>
      <c r="J1958" s="14"/>
      <c r="K1958" s="14"/>
      <c r="L1958" s="14"/>
      <c r="M1958" s="14"/>
    </row>
    <row r="1959" ht="18.75" customHeight="1">
      <c r="A1959" s="14"/>
      <c r="B1959" s="14"/>
      <c r="C1959" s="14"/>
      <c r="D1959" s="14"/>
      <c r="E1959" s="15"/>
      <c r="F1959" s="14"/>
      <c r="G1959" s="14"/>
      <c r="H1959" s="15"/>
      <c r="I1959" s="14"/>
      <c r="J1959" s="14"/>
      <c r="K1959" s="14"/>
      <c r="L1959" s="14"/>
      <c r="M1959" s="14"/>
    </row>
    <row r="1960" ht="18.75" customHeight="1">
      <c r="A1960" s="14"/>
      <c r="B1960" s="14"/>
      <c r="C1960" s="14"/>
      <c r="D1960" s="14"/>
      <c r="E1960" s="15"/>
      <c r="F1960" s="14"/>
      <c r="G1960" s="14"/>
      <c r="H1960" s="15"/>
      <c r="I1960" s="14"/>
      <c r="J1960" s="14"/>
      <c r="K1960" s="14"/>
      <c r="L1960" s="14"/>
      <c r="M1960" s="14"/>
    </row>
    <row r="1961" ht="18.75" customHeight="1">
      <c r="A1961" s="14"/>
      <c r="B1961" s="14"/>
      <c r="C1961" s="14"/>
      <c r="D1961" s="14"/>
      <c r="E1961" s="15"/>
      <c r="F1961" s="14"/>
      <c r="G1961" s="14"/>
      <c r="H1961" s="15"/>
      <c r="I1961" s="14"/>
      <c r="J1961" s="14"/>
      <c r="K1961" s="14"/>
      <c r="L1961" s="14"/>
      <c r="M1961" s="14"/>
    </row>
    <row r="1962" ht="18.75" customHeight="1">
      <c r="A1962" s="14"/>
      <c r="B1962" s="14"/>
      <c r="C1962" s="14"/>
      <c r="D1962" s="14"/>
      <c r="E1962" s="15"/>
      <c r="F1962" s="14"/>
      <c r="G1962" s="14"/>
      <c r="H1962" s="15"/>
      <c r="I1962" s="14"/>
      <c r="J1962" s="14"/>
      <c r="K1962" s="14"/>
      <c r="L1962" s="14"/>
      <c r="M1962" s="14"/>
    </row>
    <row r="1963" ht="18.75" customHeight="1">
      <c r="A1963" s="14"/>
      <c r="B1963" s="14"/>
      <c r="C1963" s="14"/>
      <c r="D1963" s="14"/>
      <c r="E1963" s="15"/>
      <c r="F1963" s="14"/>
      <c r="G1963" s="14"/>
      <c r="H1963" s="15"/>
      <c r="I1963" s="14"/>
      <c r="J1963" s="14"/>
      <c r="K1963" s="14"/>
      <c r="L1963" s="14"/>
      <c r="M1963" s="14"/>
    </row>
    <row r="1964" ht="18.75" customHeight="1">
      <c r="A1964" s="14"/>
      <c r="B1964" s="14"/>
      <c r="C1964" s="14"/>
      <c r="D1964" s="14"/>
      <c r="E1964" s="15"/>
      <c r="F1964" s="14"/>
      <c r="G1964" s="14"/>
      <c r="H1964" s="15"/>
      <c r="I1964" s="14"/>
      <c r="J1964" s="14"/>
      <c r="K1964" s="14"/>
      <c r="L1964" s="14"/>
      <c r="M1964" s="14"/>
    </row>
    <row r="1965" ht="18.75" customHeight="1">
      <c r="A1965" s="14"/>
      <c r="B1965" s="14"/>
      <c r="C1965" s="14"/>
      <c r="D1965" s="14"/>
      <c r="E1965" s="15"/>
      <c r="F1965" s="14"/>
      <c r="G1965" s="14"/>
      <c r="H1965" s="15"/>
      <c r="I1965" s="14"/>
      <c r="J1965" s="14"/>
      <c r="K1965" s="14"/>
      <c r="L1965" s="14"/>
      <c r="M1965" s="14"/>
    </row>
    <row r="1966" ht="18.75" customHeight="1">
      <c r="A1966" s="14"/>
      <c r="B1966" s="14"/>
      <c r="C1966" s="14"/>
      <c r="D1966" s="14"/>
      <c r="E1966" s="15"/>
      <c r="F1966" s="14"/>
      <c r="G1966" s="14"/>
      <c r="H1966" s="15"/>
      <c r="I1966" s="14"/>
      <c r="J1966" s="14"/>
      <c r="K1966" s="14"/>
      <c r="L1966" s="14"/>
      <c r="M1966" s="14"/>
    </row>
    <row r="1967" ht="18.75" customHeight="1">
      <c r="A1967" s="14"/>
      <c r="B1967" s="14"/>
      <c r="C1967" s="14"/>
      <c r="D1967" s="14"/>
      <c r="E1967" s="15"/>
      <c r="F1967" s="14"/>
      <c r="G1967" s="14"/>
      <c r="H1967" s="15"/>
      <c r="I1967" s="14"/>
      <c r="J1967" s="14"/>
      <c r="K1967" s="14"/>
      <c r="L1967" s="14"/>
      <c r="M1967" s="14"/>
    </row>
    <row r="1968" ht="18.75" customHeight="1">
      <c r="A1968" s="14"/>
      <c r="B1968" s="14"/>
      <c r="C1968" s="14"/>
      <c r="D1968" s="14"/>
      <c r="E1968" s="15"/>
      <c r="F1968" s="14"/>
      <c r="G1968" s="14"/>
      <c r="H1968" s="15"/>
      <c r="I1968" s="14"/>
      <c r="J1968" s="14"/>
      <c r="K1968" s="14"/>
      <c r="L1968" s="14"/>
      <c r="M1968" s="14"/>
    </row>
    <row r="1969" ht="18.75" customHeight="1">
      <c r="A1969" s="14"/>
      <c r="B1969" s="14"/>
      <c r="C1969" s="14"/>
      <c r="D1969" s="14"/>
      <c r="E1969" s="15"/>
      <c r="F1969" s="14"/>
      <c r="G1969" s="14"/>
      <c r="H1969" s="15"/>
      <c r="I1969" s="14"/>
      <c r="J1969" s="14"/>
      <c r="K1969" s="14"/>
      <c r="L1969" s="14"/>
      <c r="M1969" s="14"/>
    </row>
    <row r="1970" ht="18.75" customHeight="1">
      <c r="A1970" s="14"/>
      <c r="B1970" s="14"/>
      <c r="C1970" s="14"/>
      <c r="D1970" s="14"/>
      <c r="E1970" s="15"/>
      <c r="F1970" s="14"/>
      <c r="G1970" s="14"/>
      <c r="H1970" s="15"/>
      <c r="I1970" s="14"/>
      <c r="J1970" s="14"/>
      <c r="K1970" s="14"/>
      <c r="L1970" s="14"/>
      <c r="M1970" s="14"/>
    </row>
    <row r="1971" ht="18.75" customHeight="1">
      <c r="A1971" s="14"/>
      <c r="B1971" s="14"/>
      <c r="C1971" s="14"/>
      <c r="D1971" s="14"/>
      <c r="E1971" s="15"/>
      <c r="F1971" s="14"/>
      <c r="G1971" s="14"/>
      <c r="H1971" s="15"/>
      <c r="I1971" s="14"/>
      <c r="J1971" s="14"/>
      <c r="K1971" s="14"/>
      <c r="L1971" s="14"/>
      <c r="M1971" s="14"/>
    </row>
    <row r="1972" ht="18.75" customHeight="1">
      <c r="A1972" s="14"/>
      <c r="B1972" s="14"/>
      <c r="C1972" s="14"/>
      <c r="D1972" s="14"/>
      <c r="E1972" s="15"/>
      <c r="F1972" s="14"/>
      <c r="G1972" s="14"/>
      <c r="H1972" s="15"/>
      <c r="I1972" s="14"/>
      <c r="J1972" s="14"/>
      <c r="K1972" s="14"/>
      <c r="L1972" s="14"/>
      <c r="M1972" s="14"/>
    </row>
    <row r="1973" ht="18.75" customHeight="1">
      <c r="A1973" s="14"/>
      <c r="B1973" s="14"/>
      <c r="C1973" s="14"/>
      <c r="D1973" s="14"/>
      <c r="E1973" s="15"/>
      <c r="F1973" s="14"/>
      <c r="G1973" s="14"/>
      <c r="H1973" s="15"/>
      <c r="I1973" s="14"/>
      <c r="J1973" s="14"/>
      <c r="K1973" s="14"/>
      <c r="L1973" s="14"/>
      <c r="M1973" s="14"/>
    </row>
    <row r="1974" ht="18.75" customHeight="1">
      <c r="A1974" s="14"/>
      <c r="B1974" s="14"/>
      <c r="C1974" s="14"/>
      <c r="D1974" s="14"/>
      <c r="E1974" s="15"/>
      <c r="F1974" s="14"/>
      <c r="G1974" s="14"/>
      <c r="H1974" s="15"/>
      <c r="I1974" s="14"/>
      <c r="J1974" s="14"/>
      <c r="K1974" s="14"/>
      <c r="L1974" s="14"/>
      <c r="M1974" s="14"/>
    </row>
    <row r="1975" ht="18.75" customHeight="1">
      <c r="A1975" s="14"/>
      <c r="B1975" s="14"/>
      <c r="C1975" s="14"/>
      <c r="D1975" s="14"/>
      <c r="E1975" s="15"/>
      <c r="F1975" s="14"/>
      <c r="G1975" s="14"/>
      <c r="H1975" s="15"/>
      <c r="I1975" s="14"/>
      <c r="J1975" s="14"/>
      <c r="K1975" s="14"/>
      <c r="L1975" s="14"/>
      <c r="M1975" s="14"/>
    </row>
    <row r="1976" ht="18.75" customHeight="1">
      <c r="A1976" s="14"/>
      <c r="B1976" s="14"/>
      <c r="C1976" s="14"/>
      <c r="D1976" s="14"/>
      <c r="E1976" s="15"/>
      <c r="F1976" s="14"/>
      <c r="G1976" s="14"/>
      <c r="H1976" s="15"/>
      <c r="I1976" s="14"/>
      <c r="J1976" s="14"/>
      <c r="K1976" s="14"/>
      <c r="L1976" s="14"/>
      <c r="M1976" s="14"/>
    </row>
    <row r="1977" ht="18.75" customHeight="1">
      <c r="A1977" s="14"/>
      <c r="B1977" s="14"/>
      <c r="C1977" s="14"/>
      <c r="D1977" s="14"/>
      <c r="E1977" s="15"/>
      <c r="F1977" s="14"/>
      <c r="G1977" s="14"/>
      <c r="H1977" s="15"/>
      <c r="I1977" s="14"/>
      <c r="J1977" s="14"/>
      <c r="K1977" s="14"/>
      <c r="L1977" s="14"/>
      <c r="M1977" s="14"/>
    </row>
    <row r="1978" ht="18.75" customHeight="1">
      <c r="A1978" s="14"/>
      <c r="B1978" s="14"/>
      <c r="C1978" s="14"/>
      <c r="D1978" s="14"/>
      <c r="E1978" s="15"/>
      <c r="F1978" s="14"/>
      <c r="G1978" s="14"/>
      <c r="H1978" s="15"/>
      <c r="I1978" s="14"/>
      <c r="J1978" s="14"/>
      <c r="K1978" s="14"/>
      <c r="L1978" s="14"/>
      <c r="M1978" s="14"/>
    </row>
    <row r="1979" ht="18.75" customHeight="1">
      <c r="A1979" s="14"/>
      <c r="B1979" s="14"/>
      <c r="C1979" s="14"/>
      <c r="D1979" s="14"/>
      <c r="E1979" s="15"/>
      <c r="F1979" s="14"/>
      <c r="G1979" s="14"/>
      <c r="H1979" s="15"/>
      <c r="I1979" s="14"/>
      <c r="J1979" s="14"/>
      <c r="K1979" s="14"/>
      <c r="L1979" s="14"/>
      <c r="M1979" s="14"/>
    </row>
    <row r="1980" ht="18.75" customHeight="1">
      <c r="A1980" s="14"/>
      <c r="B1980" s="14"/>
      <c r="C1980" s="14"/>
      <c r="D1980" s="14"/>
      <c r="E1980" s="15"/>
      <c r="F1980" s="14"/>
      <c r="G1980" s="14"/>
      <c r="H1980" s="15"/>
      <c r="I1980" s="14"/>
      <c r="J1980" s="14"/>
      <c r="K1980" s="14"/>
      <c r="L1980" s="14"/>
      <c r="M1980" s="14"/>
    </row>
    <row r="1981" ht="18.75" customHeight="1">
      <c r="A1981" s="14"/>
      <c r="B1981" s="14"/>
      <c r="C1981" s="14"/>
      <c r="D1981" s="14"/>
      <c r="E1981" s="15"/>
      <c r="F1981" s="14"/>
      <c r="G1981" s="14"/>
      <c r="H1981" s="15"/>
      <c r="I1981" s="14"/>
      <c r="J1981" s="14"/>
      <c r="K1981" s="14"/>
      <c r="L1981" s="14"/>
      <c r="M1981" s="14"/>
    </row>
    <row r="1982" ht="18.75" customHeight="1">
      <c r="A1982" s="14"/>
      <c r="B1982" s="14"/>
      <c r="C1982" s="14"/>
      <c r="D1982" s="14"/>
      <c r="E1982" s="15"/>
      <c r="F1982" s="14"/>
      <c r="G1982" s="14"/>
      <c r="H1982" s="15"/>
      <c r="I1982" s="14"/>
      <c r="J1982" s="14"/>
      <c r="K1982" s="14"/>
      <c r="L1982" s="14"/>
      <c r="M1982" s="14"/>
    </row>
    <row r="1983" ht="18.75" customHeight="1">
      <c r="A1983" s="14"/>
      <c r="B1983" s="14"/>
      <c r="C1983" s="14"/>
      <c r="D1983" s="14"/>
      <c r="E1983" s="15"/>
      <c r="F1983" s="14"/>
      <c r="G1983" s="14"/>
      <c r="H1983" s="15"/>
      <c r="I1983" s="14"/>
      <c r="J1983" s="14"/>
      <c r="K1983" s="14"/>
      <c r="L1983" s="14"/>
      <c r="M1983" s="14"/>
    </row>
    <row r="1984" ht="18.75" customHeight="1">
      <c r="A1984" s="14"/>
      <c r="B1984" s="14"/>
      <c r="C1984" s="14"/>
      <c r="D1984" s="14"/>
      <c r="E1984" s="15"/>
      <c r="F1984" s="14"/>
      <c r="G1984" s="14"/>
      <c r="H1984" s="15"/>
      <c r="I1984" s="14"/>
      <c r="J1984" s="14"/>
      <c r="K1984" s="14"/>
      <c r="L1984" s="14"/>
      <c r="M1984" s="14"/>
    </row>
    <row r="1985" ht="18.75" customHeight="1">
      <c r="A1985" s="14"/>
      <c r="B1985" s="14"/>
      <c r="C1985" s="14"/>
      <c r="D1985" s="14"/>
      <c r="E1985" s="15"/>
      <c r="F1985" s="14"/>
      <c r="G1985" s="14"/>
      <c r="H1985" s="15"/>
      <c r="I1985" s="14"/>
      <c r="J1985" s="14"/>
      <c r="K1985" s="14"/>
      <c r="L1985" s="14"/>
      <c r="M1985" s="14"/>
    </row>
    <row r="1986" ht="18.75" customHeight="1">
      <c r="A1986" s="14"/>
      <c r="B1986" s="14"/>
      <c r="C1986" s="14"/>
      <c r="D1986" s="14"/>
      <c r="E1986" s="15"/>
      <c r="F1986" s="14"/>
      <c r="G1986" s="14"/>
      <c r="H1986" s="15"/>
      <c r="I1986" s="14"/>
      <c r="J1986" s="14"/>
      <c r="K1986" s="14"/>
      <c r="L1986" s="14"/>
      <c r="M1986" s="14"/>
    </row>
    <row r="1987" ht="18.75" customHeight="1">
      <c r="A1987" s="14"/>
      <c r="B1987" s="14"/>
      <c r="C1987" s="14"/>
      <c r="D1987" s="14"/>
      <c r="E1987" s="15"/>
      <c r="F1987" s="14"/>
      <c r="G1987" s="14"/>
      <c r="H1987" s="15"/>
      <c r="I1987" s="14"/>
      <c r="J1987" s="14"/>
      <c r="K1987" s="14"/>
      <c r="L1987" s="14"/>
      <c r="M1987" s="14"/>
    </row>
    <row r="1988" ht="18.75" customHeight="1">
      <c r="A1988" s="14"/>
      <c r="B1988" s="14"/>
      <c r="C1988" s="14"/>
      <c r="D1988" s="14"/>
      <c r="E1988" s="15"/>
      <c r="F1988" s="14"/>
      <c r="G1988" s="14"/>
      <c r="H1988" s="15"/>
      <c r="I1988" s="14"/>
      <c r="J1988" s="14"/>
      <c r="K1988" s="14"/>
      <c r="L1988" s="14"/>
      <c r="M1988" s="14"/>
    </row>
    <row r="1989" ht="18.75" customHeight="1">
      <c r="A1989" s="14"/>
      <c r="B1989" s="14"/>
      <c r="C1989" s="14"/>
      <c r="D1989" s="14"/>
      <c r="E1989" s="15"/>
      <c r="F1989" s="14"/>
      <c r="G1989" s="14"/>
      <c r="H1989" s="15"/>
      <c r="I1989" s="14"/>
      <c r="J1989" s="14"/>
      <c r="K1989" s="14"/>
      <c r="L1989" s="14"/>
      <c r="M1989" s="14"/>
    </row>
    <row r="1990" ht="18.75" customHeight="1">
      <c r="A1990" s="14"/>
      <c r="B1990" s="14"/>
      <c r="C1990" s="14"/>
      <c r="D1990" s="14"/>
      <c r="E1990" s="15"/>
      <c r="F1990" s="14"/>
      <c r="G1990" s="14"/>
      <c r="H1990" s="15"/>
      <c r="I1990" s="14"/>
      <c r="J1990" s="14"/>
      <c r="K1990" s="14"/>
      <c r="L1990" s="14"/>
      <c r="M1990" s="14"/>
    </row>
    <row r="1991" ht="18.75" customHeight="1">
      <c r="A1991" s="14"/>
      <c r="B1991" s="14"/>
      <c r="C1991" s="14"/>
      <c r="D1991" s="14"/>
      <c r="E1991" s="15"/>
      <c r="F1991" s="14"/>
      <c r="G1991" s="14"/>
      <c r="H1991" s="15"/>
      <c r="I1991" s="14"/>
      <c r="J1991" s="14"/>
      <c r="K1991" s="14"/>
      <c r="L1991" s="14"/>
      <c r="M1991" s="14"/>
    </row>
    <row r="1992" ht="18.75" customHeight="1">
      <c r="A1992" s="14"/>
      <c r="B1992" s="14"/>
      <c r="C1992" s="14"/>
      <c r="D1992" s="14"/>
      <c r="E1992" s="15"/>
      <c r="F1992" s="14"/>
      <c r="G1992" s="14"/>
      <c r="H1992" s="15"/>
      <c r="I1992" s="14"/>
      <c r="J1992" s="14"/>
      <c r="K1992" s="14"/>
      <c r="L1992" s="14"/>
      <c r="M1992" s="14"/>
    </row>
    <row r="1993" ht="18.75" customHeight="1">
      <c r="A1993" s="14"/>
      <c r="B1993" s="14"/>
      <c r="C1993" s="14"/>
      <c r="D1993" s="14"/>
      <c r="E1993" s="15"/>
      <c r="F1993" s="14"/>
      <c r="G1993" s="14"/>
      <c r="H1993" s="15"/>
      <c r="I1993" s="14"/>
      <c r="J1993" s="14"/>
      <c r="K1993" s="14"/>
      <c r="L1993" s="14"/>
      <c r="M1993" s="14"/>
    </row>
    <row r="1994" ht="18.75" customHeight="1">
      <c r="A1994" s="14"/>
      <c r="B1994" s="14"/>
      <c r="C1994" s="14"/>
      <c r="D1994" s="14"/>
      <c r="E1994" s="15"/>
      <c r="F1994" s="14"/>
      <c r="G1994" s="14"/>
      <c r="H1994" s="15"/>
      <c r="I1994" s="14"/>
      <c r="J1994" s="14"/>
      <c r="K1994" s="14"/>
      <c r="L1994" s="14"/>
      <c r="M1994" s="14"/>
    </row>
    <row r="1995" ht="18.75" customHeight="1">
      <c r="A1995" s="14"/>
      <c r="B1995" s="14"/>
      <c r="C1995" s="14"/>
      <c r="D1995" s="14"/>
      <c r="E1995" s="15"/>
      <c r="F1995" s="14"/>
      <c r="G1995" s="14"/>
      <c r="H1995" s="15"/>
      <c r="I1995" s="14"/>
      <c r="J1995" s="14"/>
      <c r="K1995" s="14"/>
      <c r="L1995" s="14"/>
      <c r="M1995" s="14"/>
    </row>
    <row r="1996" ht="18.75" customHeight="1">
      <c r="A1996" s="14"/>
      <c r="B1996" s="14"/>
      <c r="C1996" s="14"/>
      <c r="D1996" s="14"/>
      <c r="E1996" s="15"/>
      <c r="F1996" s="14"/>
      <c r="G1996" s="14"/>
      <c r="H1996" s="15"/>
      <c r="I1996" s="14"/>
      <c r="J1996" s="14"/>
      <c r="K1996" s="14"/>
      <c r="L1996" s="14"/>
      <c r="M1996" s="14"/>
    </row>
    <row r="1997" ht="18.75" customHeight="1">
      <c r="A1997" s="14"/>
      <c r="B1997" s="14"/>
      <c r="C1997" s="14"/>
      <c r="D1997" s="14"/>
      <c r="E1997" s="15"/>
      <c r="F1997" s="14"/>
      <c r="G1997" s="14"/>
      <c r="H1997" s="15"/>
      <c r="I1997" s="14"/>
      <c r="J1997" s="14"/>
      <c r="K1997" s="14"/>
      <c r="L1997" s="14"/>
      <c r="M1997" s="14"/>
    </row>
    <row r="1998" ht="18.75" customHeight="1">
      <c r="A1998" s="14"/>
      <c r="B1998" s="14"/>
      <c r="C1998" s="14"/>
      <c r="D1998" s="14"/>
      <c r="E1998" s="15"/>
      <c r="F1998" s="14"/>
      <c r="G1998" s="14"/>
      <c r="H1998" s="15"/>
      <c r="I1998" s="14"/>
      <c r="J1998" s="14"/>
      <c r="K1998" s="14"/>
      <c r="L1998" s="14"/>
      <c r="M1998" s="14"/>
    </row>
    <row r="1999" ht="18.75" customHeight="1">
      <c r="A1999" s="14"/>
      <c r="B1999" s="14"/>
      <c r="C1999" s="14"/>
      <c r="D1999" s="14"/>
      <c r="E1999" s="15"/>
      <c r="F1999" s="14"/>
      <c r="G1999" s="14"/>
      <c r="H1999" s="15"/>
      <c r="I1999" s="14"/>
      <c r="J1999" s="14"/>
      <c r="K1999" s="14"/>
      <c r="L1999" s="14"/>
      <c r="M1999" s="14"/>
    </row>
    <row r="2000" ht="18.75" customHeight="1">
      <c r="A2000" s="14"/>
      <c r="B2000" s="14"/>
      <c r="C2000" s="14"/>
      <c r="D2000" s="14"/>
      <c r="E2000" s="15"/>
      <c r="F2000" s="14"/>
      <c r="G2000" s="14"/>
      <c r="H2000" s="15"/>
      <c r="I2000" s="14"/>
      <c r="J2000" s="14"/>
      <c r="K2000" s="14"/>
      <c r="L2000" s="14"/>
      <c r="M2000" s="14"/>
    </row>
    <row r="2001" ht="18.75" customHeight="1">
      <c r="A2001" s="14"/>
      <c r="B2001" s="14"/>
      <c r="C2001" s="14"/>
      <c r="D2001" s="14"/>
      <c r="E2001" s="15"/>
      <c r="F2001" s="14"/>
      <c r="G2001" s="14"/>
      <c r="H2001" s="15"/>
      <c r="I2001" s="14"/>
      <c r="J2001" s="14"/>
      <c r="K2001" s="14"/>
      <c r="L2001" s="14"/>
      <c r="M2001" s="14"/>
    </row>
    <row r="2002" ht="18.75" customHeight="1">
      <c r="A2002" s="14"/>
      <c r="B2002" s="14"/>
      <c r="C2002" s="14"/>
      <c r="D2002" s="14"/>
      <c r="E2002" s="15"/>
      <c r="F2002" s="14"/>
      <c r="G2002" s="14"/>
      <c r="H2002" s="15"/>
      <c r="I2002" s="14"/>
      <c r="J2002" s="14"/>
      <c r="K2002" s="14"/>
      <c r="L2002" s="14"/>
      <c r="M2002" s="14"/>
    </row>
    <row r="2003" ht="18.75" customHeight="1">
      <c r="A2003" s="14"/>
      <c r="B2003" s="14"/>
      <c r="C2003" s="14"/>
      <c r="D2003" s="14"/>
      <c r="E2003" s="15"/>
      <c r="F2003" s="14"/>
      <c r="G2003" s="14"/>
      <c r="H2003" s="15"/>
      <c r="I2003" s="14"/>
      <c r="J2003" s="14"/>
      <c r="K2003" s="14"/>
      <c r="L2003" s="14"/>
      <c r="M2003" s="14"/>
    </row>
    <row r="2004" ht="18.75" customHeight="1">
      <c r="A2004" s="14"/>
      <c r="B2004" s="14"/>
      <c r="C2004" s="14"/>
      <c r="D2004" s="14"/>
      <c r="E2004" s="15"/>
      <c r="F2004" s="14"/>
      <c r="G2004" s="14"/>
      <c r="H2004" s="15"/>
      <c r="I2004" s="14"/>
      <c r="J2004" s="14"/>
      <c r="K2004" s="14"/>
      <c r="L2004" s="14"/>
      <c r="M2004" s="14"/>
    </row>
    <row r="2005" ht="18.75" customHeight="1">
      <c r="A2005" s="14"/>
      <c r="B2005" s="14"/>
      <c r="C2005" s="14"/>
      <c r="D2005" s="14"/>
      <c r="E2005" s="15"/>
      <c r="F2005" s="14"/>
      <c r="G2005" s="14"/>
      <c r="H2005" s="15"/>
      <c r="I2005" s="14"/>
      <c r="J2005" s="14"/>
      <c r="K2005" s="14"/>
      <c r="L2005" s="14"/>
      <c r="M2005" s="14"/>
    </row>
    <row r="2006" ht="18.75" customHeight="1">
      <c r="A2006" s="14"/>
      <c r="B2006" s="14"/>
      <c r="C2006" s="14"/>
      <c r="D2006" s="14"/>
      <c r="E2006" s="15"/>
      <c r="F2006" s="14"/>
      <c r="G2006" s="14"/>
      <c r="H2006" s="15"/>
      <c r="I2006" s="14"/>
      <c r="J2006" s="14"/>
      <c r="K2006" s="14"/>
      <c r="L2006" s="14"/>
      <c r="M2006" s="14"/>
    </row>
    <row r="2007" ht="18.75" customHeight="1">
      <c r="A2007" s="14"/>
      <c r="B2007" s="14"/>
      <c r="C2007" s="14"/>
      <c r="D2007" s="14"/>
      <c r="E2007" s="15"/>
      <c r="F2007" s="14"/>
      <c r="G2007" s="14"/>
      <c r="H2007" s="15"/>
      <c r="I2007" s="14"/>
      <c r="J2007" s="14"/>
      <c r="K2007" s="14"/>
      <c r="L2007" s="14"/>
      <c r="M2007" s="14"/>
    </row>
    <row r="2008" ht="18.75" customHeight="1">
      <c r="A2008" s="14"/>
      <c r="B2008" s="14"/>
      <c r="C2008" s="14"/>
      <c r="D2008" s="14"/>
      <c r="E2008" s="15"/>
      <c r="F2008" s="14"/>
      <c r="G2008" s="14"/>
      <c r="H2008" s="15"/>
      <c r="I2008" s="14"/>
      <c r="J2008" s="14"/>
      <c r="K2008" s="14"/>
      <c r="L2008" s="14"/>
      <c r="M2008" s="14"/>
    </row>
    <row r="2009" ht="18.75" customHeight="1">
      <c r="A2009" s="14"/>
      <c r="B2009" s="14"/>
      <c r="C2009" s="14"/>
      <c r="D2009" s="14"/>
      <c r="E2009" s="15"/>
      <c r="F2009" s="14"/>
      <c r="G2009" s="14"/>
      <c r="H2009" s="15"/>
      <c r="I2009" s="14"/>
      <c r="J2009" s="14"/>
      <c r="K2009" s="14"/>
      <c r="L2009" s="14"/>
      <c r="M2009" s="14"/>
    </row>
    <row r="2010" ht="18.75" customHeight="1">
      <c r="A2010" s="14"/>
      <c r="B2010" s="14"/>
      <c r="C2010" s="14"/>
      <c r="D2010" s="14"/>
      <c r="E2010" s="15"/>
      <c r="F2010" s="14"/>
      <c r="G2010" s="14"/>
      <c r="H2010" s="15"/>
      <c r="I2010" s="14"/>
      <c r="J2010" s="14"/>
      <c r="K2010" s="14"/>
      <c r="L2010" s="14"/>
      <c r="M2010" s="14"/>
    </row>
    <row r="2011" ht="18.75" customHeight="1">
      <c r="A2011" s="14"/>
      <c r="B2011" s="14"/>
      <c r="C2011" s="14"/>
      <c r="D2011" s="14"/>
      <c r="E2011" s="15"/>
      <c r="F2011" s="14"/>
      <c r="G2011" s="14"/>
      <c r="H2011" s="15"/>
      <c r="I2011" s="14"/>
      <c r="J2011" s="14"/>
      <c r="K2011" s="14"/>
      <c r="L2011" s="14"/>
      <c r="M2011" s="14"/>
    </row>
    <row r="2012" ht="18.75" customHeight="1">
      <c r="A2012" s="14"/>
      <c r="B2012" s="14"/>
      <c r="C2012" s="14"/>
      <c r="D2012" s="14"/>
      <c r="E2012" s="15"/>
      <c r="F2012" s="14"/>
      <c r="G2012" s="14"/>
      <c r="H2012" s="15"/>
      <c r="I2012" s="14"/>
      <c r="J2012" s="14"/>
      <c r="K2012" s="14"/>
      <c r="L2012" s="14"/>
      <c r="M2012" s="14"/>
    </row>
    <row r="2013" ht="18.75" customHeight="1">
      <c r="A2013" s="14"/>
      <c r="B2013" s="14"/>
      <c r="C2013" s="14"/>
      <c r="D2013" s="14"/>
      <c r="E2013" s="15"/>
      <c r="F2013" s="14"/>
      <c r="G2013" s="14"/>
      <c r="H2013" s="15"/>
      <c r="I2013" s="14"/>
      <c r="J2013" s="14"/>
      <c r="K2013" s="14"/>
      <c r="L2013" s="14"/>
      <c r="M2013" s="14"/>
    </row>
    <row r="2014" ht="18.75" customHeight="1">
      <c r="A2014" s="14"/>
      <c r="B2014" s="14"/>
      <c r="C2014" s="14"/>
      <c r="D2014" s="14"/>
      <c r="E2014" s="15"/>
      <c r="F2014" s="14"/>
      <c r="G2014" s="14"/>
      <c r="H2014" s="15"/>
      <c r="I2014" s="14"/>
      <c r="J2014" s="14"/>
      <c r="K2014" s="14"/>
      <c r="L2014" s="14"/>
      <c r="M2014" s="14"/>
    </row>
    <row r="2015" ht="18.75" customHeight="1">
      <c r="A2015" s="14"/>
      <c r="B2015" s="14"/>
      <c r="C2015" s="14"/>
      <c r="D2015" s="14"/>
      <c r="E2015" s="15"/>
      <c r="F2015" s="14"/>
      <c r="G2015" s="14"/>
      <c r="H2015" s="15"/>
      <c r="I2015" s="14"/>
      <c r="J2015" s="14"/>
      <c r="K2015" s="14"/>
      <c r="L2015" s="14"/>
      <c r="M2015" s="14"/>
    </row>
    <row r="2016" ht="18.75" customHeight="1">
      <c r="A2016" s="14"/>
      <c r="B2016" s="14"/>
      <c r="C2016" s="14"/>
      <c r="D2016" s="14"/>
      <c r="E2016" s="15"/>
      <c r="F2016" s="14"/>
      <c r="G2016" s="14"/>
      <c r="H2016" s="15"/>
      <c r="I2016" s="14"/>
      <c r="J2016" s="14"/>
      <c r="K2016" s="14"/>
      <c r="L2016" s="14"/>
      <c r="M2016" s="14"/>
    </row>
    <row r="2017" ht="18.75" customHeight="1">
      <c r="A2017" s="14"/>
      <c r="B2017" s="14"/>
      <c r="C2017" s="14"/>
      <c r="D2017" s="14"/>
      <c r="E2017" s="15"/>
      <c r="F2017" s="14"/>
      <c r="G2017" s="14"/>
      <c r="H2017" s="15"/>
      <c r="I2017" s="14"/>
      <c r="J2017" s="14"/>
      <c r="K2017" s="14"/>
      <c r="L2017" s="14"/>
      <c r="M2017" s="14"/>
    </row>
    <row r="2018" ht="18.75" customHeight="1">
      <c r="A2018" s="14"/>
      <c r="B2018" s="14"/>
      <c r="C2018" s="14"/>
      <c r="D2018" s="14"/>
      <c r="E2018" s="15"/>
      <c r="F2018" s="14"/>
      <c r="G2018" s="14"/>
      <c r="H2018" s="15"/>
      <c r="I2018" s="14"/>
      <c r="J2018" s="14"/>
      <c r="K2018" s="14"/>
      <c r="L2018" s="14"/>
      <c r="M2018" s="14"/>
    </row>
    <row r="2019" ht="18.75" customHeight="1">
      <c r="A2019" s="14"/>
      <c r="B2019" s="14"/>
      <c r="C2019" s="14"/>
      <c r="D2019" s="14"/>
      <c r="E2019" s="15"/>
      <c r="F2019" s="14"/>
      <c r="G2019" s="14"/>
      <c r="H2019" s="15"/>
      <c r="I2019" s="14"/>
      <c r="J2019" s="14"/>
      <c r="K2019" s="14"/>
      <c r="L2019" s="14"/>
      <c r="M2019" s="14"/>
    </row>
    <row r="2020" ht="18.75" customHeight="1">
      <c r="A2020" s="14"/>
      <c r="B2020" s="14"/>
      <c r="C2020" s="14"/>
      <c r="D2020" s="14"/>
      <c r="E2020" s="15"/>
      <c r="F2020" s="14"/>
      <c r="G2020" s="14"/>
      <c r="H2020" s="15"/>
      <c r="I2020" s="14"/>
      <c r="J2020" s="14"/>
      <c r="K2020" s="14"/>
      <c r="L2020" s="14"/>
      <c r="M2020" s="14"/>
    </row>
    <row r="2021" ht="18.75" customHeight="1">
      <c r="A2021" s="14"/>
      <c r="B2021" s="14"/>
      <c r="C2021" s="14"/>
      <c r="D2021" s="14"/>
      <c r="E2021" s="15"/>
      <c r="F2021" s="14"/>
      <c r="G2021" s="14"/>
      <c r="H2021" s="15"/>
      <c r="I2021" s="14"/>
      <c r="J2021" s="14"/>
      <c r="K2021" s="14"/>
      <c r="L2021" s="14"/>
      <c r="M2021" s="14"/>
    </row>
    <row r="2022" ht="18.75" customHeight="1">
      <c r="A2022" s="14"/>
      <c r="B2022" s="14"/>
      <c r="C2022" s="14"/>
      <c r="D2022" s="14"/>
      <c r="E2022" s="15"/>
      <c r="F2022" s="14"/>
      <c r="G2022" s="14"/>
      <c r="H2022" s="15"/>
      <c r="I2022" s="14"/>
      <c r="J2022" s="14"/>
      <c r="K2022" s="14"/>
      <c r="L2022" s="14"/>
      <c r="M2022" s="14"/>
    </row>
    <row r="2023" ht="18.75" customHeight="1">
      <c r="A2023" s="14"/>
      <c r="B2023" s="14"/>
      <c r="C2023" s="14"/>
      <c r="D2023" s="14"/>
      <c r="E2023" s="15"/>
      <c r="F2023" s="14"/>
      <c r="G2023" s="14"/>
      <c r="H2023" s="15"/>
      <c r="I2023" s="14"/>
      <c r="J2023" s="14"/>
      <c r="K2023" s="14"/>
      <c r="L2023" s="14"/>
      <c r="M2023" s="14"/>
    </row>
    <row r="2024" ht="18.75" customHeight="1">
      <c r="A2024" s="14"/>
      <c r="B2024" s="14"/>
      <c r="C2024" s="14"/>
      <c r="D2024" s="14"/>
      <c r="E2024" s="15"/>
      <c r="F2024" s="14"/>
      <c r="G2024" s="14"/>
      <c r="H2024" s="15"/>
      <c r="I2024" s="14"/>
      <c r="J2024" s="14"/>
      <c r="K2024" s="14"/>
      <c r="L2024" s="14"/>
      <c r="M2024" s="14"/>
    </row>
    <row r="2025" ht="18.75" customHeight="1">
      <c r="A2025" s="14"/>
      <c r="B2025" s="14"/>
      <c r="C2025" s="14"/>
      <c r="D2025" s="14"/>
      <c r="E2025" s="15"/>
      <c r="F2025" s="14"/>
      <c r="G2025" s="14"/>
      <c r="H2025" s="15"/>
      <c r="I2025" s="14"/>
      <c r="J2025" s="14"/>
      <c r="K2025" s="14"/>
      <c r="L2025" s="14"/>
      <c r="M2025" s="14"/>
    </row>
    <row r="2026" ht="18.75" customHeight="1">
      <c r="A2026" s="14"/>
      <c r="B2026" s="14"/>
      <c r="C2026" s="14"/>
      <c r="D2026" s="14"/>
      <c r="E2026" s="15"/>
      <c r="F2026" s="14"/>
      <c r="G2026" s="14"/>
      <c r="H2026" s="15"/>
      <c r="I2026" s="14"/>
      <c r="J2026" s="14"/>
      <c r="K2026" s="14"/>
      <c r="L2026" s="14"/>
      <c r="M2026" s="14"/>
    </row>
    <row r="2027" ht="18.75" customHeight="1">
      <c r="A2027" s="14"/>
      <c r="B2027" s="14"/>
      <c r="C2027" s="14"/>
      <c r="D2027" s="14"/>
      <c r="E2027" s="15"/>
      <c r="F2027" s="14"/>
      <c r="G2027" s="14"/>
      <c r="H2027" s="15"/>
      <c r="I2027" s="14"/>
      <c r="J2027" s="14"/>
      <c r="K2027" s="14"/>
      <c r="L2027" s="14"/>
      <c r="M2027" s="14"/>
    </row>
    <row r="2028" ht="18.75" customHeight="1">
      <c r="A2028" s="14"/>
      <c r="B2028" s="14"/>
      <c r="C2028" s="14"/>
      <c r="D2028" s="14"/>
      <c r="E2028" s="15"/>
      <c r="F2028" s="14"/>
      <c r="G2028" s="14"/>
      <c r="H2028" s="15"/>
      <c r="I2028" s="14"/>
      <c r="J2028" s="14"/>
      <c r="K2028" s="14"/>
      <c r="L2028" s="14"/>
      <c r="M2028" s="14"/>
    </row>
    <row r="2029" ht="18.75" customHeight="1">
      <c r="A2029" s="14"/>
      <c r="B2029" s="14"/>
      <c r="C2029" s="14"/>
      <c r="D2029" s="14"/>
      <c r="E2029" s="15"/>
      <c r="F2029" s="14"/>
      <c r="G2029" s="14"/>
      <c r="H2029" s="15"/>
      <c r="I2029" s="14"/>
      <c r="J2029" s="14"/>
      <c r="K2029" s="14"/>
      <c r="L2029" s="14"/>
      <c r="M2029" s="14"/>
    </row>
    <row r="2030" ht="18.75" customHeight="1">
      <c r="A2030" s="14"/>
      <c r="B2030" s="14"/>
      <c r="C2030" s="14"/>
      <c r="D2030" s="14"/>
      <c r="E2030" s="15"/>
      <c r="F2030" s="14"/>
      <c r="G2030" s="14"/>
      <c r="H2030" s="15"/>
      <c r="I2030" s="14"/>
      <c r="J2030" s="14"/>
      <c r="K2030" s="14"/>
      <c r="L2030" s="14"/>
      <c r="M2030" s="14"/>
    </row>
    <row r="2031" ht="18.75" customHeight="1">
      <c r="A2031" s="14"/>
      <c r="B2031" s="14"/>
      <c r="C2031" s="14"/>
      <c r="D2031" s="14"/>
      <c r="E2031" s="15"/>
      <c r="F2031" s="14"/>
      <c r="G2031" s="14"/>
      <c r="H2031" s="15"/>
      <c r="I2031" s="14"/>
      <c r="J2031" s="14"/>
      <c r="K2031" s="14"/>
      <c r="L2031" s="14"/>
      <c r="M2031" s="14"/>
    </row>
    <row r="2032" ht="18.75" customHeight="1">
      <c r="A2032" s="14"/>
      <c r="B2032" s="14"/>
      <c r="C2032" s="14"/>
      <c r="D2032" s="14"/>
      <c r="E2032" s="15"/>
      <c r="F2032" s="14"/>
      <c r="G2032" s="14"/>
      <c r="H2032" s="15"/>
      <c r="I2032" s="14"/>
      <c r="J2032" s="14"/>
      <c r="K2032" s="14"/>
      <c r="L2032" s="14"/>
      <c r="M2032" s="14"/>
    </row>
    <row r="2033" ht="18.75" customHeight="1">
      <c r="A2033" s="14"/>
      <c r="B2033" s="14"/>
      <c r="C2033" s="14"/>
      <c r="D2033" s="14"/>
      <c r="E2033" s="15"/>
      <c r="F2033" s="14"/>
      <c r="G2033" s="14"/>
      <c r="H2033" s="15"/>
      <c r="I2033" s="14"/>
      <c r="J2033" s="14"/>
      <c r="K2033" s="14"/>
      <c r="L2033" s="14"/>
      <c r="M2033" s="14"/>
    </row>
    <row r="2034" ht="18.75" customHeight="1">
      <c r="A2034" s="14"/>
      <c r="B2034" s="14"/>
      <c r="C2034" s="14"/>
      <c r="D2034" s="14"/>
      <c r="E2034" s="15"/>
      <c r="F2034" s="14"/>
      <c r="G2034" s="14"/>
      <c r="H2034" s="15"/>
      <c r="I2034" s="14"/>
      <c r="J2034" s="14"/>
      <c r="K2034" s="14"/>
      <c r="L2034" s="14"/>
      <c r="M2034" s="14"/>
    </row>
    <row r="2035" ht="18.75" customHeight="1">
      <c r="A2035" s="14"/>
      <c r="B2035" s="14"/>
      <c r="C2035" s="14"/>
      <c r="D2035" s="14"/>
      <c r="E2035" s="15"/>
      <c r="F2035" s="14"/>
      <c r="G2035" s="14"/>
      <c r="H2035" s="15"/>
      <c r="I2035" s="14"/>
      <c r="J2035" s="14"/>
      <c r="K2035" s="14"/>
      <c r="L2035" s="14"/>
      <c r="M2035" s="14"/>
    </row>
    <row r="2036" ht="18.75" customHeight="1">
      <c r="A2036" s="14"/>
      <c r="B2036" s="14"/>
      <c r="C2036" s="14"/>
      <c r="D2036" s="14"/>
      <c r="E2036" s="15"/>
      <c r="F2036" s="14"/>
      <c r="G2036" s="14"/>
      <c r="H2036" s="15"/>
      <c r="I2036" s="14"/>
      <c r="J2036" s="14"/>
      <c r="K2036" s="14"/>
      <c r="L2036" s="14"/>
      <c r="M2036" s="14"/>
    </row>
    <row r="2037" ht="18.75" customHeight="1">
      <c r="A2037" s="14"/>
      <c r="B2037" s="14"/>
      <c r="C2037" s="14"/>
      <c r="D2037" s="14"/>
      <c r="E2037" s="15"/>
      <c r="F2037" s="14"/>
      <c r="G2037" s="14"/>
      <c r="H2037" s="15"/>
      <c r="I2037" s="14"/>
      <c r="J2037" s="14"/>
      <c r="K2037" s="14"/>
      <c r="L2037" s="14"/>
      <c r="M2037" s="14"/>
    </row>
    <row r="2038" ht="18.75" customHeight="1">
      <c r="A2038" s="14"/>
      <c r="B2038" s="14"/>
      <c r="C2038" s="14"/>
      <c r="D2038" s="14"/>
      <c r="E2038" s="15"/>
      <c r="F2038" s="14"/>
      <c r="G2038" s="14"/>
      <c r="H2038" s="15"/>
      <c r="I2038" s="14"/>
      <c r="J2038" s="14"/>
      <c r="K2038" s="14"/>
      <c r="L2038" s="14"/>
      <c r="M2038" s="14"/>
    </row>
    <row r="2039" ht="18.75" customHeight="1">
      <c r="A2039" s="14"/>
      <c r="B2039" s="14"/>
      <c r="C2039" s="14"/>
      <c r="D2039" s="14"/>
      <c r="E2039" s="15"/>
      <c r="F2039" s="14"/>
      <c r="G2039" s="14"/>
      <c r="H2039" s="15"/>
      <c r="I2039" s="14"/>
      <c r="J2039" s="14"/>
      <c r="K2039" s="14"/>
      <c r="L2039" s="14"/>
      <c r="M2039" s="14"/>
    </row>
    <row r="2040" ht="18.75" customHeight="1">
      <c r="A2040" s="14"/>
      <c r="B2040" s="14"/>
      <c r="C2040" s="14"/>
      <c r="D2040" s="14"/>
      <c r="E2040" s="15"/>
      <c r="F2040" s="14"/>
      <c r="G2040" s="14"/>
      <c r="H2040" s="15"/>
      <c r="I2040" s="14"/>
      <c r="J2040" s="14"/>
      <c r="K2040" s="14"/>
      <c r="L2040" s="14"/>
      <c r="M2040" s="14"/>
    </row>
    <row r="2041" ht="18.75" customHeight="1">
      <c r="A2041" s="14"/>
      <c r="B2041" s="14"/>
      <c r="C2041" s="14"/>
      <c r="D2041" s="14"/>
      <c r="E2041" s="15"/>
      <c r="F2041" s="14"/>
      <c r="G2041" s="14"/>
      <c r="H2041" s="15"/>
      <c r="I2041" s="14"/>
      <c r="J2041" s="14"/>
      <c r="K2041" s="14"/>
      <c r="L2041" s="14"/>
      <c r="M2041" s="14"/>
    </row>
    <row r="2042" ht="18.75" customHeight="1">
      <c r="A2042" s="14"/>
      <c r="B2042" s="14"/>
      <c r="C2042" s="14"/>
      <c r="D2042" s="14"/>
      <c r="E2042" s="15"/>
      <c r="F2042" s="14"/>
      <c r="G2042" s="14"/>
      <c r="H2042" s="15"/>
      <c r="I2042" s="14"/>
      <c r="J2042" s="14"/>
      <c r="K2042" s="14"/>
      <c r="L2042" s="14"/>
      <c r="M2042" s="14"/>
    </row>
    <row r="2043" ht="18.75" customHeight="1">
      <c r="A2043" s="14"/>
      <c r="B2043" s="14"/>
      <c r="C2043" s="14"/>
      <c r="D2043" s="14"/>
      <c r="E2043" s="15"/>
      <c r="F2043" s="14"/>
      <c r="G2043" s="14"/>
      <c r="H2043" s="15"/>
      <c r="I2043" s="14"/>
      <c r="J2043" s="14"/>
      <c r="K2043" s="14"/>
      <c r="L2043" s="14"/>
      <c r="M2043" s="14"/>
    </row>
    <row r="2044" ht="18.75" customHeight="1">
      <c r="A2044" s="14"/>
      <c r="B2044" s="14"/>
      <c r="C2044" s="14"/>
      <c r="D2044" s="14"/>
      <c r="E2044" s="15"/>
      <c r="F2044" s="14"/>
      <c r="G2044" s="14"/>
      <c r="H2044" s="15"/>
      <c r="I2044" s="14"/>
      <c r="J2044" s="14"/>
      <c r="K2044" s="14"/>
      <c r="L2044" s="14"/>
      <c r="M2044" s="14"/>
    </row>
    <row r="2045" ht="18.75" customHeight="1">
      <c r="A2045" s="14"/>
      <c r="B2045" s="14"/>
      <c r="C2045" s="14"/>
      <c r="D2045" s="14"/>
      <c r="E2045" s="15"/>
      <c r="F2045" s="14"/>
      <c r="G2045" s="14"/>
      <c r="H2045" s="15"/>
      <c r="I2045" s="14"/>
      <c r="J2045" s="14"/>
      <c r="K2045" s="14"/>
      <c r="L2045" s="14"/>
      <c r="M2045" s="14"/>
    </row>
    <row r="2046" ht="18.75" customHeight="1">
      <c r="A2046" s="14"/>
      <c r="B2046" s="14"/>
      <c r="C2046" s="14"/>
      <c r="D2046" s="14"/>
      <c r="E2046" s="15"/>
      <c r="F2046" s="14"/>
      <c r="G2046" s="14"/>
      <c r="H2046" s="15"/>
      <c r="I2046" s="14"/>
      <c r="J2046" s="14"/>
      <c r="K2046" s="14"/>
      <c r="L2046" s="14"/>
      <c r="M2046" s="14"/>
    </row>
    <row r="2047" ht="18.75" customHeight="1">
      <c r="A2047" s="14"/>
      <c r="B2047" s="14"/>
      <c r="C2047" s="14"/>
      <c r="D2047" s="14"/>
      <c r="E2047" s="15"/>
      <c r="F2047" s="14"/>
      <c r="G2047" s="14"/>
      <c r="H2047" s="15"/>
      <c r="I2047" s="14"/>
      <c r="J2047" s="14"/>
      <c r="K2047" s="14"/>
      <c r="L2047" s="14"/>
      <c r="M2047" s="14"/>
    </row>
    <row r="2048" ht="18.75" customHeight="1">
      <c r="A2048" s="14"/>
      <c r="B2048" s="14"/>
      <c r="C2048" s="14"/>
      <c r="D2048" s="14"/>
      <c r="E2048" s="15"/>
      <c r="F2048" s="14"/>
      <c r="G2048" s="14"/>
      <c r="H2048" s="15"/>
      <c r="I2048" s="14"/>
      <c r="J2048" s="14"/>
      <c r="K2048" s="14"/>
      <c r="L2048" s="14"/>
      <c r="M2048" s="14"/>
    </row>
    <row r="2049" ht="18.75" customHeight="1">
      <c r="A2049" s="14"/>
      <c r="B2049" s="14"/>
      <c r="C2049" s="14"/>
      <c r="D2049" s="14"/>
      <c r="E2049" s="15"/>
      <c r="F2049" s="14"/>
      <c r="G2049" s="14"/>
      <c r="H2049" s="15"/>
      <c r="I2049" s="14"/>
      <c r="J2049" s="14"/>
      <c r="K2049" s="14"/>
      <c r="L2049" s="14"/>
      <c r="M2049" s="14"/>
    </row>
    <row r="2050" ht="18.75" customHeight="1">
      <c r="A2050" s="14"/>
      <c r="B2050" s="14"/>
      <c r="C2050" s="14"/>
      <c r="D2050" s="14"/>
      <c r="E2050" s="15"/>
      <c r="F2050" s="14"/>
      <c r="G2050" s="14"/>
      <c r="H2050" s="15"/>
      <c r="I2050" s="14"/>
      <c r="J2050" s="14"/>
      <c r="K2050" s="14"/>
      <c r="L2050" s="14"/>
      <c r="M2050" s="14"/>
    </row>
    <row r="2051" ht="18.75" customHeight="1">
      <c r="A2051" s="14"/>
      <c r="B2051" s="14"/>
      <c r="C2051" s="14"/>
      <c r="D2051" s="14"/>
      <c r="E2051" s="15"/>
      <c r="F2051" s="14"/>
      <c r="G2051" s="14"/>
      <c r="H2051" s="15"/>
      <c r="I2051" s="14"/>
      <c r="J2051" s="14"/>
      <c r="K2051" s="14"/>
      <c r="L2051" s="14"/>
      <c r="M2051" s="14"/>
    </row>
    <row r="2052" ht="18.75" customHeight="1">
      <c r="A2052" s="14"/>
      <c r="B2052" s="14"/>
      <c r="C2052" s="14"/>
      <c r="D2052" s="14"/>
      <c r="E2052" s="15"/>
      <c r="F2052" s="14"/>
      <c r="G2052" s="14"/>
      <c r="H2052" s="15"/>
      <c r="I2052" s="14"/>
      <c r="J2052" s="14"/>
      <c r="K2052" s="14"/>
      <c r="L2052" s="14"/>
      <c r="M2052" s="14"/>
    </row>
    <row r="2053" ht="18.75" customHeight="1">
      <c r="A2053" s="14"/>
      <c r="B2053" s="14"/>
      <c r="C2053" s="14"/>
      <c r="D2053" s="14"/>
      <c r="E2053" s="15"/>
      <c r="F2053" s="14"/>
      <c r="G2053" s="14"/>
      <c r="H2053" s="15"/>
      <c r="I2053" s="14"/>
      <c r="J2053" s="14"/>
      <c r="K2053" s="14"/>
      <c r="L2053" s="14"/>
      <c r="M2053" s="14"/>
    </row>
    <row r="2054" ht="18.75" customHeight="1">
      <c r="A2054" s="14"/>
      <c r="B2054" s="14"/>
      <c r="C2054" s="14"/>
      <c r="D2054" s="14"/>
      <c r="E2054" s="15"/>
      <c r="F2054" s="14"/>
      <c r="G2054" s="14"/>
      <c r="H2054" s="15"/>
      <c r="I2054" s="14"/>
      <c r="J2054" s="14"/>
      <c r="K2054" s="14"/>
      <c r="L2054" s="14"/>
      <c r="M2054" s="14"/>
    </row>
    <row r="2055" ht="18.75" customHeight="1">
      <c r="A2055" s="14"/>
      <c r="B2055" s="14"/>
      <c r="C2055" s="14"/>
      <c r="D2055" s="14"/>
      <c r="E2055" s="15"/>
      <c r="F2055" s="14"/>
      <c r="G2055" s="14"/>
      <c r="H2055" s="15"/>
      <c r="I2055" s="14"/>
      <c r="J2055" s="14"/>
      <c r="K2055" s="14"/>
      <c r="L2055" s="14"/>
      <c r="M2055" s="14"/>
    </row>
    <row r="2056" ht="18.75" customHeight="1">
      <c r="A2056" s="14"/>
      <c r="B2056" s="14"/>
      <c r="C2056" s="14"/>
      <c r="D2056" s="14"/>
      <c r="E2056" s="15"/>
      <c r="F2056" s="14"/>
      <c r="G2056" s="14"/>
      <c r="H2056" s="15"/>
      <c r="I2056" s="14"/>
      <c r="J2056" s="14"/>
      <c r="K2056" s="14"/>
      <c r="L2056" s="14"/>
      <c r="M2056" s="14"/>
    </row>
    <row r="2057" ht="18.75" customHeight="1">
      <c r="A2057" s="14"/>
      <c r="B2057" s="14"/>
      <c r="C2057" s="14"/>
      <c r="D2057" s="14"/>
      <c r="E2057" s="15"/>
      <c r="F2057" s="14"/>
      <c r="G2057" s="14"/>
      <c r="H2057" s="15"/>
      <c r="I2057" s="14"/>
      <c r="J2057" s="14"/>
      <c r="K2057" s="14"/>
      <c r="L2057" s="14"/>
      <c r="M2057" s="14"/>
    </row>
    <row r="2058" ht="18.75" customHeight="1">
      <c r="A2058" s="14"/>
      <c r="B2058" s="14"/>
      <c r="C2058" s="14"/>
      <c r="D2058" s="14"/>
      <c r="E2058" s="15"/>
      <c r="F2058" s="14"/>
      <c r="G2058" s="14"/>
      <c r="H2058" s="15"/>
      <c r="I2058" s="14"/>
      <c r="J2058" s="14"/>
      <c r="K2058" s="14"/>
      <c r="L2058" s="14"/>
      <c r="M2058" s="14"/>
    </row>
    <row r="2059" ht="18.75" customHeight="1">
      <c r="A2059" s="14"/>
      <c r="B2059" s="14"/>
      <c r="C2059" s="14"/>
      <c r="D2059" s="14"/>
      <c r="E2059" s="15"/>
      <c r="F2059" s="14"/>
      <c r="G2059" s="14"/>
      <c r="H2059" s="15"/>
      <c r="I2059" s="14"/>
      <c r="J2059" s="14"/>
      <c r="K2059" s="14"/>
      <c r="L2059" s="14"/>
      <c r="M2059" s="14"/>
    </row>
    <row r="2060" ht="18.75" customHeight="1">
      <c r="A2060" s="14"/>
      <c r="B2060" s="14"/>
      <c r="C2060" s="14"/>
      <c r="D2060" s="14"/>
      <c r="E2060" s="15"/>
      <c r="F2060" s="14"/>
      <c r="G2060" s="14"/>
      <c r="H2060" s="15"/>
      <c r="I2060" s="14"/>
      <c r="J2060" s="14"/>
      <c r="K2060" s="14"/>
      <c r="L2060" s="14"/>
      <c r="M2060" s="14"/>
    </row>
    <row r="2061" ht="18.75" customHeight="1">
      <c r="A2061" s="14"/>
      <c r="B2061" s="14"/>
      <c r="C2061" s="14"/>
      <c r="D2061" s="14"/>
      <c r="E2061" s="15"/>
      <c r="F2061" s="14"/>
      <c r="G2061" s="14"/>
      <c r="H2061" s="15"/>
      <c r="I2061" s="14"/>
      <c r="J2061" s="14"/>
      <c r="K2061" s="14"/>
      <c r="L2061" s="14"/>
      <c r="M2061" s="14"/>
    </row>
    <row r="2062" ht="18.75" customHeight="1">
      <c r="A2062" s="14"/>
      <c r="B2062" s="14"/>
      <c r="C2062" s="14"/>
      <c r="D2062" s="14"/>
      <c r="E2062" s="15"/>
      <c r="F2062" s="14"/>
      <c r="G2062" s="14"/>
      <c r="H2062" s="15"/>
      <c r="I2062" s="14"/>
      <c r="J2062" s="14"/>
      <c r="K2062" s="14"/>
      <c r="L2062" s="14"/>
      <c r="M2062" s="14"/>
    </row>
    <row r="2063" ht="18.75" customHeight="1">
      <c r="A2063" s="14"/>
      <c r="B2063" s="14"/>
      <c r="C2063" s="14"/>
      <c r="D2063" s="14"/>
      <c r="E2063" s="15"/>
      <c r="F2063" s="14"/>
      <c r="G2063" s="14"/>
      <c r="H2063" s="15"/>
      <c r="I2063" s="14"/>
      <c r="J2063" s="14"/>
      <c r="K2063" s="14"/>
      <c r="L2063" s="14"/>
      <c r="M2063" s="14"/>
    </row>
    <row r="2064" ht="18.75" customHeight="1">
      <c r="A2064" s="14"/>
      <c r="B2064" s="14"/>
      <c r="C2064" s="14"/>
      <c r="D2064" s="14"/>
      <c r="E2064" s="15"/>
      <c r="F2064" s="14"/>
      <c r="G2064" s="14"/>
      <c r="H2064" s="15"/>
      <c r="I2064" s="14"/>
      <c r="J2064" s="14"/>
      <c r="K2064" s="14"/>
      <c r="L2064" s="14"/>
      <c r="M2064" s="14"/>
    </row>
    <row r="2065" ht="18.75" customHeight="1">
      <c r="A2065" s="14"/>
      <c r="B2065" s="14"/>
      <c r="C2065" s="14"/>
      <c r="D2065" s="14"/>
      <c r="E2065" s="15"/>
      <c r="F2065" s="14"/>
      <c r="G2065" s="14"/>
      <c r="H2065" s="15"/>
      <c r="I2065" s="14"/>
      <c r="J2065" s="14"/>
      <c r="K2065" s="14"/>
      <c r="L2065" s="14"/>
      <c r="M2065" s="14"/>
    </row>
    <row r="2066" ht="18.75" customHeight="1">
      <c r="A2066" s="14"/>
      <c r="B2066" s="14"/>
      <c r="C2066" s="14"/>
      <c r="D2066" s="14"/>
      <c r="E2066" s="15"/>
      <c r="F2066" s="14"/>
      <c r="G2066" s="14"/>
      <c r="H2066" s="15"/>
      <c r="I2066" s="14"/>
      <c r="J2066" s="14"/>
      <c r="K2066" s="14"/>
      <c r="L2066" s="14"/>
      <c r="M2066" s="14"/>
    </row>
    <row r="2067" ht="18.75" customHeight="1">
      <c r="A2067" s="14"/>
      <c r="B2067" s="14"/>
      <c r="C2067" s="14"/>
      <c r="D2067" s="14"/>
      <c r="E2067" s="15"/>
      <c r="F2067" s="14"/>
      <c r="G2067" s="14"/>
      <c r="H2067" s="15"/>
      <c r="I2067" s="14"/>
      <c r="J2067" s="14"/>
      <c r="K2067" s="14"/>
      <c r="L2067" s="14"/>
      <c r="M2067" s="14"/>
    </row>
    <row r="2068" ht="18.75" customHeight="1">
      <c r="A2068" s="14"/>
      <c r="B2068" s="14"/>
      <c r="C2068" s="14"/>
      <c r="D2068" s="14"/>
      <c r="E2068" s="15"/>
      <c r="F2068" s="14"/>
      <c r="G2068" s="14"/>
      <c r="H2068" s="15"/>
      <c r="I2068" s="14"/>
      <c r="J2068" s="14"/>
      <c r="K2068" s="14"/>
      <c r="L2068" s="14"/>
      <c r="M2068" s="14"/>
    </row>
    <row r="2069" ht="18.75" customHeight="1">
      <c r="A2069" s="14"/>
      <c r="B2069" s="14"/>
      <c r="C2069" s="14"/>
      <c r="D2069" s="14"/>
      <c r="E2069" s="15"/>
      <c r="F2069" s="14"/>
      <c r="G2069" s="14"/>
      <c r="H2069" s="15"/>
      <c r="I2069" s="14"/>
      <c r="J2069" s="14"/>
      <c r="K2069" s="14"/>
      <c r="L2069" s="14"/>
      <c r="M2069" s="14"/>
    </row>
    <row r="2070" ht="18.75" customHeight="1">
      <c r="A2070" s="14"/>
      <c r="B2070" s="14"/>
      <c r="C2070" s="14"/>
      <c r="D2070" s="14"/>
      <c r="E2070" s="15"/>
      <c r="F2070" s="14"/>
      <c r="G2070" s="14"/>
      <c r="H2070" s="15"/>
      <c r="I2070" s="14"/>
      <c r="J2070" s="14"/>
      <c r="K2070" s="14"/>
      <c r="L2070" s="14"/>
      <c r="M2070" s="14"/>
    </row>
    <row r="2071" ht="18.75" customHeight="1">
      <c r="A2071" s="14"/>
      <c r="B2071" s="14"/>
      <c r="C2071" s="14"/>
      <c r="D2071" s="14"/>
      <c r="E2071" s="15"/>
      <c r="F2071" s="14"/>
      <c r="G2071" s="14"/>
      <c r="H2071" s="15"/>
      <c r="I2071" s="14"/>
      <c r="J2071" s="14"/>
      <c r="K2071" s="14"/>
      <c r="L2071" s="14"/>
      <c r="M2071" s="14"/>
    </row>
    <row r="2072" ht="18.75" customHeight="1">
      <c r="A2072" s="14"/>
      <c r="B2072" s="14"/>
      <c r="C2072" s="14"/>
      <c r="D2072" s="14"/>
      <c r="E2072" s="15"/>
      <c r="F2072" s="14"/>
      <c r="G2072" s="14"/>
      <c r="H2072" s="15"/>
      <c r="I2072" s="14"/>
      <c r="J2072" s="14"/>
      <c r="K2072" s="14"/>
      <c r="L2072" s="14"/>
      <c r="M2072" s="14"/>
    </row>
    <row r="2073" ht="18.75" customHeight="1">
      <c r="A2073" s="14"/>
      <c r="B2073" s="14"/>
      <c r="C2073" s="14"/>
      <c r="D2073" s="14"/>
      <c r="E2073" s="15"/>
      <c r="F2073" s="14"/>
      <c r="G2073" s="14"/>
      <c r="H2073" s="15"/>
      <c r="I2073" s="14"/>
      <c r="J2073" s="14"/>
      <c r="K2073" s="14"/>
      <c r="L2073" s="14"/>
      <c r="M2073" s="14"/>
    </row>
    <row r="2074" ht="18.75" customHeight="1">
      <c r="A2074" s="14"/>
      <c r="B2074" s="14"/>
      <c r="C2074" s="14"/>
      <c r="D2074" s="14"/>
      <c r="E2074" s="15"/>
      <c r="F2074" s="14"/>
      <c r="G2074" s="14"/>
      <c r="H2074" s="15"/>
      <c r="I2074" s="14"/>
      <c r="J2074" s="14"/>
      <c r="K2074" s="14"/>
      <c r="L2074" s="14"/>
      <c r="M2074" s="14"/>
    </row>
    <row r="2075" ht="18.75" customHeight="1">
      <c r="A2075" s="14"/>
      <c r="B2075" s="14"/>
      <c r="C2075" s="14"/>
      <c r="D2075" s="14"/>
      <c r="E2075" s="15"/>
      <c r="F2075" s="14"/>
      <c r="G2075" s="14"/>
      <c r="H2075" s="15"/>
      <c r="I2075" s="14"/>
      <c r="J2075" s="14"/>
      <c r="K2075" s="14"/>
      <c r="L2075" s="14"/>
      <c r="M2075" s="14"/>
    </row>
    <row r="2076" ht="18.75" customHeight="1">
      <c r="A2076" s="14"/>
      <c r="B2076" s="14"/>
      <c r="C2076" s="14"/>
      <c r="D2076" s="14"/>
      <c r="E2076" s="15"/>
      <c r="F2076" s="14"/>
      <c r="G2076" s="14"/>
      <c r="H2076" s="15"/>
      <c r="I2076" s="14"/>
      <c r="J2076" s="14"/>
      <c r="K2076" s="14"/>
      <c r="L2076" s="14"/>
      <c r="M2076" s="14"/>
    </row>
    <row r="2077" ht="18.75" customHeight="1">
      <c r="A2077" s="14"/>
      <c r="B2077" s="14"/>
      <c r="C2077" s="14"/>
      <c r="D2077" s="14"/>
      <c r="E2077" s="15"/>
      <c r="F2077" s="14"/>
      <c r="G2077" s="14"/>
      <c r="H2077" s="15"/>
      <c r="I2077" s="14"/>
      <c r="J2077" s="14"/>
      <c r="K2077" s="14"/>
      <c r="L2077" s="14"/>
      <c r="M2077" s="14"/>
    </row>
    <row r="2078" ht="18.75" customHeight="1">
      <c r="A2078" s="14"/>
      <c r="B2078" s="14"/>
      <c r="C2078" s="14"/>
      <c r="D2078" s="14"/>
      <c r="E2078" s="15"/>
      <c r="F2078" s="14"/>
      <c r="G2078" s="14"/>
      <c r="H2078" s="15"/>
      <c r="I2078" s="14"/>
      <c r="J2078" s="14"/>
      <c r="K2078" s="14"/>
      <c r="L2078" s="14"/>
      <c r="M2078" s="14"/>
    </row>
    <row r="2079" ht="18.75" customHeight="1">
      <c r="A2079" s="14"/>
      <c r="B2079" s="14"/>
      <c r="C2079" s="14"/>
      <c r="D2079" s="14"/>
      <c r="E2079" s="15"/>
      <c r="F2079" s="14"/>
      <c r="G2079" s="14"/>
      <c r="H2079" s="15"/>
      <c r="I2079" s="14"/>
      <c r="J2079" s="14"/>
      <c r="K2079" s="14"/>
      <c r="L2079" s="14"/>
      <c r="M2079" s="14"/>
    </row>
    <row r="2080" ht="18.75" customHeight="1">
      <c r="A2080" s="14"/>
      <c r="B2080" s="14"/>
      <c r="C2080" s="14"/>
      <c r="D2080" s="14"/>
      <c r="E2080" s="15"/>
      <c r="F2080" s="14"/>
      <c r="G2080" s="14"/>
      <c r="H2080" s="15"/>
      <c r="I2080" s="14"/>
      <c r="J2080" s="14"/>
      <c r="K2080" s="14"/>
      <c r="L2080" s="14"/>
      <c r="M2080" s="14"/>
    </row>
    <row r="2081" ht="18.75" customHeight="1">
      <c r="A2081" s="14"/>
      <c r="B2081" s="14"/>
      <c r="C2081" s="14"/>
      <c r="D2081" s="14"/>
      <c r="E2081" s="15"/>
      <c r="F2081" s="14"/>
      <c r="G2081" s="14"/>
      <c r="H2081" s="15"/>
      <c r="I2081" s="14"/>
      <c r="J2081" s="14"/>
      <c r="K2081" s="14"/>
      <c r="L2081" s="14"/>
      <c r="M2081" s="14"/>
    </row>
    <row r="2082" ht="18.75" customHeight="1">
      <c r="A2082" s="14"/>
      <c r="B2082" s="14"/>
      <c r="C2082" s="14"/>
      <c r="D2082" s="14"/>
      <c r="E2082" s="15"/>
      <c r="F2082" s="14"/>
      <c r="G2082" s="14"/>
      <c r="H2082" s="15"/>
      <c r="I2082" s="14"/>
      <c r="J2082" s="14"/>
      <c r="K2082" s="14"/>
      <c r="L2082" s="14"/>
      <c r="M2082" s="14"/>
    </row>
    <row r="2083" ht="18.75" customHeight="1">
      <c r="A2083" s="14"/>
      <c r="B2083" s="14"/>
      <c r="C2083" s="14"/>
      <c r="D2083" s="14"/>
      <c r="E2083" s="15"/>
      <c r="F2083" s="14"/>
      <c r="G2083" s="14"/>
      <c r="H2083" s="15"/>
      <c r="I2083" s="14"/>
      <c r="J2083" s="14"/>
      <c r="K2083" s="14"/>
      <c r="L2083" s="14"/>
      <c r="M2083" s="14"/>
    </row>
    <row r="2084" ht="18.75" customHeight="1">
      <c r="A2084" s="14"/>
      <c r="B2084" s="14"/>
      <c r="C2084" s="14"/>
      <c r="D2084" s="14"/>
      <c r="E2084" s="15"/>
      <c r="F2084" s="14"/>
      <c r="G2084" s="14"/>
      <c r="H2084" s="15"/>
      <c r="I2084" s="14"/>
      <c r="J2084" s="14"/>
      <c r="K2084" s="14"/>
      <c r="L2084" s="14"/>
      <c r="M2084" s="14"/>
    </row>
    <row r="2085" ht="18.75" customHeight="1">
      <c r="A2085" s="14"/>
      <c r="B2085" s="14"/>
      <c r="C2085" s="14"/>
      <c r="D2085" s="14"/>
      <c r="E2085" s="15"/>
      <c r="F2085" s="14"/>
      <c r="G2085" s="14"/>
      <c r="H2085" s="15"/>
      <c r="I2085" s="14"/>
      <c r="J2085" s="14"/>
      <c r="K2085" s="14"/>
      <c r="L2085" s="14"/>
      <c r="M2085" s="14"/>
    </row>
    <row r="2086" ht="18.75" customHeight="1">
      <c r="A2086" s="14"/>
      <c r="B2086" s="14"/>
      <c r="C2086" s="14"/>
      <c r="D2086" s="14"/>
      <c r="E2086" s="15"/>
      <c r="F2086" s="14"/>
      <c r="G2086" s="14"/>
      <c r="H2086" s="15"/>
      <c r="I2086" s="14"/>
      <c r="J2086" s="14"/>
      <c r="K2086" s="14"/>
      <c r="L2086" s="14"/>
      <c r="M2086" s="14"/>
    </row>
    <row r="2087" ht="18.75" customHeight="1">
      <c r="A2087" s="14"/>
      <c r="B2087" s="14"/>
      <c r="C2087" s="14"/>
      <c r="D2087" s="14"/>
      <c r="E2087" s="15"/>
      <c r="F2087" s="14"/>
      <c r="G2087" s="14"/>
      <c r="H2087" s="15"/>
      <c r="I2087" s="14"/>
      <c r="J2087" s="14"/>
      <c r="K2087" s="14"/>
      <c r="L2087" s="14"/>
      <c r="M2087" s="14"/>
    </row>
    <row r="2088" ht="18.75" customHeight="1">
      <c r="A2088" s="14"/>
      <c r="B2088" s="14"/>
      <c r="C2088" s="14"/>
      <c r="D2088" s="14"/>
      <c r="E2088" s="15"/>
      <c r="F2088" s="14"/>
      <c r="G2088" s="14"/>
      <c r="H2088" s="15"/>
      <c r="I2088" s="14"/>
      <c r="J2088" s="14"/>
      <c r="K2088" s="14"/>
      <c r="L2088" s="14"/>
      <c r="M2088" s="14"/>
    </row>
    <row r="2089" ht="18.75" customHeight="1">
      <c r="A2089" s="14"/>
      <c r="B2089" s="14"/>
      <c r="C2089" s="14"/>
      <c r="D2089" s="14"/>
      <c r="E2089" s="15"/>
      <c r="F2089" s="14"/>
      <c r="G2089" s="14"/>
      <c r="H2089" s="15"/>
      <c r="I2089" s="14"/>
      <c r="J2089" s="14"/>
      <c r="K2089" s="14"/>
      <c r="L2089" s="14"/>
      <c r="M2089" s="14"/>
    </row>
    <row r="2090" ht="18.75" customHeight="1">
      <c r="A2090" s="14"/>
      <c r="B2090" s="14"/>
      <c r="C2090" s="14"/>
      <c r="D2090" s="14"/>
      <c r="E2090" s="15"/>
      <c r="F2090" s="14"/>
      <c r="G2090" s="14"/>
      <c r="H2090" s="15"/>
      <c r="I2090" s="14"/>
      <c r="J2090" s="14"/>
      <c r="K2090" s="14"/>
      <c r="L2090" s="14"/>
      <c r="M2090" s="14"/>
    </row>
    <row r="2091" ht="18.75" customHeight="1">
      <c r="A2091" s="14"/>
      <c r="B2091" s="14"/>
      <c r="C2091" s="14"/>
      <c r="D2091" s="14"/>
      <c r="E2091" s="15"/>
      <c r="F2091" s="14"/>
      <c r="G2091" s="14"/>
      <c r="H2091" s="15"/>
      <c r="I2091" s="14"/>
      <c r="J2091" s="14"/>
      <c r="K2091" s="14"/>
      <c r="L2091" s="14"/>
      <c r="M2091" s="14"/>
    </row>
    <row r="2092" ht="18.75" customHeight="1">
      <c r="A2092" s="14"/>
      <c r="B2092" s="14"/>
      <c r="C2092" s="14"/>
      <c r="D2092" s="14"/>
      <c r="E2092" s="15"/>
      <c r="F2092" s="14"/>
      <c r="G2092" s="14"/>
      <c r="H2092" s="15"/>
      <c r="I2092" s="14"/>
      <c r="J2092" s="14"/>
      <c r="K2092" s="14"/>
      <c r="L2092" s="14"/>
      <c r="M2092" s="14"/>
    </row>
    <row r="2093" ht="18.75" customHeight="1">
      <c r="A2093" s="14"/>
      <c r="B2093" s="14"/>
      <c r="C2093" s="14"/>
      <c r="D2093" s="14"/>
      <c r="E2093" s="15"/>
      <c r="F2093" s="14"/>
      <c r="G2093" s="14"/>
      <c r="H2093" s="15"/>
      <c r="I2093" s="14"/>
      <c r="J2093" s="14"/>
      <c r="K2093" s="14"/>
      <c r="L2093" s="14"/>
      <c r="M2093" s="14"/>
    </row>
    <row r="2094" ht="18.75" customHeight="1">
      <c r="A2094" s="14"/>
      <c r="B2094" s="14"/>
      <c r="C2094" s="14"/>
      <c r="D2094" s="14"/>
      <c r="E2094" s="15"/>
      <c r="F2094" s="14"/>
      <c r="G2094" s="14"/>
      <c r="H2094" s="15"/>
      <c r="I2094" s="14"/>
      <c r="J2094" s="14"/>
      <c r="K2094" s="14"/>
      <c r="L2094" s="14"/>
      <c r="M2094" s="14"/>
    </row>
    <row r="2095" ht="18.75" customHeight="1">
      <c r="A2095" s="14"/>
      <c r="B2095" s="14"/>
      <c r="C2095" s="14"/>
      <c r="D2095" s="14"/>
      <c r="E2095" s="15"/>
      <c r="F2095" s="14"/>
      <c r="G2095" s="14"/>
      <c r="H2095" s="15"/>
      <c r="I2095" s="14"/>
      <c r="J2095" s="14"/>
      <c r="K2095" s="14"/>
      <c r="L2095" s="14"/>
      <c r="M2095" s="14"/>
    </row>
    <row r="2096" ht="18.75" customHeight="1">
      <c r="A2096" s="14"/>
      <c r="B2096" s="14"/>
      <c r="C2096" s="14"/>
      <c r="D2096" s="14"/>
      <c r="E2096" s="15"/>
      <c r="F2096" s="14"/>
      <c r="G2096" s="14"/>
      <c r="H2096" s="15"/>
      <c r="I2096" s="14"/>
      <c r="J2096" s="14"/>
      <c r="K2096" s="14"/>
      <c r="L2096" s="14"/>
      <c r="M2096" s="14"/>
    </row>
    <row r="2097" ht="18.75" customHeight="1">
      <c r="A2097" s="14"/>
      <c r="B2097" s="14"/>
      <c r="C2097" s="14"/>
      <c r="D2097" s="14"/>
      <c r="E2097" s="15"/>
      <c r="F2097" s="14"/>
      <c r="G2097" s="14"/>
      <c r="H2097" s="15"/>
      <c r="I2097" s="14"/>
      <c r="J2097" s="14"/>
      <c r="K2097" s="14"/>
      <c r="L2097" s="14"/>
      <c r="M2097" s="14"/>
    </row>
    <row r="2098" ht="18.75" customHeight="1">
      <c r="A2098" s="14"/>
      <c r="B2098" s="14"/>
      <c r="C2098" s="14"/>
      <c r="D2098" s="14"/>
      <c r="E2098" s="15"/>
      <c r="F2098" s="14"/>
      <c r="G2098" s="14"/>
      <c r="H2098" s="15"/>
      <c r="I2098" s="14"/>
      <c r="J2098" s="14"/>
      <c r="K2098" s="14"/>
      <c r="L2098" s="14"/>
      <c r="M2098" s="14"/>
    </row>
    <row r="2099" ht="18.75" customHeight="1">
      <c r="A2099" s="14"/>
      <c r="B2099" s="14"/>
      <c r="C2099" s="14"/>
      <c r="D2099" s="14"/>
      <c r="E2099" s="15"/>
      <c r="F2099" s="14"/>
      <c r="G2099" s="14"/>
      <c r="H2099" s="15"/>
      <c r="I2099" s="14"/>
      <c r="J2099" s="14"/>
      <c r="K2099" s="14"/>
      <c r="L2099" s="14"/>
      <c r="M2099" s="14"/>
    </row>
    <row r="2100" ht="18.75" customHeight="1">
      <c r="A2100" s="14"/>
      <c r="B2100" s="14"/>
      <c r="C2100" s="14"/>
      <c r="D2100" s="14"/>
      <c r="E2100" s="15"/>
      <c r="F2100" s="14"/>
      <c r="G2100" s="14"/>
      <c r="H2100" s="15"/>
      <c r="I2100" s="14"/>
      <c r="J2100" s="14"/>
      <c r="K2100" s="14"/>
      <c r="L2100" s="14"/>
      <c r="M2100" s="14"/>
    </row>
    <row r="2101" ht="18.75" customHeight="1">
      <c r="A2101" s="14"/>
      <c r="B2101" s="14"/>
      <c r="C2101" s="14"/>
      <c r="D2101" s="14"/>
      <c r="E2101" s="15"/>
      <c r="F2101" s="14"/>
      <c r="G2101" s="14"/>
      <c r="H2101" s="15"/>
      <c r="I2101" s="14"/>
      <c r="J2101" s="14"/>
      <c r="K2101" s="14"/>
      <c r="L2101" s="14"/>
      <c r="M2101" s="14"/>
    </row>
    <row r="2102" ht="18.75" customHeight="1">
      <c r="A2102" s="14"/>
      <c r="B2102" s="14"/>
      <c r="C2102" s="14"/>
      <c r="D2102" s="14"/>
      <c r="E2102" s="15"/>
      <c r="F2102" s="14"/>
      <c r="G2102" s="14"/>
      <c r="H2102" s="15"/>
      <c r="I2102" s="14"/>
      <c r="J2102" s="14"/>
      <c r="K2102" s="14"/>
      <c r="L2102" s="14"/>
      <c r="M2102" s="14"/>
    </row>
    <row r="2103" ht="18.75" customHeight="1">
      <c r="A2103" s="14"/>
      <c r="B2103" s="14"/>
      <c r="C2103" s="14"/>
      <c r="D2103" s="14"/>
      <c r="E2103" s="15"/>
      <c r="F2103" s="14"/>
      <c r="G2103" s="14"/>
      <c r="H2103" s="15"/>
      <c r="I2103" s="14"/>
      <c r="J2103" s="14"/>
      <c r="K2103" s="14"/>
      <c r="L2103" s="14"/>
      <c r="M2103" s="14"/>
    </row>
    <row r="2104" ht="18.75" customHeight="1">
      <c r="A2104" s="14"/>
      <c r="B2104" s="14"/>
      <c r="C2104" s="14"/>
      <c r="D2104" s="14"/>
      <c r="E2104" s="15"/>
      <c r="F2104" s="14"/>
      <c r="G2104" s="14"/>
      <c r="H2104" s="15"/>
      <c r="I2104" s="14"/>
      <c r="J2104" s="14"/>
      <c r="K2104" s="14"/>
      <c r="L2104" s="14"/>
      <c r="M2104" s="14"/>
    </row>
    <row r="2105" ht="18.75" customHeight="1">
      <c r="A2105" s="14"/>
      <c r="B2105" s="14"/>
      <c r="C2105" s="14"/>
      <c r="D2105" s="14"/>
      <c r="E2105" s="15"/>
      <c r="F2105" s="14"/>
      <c r="G2105" s="14"/>
      <c r="H2105" s="15"/>
      <c r="I2105" s="14"/>
      <c r="J2105" s="14"/>
      <c r="K2105" s="14"/>
      <c r="L2105" s="14"/>
      <c r="M2105" s="14"/>
    </row>
    <row r="2106" ht="18.75" customHeight="1">
      <c r="A2106" s="14"/>
      <c r="B2106" s="14"/>
      <c r="C2106" s="14"/>
      <c r="D2106" s="14"/>
      <c r="E2106" s="15"/>
      <c r="F2106" s="14"/>
      <c r="G2106" s="14"/>
      <c r="H2106" s="15"/>
      <c r="I2106" s="14"/>
      <c r="J2106" s="14"/>
      <c r="K2106" s="14"/>
      <c r="L2106" s="14"/>
      <c r="M2106" s="14"/>
    </row>
    <row r="2107" ht="18.75" customHeight="1">
      <c r="A2107" s="14"/>
      <c r="B2107" s="14"/>
      <c r="C2107" s="14"/>
      <c r="D2107" s="14"/>
      <c r="E2107" s="15"/>
      <c r="F2107" s="14"/>
      <c r="G2107" s="14"/>
      <c r="H2107" s="15"/>
      <c r="I2107" s="14"/>
      <c r="J2107" s="14"/>
      <c r="K2107" s="14"/>
      <c r="L2107" s="14"/>
      <c r="M2107" s="14"/>
    </row>
    <row r="2108" ht="18.75" customHeight="1">
      <c r="A2108" s="14"/>
      <c r="B2108" s="14"/>
      <c r="C2108" s="14"/>
      <c r="D2108" s="14"/>
      <c r="E2108" s="15"/>
      <c r="F2108" s="14"/>
      <c r="G2108" s="14"/>
      <c r="H2108" s="15"/>
      <c r="I2108" s="14"/>
      <c r="J2108" s="14"/>
      <c r="K2108" s="14"/>
      <c r="L2108" s="14"/>
      <c r="M2108" s="14"/>
    </row>
    <row r="2109" ht="18.75" customHeight="1">
      <c r="A2109" s="14"/>
      <c r="B2109" s="14"/>
      <c r="C2109" s="14"/>
      <c r="D2109" s="14"/>
      <c r="E2109" s="15"/>
      <c r="F2109" s="14"/>
      <c r="G2109" s="14"/>
      <c r="H2109" s="15"/>
      <c r="I2109" s="14"/>
      <c r="J2109" s="14"/>
      <c r="K2109" s="14"/>
      <c r="L2109" s="14"/>
      <c r="M2109" s="14"/>
    </row>
    <row r="2110" ht="18.75" customHeight="1">
      <c r="A2110" s="14"/>
      <c r="B2110" s="14"/>
      <c r="C2110" s="14"/>
      <c r="D2110" s="14"/>
      <c r="E2110" s="15"/>
      <c r="F2110" s="14"/>
      <c r="G2110" s="14"/>
      <c r="H2110" s="15"/>
      <c r="I2110" s="14"/>
      <c r="J2110" s="14"/>
      <c r="K2110" s="14"/>
      <c r="L2110" s="14"/>
      <c r="M2110" s="14"/>
    </row>
    <row r="2111" ht="18.75" customHeight="1">
      <c r="A2111" s="14"/>
      <c r="B2111" s="14"/>
      <c r="C2111" s="14"/>
      <c r="D2111" s="14"/>
      <c r="E2111" s="15"/>
      <c r="F2111" s="14"/>
      <c r="G2111" s="14"/>
      <c r="H2111" s="15"/>
      <c r="I2111" s="14"/>
      <c r="J2111" s="14"/>
      <c r="K2111" s="14"/>
      <c r="L2111" s="14"/>
      <c r="M2111" s="14"/>
    </row>
    <row r="2112" ht="18.75" customHeight="1">
      <c r="A2112" s="14"/>
      <c r="B2112" s="14"/>
      <c r="C2112" s="14"/>
      <c r="D2112" s="14"/>
      <c r="E2112" s="15"/>
      <c r="F2112" s="14"/>
      <c r="G2112" s="14"/>
      <c r="H2112" s="15"/>
      <c r="I2112" s="14"/>
      <c r="J2112" s="14"/>
      <c r="K2112" s="14"/>
      <c r="L2112" s="14"/>
      <c r="M2112" s="14"/>
    </row>
    <row r="2113" ht="18.75" customHeight="1">
      <c r="A2113" s="14"/>
      <c r="B2113" s="14"/>
      <c r="C2113" s="14"/>
      <c r="D2113" s="14"/>
      <c r="E2113" s="15"/>
      <c r="F2113" s="14"/>
      <c r="G2113" s="14"/>
      <c r="H2113" s="15"/>
      <c r="I2113" s="14"/>
      <c r="J2113" s="14"/>
      <c r="K2113" s="14"/>
      <c r="L2113" s="14"/>
      <c r="M2113" s="14"/>
    </row>
    <row r="2114" ht="18.75" customHeight="1">
      <c r="A2114" s="14"/>
      <c r="B2114" s="14"/>
      <c r="C2114" s="14"/>
      <c r="D2114" s="14"/>
      <c r="E2114" s="15"/>
      <c r="F2114" s="14"/>
      <c r="G2114" s="14"/>
      <c r="H2114" s="15"/>
      <c r="I2114" s="14"/>
      <c r="J2114" s="14"/>
      <c r="K2114" s="14"/>
      <c r="L2114" s="14"/>
      <c r="M2114" s="14"/>
    </row>
    <row r="2115" ht="18.75" customHeight="1">
      <c r="A2115" s="14"/>
      <c r="B2115" s="14"/>
      <c r="C2115" s="14"/>
      <c r="D2115" s="14"/>
      <c r="E2115" s="15"/>
      <c r="F2115" s="14"/>
      <c r="G2115" s="14"/>
      <c r="H2115" s="15"/>
      <c r="I2115" s="14"/>
      <c r="J2115" s="14"/>
      <c r="K2115" s="14"/>
      <c r="L2115" s="14"/>
      <c r="M2115" s="14"/>
    </row>
    <row r="2116" ht="18.75" customHeight="1">
      <c r="A2116" s="14"/>
      <c r="B2116" s="14"/>
      <c r="C2116" s="14"/>
      <c r="D2116" s="14"/>
      <c r="E2116" s="15"/>
      <c r="F2116" s="14"/>
      <c r="G2116" s="14"/>
      <c r="H2116" s="15"/>
      <c r="I2116" s="14"/>
      <c r="J2116" s="14"/>
      <c r="K2116" s="14"/>
      <c r="L2116" s="14"/>
      <c r="M2116" s="14"/>
    </row>
    <row r="2117" ht="18.75" customHeight="1">
      <c r="A2117" s="14"/>
      <c r="B2117" s="14"/>
      <c r="C2117" s="14"/>
      <c r="D2117" s="14"/>
      <c r="E2117" s="15"/>
      <c r="F2117" s="14"/>
      <c r="G2117" s="14"/>
      <c r="H2117" s="15"/>
      <c r="I2117" s="14"/>
      <c r="J2117" s="14"/>
      <c r="K2117" s="14"/>
      <c r="L2117" s="14"/>
      <c r="M2117" s="14"/>
    </row>
    <row r="2118" ht="18.75" customHeight="1">
      <c r="A2118" s="14"/>
      <c r="B2118" s="14"/>
      <c r="C2118" s="14"/>
      <c r="D2118" s="14"/>
      <c r="E2118" s="15"/>
      <c r="F2118" s="14"/>
      <c r="G2118" s="14"/>
      <c r="H2118" s="15"/>
      <c r="I2118" s="14"/>
      <c r="J2118" s="14"/>
      <c r="K2118" s="14"/>
      <c r="L2118" s="14"/>
      <c r="M2118" s="14"/>
    </row>
    <row r="2119" ht="18.75" customHeight="1">
      <c r="A2119" s="14"/>
      <c r="B2119" s="14"/>
      <c r="C2119" s="14"/>
      <c r="D2119" s="14"/>
      <c r="E2119" s="15"/>
      <c r="F2119" s="14"/>
      <c r="G2119" s="14"/>
      <c r="H2119" s="15"/>
      <c r="I2119" s="14"/>
      <c r="J2119" s="14"/>
      <c r="K2119" s="14"/>
      <c r="L2119" s="14"/>
      <c r="M2119" s="14"/>
    </row>
    <row r="2120" ht="18.75" customHeight="1">
      <c r="A2120" s="14"/>
      <c r="B2120" s="14"/>
      <c r="C2120" s="14"/>
      <c r="D2120" s="14"/>
      <c r="E2120" s="15"/>
      <c r="F2120" s="14"/>
      <c r="G2120" s="14"/>
      <c r="H2120" s="15"/>
      <c r="I2120" s="14"/>
      <c r="J2120" s="14"/>
      <c r="K2120" s="14"/>
      <c r="L2120" s="14"/>
      <c r="M2120" s="14"/>
    </row>
    <row r="2121" ht="18.75" customHeight="1">
      <c r="A2121" s="14"/>
      <c r="B2121" s="14"/>
      <c r="C2121" s="14"/>
      <c r="D2121" s="14"/>
      <c r="E2121" s="15"/>
      <c r="F2121" s="14"/>
      <c r="G2121" s="14"/>
      <c r="H2121" s="15"/>
      <c r="I2121" s="14"/>
      <c r="J2121" s="14"/>
      <c r="K2121" s="14"/>
      <c r="L2121" s="14"/>
      <c r="M2121" s="14"/>
    </row>
    <row r="2122" ht="18.75" customHeight="1">
      <c r="A2122" s="14"/>
      <c r="B2122" s="14"/>
      <c r="C2122" s="14"/>
      <c r="D2122" s="14"/>
      <c r="E2122" s="15"/>
      <c r="F2122" s="14"/>
      <c r="G2122" s="14"/>
      <c r="H2122" s="15"/>
      <c r="I2122" s="14"/>
      <c r="J2122" s="14"/>
      <c r="K2122" s="14"/>
      <c r="L2122" s="14"/>
      <c r="M2122" s="14"/>
    </row>
    <row r="2123" ht="18.75" customHeight="1">
      <c r="A2123" s="14"/>
      <c r="B2123" s="14"/>
      <c r="C2123" s="14"/>
      <c r="D2123" s="14"/>
      <c r="E2123" s="15"/>
      <c r="F2123" s="14"/>
      <c r="G2123" s="14"/>
      <c r="H2123" s="15"/>
      <c r="I2123" s="14"/>
      <c r="J2123" s="14"/>
      <c r="K2123" s="14"/>
      <c r="L2123" s="14"/>
      <c r="M2123" s="14"/>
    </row>
    <row r="2124" ht="18.75" customHeight="1">
      <c r="A2124" s="14"/>
      <c r="B2124" s="14"/>
      <c r="C2124" s="14"/>
      <c r="D2124" s="14"/>
      <c r="E2124" s="15"/>
      <c r="F2124" s="14"/>
      <c r="G2124" s="14"/>
      <c r="H2124" s="15"/>
      <c r="I2124" s="14"/>
      <c r="J2124" s="14"/>
      <c r="K2124" s="14"/>
      <c r="L2124" s="14"/>
      <c r="M2124" s="14"/>
    </row>
    <row r="2125" ht="18.75" customHeight="1">
      <c r="A2125" s="14"/>
      <c r="B2125" s="14"/>
      <c r="C2125" s="14"/>
      <c r="D2125" s="14"/>
      <c r="E2125" s="15"/>
      <c r="F2125" s="14"/>
      <c r="G2125" s="14"/>
      <c r="H2125" s="15"/>
      <c r="I2125" s="14"/>
      <c r="J2125" s="14"/>
      <c r="K2125" s="14"/>
      <c r="L2125" s="14"/>
      <c r="M2125" s="14"/>
    </row>
    <row r="2126" ht="18.75" customHeight="1">
      <c r="A2126" s="14"/>
      <c r="B2126" s="14"/>
      <c r="C2126" s="14"/>
      <c r="D2126" s="14"/>
      <c r="E2126" s="15"/>
      <c r="F2126" s="14"/>
      <c r="G2126" s="14"/>
      <c r="H2126" s="15"/>
      <c r="I2126" s="14"/>
      <c r="J2126" s="14"/>
      <c r="K2126" s="14"/>
      <c r="L2126" s="14"/>
      <c r="M2126" s="14"/>
    </row>
    <row r="2127" ht="18.75" customHeight="1">
      <c r="A2127" s="14"/>
      <c r="B2127" s="14"/>
      <c r="C2127" s="14"/>
      <c r="D2127" s="14"/>
      <c r="E2127" s="15"/>
      <c r="F2127" s="14"/>
      <c r="G2127" s="14"/>
      <c r="H2127" s="15"/>
      <c r="I2127" s="14"/>
      <c r="J2127" s="14"/>
      <c r="K2127" s="14"/>
      <c r="L2127" s="14"/>
      <c r="M2127" s="14"/>
    </row>
    <row r="2128" ht="18.75" customHeight="1">
      <c r="A2128" s="14"/>
      <c r="B2128" s="14"/>
      <c r="C2128" s="14"/>
      <c r="D2128" s="14"/>
      <c r="E2128" s="15"/>
      <c r="F2128" s="14"/>
      <c r="G2128" s="14"/>
      <c r="H2128" s="15"/>
      <c r="I2128" s="14"/>
      <c r="J2128" s="14"/>
      <c r="K2128" s="14"/>
      <c r="L2128" s="14"/>
      <c r="M2128" s="14"/>
    </row>
    <row r="2129" ht="18.75" customHeight="1">
      <c r="A2129" s="14"/>
      <c r="B2129" s="14"/>
      <c r="C2129" s="14"/>
      <c r="D2129" s="14"/>
      <c r="E2129" s="15"/>
      <c r="F2129" s="14"/>
      <c r="G2129" s="14"/>
      <c r="H2129" s="15"/>
      <c r="I2129" s="14"/>
      <c r="J2129" s="14"/>
      <c r="K2129" s="14"/>
      <c r="L2129" s="14"/>
      <c r="M2129" s="14"/>
    </row>
    <row r="2130" ht="18.75" customHeight="1">
      <c r="A2130" s="14"/>
      <c r="B2130" s="14"/>
      <c r="C2130" s="14"/>
      <c r="D2130" s="14"/>
      <c r="E2130" s="15"/>
      <c r="F2130" s="14"/>
      <c r="G2130" s="14"/>
      <c r="H2130" s="15"/>
      <c r="I2130" s="14"/>
      <c r="J2130" s="14"/>
      <c r="K2130" s="14"/>
      <c r="L2130" s="14"/>
      <c r="M2130" s="14"/>
    </row>
    <row r="2131" ht="18.75" customHeight="1">
      <c r="A2131" s="14"/>
      <c r="B2131" s="14"/>
      <c r="C2131" s="14"/>
      <c r="D2131" s="14"/>
      <c r="E2131" s="15"/>
      <c r="F2131" s="14"/>
      <c r="G2131" s="14"/>
      <c r="H2131" s="15"/>
      <c r="I2131" s="14"/>
      <c r="J2131" s="14"/>
      <c r="K2131" s="14"/>
      <c r="L2131" s="14"/>
      <c r="M2131" s="14"/>
    </row>
    <row r="2132" ht="18.75" customHeight="1">
      <c r="A2132" s="14"/>
      <c r="B2132" s="14"/>
      <c r="C2132" s="14"/>
      <c r="D2132" s="14"/>
      <c r="E2132" s="15"/>
      <c r="F2132" s="14"/>
      <c r="G2132" s="14"/>
      <c r="H2132" s="15"/>
      <c r="I2132" s="14"/>
      <c r="J2132" s="14"/>
      <c r="K2132" s="14"/>
      <c r="L2132" s="14"/>
      <c r="M2132" s="14"/>
    </row>
    <row r="2133" ht="18.75" customHeight="1">
      <c r="A2133" s="14"/>
      <c r="B2133" s="14"/>
      <c r="C2133" s="14"/>
      <c r="D2133" s="14"/>
      <c r="E2133" s="15"/>
      <c r="F2133" s="14"/>
      <c r="G2133" s="14"/>
      <c r="H2133" s="15"/>
      <c r="I2133" s="14"/>
      <c r="J2133" s="14"/>
      <c r="K2133" s="14"/>
      <c r="L2133" s="14"/>
      <c r="M2133" s="14"/>
    </row>
    <row r="2134" ht="18.75" customHeight="1">
      <c r="A2134" s="14"/>
      <c r="B2134" s="14"/>
      <c r="C2134" s="14"/>
      <c r="D2134" s="14"/>
      <c r="E2134" s="15"/>
      <c r="F2134" s="14"/>
      <c r="G2134" s="14"/>
      <c r="H2134" s="15"/>
      <c r="I2134" s="14"/>
      <c r="J2134" s="14"/>
      <c r="K2134" s="14"/>
      <c r="L2134" s="14"/>
      <c r="M2134" s="14"/>
    </row>
    <row r="2135" ht="18.75" customHeight="1">
      <c r="A2135" s="14"/>
      <c r="B2135" s="14"/>
      <c r="C2135" s="14"/>
      <c r="D2135" s="14"/>
      <c r="E2135" s="15"/>
      <c r="F2135" s="14"/>
      <c r="G2135" s="14"/>
      <c r="H2135" s="15"/>
      <c r="I2135" s="14"/>
      <c r="J2135" s="14"/>
      <c r="K2135" s="14"/>
      <c r="L2135" s="14"/>
      <c r="M2135" s="14"/>
    </row>
    <row r="2136" ht="18.75" customHeight="1">
      <c r="A2136" s="14"/>
      <c r="B2136" s="14"/>
      <c r="C2136" s="14"/>
      <c r="D2136" s="14"/>
      <c r="E2136" s="15"/>
      <c r="F2136" s="14"/>
      <c r="G2136" s="14"/>
      <c r="H2136" s="15"/>
      <c r="I2136" s="14"/>
      <c r="J2136" s="14"/>
      <c r="K2136" s="14"/>
      <c r="L2136" s="14"/>
      <c r="M2136" s="14"/>
    </row>
    <row r="2137" ht="18.75" customHeight="1">
      <c r="A2137" s="14"/>
      <c r="B2137" s="14"/>
      <c r="C2137" s="14"/>
      <c r="D2137" s="14"/>
      <c r="E2137" s="15"/>
      <c r="F2137" s="14"/>
      <c r="G2137" s="14"/>
      <c r="H2137" s="15"/>
      <c r="I2137" s="14"/>
      <c r="J2137" s="14"/>
      <c r="K2137" s="14"/>
      <c r="L2137" s="14"/>
      <c r="M2137" s="14"/>
    </row>
    <row r="2138" ht="18.75" customHeight="1">
      <c r="A2138" s="14"/>
      <c r="B2138" s="14"/>
      <c r="C2138" s="14"/>
      <c r="D2138" s="14"/>
      <c r="E2138" s="15"/>
      <c r="F2138" s="14"/>
      <c r="G2138" s="14"/>
      <c r="H2138" s="15"/>
      <c r="I2138" s="14"/>
      <c r="J2138" s="14"/>
      <c r="K2138" s="14"/>
      <c r="L2138" s="14"/>
      <c r="M2138" s="14"/>
    </row>
    <row r="2139" ht="18.75" customHeight="1">
      <c r="A2139" s="14"/>
      <c r="B2139" s="14"/>
      <c r="C2139" s="14"/>
      <c r="D2139" s="14"/>
      <c r="E2139" s="15"/>
      <c r="F2139" s="14"/>
      <c r="G2139" s="14"/>
      <c r="H2139" s="15"/>
      <c r="I2139" s="14"/>
      <c r="J2139" s="14"/>
      <c r="K2139" s="14"/>
      <c r="L2139" s="14"/>
      <c r="M2139" s="14"/>
    </row>
    <row r="2140" ht="18.75" customHeight="1">
      <c r="A2140" s="14"/>
      <c r="B2140" s="14"/>
      <c r="C2140" s="14"/>
      <c r="D2140" s="14"/>
      <c r="E2140" s="15"/>
      <c r="F2140" s="14"/>
      <c r="G2140" s="14"/>
      <c r="H2140" s="15"/>
      <c r="I2140" s="14"/>
      <c r="J2140" s="14"/>
      <c r="K2140" s="14"/>
      <c r="L2140" s="14"/>
      <c r="M2140" s="14"/>
    </row>
    <row r="2141" ht="18.75" customHeight="1">
      <c r="A2141" s="14"/>
      <c r="B2141" s="14"/>
      <c r="C2141" s="14"/>
      <c r="D2141" s="14"/>
      <c r="E2141" s="15"/>
      <c r="F2141" s="14"/>
      <c r="G2141" s="14"/>
      <c r="H2141" s="15"/>
      <c r="I2141" s="14"/>
      <c r="J2141" s="14"/>
      <c r="K2141" s="14"/>
      <c r="L2141" s="14"/>
      <c r="M2141" s="14"/>
    </row>
    <row r="2142" ht="18.75" customHeight="1">
      <c r="A2142" s="14"/>
      <c r="B2142" s="14"/>
      <c r="C2142" s="14"/>
      <c r="D2142" s="14"/>
      <c r="E2142" s="15"/>
      <c r="F2142" s="14"/>
      <c r="G2142" s="14"/>
      <c r="H2142" s="15"/>
      <c r="I2142" s="14"/>
      <c r="J2142" s="14"/>
      <c r="K2142" s="14"/>
      <c r="L2142" s="14"/>
      <c r="M2142" s="14"/>
    </row>
    <row r="2143" ht="18.75" customHeight="1">
      <c r="A2143" s="14"/>
      <c r="B2143" s="14"/>
      <c r="C2143" s="14"/>
      <c r="D2143" s="14"/>
      <c r="E2143" s="15"/>
      <c r="F2143" s="14"/>
      <c r="G2143" s="14"/>
      <c r="H2143" s="15"/>
      <c r="I2143" s="14"/>
      <c r="J2143" s="14"/>
      <c r="K2143" s="14"/>
      <c r="L2143" s="14"/>
      <c r="M2143" s="14"/>
    </row>
    <row r="2144" ht="18.75" customHeight="1">
      <c r="A2144" s="14"/>
      <c r="B2144" s="14"/>
      <c r="C2144" s="14"/>
      <c r="D2144" s="14"/>
      <c r="E2144" s="15"/>
      <c r="F2144" s="14"/>
      <c r="G2144" s="14"/>
      <c r="H2144" s="15"/>
      <c r="I2144" s="14"/>
      <c r="J2144" s="14"/>
      <c r="K2144" s="14"/>
      <c r="L2144" s="14"/>
      <c r="M2144" s="14"/>
    </row>
    <row r="2145" ht="18.75" customHeight="1">
      <c r="A2145" s="14"/>
      <c r="B2145" s="14"/>
      <c r="C2145" s="14"/>
      <c r="D2145" s="14"/>
      <c r="E2145" s="15"/>
      <c r="F2145" s="14"/>
      <c r="G2145" s="14"/>
      <c r="H2145" s="15"/>
      <c r="I2145" s="14"/>
      <c r="J2145" s="14"/>
      <c r="K2145" s="14"/>
      <c r="L2145" s="14"/>
      <c r="M2145" s="14"/>
    </row>
    <row r="2146" ht="18.75" customHeight="1">
      <c r="A2146" s="14"/>
      <c r="B2146" s="14"/>
      <c r="C2146" s="14"/>
      <c r="D2146" s="14"/>
      <c r="E2146" s="15"/>
      <c r="F2146" s="14"/>
      <c r="G2146" s="14"/>
      <c r="H2146" s="15"/>
      <c r="I2146" s="14"/>
      <c r="J2146" s="14"/>
      <c r="K2146" s="14"/>
      <c r="L2146" s="14"/>
      <c r="M2146" s="14"/>
    </row>
    <row r="2147" ht="18.75" customHeight="1">
      <c r="A2147" s="14"/>
      <c r="B2147" s="14"/>
      <c r="C2147" s="14"/>
      <c r="D2147" s="14"/>
      <c r="E2147" s="15"/>
      <c r="F2147" s="14"/>
      <c r="G2147" s="14"/>
      <c r="H2147" s="15"/>
      <c r="I2147" s="14"/>
      <c r="J2147" s="14"/>
      <c r="K2147" s="14"/>
      <c r="L2147" s="14"/>
      <c r="M2147" s="14"/>
    </row>
    <row r="2148" ht="18.75" customHeight="1">
      <c r="A2148" s="14"/>
      <c r="B2148" s="14"/>
      <c r="C2148" s="14"/>
      <c r="D2148" s="14"/>
      <c r="E2148" s="15"/>
      <c r="F2148" s="14"/>
      <c r="G2148" s="14"/>
      <c r="H2148" s="15"/>
      <c r="I2148" s="14"/>
      <c r="J2148" s="14"/>
      <c r="K2148" s="14"/>
      <c r="L2148" s="14"/>
      <c r="M2148" s="14"/>
    </row>
    <row r="2149" ht="18.75" customHeight="1">
      <c r="A2149" s="14"/>
      <c r="B2149" s="14"/>
      <c r="C2149" s="14"/>
      <c r="D2149" s="14"/>
      <c r="E2149" s="15"/>
      <c r="F2149" s="14"/>
      <c r="G2149" s="14"/>
      <c r="H2149" s="15"/>
      <c r="I2149" s="14"/>
      <c r="J2149" s="14"/>
      <c r="K2149" s="14"/>
      <c r="L2149" s="14"/>
      <c r="M2149" s="14"/>
    </row>
    <row r="2150" ht="18.75" customHeight="1">
      <c r="A2150" s="14"/>
      <c r="B2150" s="14"/>
      <c r="C2150" s="14"/>
      <c r="D2150" s="14"/>
      <c r="E2150" s="15"/>
      <c r="F2150" s="14"/>
      <c r="G2150" s="14"/>
      <c r="H2150" s="15"/>
      <c r="I2150" s="14"/>
      <c r="J2150" s="14"/>
      <c r="K2150" s="14"/>
      <c r="L2150" s="14"/>
      <c r="M2150" s="14"/>
    </row>
    <row r="2151" ht="18.75" customHeight="1">
      <c r="A2151" s="14"/>
      <c r="B2151" s="14"/>
      <c r="C2151" s="14"/>
      <c r="D2151" s="14"/>
      <c r="E2151" s="15"/>
      <c r="F2151" s="14"/>
      <c r="G2151" s="14"/>
      <c r="H2151" s="15"/>
      <c r="I2151" s="14"/>
      <c r="J2151" s="14"/>
      <c r="K2151" s="14"/>
      <c r="L2151" s="14"/>
      <c r="M2151" s="14"/>
    </row>
    <row r="2152" ht="18.75" customHeight="1">
      <c r="A2152" s="14"/>
      <c r="B2152" s="14"/>
      <c r="C2152" s="14"/>
      <c r="D2152" s="14"/>
      <c r="E2152" s="15"/>
      <c r="F2152" s="14"/>
      <c r="G2152" s="14"/>
      <c r="H2152" s="15"/>
      <c r="I2152" s="14"/>
      <c r="J2152" s="14"/>
      <c r="K2152" s="14"/>
      <c r="L2152" s="14"/>
      <c r="M2152" s="14"/>
    </row>
    <row r="2153" ht="18.75" customHeight="1">
      <c r="A2153" s="14"/>
      <c r="B2153" s="14"/>
      <c r="C2153" s="14"/>
      <c r="D2153" s="14"/>
      <c r="E2153" s="15"/>
      <c r="F2153" s="14"/>
      <c r="G2153" s="14"/>
      <c r="H2153" s="15"/>
      <c r="I2153" s="14"/>
      <c r="J2153" s="14"/>
      <c r="K2153" s="14"/>
      <c r="L2153" s="14"/>
      <c r="M2153" s="14"/>
    </row>
    <row r="2154" ht="18.75" customHeight="1">
      <c r="A2154" s="14"/>
      <c r="B2154" s="14"/>
      <c r="C2154" s="14"/>
      <c r="D2154" s="14"/>
      <c r="E2154" s="15"/>
      <c r="F2154" s="14"/>
      <c r="G2154" s="14"/>
      <c r="H2154" s="15"/>
      <c r="I2154" s="14"/>
      <c r="J2154" s="14"/>
      <c r="K2154" s="14"/>
      <c r="L2154" s="14"/>
      <c r="M2154" s="14"/>
    </row>
    <row r="2155" ht="18.75" customHeight="1">
      <c r="A2155" s="14"/>
      <c r="B2155" s="14"/>
      <c r="C2155" s="14"/>
      <c r="D2155" s="14"/>
      <c r="E2155" s="15"/>
      <c r="F2155" s="14"/>
      <c r="G2155" s="14"/>
      <c r="H2155" s="15"/>
      <c r="I2155" s="14"/>
      <c r="J2155" s="14"/>
      <c r="K2155" s="14"/>
      <c r="L2155" s="14"/>
      <c r="M2155" s="14"/>
    </row>
    <row r="2156" ht="18.75" customHeight="1">
      <c r="A2156" s="14"/>
      <c r="B2156" s="14"/>
      <c r="C2156" s="14"/>
      <c r="D2156" s="14"/>
      <c r="E2156" s="15"/>
      <c r="F2156" s="14"/>
      <c r="G2156" s="14"/>
      <c r="H2156" s="15"/>
      <c r="I2156" s="14"/>
      <c r="J2156" s="14"/>
      <c r="K2156" s="14"/>
      <c r="L2156" s="14"/>
      <c r="M2156" s="14"/>
    </row>
    <row r="2157" ht="18.75" customHeight="1">
      <c r="A2157" s="14"/>
      <c r="B2157" s="14"/>
      <c r="C2157" s="14"/>
      <c r="D2157" s="14"/>
      <c r="E2157" s="15"/>
      <c r="F2157" s="14"/>
      <c r="G2157" s="14"/>
      <c r="H2157" s="15"/>
      <c r="I2157" s="14"/>
      <c r="J2157" s="14"/>
      <c r="K2157" s="14"/>
      <c r="L2157" s="14"/>
      <c r="M2157" s="14"/>
    </row>
    <row r="2158" ht="18.75" customHeight="1">
      <c r="A2158" s="14"/>
      <c r="B2158" s="14"/>
      <c r="C2158" s="14"/>
      <c r="D2158" s="14"/>
      <c r="E2158" s="15"/>
      <c r="F2158" s="14"/>
      <c r="G2158" s="14"/>
      <c r="H2158" s="15"/>
      <c r="I2158" s="14"/>
      <c r="J2158" s="14"/>
      <c r="K2158" s="14"/>
      <c r="L2158" s="14"/>
      <c r="M2158" s="14"/>
    </row>
    <row r="2159" ht="18.75" customHeight="1">
      <c r="A2159" s="14"/>
      <c r="B2159" s="14"/>
      <c r="C2159" s="14"/>
      <c r="D2159" s="14"/>
      <c r="E2159" s="15"/>
      <c r="F2159" s="14"/>
      <c r="G2159" s="14"/>
      <c r="H2159" s="15"/>
      <c r="I2159" s="14"/>
      <c r="J2159" s="14"/>
      <c r="K2159" s="14"/>
      <c r="L2159" s="14"/>
      <c r="M2159" s="14"/>
    </row>
    <row r="2160" ht="18.75" customHeight="1">
      <c r="A2160" s="14"/>
      <c r="B2160" s="14"/>
      <c r="C2160" s="14"/>
      <c r="D2160" s="14"/>
      <c r="E2160" s="15"/>
      <c r="F2160" s="14"/>
      <c r="G2160" s="14"/>
      <c r="H2160" s="15"/>
      <c r="I2160" s="14"/>
      <c r="J2160" s="14"/>
      <c r="K2160" s="14"/>
      <c r="L2160" s="14"/>
      <c r="M2160" s="14"/>
    </row>
    <row r="2161" ht="18.75" customHeight="1">
      <c r="A2161" s="14"/>
      <c r="B2161" s="14"/>
      <c r="C2161" s="14"/>
      <c r="D2161" s="14"/>
      <c r="E2161" s="15"/>
      <c r="F2161" s="14"/>
      <c r="G2161" s="14"/>
      <c r="H2161" s="15"/>
      <c r="I2161" s="14"/>
      <c r="J2161" s="14"/>
      <c r="K2161" s="14"/>
      <c r="L2161" s="14"/>
      <c r="M2161" s="14"/>
    </row>
    <row r="2162" ht="18.75" customHeight="1">
      <c r="A2162" s="14"/>
      <c r="B2162" s="14"/>
      <c r="C2162" s="14"/>
      <c r="D2162" s="14"/>
      <c r="E2162" s="15"/>
      <c r="F2162" s="14"/>
      <c r="G2162" s="14"/>
      <c r="H2162" s="15"/>
      <c r="I2162" s="14"/>
      <c r="J2162" s="14"/>
      <c r="K2162" s="14"/>
      <c r="L2162" s="14"/>
      <c r="M2162" s="14"/>
    </row>
    <row r="2163" ht="18.75" customHeight="1">
      <c r="A2163" s="14"/>
      <c r="B2163" s="14"/>
      <c r="C2163" s="14"/>
      <c r="D2163" s="14"/>
      <c r="E2163" s="15"/>
      <c r="F2163" s="14"/>
      <c r="G2163" s="14"/>
      <c r="H2163" s="15"/>
      <c r="I2163" s="14"/>
      <c r="J2163" s="14"/>
      <c r="K2163" s="14"/>
      <c r="L2163" s="14"/>
      <c r="M2163" s="14"/>
    </row>
    <row r="2164" ht="18.75" customHeight="1">
      <c r="A2164" s="14"/>
      <c r="B2164" s="14"/>
      <c r="C2164" s="14"/>
      <c r="D2164" s="14"/>
      <c r="E2164" s="15"/>
      <c r="F2164" s="14"/>
      <c r="G2164" s="14"/>
      <c r="H2164" s="15"/>
      <c r="I2164" s="14"/>
      <c r="J2164" s="14"/>
      <c r="K2164" s="14"/>
      <c r="L2164" s="14"/>
      <c r="M2164" s="14"/>
    </row>
    <row r="2165" ht="18.75" customHeight="1">
      <c r="A2165" s="14"/>
      <c r="B2165" s="14"/>
      <c r="C2165" s="14"/>
      <c r="D2165" s="14"/>
      <c r="E2165" s="15"/>
      <c r="F2165" s="14"/>
      <c r="G2165" s="14"/>
      <c r="H2165" s="15"/>
      <c r="I2165" s="14"/>
      <c r="J2165" s="14"/>
      <c r="K2165" s="14"/>
      <c r="L2165" s="14"/>
      <c r="M2165" s="14"/>
    </row>
    <row r="2166" ht="18.75" customHeight="1">
      <c r="A2166" s="14"/>
      <c r="B2166" s="14"/>
      <c r="C2166" s="14"/>
      <c r="D2166" s="14"/>
      <c r="E2166" s="15"/>
      <c r="F2166" s="14"/>
      <c r="G2166" s="14"/>
      <c r="H2166" s="15"/>
      <c r="I2166" s="14"/>
      <c r="J2166" s="14"/>
      <c r="K2166" s="14"/>
      <c r="L2166" s="14"/>
      <c r="M2166" s="14"/>
    </row>
    <row r="2167" ht="18.75" customHeight="1">
      <c r="A2167" s="14"/>
      <c r="B2167" s="14"/>
      <c r="C2167" s="14"/>
      <c r="D2167" s="14"/>
      <c r="E2167" s="15"/>
      <c r="F2167" s="14"/>
      <c r="G2167" s="14"/>
      <c r="H2167" s="15"/>
      <c r="I2167" s="14"/>
      <c r="J2167" s="14"/>
      <c r="K2167" s="14"/>
      <c r="L2167" s="14"/>
      <c r="M2167" s="14"/>
    </row>
    <row r="2168" ht="18.75" customHeight="1">
      <c r="A2168" s="14"/>
      <c r="B2168" s="14"/>
      <c r="C2168" s="14"/>
      <c r="D2168" s="14"/>
      <c r="E2168" s="15"/>
      <c r="F2168" s="14"/>
      <c r="G2168" s="14"/>
      <c r="H2168" s="15"/>
      <c r="I2168" s="14"/>
      <c r="J2168" s="14"/>
      <c r="K2168" s="14"/>
      <c r="L2168" s="14"/>
      <c r="M2168" s="14"/>
    </row>
    <row r="2169" ht="18.75" customHeight="1">
      <c r="A2169" s="14"/>
      <c r="B2169" s="14"/>
      <c r="C2169" s="14"/>
      <c r="D2169" s="14"/>
      <c r="E2169" s="15"/>
      <c r="F2169" s="14"/>
      <c r="G2169" s="14"/>
      <c r="H2169" s="15"/>
      <c r="I2169" s="14"/>
      <c r="J2169" s="14"/>
      <c r="K2169" s="14"/>
      <c r="L2169" s="14"/>
      <c r="M2169" s="14"/>
    </row>
    <row r="2170" ht="18.75" customHeight="1">
      <c r="A2170" s="14"/>
      <c r="B2170" s="14"/>
      <c r="C2170" s="14"/>
      <c r="D2170" s="14"/>
      <c r="E2170" s="15"/>
      <c r="F2170" s="14"/>
      <c r="G2170" s="14"/>
      <c r="H2170" s="15"/>
      <c r="I2170" s="14"/>
      <c r="J2170" s="14"/>
      <c r="K2170" s="14"/>
      <c r="L2170" s="14"/>
      <c r="M2170" s="14"/>
    </row>
    <row r="2171" ht="18.75" customHeight="1">
      <c r="A2171" s="14"/>
      <c r="B2171" s="14"/>
      <c r="C2171" s="14"/>
      <c r="D2171" s="14"/>
      <c r="E2171" s="15"/>
      <c r="F2171" s="14"/>
      <c r="G2171" s="14"/>
      <c r="H2171" s="15"/>
      <c r="I2171" s="14"/>
      <c r="J2171" s="14"/>
      <c r="K2171" s="14"/>
      <c r="L2171" s="14"/>
      <c r="M2171" s="14"/>
    </row>
    <row r="2172" ht="18.75" customHeight="1">
      <c r="A2172" s="14"/>
      <c r="B2172" s="14"/>
      <c r="C2172" s="14"/>
      <c r="D2172" s="14"/>
      <c r="E2172" s="15"/>
      <c r="F2172" s="14"/>
      <c r="G2172" s="14"/>
      <c r="H2172" s="15"/>
      <c r="I2172" s="14"/>
      <c r="J2172" s="14"/>
      <c r="K2172" s="14"/>
      <c r="L2172" s="14"/>
      <c r="M2172" s="14"/>
    </row>
    <row r="2173" ht="18.75" customHeight="1">
      <c r="A2173" s="14"/>
      <c r="B2173" s="14"/>
      <c r="C2173" s="14"/>
      <c r="D2173" s="14"/>
      <c r="E2173" s="15"/>
      <c r="F2173" s="14"/>
      <c r="G2173" s="14"/>
      <c r="H2173" s="15"/>
      <c r="I2173" s="14"/>
      <c r="J2173" s="14"/>
      <c r="K2173" s="14"/>
      <c r="L2173" s="14"/>
      <c r="M2173" s="14"/>
    </row>
    <row r="2174" ht="18.75" customHeight="1">
      <c r="A2174" s="14"/>
      <c r="B2174" s="14"/>
      <c r="C2174" s="14"/>
      <c r="D2174" s="14"/>
      <c r="E2174" s="15"/>
      <c r="F2174" s="14"/>
      <c r="G2174" s="14"/>
      <c r="H2174" s="15"/>
      <c r="I2174" s="14"/>
      <c r="J2174" s="14"/>
      <c r="K2174" s="14"/>
      <c r="L2174" s="14"/>
      <c r="M2174" s="14"/>
    </row>
    <row r="2175" ht="18.75" customHeight="1">
      <c r="A2175" s="14"/>
      <c r="B2175" s="14"/>
      <c r="C2175" s="14"/>
      <c r="D2175" s="14"/>
      <c r="E2175" s="15"/>
      <c r="F2175" s="14"/>
      <c r="G2175" s="14"/>
      <c r="H2175" s="15"/>
      <c r="I2175" s="14"/>
      <c r="J2175" s="14"/>
      <c r="K2175" s="14"/>
      <c r="L2175" s="14"/>
      <c r="M2175" s="14"/>
    </row>
    <row r="2176" ht="18.75" customHeight="1">
      <c r="A2176" s="14"/>
      <c r="B2176" s="14"/>
      <c r="C2176" s="14"/>
      <c r="D2176" s="14"/>
      <c r="E2176" s="15"/>
      <c r="F2176" s="14"/>
      <c r="G2176" s="14"/>
      <c r="H2176" s="15"/>
      <c r="I2176" s="14"/>
      <c r="J2176" s="14"/>
      <c r="K2176" s="14"/>
      <c r="L2176" s="14"/>
      <c r="M2176" s="14"/>
    </row>
    <row r="2177" ht="18.75" customHeight="1">
      <c r="A2177" s="14"/>
      <c r="B2177" s="14"/>
      <c r="C2177" s="14"/>
      <c r="D2177" s="14"/>
      <c r="E2177" s="15"/>
      <c r="F2177" s="14"/>
      <c r="G2177" s="14"/>
      <c r="H2177" s="15"/>
      <c r="I2177" s="14"/>
      <c r="J2177" s="14"/>
      <c r="K2177" s="14"/>
      <c r="L2177" s="14"/>
      <c r="M2177" s="14"/>
    </row>
    <row r="2178" ht="18.75" customHeight="1">
      <c r="A2178" s="14"/>
      <c r="B2178" s="14"/>
      <c r="C2178" s="14"/>
      <c r="D2178" s="14"/>
      <c r="E2178" s="15"/>
      <c r="F2178" s="14"/>
      <c r="G2178" s="14"/>
      <c r="H2178" s="15"/>
      <c r="I2178" s="14"/>
      <c r="J2178" s="14"/>
      <c r="K2178" s="14"/>
      <c r="L2178" s="14"/>
      <c r="M2178" s="14"/>
    </row>
    <row r="2179" ht="18.75" customHeight="1">
      <c r="A2179" s="14"/>
      <c r="B2179" s="14"/>
      <c r="C2179" s="14"/>
      <c r="D2179" s="14"/>
      <c r="E2179" s="15"/>
      <c r="F2179" s="14"/>
      <c r="G2179" s="14"/>
      <c r="H2179" s="15"/>
      <c r="I2179" s="14"/>
      <c r="J2179" s="14"/>
      <c r="K2179" s="14"/>
      <c r="L2179" s="14"/>
      <c r="M2179" s="14"/>
    </row>
    <row r="2180" ht="18.75" customHeight="1">
      <c r="A2180" s="14"/>
      <c r="B2180" s="14"/>
      <c r="C2180" s="14"/>
      <c r="D2180" s="14"/>
      <c r="E2180" s="15"/>
      <c r="F2180" s="14"/>
      <c r="G2180" s="14"/>
      <c r="H2180" s="15"/>
      <c r="I2180" s="14"/>
      <c r="J2180" s="14"/>
      <c r="K2180" s="14"/>
      <c r="L2180" s="14"/>
      <c r="M2180" s="14"/>
    </row>
    <row r="2181" ht="18.75" customHeight="1">
      <c r="A2181" s="14"/>
      <c r="B2181" s="14"/>
      <c r="C2181" s="14"/>
      <c r="D2181" s="14"/>
      <c r="E2181" s="15"/>
      <c r="F2181" s="14"/>
      <c r="G2181" s="14"/>
      <c r="H2181" s="15"/>
      <c r="I2181" s="14"/>
      <c r="J2181" s="14"/>
      <c r="K2181" s="14"/>
      <c r="L2181" s="14"/>
      <c r="M2181" s="14"/>
    </row>
    <row r="2182" ht="18.75" customHeight="1">
      <c r="A2182" s="14"/>
      <c r="B2182" s="14"/>
      <c r="C2182" s="14"/>
      <c r="D2182" s="14"/>
      <c r="E2182" s="15"/>
      <c r="F2182" s="14"/>
      <c r="G2182" s="14"/>
      <c r="H2182" s="15"/>
      <c r="I2182" s="14"/>
      <c r="J2182" s="14"/>
      <c r="K2182" s="14"/>
      <c r="L2182" s="14"/>
      <c r="M2182" s="14"/>
    </row>
    <row r="2183" ht="18.75" customHeight="1">
      <c r="A2183" s="14"/>
      <c r="B2183" s="14"/>
      <c r="C2183" s="14"/>
      <c r="D2183" s="14"/>
      <c r="E2183" s="15"/>
      <c r="F2183" s="14"/>
      <c r="G2183" s="14"/>
      <c r="H2183" s="15"/>
      <c r="I2183" s="14"/>
      <c r="J2183" s="14"/>
      <c r="K2183" s="14"/>
      <c r="L2183" s="14"/>
      <c r="M2183" s="14"/>
    </row>
    <row r="2184" ht="18.75" customHeight="1">
      <c r="A2184" s="14"/>
      <c r="B2184" s="14"/>
      <c r="C2184" s="14"/>
      <c r="D2184" s="14"/>
      <c r="E2184" s="15"/>
      <c r="F2184" s="14"/>
      <c r="G2184" s="14"/>
      <c r="H2184" s="15"/>
      <c r="I2184" s="14"/>
      <c r="J2184" s="14"/>
      <c r="K2184" s="14"/>
      <c r="L2184" s="14"/>
      <c r="M2184" s="14"/>
    </row>
    <row r="2185" ht="18.75" customHeight="1">
      <c r="A2185" s="14"/>
      <c r="B2185" s="14"/>
      <c r="C2185" s="14"/>
      <c r="D2185" s="14"/>
      <c r="E2185" s="15"/>
      <c r="F2185" s="14"/>
      <c r="G2185" s="14"/>
      <c r="H2185" s="15"/>
      <c r="I2185" s="14"/>
      <c r="J2185" s="14"/>
      <c r="K2185" s="14"/>
      <c r="L2185" s="14"/>
      <c r="M2185" s="14"/>
    </row>
    <row r="2186" ht="18.75" customHeight="1">
      <c r="A2186" s="14"/>
      <c r="B2186" s="14"/>
      <c r="C2186" s="14"/>
      <c r="D2186" s="14"/>
      <c r="E2186" s="15"/>
      <c r="F2186" s="14"/>
      <c r="G2186" s="14"/>
      <c r="H2186" s="15"/>
      <c r="I2186" s="14"/>
      <c r="J2186" s="14"/>
      <c r="K2186" s="14"/>
      <c r="L2186" s="14"/>
      <c r="M2186" s="14"/>
    </row>
    <row r="2187" ht="18.75" customHeight="1">
      <c r="A2187" s="14"/>
      <c r="B2187" s="14"/>
      <c r="C2187" s="14"/>
      <c r="D2187" s="14"/>
      <c r="E2187" s="15"/>
      <c r="F2187" s="14"/>
      <c r="G2187" s="14"/>
      <c r="H2187" s="15"/>
      <c r="I2187" s="14"/>
      <c r="J2187" s="14"/>
      <c r="K2187" s="14"/>
      <c r="L2187" s="14"/>
      <c r="M2187" s="14"/>
    </row>
    <row r="2188" ht="18.75" customHeight="1">
      <c r="A2188" s="14"/>
      <c r="B2188" s="14"/>
      <c r="C2188" s="14"/>
      <c r="D2188" s="14"/>
      <c r="E2188" s="15"/>
      <c r="F2188" s="14"/>
      <c r="G2188" s="14"/>
      <c r="H2188" s="15"/>
      <c r="I2188" s="14"/>
      <c r="J2188" s="14"/>
      <c r="K2188" s="14"/>
      <c r="L2188" s="14"/>
      <c r="M2188" s="14"/>
    </row>
    <row r="2189" ht="18.75" customHeight="1">
      <c r="A2189" s="14"/>
      <c r="B2189" s="14"/>
      <c r="C2189" s="14"/>
      <c r="D2189" s="14"/>
      <c r="E2189" s="15"/>
      <c r="F2189" s="14"/>
      <c r="G2189" s="14"/>
      <c r="H2189" s="15"/>
      <c r="I2189" s="14"/>
      <c r="J2189" s="14"/>
      <c r="K2189" s="14"/>
      <c r="L2189" s="14"/>
      <c r="M2189" s="14"/>
    </row>
    <row r="2190" ht="18.75" customHeight="1">
      <c r="A2190" s="14"/>
      <c r="B2190" s="14"/>
      <c r="C2190" s="14"/>
      <c r="D2190" s="14"/>
      <c r="E2190" s="15"/>
      <c r="F2190" s="14"/>
      <c r="G2190" s="14"/>
      <c r="H2190" s="15"/>
      <c r="I2190" s="14"/>
      <c r="J2190" s="14"/>
      <c r="K2190" s="14"/>
      <c r="L2190" s="14"/>
      <c r="M2190" s="14"/>
    </row>
    <row r="2191" ht="18.75" customHeight="1">
      <c r="A2191" s="14"/>
      <c r="B2191" s="14"/>
      <c r="C2191" s="14"/>
      <c r="D2191" s="14"/>
      <c r="E2191" s="15"/>
      <c r="F2191" s="14"/>
      <c r="G2191" s="14"/>
      <c r="H2191" s="15"/>
      <c r="I2191" s="14"/>
      <c r="J2191" s="14"/>
      <c r="K2191" s="14"/>
      <c r="L2191" s="14"/>
      <c r="M2191" s="14"/>
    </row>
    <row r="2192" ht="18.75" customHeight="1">
      <c r="A2192" s="14"/>
      <c r="B2192" s="14"/>
      <c r="C2192" s="14"/>
      <c r="D2192" s="14"/>
      <c r="E2192" s="15"/>
      <c r="F2192" s="14"/>
      <c r="G2192" s="14"/>
      <c r="H2192" s="15"/>
      <c r="I2192" s="14"/>
      <c r="J2192" s="14"/>
      <c r="K2192" s="14"/>
      <c r="L2192" s="14"/>
      <c r="M2192" s="14"/>
    </row>
    <row r="2193" ht="18.75" customHeight="1">
      <c r="A2193" s="14"/>
      <c r="B2193" s="14"/>
      <c r="C2193" s="14"/>
      <c r="D2193" s="14"/>
      <c r="E2193" s="15"/>
      <c r="F2193" s="14"/>
      <c r="G2193" s="14"/>
      <c r="H2193" s="15"/>
      <c r="I2193" s="14"/>
      <c r="J2193" s="14"/>
      <c r="K2193" s="14"/>
      <c r="L2193" s="14"/>
      <c r="M2193" s="14"/>
    </row>
    <row r="2194" ht="18.75" customHeight="1">
      <c r="A2194" s="14"/>
      <c r="B2194" s="14"/>
      <c r="C2194" s="14"/>
      <c r="D2194" s="14"/>
      <c r="E2194" s="15"/>
      <c r="F2194" s="14"/>
      <c r="G2194" s="14"/>
      <c r="H2194" s="15"/>
      <c r="I2194" s="14"/>
      <c r="J2194" s="14"/>
      <c r="K2194" s="14"/>
      <c r="L2194" s="14"/>
      <c r="M2194" s="14"/>
    </row>
    <row r="2195" ht="18.75" customHeight="1">
      <c r="A2195" s="14"/>
      <c r="B2195" s="14"/>
      <c r="C2195" s="14"/>
      <c r="D2195" s="14"/>
      <c r="E2195" s="15"/>
      <c r="F2195" s="14"/>
      <c r="G2195" s="14"/>
      <c r="H2195" s="15"/>
      <c r="I2195" s="14"/>
      <c r="J2195" s="14"/>
      <c r="K2195" s="14"/>
      <c r="L2195" s="14"/>
      <c r="M2195" s="14"/>
    </row>
    <row r="2196" ht="18.75" customHeight="1">
      <c r="A2196" s="14"/>
      <c r="B2196" s="14"/>
      <c r="C2196" s="14"/>
      <c r="D2196" s="14"/>
      <c r="E2196" s="15"/>
      <c r="F2196" s="14"/>
      <c r="G2196" s="14"/>
      <c r="H2196" s="15"/>
      <c r="I2196" s="14"/>
      <c r="J2196" s="14"/>
      <c r="K2196" s="14"/>
      <c r="L2196" s="14"/>
      <c r="M2196" s="14"/>
    </row>
    <row r="2197" ht="18.75" customHeight="1">
      <c r="A2197" s="14"/>
      <c r="B2197" s="14"/>
      <c r="C2197" s="14"/>
      <c r="D2197" s="14"/>
      <c r="E2197" s="15"/>
      <c r="F2197" s="14"/>
      <c r="G2197" s="14"/>
      <c r="H2197" s="15"/>
      <c r="I2197" s="14"/>
      <c r="J2197" s="14"/>
      <c r="K2197" s="14"/>
      <c r="L2197" s="14"/>
      <c r="M2197" s="14"/>
    </row>
    <row r="2198" ht="18.75" customHeight="1">
      <c r="A2198" s="14"/>
      <c r="B2198" s="14"/>
      <c r="C2198" s="14"/>
      <c r="D2198" s="14"/>
      <c r="E2198" s="15"/>
      <c r="F2198" s="14"/>
      <c r="G2198" s="14"/>
      <c r="H2198" s="15"/>
      <c r="I2198" s="14"/>
      <c r="J2198" s="14"/>
      <c r="K2198" s="14"/>
      <c r="L2198" s="14"/>
      <c r="M2198" s="14"/>
    </row>
    <row r="2199" ht="18.75" customHeight="1">
      <c r="A2199" s="14"/>
      <c r="B2199" s="14"/>
      <c r="C2199" s="14"/>
      <c r="D2199" s="14"/>
      <c r="E2199" s="15"/>
      <c r="F2199" s="14"/>
      <c r="G2199" s="14"/>
      <c r="H2199" s="15"/>
      <c r="I2199" s="14"/>
      <c r="J2199" s="14"/>
      <c r="K2199" s="14"/>
      <c r="L2199" s="14"/>
      <c r="M2199" s="14"/>
    </row>
    <row r="2200" ht="18.75" customHeight="1">
      <c r="A2200" s="14"/>
      <c r="B2200" s="14"/>
      <c r="C2200" s="14"/>
      <c r="D2200" s="14"/>
      <c r="E2200" s="15"/>
      <c r="F2200" s="14"/>
      <c r="G2200" s="14"/>
      <c r="H2200" s="15"/>
      <c r="I2200" s="14"/>
      <c r="J2200" s="14"/>
      <c r="K2200" s="14"/>
      <c r="L2200" s="14"/>
      <c r="M2200" s="14"/>
    </row>
    <row r="2201" ht="18.75" customHeight="1">
      <c r="A2201" s="14"/>
      <c r="B2201" s="14"/>
      <c r="C2201" s="14"/>
      <c r="D2201" s="14"/>
      <c r="E2201" s="15"/>
      <c r="F2201" s="14"/>
      <c r="G2201" s="14"/>
      <c r="H2201" s="15"/>
      <c r="I2201" s="14"/>
      <c r="J2201" s="14"/>
      <c r="K2201" s="14"/>
      <c r="L2201" s="14"/>
      <c r="M2201" s="14"/>
    </row>
    <row r="2202" ht="18.75" customHeight="1">
      <c r="A2202" s="14"/>
      <c r="B2202" s="14"/>
      <c r="C2202" s="14"/>
      <c r="D2202" s="14"/>
      <c r="E2202" s="15"/>
      <c r="F2202" s="14"/>
      <c r="G2202" s="14"/>
      <c r="H2202" s="15"/>
      <c r="I2202" s="14"/>
      <c r="J2202" s="14"/>
      <c r="K2202" s="14"/>
      <c r="L2202" s="14"/>
      <c r="M2202" s="14"/>
    </row>
    <row r="2203" ht="18.75" customHeight="1">
      <c r="A2203" s="14"/>
      <c r="B2203" s="14"/>
      <c r="C2203" s="14"/>
      <c r="D2203" s="14"/>
      <c r="E2203" s="15"/>
      <c r="F2203" s="14"/>
      <c r="G2203" s="14"/>
      <c r="H2203" s="15"/>
      <c r="I2203" s="14"/>
      <c r="J2203" s="14"/>
      <c r="K2203" s="14"/>
      <c r="L2203" s="14"/>
      <c r="M2203" s="14"/>
    </row>
    <row r="2204" ht="18.75" customHeight="1">
      <c r="A2204" s="14"/>
      <c r="B2204" s="14"/>
      <c r="C2204" s="14"/>
      <c r="D2204" s="14"/>
      <c r="E2204" s="15"/>
      <c r="F2204" s="14"/>
      <c r="G2204" s="14"/>
      <c r="H2204" s="15"/>
      <c r="I2204" s="14"/>
      <c r="J2204" s="14"/>
      <c r="K2204" s="14"/>
      <c r="L2204" s="14"/>
      <c r="M2204" s="14"/>
    </row>
    <row r="2205" ht="18.75" customHeight="1">
      <c r="A2205" s="14"/>
      <c r="B2205" s="14"/>
      <c r="C2205" s="14"/>
      <c r="D2205" s="14"/>
      <c r="E2205" s="15"/>
      <c r="F2205" s="14"/>
      <c r="G2205" s="14"/>
      <c r="H2205" s="15"/>
      <c r="I2205" s="14"/>
      <c r="J2205" s="14"/>
      <c r="K2205" s="14"/>
      <c r="L2205" s="14"/>
      <c r="M2205" s="14"/>
    </row>
    <row r="2206" ht="18.75" customHeight="1">
      <c r="A2206" s="14"/>
      <c r="B2206" s="14"/>
      <c r="C2206" s="14"/>
      <c r="D2206" s="14"/>
      <c r="E2206" s="15"/>
      <c r="F2206" s="14"/>
      <c r="G2206" s="14"/>
      <c r="H2206" s="15"/>
      <c r="I2206" s="14"/>
      <c r="J2206" s="14"/>
      <c r="K2206" s="14"/>
      <c r="L2206" s="14"/>
      <c r="M2206" s="14"/>
    </row>
    <row r="2207" ht="18.75" customHeight="1">
      <c r="A2207" s="14"/>
      <c r="B2207" s="14"/>
      <c r="C2207" s="14"/>
      <c r="D2207" s="14"/>
      <c r="E2207" s="15"/>
      <c r="F2207" s="14"/>
      <c r="G2207" s="14"/>
      <c r="H2207" s="15"/>
      <c r="I2207" s="14"/>
      <c r="J2207" s="14"/>
      <c r="K2207" s="14"/>
      <c r="L2207" s="14"/>
      <c r="M2207" s="14"/>
    </row>
    <row r="2208" ht="18.75" customHeight="1">
      <c r="A2208" s="14"/>
      <c r="B2208" s="14"/>
      <c r="C2208" s="14"/>
      <c r="D2208" s="14"/>
      <c r="E2208" s="15"/>
      <c r="F2208" s="14"/>
      <c r="G2208" s="14"/>
      <c r="H2208" s="15"/>
      <c r="I2208" s="14"/>
      <c r="J2208" s="14"/>
      <c r="K2208" s="14"/>
      <c r="L2208" s="14"/>
      <c r="M2208" s="14"/>
    </row>
    <row r="2209" ht="18.75" customHeight="1">
      <c r="A2209" s="14"/>
      <c r="B2209" s="14"/>
      <c r="C2209" s="14"/>
      <c r="D2209" s="14"/>
      <c r="E2209" s="15"/>
      <c r="F2209" s="14"/>
      <c r="G2209" s="14"/>
      <c r="H2209" s="15"/>
      <c r="I2209" s="14"/>
      <c r="J2209" s="14"/>
      <c r="K2209" s="14"/>
      <c r="L2209" s="14"/>
      <c r="M2209" s="14"/>
    </row>
    <row r="2210" ht="18.75" customHeight="1">
      <c r="A2210" s="14"/>
      <c r="B2210" s="14"/>
      <c r="C2210" s="14"/>
      <c r="D2210" s="14"/>
      <c r="E2210" s="15"/>
      <c r="F2210" s="14"/>
      <c r="G2210" s="14"/>
      <c r="H2210" s="15"/>
      <c r="I2210" s="14"/>
      <c r="J2210" s="14"/>
      <c r="K2210" s="14"/>
      <c r="L2210" s="14"/>
      <c r="M2210" s="14"/>
    </row>
    <row r="2211" ht="18.75" customHeight="1">
      <c r="A2211" s="14"/>
      <c r="B2211" s="14"/>
      <c r="C2211" s="14"/>
      <c r="D2211" s="14"/>
      <c r="E2211" s="15"/>
      <c r="F2211" s="14"/>
      <c r="G2211" s="14"/>
      <c r="H2211" s="15"/>
      <c r="I2211" s="14"/>
      <c r="J2211" s="14"/>
      <c r="K2211" s="14"/>
      <c r="L2211" s="14"/>
      <c r="M2211" s="14"/>
    </row>
    <row r="2212" ht="18.75" customHeight="1">
      <c r="A2212" s="14"/>
      <c r="B2212" s="14"/>
      <c r="C2212" s="14"/>
      <c r="D2212" s="14"/>
      <c r="E2212" s="15"/>
      <c r="F2212" s="14"/>
      <c r="G2212" s="14"/>
      <c r="H2212" s="15"/>
      <c r="I2212" s="14"/>
      <c r="J2212" s="14"/>
      <c r="K2212" s="14"/>
      <c r="L2212" s="14"/>
      <c r="M2212" s="14"/>
    </row>
    <row r="2213" ht="18.75" customHeight="1">
      <c r="A2213" s="14"/>
      <c r="B2213" s="14"/>
      <c r="C2213" s="14"/>
      <c r="D2213" s="14"/>
      <c r="E2213" s="15"/>
      <c r="F2213" s="14"/>
      <c r="G2213" s="14"/>
      <c r="H2213" s="15"/>
      <c r="I2213" s="14"/>
      <c r="J2213" s="14"/>
      <c r="K2213" s="14"/>
      <c r="L2213" s="14"/>
      <c r="M2213" s="14"/>
    </row>
    <row r="2214" ht="18.75" customHeight="1">
      <c r="A2214" s="14"/>
      <c r="B2214" s="14"/>
      <c r="C2214" s="14"/>
      <c r="D2214" s="14"/>
      <c r="E2214" s="15"/>
      <c r="F2214" s="14"/>
      <c r="G2214" s="14"/>
      <c r="H2214" s="15"/>
      <c r="I2214" s="14"/>
      <c r="J2214" s="14"/>
      <c r="K2214" s="14"/>
      <c r="L2214" s="14"/>
      <c r="M2214" s="14"/>
    </row>
    <row r="2215" ht="18.75" customHeight="1">
      <c r="A2215" s="14"/>
      <c r="B2215" s="14"/>
      <c r="C2215" s="14"/>
      <c r="D2215" s="14"/>
      <c r="E2215" s="15"/>
      <c r="F2215" s="14"/>
      <c r="G2215" s="14"/>
      <c r="H2215" s="15"/>
      <c r="I2215" s="14"/>
      <c r="J2215" s="14"/>
      <c r="K2215" s="14"/>
      <c r="L2215" s="14"/>
      <c r="M2215" s="14"/>
    </row>
    <row r="2216" ht="18.75" customHeight="1">
      <c r="A2216" s="14"/>
      <c r="B2216" s="14"/>
      <c r="C2216" s="14"/>
      <c r="D2216" s="14"/>
      <c r="E2216" s="15"/>
      <c r="F2216" s="14"/>
      <c r="G2216" s="14"/>
      <c r="H2216" s="15"/>
      <c r="I2216" s="14"/>
      <c r="J2216" s="14"/>
      <c r="K2216" s="14"/>
      <c r="L2216" s="14"/>
      <c r="M2216" s="14"/>
    </row>
    <row r="2217" ht="18.75" customHeight="1">
      <c r="A2217" s="14"/>
      <c r="B2217" s="14"/>
      <c r="C2217" s="14"/>
      <c r="D2217" s="14"/>
      <c r="E2217" s="15"/>
      <c r="F2217" s="14"/>
      <c r="G2217" s="14"/>
      <c r="H2217" s="15"/>
      <c r="I2217" s="14"/>
      <c r="J2217" s="14"/>
      <c r="K2217" s="14"/>
      <c r="L2217" s="14"/>
      <c r="M2217" s="14"/>
    </row>
    <row r="2218" ht="18.75" customHeight="1">
      <c r="A2218" s="14"/>
      <c r="B2218" s="14"/>
      <c r="C2218" s="14"/>
      <c r="D2218" s="14"/>
      <c r="E2218" s="15"/>
      <c r="F2218" s="14"/>
      <c r="G2218" s="14"/>
      <c r="H2218" s="15"/>
      <c r="I2218" s="14"/>
      <c r="J2218" s="14"/>
      <c r="K2218" s="14"/>
      <c r="L2218" s="14"/>
      <c r="M2218" s="14"/>
    </row>
    <row r="2219" ht="18.75" customHeight="1">
      <c r="A2219" s="14"/>
      <c r="B2219" s="14"/>
      <c r="C2219" s="14"/>
      <c r="D2219" s="14"/>
      <c r="E2219" s="15"/>
      <c r="F2219" s="14"/>
      <c r="G2219" s="14"/>
      <c r="H2219" s="15"/>
      <c r="I2219" s="14"/>
      <c r="J2219" s="14"/>
      <c r="K2219" s="14"/>
      <c r="L2219" s="14"/>
      <c r="M2219" s="14"/>
    </row>
    <row r="2220" ht="18.75" customHeight="1">
      <c r="A2220" s="14"/>
      <c r="B2220" s="14"/>
      <c r="C2220" s="14"/>
      <c r="D2220" s="14"/>
      <c r="E2220" s="15"/>
      <c r="F2220" s="14"/>
      <c r="G2220" s="14"/>
      <c r="H2220" s="15"/>
      <c r="I2220" s="14"/>
      <c r="J2220" s="14"/>
      <c r="K2220" s="14"/>
      <c r="L2220" s="14"/>
      <c r="M2220" s="14"/>
    </row>
    <row r="2221" ht="18.75" customHeight="1">
      <c r="A2221" s="14"/>
      <c r="B2221" s="14"/>
      <c r="C2221" s="14"/>
      <c r="D2221" s="14"/>
      <c r="E2221" s="15"/>
      <c r="F2221" s="14"/>
      <c r="G2221" s="14"/>
      <c r="H2221" s="15"/>
      <c r="I2221" s="14"/>
      <c r="J2221" s="14"/>
      <c r="K2221" s="14"/>
      <c r="L2221" s="14"/>
      <c r="M2221" s="14"/>
    </row>
    <row r="2222" ht="18.75" customHeight="1">
      <c r="A2222" s="14"/>
      <c r="B2222" s="14"/>
      <c r="C2222" s="14"/>
      <c r="D2222" s="14"/>
      <c r="E2222" s="15"/>
      <c r="F2222" s="14"/>
      <c r="G2222" s="14"/>
      <c r="H2222" s="15"/>
      <c r="I2222" s="14"/>
      <c r="J2222" s="14"/>
      <c r="K2222" s="14"/>
      <c r="L2222" s="14"/>
      <c r="M2222" s="14"/>
    </row>
    <row r="2223" ht="18.75" customHeight="1">
      <c r="A2223" s="14"/>
      <c r="B2223" s="14"/>
      <c r="C2223" s="14"/>
      <c r="D2223" s="14"/>
      <c r="E2223" s="15"/>
      <c r="F2223" s="14"/>
      <c r="G2223" s="14"/>
      <c r="H2223" s="15"/>
      <c r="I2223" s="14"/>
      <c r="J2223" s="14"/>
      <c r="K2223" s="14"/>
      <c r="L2223" s="14"/>
      <c r="M2223" s="14"/>
    </row>
    <row r="2224" ht="18.75" customHeight="1">
      <c r="A2224" s="14"/>
      <c r="B2224" s="14"/>
      <c r="C2224" s="14"/>
      <c r="D2224" s="14"/>
      <c r="E2224" s="15"/>
      <c r="F2224" s="14"/>
      <c r="G2224" s="14"/>
      <c r="H2224" s="15"/>
      <c r="I2224" s="14"/>
      <c r="J2224" s="14"/>
      <c r="K2224" s="14"/>
      <c r="L2224" s="14"/>
      <c r="M2224" s="14"/>
    </row>
    <row r="2225" ht="18.75" customHeight="1">
      <c r="A2225" s="14"/>
      <c r="B2225" s="14"/>
      <c r="C2225" s="14"/>
      <c r="D2225" s="14"/>
      <c r="E2225" s="15"/>
      <c r="F2225" s="14"/>
      <c r="G2225" s="14"/>
      <c r="H2225" s="15"/>
      <c r="I2225" s="14"/>
      <c r="J2225" s="14"/>
      <c r="K2225" s="14"/>
      <c r="L2225" s="14"/>
      <c r="M2225" s="14"/>
    </row>
    <row r="2226" ht="18.75" customHeight="1">
      <c r="A2226" s="14"/>
      <c r="B2226" s="14"/>
      <c r="C2226" s="14"/>
      <c r="D2226" s="14"/>
      <c r="E2226" s="15"/>
      <c r="F2226" s="14"/>
      <c r="G2226" s="14"/>
      <c r="H2226" s="15"/>
      <c r="I2226" s="14"/>
      <c r="J2226" s="14"/>
      <c r="K2226" s="14"/>
      <c r="L2226" s="14"/>
      <c r="M2226" s="14"/>
    </row>
    <row r="2227" ht="18.75" customHeight="1">
      <c r="A2227" s="14"/>
      <c r="B2227" s="14"/>
      <c r="C2227" s="14"/>
      <c r="D2227" s="14"/>
      <c r="E2227" s="15"/>
      <c r="F2227" s="14"/>
      <c r="G2227" s="14"/>
      <c r="H2227" s="15"/>
      <c r="I2227" s="14"/>
      <c r="J2227" s="14"/>
      <c r="K2227" s="14"/>
      <c r="L2227" s="14"/>
      <c r="M2227" s="14"/>
    </row>
    <row r="2228" ht="18.75" customHeight="1">
      <c r="A2228" s="14"/>
      <c r="B2228" s="14"/>
      <c r="C2228" s="14"/>
      <c r="D2228" s="14"/>
      <c r="E2228" s="15"/>
      <c r="F2228" s="14"/>
      <c r="G2228" s="14"/>
      <c r="H2228" s="15"/>
      <c r="I2228" s="14"/>
      <c r="J2228" s="14"/>
      <c r="K2228" s="14"/>
      <c r="L2228" s="14"/>
      <c r="M2228" s="14"/>
    </row>
    <row r="2229" ht="18.75" customHeight="1">
      <c r="A2229" s="14"/>
      <c r="B2229" s="14"/>
      <c r="C2229" s="14"/>
      <c r="D2229" s="14"/>
      <c r="E2229" s="15"/>
      <c r="F2229" s="14"/>
      <c r="G2229" s="14"/>
      <c r="H2229" s="15"/>
      <c r="I2229" s="14"/>
      <c r="J2229" s="14"/>
      <c r="K2229" s="14"/>
      <c r="L2229" s="14"/>
      <c r="M2229" s="14"/>
    </row>
    <row r="2230" ht="18.75" customHeight="1">
      <c r="A2230" s="14"/>
      <c r="B2230" s="14"/>
      <c r="C2230" s="14"/>
      <c r="D2230" s="14"/>
      <c r="E2230" s="15"/>
      <c r="F2230" s="14"/>
      <c r="G2230" s="14"/>
      <c r="H2230" s="15"/>
      <c r="I2230" s="14"/>
      <c r="J2230" s="14"/>
      <c r="K2230" s="14"/>
      <c r="L2230" s="14"/>
      <c r="M2230" s="14"/>
    </row>
    <row r="2231" ht="18.75" customHeight="1">
      <c r="A2231" s="14"/>
      <c r="B2231" s="14"/>
      <c r="C2231" s="14"/>
      <c r="D2231" s="14"/>
      <c r="E2231" s="15"/>
      <c r="F2231" s="14"/>
      <c r="G2231" s="14"/>
      <c r="H2231" s="15"/>
      <c r="I2231" s="14"/>
      <c r="J2231" s="14"/>
      <c r="K2231" s="14"/>
      <c r="L2231" s="14"/>
      <c r="M2231" s="14"/>
    </row>
    <row r="2232" ht="18.75" customHeight="1">
      <c r="A2232" s="14"/>
      <c r="B2232" s="14"/>
      <c r="C2232" s="14"/>
      <c r="D2232" s="14"/>
      <c r="E2232" s="15"/>
      <c r="F2232" s="14"/>
      <c r="G2232" s="14"/>
      <c r="H2232" s="15"/>
      <c r="I2232" s="14"/>
      <c r="J2232" s="14"/>
      <c r="K2232" s="14"/>
      <c r="L2232" s="14"/>
      <c r="M2232" s="14"/>
    </row>
    <row r="2233" ht="18.75" customHeight="1">
      <c r="A2233" s="14"/>
      <c r="B2233" s="14"/>
      <c r="C2233" s="14"/>
      <c r="D2233" s="14"/>
      <c r="E2233" s="15"/>
      <c r="F2233" s="14"/>
      <c r="G2233" s="14"/>
      <c r="H2233" s="15"/>
      <c r="I2233" s="14"/>
      <c r="J2233" s="14"/>
      <c r="K2233" s="14"/>
      <c r="L2233" s="14"/>
      <c r="M2233" s="14"/>
    </row>
    <row r="2234" ht="18.75" customHeight="1">
      <c r="A2234" s="14"/>
      <c r="B2234" s="14"/>
      <c r="C2234" s="14"/>
      <c r="D2234" s="14"/>
      <c r="E2234" s="15"/>
      <c r="F2234" s="14"/>
      <c r="G2234" s="14"/>
      <c r="H2234" s="15"/>
      <c r="I2234" s="14"/>
      <c r="J2234" s="14"/>
      <c r="K2234" s="14"/>
      <c r="L2234" s="14"/>
      <c r="M2234" s="14"/>
    </row>
    <row r="2235" ht="18.75" customHeight="1">
      <c r="A2235" s="14"/>
      <c r="B2235" s="14"/>
      <c r="C2235" s="14"/>
      <c r="D2235" s="14"/>
      <c r="E2235" s="15"/>
      <c r="F2235" s="14"/>
      <c r="G2235" s="14"/>
      <c r="H2235" s="15"/>
      <c r="I2235" s="14"/>
      <c r="J2235" s="14"/>
      <c r="K2235" s="14"/>
      <c r="L2235" s="14"/>
      <c r="M2235" s="14"/>
    </row>
    <row r="2236" ht="18.75" customHeight="1">
      <c r="A2236" s="14"/>
      <c r="B2236" s="14"/>
      <c r="C2236" s="14"/>
      <c r="D2236" s="14"/>
      <c r="E2236" s="15"/>
      <c r="F2236" s="14"/>
      <c r="G2236" s="14"/>
      <c r="H2236" s="15"/>
      <c r="I2236" s="14"/>
      <c r="J2236" s="14"/>
      <c r="K2236" s="14"/>
      <c r="L2236" s="14"/>
      <c r="M2236" s="14"/>
    </row>
    <row r="2237" ht="18.75" customHeight="1">
      <c r="A2237" s="14"/>
      <c r="B2237" s="14"/>
      <c r="C2237" s="14"/>
      <c r="D2237" s="14"/>
      <c r="E2237" s="15"/>
      <c r="F2237" s="14"/>
      <c r="G2237" s="14"/>
      <c r="H2237" s="15"/>
      <c r="I2237" s="14"/>
      <c r="J2237" s="14"/>
      <c r="K2237" s="14"/>
      <c r="L2237" s="14"/>
      <c r="M2237" s="14"/>
    </row>
    <row r="2238" ht="18.75" customHeight="1">
      <c r="A2238" s="14"/>
      <c r="B2238" s="14"/>
      <c r="C2238" s="14"/>
      <c r="D2238" s="14"/>
      <c r="E2238" s="15"/>
      <c r="F2238" s="14"/>
      <c r="G2238" s="14"/>
      <c r="H2238" s="15"/>
      <c r="I2238" s="14"/>
      <c r="J2238" s="14"/>
      <c r="K2238" s="14"/>
      <c r="L2238" s="14"/>
      <c r="M2238" s="14"/>
    </row>
    <row r="2239" ht="18.75" customHeight="1">
      <c r="A2239" s="14"/>
      <c r="B2239" s="14"/>
      <c r="C2239" s="14"/>
      <c r="D2239" s="14"/>
      <c r="E2239" s="15"/>
      <c r="F2239" s="14"/>
      <c r="G2239" s="14"/>
      <c r="H2239" s="15"/>
      <c r="I2239" s="14"/>
      <c r="J2239" s="14"/>
      <c r="K2239" s="14"/>
      <c r="L2239" s="14"/>
      <c r="M2239" s="14"/>
    </row>
    <row r="2240" ht="18.75" customHeight="1">
      <c r="A2240" s="14"/>
      <c r="B2240" s="14"/>
      <c r="C2240" s="14"/>
      <c r="D2240" s="14"/>
      <c r="E2240" s="15"/>
      <c r="F2240" s="14"/>
      <c r="G2240" s="14"/>
      <c r="H2240" s="15"/>
      <c r="I2240" s="14"/>
      <c r="J2240" s="14"/>
      <c r="K2240" s="14"/>
      <c r="L2240" s="14"/>
      <c r="M2240" s="14"/>
    </row>
    <row r="2241" ht="18.75" customHeight="1">
      <c r="A2241" s="14"/>
      <c r="B2241" s="14"/>
      <c r="C2241" s="14"/>
      <c r="D2241" s="14"/>
      <c r="E2241" s="15"/>
      <c r="F2241" s="14"/>
      <c r="G2241" s="14"/>
      <c r="H2241" s="15"/>
      <c r="I2241" s="14"/>
      <c r="J2241" s="14"/>
      <c r="K2241" s="14"/>
      <c r="L2241" s="14"/>
      <c r="M2241" s="14"/>
    </row>
    <row r="2242" ht="18.75" customHeight="1">
      <c r="A2242" s="14"/>
      <c r="B2242" s="14"/>
      <c r="C2242" s="14"/>
      <c r="D2242" s="14"/>
      <c r="E2242" s="15"/>
      <c r="F2242" s="14"/>
      <c r="G2242" s="14"/>
      <c r="H2242" s="15"/>
      <c r="I2242" s="14"/>
      <c r="J2242" s="14"/>
      <c r="K2242" s="14"/>
      <c r="L2242" s="14"/>
      <c r="M2242" s="14"/>
    </row>
    <row r="2243" ht="18.75" customHeight="1">
      <c r="A2243" s="14"/>
      <c r="B2243" s="14"/>
      <c r="C2243" s="14"/>
      <c r="D2243" s="14"/>
      <c r="E2243" s="15"/>
      <c r="F2243" s="14"/>
      <c r="G2243" s="14"/>
      <c r="H2243" s="15"/>
      <c r="I2243" s="14"/>
      <c r="J2243" s="14"/>
      <c r="K2243" s="14"/>
      <c r="L2243" s="14"/>
      <c r="M2243" s="14"/>
    </row>
    <row r="2244" ht="18.75" customHeight="1">
      <c r="A2244" s="14"/>
      <c r="B2244" s="14"/>
      <c r="C2244" s="14"/>
      <c r="D2244" s="14"/>
      <c r="E2244" s="15"/>
      <c r="F2244" s="14"/>
      <c r="G2244" s="14"/>
      <c r="H2244" s="15"/>
      <c r="I2244" s="14"/>
      <c r="J2244" s="14"/>
      <c r="K2244" s="14"/>
      <c r="L2244" s="14"/>
      <c r="M2244" s="14"/>
    </row>
    <row r="2245" ht="18.75" customHeight="1">
      <c r="A2245" s="14"/>
      <c r="B2245" s="14"/>
      <c r="C2245" s="14"/>
      <c r="D2245" s="14"/>
      <c r="E2245" s="15"/>
      <c r="F2245" s="14"/>
      <c r="G2245" s="14"/>
      <c r="H2245" s="15"/>
      <c r="I2245" s="14"/>
      <c r="J2245" s="14"/>
      <c r="K2245" s="14"/>
      <c r="L2245" s="14"/>
      <c r="M2245" s="14"/>
    </row>
    <row r="2246" ht="18.75" customHeight="1">
      <c r="A2246" s="14"/>
      <c r="B2246" s="14"/>
      <c r="C2246" s="14"/>
      <c r="D2246" s="14"/>
      <c r="E2246" s="15"/>
      <c r="F2246" s="14"/>
      <c r="G2246" s="14"/>
      <c r="H2246" s="15"/>
      <c r="I2246" s="14"/>
      <c r="J2246" s="14"/>
      <c r="K2246" s="14"/>
      <c r="L2246" s="14"/>
      <c r="M2246" s="14"/>
    </row>
    <row r="2247" ht="18.75" customHeight="1">
      <c r="A2247" s="14"/>
      <c r="B2247" s="14"/>
      <c r="C2247" s="14"/>
      <c r="D2247" s="14"/>
      <c r="E2247" s="15"/>
      <c r="F2247" s="14"/>
      <c r="G2247" s="14"/>
      <c r="H2247" s="15"/>
      <c r="I2247" s="14"/>
      <c r="J2247" s="14"/>
      <c r="K2247" s="14"/>
      <c r="L2247" s="14"/>
      <c r="M2247" s="14"/>
    </row>
    <row r="2248" ht="18.75" customHeight="1">
      <c r="A2248" s="14"/>
      <c r="B2248" s="14"/>
      <c r="C2248" s="14"/>
      <c r="D2248" s="14"/>
      <c r="E2248" s="15"/>
      <c r="F2248" s="14"/>
      <c r="G2248" s="14"/>
      <c r="H2248" s="15"/>
      <c r="I2248" s="14"/>
      <c r="J2248" s="14"/>
      <c r="K2248" s="14"/>
      <c r="L2248" s="14"/>
      <c r="M2248" s="14"/>
    </row>
    <row r="2249" ht="18.75" customHeight="1">
      <c r="A2249" s="14"/>
      <c r="B2249" s="14"/>
      <c r="C2249" s="14"/>
      <c r="D2249" s="14"/>
      <c r="E2249" s="15"/>
      <c r="F2249" s="14"/>
      <c r="G2249" s="14"/>
      <c r="H2249" s="15"/>
      <c r="I2249" s="14"/>
      <c r="J2249" s="14"/>
      <c r="K2249" s="14"/>
      <c r="L2249" s="14"/>
      <c r="M2249" s="14"/>
    </row>
    <row r="2250" ht="18.75" customHeight="1">
      <c r="A2250" s="14"/>
      <c r="B2250" s="14"/>
      <c r="C2250" s="14"/>
      <c r="D2250" s="14"/>
      <c r="E2250" s="15"/>
      <c r="F2250" s="14"/>
      <c r="G2250" s="14"/>
      <c r="H2250" s="15"/>
      <c r="I2250" s="14"/>
      <c r="J2250" s="14"/>
      <c r="K2250" s="14"/>
      <c r="L2250" s="14"/>
      <c r="M2250" s="14"/>
    </row>
    <row r="2251" ht="18.75" customHeight="1">
      <c r="A2251" s="14"/>
      <c r="B2251" s="14"/>
      <c r="C2251" s="14"/>
      <c r="D2251" s="14"/>
      <c r="E2251" s="15"/>
      <c r="F2251" s="14"/>
      <c r="G2251" s="14"/>
      <c r="H2251" s="15"/>
      <c r="I2251" s="14"/>
      <c r="J2251" s="14"/>
      <c r="K2251" s="14"/>
      <c r="L2251" s="14"/>
      <c r="M2251" s="14"/>
    </row>
    <row r="2252" ht="18.75" customHeight="1">
      <c r="A2252" s="14"/>
      <c r="B2252" s="14"/>
      <c r="C2252" s="14"/>
      <c r="D2252" s="14"/>
      <c r="E2252" s="15"/>
      <c r="F2252" s="14"/>
      <c r="G2252" s="14"/>
      <c r="H2252" s="15"/>
      <c r="I2252" s="14"/>
      <c r="J2252" s="14"/>
      <c r="K2252" s="14"/>
      <c r="L2252" s="14"/>
      <c r="M2252" s="14"/>
    </row>
    <row r="2253" ht="18.75" customHeight="1">
      <c r="A2253" s="14"/>
      <c r="B2253" s="14"/>
      <c r="C2253" s="14"/>
      <c r="D2253" s="14"/>
      <c r="E2253" s="15"/>
      <c r="F2253" s="14"/>
      <c r="G2253" s="14"/>
      <c r="H2253" s="15"/>
      <c r="I2253" s="14"/>
      <c r="J2253" s="14"/>
      <c r="K2253" s="14"/>
      <c r="L2253" s="14"/>
      <c r="M2253" s="14"/>
    </row>
    <row r="2254" ht="18.75" customHeight="1">
      <c r="A2254" s="14"/>
      <c r="B2254" s="14"/>
      <c r="C2254" s="14"/>
      <c r="D2254" s="14"/>
      <c r="E2254" s="15"/>
      <c r="F2254" s="14"/>
      <c r="G2254" s="14"/>
      <c r="H2254" s="15"/>
      <c r="I2254" s="14"/>
      <c r="J2254" s="14"/>
      <c r="K2254" s="14"/>
      <c r="L2254" s="14"/>
      <c r="M2254" s="14"/>
    </row>
    <row r="2255" ht="18.75" customHeight="1">
      <c r="A2255" s="14"/>
      <c r="B2255" s="14"/>
      <c r="C2255" s="14"/>
      <c r="D2255" s="14"/>
      <c r="E2255" s="15"/>
      <c r="F2255" s="14"/>
      <c r="G2255" s="14"/>
      <c r="H2255" s="15"/>
      <c r="I2255" s="14"/>
      <c r="J2255" s="14"/>
      <c r="K2255" s="14"/>
      <c r="L2255" s="14"/>
      <c r="M2255" s="14"/>
    </row>
    <row r="2256" ht="18.75" customHeight="1">
      <c r="A2256" s="14"/>
      <c r="B2256" s="14"/>
      <c r="C2256" s="14"/>
      <c r="D2256" s="14"/>
      <c r="E2256" s="15"/>
      <c r="F2256" s="14"/>
      <c r="G2256" s="14"/>
      <c r="H2256" s="15"/>
      <c r="I2256" s="14"/>
      <c r="J2256" s="14"/>
      <c r="K2256" s="14"/>
      <c r="L2256" s="14"/>
      <c r="M2256" s="14"/>
    </row>
    <row r="2257" ht="18.75" customHeight="1">
      <c r="A2257" s="14"/>
      <c r="B2257" s="14"/>
      <c r="C2257" s="14"/>
      <c r="D2257" s="14"/>
      <c r="E2257" s="15"/>
      <c r="F2257" s="14"/>
      <c r="G2257" s="14"/>
      <c r="H2257" s="15"/>
      <c r="I2257" s="14"/>
      <c r="J2257" s="14"/>
      <c r="K2257" s="14"/>
      <c r="L2257" s="14"/>
      <c r="M2257" s="14"/>
    </row>
    <row r="2258" ht="18.75" customHeight="1">
      <c r="A2258" s="14"/>
      <c r="B2258" s="14"/>
      <c r="C2258" s="14"/>
      <c r="D2258" s="14"/>
      <c r="E2258" s="15"/>
      <c r="F2258" s="14"/>
      <c r="G2258" s="14"/>
      <c r="H2258" s="15"/>
      <c r="I2258" s="14"/>
      <c r="J2258" s="14"/>
      <c r="K2258" s="14"/>
      <c r="L2258" s="14"/>
      <c r="M2258" s="14"/>
    </row>
    <row r="2259" ht="18.75" customHeight="1">
      <c r="A2259" s="14"/>
      <c r="B2259" s="14"/>
      <c r="C2259" s="14"/>
      <c r="D2259" s="14"/>
      <c r="E2259" s="15"/>
      <c r="F2259" s="14"/>
      <c r="G2259" s="14"/>
      <c r="H2259" s="15"/>
      <c r="I2259" s="14"/>
      <c r="J2259" s="14"/>
      <c r="K2259" s="14"/>
      <c r="L2259" s="14"/>
      <c r="M2259" s="14"/>
    </row>
    <row r="2260" ht="18.75" customHeight="1">
      <c r="A2260" s="14"/>
      <c r="B2260" s="14"/>
      <c r="C2260" s="14"/>
      <c r="D2260" s="14"/>
      <c r="E2260" s="15"/>
      <c r="F2260" s="14"/>
      <c r="G2260" s="14"/>
      <c r="H2260" s="15"/>
      <c r="I2260" s="14"/>
      <c r="J2260" s="14"/>
      <c r="K2260" s="14"/>
      <c r="L2260" s="14"/>
      <c r="M2260" s="14"/>
    </row>
    <row r="2261" ht="18.75" customHeight="1">
      <c r="A2261" s="14"/>
      <c r="B2261" s="14"/>
      <c r="C2261" s="14"/>
      <c r="D2261" s="14"/>
      <c r="E2261" s="15"/>
      <c r="F2261" s="14"/>
      <c r="G2261" s="14"/>
      <c r="H2261" s="15"/>
      <c r="I2261" s="14"/>
      <c r="J2261" s="14"/>
      <c r="K2261" s="14"/>
      <c r="L2261" s="14"/>
      <c r="M2261" s="14"/>
    </row>
    <row r="2262" ht="18.75" customHeight="1">
      <c r="A2262" s="14"/>
      <c r="B2262" s="14"/>
      <c r="C2262" s="14"/>
      <c r="D2262" s="14"/>
      <c r="E2262" s="15"/>
      <c r="F2262" s="14"/>
      <c r="G2262" s="14"/>
      <c r="H2262" s="15"/>
      <c r="I2262" s="14"/>
      <c r="J2262" s="14"/>
      <c r="K2262" s="14"/>
      <c r="L2262" s="14"/>
      <c r="M2262" s="14"/>
    </row>
    <row r="2263" ht="18.75" customHeight="1">
      <c r="A2263" s="14"/>
      <c r="B2263" s="14"/>
      <c r="C2263" s="14"/>
      <c r="D2263" s="14"/>
      <c r="E2263" s="15"/>
      <c r="F2263" s="14"/>
      <c r="G2263" s="14"/>
      <c r="H2263" s="15"/>
      <c r="I2263" s="14"/>
      <c r="J2263" s="14"/>
      <c r="K2263" s="14"/>
      <c r="L2263" s="14"/>
      <c r="M2263" s="14"/>
    </row>
    <row r="2264" ht="18.75" customHeight="1">
      <c r="A2264" s="14"/>
      <c r="B2264" s="14"/>
      <c r="C2264" s="14"/>
      <c r="D2264" s="14"/>
      <c r="E2264" s="15"/>
      <c r="F2264" s="14"/>
      <c r="G2264" s="14"/>
      <c r="H2264" s="15"/>
      <c r="I2264" s="14"/>
      <c r="J2264" s="14"/>
      <c r="K2264" s="14"/>
      <c r="L2264" s="14"/>
      <c r="M2264" s="14"/>
    </row>
    <row r="2265" ht="18.75" customHeight="1">
      <c r="A2265" s="14"/>
      <c r="B2265" s="14"/>
      <c r="C2265" s="14"/>
      <c r="D2265" s="14"/>
      <c r="E2265" s="15"/>
      <c r="F2265" s="14"/>
      <c r="G2265" s="14"/>
      <c r="H2265" s="15"/>
      <c r="I2265" s="14"/>
      <c r="J2265" s="14"/>
      <c r="K2265" s="14"/>
      <c r="L2265" s="14"/>
      <c r="M2265" s="14"/>
    </row>
    <row r="2266" ht="18.75" customHeight="1">
      <c r="A2266" s="14"/>
      <c r="B2266" s="14"/>
      <c r="C2266" s="14"/>
      <c r="D2266" s="14"/>
      <c r="E2266" s="15"/>
      <c r="F2266" s="14"/>
      <c r="G2266" s="14"/>
      <c r="H2266" s="15"/>
      <c r="I2266" s="14"/>
      <c r="J2266" s="14"/>
      <c r="K2266" s="14"/>
      <c r="L2266" s="14"/>
      <c r="M2266" s="14"/>
    </row>
    <row r="2267" ht="18.75" customHeight="1">
      <c r="A2267" s="14"/>
      <c r="B2267" s="14"/>
      <c r="C2267" s="14"/>
      <c r="D2267" s="14"/>
      <c r="E2267" s="15"/>
      <c r="F2267" s="14"/>
      <c r="G2267" s="14"/>
      <c r="H2267" s="15"/>
      <c r="I2267" s="14"/>
      <c r="J2267" s="14"/>
      <c r="K2267" s="14"/>
      <c r="L2267" s="14"/>
      <c r="M2267" s="14"/>
    </row>
    <row r="2268" ht="18.75" customHeight="1">
      <c r="A2268" s="14"/>
      <c r="B2268" s="14"/>
      <c r="C2268" s="14"/>
      <c r="D2268" s="14"/>
      <c r="E2268" s="15"/>
      <c r="F2268" s="14"/>
      <c r="G2268" s="14"/>
      <c r="H2268" s="15"/>
      <c r="I2268" s="14"/>
      <c r="J2268" s="14"/>
      <c r="K2268" s="14"/>
      <c r="L2268" s="14"/>
      <c r="M2268" s="14"/>
    </row>
    <row r="2269" ht="18.75" customHeight="1">
      <c r="A2269" s="14"/>
      <c r="B2269" s="14"/>
      <c r="C2269" s="14"/>
      <c r="D2269" s="14"/>
      <c r="E2269" s="15"/>
      <c r="F2269" s="14"/>
      <c r="G2269" s="14"/>
      <c r="H2269" s="15"/>
      <c r="I2269" s="14"/>
      <c r="J2269" s="14"/>
      <c r="K2269" s="14"/>
      <c r="L2269" s="14"/>
      <c r="M2269" s="14"/>
    </row>
    <row r="2270" ht="18.75" customHeight="1">
      <c r="A2270" s="14"/>
      <c r="B2270" s="14"/>
      <c r="C2270" s="14"/>
      <c r="D2270" s="14"/>
      <c r="E2270" s="15"/>
      <c r="F2270" s="14"/>
      <c r="G2270" s="14"/>
      <c r="H2270" s="15"/>
      <c r="I2270" s="14"/>
      <c r="J2270" s="14"/>
      <c r="K2270" s="14"/>
      <c r="L2270" s="14"/>
      <c r="M2270" s="14"/>
    </row>
    <row r="2271" ht="18.75" customHeight="1">
      <c r="A2271" s="14"/>
      <c r="B2271" s="14"/>
      <c r="C2271" s="14"/>
      <c r="D2271" s="14"/>
      <c r="E2271" s="15"/>
      <c r="F2271" s="14"/>
      <c r="G2271" s="14"/>
      <c r="H2271" s="15"/>
      <c r="I2271" s="14"/>
      <c r="J2271" s="14"/>
      <c r="K2271" s="14"/>
      <c r="L2271" s="14"/>
      <c r="M2271" s="14"/>
    </row>
    <row r="2272" ht="18.75" customHeight="1">
      <c r="A2272" s="14"/>
      <c r="B2272" s="14"/>
      <c r="C2272" s="14"/>
      <c r="D2272" s="14"/>
      <c r="E2272" s="15"/>
      <c r="F2272" s="14"/>
      <c r="G2272" s="14"/>
      <c r="H2272" s="15"/>
      <c r="I2272" s="14"/>
      <c r="J2272" s="14"/>
      <c r="K2272" s="14"/>
      <c r="L2272" s="14"/>
      <c r="M2272" s="14"/>
    </row>
    <row r="2273" ht="18.75" customHeight="1">
      <c r="A2273" s="14"/>
      <c r="B2273" s="14"/>
      <c r="C2273" s="14"/>
      <c r="D2273" s="14"/>
      <c r="E2273" s="15"/>
      <c r="F2273" s="14"/>
      <c r="G2273" s="14"/>
      <c r="H2273" s="15"/>
      <c r="I2273" s="14"/>
      <c r="J2273" s="14"/>
      <c r="K2273" s="14"/>
      <c r="L2273" s="14"/>
      <c r="M2273" s="14"/>
    </row>
    <row r="2274" ht="18.75" customHeight="1">
      <c r="A2274" s="14"/>
      <c r="B2274" s="14"/>
      <c r="C2274" s="14"/>
      <c r="D2274" s="14"/>
      <c r="E2274" s="15"/>
      <c r="F2274" s="14"/>
      <c r="G2274" s="14"/>
      <c r="H2274" s="15"/>
      <c r="I2274" s="14"/>
      <c r="J2274" s="14"/>
      <c r="K2274" s="14"/>
      <c r="L2274" s="14"/>
      <c r="M2274" s="14"/>
    </row>
    <row r="2275" ht="18.75" customHeight="1">
      <c r="A2275" s="14"/>
      <c r="B2275" s="14"/>
      <c r="C2275" s="14"/>
      <c r="D2275" s="14"/>
      <c r="E2275" s="15"/>
      <c r="F2275" s="14"/>
      <c r="G2275" s="14"/>
      <c r="H2275" s="15"/>
      <c r="I2275" s="14"/>
      <c r="J2275" s="14"/>
      <c r="K2275" s="14"/>
      <c r="L2275" s="14"/>
      <c r="M2275" s="14"/>
    </row>
    <row r="2276" ht="18.75" customHeight="1">
      <c r="A2276" s="14"/>
      <c r="B2276" s="14"/>
      <c r="C2276" s="14"/>
      <c r="D2276" s="14"/>
      <c r="E2276" s="15"/>
      <c r="F2276" s="14"/>
      <c r="G2276" s="14"/>
      <c r="H2276" s="15"/>
      <c r="I2276" s="14"/>
      <c r="J2276" s="14"/>
      <c r="K2276" s="14"/>
      <c r="L2276" s="14"/>
      <c r="M2276" s="14"/>
    </row>
    <row r="2277" ht="18.75" customHeight="1">
      <c r="A2277" s="14"/>
      <c r="B2277" s="14"/>
      <c r="C2277" s="14"/>
      <c r="D2277" s="14"/>
      <c r="E2277" s="15"/>
      <c r="F2277" s="14"/>
      <c r="G2277" s="14"/>
      <c r="H2277" s="15"/>
      <c r="I2277" s="14"/>
      <c r="J2277" s="14"/>
      <c r="K2277" s="14"/>
      <c r="L2277" s="14"/>
      <c r="M2277" s="14"/>
    </row>
    <row r="2278" ht="18.75" customHeight="1">
      <c r="A2278" s="14"/>
      <c r="B2278" s="14"/>
      <c r="C2278" s="14"/>
      <c r="D2278" s="14"/>
      <c r="E2278" s="15"/>
      <c r="F2278" s="14"/>
      <c r="G2278" s="14"/>
      <c r="H2278" s="15"/>
      <c r="I2278" s="14"/>
      <c r="J2278" s="14"/>
      <c r="K2278" s="14"/>
      <c r="L2278" s="14"/>
      <c r="M2278" s="14"/>
    </row>
    <row r="2279" ht="18.75" customHeight="1">
      <c r="A2279" s="14"/>
      <c r="B2279" s="14"/>
      <c r="C2279" s="14"/>
      <c r="D2279" s="14"/>
      <c r="E2279" s="15"/>
      <c r="F2279" s="14"/>
      <c r="G2279" s="14"/>
      <c r="H2279" s="15"/>
      <c r="I2279" s="14"/>
      <c r="J2279" s="14"/>
      <c r="K2279" s="14"/>
      <c r="L2279" s="14"/>
      <c r="M2279" s="14"/>
    </row>
    <row r="2280" ht="18.75" customHeight="1">
      <c r="A2280" s="14"/>
      <c r="B2280" s="14"/>
      <c r="C2280" s="14"/>
      <c r="D2280" s="14"/>
      <c r="E2280" s="15"/>
      <c r="F2280" s="14"/>
      <c r="G2280" s="14"/>
      <c r="H2280" s="15"/>
      <c r="I2280" s="14"/>
      <c r="J2280" s="14"/>
      <c r="K2280" s="14"/>
      <c r="L2280" s="14"/>
      <c r="M2280" s="14"/>
    </row>
    <row r="2281" ht="18.75" customHeight="1">
      <c r="A2281" s="14"/>
      <c r="B2281" s="14"/>
      <c r="C2281" s="14"/>
      <c r="D2281" s="14"/>
      <c r="E2281" s="15"/>
      <c r="F2281" s="14"/>
      <c r="G2281" s="14"/>
      <c r="H2281" s="15"/>
      <c r="I2281" s="14"/>
      <c r="J2281" s="14"/>
      <c r="K2281" s="14"/>
      <c r="L2281" s="14"/>
      <c r="M2281" s="14"/>
    </row>
    <row r="2282" ht="18.75" customHeight="1">
      <c r="A2282" s="14"/>
      <c r="B2282" s="14"/>
      <c r="C2282" s="14"/>
      <c r="D2282" s="14"/>
      <c r="E2282" s="15"/>
      <c r="F2282" s="14"/>
      <c r="G2282" s="14"/>
      <c r="H2282" s="15"/>
      <c r="I2282" s="14"/>
      <c r="J2282" s="14"/>
      <c r="K2282" s="14"/>
      <c r="L2282" s="14"/>
      <c r="M2282" s="14"/>
    </row>
    <row r="2283" ht="18.75" customHeight="1">
      <c r="A2283" s="14"/>
      <c r="B2283" s="14"/>
      <c r="C2283" s="14"/>
      <c r="D2283" s="14"/>
      <c r="E2283" s="15"/>
      <c r="F2283" s="14"/>
      <c r="G2283" s="14"/>
      <c r="H2283" s="15"/>
      <c r="I2283" s="14"/>
      <c r="J2283" s="14"/>
      <c r="K2283" s="14"/>
      <c r="L2283" s="14"/>
      <c r="M2283" s="14"/>
    </row>
    <row r="2284" ht="18.75" customHeight="1">
      <c r="A2284" s="14"/>
      <c r="B2284" s="14"/>
      <c r="C2284" s="14"/>
      <c r="D2284" s="14"/>
      <c r="E2284" s="15"/>
      <c r="F2284" s="14"/>
      <c r="G2284" s="14"/>
      <c r="H2284" s="15"/>
      <c r="I2284" s="14"/>
      <c r="J2284" s="14"/>
      <c r="K2284" s="14"/>
      <c r="L2284" s="14"/>
      <c r="M2284" s="14"/>
    </row>
    <row r="2285" ht="18.75" customHeight="1">
      <c r="A2285" s="14"/>
      <c r="B2285" s="14"/>
      <c r="C2285" s="14"/>
      <c r="D2285" s="14"/>
      <c r="E2285" s="15"/>
      <c r="F2285" s="14"/>
      <c r="G2285" s="14"/>
      <c r="H2285" s="15"/>
      <c r="I2285" s="14"/>
      <c r="J2285" s="14"/>
      <c r="K2285" s="14"/>
      <c r="L2285" s="14"/>
      <c r="M2285" s="14"/>
    </row>
    <row r="2286" ht="18.75" customHeight="1">
      <c r="A2286" s="14"/>
      <c r="B2286" s="14"/>
      <c r="C2286" s="14"/>
      <c r="D2286" s="14"/>
      <c r="E2286" s="15"/>
      <c r="F2286" s="14"/>
      <c r="G2286" s="14"/>
      <c r="H2286" s="15"/>
      <c r="I2286" s="14"/>
      <c r="J2286" s="14"/>
      <c r="K2286" s="14"/>
      <c r="L2286" s="14"/>
      <c r="M2286" s="14"/>
    </row>
    <row r="2287" ht="18.75" customHeight="1">
      <c r="A2287" s="14"/>
      <c r="B2287" s="14"/>
      <c r="C2287" s="14"/>
      <c r="D2287" s="14"/>
      <c r="E2287" s="15"/>
      <c r="F2287" s="14"/>
      <c r="G2287" s="14"/>
      <c r="H2287" s="15"/>
      <c r="I2287" s="14"/>
      <c r="J2287" s="14"/>
      <c r="K2287" s="14"/>
      <c r="L2287" s="14"/>
      <c r="M2287" s="14"/>
    </row>
    <row r="2288" ht="18.75" customHeight="1">
      <c r="A2288" s="14"/>
      <c r="B2288" s="14"/>
      <c r="C2288" s="14"/>
      <c r="D2288" s="14"/>
      <c r="E2288" s="15"/>
      <c r="F2288" s="14"/>
      <c r="G2288" s="14"/>
      <c r="H2288" s="15"/>
      <c r="I2288" s="14"/>
      <c r="J2288" s="14"/>
      <c r="K2288" s="14"/>
      <c r="L2288" s="14"/>
      <c r="M2288" s="14"/>
    </row>
    <row r="2289" ht="18.75" customHeight="1">
      <c r="A2289" s="14"/>
      <c r="B2289" s="14"/>
      <c r="C2289" s="14"/>
      <c r="D2289" s="14"/>
      <c r="E2289" s="15"/>
      <c r="F2289" s="14"/>
      <c r="G2289" s="14"/>
      <c r="H2289" s="15"/>
      <c r="I2289" s="14"/>
      <c r="J2289" s="14"/>
      <c r="K2289" s="14"/>
      <c r="L2289" s="14"/>
      <c r="M2289" s="14"/>
    </row>
    <row r="2290" ht="18.75" customHeight="1">
      <c r="A2290" s="14"/>
      <c r="B2290" s="14"/>
      <c r="C2290" s="14"/>
      <c r="D2290" s="14"/>
      <c r="E2290" s="15"/>
      <c r="F2290" s="14"/>
      <c r="G2290" s="14"/>
      <c r="H2290" s="15"/>
      <c r="I2290" s="14"/>
      <c r="J2290" s="14"/>
      <c r="K2290" s="14"/>
      <c r="L2290" s="14"/>
      <c r="M2290" s="14"/>
    </row>
    <row r="2291" ht="18.75" customHeight="1">
      <c r="A2291" s="14"/>
      <c r="B2291" s="14"/>
      <c r="C2291" s="14"/>
      <c r="D2291" s="14"/>
      <c r="E2291" s="15"/>
      <c r="F2291" s="14"/>
      <c r="G2291" s="14"/>
      <c r="H2291" s="15"/>
      <c r="I2291" s="14"/>
      <c r="J2291" s="14"/>
      <c r="K2291" s="14"/>
      <c r="L2291" s="14"/>
      <c r="M2291" s="14"/>
    </row>
    <row r="2292" ht="18.75" customHeight="1">
      <c r="A2292" s="14"/>
      <c r="B2292" s="14"/>
      <c r="C2292" s="14"/>
      <c r="D2292" s="14"/>
      <c r="E2292" s="15"/>
      <c r="F2292" s="14"/>
      <c r="G2292" s="14"/>
      <c r="H2292" s="15"/>
      <c r="I2292" s="14"/>
      <c r="J2292" s="14"/>
      <c r="K2292" s="14"/>
      <c r="L2292" s="14"/>
      <c r="M2292" s="14"/>
    </row>
    <row r="2293" ht="18.75" customHeight="1">
      <c r="A2293" s="14"/>
      <c r="B2293" s="14"/>
      <c r="C2293" s="14"/>
      <c r="D2293" s="14"/>
      <c r="E2293" s="15"/>
      <c r="F2293" s="14"/>
      <c r="G2293" s="14"/>
      <c r="H2293" s="15"/>
      <c r="I2293" s="14"/>
      <c r="J2293" s="14"/>
      <c r="K2293" s="14"/>
      <c r="L2293" s="14"/>
      <c r="M2293" s="14"/>
    </row>
    <row r="2294" ht="18.75" customHeight="1">
      <c r="A2294" s="14"/>
      <c r="B2294" s="14"/>
      <c r="C2294" s="14"/>
      <c r="D2294" s="14"/>
      <c r="E2294" s="15"/>
      <c r="F2294" s="14"/>
      <c r="G2294" s="14"/>
      <c r="H2294" s="15"/>
      <c r="I2294" s="14"/>
      <c r="J2294" s="14"/>
      <c r="K2294" s="14"/>
      <c r="L2294" s="14"/>
      <c r="M2294" s="14"/>
    </row>
    <row r="2295" ht="18.75" customHeight="1">
      <c r="A2295" s="14"/>
      <c r="B2295" s="14"/>
      <c r="C2295" s="14"/>
      <c r="D2295" s="14"/>
      <c r="E2295" s="15"/>
      <c r="F2295" s="14"/>
      <c r="G2295" s="14"/>
      <c r="H2295" s="15"/>
      <c r="I2295" s="14"/>
      <c r="J2295" s="14"/>
      <c r="K2295" s="14"/>
      <c r="L2295" s="14"/>
      <c r="M2295" s="14"/>
    </row>
    <row r="2296" ht="18.75" customHeight="1">
      <c r="A2296" s="14"/>
      <c r="B2296" s="14"/>
      <c r="C2296" s="14"/>
      <c r="D2296" s="14"/>
      <c r="E2296" s="15"/>
      <c r="F2296" s="14"/>
      <c r="G2296" s="14"/>
      <c r="H2296" s="15"/>
      <c r="I2296" s="14"/>
      <c r="J2296" s="14"/>
      <c r="K2296" s="14"/>
      <c r="L2296" s="14"/>
      <c r="M2296" s="14"/>
    </row>
    <row r="2297" ht="18.75" customHeight="1">
      <c r="A2297" s="14"/>
      <c r="B2297" s="14"/>
      <c r="C2297" s="14"/>
      <c r="D2297" s="14"/>
      <c r="E2297" s="15"/>
      <c r="F2297" s="14"/>
      <c r="G2297" s="14"/>
      <c r="H2297" s="15"/>
      <c r="I2297" s="14"/>
      <c r="J2297" s="14"/>
      <c r="K2297" s="14"/>
      <c r="L2297" s="14"/>
      <c r="M2297" s="14"/>
    </row>
    <row r="2298" ht="18.75" customHeight="1">
      <c r="A2298" s="14"/>
      <c r="B2298" s="14"/>
      <c r="C2298" s="14"/>
      <c r="D2298" s="14"/>
      <c r="E2298" s="15"/>
      <c r="F2298" s="14"/>
      <c r="G2298" s="14"/>
      <c r="H2298" s="15"/>
      <c r="I2298" s="14"/>
      <c r="J2298" s="14"/>
      <c r="K2298" s="14"/>
      <c r="L2298" s="14"/>
      <c r="M2298" s="14"/>
    </row>
    <row r="2299" ht="18.75" customHeight="1">
      <c r="A2299" s="14"/>
      <c r="B2299" s="14"/>
      <c r="C2299" s="14"/>
      <c r="D2299" s="14"/>
      <c r="E2299" s="15"/>
      <c r="F2299" s="14"/>
      <c r="G2299" s="14"/>
      <c r="H2299" s="15"/>
      <c r="I2299" s="14"/>
      <c r="J2299" s="14"/>
      <c r="K2299" s="14"/>
      <c r="L2299" s="14"/>
      <c r="M2299" s="14"/>
    </row>
    <row r="2300" ht="18.75" customHeight="1">
      <c r="A2300" s="14"/>
      <c r="B2300" s="14"/>
      <c r="C2300" s="14"/>
      <c r="D2300" s="14"/>
      <c r="E2300" s="15"/>
      <c r="F2300" s="14"/>
      <c r="G2300" s="14"/>
      <c r="H2300" s="15"/>
      <c r="I2300" s="14"/>
      <c r="J2300" s="14"/>
      <c r="K2300" s="14"/>
      <c r="L2300" s="14"/>
      <c r="M2300" s="14"/>
    </row>
    <row r="2301" ht="18.75" customHeight="1">
      <c r="A2301" s="14"/>
      <c r="B2301" s="14"/>
      <c r="C2301" s="14"/>
      <c r="D2301" s="14"/>
      <c r="E2301" s="15"/>
      <c r="F2301" s="14"/>
      <c r="G2301" s="14"/>
      <c r="H2301" s="15"/>
      <c r="I2301" s="14"/>
      <c r="J2301" s="14"/>
      <c r="K2301" s="14"/>
      <c r="L2301" s="14"/>
      <c r="M2301" s="14"/>
    </row>
    <row r="2302" ht="18.75" customHeight="1">
      <c r="A2302" s="14"/>
      <c r="B2302" s="14"/>
      <c r="C2302" s="14"/>
      <c r="D2302" s="14"/>
      <c r="E2302" s="15"/>
      <c r="F2302" s="14"/>
      <c r="G2302" s="14"/>
      <c r="H2302" s="15"/>
      <c r="I2302" s="14"/>
      <c r="J2302" s="14"/>
      <c r="K2302" s="14"/>
      <c r="L2302" s="14"/>
      <c r="M2302" s="14"/>
    </row>
    <row r="2303" ht="18.75" customHeight="1">
      <c r="A2303" s="14"/>
      <c r="B2303" s="14"/>
      <c r="C2303" s="14"/>
      <c r="D2303" s="14"/>
      <c r="E2303" s="15"/>
      <c r="F2303" s="14"/>
      <c r="G2303" s="14"/>
      <c r="H2303" s="15"/>
      <c r="I2303" s="14"/>
      <c r="J2303" s="14"/>
      <c r="K2303" s="14"/>
      <c r="L2303" s="14"/>
      <c r="M2303" s="14"/>
    </row>
    <row r="2304" ht="18.75" customHeight="1">
      <c r="A2304" s="14"/>
      <c r="B2304" s="14"/>
      <c r="C2304" s="14"/>
      <c r="D2304" s="14"/>
      <c r="E2304" s="15"/>
      <c r="F2304" s="14"/>
      <c r="G2304" s="14"/>
      <c r="H2304" s="15"/>
      <c r="I2304" s="14"/>
      <c r="J2304" s="14"/>
      <c r="K2304" s="14"/>
      <c r="L2304" s="14"/>
      <c r="M2304" s="14"/>
    </row>
    <row r="2305" ht="18.75" customHeight="1">
      <c r="A2305" s="14"/>
      <c r="B2305" s="14"/>
      <c r="C2305" s="14"/>
      <c r="D2305" s="14"/>
      <c r="E2305" s="15"/>
      <c r="F2305" s="14"/>
      <c r="G2305" s="14"/>
      <c r="H2305" s="15"/>
      <c r="I2305" s="14"/>
      <c r="J2305" s="14"/>
      <c r="K2305" s="14"/>
      <c r="L2305" s="14"/>
      <c r="M2305" s="14"/>
    </row>
    <row r="2306" ht="18.75" customHeight="1">
      <c r="A2306" s="14"/>
      <c r="B2306" s="14"/>
      <c r="C2306" s="14"/>
      <c r="D2306" s="14"/>
      <c r="E2306" s="15"/>
      <c r="F2306" s="14"/>
      <c r="G2306" s="14"/>
      <c r="H2306" s="15"/>
      <c r="I2306" s="14"/>
      <c r="J2306" s="14"/>
      <c r="K2306" s="14"/>
      <c r="L2306" s="14"/>
      <c r="M2306" s="14"/>
    </row>
    <row r="2307" ht="18.75" customHeight="1">
      <c r="A2307" s="14"/>
      <c r="B2307" s="14"/>
      <c r="C2307" s="14"/>
      <c r="D2307" s="14"/>
      <c r="E2307" s="15"/>
      <c r="F2307" s="14"/>
      <c r="G2307" s="14"/>
      <c r="H2307" s="15"/>
      <c r="I2307" s="14"/>
      <c r="J2307" s="14"/>
      <c r="K2307" s="14"/>
      <c r="L2307" s="14"/>
      <c r="M2307" s="14"/>
    </row>
    <row r="2308" ht="18.75" customHeight="1">
      <c r="A2308" s="14"/>
      <c r="B2308" s="14"/>
      <c r="C2308" s="14"/>
      <c r="D2308" s="14"/>
      <c r="E2308" s="15"/>
      <c r="F2308" s="14"/>
      <c r="G2308" s="14"/>
      <c r="H2308" s="15"/>
      <c r="I2308" s="14"/>
      <c r="J2308" s="14"/>
      <c r="K2308" s="14"/>
      <c r="L2308" s="14"/>
      <c r="M2308" s="14"/>
    </row>
    <row r="2309" ht="18.75" customHeight="1">
      <c r="A2309" s="14"/>
      <c r="B2309" s="14"/>
      <c r="C2309" s="14"/>
      <c r="D2309" s="14"/>
      <c r="E2309" s="15"/>
      <c r="F2309" s="14"/>
      <c r="G2309" s="14"/>
      <c r="H2309" s="15"/>
      <c r="I2309" s="14"/>
      <c r="J2309" s="14"/>
      <c r="K2309" s="14"/>
      <c r="L2309" s="14"/>
      <c r="M2309" s="14"/>
    </row>
    <row r="2310" ht="18.75" customHeight="1">
      <c r="A2310" s="14"/>
      <c r="B2310" s="14"/>
      <c r="C2310" s="14"/>
      <c r="D2310" s="14"/>
      <c r="E2310" s="15"/>
      <c r="F2310" s="14"/>
      <c r="G2310" s="14"/>
      <c r="H2310" s="15"/>
      <c r="I2310" s="14"/>
      <c r="J2310" s="14"/>
      <c r="K2310" s="14"/>
      <c r="L2310" s="14"/>
      <c r="M2310" s="14"/>
    </row>
    <row r="2311" ht="18.75" customHeight="1">
      <c r="A2311" s="14"/>
      <c r="B2311" s="14"/>
      <c r="C2311" s="14"/>
      <c r="D2311" s="14"/>
      <c r="E2311" s="15"/>
      <c r="F2311" s="14"/>
      <c r="G2311" s="14"/>
      <c r="H2311" s="15"/>
      <c r="I2311" s="14"/>
      <c r="J2311" s="14"/>
      <c r="K2311" s="14"/>
      <c r="L2311" s="14"/>
      <c r="M2311" s="14"/>
    </row>
    <row r="2312" ht="18.75" customHeight="1">
      <c r="A2312" s="14"/>
      <c r="B2312" s="14"/>
      <c r="C2312" s="14"/>
      <c r="D2312" s="14"/>
      <c r="E2312" s="15"/>
      <c r="F2312" s="14"/>
      <c r="G2312" s="14"/>
      <c r="H2312" s="15"/>
      <c r="I2312" s="14"/>
      <c r="J2312" s="14"/>
      <c r="K2312" s="14"/>
      <c r="L2312" s="14"/>
      <c r="M2312" s="14"/>
    </row>
    <row r="2313" ht="18.75" customHeight="1">
      <c r="A2313" s="14"/>
      <c r="B2313" s="14"/>
      <c r="C2313" s="14"/>
      <c r="D2313" s="14"/>
      <c r="E2313" s="15"/>
      <c r="F2313" s="14"/>
      <c r="G2313" s="14"/>
      <c r="H2313" s="15"/>
      <c r="I2313" s="14"/>
      <c r="J2313" s="14"/>
      <c r="K2313" s="14"/>
      <c r="L2313" s="14"/>
      <c r="M2313" s="14"/>
    </row>
    <row r="2314" ht="18.75" customHeight="1">
      <c r="A2314" s="14"/>
      <c r="B2314" s="14"/>
      <c r="C2314" s="14"/>
      <c r="D2314" s="14"/>
      <c r="E2314" s="15"/>
      <c r="F2314" s="14"/>
      <c r="G2314" s="14"/>
      <c r="H2314" s="15"/>
      <c r="I2314" s="14"/>
      <c r="J2314" s="14"/>
      <c r="K2314" s="14"/>
      <c r="L2314" s="14"/>
      <c r="M2314" s="14"/>
    </row>
    <row r="2315" ht="18.75" customHeight="1">
      <c r="A2315" s="14"/>
      <c r="B2315" s="14"/>
      <c r="C2315" s="14"/>
      <c r="D2315" s="14"/>
      <c r="E2315" s="15"/>
      <c r="F2315" s="14"/>
      <c r="G2315" s="14"/>
      <c r="H2315" s="15"/>
      <c r="I2315" s="14"/>
      <c r="J2315" s="14"/>
      <c r="K2315" s="14"/>
      <c r="L2315" s="14"/>
      <c r="M2315" s="14"/>
    </row>
    <row r="2316" ht="18.75" customHeight="1">
      <c r="A2316" s="14"/>
      <c r="B2316" s="14"/>
      <c r="C2316" s="14"/>
      <c r="D2316" s="14"/>
      <c r="E2316" s="15"/>
      <c r="F2316" s="14"/>
      <c r="G2316" s="14"/>
      <c r="H2316" s="15"/>
      <c r="I2316" s="14"/>
      <c r="J2316" s="14"/>
      <c r="K2316" s="14"/>
      <c r="L2316" s="14"/>
      <c r="M2316" s="14"/>
    </row>
    <row r="2317" ht="18.75" customHeight="1">
      <c r="A2317" s="14"/>
      <c r="B2317" s="14"/>
      <c r="C2317" s="14"/>
      <c r="D2317" s="14"/>
      <c r="E2317" s="15"/>
      <c r="F2317" s="14"/>
      <c r="G2317" s="14"/>
      <c r="H2317" s="15"/>
      <c r="I2317" s="14"/>
      <c r="J2317" s="14"/>
      <c r="K2317" s="14"/>
      <c r="L2317" s="14"/>
      <c r="M2317" s="14"/>
    </row>
    <row r="2318" ht="18.75" customHeight="1">
      <c r="A2318" s="14"/>
      <c r="B2318" s="14"/>
      <c r="C2318" s="14"/>
      <c r="D2318" s="14"/>
      <c r="E2318" s="15"/>
      <c r="F2318" s="14"/>
      <c r="G2318" s="14"/>
      <c r="H2318" s="15"/>
      <c r="I2318" s="14"/>
      <c r="J2318" s="14"/>
      <c r="K2318" s="14"/>
      <c r="L2318" s="14"/>
      <c r="M2318" s="14"/>
    </row>
    <row r="2319" ht="18.75" customHeight="1">
      <c r="A2319" s="14"/>
      <c r="B2319" s="14"/>
      <c r="C2319" s="14"/>
      <c r="D2319" s="14"/>
      <c r="E2319" s="15"/>
      <c r="F2319" s="14"/>
      <c r="G2319" s="14"/>
      <c r="H2319" s="15"/>
      <c r="I2319" s="14"/>
      <c r="J2319" s="14"/>
      <c r="K2319" s="14"/>
      <c r="L2319" s="14"/>
      <c r="M2319" s="14"/>
    </row>
    <row r="2320" ht="18.75" customHeight="1">
      <c r="A2320" s="14"/>
      <c r="B2320" s="14"/>
      <c r="C2320" s="14"/>
      <c r="D2320" s="14"/>
      <c r="E2320" s="15"/>
      <c r="F2320" s="14"/>
      <c r="G2320" s="14"/>
      <c r="H2320" s="15"/>
      <c r="I2320" s="14"/>
      <c r="J2320" s="14"/>
      <c r="K2320" s="14"/>
      <c r="L2320" s="14"/>
      <c r="M2320" s="14"/>
    </row>
    <row r="2321" ht="18.75" customHeight="1">
      <c r="A2321" s="14"/>
      <c r="B2321" s="14"/>
      <c r="C2321" s="14"/>
      <c r="D2321" s="14"/>
      <c r="E2321" s="15"/>
      <c r="F2321" s="14"/>
      <c r="G2321" s="14"/>
      <c r="H2321" s="15"/>
      <c r="I2321" s="14"/>
      <c r="J2321" s="14"/>
      <c r="K2321" s="14"/>
      <c r="L2321" s="14"/>
      <c r="M2321" s="14"/>
    </row>
    <row r="2322" ht="18.75" customHeight="1">
      <c r="A2322" s="14"/>
      <c r="B2322" s="14"/>
      <c r="C2322" s="14"/>
      <c r="D2322" s="14"/>
      <c r="E2322" s="15"/>
      <c r="F2322" s="14"/>
      <c r="G2322" s="14"/>
      <c r="H2322" s="15"/>
      <c r="I2322" s="14"/>
      <c r="J2322" s="14"/>
      <c r="K2322" s="14"/>
      <c r="L2322" s="14"/>
      <c r="M2322" s="14"/>
    </row>
    <row r="2323" ht="18.75" customHeight="1">
      <c r="A2323" s="14"/>
      <c r="B2323" s="14"/>
      <c r="C2323" s="14"/>
      <c r="D2323" s="14"/>
      <c r="E2323" s="15"/>
      <c r="F2323" s="14"/>
      <c r="G2323" s="14"/>
      <c r="H2323" s="15"/>
      <c r="I2323" s="14"/>
      <c r="J2323" s="14"/>
      <c r="K2323" s="14"/>
      <c r="L2323" s="14"/>
      <c r="M2323" s="14"/>
    </row>
    <row r="2324" ht="18.75" customHeight="1">
      <c r="A2324" s="14"/>
      <c r="B2324" s="14"/>
      <c r="C2324" s="14"/>
      <c r="D2324" s="14"/>
      <c r="E2324" s="15"/>
      <c r="F2324" s="14"/>
      <c r="G2324" s="14"/>
      <c r="H2324" s="15"/>
      <c r="I2324" s="14"/>
      <c r="J2324" s="14"/>
      <c r="K2324" s="14"/>
      <c r="L2324" s="14"/>
      <c r="M2324" s="14"/>
    </row>
    <row r="2325" ht="18.75" customHeight="1">
      <c r="A2325" s="14"/>
      <c r="B2325" s="14"/>
      <c r="C2325" s="14"/>
      <c r="D2325" s="14"/>
      <c r="E2325" s="15"/>
      <c r="F2325" s="14"/>
      <c r="G2325" s="14"/>
      <c r="H2325" s="15"/>
      <c r="I2325" s="14"/>
      <c r="J2325" s="14"/>
      <c r="K2325" s="14"/>
      <c r="L2325" s="14"/>
      <c r="M2325" s="14"/>
    </row>
    <row r="2326" ht="18.75" customHeight="1">
      <c r="A2326" s="14"/>
      <c r="B2326" s="14"/>
      <c r="C2326" s="14"/>
      <c r="D2326" s="14"/>
      <c r="E2326" s="15"/>
      <c r="F2326" s="14"/>
      <c r="G2326" s="14"/>
      <c r="H2326" s="15"/>
      <c r="I2326" s="14"/>
      <c r="J2326" s="14"/>
      <c r="K2326" s="14"/>
      <c r="L2326" s="14"/>
      <c r="M2326" s="14"/>
    </row>
    <row r="2327" ht="18.75" customHeight="1">
      <c r="A2327" s="14"/>
      <c r="B2327" s="14"/>
      <c r="C2327" s="14"/>
      <c r="D2327" s="14"/>
      <c r="E2327" s="15"/>
      <c r="F2327" s="14"/>
      <c r="G2327" s="14"/>
      <c r="H2327" s="15"/>
      <c r="I2327" s="14"/>
      <c r="J2327" s="14"/>
      <c r="K2327" s="14"/>
      <c r="L2327" s="14"/>
      <c r="M2327" s="14"/>
    </row>
    <row r="2328" ht="18.75" customHeight="1">
      <c r="A2328" s="14"/>
      <c r="B2328" s="14"/>
      <c r="C2328" s="14"/>
      <c r="D2328" s="14"/>
      <c r="E2328" s="15"/>
      <c r="F2328" s="14"/>
      <c r="G2328" s="14"/>
      <c r="H2328" s="15"/>
      <c r="I2328" s="14"/>
      <c r="J2328" s="14"/>
      <c r="K2328" s="14"/>
      <c r="L2328" s="14"/>
      <c r="M2328" s="14"/>
    </row>
    <row r="2329" ht="18.75" customHeight="1">
      <c r="A2329" s="14"/>
      <c r="B2329" s="14"/>
      <c r="C2329" s="14"/>
      <c r="D2329" s="14"/>
      <c r="E2329" s="15"/>
      <c r="F2329" s="14"/>
      <c r="G2329" s="14"/>
      <c r="H2329" s="15"/>
      <c r="I2329" s="14"/>
      <c r="J2329" s="14"/>
      <c r="K2329" s="14"/>
      <c r="L2329" s="14"/>
      <c r="M2329" s="14"/>
    </row>
    <row r="2330" ht="18.75" customHeight="1">
      <c r="A2330" s="14"/>
      <c r="B2330" s="14"/>
      <c r="C2330" s="14"/>
      <c r="D2330" s="14"/>
      <c r="E2330" s="15"/>
      <c r="F2330" s="14"/>
      <c r="G2330" s="14"/>
      <c r="H2330" s="15"/>
      <c r="I2330" s="14"/>
      <c r="J2330" s="14"/>
      <c r="K2330" s="14"/>
      <c r="L2330" s="14"/>
      <c r="M2330" s="14"/>
    </row>
    <row r="2331" ht="18.75" customHeight="1">
      <c r="A2331" s="14"/>
      <c r="B2331" s="14"/>
      <c r="C2331" s="14"/>
      <c r="D2331" s="14"/>
      <c r="E2331" s="15"/>
      <c r="F2331" s="14"/>
      <c r="G2331" s="14"/>
      <c r="H2331" s="15"/>
      <c r="I2331" s="14"/>
      <c r="J2331" s="14"/>
      <c r="K2331" s="14"/>
      <c r="L2331" s="14"/>
      <c r="M2331" s="14"/>
    </row>
    <row r="2332" ht="18.75" customHeight="1">
      <c r="A2332" s="14"/>
      <c r="B2332" s="14"/>
      <c r="C2332" s="14"/>
      <c r="D2332" s="14"/>
      <c r="E2332" s="15"/>
      <c r="F2332" s="14"/>
      <c r="G2332" s="14"/>
      <c r="H2332" s="15"/>
      <c r="I2332" s="14"/>
      <c r="J2332" s="14"/>
      <c r="K2332" s="14"/>
      <c r="L2332" s="14"/>
      <c r="M2332" s="14"/>
    </row>
    <row r="2333" ht="18.75" customHeight="1">
      <c r="A2333" s="14"/>
      <c r="B2333" s="14"/>
      <c r="C2333" s="14"/>
      <c r="D2333" s="14"/>
      <c r="E2333" s="15"/>
      <c r="F2333" s="14"/>
      <c r="G2333" s="14"/>
      <c r="H2333" s="15"/>
      <c r="I2333" s="14"/>
      <c r="J2333" s="14"/>
      <c r="K2333" s="14"/>
      <c r="L2333" s="14"/>
      <c r="M2333" s="14"/>
    </row>
    <row r="2334" ht="18.75" customHeight="1">
      <c r="A2334" s="14"/>
      <c r="B2334" s="14"/>
      <c r="C2334" s="14"/>
      <c r="D2334" s="14"/>
      <c r="E2334" s="15"/>
      <c r="F2334" s="14"/>
      <c r="G2334" s="14"/>
      <c r="H2334" s="15"/>
      <c r="I2334" s="14"/>
      <c r="J2334" s="14"/>
      <c r="K2334" s="14"/>
      <c r="L2334" s="14"/>
      <c r="M2334" s="14"/>
    </row>
    <row r="2335" ht="18.75" customHeight="1">
      <c r="A2335" s="14"/>
      <c r="B2335" s="14"/>
      <c r="C2335" s="14"/>
      <c r="D2335" s="14"/>
      <c r="E2335" s="15"/>
      <c r="F2335" s="14"/>
      <c r="G2335" s="14"/>
      <c r="H2335" s="15"/>
      <c r="I2335" s="14"/>
      <c r="J2335" s="14"/>
      <c r="K2335" s="14"/>
      <c r="L2335" s="14"/>
      <c r="M2335" s="14"/>
    </row>
    <row r="2336" ht="18.75" customHeight="1">
      <c r="A2336" s="14"/>
      <c r="B2336" s="14"/>
      <c r="C2336" s="14"/>
      <c r="D2336" s="14"/>
      <c r="E2336" s="15"/>
      <c r="F2336" s="14"/>
      <c r="G2336" s="14"/>
      <c r="H2336" s="15"/>
      <c r="I2336" s="14"/>
      <c r="J2336" s="14"/>
      <c r="K2336" s="14"/>
      <c r="L2336" s="14"/>
      <c r="M2336" s="14"/>
    </row>
    <row r="2337" ht="18.75" customHeight="1">
      <c r="A2337" s="14"/>
      <c r="B2337" s="14"/>
      <c r="C2337" s="14"/>
      <c r="D2337" s="14"/>
      <c r="E2337" s="15"/>
      <c r="F2337" s="14"/>
      <c r="G2337" s="14"/>
      <c r="H2337" s="15"/>
      <c r="I2337" s="14"/>
      <c r="J2337" s="14"/>
      <c r="K2337" s="14"/>
      <c r="L2337" s="14"/>
      <c r="M2337" s="14"/>
    </row>
    <row r="2338" ht="18.75" customHeight="1">
      <c r="A2338" s="14"/>
      <c r="B2338" s="14"/>
      <c r="C2338" s="14"/>
      <c r="D2338" s="14"/>
      <c r="E2338" s="15"/>
      <c r="F2338" s="14"/>
      <c r="G2338" s="14"/>
      <c r="H2338" s="15"/>
      <c r="I2338" s="14"/>
      <c r="J2338" s="14"/>
      <c r="K2338" s="14"/>
      <c r="L2338" s="14"/>
      <c r="M2338" s="14"/>
    </row>
    <row r="2339" ht="18.75" customHeight="1">
      <c r="A2339" s="14"/>
      <c r="B2339" s="14"/>
      <c r="C2339" s="14"/>
      <c r="D2339" s="14"/>
      <c r="E2339" s="15"/>
      <c r="F2339" s="14"/>
      <c r="G2339" s="14"/>
      <c r="H2339" s="15"/>
      <c r="I2339" s="14"/>
      <c r="J2339" s="14"/>
      <c r="K2339" s="14"/>
      <c r="L2339" s="14"/>
      <c r="M2339" s="14"/>
    </row>
    <row r="2340" ht="18.75" customHeight="1">
      <c r="A2340" s="14"/>
      <c r="B2340" s="14"/>
      <c r="C2340" s="14"/>
      <c r="D2340" s="14"/>
      <c r="E2340" s="15"/>
      <c r="F2340" s="14"/>
      <c r="G2340" s="14"/>
      <c r="H2340" s="15"/>
      <c r="I2340" s="14"/>
      <c r="J2340" s="14"/>
      <c r="K2340" s="14"/>
      <c r="L2340" s="14"/>
      <c r="M2340" s="14"/>
    </row>
    <row r="2341" ht="18.75" customHeight="1">
      <c r="A2341" s="14"/>
      <c r="B2341" s="14"/>
      <c r="C2341" s="14"/>
      <c r="D2341" s="14"/>
      <c r="E2341" s="15"/>
      <c r="F2341" s="14"/>
      <c r="G2341" s="14"/>
      <c r="H2341" s="15"/>
      <c r="I2341" s="14"/>
      <c r="J2341" s="14"/>
      <c r="K2341" s="14"/>
      <c r="L2341" s="14"/>
      <c r="M2341" s="14"/>
    </row>
    <row r="2342" ht="18.75" customHeight="1">
      <c r="A2342" s="14"/>
      <c r="B2342" s="14"/>
      <c r="C2342" s="14"/>
      <c r="D2342" s="14"/>
      <c r="E2342" s="15"/>
      <c r="F2342" s="14"/>
      <c r="G2342" s="14"/>
      <c r="H2342" s="15"/>
      <c r="I2342" s="14"/>
      <c r="J2342" s="14"/>
      <c r="K2342" s="14"/>
      <c r="L2342" s="14"/>
      <c r="M2342" s="14"/>
    </row>
    <row r="2343" ht="18.75" customHeight="1">
      <c r="A2343" s="14"/>
      <c r="B2343" s="14"/>
      <c r="C2343" s="14"/>
      <c r="D2343" s="14"/>
      <c r="E2343" s="15"/>
      <c r="F2343" s="14"/>
      <c r="G2343" s="14"/>
      <c r="H2343" s="15"/>
      <c r="I2343" s="14"/>
      <c r="J2343" s="14"/>
      <c r="K2343" s="14"/>
      <c r="L2343" s="14"/>
      <c r="M2343" s="14"/>
    </row>
    <row r="2344" ht="18.75" customHeight="1">
      <c r="A2344" s="14"/>
      <c r="B2344" s="14"/>
      <c r="C2344" s="14"/>
      <c r="D2344" s="14"/>
      <c r="E2344" s="15"/>
      <c r="F2344" s="14"/>
      <c r="G2344" s="14"/>
      <c r="H2344" s="15"/>
      <c r="I2344" s="14"/>
      <c r="J2344" s="14"/>
      <c r="K2344" s="14"/>
      <c r="L2344" s="14"/>
      <c r="M2344" s="14"/>
    </row>
    <row r="2345" ht="18.75" customHeight="1">
      <c r="A2345" s="14"/>
      <c r="B2345" s="14"/>
      <c r="C2345" s="14"/>
      <c r="D2345" s="14"/>
      <c r="E2345" s="15"/>
      <c r="F2345" s="14"/>
      <c r="G2345" s="14"/>
      <c r="H2345" s="15"/>
      <c r="I2345" s="14"/>
      <c r="J2345" s="14"/>
      <c r="K2345" s="14"/>
      <c r="L2345" s="14"/>
      <c r="M2345" s="14"/>
    </row>
    <row r="2346" ht="18.75" customHeight="1">
      <c r="A2346" s="14"/>
      <c r="B2346" s="14"/>
      <c r="C2346" s="14"/>
      <c r="D2346" s="14"/>
      <c r="E2346" s="15"/>
      <c r="F2346" s="14"/>
      <c r="G2346" s="14"/>
      <c r="H2346" s="15"/>
      <c r="I2346" s="14"/>
      <c r="J2346" s="14"/>
      <c r="K2346" s="14"/>
      <c r="L2346" s="14"/>
      <c r="M2346" s="14"/>
    </row>
    <row r="2347" ht="18.75" customHeight="1">
      <c r="A2347" s="14"/>
      <c r="B2347" s="14"/>
      <c r="C2347" s="14"/>
      <c r="D2347" s="14"/>
      <c r="E2347" s="15"/>
      <c r="F2347" s="14"/>
      <c r="G2347" s="14"/>
      <c r="H2347" s="15"/>
      <c r="I2347" s="14"/>
      <c r="J2347" s="14"/>
      <c r="K2347" s="14"/>
      <c r="L2347" s="14"/>
      <c r="M2347" s="14"/>
    </row>
    <row r="2348" ht="18.75" customHeight="1">
      <c r="A2348" s="14"/>
      <c r="B2348" s="14"/>
      <c r="C2348" s="14"/>
      <c r="D2348" s="14"/>
      <c r="E2348" s="15"/>
      <c r="F2348" s="14"/>
      <c r="G2348" s="14"/>
      <c r="H2348" s="15"/>
      <c r="I2348" s="14"/>
      <c r="J2348" s="14"/>
      <c r="K2348" s="14"/>
      <c r="L2348" s="14"/>
      <c r="M2348" s="14"/>
    </row>
    <row r="2349" ht="18.75" customHeight="1">
      <c r="A2349" s="14"/>
      <c r="B2349" s="14"/>
      <c r="C2349" s="14"/>
      <c r="D2349" s="14"/>
      <c r="E2349" s="15"/>
      <c r="F2349" s="14"/>
      <c r="G2349" s="14"/>
      <c r="H2349" s="15"/>
      <c r="I2349" s="14"/>
      <c r="J2349" s="14"/>
      <c r="K2349" s="14"/>
      <c r="L2349" s="14"/>
      <c r="M2349" s="14"/>
    </row>
    <row r="2350" ht="18.75" customHeight="1">
      <c r="A2350" s="14"/>
      <c r="B2350" s="14"/>
      <c r="C2350" s="14"/>
      <c r="D2350" s="14"/>
      <c r="E2350" s="15"/>
      <c r="F2350" s="14"/>
      <c r="G2350" s="14"/>
      <c r="H2350" s="15"/>
      <c r="I2350" s="14"/>
      <c r="J2350" s="14"/>
      <c r="K2350" s="14"/>
      <c r="L2350" s="14"/>
      <c r="M2350" s="14"/>
    </row>
    <row r="2351" ht="18.75" customHeight="1">
      <c r="A2351" s="14"/>
      <c r="B2351" s="14"/>
      <c r="C2351" s="14"/>
      <c r="D2351" s="14"/>
      <c r="E2351" s="15"/>
      <c r="F2351" s="14"/>
      <c r="G2351" s="14"/>
      <c r="H2351" s="15"/>
      <c r="I2351" s="14"/>
      <c r="J2351" s="14"/>
      <c r="K2351" s="14"/>
      <c r="L2351" s="14"/>
      <c r="M2351" s="14"/>
    </row>
    <row r="2352" ht="18.75" customHeight="1">
      <c r="A2352" s="14"/>
      <c r="B2352" s="14"/>
      <c r="C2352" s="14"/>
      <c r="D2352" s="14"/>
      <c r="E2352" s="15"/>
      <c r="F2352" s="14"/>
      <c r="G2352" s="14"/>
      <c r="H2352" s="15"/>
      <c r="I2352" s="14"/>
      <c r="J2352" s="14"/>
      <c r="K2352" s="14"/>
      <c r="L2352" s="14"/>
      <c r="M2352" s="14"/>
    </row>
    <row r="2353" ht="18.75" customHeight="1">
      <c r="A2353" s="14"/>
      <c r="B2353" s="14"/>
      <c r="C2353" s="14"/>
      <c r="D2353" s="14"/>
      <c r="E2353" s="15"/>
      <c r="F2353" s="14"/>
      <c r="G2353" s="14"/>
      <c r="H2353" s="15"/>
      <c r="I2353" s="14"/>
      <c r="J2353" s="14"/>
      <c r="K2353" s="14"/>
      <c r="L2353" s="14"/>
      <c r="M2353" s="14"/>
    </row>
    <row r="2354" ht="18.75" customHeight="1">
      <c r="A2354" s="14"/>
      <c r="B2354" s="14"/>
      <c r="C2354" s="14"/>
      <c r="D2354" s="14"/>
      <c r="E2354" s="15"/>
      <c r="F2354" s="14"/>
      <c r="G2354" s="14"/>
      <c r="H2354" s="15"/>
      <c r="I2354" s="14"/>
      <c r="J2354" s="14"/>
      <c r="K2354" s="14"/>
      <c r="L2354" s="14"/>
      <c r="M2354" s="14"/>
    </row>
    <row r="2355" ht="18.75" customHeight="1">
      <c r="A2355" s="14"/>
      <c r="B2355" s="14"/>
      <c r="C2355" s="14"/>
      <c r="D2355" s="14"/>
      <c r="E2355" s="15"/>
      <c r="F2355" s="14"/>
      <c r="G2355" s="14"/>
      <c r="H2355" s="15"/>
      <c r="I2355" s="14"/>
      <c r="J2355" s="14"/>
      <c r="K2355" s="14"/>
      <c r="L2355" s="14"/>
      <c r="M2355" s="14"/>
    </row>
    <row r="2356" ht="18.75" customHeight="1">
      <c r="A2356" s="14"/>
      <c r="B2356" s="14"/>
      <c r="C2356" s="14"/>
      <c r="D2356" s="14"/>
      <c r="E2356" s="15"/>
      <c r="F2356" s="14"/>
      <c r="G2356" s="14"/>
      <c r="H2356" s="15"/>
      <c r="I2356" s="14"/>
      <c r="J2356" s="14"/>
      <c r="K2356" s="14"/>
      <c r="L2356" s="14"/>
      <c r="M2356" s="14"/>
    </row>
    <row r="2357" ht="18.75" customHeight="1">
      <c r="A2357" s="14"/>
      <c r="B2357" s="14"/>
      <c r="C2357" s="14"/>
      <c r="D2357" s="14"/>
      <c r="E2357" s="15"/>
      <c r="F2357" s="14"/>
      <c r="G2357" s="14"/>
      <c r="H2357" s="15"/>
      <c r="I2357" s="14"/>
      <c r="J2357" s="14"/>
      <c r="K2357" s="14"/>
      <c r="L2357" s="14"/>
      <c r="M2357" s="14"/>
    </row>
    <row r="2358" ht="18.75" customHeight="1">
      <c r="A2358" s="14"/>
      <c r="B2358" s="14"/>
      <c r="C2358" s="14"/>
      <c r="D2358" s="14"/>
      <c r="E2358" s="15"/>
      <c r="F2358" s="14"/>
      <c r="G2358" s="14"/>
      <c r="H2358" s="15"/>
      <c r="I2358" s="14"/>
      <c r="J2358" s="14"/>
      <c r="K2358" s="14"/>
      <c r="L2358" s="14"/>
      <c r="M2358" s="14"/>
    </row>
    <row r="2359" ht="18.75" customHeight="1">
      <c r="A2359" s="14"/>
      <c r="B2359" s="14"/>
      <c r="C2359" s="14"/>
      <c r="D2359" s="14"/>
      <c r="E2359" s="15"/>
      <c r="F2359" s="14"/>
      <c r="G2359" s="14"/>
      <c r="H2359" s="15"/>
      <c r="I2359" s="14"/>
      <c r="J2359" s="14"/>
      <c r="K2359" s="14"/>
      <c r="L2359" s="14"/>
      <c r="M2359" s="14"/>
    </row>
    <row r="2360" ht="18.75" customHeight="1">
      <c r="A2360" s="14"/>
      <c r="B2360" s="14"/>
      <c r="C2360" s="14"/>
      <c r="D2360" s="14"/>
      <c r="E2360" s="15"/>
      <c r="F2360" s="14"/>
      <c r="G2360" s="14"/>
      <c r="H2360" s="15"/>
      <c r="I2360" s="14"/>
      <c r="J2360" s="14"/>
      <c r="K2360" s="14"/>
      <c r="L2360" s="14"/>
      <c r="M2360" s="14"/>
    </row>
    <row r="2361" ht="18.75" customHeight="1">
      <c r="A2361" s="14"/>
      <c r="B2361" s="14"/>
      <c r="C2361" s="14"/>
      <c r="D2361" s="14"/>
      <c r="E2361" s="15"/>
      <c r="F2361" s="14"/>
      <c r="G2361" s="14"/>
      <c r="H2361" s="15"/>
      <c r="I2361" s="14"/>
      <c r="J2361" s="14"/>
      <c r="K2361" s="14"/>
      <c r="L2361" s="14"/>
      <c r="M2361" s="14"/>
    </row>
    <row r="2362" ht="18.75" customHeight="1">
      <c r="A2362" s="14"/>
      <c r="B2362" s="14"/>
      <c r="C2362" s="14"/>
      <c r="D2362" s="14"/>
      <c r="E2362" s="15"/>
      <c r="F2362" s="14"/>
      <c r="G2362" s="14"/>
      <c r="H2362" s="15"/>
      <c r="I2362" s="14"/>
      <c r="J2362" s="14"/>
      <c r="K2362" s="14"/>
      <c r="L2362" s="14"/>
      <c r="M2362" s="14"/>
    </row>
    <row r="2363" ht="18.75" customHeight="1">
      <c r="A2363" s="14"/>
      <c r="B2363" s="14"/>
      <c r="C2363" s="14"/>
      <c r="D2363" s="14"/>
      <c r="E2363" s="15"/>
      <c r="F2363" s="14"/>
      <c r="G2363" s="14"/>
      <c r="H2363" s="15"/>
      <c r="I2363" s="14"/>
      <c r="J2363" s="14"/>
      <c r="K2363" s="14"/>
      <c r="L2363" s="14"/>
      <c r="M2363" s="14"/>
    </row>
    <row r="2364" ht="18.75" customHeight="1">
      <c r="A2364" s="14"/>
      <c r="B2364" s="14"/>
      <c r="C2364" s="14"/>
      <c r="D2364" s="14"/>
      <c r="E2364" s="15"/>
      <c r="F2364" s="14"/>
      <c r="G2364" s="14"/>
      <c r="H2364" s="15"/>
      <c r="I2364" s="14"/>
      <c r="J2364" s="14"/>
      <c r="K2364" s="14"/>
      <c r="L2364" s="14"/>
      <c r="M2364" s="14"/>
    </row>
    <row r="2365" ht="18.75" customHeight="1">
      <c r="A2365" s="14"/>
      <c r="B2365" s="14"/>
      <c r="C2365" s="14"/>
      <c r="D2365" s="14"/>
      <c r="E2365" s="15"/>
      <c r="F2365" s="14"/>
      <c r="G2365" s="14"/>
      <c r="H2365" s="15"/>
      <c r="I2365" s="14"/>
      <c r="J2365" s="14"/>
      <c r="K2365" s="14"/>
      <c r="L2365" s="14"/>
      <c r="M2365" s="14"/>
    </row>
    <row r="2366" ht="18.75" customHeight="1">
      <c r="A2366" s="14"/>
      <c r="B2366" s="14"/>
      <c r="C2366" s="14"/>
      <c r="D2366" s="14"/>
      <c r="E2366" s="15"/>
      <c r="F2366" s="14"/>
      <c r="G2366" s="14"/>
      <c r="H2366" s="15"/>
      <c r="I2366" s="14"/>
      <c r="J2366" s="14"/>
      <c r="K2366" s="14"/>
      <c r="L2366" s="14"/>
      <c r="M2366" s="14"/>
    </row>
    <row r="2367" ht="18.75" customHeight="1">
      <c r="A2367" s="14"/>
      <c r="B2367" s="14"/>
      <c r="C2367" s="14"/>
      <c r="D2367" s="14"/>
      <c r="E2367" s="15"/>
      <c r="F2367" s="14"/>
      <c r="G2367" s="14"/>
      <c r="H2367" s="15"/>
      <c r="I2367" s="14"/>
      <c r="J2367" s="14"/>
      <c r="K2367" s="14"/>
      <c r="L2367" s="14"/>
      <c r="M2367" s="14"/>
    </row>
    <row r="2368" ht="18.75" customHeight="1">
      <c r="A2368" s="14"/>
      <c r="B2368" s="14"/>
      <c r="C2368" s="14"/>
      <c r="D2368" s="14"/>
      <c r="E2368" s="15"/>
      <c r="F2368" s="14"/>
      <c r="G2368" s="14"/>
      <c r="H2368" s="15"/>
      <c r="I2368" s="14"/>
      <c r="J2368" s="14"/>
      <c r="K2368" s="14"/>
      <c r="L2368" s="14"/>
      <c r="M2368" s="14"/>
    </row>
    <row r="2369" ht="18.75" customHeight="1">
      <c r="A2369" s="14"/>
      <c r="B2369" s="14"/>
      <c r="C2369" s="14"/>
      <c r="D2369" s="14"/>
      <c r="E2369" s="15"/>
      <c r="F2369" s="14"/>
      <c r="G2369" s="14"/>
      <c r="H2369" s="15"/>
      <c r="I2369" s="14"/>
      <c r="J2369" s="14"/>
      <c r="K2369" s="14"/>
      <c r="L2369" s="14"/>
      <c r="M2369" s="14"/>
    </row>
    <row r="2370" ht="18.75" customHeight="1">
      <c r="A2370" s="14"/>
      <c r="B2370" s="14"/>
      <c r="C2370" s="14"/>
      <c r="D2370" s="14"/>
      <c r="E2370" s="15"/>
      <c r="F2370" s="14"/>
      <c r="G2370" s="14"/>
      <c r="H2370" s="15"/>
      <c r="I2370" s="14"/>
      <c r="J2370" s="14"/>
      <c r="K2370" s="14"/>
      <c r="L2370" s="14"/>
      <c r="M2370" s="14"/>
    </row>
    <row r="2371" ht="18.75" customHeight="1">
      <c r="A2371" s="14"/>
      <c r="B2371" s="14"/>
      <c r="C2371" s="14"/>
      <c r="D2371" s="14"/>
      <c r="E2371" s="15"/>
      <c r="F2371" s="14"/>
      <c r="G2371" s="14"/>
      <c r="H2371" s="15"/>
      <c r="I2371" s="14"/>
      <c r="J2371" s="14"/>
      <c r="K2371" s="14"/>
      <c r="L2371" s="14"/>
      <c r="M2371" s="14"/>
    </row>
    <row r="2372" ht="18.75" customHeight="1">
      <c r="A2372" s="14"/>
      <c r="B2372" s="14"/>
      <c r="C2372" s="14"/>
      <c r="D2372" s="14"/>
      <c r="E2372" s="15"/>
      <c r="F2372" s="14"/>
      <c r="G2372" s="14"/>
      <c r="H2372" s="15"/>
      <c r="I2372" s="14"/>
      <c r="J2372" s="14"/>
      <c r="K2372" s="14"/>
      <c r="L2372" s="14"/>
      <c r="M2372" s="14"/>
    </row>
    <row r="2373" ht="18.75" customHeight="1">
      <c r="A2373" s="14"/>
      <c r="B2373" s="14"/>
      <c r="C2373" s="14"/>
      <c r="D2373" s="14"/>
      <c r="E2373" s="15"/>
      <c r="F2373" s="14"/>
      <c r="G2373" s="14"/>
      <c r="H2373" s="15"/>
      <c r="I2373" s="14"/>
      <c r="J2373" s="14"/>
      <c r="K2373" s="14"/>
      <c r="L2373" s="14"/>
      <c r="M2373" s="14"/>
    </row>
    <row r="2374" ht="18.75" customHeight="1">
      <c r="A2374" s="14"/>
      <c r="B2374" s="14"/>
      <c r="C2374" s="14"/>
      <c r="D2374" s="14"/>
      <c r="E2374" s="15"/>
      <c r="F2374" s="14"/>
      <c r="G2374" s="14"/>
      <c r="H2374" s="15"/>
      <c r="I2374" s="14"/>
      <c r="J2374" s="14"/>
      <c r="K2374" s="14"/>
      <c r="L2374" s="14"/>
      <c r="M2374" s="14"/>
    </row>
    <row r="2375" ht="18.75" customHeight="1">
      <c r="A2375" s="14"/>
      <c r="B2375" s="14"/>
      <c r="C2375" s="14"/>
      <c r="D2375" s="14"/>
      <c r="E2375" s="15"/>
      <c r="F2375" s="14"/>
      <c r="G2375" s="14"/>
      <c r="H2375" s="15"/>
      <c r="I2375" s="14"/>
      <c r="J2375" s="14"/>
      <c r="K2375" s="14"/>
      <c r="L2375" s="14"/>
      <c r="M2375" s="14"/>
    </row>
    <row r="2376" ht="18.75" customHeight="1">
      <c r="A2376" s="14"/>
      <c r="B2376" s="14"/>
      <c r="C2376" s="14"/>
      <c r="D2376" s="14"/>
      <c r="E2376" s="15"/>
      <c r="F2376" s="14"/>
      <c r="G2376" s="14"/>
      <c r="H2376" s="15"/>
      <c r="I2376" s="14"/>
      <c r="J2376" s="14"/>
      <c r="K2376" s="14"/>
      <c r="L2376" s="14"/>
      <c r="M2376" s="14"/>
    </row>
    <row r="2377" ht="18.75" customHeight="1">
      <c r="A2377" s="14"/>
      <c r="B2377" s="14"/>
      <c r="C2377" s="14"/>
      <c r="D2377" s="14"/>
      <c r="E2377" s="15"/>
      <c r="F2377" s="14"/>
      <c r="G2377" s="14"/>
      <c r="H2377" s="15"/>
      <c r="I2377" s="14"/>
      <c r="J2377" s="14"/>
      <c r="K2377" s="14"/>
      <c r="L2377" s="14"/>
      <c r="M2377" s="14"/>
    </row>
    <row r="2378" ht="18.75" customHeight="1">
      <c r="A2378" s="14"/>
      <c r="B2378" s="14"/>
      <c r="C2378" s="14"/>
      <c r="D2378" s="14"/>
      <c r="E2378" s="15"/>
      <c r="F2378" s="14"/>
      <c r="G2378" s="14"/>
      <c r="H2378" s="15"/>
      <c r="I2378" s="14"/>
      <c r="J2378" s="14"/>
      <c r="K2378" s="14"/>
      <c r="L2378" s="14"/>
      <c r="M2378" s="14"/>
    </row>
    <row r="2379" ht="18.75" customHeight="1">
      <c r="A2379" s="14"/>
      <c r="B2379" s="14"/>
      <c r="C2379" s="14"/>
      <c r="D2379" s="14"/>
      <c r="E2379" s="15"/>
      <c r="F2379" s="14"/>
      <c r="G2379" s="14"/>
      <c r="H2379" s="15"/>
      <c r="I2379" s="14"/>
      <c r="J2379" s="14"/>
      <c r="K2379" s="14"/>
      <c r="L2379" s="14"/>
      <c r="M2379" s="14"/>
    </row>
    <row r="2380" ht="18.75" customHeight="1">
      <c r="A2380" s="14"/>
      <c r="B2380" s="14"/>
      <c r="C2380" s="14"/>
      <c r="D2380" s="14"/>
      <c r="E2380" s="15"/>
      <c r="F2380" s="14"/>
      <c r="G2380" s="14"/>
      <c r="H2380" s="15"/>
      <c r="I2380" s="14"/>
      <c r="J2380" s="14"/>
      <c r="K2380" s="14"/>
      <c r="L2380" s="14"/>
      <c r="M2380" s="14"/>
    </row>
    <row r="2381" ht="18.75" customHeight="1">
      <c r="A2381" s="14"/>
      <c r="B2381" s="14"/>
      <c r="C2381" s="14"/>
      <c r="D2381" s="14"/>
      <c r="E2381" s="15"/>
      <c r="F2381" s="14"/>
      <c r="G2381" s="14"/>
      <c r="H2381" s="15"/>
      <c r="I2381" s="14"/>
      <c r="J2381" s="14"/>
      <c r="K2381" s="14"/>
      <c r="L2381" s="14"/>
      <c r="M2381" s="14"/>
    </row>
    <row r="2382" ht="18.75" customHeight="1">
      <c r="A2382" s="14"/>
      <c r="B2382" s="14"/>
      <c r="C2382" s="14"/>
      <c r="D2382" s="14"/>
      <c r="E2382" s="15"/>
      <c r="F2382" s="14"/>
      <c r="G2382" s="14"/>
      <c r="H2382" s="15"/>
      <c r="I2382" s="14"/>
      <c r="J2382" s="14"/>
      <c r="K2382" s="14"/>
      <c r="L2382" s="14"/>
      <c r="M2382" s="14"/>
    </row>
    <row r="2383" ht="18.75" customHeight="1">
      <c r="A2383" s="14"/>
      <c r="B2383" s="14"/>
      <c r="C2383" s="14"/>
      <c r="D2383" s="14"/>
      <c r="E2383" s="15"/>
      <c r="F2383" s="14"/>
      <c r="G2383" s="14"/>
      <c r="H2383" s="15"/>
      <c r="I2383" s="14"/>
      <c r="J2383" s="14"/>
      <c r="K2383" s="14"/>
      <c r="L2383" s="14"/>
      <c r="M2383" s="14"/>
    </row>
    <row r="2384" ht="18.75" customHeight="1">
      <c r="A2384" s="14"/>
      <c r="B2384" s="14"/>
      <c r="C2384" s="14"/>
      <c r="D2384" s="14"/>
      <c r="E2384" s="15"/>
      <c r="F2384" s="14"/>
      <c r="G2384" s="14"/>
      <c r="H2384" s="15"/>
      <c r="I2384" s="14"/>
      <c r="J2384" s="14"/>
      <c r="K2384" s="14"/>
      <c r="L2384" s="14"/>
      <c r="M2384" s="14"/>
    </row>
    <row r="2385" ht="18.75" customHeight="1">
      <c r="A2385" s="14"/>
      <c r="B2385" s="14"/>
      <c r="C2385" s="14"/>
      <c r="D2385" s="14"/>
      <c r="E2385" s="15"/>
      <c r="F2385" s="14"/>
      <c r="G2385" s="14"/>
      <c r="H2385" s="15"/>
      <c r="I2385" s="14"/>
      <c r="J2385" s="14"/>
      <c r="K2385" s="14"/>
      <c r="L2385" s="14"/>
      <c r="M2385" s="14"/>
    </row>
    <row r="2386" ht="18.75" customHeight="1">
      <c r="A2386" s="14"/>
      <c r="B2386" s="14"/>
      <c r="C2386" s="14"/>
      <c r="D2386" s="14"/>
      <c r="E2386" s="15"/>
      <c r="F2386" s="14"/>
      <c r="G2386" s="14"/>
      <c r="H2386" s="15"/>
      <c r="I2386" s="14"/>
      <c r="J2386" s="14"/>
      <c r="K2386" s="14"/>
      <c r="L2386" s="14"/>
      <c r="M2386" s="14"/>
    </row>
    <row r="2387" ht="18.75" customHeight="1">
      <c r="A2387" s="14"/>
      <c r="B2387" s="14"/>
      <c r="C2387" s="14"/>
      <c r="D2387" s="14"/>
      <c r="E2387" s="15"/>
      <c r="F2387" s="14"/>
      <c r="G2387" s="14"/>
      <c r="H2387" s="15"/>
      <c r="I2387" s="14"/>
      <c r="J2387" s="14"/>
      <c r="K2387" s="14"/>
      <c r="L2387" s="14"/>
      <c r="M2387" s="14"/>
    </row>
    <row r="2388" ht="18.75" customHeight="1">
      <c r="A2388" s="14"/>
      <c r="B2388" s="14"/>
      <c r="C2388" s="14"/>
      <c r="D2388" s="14"/>
      <c r="E2388" s="15"/>
      <c r="F2388" s="14"/>
      <c r="G2388" s="14"/>
      <c r="H2388" s="15"/>
      <c r="I2388" s="14"/>
      <c r="J2388" s="14"/>
      <c r="K2388" s="14"/>
      <c r="L2388" s="14"/>
      <c r="M2388" s="14"/>
    </row>
    <row r="2389" ht="18.75" customHeight="1">
      <c r="A2389" s="14"/>
      <c r="B2389" s="14"/>
      <c r="C2389" s="14"/>
      <c r="D2389" s="14"/>
      <c r="E2389" s="15"/>
      <c r="F2389" s="14"/>
      <c r="G2389" s="14"/>
      <c r="H2389" s="15"/>
      <c r="I2389" s="14"/>
      <c r="J2389" s="14"/>
      <c r="K2389" s="14"/>
      <c r="L2389" s="14"/>
      <c r="M2389" s="14"/>
    </row>
    <row r="2390" ht="18.75" customHeight="1">
      <c r="A2390" s="14"/>
      <c r="B2390" s="14"/>
      <c r="C2390" s="14"/>
      <c r="D2390" s="14"/>
      <c r="E2390" s="15"/>
      <c r="F2390" s="14"/>
      <c r="G2390" s="14"/>
      <c r="H2390" s="15"/>
      <c r="I2390" s="14"/>
      <c r="J2390" s="14"/>
      <c r="K2390" s="14"/>
      <c r="L2390" s="14"/>
      <c r="M2390" s="14"/>
    </row>
    <row r="2391" ht="18.75" customHeight="1">
      <c r="A2391" s="14"/>
      <c r="B2391" s="14"/>
      <c r="C2391" s="14"/>
      <c r="D2391" s="14"/>
      <c r="E2391" s="15"/>
      <c r="F2391" s="14"/>
      <c r="G2391" s="14"/>
      <c r="H2391" s="15"/>
      <c r="I2391" s="14"/>
      <c r="J2391" s="14"/>
      <c r="K2391" s="14"/>
      <c r="L2391" s="14"/>
      <c r="M2391" s="14"/>
    </row>
    <row r="2392" ht="18.75" customHeight="1">
      <c r="A2392" s="14"/>
      <c r="B2392" s="14"/>
      <c r="C2392" s="14"/>
      <c r="D2392" s="14"/>
      <c r="E2392" s="15"/>
      <c r="F2392" s="14"/>
      <c r="G2392" s="14"/>
      <c r="H2392" s="15"/>
      <c r="I2392" s="14"/>
      <c r="J2392" s="14"/>
      <c r="K2392" s="14"/>
      <c r="L2392" s="14"/>
      <c r="M2392" s="14"/>
    </row>
    <row r="2393" ht="18.75" customHeight="1">
      <c r="A2393" s="14"/>
      <c r="B2393" s="14"/>
      <c r="C2393" s="14"/>
      <c r="D2393" s="14"/>
      <c r="E2393" s="15"/>
      <c r="F2393" s="14"/>
      <c r="G2393" s="14"/>
      <c r="H2393" s="15"/>
      <c r="I2393" s="14"/>
      <c r="J2393" s="14"/>
      <c r="K2393" s="14"/>
      <c r="L2393" s="14"/>
      <c r="M2393" s="14"/>
    </row>
    <row r="2394" ht="18.75" customHeight="1">
      <c r="A2394" s="14"/>
      <c r="B2394" s="14"/>
      <c r="C2394" s="14"/>
      <c r="D2394" s="14"/>
      <c r="E2394" s="15"/>
      <c r="F2394" s="14"/>
      <c r="G2394" s="14"/>
      <c r="H2394" s="15"/>
      <c r="I2394" s="14"/>
      <c r="J2394" s="14"/>
      <c r="K2394" s="14"/>
      <c r="L2394" s="14"/>
      <c r="M2394" s="14"/>
    </row>
    <row r="2395" ht="18.75" customHeight="1">
      <c r="A2395" s="14"/>
      <c r="B2395" s="14"/>
      <c r="C2395" s="14"/>
      <c r="D2395" s="14"/>
      <c r="E2395" s="15"/>
      <c r="F2395" s="14"/>
      <c r="G2395" s="14"/>
      <c r="H2395" s="15"/>
      <c r="I2395" s="14"/>
      <c r="J2395" s="14"/>
      <c r="K2395" s="14"/>
      <c r="L2395" s="14"/>
      <c r="M2395" s="14"/>
    </row>
    <row r="2396" ht="18.75" customHeight="1">
      <c r="A2396" s="14"/>
      <c r="B2396" s="14"/>
      <c r="C2396" s="14"/>
      <c r="D2396" s="14"/>
      <c r="E2396" s="15"/>
      <c r="F2396" s="14"/>
      <c r="G2396" s="14"/>
      <c r="H2396" s="15"/>
      <c r="I2396" s="14"/>
      <c r="J2396" s="14"/>
      <c r="K2396" s="14"/>
      <c r="L2396" s="14"/>
      <c r="M2396" s="14"/>
    </row>
    <row r="2397" ht="18.75" customHeight="1">
      <c r="A2397" s="14"/>
      <c r="B2397" s="14"/>
      <c r="C2397" s="14"/>
      <c r="D2397" s="14"/>
      <c r="E2397" s="15"/>
      <c r="F2397" s="14"/>
      <c r="G2397" s="14"/>
      <c r="H2397" s="15"/>
      <c r="I2397" s="14"/>
      <c r="J2397" s="14"/>
      <c r="K2397" s="14"/>
      <c r="L2397" s="14"/>
      <c r="M2397" s="14"/>
    </row>
    <row r="2398" ht="18.75" customHeight="1">
      <c r="A2398" s="14"/>
      <c r="B2398" s="14"/>
      <c r="C2398" s="14"/>
      <c r="D2398" s="14"/>
      <c r="E2398" s="15"/>
      <c r="F2398" s="14"/>
      <c r="G2398" s="14"/>
      <c r="H2398" s="15"/>
      <c r="I2398" s="14"/>
      <c r="J2398" s="14"/>
      <c r="K2398" s="14"/>
      <c r="L2398" s="14"/>
      <c r="M2398" s="14"/>
    </row>
    <row r="2399" ht="18.75" customHeight="1">
      <c r="A2399" s="14"/>
      <c r="B2399" s="14"/>
      <c r="C2399" s="14"/>
      <c r="D2399" s="14"/>
      <c r="E2399" s="15"/>
      <c r="F2399" s="14"/>
      <c r="G2399" s="14"/>
      <c r="H2399" s="15"/>
      <c r="I2399" s="14"/>
      <c r="J2399" s="14"/>
      <c r="K2399" s="14"/>
      <c r="L2399" s="14"/>
      <c r="M2399" s="14"/>
    </row>
    <row r="2400" ht="18.75" customHeight="1">
      <c r="A2400" s="14"/>
      <c r="B2400" s="14"/>
      <c r="C2400" s="14"/>
      <c r="D2400" s="14"/>
      <c r="E2400" s="15"/>
      <c r="F2400" s="14"/>
      <c r="G2400" s="14"/>
      <c r="H2400" s="15"/>
      <c r="I2400" s="14"/>
      <c r="J2400" s="14"/>
      <c r="K2400" s="14"/>
      <c r="L2400" s="14"/>
      <c r="M2400" s="14"/>
    </row>
    <row r="2401" ht="18.75" customHeight="1">
      <c r="A2401" s="14"/>
      <c r="B2401" s="14"/>
      <c r="C2401" s="14"/>
      <c r="D2401" s="14"/>
      <c r="E2401" s="15"/>
      <c r="F2401" s="14"/>
      <c r="G2401" s="14"/>
      <c r="H2401" s="15"/>
      <c r="I2401" s="14"/>
      <c r="J2401" s="14"/>
      <c r="K2401" s="14"/>
      <c r="L2401" s="14"/>
      <c r="M2401" s="14"/>
    </row>
    <row r="2402" ht="18.75" customHeight="1">
      <c r="A2402" s="14"/>
      <c r="B2402" s="14"/>
      <c r="C2402" s="14"/>
      <c r="D2402" s="14"/>
      <c r="E2402" s="15"/>
      <c r="F2402" s="14"/>
      <c r="G2402" s="14"/>
      <c r="H2402" s="15"/>
      <c r="I2402" s="14"/>
      <c r="J2402" s="14"/>
      <c r="K2402" s="14"/>
      <c r="L2402" s="14"/>
      <c r="M2402" s="14"/>
    </row>
    <row r="2403" ht="18.75" customHeight="1">
      <c r="A2403" s="14"/>
      <c r="B2403" s="14"/>
      <c r="C2403" s="14"/>
      <c r="D2403" s="14"/>
      <c r="E2403" s="15"/>
      <c r="F2403" s="14"/>
      <c r="G2403" s="14"/>
      <c r="H2403" s="15"/>
      <c r="I2403" s="14"/>
      <c r="J2403" s="14"/>
      <c r="K2403" s="14"/>
      <c r="L2403" s="14"/>
      <c r="M2403" s="14"/>
    </row>
    <row r="2404" ht="18.75" customHeight="1">
      <c r="A2404" s="14"/>
      <c r="B2404" s="14"/>
      <c r="C2404" s="14"/>
      <c r="D2404" s="14"/>
      <c r="E2404" s="15"/>
      <c r="F2404" s="14"/>
      <c r="G2404" s="14"/>
      <c r="H2404" s="15"/>
      <c r="I2404" s="14"/>
      <c r="J2404" s="14"/>
      <c r="K2404" s="14"/>
      <c r="L2404" s="14"/>
      <c r="M2404" s="14"/>
    </row>
    <row r="2405" ht="18.75" customHeight="1">
      <c r="A2405" s="14"/>
      <c r="B2405" s="14"/>
      <c r="C2405" s="14"/>
      <c r="D2405" s="14"/>
      <c r="E2405" s="15"/>
      <c r="F2405" s="14"/>
      <c r="G2405" s="14"/>
      <c r="H2405" s="15"/>
      <c r="I2405" s="14"/>
      <c r="J2405" s="14"/>
      <c r="K2405" s="14"/>
      <c r="L2405" s="14"/>
      <c r="M2405" s="14"/>
    </row>
    <row r="2406" ht="18.75" customHeight="1">
      <c r="A2406" s="14"/>
      <c r="B2406" s="14"/>
      <c r="C2406" s="14"/>
      <c r="D2406" s="14"/>
      <c r="E2406" s="15"/>
      <c r="F2406" s="14"/>
      <c r="G2406" s="14"/>
      <c r="H2406" s="15"/>
      <c r="I2406" s="14"/>
      <c r="J2406" s="14"/>
      <c r="K2406" s="14"/>
      <c r="L2406" s="14"/>
      <c r="M2406" s="14"/>
    </row>
    <row r="2407" ht="18.75" customHeight="1">
      <c r="A2407" s="14"/>
      <c r="B2407" s="14"/>
      <c r="C2407" s="14"/>
      <c r="D2407" s="14"/>
      <c r="E2407" s="15"/>
      <c r="F2407" s="14"/>
      <c r="G2407" s="14"/>
      <c r="H2407" s="15"/>
      <c r="I2407" s="14"/>
      <c r="J2407" s="14"/>
      <c r="K2407" s="14"/>
      <c r="L2407" s="14"/>
      <c r="M2407" s="14"/>
    </row>
    <row r="2408" ht="18.75" customHeight="1">
      <c r="A2408" s="14"/>
      <c r="B2408" s="14"/>
      <c r="C2408" s="14"/>
      <c r="D2408" s="14"/>
      <c r="E2408" s="15"/>
      <c r="F2408" s="14"/>
      <c r="G2408" s="14"/>
      <c r="H2408" s="15"/>
      <c r="I2408" s="14"/>
      <c r="J2408" s="14"/>
      <c r="K2408" s="14"/>
      <c r="L2408" s="14"/>
      <c r="M2408" s="14"/>
    </row>
    <row r="2409" ht="18.75" customHeight="1">
      <c r="A2409" s="14"/>
      <c r="B2409" s="14"/>
      <c r="C2409" s="14"/>
      <c r="D2409" s="14"/>
      <c r="E2409" s="15"/>
      <c r="F2409" s="14"/>
      <c r="G2409" s="14"/>
      <c r="H2409" s="15"/>
      <c r="I2409" s="14"/>
      <c r="J2409" s="14"/>
      <c r="K2409" s="14"/>
      <c r="L2409" s="14"/>
      <c r="M2409" s="14"/>
    </row>
    <row r="2410" ht="18.75" customHeight="1">
      <c r="A2410" s="14"/>
      <c r="B2410" s="14"/>
      <c r="C2410" s="14"/>
      <c r="D2410" s="14"/>
      <c r="E2410" s="15"/>
      <c r="F2410" s="14"/>
      <c r="G2410" s="14"/>
      <c r="H2410" s="15"/>
      <c r="I2410" s="14"/>
      <c r="J2410" s="14"/>
      <c r="K2410" s="14"/>
      <c r="L2410" s="14"/>
      <c r="M2410" s="14"/>
    </row>
    <row r="2411" ht="18.75" customHeight="1">
      <c r="A2411" s="14"/>
      <c r="B2411" s="14"/>
      <c r="C2411" s="14"/>
      <c r="D2411" s="14"/>
      <c r="E2411" s="15"/>
      <c r="F2411" s="14"/>
      <c r="G2411" s="14"/>
      <c r="H2411" s="15"/>
      <c r="I2411" s="14"/>
      <c r="J2411" s="14"/>
      <c r="K2411" s="14"/>
      <c r="L2411" s="14"/>
      <c r="M2411" s="14"/>
    </row>
    <row r="2412" ht="18.75" customHeight="1">
      <c r="A2412" s="14"/>
      <c r="B2412" s="14"/>
      <c r="C2412" s="14"/>
      <c r="D2412" s="14"/>
      <c r="E2412" s="15"/>
      <c r="F2412" s="14"/>
      <c r="G2412" s="14"/>
      <c r="H2412" s="15"/>
      <c r="I2412" s="14"/>
      <c r="J2412" s="14"/>
      <c r="K2412" s="14"/>
      <c r="L2412" s="14"/>
      <c r="M2412" s="14"/>
    </row>
    <row r="2413" ht="18.75" customHeight="1">
      <c r="A2413" s="14"/>
      <c r="B2413" s="14"/>
      <c r="C2413" s="14"/>
      <c r="D2413" s="14"/>
      <c r="E2413" s="15"/>
      <c r="F2413" s="14"/>
      <c r="G2413" s="14"/>
      <c r="H2413" s="15"/>
      <c r="I2413" s="14"/>
      <c r="J2413" s="14"/>
      <c r="K2413" s="14"/>
      <c r="L2413" s="14"/>
      <c r="M2413" s="14"/>
    </row>
    <row r="2414" ht="18.75" customHeight="1">
      <c r="A2414" s="14"/>
      <c r="B2414" s="14"/>
      <c r="C2414" s="14"/>
      <c r="D2414" s="14"/>
      <c r="E2414" s="15"/>
      <c r="F2414" s="14"/>
      <c r="G2414" s="14"/>
      <c r="H2414" s="15"/>
      <c r="I2414" s="14"/>
      <c r="J2414" s="14"/>
      <c r="K2414" s="14"/>
      <c r="L2414" s="14"/>
      <c r="M2414" s="14"/>
    </row>
    <row r="2415" ht="18.75" customHeight="1">
      <c r="A2415" s="14"/>
      <c r="B2415" s="14"/>
      <c r="C2415" s="14"/>
      <c r="D2415" s="14"/>
      <c r="E2415" s="15"/>
      <c r="F2415" s="14"/>
      <c r="G2415" s="14"/>
      <c r="H2415" s="15"/>
      <c r="I2415" s="14"/>
      <c r="J2415" s="14"/>
      <c r="K2415" s="14"/>
      <c r="L2415" s="14"/>
      <c r="M2415" s="14"/>
    </row>
    <row r="2416" ht="18.75" customHeight="1">
      <c r="A2416" s="14"/>
      <c r="B2416" s="14"/>
      <c r="C2416" s="14"/>
      <c r="D2416" s="14"/>
      <c r="E2416" s="15"/>
      <c r="F2416" s="14"/>
      <c r="G2416" s="14"/>
      <c r="H2416" s="15"/>
      <c r="I2416" s="14"/>
      <c r="J2416" s="14"/>
      <c r="K2416" s="14"/>
      <c r="L2416" s="14"/>
      <c r="M2416" s="14"/>
    </row>
    <row r="2417" ht="18.75" customHeight="1">
      <c r="A2417" s="14"/>
      <c r="B2417" s="14"/>
      <c r="C2417" s="14"/>
      <c r="D2417" s="14"/>
      <c r="E2417" s="15"/>
      <c r="F2417" s="14"/>
      <c r="G2417" s="14"/>
      <c r="H2417" s="15"/>
      <c r="I2417" s="14"/>
      <c r="J2417" s="14"/>
      <c r="K2417" s="14"/>
      <c r="L2417" s="14"/>
      <c r="M2417" s="14"/>
    </row>
    <row r="2418" ht="18.75" customHeight="1">
      <c r="A2418" s="14"/>
      <c r="B2418" s="14"/>
      <c r="C2418" s="14"/>
      <c r="D2418" s="14"/>
      <c r="E2418" s="15"/>
      <c r="F2418" s="14"/>
      <c r="G2418" s="14"/>
      <c r="H2418" s="15"/>
      <c r="I2418" s="14"/>
      <c r="J2418" s="14"/>
      <c r="K2418" s="14"/>
      <c r="L2418" s="14"/>
      <c r="M2418" s="14"/>
    </row>
    <row r="2419" ht="18.75" customHeight="1">
      <c r="A2419" s="14"/>
      <c r="B2419" s="14"/>
      <c r="C2419" s="14"/>
      <c r="D2419" s="14"/>
      <c r="E2419" s="15"/>
      <c r="F2419" s="14"/>
      <c r="G2419" s="14"/>
      <c r="H2419" s="15"/>
      <c r="I2419" s="14"/>
      <c r="J2419" s="14"/>
      <c r="K2419" s="14"/>
      <c r="L2419" s="14"/>
      <c r="M2419" s="14"/>
    </row>
    <row r="2420" ht="18.75" customHeight="1">
      <c r="A2420" s="14"/>
      <c r="B2420" s="14"/>
      <c r="C2420" s="14"/>
      <c r="D2420" s="14"/>
      <c r="E2420" s="15"/>
      <c r="F2420" s="14"/>
      <c r="G2420" s="14"/>
      <c r="H2420" s="15"/>
      <c r="I2420" s="14"/>
      <c r="J2420" s="14"/>
      <c r="K2420" s="14"/>
      <c r="L2420" s="14"/>
      <c r="M2420" s="14"/>
    </row>
    <row r="2421" ht="18.75" customHeight="1">
      <c r="A2421" s="14"/>
      <c r="B2421" s="14"/>
      <c r="C2421" s="14"/>
      <c r="D2421" s="14"/>
      <c r="E2421" s="15"/>
      <c r="F2421" s="14"/>
      <c r="G2421" s="14"/>
      <c r="H2421" s="15"/>
      <c r="I2421" s="14"/>
      <c r="J2421" s="14"/>
      <c r="K2421" s="14"/>
      <c r="L2421" s="14"/>
      <c r="M2421" s="14"/>
    </row>
    <row r="2422" ht="18.75" customHeight="1">
      <c r="A2422" s="14"/>
      <c r="B2422" s="14"/>
      <c r="C2422" s="14"/>
      <c r="D2422" s="14"/>
      <c r="E2422" s="15"/>
      <c r="F2422" s="14"/>
      <c r="G2422" s="14"/>
      <c r="H2422" s="15"/>
      <c r="I2422" s="14"/>
      <c r="J2422" s="14"/>
      <c r="K2422" s="14"/>
      <c r="L2422" s="14"/>
      <c r="M2422" s="14"/>
    </row>
    <row r="2423" ht="18.75" customHeight="1">
      <c r="A2423" s="14"/>
      <c r="B2423" s="14"/>
      <c r="C2423" s="14"/>
      <c r="D2423" s="14"/>
      <c r="E2423" s="15"/>
      <c r="F2423" s="14"/>
      <c r="G2423" s="14"/>
      <c r="H2423" s="15"/>
      <c r="I2423" s="14"/>
      <c r="J2423" s="14"/>
      <c r="K2423" s="14"/>
      <c r="L2423" s="14"/>
      <c r="M2423" s="14"/>
    </row>
    <row r="2424" ht="18.75" customHeight="1">
      <c r="A2424" s="14"/>
      <c r="B2424" s="14"/>
      <c r="C2424" s="14"/>
      <c r="D2424" s="14"/>
      <c r="E2424" s="15"/>
      <c r="F2424" s="14"/>
      <c r="G2424" s="14"/>
      <c r="H2424" s="15"/>
      <c r="I2424" s="14"/>
      <c r="J2424" s="14"/>
      <c r="K2424" s="14"/>
      <c r="L2424" s="14"/>
      <c r="M2424" s="14"/>
    </row>
    <row r="2425" ht="18.75" customHeight="1">
      <c r="A2425" s="14"/>
      <c r="B2425" s="14"/>
      <c r="C2425" s="14"/>
      <c r="D2425" s="14"/>
      <c r="E2425" s="15"/>
      <c r="F2425" s="14"/>
      <c r="G2425" s="14"/>
      <c r="H2425" s="15"/>
      <c r="I2425" s="14"/>
      <c r="J2425" s="14"/>
      <c r="K2425" s="14"/>
      <c r="L2425" s="14"/>
      <c r="M2425" s="14"/>
    </row>
    <row r="2426" ht="18.75" customHeight="1">
      <c r="A2426" s="14"/>
      <c r="B2426" s="14"/>
      <c r="C2426" s="14"/>
      <c r="D2426" s="14"/>
      <c r="E2426" s="15"/>
      <c r="F2426" s="14"/>
      <c r="G2426" s="14"/>
      <c r="H2426" s="15"/>
      <c r="I2426" s="14"/>
      <c r="J2426" s="14"/>
      <c r="K2426" s="14"/>
      <c r="L2426" s="14"/>
      <c r="M2426" s="14"/>
    </row>
    <row r="2427" ht="18.75" customHeight="1">
      <c r="A2427" s="14"/>
      <c r="B2427" s="14"/>
      <c r="C2427" s="14"/>
      <c r="D2427" s="14"/>
      <c r="E2427" s="15"/>
      <c r="F2427" s="14"/>
      <c r="G2427" s="14"/>
      <c r="H2427" s="15"/>
      <c r="I2427" s="14"/>
      <c r="J2427" s="14"/>
      <c r="K2427" s="14"/>
      <c r="L2427" s="14"/>
      <c r="M2427" s="14"/>
    </row>
    <row r="2428" ht="18.75" customHeight="1">
      <c r="A2428" s="14"/>
      <c r="B2428" s="14"/>
      <c r="C2428" s="14"/>
      <c r="D2428" s="14"/>
      <c r="E2428" s="15"/>
      <c r="F2428" s="14"/>
      <c r="G2428" s="14"/>
      <c r="H2428" s="15"/>
      <c r="I2428" s="14"/>
      <c r="J2428" s="14"/>
      <c r="K2428" s="14"/>
      <c r="L2428" s="14"/>
      <c r="M2428" s="14"/>
    </row>
    <row r="2429" ht="18.75" customHeight="1">
      <c r="A2429" s="14"/>
      <c r="B2429" s="14"/>
      <c r="C2429" s="14"/>
      <c r="D2429" s="14"/>
      <c r="E2429" s="15"/>
      <c r="F2429" s="14"/>
      <c r="G2429" s="14"/>
      <c r="H2429" s="15"/>
      <c r="I2429" s="14"/>
      <c r="J2429" s="14"/>
      <c r="K2429" s="14"/>
      <c r="L2429" s="14"/>
      <c r="M2429" s="14"/>
    </row>
    <row r="2430" ht="18.75" customHeight="1">
      <c r="A2430" s="14"/>
      <c r="B2430" s="14"/>
      <c r="C2430" s="14"/>
      <c r="D2430" s="14"/>
      <c r="E2430" s="15"/>
      <c r="F2430" s="14"/>
      <c r="G2430" s="14"/>
      <c r="H2430" s="15"/>
      <c r="I2430" s="14"/>
      <c r="J2430" s="14"/>
      <c r="K2430" s="14"/>
      <c r="L2430" s="14"/>
      <c r="M2430" s="14"/>
    </row>
    <row r="2431" ht="18.75" customHeight="1">
      <c r="A2431" s="14"/>
      <c r="B2431" s="14"/>
      <c r="C2431" s="14"/>
      <c r="D2431" s="14"/>
      <c r="E2431" s="15"/>
      <c r="F2431" s="14"/>
      <c r="G2431" s="14"/>
      <c r="H2431" s="15"/>
      <c r="I2431" s="14"/>
      <c r="J2431" s="14"/>
      <c r="K2431" s="14"/>
      <c r="L2431" s="14"/>
      <c r="M2431" s="14"/>
    </row>
    <row r="2432" ht="18.75" customHeight="1">
      <c r="A2432" s="14"/>
      <c r="B2432" s="14"/>
      <c r="C2432" s="14"/>
      <c r="D2432" s="14"/>
      <c r="E2432" s="15"/>
      <c r="F2432" s="14"/>
      <c r="G2432" s="14"/>
      <c r="H2432" s="15"/>
      <c r="I2432" s="14"/>
      <c r="J2432" s="14"/>
      <c r="K2432" s="14"/>
      <c r="L2432" s="14"/>
      <c r="M2432" s="14"/>
    </row>
    <row r="2433" ht="18.75" customHeight="1">
      <c r="A2433" s="14"/>
      <c r="B2433" s="14"/>
      <c r="C2433" s="14"/>
      <c r="D2433" s="14"/>
      <c r="E2433" s="15"/>
      <c r="F2433" s="14"/>
      <c r="G2433" s="14"/>
      <c r="H2433" s="15"/>
      <c r="I2433" s="14"/>
      <c r="J2433" s="14"/>
      <c r="K2433" s="14"/>
      <c r="L2433" s="14"/>
      <c r="M2433" s="14"/>
    </row>
    <row r="2434" ht="18.75" customHeight="1">
      <c r="A2434" s="14"/>
      <c r="B2434" s="14"/>
      <c r="C2434" s="14"/>
      <c r="D2434" s="14"/>
      <c r="E2434" s="15"/>
      <c r="F2434" s="14"/>
      <c r="G2434" s="14"/>
      <c r="H2434" s="15"/>
      <c r="I2434" s="14"/>
      <c r="J2434" s="14"/>
      <c r="K2434" s="14"/>
      <c r="L2434" s="14"/>
      <c r="M2434" s="14"/>
    </row>
    <row r="2435" ht="18.75" customHeight="1">
      <c r="A2435" s="14"/>
      <c r="B2435" s="14"/>
      <c r="C2435" s="14"/>
      <c r="D2435" s="14"/>
      <c r="E2435" s="15"/>
      <c r="F2435" s="14"/>
      <c r="G2435" s="14"/>
      <c r="H2435" s="15"/>
      <c r="I2435" s="14"/>
      <c r="J2435" s="14"/>
      <c r="K2435" s="14"/>
      <c r="L2435" s="14"/>
      <c r="M2435" s="14"/>
    </row>
    <row r="2436" ht="18.75" customHeight="1">
      <c r="A2436" s="14"/>
      <c r="B2436" s="14"/>
      <c r="C2436" s="14"/>
      <c r="D2436" s="14"/>
      <c r="E2436" s="15"/>
      <c r="F2436" s="14"/>
      <c r="G2436" s="14"/>
      <c r="H2436" s="15"/>
      <c r="I2436" s="14"/>
      <c r="J2436" s="14"/>
      <c r="K2436" s="14"/>
      <c r="L2436" s="14"/>
      <c r="M2436" s="14"/>
    </row>
    <row r="2437" ht="18.75" customHeight="1">
      <c r="A2437" s="14"/>
      <c r="B2437" s="14"/>
      <c r="C2437" s="14"/>
      <c r="D2437" s="14"/>
      <c r="E2437" s="15"/>
      <c r="F2437" s="14"/>
      <c r="G2437" s="14"/>
      <c r="H2437" s="15"/>
      <c r="I2437" s="14"/>
      <c r="J2437" s="14"/>
      <c r="K2437" s="14"/>
      <c r="L2437" s="14"/>
      <c r="M2437" s="14"/>
    </row>
    <row r="2438" ht="18.75" customHeight="1">
      <c r="A2438" s="14"/>
      <c r="B2438" s="14"/>
      <c r="C2438" s="14"/>
      <c r="D2438" s="14"/>
      <c r="E2438" s="15"/>
      <c r="F2438" s="14"/>
      <c r="G2438" s="14"/>
      <c r="H2438" s="15"/>
      <c r="I2438" s="14"/>
      <c r="J2438" s="14"/>
      <c r="K2438" s="14"/>
      <c r="L2438" s="14"/>
      <c r="M2438" s="14"/>
    </row>
    <row r="2439" ht="18.75" customHeight="1">
      <c r="A2439" s="14"/>
      <c r="B2439" s="14"/>
      <c r="C2439" s="14"/>
      <c r="D2439" s="14"/>
      <c r="E2439" s="15"/>
      <c r="F2439" s="14"/>
      <c r="G2439" s="14"/>
      <c r="H2439" s="15"/>
      <c r="I2439" s="14"/>
      <c r="J2439" s="14"/>
      <c r="K2439" s="14"/>
      <c r="L2439" s="14"/>
      <c r="M2439" s="14"/>
    </row>
    <row r="2440" ht="18.75" customHeight="1">
      <c r="A2440" s="14"/>
      <c r="B2440" s="14"/>
      <c r="C2440" s="14"/>
      <c r="D2440" s="14"/>
      <c r="E2440" s="15"/>
      <c r="F2440" s="14"/>
      <c r="G2440" s="14"/>
      <c r="H2440" s="15"/>
      <c r="I2440" s="14"/>
      <c r="J2440" s="14"/>
      <c r="K2440" s="14"/>
      <c r="L2440" s="14"/>
      <c r="M2440" s="14"/>
    </row>
    <row r="2441" ht="18.75" customHeight="1">
      <c r="A2441" s="14"/>
      <c r="B2441" s="14"/>
      <c r="C2441" s="14"/>
      <c r="D2441" s="14"/>
      <c r="E2441" s="15"/>
      <c r="F2441" s="14"/>
      <c r="G2441" s="14"/>
      <c r="H2441" s="15"/>
      <c r="I2441" s="14"/>
      <c r="J2441" s="14"/>
      <c r="K2441" s="14"/>
      <c r="L2441" s="14"/>
      <c r="M2441" s="14"/>
    </row>
    <row r="2442" ht="18.75" customHeight="1">
      <c r="A2442" s="14"/>
      <c r="B2442" s="14"/>
      <c r="C2442" s="14"/>
      <c r="D2442" s="14"/>
      <c r="E2442" s="15"/>
      <c r="F2442" s="14"/>
      <c r="G2442" s="14"/>
      <c r="H2442" s="15"/>
      <c r="I2442" s="14"/>
      <c r="J2442" s="14"/>
      <c r="K2442" s="14"/>
      <c r="L2442" s="14"/>
      <c r="M2442" s="14"/>
    </row>
    <row r="2443" ht="18.75" customHeight="1">
      <c r="A2443" s="14"/>
      <c r="B2443" s="14"/>
      <c r="C2443" s="14"/>
      <c r="D2443" s="14"/>
      <c r="E2443" s="15"/>
      <c r="F2443" s="14"/>
      <c r="G2443" s="14"/>
      <c r="H2443" s="15"/>
      <c r="I2443" s="14"/>
      <c r="J2443" s="14"/>
      <c r="K2443" s="14"/>
      <c r="L2443" s="14"/>
      <c r="M2443" s="14"/>
    </row>
    <row r="2444" ht="18.75" customHeight="1">
      <c r="A2444" s="14"/>
      <c r="B2444" s="14"/>
      <c r="C2444" s="14"/>
      <c r="D2444" s="14"/>
      <c r="E2444" s="15"/>
      <c r="F2444" s="14"/>
      <c r="G2444" s="14"/>
      <c r="H2444" s="15"/>
      <c r="I2444" s="14"/>
      <c r="J2444" s="14"/>
      <c r="K2444" s="14"/>
      <c r="L2444" s="14"/>
      <c r="M2444" s="14"/>
    </row>
    <row r="2445" ht="18.75" customHeight="1">
      <c r="A2445" s="14"/>
      <c r="B2445" s="14"/>
      <c r="C2445" s="14"/>
      <c r="D2445" s="14"/>
      <c r="E2445" s="15"/>
      <c r="F2445" s="14"/>
      <c r="G2445" s="14"/>
      <c r="H2445" s="15"/>
      <c r="I2445" s="14"/>
      <c r="J2445" s="14"/>
      <c r="K2445" s="14"/>
      <c r="L2445" s="14"/>
      <c r="M2445" s="14"/>
    </row>
    <row r="2446" ht="18.75" customHeight="1">
      <c r="A2446" s="14"/>
      <c r="B2446" s="14"/>
      <c r="C2446" s="14"/>
      <c r="D2446" s="14"/>
      <c r="E2446" s="15"/>
      <c r="F2446" s="14"/>
      <c r="G2446" s="14"/>
      <c r="H2446" s="15"/>
      <c r="I2446" s="14"/>
      <c r="J2446" s="14"/>
      <c r="K2446" s="14"/>
      <c r="L2446" s="14"/>
      <c r="M2446" s="14"/>
    </row>
    <row r="2447" ht="18.75" customHeight="1">
      <c r="A2447" s="14"/>
      <c r="B2447" s="14"/>
      <c r="C2447" s="14"/>
      <c r="D2447" s="14"/>
      <c r="E2447" s="15"/>
      <c r="F2447" s="14"/>
      <c r="G2447" s="14"/>
      <c r="H2447" s="15"/>
      <c r="I2447" s="14"/>
      <c r="J2447" s="14"/>
      <c r="K2447" s="14"/>
      <c r="L2447" s="14"/>
      <c r="M2447" s="14"/>
    </row>
    <row r="2448" ht="18.75" customHeight="1">
      <c r="A2448" s="14"/>
      <c r="B2448" s="14"/>
      <c r="C2448" s="14"/>
      <c r="D2448" s="14"/>
      <c r="E2448" s="15"/>
      <c r="F2448" s="14"/>
      <c r="G2448" s="14"/>
      <c r="H2448" s="15"/>
      <c r="I2448" s="14"/>
      <c r="J2448" s="14"/>
      <c r="K2448" s="14"/>
      <c r="L2448" s="14"/>
      <c r="M2448" s="14"/>
    </row>
    <row r="2449" ht="18.75" customHeight="1">
      <c r="A2449" s="14"/>
      <c r="B2449" s="14"/>
      <c r="C2449" s="14"/>
      <c r="D2449" s="14"/>
      <c r="E2449" s="15"/>
      <c r="F2449" s="14"/>
      <c r="G2449" s="14"/>
      <c r="H2449" s="15"/>
      <c r="I2449" s="14"/>
      <c r="J2449" s="14"/>
      <c r="K2449" s="14"/>
      <c r="L2449" s="14"/>
      <c r="M2449" s="14"/>
    </row>
    <row r="2450" ht="18.75" customHeight="1">
      <c r="A2450" s="14"/>
      <c r="B2450" s="14"/>
      <c r="C2450" s="14"/>
      <c r="D2450" s="14"/>
      <c r="E2450" s="15"/>
      <c r="F2450" s="14"/>
      <c r="G2450" s="14"/>
      <c r="H2450" s="15"/>
      <c r="I2450" s="14"/>
      <c r="J2450" s="14"/>
      <c r="K2450" s="14"/>
      <c r="L2450" s="14"/>
      <c r="M2450" s="14"/>
    </row>
    <row r="2451" ht="18.75" customHeight="1">
      <c r="A2451" s="14"/>
      <c r="B2451" s="14"/>
      <c r="C2451" s="14"/>
      <c r="D2451" s="14"/>
      <c r="E2451" s="15"/>
      <c r="F2451" s="14"/>
      <c r="G2451" s="14"/>
      <c r="H2451" s="15"/>
      <c r="I2451" s="14"/>
      <c r="J2451" s="14"/>
      <c r="K2451" s="14"/>
      <c r="L2451" s="14"/>
      <c r="M2451" s="14"/>
    </row>
    <row r="2452" ht="18.75" customHeight="1">
      <c r="A2452" s="14"/>
      <c r="B2452" s="14"/>
      <c r="C2452" s="14"/>
      <c r="D2452" s="14"/>
      <c r="E2452" s="15"/>
      <c r="F2452" s="14"/>
      <c r="G2452" s="14"/>
      <c r="H2452" s="15"/>
      <c r="I2452" s="14"/>
      <c r="J2452" s="14"/>
      <c r="K2452" s="14"/>
      <c r="L2452" s="14"/>
      <c r="M2452" s="14"/>
    </row>
    <row r="2453" ht="18.75" customHeight="1">
      <c r="A2453" s="14"/>
      <c r="B2453" s="14"/>
      <c r="C2453" s="14"/>
      <c r="D2453" s="14"/>
      <c r="E2453" s="15"/>
      <c r="F2453" s="14"/>
      <c r="G2453" s="14"/>
      <c r="H2453" s="15"/>
      <c r="I2453" s="14"/>
      <c r="J2453" s="14"/>
      <c r="K2453" s="14"/>
      <c r="L2453" s="14"/>
      <c r="M2453" s="14"/>
    </row>
    <row r="2454" ht="18.75" customHeight="1">
      <c r="A2454" s="14"/>
      <c r="B2454" s="14"/>
      <c r="C2454" s="14"/>
      <c r="D2454" s="14"/>
      <c r="E2454" s="15"/>
      <c r="F2454" s="14"/>
      <c r="G2454" s="14"/>
      <c r="H2454" s="15"/>
      <c r="I2454" s="14"/>
      <c r="J2454" s="14"/>
      <c r="K2454" s="14"/>
      <c r="L2454" s="14"/>
      <c r="M2454" s="14"/>
    </row>
    <row r="2455" ht="18.75" customHeight="1">
      <c r="A2455" s="14"/>
      <c r="B2455" s="14"/>
      <c r="C2455" s="14"/>
      <c r="D2455" s="14"/>
      <c r="E2455" s="15"/>
      <c r="F2455" s="14"/>
      <c r="G2455" s="14"/>
      <c r="H2455" s="15"/>
      <c r="I2455" s="14"/>
      <c r="J2455" s="14"/>
      <c r="K2455" s="14"/>
      <c r="L2455" s="14"/>
      <c r="M2455" s="14"/>
    </row>
    <row r="2456" ht="18.75" customHeight="1">
      <c r="A2456" s="14"/>
      <c r="B2456" s="14"/>
      <c r="C2456" s="14"/>
      <c r="D2456" s="14"/>
      <c r="E2456" s="15"/>
      <c r="F2456" s="14"/>
      <c r="G2456" s="14"/>
      <c r="H2456" s="15"/>
      <c r="I2456" s="14"/>
      <c r="J2456" s="14"/>
      <c r="K2456" s="14"/>
      <c r="L2456" s="14"/>
      <c r="M2456" s="14"/>
    </row>
    <row r="2457" ht="18.75" customHeight="1">
      <c r="A2457" s="14"/>
      <c r="B2457" s="14"/>
      <c r="C2457" s="14"/>
      <c r="D2457" s="14"/>
      <c r="E2457" s="15"/>
      <c r="F2457" s="14"/>
      <c r="G2457" s="14"/>
      <c r="H2457" s="15"/>
      <c r="I2457" s="14"/>
      <c r="J2457" s="14"/>
      <c r="K2457" s="14"/>
      <c r="L2457" s="14"/>
      <c r="M2457" s="14"/>
    </row>
    <row r="2458" ht="18.75" customHeight="1">
      <c r="A2458" s="14"/>
      <c r="B2458" s="14"/>
      <c r="C2458" s="14"/>
      <c r="D2458" s="14"/>
      <c r="E2458" s="15"/>
      <c r="F2458" s="14"/>
      <c r="G2458" s="14"/>
      <c r="H2458" s="15"/>
      <c r="I2458" s="14"/>
      <c r="J2458" s="14"/>
      <c r="K2458" s="14"/>
      <c r="L2458" s="14"/>
      <c r="M2458" s="14"/>
    </row>
    <row r="2459" ht="18.75" customHeight="1">
      <c r="A2459" s="14"/>
      <c r="B2459" s="14"/>
      <c r="C2459" s="14"/>
      <c r="D2459" s="14"/>
      <c r="E2459" s="15"/>
      <c r="F2459" s="14"/>
      <c r="G2459" s="14"/>
      <c r="H2459" s="15"/>
      <c r="I2459" s="14"/>
      <c r="J2459" s="14"/>
      <c r="K2459" s="14"/>
      <c r="L2459" s="14"/>
      <c r="M2459" s="14"/>
    </row>
    <row r="2460" ht="18.75" customHeight="1">
      <c r="A2460" s="14"/>
      <c r="B2460" s="14"/>
      <c r="C2460" s="14"/>
      <c r="D2460" s="14"/>
      <c r="E2460" s="15"/>
      <c r="F2460" s="14"/>
      <c r="G2460" s="14"/>
      <c r="H2460" s="15"/>
      <c r="I2460" s="14"/>
      <c r="J2460" s="14"/>
      <c r="K2460" s="14"/>
      <c r="L2460" s="14"/>
      <c r="M2460" s="14"/>
    </row>
    <row r="2461" ht="18.75" customHeight="1">
      <c r="A2461" s="14"/>
      <c r="B2461" s="14"/>
      <c r="C2461" s="14"/>
      <c r="D2461" s="14"/>
      <c r="E2461" s="15"/>
      <c r="F2461" s="14"/>
      <c r="G2461" s="14"/>
      <c r="H2461" s="15"/>
      <c r="I2461" s="14"/>
      <c r="J2461" s="14"/>
      <c r="K2461" s="14"/>
      <c r="L2461" s="14"/>
      <c r="M2461" s="14"/>
    </row>
    <row r="2462" ht="18.75" customHeight="1">
      <c r="A2462" s="14"/>
      <c r="B2462" s="14"/>
      <c r="C2462" s="14"/>
      <c r="D2462" s="14"/>
      <c r="E2462" s="15"/>
      <c r="F2462" s="14"/>
      <c r="G2462" s="14"/>
      <c r="H2462" s="15"/>
      <c r="I2462" s="14"/>
      <c r="J2462" s="14"/>
      <c r="K2462" s="14"/>
      <c r="L2462" s="14"/>
      <c r="M2462" s="14"/>
    </row>
    <row r="2463" ht="18.75" customHeight="1">
      <c r="A2463" s="14"/>
      <c r="B2463" s="14"/>
      <c r="C2463" s="14"/>
      <c r="D2463" s="14"/>
      <c r="E2463" s="15"/>
      <c r="F2463" s="14"/>
      <c r="G2463" s="14"/>
      <c r="H2463" s="15"/>
      <c r="I2463" s="14"/>
      <c r="J2463" s="14"/>
      <c r="K2463" s="14"/>
      <c r="L2463" s="14"/>
      <c r="M2463" s="14"/>
    </row>
    <row r="2464" ht="18.75" customHeight="1">
      <c r="A2464" s="14"/>
      <c r="B2464" s="14"/>
      <c r="C2464" s="14"/>
      <c r="D2464" s="14"/>
      <c r="E2464" s="15"/>
      <c r="F2464" s="14"/>
      <c r="G2464" s="14"/>
      <c r="H2464" s="15"/>
      <c r="I2464" s="14"/>
      <c r="J2464" s="14"/>
      <c r="K2464" s="14"/>
      <c r="L2464" s="14"/>
      <c r="M2464" s="14"/>
    </row>
    <row r="2465" ht="18.75" customHeight="1">
      <c r="A2465" s="14"/>
      <c r="B2465" s="14"/>
      <c r="C2465" s="14"/>
      <c r="D2465" s="14"/>
      <c r="E2465" s="15"/>
      <c r="F2465" s="14"/>
      <c r="G2465" s="14"/>
      <c r="H2465" s="15"/>
      <c r="I2465" s="14"/>
      <c r="J2465" s="14"/>
      <c r="K2465" s="14"/>
      <c r="L2465" s="14"/>
      <c r="M2465" s="14"/>
    </row>
    <row r="2466" ht="18.75" customHeight="1">
      <c r="A2466" s="14"/>
      <c r="B2466" s="14"/>
      <c r="C2466" s="14"/>
      <c r="D2466" s="14"/>
      <c r="E2466" s="15"/>
      <c r="F2466" s="14"/>
      <c r="G2466" s="14"/>
      <c r="H2466" s="15"/>
      <c r="I2466" s="14"/>
      <c r="J2466" s="14"/>
      <c r="K2466" s="14"/>
      <c r="L2466" s="14"/>
      <c r="M2466" s="14"/>
    </row>
    <row r="2467" ht="18.75" customHeight="1">
      <c r="A2467" s="14"/>
      <c r="B2467" s="14"/>
      <c r="C2467" s="14"/>
      <c r="D2467" s="14"/>
      <c r="E2467" s="15"/>
      <c r="F2467" s="14"/>
      <c r="G2467" s="14"/>
      <c r="H2467" s="15"/>
      <c r="I2467" s="14"/>
      <c r="J2467" s="14"/>
      <c r="K2467" s="14"/>
      <c r="L2467" s="14"/>
      <c r="M2467" s="14"/>
    </row>
    <row r="2468" ht="18.75" customHeight="1">
      <c r="A2468" s="14"/>
      <c r="B2468" s="14"/>
      <c r="C2468" s="14"/>
      <c r="D2468" s="14"/>
      <c r="E2468" s="15"/>
      <c r="F2468" s="14"/>
      <c r="G2468" s="14"/>
      <c r="H2468" s="15"/>
      <c r="I2468" s="14"/>
      <c r="J2468" s="14"/>
      <c r="K2468" s="14"/>
      <c r="L2468" s="14"/>
      <c r="M2468" s="14"/>
    </row>
    <row r="2469" ht="18.75" customHeight="1">
      <c r="A2469" s="14"/>
      <c r="B2469" s="14"/>
      <c r="C2469" s="14"/>
      <c r="D2469" s="14"/>
      <c r="E2469" s="15"/>
      <c r="F2469" s="14"/>
      <c r="G2469" s="14"/>
      <c r="H2469" s="15"/>
      <c r="I2469" s="14"/>
      <c r="J2469" s="14"/>
      <c r="K2469" s="14"/>
      <c r="L2469" s="14"/>
      <c r="M2469" s="14"/>
    </row>
    <row r="2470" ht="18.75" customHeight="1">
      <c r="A2470" s="14"/>
      <c r="B2470" s="14"/>
      <c r="C2470" s="14"/>
      <c r="D2470" s="14"/>
      <c r="E2470" s="15"/>
      <c r="F2470" s="14"/>
      <c r="G2470" s="14"/>
      <c r="H2470" s="15"/>
      <c r="I2470" s="14"/>
      <c r="J2470" s="14"/>
      <c r="K2470" s="14"/>
      <c r="L2470" s="14"/>
      <c r="M2470" s="14"/>
    </row>
    <row r="2471" ht="18.75" customHeight="1">
      <c r="A2471" s="14"/>
      <c r="B2471" s="14"/>
      <c r="C2471" s="14"/>
      <c r="D2471" s="14"/>
      <c r="E2471" s="15"/>
      <c r="F2471" s="14"/>
      <c r="G2471" s="14"/>
      <c r="H2471" s="15"/>
      <c r="I2471" s="14"/>
      <c r="J2471" s="14"/>
      <c r="K2471" s="14"/>
      <c r="L2471" s="14"/>
      <c r="M2471" s="14"/>
    </row>
    <row r="2472" ht="18.75" customHeight="1">
      <c r="A2472" s="14"/>
      <c r="B2472" s="14"/>
      <c r="C2472" s="14"/>
      <c r="D2472" s="14"/>
      <c r="E2472" s="15"/>
      <c r="F2472" s="14"/>
      <c r="G2472" s="14"/>
      <c r="H2472" s="15"/>
      <c r="I2472" s="14"/>
      <c r="J2472" s="14"/>
      <c r="K2472" s="14"/>
      <c r="L2472" s="14"/>
      <c r="M2472" s="14"/>
    </row>
    <row r="2473" ht="18.75" customHeight="1">
      <c r="A2473" s="14"/>
      <c r="B2473" s="14"/>
      <c r="C2473" s="14"/>
      <c r="D2473" s="14"/>
      <c r="E2473" s="15"/>
      <c r="F2473" s="14"/>
      <c r="G2473" s="14"/>
      <c r="H2473" s="15"/>
      <c r="I2473" s="14"/>
      <c r="J2473" s="14"/>
      <c r="K2473" s="14"/>
      <c r="L2473" s="14"/>
      <c r="M2473" s="14"/>
    </row>
    <row r="2474" ht="18.75" customHeight="1">
      <c r="A2474" s="14"/>
      <c r="B2474" s="14"/>
      <c r="C2474" s="14"/>
      <c r="D2474" s="14"/>
      <c r="E2474" s="15"/>
      <c r="F2474" s="14"/>
      <c r="G2474" s="14"/>
      <c r="H2474" s="15"/>
      <c r="I2474" s="14"/>
      <c r="J2474" s="14"/>
      <c r="K2474" s="14"/>
      <c r="L2474" s="14"/>
      <c r="M2474" s="14"/>
    </row>
    <row r="2475" ht="18.75" customHeight="1">
      <c r="A2475" s="14"/>
      <c r="B2475" s="14"/>
      <c r="C2475" s="14"/>
      <c r="D2475" s="14"/>
      <c r="E2475" s="15"/>
      <c r="F2475" s="14"/>
      <c r="G2475" s="14"/>
      <c r="H2475" s="15"/>
      <c r="I2475" s="14"/>
      <c r="J2475" s="14"/>
      <c r="K2475" s="14"/>
      <c r="L2475" s="14"/>
      <c r="M2475" s="14"/>
    </row>
    <row r="2476" ht="18.75" customHeight="1">
      <c r="A2476" s="14"/>
      <c r="B2476" s="14"/>
      <c r="C2476" s="14"/>
      <c r="D2476" s="14"/>
      <c r="E2476" s="15"/>
      <c r="F2476" s="14"/>
      <c r="G2476" s="14"/>
      <c r="H2476" s="15"/>
      <c r="I2476" s="14"/>
      <c r="J2476" s="14"/>
      <c r="K2476" s="14"/>
      <c r="L2476" s="14"/>
      <c r="M2476" s="14"/>
    </row>
    <row r="2477" ht="18.75" customHeight="1">
      <c r="A2477" s="14"/>
      <c r="B2477" s="14"/>
      <c r="C2477" s="14"/>
      <c r="D2477" s="14"/>
      <c r="E2477" s="15"/>
      <c r="F2477" s="14"/>
      <c r="G2477" s="14"/>
      <c r="H2477" s="15"/>
      <c r="I2477" s="14"/>
      <c r="J2477" s="14"/>
      <c r="K2477" s="14"/>
      <c r="L2477" s="14"/>
      <c r="M2477" s="14"/>
    </row>
    <row r="2478" ht="18.75" customHeight="1">
      <c r="A2478" s="14"/>
      <c r="B2478" s="14"/>
      <c r="C2478" s="14"/>
      <c r="D2478" s="14"/>
      <c r="E2478" s="15"/>
      <c r="F2478" s="14"/>
      <c r="G2478" s="14"/>
      <c r="H2478" s="15"/>
      <c r="I2478" s="14"/>
      <c r="J2478" s="14"/>
      <c r="K2478" s="14"/>
      <c r="L2478" s="14"/>
      <c r="M2478" s="14"/>
    </row>
    <row r="2479" ht="18.75" customHeight="1">
      <c r="A2479" s="14"/>
      <c r="B2479" s="14"/>
      <c r="C2479" s="14"/>
      <c r="D2479" s="14"/>
      <c r="E2479" s="15"/>
      <c r="F2479" s="14"/>
      <c r="G2479" s="14"/>
      <c r="H2479" s="15"/>
      <c r="I2479" s="14"/>
      <c r="J2479" s="14"/>
      <c r="K2479" s="14"/>
      <c r="L2479" s="14"/>
      <c r="M2479" s="14"/>
    </row>
    <row r="2480" ht="18.75" customHeight="1">
      <c r="A2480" s="14"/>
      <c r="B2480" s="14"/>
      <c r="C2480" s="14"/>
      <c r="D2480" s="14"/>
      <c r="E2480" s="15"/>
      <c r="F2480" s="14"/>
      <c r="G2480" s="14"/>
      <c r="H2480" s="15"/>
      <c r="I2480" s="14"/>
      <c r="J2480" s="14"/>
      <c r="K2480" s="14"/>
      <c r="L2480" s="14"/>
      <c r="M2480" s="14"/>
    </row>
    <row r="2481" ht="18.75" customHeight="1">
      <c r="A2481" s="14"/>
      <c r="B2481" s="14"/>
      <c r="C2481" s="14"/>
      <c r="D2481" s="14"/>
      <c r="E2481" s="15"/>
      <c r="F2481" s="14"/>
      <c r="G2481" s="14"/>
      <c r="H2481" s="15"/>
      <c r="I2481" s="14"/>
      <c r="J2481" s="14"/>
      <c r="K2481" s="14"/>
      <c r="L2481" s="14"/>
      <c r="M2481" s="14"/>
    </row>
    <row r="2482" ht="18.75" customHeight="1">
      <c r="A2482" s="14"/>
      <c r="B2482" s="14"/>
      <c r="C2482" s="14"/>
      <c r="D2482" s="14"/>
      <c r="E2482" s="15"/>
      <c r="F2482" s="14"/>
      <c r="G2482" s="14"/>
      <c r="H2482" s="15"/>
      <c r="I2482" s="14"/>
      <c r="J2482" s="14"/>
      <c r="K2482" s="14"/>
      <c r="L2482" s="14"/>
      <c r="M2482" s="14"/>
    </row>
    <row r="2483" ht="18.75" customHeight="1">
      <c r="A2483" s="14"/>
      <c r="B2483" s="14"/>
      <c r="C2483" s="14"/>
      <c r="D2483" s="14"/>
      <c r="E2483" s="15"/>
      <c r="F2483" s="14"/>
      <c r="G2483" s="14"/>
      <c r="H2483" s="15"/>
      <c r="I2483" s="14"/>
      <c r="J2483" s="14"/>
      <c r="K2483" s="14"/>
      <c r="L2483" s="14"/>
      <c r="M2483" s="14"/>
    </row>
    <row r="2484" ht="18.75" customHeight="1">
      <c r="A2484" s="14"/>
      <c r="B2484" s="14"/>
      <c r="C2484" s="14"/>
      <c r="D2484" s="14"/>
      <c r="E2484" s="15"/>
      <c r="F2484" s="14"/>
      <c r="G2484" s="14"/>
      <c r="H2484" s="15"/>
      <c r="I2484" s="14"/>
      <c r="J2484" s="14"/>
      <c r="K2484" s="14"/>
      <c r="L2484" s="14"/>
      <c r="M2484" s="14"/>
    </row>
    <row r="2485" ht="18.75" customHeight="1">
      <c r="A2485" s="14"/>
      <c r="B2485" s="14"/>
      <c r="C2485" s="14"/>
      <c r="D2485" s="14"/>
      <c r="E2485" s="15"/>
      <c r="F2485" s="14"/>
      <c r="G2485" s="14"/>
      <c r="H2485" s="15"/>
      <c r="I2485" s="14"/>
      <c r="J2485" s="14"/>
      <c r="K2485" s="14"/>
      <c r="L2485" s="14"/>
      <c r="M2485" s="14"/>
    </row>
    <row r="2486" ht="18.75" customHeight="1">
      <c r="A2486" s="14"/>
      <c r="B2486" s="14"/>
      <c r="C2486" s="14"/>
      <c r="D2486" s="14"/>
      <c r="E2486" s="15"/>
      <c r="F2486" s="14"/>
      <c r="G2486" s="14"/>
      <c r="H2486" s="15"/>
      <c r="I2486" s="14"/>
      <c r="J2486" s="14"/>
      <c r="K2486" s="14"/>
      <c r="L2486" s="14"/>
      <c r="M2486" s="14"/>
    </row>
    <row r="2487" ht="18.75" customHeight="1">
      <c r="A2487" s="14"/>
      <c r="B2487" s="14"/>
      <c r="C2487" s="14"/>
      <c r="D2487" s="14"/>
      <c r="E2487" s="15"/>
      <c r="F2487" s="14"/>
      <c r="G2487" s="14"/>
      <c r="H2487" s="15"/>
      <c r="I2487" s="14"/>
      <c r="J2487" s="14"/>
      <c r="K2487" s="14"/>
      <c r="L2487" s="14"/>
      <c r="M2487" s="14"/>
    </row>
    <row r="2488" ht="18.75" customHeight="1">
      <c r="A2488" s="14"/>
      <c r="B2488" s="14"/>
      <c r="C2488" s="14"/>
      <c r="D2488" s="14"/>
      <c r="E2488" s="15"/>
      <c r="F2488" s="14"/>
      <c r="G2488" s="14"/>
      <c r="H2488" s="15"/>
      <c r="I2488" s="14"/>
      <c r="J2488" s="14"/>
      <c r="K2488" s="14"/>
      <c r="L2488" s="14"/>
      <c r="M2488" s="14"/>
    </row>
    <row r="2489" ht="18.75" customHeight="1">
      <c r="A2489" s="14"/>
      <c r="B2489" s="14"/>
      <c r="C2489" s="14"/>
      <c r="D2489" s="14"/>
      <c r="E2489" s="15"/>
      <c r="F2489" s="14"/>
      <c r="G2489" s="14"/>
      <c r="H2489" s="15"/>
      <c r="I2489" s="14"/>
      <c r="J2489" s="14"/>
      <c r="K2489" s="14"/>
      <c r="L2489" s="14"/>
      <c r="M2489" s="14"/>
    </row>
    <row r="2490" ht="18.75" customHeight="1">
      <c r="A2490" s="14"/>
      <c r="B2490" s="14"/>
      <c r="C2490" s="14"/>
      <c r="D2490" s="14"/>
      <c r="E2490" s="15"/>
      <c r="F2490" s="14"/>
      <c r="G2490" s="14"/>
      <c r="H2490" s="15"/>
      <c r="I2490" s="14"/>
      <c r="J2490" s="14"/>
      <c r="K2490" s="14"/>
      <c r="L2490" s="14"/>
      <c r="M2490" s="14"/>
    </row>
    <row r="2491" ht="18.75" customHeight="1">
      <c r="A2491" s="14"/>
      <c r="B2491" s="14"/>
      <c r="C2491" s="14"/>
      <c r="D2491" s="14"/>
      <c r="E2491" s="15"/>
      <c r="F2491" s="14"/>
      <c r="G2491" s="14"/>
      <c r="H2491" s="15"/>
      <c r="I2491" s="14"/>
      <c r="J2491" s="14"/>
      <c r="K2491" s="14"/>
      <c r="L2491" s="14"/>
      <c r="M2491" s="14"/>
    </row>
    <row r="2492" ht="18.75" customHeight="1">
      <c r="A2492" s="14"/>
      <c r="B2492" s="14"/>
      <c r="C2492" s="14"/>
      <c r="D2492" s="14"/>
      <c r="E2492" s="15"/>
      <c r="F2492" s="14"/>
      <c r="G2492" s="14"/>
      <c r="H2492" s="15"/>
      <c r="I2492" s="14"/>
      <c r="J2492" s="14"/>
      <c r="K2492" s="14"/>
      <c r="L2492" s="14"/>
      <c r="M2492" s="14"/>
    </row>
    <row r="2493" ht="18.75" customHeight="1">
      <c r="A2493" s="14"/>
      <c r="B2493" s="14"/>
      <c r="C2493" s="14"/>
      <c r="D2493" s="14"/>
      <c r="E2493" s="15"/>
      <c r="F2493" s="14"/>
      <c r="G2493" s="14"/>
      <c r="H2493" s="15"/>
      <c r="I2493" s="14"/>
      <c r="J2493" s="14"/>
      <c r="K2493" s="14"/>
      <c r="L2493" s="14"/>
      <c r="M2493" s="14"/>
    </row>
    <row r="2494" ht="18.75" customHeight="1">
      <c r="A2494" s="14"/>
      <c r="B2494" s="14"/>
      <c r="C2494" s="14"/>
      <c r="D2494" s="14"/>
      <c r="E2494" s="15"/>
      <c r="F2494" s="14"/>
      <c r="G2494" s="14"/>
      <c r="H2494" s="15"/>
      <c r="I2494" s="14"/>
      <c r="J2494" s="14"/>
      <c r="K2494" s="14"/>
      <c r="L2494" s="14"/>
      <c r="M2494" s="14"/>
    </row>
    <row r="2495" ht="18.75" customHeight="1">
      <c r="A2495" s="14"/>
      <c r="B2495" s="14"/>
      <c r="C2495" s="14"/>
      <c r="D2495" s="14"/>
      <c r="E2495" s="15"/>
      <c r="F2495" s="14"/>
      <c r="G2495" s="14"/>
      <c r="H2495" s="15"/>
      <c r="I2495" s="14"/>
      <c r="J2495" s="14"/>
      <c r="K2495" s="14"/>
      <c r="L2495" s="14"/>
      <c r="M2495" s="14"/>
    </row>
    <row r="2496" ht="18.75" customHeight="1">
      <c r="A2496" s="14"/>
      <c r="B2496" s="14"/>
      <c r="C2496" s="14"/>
      <c r="D2496" s="14"/>
      <c r="E2496" s="15"/>
      <c r="F2496" s="14"/>
      <c r="G2496" s="14"/>
      <c r="H2496" s="15"/>
      <c r="I2496" s="14"/>
      <c r="J2496" s="14"/>
      <c r="K2496" s="14"/>
      <c r="L2496" s="14"/>
      <c r="M2496" s="14"/>
    </row>
    <row r="2497" ht="18.75" customHeight="1">
      <c r="A2497" s="14"/>
      <c r="B2497" s="14"/>
      <c r="C2497" s="14"/>
      <c r="D2497" s="14"/>
      <c r="E2497" s="15"/>
      <c r="F2497" s="14"/>
      <c r="G2497" s="14"/>
      <c r="H2497" s="15"/>
      <c r="I2497" s="14"/>
      <c r="J2497" s="14"/>
      <c r="K2497" s="14"/>
      <c r="L2497" s="14"/>
      <c r="M2497" s="14"/>
    </row>
    <row r="2498" ht="18.75" customHeight="1">
      <c r="A2498" s="14"/>
      <c r="B2498" s="14"/>
      <c r="C2498" s="14"/>
      <c r="D2498" s="14"/>
      <c r="E2498" s="15"/>
      <c r="F2498" s="14"/>
      <c r="G2498" s="14"/>
      <c r="H2498" s="15"/>
      <c r="I2498" s="14"/>
      <c r="J2498" s="14"/>
      <c r="K2498" s="14"/>
      <c r="L2498" s="14"/>
      <c r="M2498" s="14"/>
    </row>
    <row r="2499" ht="18.75" customHeight="1">
      <c r="A2499" s="14"/>
      <c r="B2499" s="14"/>
      <c r="C2499" s="14"/>
      <c r="D2499" s="14"/>
      <c r="E2499" s="15"/>
      <c r="F2499" s="14"/>
      <c r="G2499" s="14"/>
      <c r="H2499" s="15"/>
      <c r="I2499" s="14"/>
      <c r="J2499" s="14"/>
      <c r="K2499" s="14"/>
      <c r="L2499" s="14"/>
      <c r="M2499" s="14"/>
    </row>
    <row r="2500" ht="18.75" customHeight="1">
      <c r="A2500" s="14"/>
      <c r="B2500" s="14"/>
      <c r="C2500" s="14"/>
      <c r="D2500" s="14"/>
      <c r="E2500" s="15"/>
      <c r="F2500" s="14"/>
      <c r="G2500" s="14"/>
      <c r="H2500" s="15"/>
      <c r="I2500" s="14"/>
      <c r="J2500" s="14"/>
      <c r="K2500" s="14"/>
      <c r="L2500" s="14"/>
      <c r="M2500" s="14"/>
    </row>
    <row r="2501" ht="18.75" customHeight="1">
      <c r="A2501" s="14"/>
      <c r="B2501" s="14"/>
      <c r="C2501" s="14"/>
      <c r="D2501" s="14"/>
      <c r="E2501" s="15"/>
      <c r="F2501" s="14"/>
      <c r="G2501" s="14"/>
      <c r="H2501" s="15"/>
      <c r="I2501" s="14"/>
      <c r="J2501" s="14"/>
      <c r="K2501" s="14"/>
      <c r="L2501" s="14"/>
      <c r="M2501" s="14"/>
    </row>
    <row r="2502" ht="18.75" customHeight="1">
      <c r="A2502" s="14"/>
      <c r="B2502" s="14"/>
      <c r="C2502" s="14"/>
      <c r="D2502" s="14"/>
      <c r="E2502" s="15"/>
      <c r="F2502" s="14"/>
      <c r="G2502" s="14"/>
      <c r="H2502" s="15"/>
      <c r="I2502" s="14"/>
      <c r="J2502" s="14"/>
      <c r="K2502" s="14"/>
      <c r="L2502" s="14"/>
      <c r="M2502" s="14"/>
    </row>
    <row r="2503" ht="18.75" customHeight="1">
      <c r="A2503" s="14"/>
      <c r="B2503" s="14"/>
      <c r="C2503" s="14"/>
      <c r="D2503" s="14"/>
      <c r="E2503" s="15"/>
      <c r="F2503" s="14"/>
      <c r="G2503" s="14"/>
      <c r="H2503" s="15"/>
      <c r="I2503" s="14"/>
      <c r="J2503" s="14"/>
      <c r="K2503" s="14"/>
      <c r="L2503" s="14"/>
      <c r="M2503" s="14"/>
    </row>
    <row r="2504" ht="18.75" customHeight="1">
      <c r="A2504" s="14"/>
      <c r="B2504" s="14"/>
      <c r="C2504" s="14"/>
      <c r="D2504" s="14"/>
      <c r="E2504" s="15"/>
      <c r="F2504" s="14"/>
      <c r="G2504" s="14"/>
      <c r="H2504" s="15"/>
      <c r="I2504" s="14"/>
      <c r="J2504" s="14"/>
      <c r="K2504" s="14"/>
      <c r="L2504" s="14"/>
      <c r="M2504" s="14"/>
    </row>
    <row r="2505" ht="18.75" customHeight="1">
      <c r="A2505" s="14"/>
      <c r="B2505" s="14"/>
      <c r="C2505" s="14"/>
      <c r="D2505" s="14"/>
      <c r="E2505" s="15"/>
      <c r="F2505" s="14"/>
      <c r="G2505" s="14"/>
      <c r="H2505" s="15"/>
      <c r="I2505" s="14"/>
      <c r="J2505" s="14"/>
      <c r="K2505" s="14"/>
      <c r="L2505" s="14"/>
      <c r="M2505" s="14"/>
    </row>
    <row r="2506" ht="18.75" customHeight="1">
      <c r="A2506" s="14"/>
      <c r="B2506" s="14"/>
      <c r="C2506" s="14"/>
      <c r="D2506" s="14"/>
      <c r="E2506" s="15"/>
      <c r="F2506" s="14"/>
      <c r="G2506" s="14"/>
      <c r="H2506" s="15"/>
      <c r="I2506" s="14"/>
      <c r="J2506" s="14"/>
      <c r="K2506" s="14"/>
      <c r="L2506" s="14"/>
      <c r="M2506" s="14"/>
    </row>
    <row r="2507" ht="18.75" customHeight="1">
      <c r="A2507" s="14"/>
      <c r="B2507" s="14"/>
      <c r="C2507" s="14"/>
      <c r="D2507" s="14"/>
      <c r="E2507" s="15"/>
      <c r="F2507" s="14"/>
      <c r="G2507" s="14"/>
      <c r="H2507" s="15"/>
      <c r="I2507" s="14"/>
      <c r="J2507" s="14"/>
      <c r="K2507" s="14"/>
      <c r="L2507" s="14"/>
      <c r="M2507" s="14"/>
    </row>
    <row r="2508" ht="18.75" customHeight="1">
      <c r="A2508" s="14"/>
      <c r="B2508" s="14"/>
      <c r="C2508" s="14"/>
      <c r="D2508" s="14"/>
      <c r="E2508" s="15"/>
      <c r="F2508" s="14"/>
      <c r="G2508" s="14"/>
      <c r="H2508" s="15"/>
      <c r="I2508" s="14"/>
      <c r="J2508" s="14"/>
      <c r="K2508" s="14"/>
      <c r="L2508" s="14"/>
      <c r="M2508" s="14"/>
    </row>
    <row r="2509" ht="18.75" customHeight="1">
      <c r="A2509" s="14"/>
      <c r="B2509" s="14"/>
      <c r="C2509" s="14"/>
      <c r="D2509" s="14"/>
      <c r="E2509" s="15"/>
      <c r="F2509" s="14"/>
      <c r="G2509" s="14"/>
      <c r="H2509" s="15"/>
      <c r="I2509" s="14"/>
      <c r="J2509" s="14"/>
      <c r="K2509" s="14"/>
      <c r="L2509" s="14"/>
      <c r="M2509" s="14"/>
    </row>
    <row r="2510" ht="18.75" customHeight="1">
      <c r="A2510" s="14"/>
      <c r="B2510" s="14"/>
      <c r="C2510" s="14"/>
      <c r="D2510" s="14"/>
      <c r="E2510" s="15"/>
      <c r="F2510" s="14"/>
      <c r="G2510" s="14"/>
      <c r="H2510" s="15"/>
      <c r="I2510" s="14"/>
      <c r="J2510" s="14"/>
      <c r="K2510" s="14"/>
      <c r="L2510" s="14"/>
      <c r="M2510" s="14"/>
    </row>
    <row r="2511" ht="18.75" customHeight="1">
      <c r="A2511" s="14"/>
      <c r="B2511" s="14"/>
      <c r="C2511" s="14"/>
      <c r="D2511" s="14"/>
      <c r="E2511" s="15"/>
      <c r="F2511" s="14"/>
      <c r="G2511" s="14"/>
      <c r="H2511" s="15"/>
      <c r="I2511" s="14"/>
      <c r="J2511" s="14"/>
      <c r="K2511" s="14"/>
      <c r="L2511" s="14"/>
      <c r="M2511" s="14"/>
    </row>
    <row r="2512" ht="18.75" customHeight="1">
      <c r="A2512" s="14"/>
      <c r="B2512" s="14"/>
      <c r="C2512" s="14"/>
      <c r="D2512" s="14"/>
      <c r="E2512" s="15"/>
      <c r="F2512" s="14"/>
      <c r="G2512" s="14"/>
      <c r="H2512" s="15"/>
      <c r="I2512" s="14"/>
      <c r="J2512" s="14"/>
      <c r="K2512" s="14"/>
      <c r="L2512" s="14"/>
      <c r="M2512" s="14"/>
    </row>
    <row r="2513" ht="18.75" customHeight="1">
      <c r="A2513" s="14"/>
      <c r="B2513" s="14"/>
      <c r="C2513" s="14"/>
      <c r="D2513" s="14"/>
      <c r="E2513" s="15"/>
      <c r="F2513" s="14"/>
      <c r="G2513" s="14"/>
      <c r="H2513" s="15"/>
      <c r="I2513" s="14"/>
      <c r="J2513" s="14"/>
      <c r="K2513" s="14"/>
      <c r="L2513" s="14"/>
      <c r="M2513" s="14"/>
    </row>
    <row r="2514" ht="18.75" customHeight="1">
      <c r="A2514" s="14"/>
      <c r="B2514" s="14"/>
      <c r="C2514" s="14"/>
      <c r="D2514" s="14"/>
      <c r="E2514" s="15"/>
      <c r="F2514" s="14"/>
      <c r="G2514" s="14"/>
      <c r="H2514" s="15"/>
      <c r="I2514" s="14"/>
      <c r="J2514" s="14"/>
      <c r="K2514" s="14"/>
      <c r="L2514" s="14"/>
      <c r="M2514" s="14"/>
    </row>
    <row r="2515" ht="18.75" customHeight="1">
      <c r="A2515" s="14"/>
      <c r="B2515" s="14"/>
      <c r="C2515" s="14"/>
      <c r="D2515" s="14"/>
      <c r="E2515" s="15"/>
      <c r="F2515" s="14"/>
      <c r="G2515" s="14"/>
      <c r="H2515" s="15"/>
      <c r="I2515" s="14"/>
      <c r="J2515" s="14"/>
      <c r="K2515" s="14"/>
      <c r="L2515" s="14"/>
      <c r="M2515" s="14"/>
    </row>
    <row r="2516" ht="18.75" customHeight="1">
      <c r="A2516" s="14"/>
      <c r="B2516" s="14"/>
      <c r="C2516" s="14"/>
      <c r="D2516" s="14"/>
      <c r="E2516" s="15"/>
      <c r="F2516" s="14"/>
      <c r="G2516" s="14"/>
      <c r="H2516" s="15"/>
      <c r="I2516" s="14"/>
      <c r="J2516" s="14"/>
      <c r="K2516" s="14"/>
      <c r="L2516" s="14"/>
      <c r="M2516" s="14"/>
    </row>
    <row r="2517" ht="18.75" customHeight="1">
      <c r="A2517" s="14"/>
      <c r="B2517" s="14"/>
      <c r="C2517" s="14"/>
      <c r="D2517" s="14"/>
      <c r="E2517" s="15"/>
      <c r="F2517" s="14"/>
      <c r="G2517" s="14"/>
      <c r="H2517" s="15"/>
      <c r="I2517" s="14"/>
      <c r="J2517" s="14"/>
      <c r="K2517" s="14"/>
      <c r="L2517" s="14"/>
      <c r="M2517" s="14"/>
    </row>
    <row r="2518" ht="18.75" customHeight="1">
      <c r="A2518" s="14"/>
      <c r="B2518" s="14"/>
      <c r="C2518" s="14"/>
      <c r="D2518" s="14"/>
      <c r="E2518" s="15"/>
      <c r="F2518" s="14"/>
      <c r="G2518" s="14"/>
      <c r="H2518" s="15"/>
      <c r="I2518" s="14"/>
      <c r="J2518" s="14"/>
      <c r="K2518" s="14"/>
      <c r="L2518" s="14"/>
      <c r="M2518" s="14"/>
    </row>
    <row r="2519" ht="18.75" customHeight="1">
      <c r="A2519" s="14"/>
      <c r="B2519" s="14"/>
      <c r="C2519" s="14"/>
      <c r="D2519" s="14"/>
      <c r="E2519" s="15"/>
      <c r="F2519" s="14"/>
      <c r="G2519" s="14"/>
      <c r="H2519" s="15"/>
      <c r="I2519" s="14"/>
      <c r="J2519" s="14"/>
      <c r="K2519" s="14"/>
      <c r="L2519" s="14"/>
      <c r="M2519" s="14"/>
    </row>
    <row r="2520" ht="18.75" customHeight="1">
      <c r="A2520" s="14"/>
      <c r="B2520" s="14"/>
      <c r="C2520" s="14"/>
      <c r="D2520" s="14"/>
      <c r="E2520" s="15"/>
      <c r="F2520" s="14"/>
      <c r="G2520" s="14"/>
      <c r="H2520" s="15"/>
      <c r="I2520" s="14"/>
      <c r="J2520" s="14"/>
      <c r="K2520" s="14"/>
      <c r="L2520" s="14"/>
      <c r="M2520" s="14"/>
    </row>
    <row r="2521" ht="18.75" customHeight="1">
      <c r="A2521" s="14"/>
      <c r="B2521" s="14"/>
      <c r="C2521" s="14"/>
      <c r="D2521" s="14"/>
      <c r="E2521" s="15"/>
      <c r="F2521" s="14"/>
      <c r="G2521" s="14"/>
      <c r="H2521" s="15"/>
      <c r="I2521" s="14"/>
      <c r="J2521" s="14"/>
      <c r="K2521" s="14"/>
      <c r="L2521" s="14"/>
      <c r="M2521" s="14"/>
    </row>
    <row r="2522" ht="18.75" customHeight="1">
      <c r="A2522" s="14"/>
      <c r="B2522" s="14"/>
      <c r="C2522" s="14"/>
      <c r="D2522" s="14"/>
      <c r="E2522" s="15"/>
      <c r="F2522" s="14"/>
      <c r="G2522" s="14"/>
      <c r="H2522" s="15"/>
      <c r="I2522" s="14"/>
      <c r="J2522" s="14"/>
      <c r="K2522" s="14"/>
      <c r="L2522" s="14"/>
      <c r="M2522" s="14"/>
    </row>
    <row r="2523" ht="18.75" customHeight="1">
      <c r="A2523" s="14"/>
      <c r="B2523" s="14"/>
      <c r="C2523" s="14"/>
      <c r="D2523" s="14"/>
      <c r="E2523" s="15"/>
      <c r="F2523" s="14"/>
      <c r="G2523" s="14"/>
      <c r="H2523" s="15"/>
      <c r="I2523" s="14"/>
      <c r="J2523" s="14"/>
      <c r="K2523" s="14"/>
      <c r="L2523" s="14"/>
      <c r="M2523" s="14"/>
    </row>
    <row r="2524" ht="18.75" customHeight="1">
      <c r="A2524" s="14"/>
      <c r="B2524" s="14"/>
      <c r="C2524" s="14"/>
      <c r="D2524" s="14"/>
      <c r="E2524" s="15"/>
      <c r="F2524" s="14"/>
      <c r="G2524" s="14"/>
      <c r="H2524" s="15"/>
      <c r="I2524" s="14"/>
      <c r="J2524" s="14"/>
      <c r="K2524" s="14"/>
      <c r="L2524" s="14"/>
      <c r="M2524" s="14"/>
    </row>
    <row r="2525" ht="18.75" customHeight="1">
      <c r="A2525" s="14"/>
      <c r="B2525" s="14"/>
      <c r="C2525" s="14"/>
      <c r="D2525" s="14"/>
      <c r="E2525" s="15"/>
      <c r="F2525" s="14"/>
      <c r="G2525" s="14"/>
      <c r="H2525" s="15"/>
      <c r="I2525" s="14"/>
      <c r="J2525" s="14"/>
      <c r="K2525" s="14"/>
      <c r="L2525" s="14"/>
      <c r="M2525" s="14"/>
    </row>
    <row r="2526" ht="18.75" customHeight="1">
      <c r="A2526" s="14"/>
      <c r="B2526" s="14"/>
      <c r="C2526" s="14"/>
      <c r="D2526" s="14"/>
      <c r="E2526" s="15"/>
      <c r="F2526" s="14"/>
      <c r="G2526" s="14"/>
      <c r="H2526" s="15"/>
      <c r="I2526" s="14"/>
      <c r="J2526" s="14"/>
      <c r="K2526" s="14"/>
      <c r="L2526" s="14"/>
      <c r="M2526" s="14"/>
    </row>
    <row r="2527" ht="18.75" customHeight="1">
      <c r="A2527" s="14"/>
      <c r="B2527" s="14"/>
      <c r="C2527" s="14"/>
      <c r="D2527" s="14"/>
      <c r="E2527" s="15"/>
      <c r="F2527" s="14"/>
      <c r="G2527" s="14"/>
      <c r="H2527" s="15"/>
      <c r="I2527" s="14"/>
      <c r="J2527" s="14"/>
      <c r="K2527" s="14"/>
      <c r="L2527" s="14"/>
      <c r="M2527" s="14"/>
    </row>
    <row r="2528" ht="18.75" customHeight="1">
      <c r="A2528" s="14"/>
      <c r="B2528" s="14"/>
      <c r="C2528" s="14"/>
      <c r="D2528" s="14"/>
      <c r="E2528" s="15"/>
      <c r="F2528" s="14"/>
      <c r="G2528" s="14"/>
      <c r="H2528" s="15"/>
      <c r="I2528" s="14"/>
      <c r="J2528" s="14"/>
      <c r="K2528" s="14"/>
      <c r="L2528" s="14"/>
      <c r="M2528" s="14"/>
    </row>
    <row r="2529" ht="18.75" customHeight="1">
      <c r="A2529" s="14"/>
      <c r="B2529" s="14"/>
      <c r="C2529" s="14"/>
      <c r="D2529" s="14"/>
      <c r="E2529" s="15"/>
      <c r="F2529" s="14"/>
      <c r="G2529" s="14"/>
      <c r="H2529" s="15"/>
      <c r="I2529" s="14"/>
      <c r="J2529" s="14"/>
      <c r="K2529" s="14"/>
      <c r="L2529" s="14"/>
      <c r="M2529" s="14"/>
    </row>
    <row r="2530" ht="18.75" customHeight="1">
      <c r="A2530" s="14"/>
      <c r="B2530" s="14"/>
      <c r="C2530" s="14"/>
      <c r="D2530" s="14"/>
      <c r="E2530" s="15"/>
      <c r="F2530" s="14"/>
      <c r="G2530" s="14"/>
      <c r="H2530" s="15"/>
      <c r="I2530" s="14"/>
      <c r="J2530" s="14"/>
      <c r="K2530" s="14"/>
      <c r="L2530" s="14"/>
      <c r="M2530" s="14"/>
    </row>
    <row r="2531" ht="18.75" customHeight="1">
      <c r="A2531" s="14"/>
      <c r="B2531" s="14"/>
      <c r="C2531" s="14"/>
      <c r="D2531" s="14"/>
      <c r="E2531" s="15"/>
      <c r="F2531" s="14"/>
      <c r="G2531" s="14"/>
      <c r="H2531" s="15"/>
      <c r="I2531" s="14"/>
      <c r="J2531" s="14"/>
      <c r="K2531" s="14"/>
      <c r="L2531" s="14"/>
      <c r="M2531" s="14"/>
    </row>
    <row r="2532" ht="18.75" customHeight="1">
      <c r="A2532" s="14"/>
      <c r="B2532" s="14"/>
      <c r="C2532" s="14"/>
      <c r="D2532" s="14"/>
      <c r="E2532" s="15"/>
      <c r="F2532" s="14"/>
      <c r="G2532" s="14"/>
      <c r="H2532" s="15"/>
      <c r="I2532" s="14"/>
      <c r="J2532" s="14"/>
      <c r="K2532" s="14"/>
      <c r="L2532" s="14"/>
      <c r="M2532" s="14"/>
    </row>
    <row r="2533" ht="18.75" customHeight="1">
      <c r="A2533" s="14"/>
      <c r="B2533" s="14"/>
      <c r="C2533" s="14"/>
      <c r="D2533" s="14"/>
      <c r="E2533" s="15"/>
      <c r="F2533" s="14"/>
      <c r="G2533" s="14"/>
      <c r="H2533" s="15"/>
      <c r="I2533" s="14"/>
      <c r="J2533" s="14"/>
      <c r="K2533" s="14"/>
      <c r="L2533" s="14"/>
      <c r="M2533" s="14"/>
    </row>
    <row r="2534" ht="18.75" customHeight="1">
      <c r="A2534" s="14"/>
      <c r="B2534" s="14"/>
      <c r="C2534" s="14"/>
      <c r="D2534" s="14"/>
      <c r="E2534" s="15"/>
      <c r="F2534" s="14"/>
      <c r="G2534" s="14"/>
      <c r="H2534" s="15"/>
      <c r="I2534" s="14"/>
      <c r="J2534" s="14"/>
      <c r="K2534" s="14"/>
      <c r="L2534" s="14"/>
      <c r="M2534" s="14"/>
    </row>
    <row r="2535" ht="18.75" customHeight="1">
      <c r="A2535" s="14"/>
      <c r="B2535" s="14"/>
      <c r="C2535" s="14"/>
      <c r="D2535" s="14"/>
      <c r="E2535" s="15"/>
      <c r="F2535" s="14"/>
      <c r="G2535" s="14"/>
      <c r="H2535" s="15"/>
      <c r="I2535" s="14"/>
      <c r="J2535" s="14"/>
      <c r="K2535" s="14"/>
      <c r="L2535" s="14"/>
      <c r="M2535" s="14"/>
    </row>
    <row r="2536" ht="18.75" customHeight="1">
      <c r="A2536" s="14"/>
      <c r="B2536" s="14"/>
      <c r="C2536" s="14"/>
      <c r="D2536" s="14"/>
      <c r="E2536" s="15"/>
      <c r="F2536" s="14"/>
      <c r="G2536" s="14"/>
      <c r="H2536" s="15"/>
      <c r="I2536" s="14"/>
      <c r="J2536" s="14"/>
      <c r="K2536" s="14"/>
      <c r="L2536" s="14"/>
      <c r="M2536" s="14"/>
    </row>
    <row r="2537" ht="18.75" customHeight="1">
      <c r="A2537" s="14"/>
      <c r="B2537" s="14"/>
      <c r="C2537" s="14"/>
      <c r="D2537" s="14"/>
      <c r="E2537" s="15"/>
      <c r="F2537" s="14"/>
      <c r="G2537" s="14"/>
      <c r="H2537" s="15"/>
      <c r="I2537" s="14"/>
      <c r="J2537" s="14"/>
      <c r="K2537" s="14"/>
      <c r="L2537" s="14"/>
      <c r="M2537" s="14"/>
    </row>
    <row r="2538" ht="18.75" customHeight="1">
      <c r="A2538" s="14"/>
      <c r="B2538" s="14"/>
      <c r="C2538" s="14"/>
      <c r="D2538" s="14"/>
      <c r="E2538" s="15"/>
      <c r="F2538" s="14"/>
      <c r="G2538" s="14"/>
      <c r="H2538" s="15"/>
      <c r="I2538" s="14"/>
      <c r="J2538" s="14"/>
      <c r="K2538" s="14"/>
      <c r="L2538" s="14"/>
      <c r="M2538" s="14"/>
    </row>
    <row r="2539" ht="18.75" customHeight="1">
      <c r="A2539" s="14"/>
      <c r="B2539" s="14"/>
      <c r="C2539" s="14"/>
      <c r="D2539" s="14"/>
      <c r="E2539" s="15"/>
      <c r="F2539" s="14"/>
      <c r="G2539" s="14"/>
      <c r="H2539" s="15"/>
      <c r="I2539" s="14"/>
      <c r="J2539" s="14"/>
      <c r="K2539" s="14"/>
      <c r="L2539" s="14"/>
      <c r="M2539" s="14"/>
    </row>
    <row r="2540" ht="18.75" customHeight="1">
      <c r="A2540" s="14"/>
      <c r="B2540" s="14"/>
      <c r="C2540" s="14"/>
      <c r="D2540" s="14"/>
      <c r="E2540" s="15"/>
      <c r="F2540" s="14"/>
      <c r="G2540" s="14"/>
      <c r="H2540" s="15"/>
      <c r="I2540" s="14"/>
      <c r="J2540" s="14"/>
      <c r="K2540" s="14"/>
      <c r="L2540" s="14"/>
      <c r="M2540" s="14"/>
    </row>
    <row r="2541" ht="18.75" customHeight="1">
      <c r="A2541" s="14"/>
      <c r="B2541" s="14"/>
      <c r="C2541" s="14"/>
      <c r="D2541" s="14"/>
      <c r="E2541" s="15"/>
      <c r="F2541" s="14"/>
      <c r="G2541" s="14"/>
      <c r="H2541" s="15"/>
      <c r="I2541" s="14"/>
      <c r="J2541" s="14"/>
      <c r="K2541" s="14"/>
      <c r="L2541" s="14"/>
      <c r="M2541" s="14"/>
    </row>
    <row r="2542" ht="18.75" customHeight="1">
      <c r="A2542" s="14"/>
      <c r="B2542" s="14"/>
      <c r="C2542" s="14"/>
      <c r="D2542" s="14"/>
      <c r="E2542" s="15"/>
      <c r="F2542" s="14"/>
      <c r="G2542" s="14"/>
      <c r="H2542" s="15"/>
      <c r="I2542" s="14"/>
      <c r="J2542" s="14"/>
      <c r="K2542" s="14"/>
      <c r="L2542" s="14"/>
      <c r="M2542" s="14"/>
    </row>
    <row r="2543" ht="18.75" customHeight="1">
      <c r="A2543" s="14"/>
      <c r="B2543" s="14"/>
      <c r="C2543" s="14"/>
      <c r="D2543" s="14"/>
      <c r="E2543" s="15"/>
      <c r="F2543" s="14"/>
      <c r="G2543" s="14"/>
      <c r="H2543" s="15"/>
      <c r="I2543" s="14"/>
      <c r="J2543" s="14"/>
      <c r="K2543" s="14"/>
      <c r="L2543" s="14"/>
      <c r="M2543" s="14"/>
    </row>
    <row r="2544" ht="18.75" customHeight="1">
      <c r="A2544" s="14"/>
      <c r="B2544" s="14"/>
      <c r="C2544" s="14"/>
      <c r="D2544" s="14"/>
      <c r="E2544" s="15"/>
      <c r="F2544" s="14"/>
      <c r="G2544" s="14"/>
      <c r="H2544" s="15"/>
      <c r="I2544" s="14"/>
      <c r="J2544" s="14"/>
      <c r="K2544" s="14"/>
      <c r="L2544" s="14"/>
      <c r="M2544" s="14"/>
    </row>
    <row r="2545" ht="18.75" customHeight="1">
      <c r="A2545" s="14"/>
      <c r="B2545" s="14"/>
      <c r="C2545" s="14"/>
      <c r="D2545" s="14"/>
      <c r="E2545" s="15"/>
      <c r="F2545" s="14"/>
      <c r="G2545" s="14"/>
      <c r="H2545" s="15"/>
      <c r="I2545" s="14"/>
      <c r="J2545" s="14"/>
      <c r="K2545" s="14"/>
      <c r="L2545" s="14"/>
      <c r="M2545" s="14"/>
    </row>
    <row r="2546" ht="18.75" customHeight="1">
      <c r="A2546" s="14"/>
      <c r="B2546" s="14"/>
      <c r="C2546" s="14"/>
      <c r="D2546" s="14"/>
      <c r="E2546" s="15"/>
      <c r="F2546" s="14"/>
      <c r="G2546" s="14"/>
      <c r="H2546" s="15"/>
      <c r="I2546" s="14"/>
      <c r="J2546" s="14"/>
      <c r="K2546" s="14"/>
      <c r="L2546" s="14"/>
      <c r="M2546" s="14"/>
    </row>
    <row r="2547" ht="18.75" customHeight="1">
      <c r="A2547" s="14"/>
      <c r="B2547" s="14"/>
      <c r="C2547" s="14"/>
      <c r="D2547" s="14"/>
      <c r="E2547" s="15"/>
      <c r="F2547" s="14"/>
      <c r="G2547" s="14"/>
      <c r="H2547" s="15"/>
      <c r="I2547" s="14"/>
      <c r="J2547" s="14"/>
      <c r="K2547" s="14"/>
      <c r="L2547" s="14"/>
      <c r="M2547" s="14"/>
    </row>
    <row r="2548" ht="18.75" customHeight="1">
      <c r="A2548" s="14"/>
      <c r="B2548" s="14"/>
      <c r="C2548" s="14"/>
      <c r="D2548" s="14"/>
      <c r="E2548" s="15"/>
      <c r="F2548" s="14"/>
      <c r="G2548" s="14"/>
      <c r="H2548" s="15"/>
      <c r="I2548" s="14"/>
      <c r="J2548" s="14"/>
      <c r="K2548" s="14"/>
      <c r="L2548" s="14"/>
      <c r="M2548" s="14"/>
    </row>
    <row r="2549" ht="18.75" customHeight="1">
      <c r="A2549" s="14"/>
      <c r="B2549" s="14"/>
      <c r="C2549" s="14"/>
      <c r="D2549" s="14"/>
      <c r="E2549" s="15"/>
      <c r="F2549" s="14"/>
      <c r="G2549" s="14"/>
      <c r="H2549" s="15"/>
      <c r="I2549" s="14"/>
      <c r="J2549" s="14"/>
      <c r="K2549" s="14"/>
      <c r="L2549" s="14"/>
      <c r="M2549" s="14"/>
    </row>
    <row r="2550" ht="18.75" customHeight="1">
      <c r="A2550" s="14"/>
      <c r="B2550" s="14"/>
      <c r="C2550" s="14"/>
      <c r="D2550" s="14"/>
      <c r="E2550" s="15"/>
      <c r="F2550" s="14"/>
      <c r="G2550" s="14"/>
      <c r="H2550" s="15"/>
      <c r="I2550" s="14"/>
      <c r="J2550" s="14"/>
      <c r="K2550" s="14"/>
      <c r="L2550" s="14"/>
      <c r="M2550" s="14"/>
    </row>
    <row r="2551" ht="18.75" customHeight="1">
      <c r="A2551" s="14"/>
      <c r="B2551" s="14"/>
      <c r="C2551" s="14"/>
      <c r="D2551" s="14"/>
      <c r="E2551" s="15"/>
      <c r="F2551" s="14"/>
      <c r="G2551" s="14"/>
      <c r="H2551" s="15"/>
      <c r="I2551" s="14"/>
      <c r="J2551" s="14"/>
      <c r="K2551" s="14"/>
      <c r="L2551" s="14"/>
      <c r="M2551" s="14"/>
    </row>
    <row r="2552" ht="18.75" customHeight="1">
      <c r="A2552" s="14"/>
      <c r="B2552" s="14"/>
      <c r="C2552" s="14"/>
      <c r="D2552" s="14"/>
      <c r="E2552" s="15"/>
      <c r="F2552" s="14"/>
      <c r="G2552" s="14"/>
      <c r="H2552" s="15"/>
      <c r="I2552" s="14"/>
      <c r="J2552" s="14"/>
      <c r="K2552" s="14"/>
      <c r="L2552" s="14"/>
      <c r="M2552" s="14"/>
    </row>
    <row r="2553" ht="18.75" customHeight="1">
      <c r="A2553" s="14"/>
      <c r="B2553" s="14"/>
      <c r="C2553" s="14"/>
      <c r="D2553" s="14"/>
      <c r="E2553" s="15"/>
      <c r="F2553" s="14"/>
      <c r="G2553" s="14"/>
      <c r="H2553" s="15"/>
      <c r="I2553" s="14"/>
      <c r="J2553" s="14"/>
      <c r="K2553" s="14"/>
      <c r="L2553" s="14"/>
      <c r="M2553" s="14"/>
    </row>
    <row r="2554" ht="18.75" customHeight="1">
      <c r="A2554" s="14"/>
      <c r="B2554" s="14"/>
      <c r="C2554" s="14"/>
      <c r="D2554" s="14"/>
      <c r="E2554" s="15"/>
      <c r="F2554" s="14"/>
      <c r="G2554" s="14"/>
      <c r="H2554" s="15"/>
      <c r="I2554" s="14"/>
      <c r="J2554" s="14"/>
      <c r="K2554" s="14"/>
      <c r="L2554" s="14"/>
      <c r="M2554" s="14"/>
    </row>
    <row r="2555" ht="18.75" customHeight="1">
      <c r="A2555" s="14"/>
      <c r="B2555" s="14"/>
      <c r="C2555" s="14"/>
      <c r="D2555" s="14"/>
      <c r="E2555" s="15"/>
      <c r="F2555" s="14"/>
      <c r="G2555" s="14"/>
      <c r="H2555" s="15"/>
      <c r="I2555" s="14"/>
      <c r="J2555" s="14"/>
      <c r="K2555" s="14"/>
      <c r="L2555" s="14"/>
      <c r="M2555" s="14"/>
    </row>
    <row r="2556" ht="18.75" customHeight="1">
      <c r="A2556" s="14"/>
      <c r="B2556" s="14"/>
      <c r="C2556" s="14"/>
      <c r="D2556" s="14"/>
      <c r="E2556" s="15"/>
      <c r="F2556" s="14"/>
      <c r="G2556" s="14"/>
      <c r="H2556" s="15"/>
      <c r="I2556" s="14"/>
      <c r="J2556" s="14"/>
      <c r="K2556" s="14"/>
      <c r="L2556" s="14"/>
      <c r="M2556" s="14"/>
    </row>
    <row r="2557" ht="18.75" customHeight="1">
      <c r="A2557" s="14"/>
      <c r="B2557" s="14"/>
      <c r="C2557" s="14"/>
      <c r="D2557" s="14"/>
      <c r="E2557" s="15"/>
      <c r="F2557" s="14"/>
      <c r="G2557" s="14"/>
      <c r="H2557" s="15"/>
      <c r="I2557" s="14"/>
      <c r="J2557" s="14"/>
      <c r="K2557" s="14"/>
      <c r="L2557" s="14"/>
      <c r="M2557" s="14"/>
    </row>
    <row r="2558" ht="18.75" customHeight="1">
      <c r="A2558" s="14"/>
      <c r="B2558" s="14"/>
      <c r="C2558" s="14"/>
      <c r="D2558" s="14"/>
      <c r="E2558" s="15"/>
      <c r="F2558" s="14"/>
      <c r="G2558" s="14"/>
      <c r="H2558" s="15"/>
      <c r="I2558" s="14"/>
      <c r="J2558" s="14"/>
      <c r="K2558" s="14"/>
      <c r="L2558" s="14"/>
      <c r="M2558" s="14"/>
    </row>
    <row r="2559" ht="18.75" customHeight="1">
      <c r="A2559" s="14"/>
      <c r="B2559" s="14"/>
      <c r="C2559" s="14"/>
      <c r="D2559" s="14"/>
      <c r="E2559" s="15"/>
      <c r="F2559" s="14"/>
      <c r="G2559" s="14"/>
      <c r="H2559" s="15"/>
      <c r="I2559" s="14"/>
      <c r="J2559" s="14"/>
      <c r="K2559" s="14"/>
      <c r="L2559" s="14"/>
      <c r="M2559" s="14"/>
    </row>
    <row r="2560" ht="18.75" customHeight="1">
      <c r="A2560" s="14"/>
      <c r="B2560" s="14"/>
      <c r="C2560" s="14"/>
      <c r="D2560" s="14"/>
      <c r="E2560" s="15"/>
      <c r="F2560" s="14"/>
      <c r="G2560" s="14"/>
      <c r="H2560" s="15"/>
      <c r="I2560" s="14"/>
      <c r="J2560" s="14"/>
      <c r="K2560" s="14"/>
      <c r="L2560" s="14"/>
      <c r="M2560" s="14"/>
    </row>
    <row r="2561" ht="18.75" customHeight="1">
      <c r="A2561" s="14"/>
      <c r="B2561" s="14"/>
      <c r="C2561" s="14"/>
      <c r="D2561" s="14"/>
      <c r="E2561" s="15"/>
      <c r="F2561" s="14"/>
      <c r="G2561" s="14"/>
      <c r="H2561" s="15"/>
      <c r="I2561" s="14"/>
      <c r="J2561" s="14"/>
      <c r="K2561" s="14"/>
      <c r="L2561" s="14"/>
      <c r="M2561" s="14"/>
    </row>
    <row r="2562" ht="18.75" customHeight="1">
      <c r="A2562" s="14"/>
      <c r="B2562" s="14"/>
      <c r="C2562" s="14"/>
      <c r="D2562" s="14"/>
      <c r="E2562" s="15"/>
      <c r="F2562" s="14"/>
      <c r="G2562" s="14"/>
      <c r="H2562" s="15"/>
      <c r="I2562" s="14"/>
      <c r="J2562" s="14"/>
      <c r="K2562" s="14"/>
      <c r="L2562" s="14"/>
      <c r="M2562" s="14"/>
    </row>
    <row r="2563" ht="18.75" customHeight="1">
      <c r="A2563" s="14"/>
      <c r="B2563" s="14"/>
      <c r="C2563" s="14"/>
      <c r="D2563" s="14"/>
      <c r="E2563" s="15"/>
      <c r="F2563" s="14"/>
      <c r="G2563" s="14"/>
      <c r="H2563" s="15"/>
      <c r="I2563" s="14"/>
      <c r="J2563" s="14"/>
      <c r="K2563" s="14"/>
      <c r="L2563" s="14"/>
      <c r="M2563" s="14"/>
    </row>
    <row r="2564" ht="18.75" customHeight="1">
      <c r="A2564" s="14"/>
      <c r="B2564" s="14"/>
      <c r="C2564" s="14"/>
      <c r="D2564" s="14"/>
      <c r="E2564" s="15"/>
      <c r="F2564" s="14"/>
      <c r="G2564" s="14"/>
      <c r="H2564" s="15"/>
      <c r="I2564" s="14"/>
      <c r="J2564" s="14"/>
      <c r="K2564" s="14"/>
      <c r="L2564" s="14"/>
      <c r="M2564" s="14"/>
    </row>
    <row r="2565" ht="18.75" customHeight="1">
      <c r="A2565" s="14"/>
      <c r="B2565" s="14"/>
      <c r="C2565" s="14"/>
      <c r="D2565" s="14"/>
      <c r="E2565" s="15"/>
      <c r="F2565" s="14"/>
      <c r="G2565" s="14"/>
      <c r="H2565" s="15"/>
      <c r="I2565" s="14"/>
      <c r="J2565" s="14"/>
      <c r="K2565" s="14"/>
      <c r="L2565" s="14"/>
      <c r="M2565" s="14"/>
    </row>
    <row r="2566" ht="18.75" customHeight="1">
      <c r="A2566" s="14"/>
      <c r="B2566" s="14"/>
      <c r="C2566" s="14"/>
      <c r="D2566" s="14"/>
      <c r="E2566" s="15"/>
      <c r="F2566" s="14"/>
      <c r="G2566" s="14"/>
      <c r="H2566" s="15"/>
      <c r="I2566" s="14"/>
      <c r="J2566" s="14"/>
      <c r="K2566" s="14"/>
      <c r="L2566" s="14"/>
      <c r="M2566" s="14"/>
    </row>
    <row r="2567" ht="18.75" customHeight="1">
      <c r="A2567" s="14"/>
      <c r="B2567" s="14"/>
      <c r="C2567" s="14"/>
      <c r="D2567" s="14"/>
      <c r="E2567" s="15"/>
      <c r="F2567" s="14"/>
      <c r="G2567" s="14"/>
      <c r="H2567" s="15"/>
      <c r="I2567" s="14"/>
      <c r="J2567" s="14"/>
      <c r="K2567" s="14"/>
      <c r="L2567" s="14"/>
      <c r="M2567" s="14"/>
    </row>
    <row r="2568" ht="18.75" customHeight="1">
      <c r="A2568" s="14"/>
      <c r="B2568" s="14"/>
      <c r="C2568" s="14"/>
      <c r="D2568" s="14"/>
      <c r="E2568" s="15"/>
      <c r="F2568" s="14"/>
      <c r="G2568" s="14"/>
      <c r="H2568" s="15"/>
      <c r="I2568" s="14"/>
      <c r="J2568" s="14"/>
      <c r="K2568" s="14"/>
      <c r="L2568" s="14"/>
      <c r="M2568" s="14"/>
    </row>
    <row r="2569" ht="18.75" customHeight="1">
      <c r="A2569" s="14"/>
      <c r="B2569" s="14"/>
      <c r="C2569" s="14"/>
      <c r="D2569" s="14"/>
      <c r="E2569" s="15"/>
      <c r="F2569" s="14"/>
      <c r="G2569" s="14"/>
      <c r="H2569" s="15"/>
      <c r="I2569" s="14"/>
      <c r="J2569" s="14"/>
      <c r="K2569" s="14"/>
      <c r="L2569" s="14"/>
      <c r="M2569" s="14"/>
    </row>
    <row r="2570" ht="18.75" customHeight="1">
      <c r="A2570" s="14"/>
      <c r="B2570" s="14"/>
      <c r="C2570" s="14"/>
      <c r="D2570" s="14"/>
      <c r="E2570" s="15"/>
      <c r="F2570" s="14"/>
      <c r="G2570" s="14"/>
      <c r="H2570" s="15"/>
      <c r="I2570" s="14"/>
      <c r="J2570" s="14"/>
      <c r="K2570" s="14"/>
      <c r="L2570" s="14"/>
      <c r="M2570" s="14"/>
    </row>
    <row r="2571" ht="18.75" customHeight="1">
      <c r="A2571" s="14"/>
      <c r="B2571" s="14"/>
      <c r="C2571" s="14"/>
      <c r="D2571" s="14"/>
      <c r="E2571" s="15"/>
      <c r="F2571" s="14"/>
      <c r="G2571" s="14"/>
      <c r="H2571" s="15"/>
      <c r="I2571" s="14"/>
      <c r="J2571" s="14"/>
      <c r="K2571" s="14"/>
      <c r="L2571" s="14"/>
      <c r="M2571" s="14"/>
    </row>
    <row r="2572" ht="18.75" customHeight="1">
      <c r="A2572" s="14"/>
      <c r="B2572" s="14"/>
      <c r="C2572" s="14"/>
      <c r="D2572" s="14"/>
      <c r="E2572" s="15"/>
      <c r="F2572" s="14"/>
      <c r="G2572" s="14"/>
      <c r="H2572" s="15"/>
      <c r="I2572" s="14"/>
      <c r="J2572" s="14"/>
      <c r="K2572" s="14"/>
      <c r="L2572" s="14"/>
      <c r="M2572" s="14"/>
    </row>
    <row r="2573" ht="18.75" customHeight="1">
      <c r="A2573" s="14"/>
      <c r="B2573" s="14"/>
      <c r="C2573" s="14"/>
      <c r="D2573" s="14"/>
      <c r="E2573" s="15"/>
      <c r="F2573" s="14"/>
      <c r="G2573" s="14"/>
      <c r="H2573" s="15"/>
      <c r="I2573" s="14"/>
      <c r="J2573" s="14"/>
      <c r="K2573" s="14"/>
      <c r="L2573" s="14"/>
      <c r="M2573" s="14"/>
    </row>
    <row r="2574" ht="18.75" customHeight="1">
      <c r="A2574" s="14"/>
      <c r="B2574" s="14"/>
      <c r="C2574" s="14"/>
      <c r="D2574" s="14"/>
      <c r="E2574" s="15"/>
      <c r="F2574" s="14"/>
      <c r="G2574" s="14"/>
      <c r="H2574" s="15"/>
      <c r="I2574" s="14"/>
      <c r="J2574" s="14"/>
      <c r="K2574" s="14"/>
      <c r="L2574" s="14"/>
      <c r="M2574" s="14"/>
    </row>
    <row r="2575" ht="18.75" customHeight="1">
      <c r="A2575" s="14"/>
      <c r="B2575" s="14"/>
      <c r="C2575" s="14"/>
      <c r="D2575" s="14"/>
      <c r="E2575" s="15"/>
      <c r="F2575" s="14"/>
      <c r="G2575" s="14"/>
      <c r="H2575" s="15"/>
      <c r="I2575" s="14"/>
      <c r="J2575" s="14"/>
      <c r="K2575" s="14"/>
      <c r="L2575" s="14"/>
      <c r="M2575" s="14"/>
    </row>
    <row r="2576" ht="18.75" customHeight="1">
      <c r="A2576" s="14"/>
      <c r="B2576" s="14"/>
      <c r="C2576" s="14"/>
      <c r="D2576" s="14"/>
      <c r="E2576" s="15"/>
      <c r="F2576" s="14"/>
      <c r="G2576" s="14"/>
      <c r="H2576" s="15"/>
      <c r="I2576" s="14"/>
      <c r="J2576" s="14"/>
      <c r="K2576" s="14"/>
      <c r="L2576" s="14"/>
      <c r="M2576" s="14"/>
    </row>
    <row r="2577" ht="18.75" customHeight="1">
      <c r="A2577" s="14"/>
      <c r="B2577" s="14"/>
      <c r="C2577" s="14"/>
      <c r="D2577" s="14"/>
      <c r="E2577" s="15"/>
      <c r="F2577" s="14"/>
      <c r="G2577" s="14"/>
      <c r="H2577" s="15"/>
      <c r="I2577" s="14"/>
      <c r="J2577" s="14"/>
      <c r="K2577" s="14"/>
      <c r="L2577" s="14"/>
      <c r="M2577" s="14"/>
    </row>
    <row r="2578" ht="18.75" customHeight="1">
      <c r="A2578" s="14"/>
      <c r="B2578" s="14"/>
      <c r="C2578" s="14"/>
      <c r="D2578" s="14"/>
      <c r="E2578" s="15"/>
      <c r="F2578" s="14"/>
      <c r="G2578" s="14"/>
      <c r="H2578" s="15"/>
      <c r="I2578" s="14"/>
      <c r="J2578" s="14"/>
      <c r="K2578" s="14"/>
      <c r="L2578" s="14"/>
      <c r="M2578" s="14"/>
    </row>
    <row r="2579" ht="18.75" customHeight="1">
      <c r="A2579" s="14"/>
      <c r="B2579" s="14"/>
      <c r="C2579" s="14"/>
      <c r="D2579" s="14"/>
      <c r="E2579" s="15"/>
      <c r="F2579" s="14"/>
      <c r="G2579" s="14"/>
      <c r="H2579" s="15"/>
      <c r="I2579" s="14"/>
      <c r="J2579" s="14"/>
      <c r="K2579" s="14"/>
      <c r="L2579" s="14"/>
      <c r="M2579" s="14"/>
    </row>
    <row r="2580" ht="18.75" customHeight="1">
      <c r="A2580" s="14"/>
      <c r="B2580" s="14"/>
      <c r="C2580" s="14"/>
      <c r="D2580" s="14"/>
      <c r="E2580" s="15"/>
      <c r="F2580" s="14"/>
      <c r="G2580" s="14"/>
      <c r="I2580" s="14"/>
      <c r="J2580" s="14"/>
      <c r="K2580" s="14"/>
      <c r="L2580" s="14"/>
      <c r="M2580" s="14"/>
    </row>
    <row r="2581" ht="18.75" customHeight="1">
      <c r="A2581" s="14"/>
      <c r="B2581" s="14"/>
      <c r="C2581" s="14"/>
      <c r="D2581" s="14"/>
      <c r="E2581" s="15"/>
      <c r="F2581" s="14"/>
      <c r="G2581" s="14"/>
      <c r="H2581" s="15"/>
      <c r="I2581" s="14"/>
      <c r="J2581" s="14"/>
      <c r="K2581" s="14"/>
      <c r="L2581" s="14"/>
      <c r="M2581" s="14"/>
    </row>
    <row r="2582" ht="18.75" customHeight="1">
      <c r="A2582" s="14"/>
      <c r="B2582" s="14"/>
      <c r="C2582" s="14"/>
      <c r="D2582" s="14"/>
      <c r="E2582" s="15"/>
      <c r="F2582" s="14"/>
      <c r="G2582" s="14"/>
      <c r="H2582" s="15"/>
      <c r="I2582" s="14"/>
      <c r="J2582" s="14"/>
      <c r="K2582" s="14"/>
      <c r="L2582" s="14"/>
      <c r="M2582" s="14"/>
    </row>
    <row r="2583" ht="18.75" customHeight="1">
      <c r="A2583" s="14"/>
      <c r="B2583" s="14"/>
      <c r="C2583" s="14"/>
      <c r="D2583" s="14"/>
      <c r="E2583" s="15"/>
      <c r="F2583" s="14"/>
      <c r="G2583" s="14"/>
      <c r="H2583" s="15"/>
      <c r="I2583" s="14"/>
      <c r="J2583" s="14"/>
      <c r="K2583" s="14"/>
      <c r="L2583" s="14"/>
      <c r="M2583" s="14"/>
    </row>
    <row r="2584" ht="18.75" customHeight="1">
      <c r="A2584" s="14"/>
      <c r="B2584" s="14"/>
      <c r="C2584" s="14"/>
      <c r="D2584" s="14"/>
      <c r="E2584" s="15"/>
      <c r="F2584" s="14"/>
      <c r="G2584" s="14"/>
      <c r="H2584" s="15"/>
      <c r="I2584" s="14"/>
      <c r="J2584" s="14"/>
      <c r="K2584" s="14"/>
      <c r="L2584" s="14"/>
      <c r="M2584" s="14"/>
    </row>
    <row r="2585" ht="18.75" customHeight="1">
      <c r="A2585" s="14"/>
      <c r="B2585" s="14"/>
      <c r="C2585" s="14"/>
      <c r="D2585" s="14"/>
      <c r="E2585" s="15"/>
      <c r="F2585" s="14"/>
      <c r="G2585" s="14"/>
      <c r="H2585" s="15"/>
      <c r="I2585" s="14"/>
      <c r="J2585" s="14"/>
      <c r="K2585" s="14"/>
      <c r="L2585" s="14"/>
      <c r="M2585" s="14"/>
    </row>
    <row r="2586" ht="18.75" customHeight="1">
      <c r="A2586" s="14"/>
      <c r="B2586" s="14"/>
      <c r="C2586" s="14"/>
      <c r="D2586" s="14"/>
      <c r="E2586" s="15"/>
      <c r="F2586" s="14"/>
      <c r="G2586" s="14"/>
      <c r="H2586" s="15"/>
      <c r="I2586" s="14"/>
      <c r="J2586" s="14"/>
      <c r="K2586" s="14"/>
      <c r="L2586" s="14"/>
      <c r="M2586" s="14"/>
    </row>
    <row r="2587" ht="18.75" customHeight="1">
      <c r="A2587" s="14"/>
      <c r="B2587" s="14"/>
      <c r="C2587" s="14"/>
      <c r="D2587" s="14"/>
      <c r="E2587" s="15"/>
      <c r="F2587" s="14"/>
      <c r="G2587" s="14"/>
      <c r="H2587" s="15"/>
      <c r="I2587" s="14"/>
      <c r="J2587" s="14"/>
      <c r="K2587" s="14"/>
      <c r="L2587" s="14"/>
      <c r="M2587" s="14"/>
    </row>
    <row r="2588" ht="18.75" customHeight="1">
      <c r="A2588" s="14"/>
      <c r="B2588" s="14"/>
      <c r="C2588" s="14"/>
      <c r="D2588" s="14"/>
      <c r="E2588" s="15"/>
      <c r="F2588" s="14"/>
      <c r="G2588" s="14"/>
      <c r="H2588" s="15"/>
      <c r="I2588" s="14"/>
      <c r="J2588" s="14"/>
      <c r="K2588" s="14"/>
      <c r="L2588" s="14"/>
      <c r="M2588" s="14"/>
    </row>
    <row r="2589" ht="18.75" customHeight="1">
      <c r="A2589" s="14"/>
      <c r="B2589" s="14"/>
      <c r="C2589" s="14"/>
      <c r="D2589" s="14"/>
      <c r="E2589" s="15"/>
      <c r="F2589" s="14"/>
      <c r="G2589" s="14"/>
      <c r="H2589" s="15"/>
      <c r="I2589" s="14"/>
      <c r="J2589" s="14"/>
      <c r="K2589" s="14"/>
      <c r="L2589" s="14"/>
      <c r="M2589" s="14"/>
    </row>
    <row r="2590" ht="18.75" customHeight="1">
      <c r="A2590" s="14"/>
      <c r="B2590" s="14"/>
      <c r="C2590" s="14"/>
      <c r="D2590" s="14"/>
      <c r="E2590" s="15"/>
      <c r="F2590" s="14"/>
      <c r="G2590" s="14"/>
      <c r="H2590" s="15"/>
      <c r="I2590" s="14"/>
      <c r="J2590" s="14"/>
      <c r="K2590" s="14"/>
      <c r="L2590" s="14"/>
      <c r="M2590" s="14"/>
    </row>
    <row r="2591" ht="18.75" customHeight="1">
      <c r="A2591" s="14"/>
      <c r="B2591" s="14"/>
      <c r="C2591" s="14"/>
      <c r="D2591" s="14"/>
      <c r="E2591" s="15"/>
      <c r="F2591" s="14"/>
      <c r="G2591" s="14"/>
      <c r="H2591" s="15"/>
      <c r="I2591" s="14"/>
      <c r="J2591" s="14"/>
      <c r="K2591" s="14"/>
      <c r="L2591" s="14"/>
      <c r="M2591" s="14"/>
    </row>
    <row r="2592" ht="18.75" customHeight="1">
      <c r="A2592" s="14"/>
      <c r="B2592" s="14"/>
      <c r="C2592" s="14"/>
      <c r="D2592" s="14"/>
      <c r="E2592" s="15"/>
      <c r="F2592" s="14"/>
      <c r="G2592" s="14"/>
      <c r="H2592" s="15"/>
      <c r="I2592" s="14"/>
      <c r="J2592" s="14"/>
      <c r="K2592" s="14"/>
      <c r="L2592" s="14"/>
      <c r="M2592" s="14"/>
    </row>
    <row r="2593" ht="18.75" customHeight="1">
      <c r="A2593" s="14"/>
      <c r="B2593" s="14"/>
      <c r="C2593" s="14"/>
      <c r="D2593" s="14"/>
      <c r="E2593" s="15"/>
      <c r="F2593" s="14"/>
      <c r="G2593" s="14"/>
    </row>
    <row r="2594" ht="18.75" customHeight="1">
      <c r="A2594" s="14"/>
      <c r="B2594" s="14"/>
      <c r="C2594" s="14"/>
      <c r="D2594" s="14"/>
      <c r="E2594" s="15"/>
      <c r="F2594" s="14"/>
      <c r="G2594" s="14"/>
    </row>
    <row r="2595" ht="18.75" customHeight="1">
      <c r="A2595" s="14"/>
      <c r="C2595" s="14"/>
      <c r="D2595" s="14"/>
      <c r="E2595" s="15"/>
      <c r="F2595" s="14"/>
      <c r="G2595" s="14"/>
    </row>
    <row r="2596" ht="18.75" customHeight="1"/>
    <row r="2597" ht="18.75" customHeight="1"/>
    <row r="2598" ht="18.75" customHeight="1"/>
    <row r="2599" ht="18.75" customHeight="1"/>
    <row r="2600" ht="18.75" customHeight="1"/>
    <row r="2601" ht="18.75" customHeight="1"/>
    <row r="2602" ht="18.75" customHeight="1"/>
    <row r="2603" ht="18.75" customHeight="1"/>
    <row r="2604" ht="18.75" customHeight="1"/>
    <row r="2605" ht="18.75" customHeight="1"/>
    <row r="2606" ht="18.75" customHeight="1"/>
    <row r="2607" ht="18.75" customHeight="1"/>
    <row r="2608" ht="18.75" customHeight="1"/>
    <row r="2609" ht="18.75" customHeight="1"/>
    <row r="2610" ht="18.75" customHeight="1"/>
    <row r="2611" ht="18.75" customHeight="1"/>
    <row r="2612" ht="18.75" customHeight="1"/>
    <row r="2613" ht="18.75" customHeight="1"/>
    <row r="2614" ht="18.75" customHeight="1"/>
    <row r="2615" ht="18.75" customHeight="1"/>
    <row r="2616" ht="18.75" customHeight="1"/>
    <row r="2617" ht="18.75" customHeight="1"/>
    <row r="2618" ht="18.75" customHeight="1"/>
    <row r="2619" ht="18.75" customHeight="1"/>
    <row r="2620" ht="18.75" customHeight="1"/>
    <row r="2621" ht="18.75" customHeight="1"/>
    <row r="2622" ht="18.75" customHeight="1"/>
    <row r="2623" ht="18.75" customHeight="1"/>
    <row r="2624" ht="18.75" customHeight="1"/>
    <row r="2625" ht="18.75" customHeight="1"/>
    <row r="2626" ht="18.75" customHeight="1"/>
    <row r="2627" ht="18.75" customHeight="1"/>
    <row r="2628" ht="18.75" customHeight="1"/>
    <row r="2629" ht="18.75" customHeight="1"/>
    <row r="2630" ht="18.75" customHeight="1"/>
    <row r="2631" ht="18.75" customHeight="1"/>
    <row r="2632" ht="18.75" customHeight="1"/>
    <row r="2633" ht="18.75" customHeight="1"/>
    <row r="2634" ht="18.75" customHeight="1"/>
    <row r="2635" ht="18.75" customHeight="1"/>
    <row r="2636" ht="18.75" customHeight="1"/>
    <row r="2637" ht="18.75" customHeight="1"/>
    <row r="2638" ht="18.75" customHeight="1"/>
    <row r="2639" ht="18.75" customHeight="1"/>
    <row r="2640" ht="18.75" customHeight="1"/>
    <row r="2641" ht="18.75" customHeight="1"/>
    <row r="2642" ht="18.75" customHeight="1"/>
    <row r="2643" ht="18.75" customHeight="1"/>
    <row r="2644" ht="18.75" customHeight="1"/>
    <row r="2645" ht="18.75" customHeight="1"/>
    <row r="2646" ht="18.75" customHeight="1"/>
    <row r="2647" ht="18.75" customHeight="1"/>
    <row r="2648" ht="18.75" customHeight="1"/>
    <row r="2649" ht="18.75" customHeight="1"/>
    <row r="2650" ht="18.75" customHeight="1"/>
    <row r="2651" ht="18.75" customHeight="1"/>
    <row r="2652" ht="18.75" customHeight="1"/>
    <row r="2653" ht="18.75" customHeight="1"/>
    <row r="2654" ht="18.75" customHeight="1"/>
    <row r="2655" ht="18.75" customHeight="1"/>
    <row r="2656" ht="18.75" customHeight="1"/>
    <row r="2657" ht="18.75" customHeight="1"/>
    <row r="2658" ht="18.75" customHeight="1"/>
    <row r="2659" ht="18.75" customHeight="1"/>
    <row r="2660" ht="18.75" customHeight="1"/>
    <row r="2661" ht="18.75" customHeight="1"/>
    <row r="2662" ht="18.75" customHeight="1"/>
    <row r="2663" ht="18.75" customHeight="1"/>
    <row r="2664" ht="18.75" customHeight="1"/>
    <row r="2665" ht="18.75" customHeight="1"/>
    <row r="2666" ht="18.75" customHeight="1"/>
    <row r="2667" ht="18.75" customHeight="1"/>
    <row r="2668" ht="18.75" customHeight="1"/>
    <row r="2669" ht="18.75" customHeight="1"/>
    <row r="2670" ht="18.75" customHeight="1"/>
    <row r="2671" ht="18.75" customHeight="1"/>
    <row r="2672" ht="18.75" customHeight="1"/>
    <row r="2673" ht="18.75" customHeight="1"/>
    <row r="2674" ht="18.75" customHeight="1"/>
    <row r="2675" ht="18.75" customHeight="1"/>
    <row r="2676" ht="18.75" customHeight="1"/>
    <row r="2677" ht="18.75" customHeight="1"/>
    <row r="2678" ht="18.75" customHeight="1"/>
    <row r="2679" ht="18.75" customHeight="1"/>
    <row r="2680" ht="18.75" customHeight="1"/>
    <row r="2681" ht="18.75" customHeight="1"/>
    <row r="2682" ht="18.75" customHeight="1"/>
    <row r="2683" ht="18.75" customHeight="1"/>
    <row r="2684" ht="18.75" customHeight="1"/>
    <row r="2685" ht="18.75" customHeight="1"/>
    <row r="2686" ht="18.75" customHeight="1"/>
    <row r="2687" ht="18.75" customHeight="1"/>
    <row r="2688" ht="18.75" customHeight="1"/>
    <row r="2689" ht="18.75" customHeight="1"/>
    <row r="2690" ht="18.75" customHeight="1"/>
    <row r="2691" ht="18.75" customHeight="1"/>
    <row r="2692" ht="18.75" customHeight="1"/>
    <row r="2693" ht="18.75" customHeight="1"/>
    <row r="2694" ht="18.75" customHeight="1"/>
    <row r="2695" ht="18.75" customHeight="1"/>
    <row r="2696" ht="18.75" customHeight="1"/>
    <row r="2697" ht="18.75" customHeight="1"/>
    <row r="2698" ht="18.75" customHeight="1"/>
    <row r="2699" ht="18.75" customHeight="1"/>
    <row r="2700" ht="18.75" customHeight="1"/>
    <row r="2701" ht="18.75" customHeight="1"/>
    <row r="2702" ht="18.75" customHeight="1"/>
    <row r="2703" ht="18.75" customHeight="1"/>
    <row r="2704" ht="18.75" customHeight="1"/>
    <row r="2705" ht="18.75" customHeight="1"/>
    <row r="2706" ht="18.75" customHeight="1"/>
    <row r="2707" ht="18.75" customHeight="1"/>
    <row r="2708" ht="18.75" customHeight="1"/>
    <row r="2709" ht="18.75" customHeight="1"/>
    <row r="2710" ht="18.75" customHeight="1"/>
    <row r="2711" ht="18.75" customHeight="1"/>
    <row r="2712" ht="18.75" customHeight="1"/>
    <row r="2713" ht="18.75" customHeight="1"/>
    <row r="2714" ht="18.75" customHeight="1"/>
    <row r="2715" ht="18.75" customHeight="1"/>
    <row r="2716" ht="18.75" customHeight="1"/>
    <row r="2717" ht="18.75" customHeight="1"/>
    <row r="2718" ht="18.75" customHeight="1"/>
    <row r="2719" ht="18.75" customHeight="1"/>
    <row r="2720" ht="18.75" customHeight="1"/>
    <row r="2721" ht="18.75" customHeight="1"/>
    <row r="2722" ht="18.75" customHeight="1"/>
    <row r="2723" ht="18.75" customHeight="1"/>
    <row r="2724" ht="18.75" customHeight="1"/>
    <row r="2725" ht="18.75" customHeight="1"/>
    <row r="2726" ht="18.75" customHeight="1"/>
    <row r="2727" ht="18.75" customHeight="1"/>
    <row r="2728" ht="18.75" customHeight="1"/>
    <row r="2729" ht="18.75" customHeight="1"/>
    <row r="2730" ht="18.75" customHeight="1"/>
    <row r="2731" ht="18.75" customHeight="1"/>
    <row r="2732" ht="18.75" customHeight="1"/>
    <row r="2733" ht="18.75" customHeight="1"/>
    <row r="2734" ht="18.75" customHeight="1"/>
    <row r="2735" ht="18.75" customHeight="1"/>
    <row r="2736" ht="18.75" customHeight="1"/>
    <row r="2737" ht="18.75" customHeight="1"/>
    <row r="2738" ht="18.75" customHeight="1"/>
    <row r="2739" ht="18.75" customHeight="1"/>
    <row r="2740" ht="18.75" customHeight="1"/>
    <row r="2741" ht="18.75" customHeight="1"/>
    <row r="2742" ht="18.75" customHeight="1"/>
    <row r="2743" ht="18.75" customHeight="1"/>
    <row r="2744" ht="18.75" customHeight="1"/>
    <row r="2745" ht="18.75" customHeight="1"/>
    <row r="2746" ht="18.75" customHeight="1"/>
    <row r="2747" ht="18.75" customHeight="1"/>
    <row r="2748" ht="18.75" customHeight="1"/>
    <row r="2749" ht="18.75" customHeight="1"/>
    <row r="2750" ht="18.75" customHeight="1"/>
    <row r="2751" ht="18.75" customHeight="1"/>
    <row r="2752" ht="18.75" customHeight="1"/>
    <row r="2753" ht="18.75" customHeight="1"/>
    <row r="2754" ht="18.75" customHeight="1"/>
    <row r="2755" ht="18.75" customHeight="1"/>
    <row r="2756" ht="18.75" customHeight="1"/>
    <row r="2757" ht="18.75" customHeight="1"/>
    <row r="2758" ht="18.75" customHeight="1"/>
    <row r="2759" ht="18.75" customHeight="1"/>
    <row r="2760" ht="18.75" customHeight="1"/>
    <row r="2761" ht="18.75" customHeight="1"/>
    <row r="2762" ht="18.75" customHeight="1"/>
    <row r="2763" ht="18.75" customHeight="1"/>
    <row r="2764" ht="18.75" customHeight="1"/>
    <row r="2765" ht="18.75" customHeight="1"/>
    <row r="2766" ht="18.75" customHeight="1"/>
    <row r="2767" ht="18.75" customHeight="1"/>
    <row r="2768" ht="18.75" customHeight="1"/>
    <row r="2769" ht="18.75" customHeight="1"/>
    <row r="2770" ht="18.75" customHeight="1"/>
    <row r="2771" ht="18.75" customHeight="1"/>
    <row r="2772" ht="18.75" customHeight="1"/>
    <row r="2773" ht="18.75" customHeight="1"/>
    <row r="2774" ht="18.75" customHeight="1"/>
    <row r="2775" ht="18.75" customHeight="1"/>
    <row r="2776" ht="18.75" customHeight="1"/>
    <row r="2777" ht="18.75" customHeight="1"/>
    <row r="2778" ht="18.75" customHeight="1"/>
    <row r="2779" ht="18.75" customHeight="1"/>
    <row r="2780" ht="18.75" customHeight="1"/>
    <row r="2781" ht="18.75" customHeight="1"/>
    <row r="2782" ht="18.75" customHeight="1"/>
    <row r="2783" ht="18.75" customHeight="1"/>
    <row r="2784" ht="18.75" customHeight="1"/>
    <row r="2785" ht="18.75" customHeight="1"/>
    <row r="2786" ht="18.75" customHeight="1"/>
    <row r="2787" ht="18.75" customHeight="1"/>
    <row r="2788" ht="18.75" customHeight="1"/>
    <row r="2789" ht="18.75" customHeight="1"/>
    <row r="2790" ht="18.75" customHeight="1"/>
    <row r="2791" ht="18.75" customHeight="1"/>
    <row r="2792" ht="18.75" customHeight="1"/>
    <row r="2793" ht="18.75" customHeight="1"/>
    <row r="2794" ht="18.75" customHeight="1"/>
    <row r="2795" ht="18.75" customHeight="1"/>
    <row r="2796" ht="18.75" customHeight="1"/>
    <row r="2797" ht="18.75" customHeight="1"/>
    <row r="2798" ht="18.75" customHeight="1"/>
    <row r="2799" ht="18.75" customHeight="1"/>
    <row r="2800" ht="18.75" customHeight="1"/>
    <row r="2801" ht="18.75" customHeight="1"/>
    <row r="2802" ht="18.75" customHeight="1"/>
    <row r="2803" ht="18.75" customHeight="1"/>
    <row r="2804" ht="18.75" customHeight="1"/>
    <row r="2805" ht="18.75" customHeight="1"/>
    <row r="2806" ht="18.75" customHeight="1"/>
    <row r="2807" ht="18.75" customHeight="1"/>
    <row r="2808" ht="18.75" customHeight="1"/>
    <row r="2809" ht="18.75" customHeight="1"/>
    <row r="2810" ht="18.75" customHeight="1"/>
    <row r="2811" ht="18.75" customHeight="1"/>
    <row r="2812" ht="18.75" customHeight="1"/>
    <row r="2813" ht="18.75" customHeight="1"/>
    <row r="2814" ht="18.75" customHeight="1"/>
    <row r="2815" ht="18.75" customHeight="1"/>
    <row r="2816" ht="18.75" customHeight="1"/>
    <row r="2817" ht="18.75" customHeight="1"/>
    <row r="2818" ht="18.75" customHeight="1"/>
    <row r="2819" ht="18.75" customHeight="1"/>
    <row r="2820" ht="18.75" customHeight="1"/>
    <row r="2821" ht="18.75" customHeight="1"/>
    <row r="2822" ht="18.75" customHeight="1"/>
    <row r="2823" ht="18.75" customHeight="1"/>
    <row r="2824" ht="18.75" customHeight="1"/>
    <row r="2825" ht="18.75" customHeight="1"/>
    <row r="2826" ht="18.75" customHeight="1"/>
    <row r="2827" ht="18.75" customHeight="1"/>
    <row r="2828" ht="18.75" customHeight="1"/>
    <row r="2829" ht="18.75" customHeight="1"/>
    <row r="2830" ht="18.75" customHeight="1"/>
    <row r="2831" ht="18.75" customHeight="1"/>
    <row r="2832" ht="18.75" customHeight="1"/>
    <row r="2833" ht="18.75" customHeight="1"/>
    <row r="2834" ht="18.75" customHeight="1"/>
    <row r="2835" ht="18.75" customHeight="1"/>
    <row r="2836" ht="18.75" customHeight="1"/>
    <row r="2837" ht="18.75" customHeight="1"/>
    <row r="2838" ht="18.75" customHeight="1"/>
    <row r="2839" ht="18.75" customHeight="1"/>
    <row r="2840" ht="18.75" customHeight="1"/>
    <row r="2841" ht="18.75" customHeight="1"/>
    <row r="2842" ht="18.75" customHeight="1"/>
    <row r="2843" ht="18.75" customHeight="1"/>
    <row r="2844" ht="18.75" customHeight="1"/>
    <row r="2845" ht="18.75" customHeight="1"/>
    <row r="2846" ht="18.75" customHeight="1"/>
    <row r="2847" ht="18.75" customHeight="1"/>
    <row r="2848" ht="18.75" customHeight="1"/>
    <row r="2849" ht="18.75" customHeight="1"/>
    <row r="2850" ht="18.75" customHeight="1"/>
    <row r="2851" ht="18.75" customHeight="1"/>
    <row r="2852" ht="18.75" customHeight="1"/>
    <row r="2853" ht="18.75" customHeight="1"/>
    <row r="2854" ht="18.75" customHeight="1"/>
    <row r="2855" ht="18.75" customHeight="1"/>
    <row r="2856" ht="18.75" customHeight="1"/>
    <row r="2857" ht="18.75" customHeight="1"/>
    <row r="2858" ht="18.75" customHeight="1"/>
    <row r="2859" ht="18.75" customHeight="1"/>
    <row r="2860" ht="18.75" customHeight="1"/>
    <row r="2861" ht="18.75" customHeight="1"/>
    <row r="2862" ht="18.75" customHeight="1"/>
    <row r="2863" ht="18.75" customHeight="1"/>
    <row r="2864" ht="18.75" customHeight="1"/>
    <row r="2865" ht="18.75" customHeight="1"/>
    <row r="2866" ht="18.75" customHeight="1"/>
    <row r="2867" ht="18.75" customHeight="1"/>
    <row r="2868" ht="18.75" customHeight="1"/>
    <row r="2869" ht="18.75" customHeight="1"/>
    <row r="2870" ht="18.75" customHeight="1"/>
    <row r="2871" ht="18.75" customHeight="1"/>
    <row r="2872" ht="18.75" customHeight="1"/>
    <row r="2873" ht="18.75" customHeight="1"/>
    <row r="2874" ht="18.75" customHeight="1"/>
    <row r="2875" ht="18.75" customHeight="1"/>
    <row r="2876" ht="18.75" customHeight="1"/>
    <row r="2877" ht="18.75" customHeight="1"/>
    <row r="2878" ht="18.75" customHeight="1"/>
    <row r="2879" ht="18.75" customHeight="1"/>
    <row r="2880" ht="18.75" customHeight="1"/>
    <row r="2881" ht="18.75" customHeight="1"/>
    <row r="2882" ht="18.75" customHeight="1"/>
    <row r="2883" ht="18.75" customHeight="1"/>
    <row r="2884" ht="18.75" customHeight="1"/>
    <row r="2885" ht="18.75" customHeight="1"/>
    <row r="2886" ht="18.75" customHeight="1"/>
    <row r="2887" ht="18.75" customHeight="1"/>
    <row r="2888" ht="18.75" customHeight="1"/>
    <row r="2889" ht="18.75" customHeight="1"/>
    <row r="2890" ht="18.75" customHeight="1"/>
    <row r="2891" ht="18.75" customHeight="1"/>
    <row r="2892" ht="18.75" customHeight="1"/>
    <row r="2893" ht="18.75" customHeight="1"/>
    <row r="2894" ht="18.75" customHeight="1"/>
    <row r="2895" ht="18.75" customHeight="1"/>
    <row r="2896" ht="18.75" customHeight="1"/>
    <row r="2897" ht="18.75" customHeight="1"/>
    <row r="2898" ht="18.75" customHeight="1"/>
    <row r="2899" ht="18.75" customHeight="1"/>
    <row r="2900" ht="18.75" customHeight="1"/>
    <row r="2901" ht="18.75" customHeight="1"/>
    <row r="2902" ht="18.75" customHeight="1"/>
    <row r="2903" ht="18.75" customHeight="1"/>
    <row r="2904" ht="18.75" customHeight="1"/>
    <row r="2905" ht="18.75" customHeight="1"/>
    <row r="2906" ht="18.75" customHeight="1"/>
    <row r="2907" ht="18.75" customHeight="1"/>
    <row r="2908" ht="18.75" customHeight="1"/>
    <row r="2909" ht="18.75" customHeight="1"/>
    <row r="2910" ht="18.75" customHeight="1"/>
    <row r="2911" ht="18.75" customHeight="1"/>
    <row r="2912" ht="18.75" customHeight="1"/>
    <row r="2913" ht="18.75" customHeight="1"/>
    <row r="2914" ht="18.75" customHeight="1"/>
    <row r="2915" ht="18.75" customHeight="1"/>
    <row r="2916" ht="18.75" customHeight="1"/>
    <row r="2917" ht="18.75" customHeight="1"/>
    <row r="2918" ht="18.75" customHeight="1"/>
    <row r="2919" ht="18.75" customHeight="1"/>
    <row r="2920" ht="18.75" customHeight="1"/>
    <row r="2921" ht="18.75" customHeight="1"/>
    <row r="2922" ht="18.75" customHeight="1"/>
    <row r="2923" ht="18.75" customHeight="1"/>
    <row r="2924" ht="18.75" customHeight="1"/>
    <row r="2925" ht="18.75" customHeight="1"/>
    <row r="2926" ht="18.75" customHeight="1"/>
    <row r="2927" ht="18.75" customHeight="1"/>
    <row r="2928" ht="18.75" customHeight="1"/>
    <row r="2929" ht="18.75" customHeight="1"/>
    <row r="2930" ht="18.75" customHeight="1"/>
    <row r="2931" ht="18.75" customHeight="1"/>
    <row r="2932" ht="18.75" customHeight="1"/>
    <row r="2933" ht="18.75" customHeight="1"/>
    <row r="2934" ht="18.75" customHeight="1"/>
    <row r="2935" ht="18.75" customHeight="1"/>
    <row r="2936" ht="18.75" customHeight="1"/>
    <row r="2937" ht="18.75" customHeight="1"/>
    <row r="2938" ht="18.75" customHeight="1"/>
    <row r="2939" ht="18.75" customHeight="1"/>
    <row r="2940" ht="18.75" customHeight="1"/>
    <row r="2941" ht="18.75" customHeight="1"/>
    <row r="2942" ht="18.75" customHeight="1"/>
    <row r="2943" ht="18.75" customHeight="1"/>
    <row r="2944" ht="18.75" customHeight="1"/>
    <row r="2945" ht="18.75" customHeight="1"/>
    <row r="2946" ht="18.75" customHeight="1"/>
    <row r="2947" ht="18.75" customHeight="1"/>
    <row r="2948" ht="18.75" customHeight="1"/>
    <row r="2949" ht="18.75" customHeight="1"/>
    <row r="2950" ht="18.75" customHeight="1"/>
    <row r="2951" ht="18.75" customHeight="1"/>
    <row r="2952" ht="18.75" customHeight="1"/>
    <row r="2953" ht="18.75" customHeight="1"/>
    <row r="2954" ht="18.75" customHeight="1"/>
    <row r="2955" ht="18.75" customHeight="1"/>
    <row r="2956" ht="18.75" customHeight="1"/>
    <row r="2957" ht="18.75" customHeight="1"/>
    <row r="2958" ht="18.75" customHeight="1"/>
    <row r="2959" ht="18.75" customHeight="1"/>
    <row r="2960" ht="18.75" customHeight="1"/>
    <row r="2961" ht="18.75" customHeight="1"/>
    <row r="2962" ht="18.75" customHeight="1"/>
    <row r="2963" ht="18.75" customHeight="1"/>
    <row r="2964" ht="18.75" customHeight="1"/>
    <row r="2965" ht="18.75" customHeight="1"/>
    <row r="2966" ht="18.75" customHeight="1"/>
    <row r="2967" ht="18.75" customHeight="1"/>
    <row r="2968" ht="18.75" customHeight="1"/>
    <row r="2969" ht="18.75" customHeight="1"/>
    <row r="2970" ht="18.75" customHeight="1"/>
    <row r="2971" ht="18.75" customHeight="1"/>
    <row r="2972" ht="18.75" customHeight="1"/>
    <row r="2973" ht="18.75" customHeight="1"/>
    <row r="2974" ht="18.75" customHeight="1"/>
    <row r="2975" ht="18.75" customHeight="1"/>
    <row r="2976" ht="18.75" customHeight="1"/>
    <row r="2977" ht="18.75" customHeight="1"/>
    <row r="2978" ht="18.75" customHeight="1"/>
    <row r="2979" ht="18.75" customHeight="1"/>
    <row r="2980" ht="18.75" customHeight="1"/>
    <row r="2981" ht="18.75" customHeight="1"/>
    <row r="2982" ht="18.75" customHeight="1"/>
    <row r="2983" ht="18.75" customHeight="1"/>
    <row r="2984" ht="18.75" customHeight="1"/>
    <row r="2985" ht="18.75" customHeight="1"/>
    <row r="2986" ht="18.75" customHeight="1"/>
    <row r="2987" ht="18.75" customHeight="1"/>
    <row r="2988" ht="18.75" customHeight="1"/>
    <row r="2989" ht="18.75" customHeight="1"/>
    <row r="2990" ht="18.75" customHeight="1"/>
    <row r="2991" ht="18.75" customHeight="1"/>
    <row r="2992" ht="18.75" customHeight="1"/>
    <row r="2993" ht="18.75" customHeight="1"/>
    <row r="2994" ht="18.75" customHeight="1"/>
    <row r="2995" ht="18.75" customHeight="1"/>
    <row r="2996" ht="18.75" customHeight="1"/>
    <row r="2997" ht="18.75" customHeight="1"/>
    <row r="2998" ht="18.75" customHeight="1"/>
    <row r="2999" ht="18.75" customHeight="1"/>
    <row r="3000" ht="18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7" t="s">
        <v>2230</v>
      </c>
      <c r="B1" s="7" t="s">
        <v>2231</v>
      </c>
      <c r="C1" s="7" t="s">
        <v>2232</v>
      </c>
      <c r="D1" s="7" t="s">
        <v>2233</v>
      </c>
      <c r="E1" s="7" t="s">
        <v>2234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ht="18.75" customHeight="1">
      <c r="A2" s="7" t="s">
        <v>2235</v>
      </c>
      <c r="B2" s="9">
        <v>117336.0</v>
      </c>
      <c r="C2" s="9">
        <v>115944.0</v>
      </c>
      <c r="D2" s="9">
        <v>50494.0</v>
      </c>
      <c r="E2" s="9">
        <v>3698.0</v>
      </c>
      <c r="F2" s="14"/>
      <c r="G2" s="15"/>
      <c r="H2" s="15"/>
      <c r="I2" s="14"/>
      <c r="J2" s="14"/>
      <c r="K2" s="14"/>
      <c r="L2" s="14"/>
      <c r="M2" s="14"/>
      <c r="N2" s="14"/>
      <c r="P2" s="14"/>
    </row>
    <row r="3" ht="18.75" customHeight="1">
      <c r="A3" s="7" t="s">
        <v>2235</v>
      </c>
      <c r="B3" s="9">
        <v>8695.0</v>
      </c>
      <c r="C3" s="9">
        <v>8600.0</v>
      </c>
      <c r="D3" s="9">
        <v>3680.0</v>
      </c>
      <c r="E3" s="9">
        <v>186.0</v>
      </c>
      <c r="F3" s="14"/>
      <c r="G3" s="15"/>
      <c r="H3" s="15"/>
      <c r="I3" s="14"/>
      <c r="J3" s="14"/>
      <c r="K3" s="14"/>
      <c r="L3" s="14"/>
      <c r="M3" s="14"/>
      <c r="N3" s="14"/>
      <c r="P3" s="14"/>
    </row>
    <row r="4" ht="18.75" customHeight="1">
      <c r="A4" s="7" t="s">
        <v>2236</v>
      </c>
      <c r="B4" s="9">
        <v>28643.0</v>
      </c>
      <c r="C4" s="9">
        <v>28318.0</v>
      </c>
      <c r="D4" s="9">
        <v>12529.0</v>
      </c>
      <c r="E4" s="9">
        <v>4139.0</v>
      </c>
      <c r="F4" s="14"/>
      <c r="G4" s="15"/>
      <c r="H4" s="15"/>
      <c r="I4" s="14"/>
      <c r="J4" s="14"/>
      <c r="K4" s="14"/>
      <c r="L4" s="14"/>
      <c r="M4" s="14"/>
      <c r="N4" s="14"/>
      <c r="P4" s="14"/>
    </row>
    <row r="5" ht="18.75" customHeight="1">
      <c r="A5" s="7" t="s">
        <v>2237</v>
      </c>
      <c r="B5" s="9">
        <v>174485.0</v>
      </c>
      <c r="C5" s="9">
        <v>172239.0</v>
      </c>
      <c r="D5" s="9">
        <v>54736.0</v>
      </c>
      <c r="E5" s="9">
        <v>131.0</v>
      </c>
      <c r="F5" s="14"/>
      <c r="G5" s="15"/>
      <c r="H5" s="15"/>
      <c r="I5" s="14"/>
      <c r="J5" s="14"/>
      <c r="K5" s="14"/>
      <c r="L5" s="14"/>
      <c r="M5" s="14"/>
      <c r="N5" s="14"/>
      <c r="P5" s="14"/>
    </row>
    <row r="6" ht="18.75" customHeight="1">
      <c r="A6" s="7" t="s">
        <v>2237</v>
      </c>
      <c r="B6" s="9">
        <v>73853.0</v>
      </c>
      <c r="C6" s="9">
        <v>73516.0</v>
      </c>
      <c r="D6" s="9">
        <v>40110.0</v>
      </c>
      <c r="E6" s="9">
        <v>778.0</v>
      </c>
      <c r="F6" s="14"/>
      <c r="G6" s="15"/>
      <c r="H6" s="15"/>
      <c r="I6" s="14"/>
      <c r="J6" s="14"/>
      <c r="K6" s="14"/>
      <c r="L6" s="14"/>
      <c r="M6" s="14"/>
      <c r="N6" s="14"/>
      <c r="P6" s="14"/>
    </row>
    <row r="7" ht="18.75" customHeight="1">
      <c r="A7" s="7" t="s">
        <v>2238</v>
      </c>
      <c r="B7" s="9">
        <v>118970.0</v>
      </c>
      <c r="C7" s="9">
        <v>117853.0</v>
      </c>
      <c r="D7" s="9">
        <v>42923.0</v>
      </c>
      <c r="E7" s="9">
        <v>2310.0</v>
      </c>
      <c r="F7" s="14"/>
      <c r="G7" s="15"/>
      <c r="H7" s="15"/>
      <c r="I7" s="14"/>
      <c r="J7" s="14"/>
      <c r="K7" s="14"/>
      <c r="L7" s="14"/>
      <c r="M7" s="14"/>
      <c r="N7" s="14"/>
      <c r="P7" s="14"/>
    </row>
    <row r="8" ht="18.75" customHeight="1">
      <c r="A8" s="7" t="s">
        <v>2238</v>
      </c>
      <c r="B8" s="9">
        <v>123434.0</v>
      </c>
      <c r="C8" s="9">
        <v>122100.0</v>
      </c>
      <c r="D8" s="9">
        <v>33075.0</v>
      </c>
      <c r="E8" s="9">
        <v>638.0</v>
      </c>
      <c r="F8" s="14"/>
      <c r="G8" s="15"/>
      <c r="H8" s="15"/>
      <c r="I8" s="14"/>
      <c r="J8" s="14"/>
      <c r="K8" s="14"/>
      <c r="L8" s="14"/>
      <c r="M8" s="14"/>
      <c r="N8" s="14"/>
      <c r="P8" s="14"/>
    </row>
    <row r="9" ht="18.75" customHeight="1">
      <c r="A9" s="7" t="s">
        <v>2239</v>
      </c>
      <c r="B9" s="9">
        <v>87104.0</v>
      </c>
      <c r="C9" s="9">
        <v>86107.0</v>
      </c>
      <c r="D9" s="9">
        <v>27769.0</v>
      </c>
      <c r="E9" s="9">
        <v>1185.0</v>
      </c>
      <c r="F9" s="14"/>
      <c r="G9" s="15"/>
      <c r="H9" s="15"/>
      <c r="I9" s="14"/>
      <c r="J9" s="14"/>
      <c r="K9" s="14"/>
      <c r="L9" s="14"/>
      <c r="M9" s="14"/>
      <c r="N9" s="14"/>
      <c r="P9" s="14"/>
    </row>
    <row r="10" ht="18.75" customHeight="1">
      <c r="A10" s="7" t="s">
        <v>2239</v>
      </c>
      <c r="B10" s="9">
        <v>86490.0</v>
      </c>
      <c r="C10" s="9">
        <v>85359.0</v>
      </c>
      <c r="D10" s="9">
        <v>25191.0</v>
      </c>
      <c r="E10" s="9">
        <v>1205.0</v>
      </c>
      <c r="F10" s="14"/>
      <c r="G10" s="15"/>
      <c r="H10" s="15"/>
      <c r="I10" s="14"/>
      <c r="J10" s="14"/>
      <c r="K10" s="14"/>
      <c r="L10" s="14"/>
      <c r="M10" s="14"/>
      <c r="N10" s="14"/>
      <c r="P10" s="14"/>
    </row>
    <row r="11" ht="18.75" customHeight="1">
      <c r="A11" s="7" t="s">
        <v>2239</v>
      </c>
      <c r="B11" s="9">
        <v>172692.0</v>
      </c>
      <c r="C11" s="9">
        <v>170705.0</v>
      </c>
      <c r="D11" s="9">
        <v>52278.0</v>
      </c>
      <c r="E11" s="9">
        <v>2891.0</v>
      </c>
      <c r="F11" s="14"/>
      <c r="G11" s="15"/>
      <c r="H11" s="15"/>
      <c r="I11" s="14"/>
      <c r="J11" s="14"/>
      <c r="K11" s="14"/>
      <c r="L11" s="14"/>
      <c r="M11" s="14"/>
      <c r="N11" s="14"/>
      <c r="P11" s="14"/>
    </row>
    <row r="12" ht="18.75" customHeight="1">
      <c r="A12" s="7" t="s">
        <v>2240</v>
      </c>
      <c r="B12" s="9">
        <v>15937.0</v>
      </c>
      <c r="C12" s="9">
        <v>15802.0</v>
      </c>
      <c r="D12" s="9">
        <v>8857.0</v>
      </c>
      <c r="E12" s="9">
        <v>365.0</v>
      </c>
      <c r="F12" s="14"/>
      <c r="G12" s="15"/>
      <c r="H12" s="15"/>
      <c r="I12" s="14"/>
      <c r="J12" s="14"/>
      <c r="K12" s="14"/>
      <c r="L12" s="14"/>
      <c r="M12" s="14"/>
      <c r="N12" s="14"/>
      <c r="P12" s="14"/>
    </row>
    <row r="13" ht="18.75" customHeight="1">
      <c r="A13" s="7" t="s">
        <v>2241</v>
      </c>
      <c r="B13" s="9">
        <v>142.0</v>
      </c>
      <c r="C13" s="9">
        <v>142.0</v>
      </c>
      <c r="D13" s="9">
        <v>124.0</v>
      </c>
      <c r="E13" s="9">
        <v>110.0</v>
      </c>
      <c r="F13" s="14"/>
      <c r="G13" s="15"/>
      <c r="H13" s="15"/>
      <c r="I13" s="14"/>
      <c r="J13" s="14"/>
      <c r="K13" s="14"/>
      <c r="L13" s="14"/>
      <c r="M13" s="14"/>
      <c r="N13" s="14"/>
      <c r="P13" s="14"/>
    </row>
    <row r="14" ht="18.75" customHeight="1">
      <c r="A14" s="7" t="s">
        <v>2242</v>
      </c>
      <c r="B14" s="9">
        <v>77312.0</v>
      </c>
      <c r="C14" s="9">
        <v>76276.0</v>
      </c>
      <c r="D14" s="9">
        <v>26359.0</v>
      </c>
      <c r="E14" s="9">
        <v>1722.0</v>
      </c>
      <c r="F14" s="14"/>
      <c r="G14" s="15"/>
      <c r="H14" s="15"/>
      <c r="I14" s="14"/>
      <c r="J14" s="14"/>
      <c r="K14" s="14"/>
      <c r="L14" s="14"/>
      <c r="M14" s="14"/>
      <c r="N14" s="14"/>
      <c r="P14" s="14"/>
    </row>
    <row r="15" ht="18.75" customHeight="1">
      <c r="A15" s="7" t="s">
        <v>2242</v>
      </c>
      <c r="B15" s="9">
        <v>14445.0</v>
      </c>
      <c r="C15" s="9">
        <v>14274.0</v>
      </c>
      <c r="D15" s="9">
        <v>3921.0</v>
      </c>
      <c r="E15" s="9">
        <v>151.0</v>
      </c>
      <c r="F15" s="14"/>
      <c r="G15" s="15"/>
      <c r="H15" s="15"/>
      <c r="I15" s="14"/>
      <c r="J15" s="14"/>
      <c r="K15" s="14"/>
      <c r="L15" s="14"/>
      <c r="M15" s="14"/>
      <c r="N15" s="14"/>
      <c r="P15" s="14"/>
    </row>
    <row r="16" ht="18.75" customHeight="1">
      <c r="A16" s="7" t="s">
        <v>2237</v>
      </c>
      <c r="B16" s="9">
        <v>158841.0</v>
      </c>
      <c r="C16" s="9">
        <v>156600.0</v>
      </c>
      <c r="D16" s="9">
        <v>36836.0</v>
      </c>
      <c r="E16" s="9">
        <v>393.0</v>
      </c>
      <c r="F16" s="14"/>
      <c r="G16" s="15"/>
      <c r="H16" s="15"/>
      <c r="I16" s="14"/>
      <c r="J16" s="14"/>
      <c r="K16" s="14"/>
      <c r="L16" s="14"/>
      <c r="M16" s="14"/>
      <c r="N16" s="14"/>
      <c r="P16" s="14"/>
    </row>
    <row r="17" ht="18.75" customHeight="1">
      <c r="A17" s="7" t="s">
        <v>2237</v>
      </c>
      <c r="B17" s="9">
        <v>91766.0</v>
      </c>
      <c r="C17" s="9">
        <v>90729.0</v>
      </c>
      <c r="D17" s="9">
        <v>24894.0</v>
      </c>
      <c r="E17" s="9">
        <v>154.0</v>
      </c>
      <c r="F17" s="14"/>
      <c r="G17" s="15"/>
      <c r="H17" s="15"/>
      <c r="I17" s="14"/>
      <c r="J17" s="14"/>
      <c r="K17" s="14"/>
      <c r="L17" s="14"/>
      <c r="M17" s="14"/>
      <c r="N17" s="14"/>
      <c r="P17" s="14"/>
    </row>
    <row r="18" ht="18.75" customHeight="1">
      <c r="A18" s="7" t="s">
        <v>2243</v>
      </c>
      <c r="B18" s="9">
        <v>32720.0</v>
      </c>
      <c r="C18" s="9">
        <v>32434.0</v>
      </c>
      <c r="D18" s="9">
        <v>19169.0</v>
      </c>
      <c r="E18" s="9">
        <v>4061.0</v>
      </c>
      <c r="F18" s="14"/>
      <c r="G18" s="15"/>
      <c r="H18" s="15"/>
      <c r="I18" s="14"/>
      <c r="J18" s="14"/>
      <c r="K18" s="14"/>
      <c r="L18" s="14"/>
      <c r="M18" s="14"/>
      <c r="N18" s="14"/>
      <c r="P18" s="14"/>
    </row>
    <row r="19" ht="18.75" customHeight="1">
      <c r="A19" s="7" t="s">
        <v>2243</v>
      </c>
      <c r="B19" s="9">
        <v>6367.0</v>
      </c>
      <c r="C19" s="9">
        <v>6298.0</v>
      </c>
      <c r="D19" s="9">
        <v>3256.0</v>
      </c>
      <c r="E19" s="9">
        <v>677.0</v>
      </c>
      <c r="F19" s="14"/>
      <c r="G19" s="15"/>
      <c r="H19" s="15"/>
      <c r="I19" s="14"/>
      <c r="J19" s="14"/>
      <c r="K19" s="14"/>
      <c r="L19" s="14"/>
      <c r="M19" s="14"/>
      <c r="N19" s="14"/>
      <c r="P19" s="14"/>
    </row>
    <row r="20" ht="18.75" customHeight="1">
      <c r="A20" s="7" t="s">
        <v>2244</v>
      </c>
      <c r="B20" s="9">
        <v>26103.0</v>
      </c>
      <c r="C20" s="9">
        <v>26077.0</v>
      </c>
      <c r="D20" s="9">
        <v>11395.0</v>
      </c>
      <c r="E20" s="9">
        <v>132.0</v>
      </c>
      <c r="F20" s="14"/>
      <c r="G20" s="15"/>
      <c r="H20" s="15"/>
      <c r="I20" s="14"/>
      <c r="J20" s="14"/>
      <c r="K20" s="14"/>
      <c r="L20" s="14"/>
      <c r="M20" s="14"/>
      <c r="N20" s="14"/>
      <c r="P20" s="14"/>
    </row>
    <row r="21" ht="18.75" customHeight="1">
      <c r="A21" s="7" t="s">
        <v>2241</v>
      </c>
      <c r="B21" s="9">
        <v>69.0</v>
      </c>
      <c r="C21" s="9">
        <v>69.0</v>
      </c>
      <c r="D21" s="9">
        <v>55.0</v>
      </c>
      <c r="E21" s="9">
        <v>43.0</v>
      </c>
      <c r="F21" s="14"/>
      <c r="G21" s="15"/>
      <c r="H21" s="15"/>
      <c r="I21" s="14"/>
      <c r="J21" s="14"/>
      <c r="K21" s="14"/>
      <c r="L21" s="14"/>
      <c r="M21" s="14"/>
      <c r="N21" s="14"/>
      <c r="P21" s="14"/>
    </row>
    <row r="22" ht="18.75" customHeight="1">
      <c r="A22" s="7" t="s">
        <v>2245</v>
      </c>
      <c r="B22" s="9">
        <v>9249.0</v>
      </c>
      <c r="C22" s="9">
        <v>9127.0</v>
      </c>
      <c r="D22" s="9">
        <v>3960.0</v>
      </c>
      <c r="E22" s="9">
        <v>19.0</v>
      </c>
      <c r="F22" s="14"/>
      <c r="G22" s="15"/>
      <c r="H22" s="15"/>
      <c r="I22" s="14"/>
      <c r="J22" s="14"/>
      <c r="K22" s="14"/>
      <c r="L22" s="14"/>
      <c r="M22" s="14"/>
      <c r="N22" s="14"/>
      <c r="P22" s="14"/>
    </row>
    <row r="23" ht="18.75" customHeight="1">
      <c r="A23" s="7" t="s">
        <v>2245</v>
      </c>
      <c r="B23" s="9">
        <v>60856.0</v>
      </c>
      <c r="C23" s="9">
        <v>60186.0</v>
      </c>
      <c r="D23" s="9">
        <v>19735.0</v>
      </c>
      <c r="E23" s="9">
        <v>61.0</v>
      </c>
      <c r="F23" s="14"/>
      <c r="G23" s="15"/>
      <c r="H23" s="15"/>
      <c r="I23" s="14"/>
      <c r="J23" s="14"/>
      <c r="K23" s="14"/>
      <c r="L23" s="14"/>
      <c r="M23" s="14"/>
      <c r="N23" s="14"/>
      <c r="P23" s="14"/>
    </row>
    <row r="24" ht="18.75" customHeight="1">
      <c r="A24" s="7" t="s">
        <v>2246</v>
      </c>
      <c r="B24" s="9">
        <v>28560.0</v>
      </c>
      <c r="C24" s="9">
        <v>28361.0</v>
      </c>
      <c r="D24" s="9">
        <v>16385.0</v>
      </c>
      <c r="E24" s="9">
        <v>1455.0</v>
      </c>
      <c r="F24" s="14"/>
      <c r="G24" s="15"/>
      <c r="H24" s="15"/>
      <c r="I24" s="14"/>
      <c r="J24" s="14"/>
      <c r="K24" s="14"/>
      <c r="L24" s="14"/>
      <c r="M24" s="14"/>
      <c r="N24" s="14"/>
      <c r="P24" s="14"/>
    </row>
    <row r="25" ht="18.75" customHeight="1">
      <c r="A25" s="7" t="s">
        <v>2247</v>
      </c>
      <c r="B25" s="9">
        <v>52613.0</v>
      </c>
      <c r="C25" s="9">
        <v>52231.0</v>
      </c>
      <c r="D25" s="9">
        <v>29536.0</v>
      </c>
      <c r="E25" s="9">
        <v>770.0</v>
      </c>
      <c r="F25" s="14"/>
      <c r="G25" s="15"/>
      <c r="H25" s="15"/>
      <c r="I25" s="14"/>
      <c r="J25" s="14"/>
      <c r="K25" s="14"/>
      <c r="L25" s="14"/>
      <c r="M25" s="14"/>
      <c r="N25" s="14"/>
      <c r="P25" s="14"/>
    </row>
    <row r="26" ht="18.75" customHeight="1">
      <c r="A26" s="7" t="s">
        <v>2240</v>
      </c>
      <c r="B26" s="9">
        <v>826.0</v>
      </c>
      <c r="C26" s="9">
        <v>823.0</v>
      </c>
      <c r="D26" s="9">
        <v>418.0</v>
      </c>
      <c r="E26" s="9">
        <v>11.0</v>
      </c>
      <c r="F26" s="14"/>
      <c r="G26" s="15"/>
      <c r="H26" s="15"/>
      <c r="I26" s="14"/>
      <c r="J26" s="14"/>
      <c r="K26" s="14"/>
      <c r="L26" s="14"/>
      <c r="M26" s="14"/>
      <c r="N26" s="14"/>
      <c r="P26" s="14"/>
    </row>
    <row r="27" ht="18.75" customHeight="1">
      <c r="A27" s="7" t="s">
        <v>2248</v>
      </c>
      <c r="B27" s="9">
        <v>77450.0</v>
      </c>
      <c r="C27" s="9">
        <v>76625.0</v>
      </c>
      <c r="D27" s="9">
        <v>25711.0</v>
      </c>
      <c r="E27" s="9">
        <v>1694.0</v>
      </c>
      <c r="F27" s="14"/>
      <c r="G27" s="15"/>
      <c r="H27" s="15"/>
      <c r="I27" s="14"/>
      <c r="J27" s="14"/>
      <c r="K27" s="14"/>
      <c r="L27" s="14"/>
      <c r="M27" s="14"/>
      <c r="N27" s="14"/>
      <c r="P27" s="14"/>
    </row>
    <row r="28" ht="18.75" customHeight="1">
      <c r="A28" s="7" t="s">
        <v>2248</v>
      </c>
      <c r="B28" s="9">
        <v>81409.0</v>
      </c>
      <c r="C28" s="9">
        <v>80398.0</v>
      </c>
      <c r="D28" s="9">
        <v>27521.0</v>
      </c>
      <c r="E28" s="9">
        <v>1819.0</v>
      </c>
      <c r="F28" s="14"/>
      <c r="G28" s="15"/>
      <c r="H28" s="15"/>
      <c r="I28" s="14"/>
      <c r="J28" s="14"/>
      <c r="K28" s="14"/>
      <c r="L28" s="14"/>
      <c r="M28" s="14"/>
      <c r="N28" s="14"/>
      <c r="P28" s="14"/>
    </row>
    <row r="29" ht="18.75" customHeight="1">
      <c r="A29" s="7" t="s">
        <v>2249</v>
      </c>
      <c r="B29" s="9">
        <v>44869.0</v>
      </c>
      <c r="C29" s="9">
        <v>44318.0</v>
      </c>
      <c r="D29" s="9">
        <v>21936.0</v>
      </c>
      <c r="E29" s="9">
        <v>3932.0</v>
      </c>
      <c r="F29" s="14"/>
      <c r="G29" s="15"/>
      <c r="H29" s="15"/>
      <c r="I29" s="14"/>
      <c r="J29" s="14"/>
      <c r="K29" s="14"/>
      <c r="L29" s="14"/>
      <c r="M29" s="14"/>
      <c r="N29" s="14"/>
      <c r="P29" s="14"/>
    </row>
    <row r="30" ht="18.75" customHeight="1">
      <c r="A30" s="7" t="s">
        <v>2249</v>
      </c>
      <c r="B30" s="9">
        <v>117004.0</v>
      </c>
      <c r="C30" s="9">
        <v>115880.0</v>
      </c>
      <c r="D30" s="9">
        <v>61435.0</v>
      </c>
      <c r="E30" s="9">
        <v>11456.0</v>
      </c>
      <c r="F30" s="14"/>
      <c r="G30" s="15"/>
      <c r="H30" s="15"/>
      <c r="I30" s="14"/>
      <c r="J30" s="14"/>
      <c r="K30" s="14"/>
      <c r="L30" s="14"/>
      <c r="M30" s="14"/>
      <c r="N30" s="14"/>
      <c r="P30" s="14"/>
    </row>
    <row r="31" ht="18.75" customHeight="1">
      <c r="A31" s="7" t="s">
        <v>2249</v>
      </c>
      <c r="B31" s="9">
        <v>117605.0</v>
      </c>
      <c r="C31" s="9">
        <v>116502.0</v>
      </c>
      <c r="D31" s="9">
        <v>57824.0</v>
      </c>
      <c r="E31" s="9">
        <v>10462.0</v>
      </c>
      <c r="F31" s="14"/>
      <c r="G31" s="15"/>
      <c r="H31" s="15"/>
      <c r="I31" s="14"/>
      <c r="J31" s="14"/>
      <c r="K31" s="14"/>
      <c r="L31" s="14"/>
      <c r="M31" s="14"/>
      <c r="N31" s="14"/>
      <c r="P31" s="14"/>
    </row>
    <row r="32" ht="18.75" customHeight="1">
      <c r="A32" s="7" t="s">
        <v>2249</v>
      </c>
      <c r="B32" s="9">
        <v>118449.0</v>
      </c>
      <c r="C32" s="9">
        <v>118449.0</v>
      </c>
      <c r="D32" s="9">
        <v>52383.0</v>
      </c>
      <c r="E32" s="9">
        <v>8950.0</v>
      </c>
      <c r="F32" s="14"/>
      <c r="G32" s="15"/>
      <c r="H32" s="15"/>
      <c r="I32" s="14"/>
      <c r="J32" s="14"/>
      <c r="K32" s="14"/>
      <c r="L32" s="14"/>
      <c r="M32" s="14"/>
      <c r="N32" s="14"/>
      <c r="P32" s="14"/>
    </row>
    <row r="33" ht="18.75" customHeight="1">
      <c r="A33" s="7" t="s">
        <v>2247</v>
      </c>
      <c r="B33" s="9">
        <v>52563.0</v>
      </c>
      <c r="C33" s="9">
        <v>52179.0</v>
      </c>
      <c r="D33" s="9">
        <v>30158.0</v>
      </c>
      <c r="E33" s="9">
        <v>560.0</v>
      </c>
      <c r="F33" s="14"/>
      <c r="G33" s="15"/>
      <c r="H33" s="15"/>
      <c r="I33" s="14"/>
      <c r="J33" s="14"/>
      <c r="K33" s="14"/>
      <c r="L33" s="14"/>
      <c r="M33" s="14"/>
      <c r="N33" s="14"/>
      <c r="P33" s="14"/>
    </row>
    <row r="34" ht="18.75" customHeight="1">
      <c r="A34" s="7" t="s">
        <v>2250</v>
      </c>
      <c r="B34" s="9">
        <v>51807.0</v>
      </c>
      <c r="C34" s="9">
        <v>51223.0</v>
      </c>
      <c r="D34" s="9">
        <v>18371.0</v>
      </c>
      <c r="E34" s="9">
        <v>2974.0</v>
      </c>
      <c r="F34" s="14"/>
      <c r="G34" s="15"/>
      <c r="H34" s="15"/>
      <c r="I34" s="14"/>
      <c r="J34" s="14"/>
      <c r="K34" s="14"/>
      <c r="L34" s="14"/>
      <c r="M34" s="14"/>
      <c r="N34" s="14"/>
      <c r="P34" s="14"/>
    </row>
    <row r="35" ht="18.75" customHeight="1">
      <c r="A35" s="7" t="s">
        <v>2251</v>
      </c>
      <c r="B35" s="9">
        <v>31032.0</v>
      </c>
      <c r="C35" s="9">
        <v>30759.0</v>
      </c>
      <c r="D35" s="9">
        <v>20868.0</v>
      </c>
      <c r="E35" s="9">
        <v>5519.0</v>
      </c>
      <c r="F35" s="14"/>
      <c r="G35" s="15"/>
      <c r="H35" s="15"/>
      <c r="I35" s="14"/>
      <c r="J35" s="14"/>
      <c r="K35" s="14"/>
      <c r="L35" s="14"/>
      <c r="M35" s="14"/>
      <c r="N35" s="14"/>
      <c r="P35" s="14"/>
    </row>
    <row r="36" ht="18.75" customHeight="1">
      <c r="A36" s="7" t="s">
        <v>2251</v>
      </c>
      <c r="B36" s="9">
        <v>3047.0</v>
      </c>
      <c r="C36" s="9">
        <v>3021.0</v>
      </c>
      <c r="D36" s="9">
        <v>1778.0</v>
      </c>
      <c r="E36" s="9">
        <v>364.0</v>
      </c>
      <c r="F36" s="14"/>
      <c r="G36" s="15"/>
      <c r="H36" s="15"/>
      <c r="I36" s="14"/>
      <c r="J36" s="14"/>
      <c r="K36" s="14"/>
      <c r="L36" s="14"/>
      <c r="M36" s="14"/>
      <c r="N36" s="14"/>
      <c r="P36" s="14"/>
    </row>
    <row r="37" ht="18.75" customHeight="1">
      <c r="A37" s="7" t="s">
        <v>2252</v>
      </c>
      <c r="B37" s="9">
        <v>136.0</v>
      </c>
      <c r="C37" s="9">
        <v>136.0</v>
      </c>
      <c r="D37" s="9">
        <v>63.0</v>
      </c>
      <c r="E37" s="9">
        <v>29.0</v>
      </c>
      <c r="F37" s="14"/>
      <c r="G37" s="15"/>
      <c r="H37" s="15"/>
      <c r="I37" s="14"/>
      <c r="J37" s="14"/>
      <c r="K37" s="14"/>
      <c r="L37" s="14"/>
      <c r="M37" s="14"/>
      <c r="N37" s="14"/>
      <c r="P37" s="14"/>
    </row>
    <row r="38" ht="18.75" customHeight="1">
      <c r="A38" s="7" t="s">
        <v>2250</v>
      </c>
      <c r="B38" s="9">
        <v>12684.0</v>
      </c>
      <c r="C38" s="9">
        <v>12557.0</v>
      </c>
      <c r="D38" s="9">
        <v>4399.0</v>
      </c>
      <c r="E38" s="9">
        <v>135.0</v>
      </c>
      <c r="F38" s="14"/>
      <c r="G38" s="15"/>
      <c r="H38" s="15"/>
      <c r="I38" s="14"/>
      <c r="J38" s="14"/>
      <c r="K38" s="14"/>
      <c r="L38" s="14"/>
      <c r="M38" s="14"/>
      <c r="N38" s="14"/>
      <c r="P38" s="14"/>
    </row>
    <row r="39" ht="18.75" customHeight="1">
      <c r="A39" s="7" t="s">
        <v>2250</v>
      </c>
      <c r="B39" s="9">
        <v>21633.0</v>
      </c>
      <c r="C39" s="9">
        <v>21392.0</v>
      </c>
      <c r="D39" s="9">
        <v>7261.0</v>
      </c>
      <c r="E39" s="9">
        <v>262.0</v>
      </c>
      <c r="F39" s="14"/>
      <c r="G39" s="15"/>
      <c r="H39" s="15"/>
      <c r="I39" s="14"/>
      <c r="J39" s="14"/>
      <c r="K39" s="14"/>
      <c r="L39" s="14"/>
      <c r="M39" s="14"/>
      <c r="N39" s="14"/>
      <c r="P39" s="14"/>
    </row>
    <row r="40" ht="18.75" customHeight="1">
      <c r="A40" s="7" t="s">
        <v>2250</v>
      </c>
      <c r="B40" s="9">
        <v>12073.0</v>
      </c>
      <c r="C40" s="9">
        <v>11947.0</v>
      </c>
      <c r="D40" s="9">
        <v>4667.0</v>
      </c>
      <c r="E40" s="9">
        <v>159.0</v>
      </c>
      <c r="F40" s="14"/>
      <c r="G40" s="15"/>
      <c r="H40" s="15"/>
      <c r="I40" s="14"/>
      <c r="J40" s="14"/>
      <c r="K40" s="14"/>
      <c r="L40" s="14"/>
      <c r="M40" s="14"/>
      <c r="N40" s="14"/>
      <c r="P40" s="14"/>
    </row>
    <row r="41" ht="18.75" customHeight="1">
      <c r="A41" s="7" t="s">
        <v>2250</v>
      </c>
      <c r="B41" s="9">
        <v>29723.0</v>
      </c>
      <c r="C41" s="9">
        <v>29402.0</v>
      </c>
      <c r="D41" s="9">
        <v>11762.0</v>
      </c>
      <c r="E41" s="9">
        <v>387.0</v>
      </c>
      <c r="F41" s="14"/>
      <c r="G41" s="15"/>
      <c r="H41" s="15"/>
      <c r="I41" s="14"/>
      <c r="J41" s="14"/>
      <c r="K41" s="14"/>
      <c r="L41" s="14"/>
      <c r="M41" s="14"/>
      <c r="N41" s="14"/>
      <c r="P41" s="14"/>
    </row>
    <row r="42" ht="18.75" customHeight="1">
      <c r="A42" s="7" t="s">
        <v>2250</v>
      </c>
      <c r="B42" s="9">
        <v>16132.0</v>
      </c>
      <c r="C42" s="9">
        <v>15943.0</v>
      </c>
      <c r="D42" s="9">
        <v>6042.0</v>
      </c>
      <c r="E42" s="9">
        <v>205.0</v>
      </c>
      <c r="F42" s="14"/>
      <c r="G42" s="15"/>
      <c r="H42" s="15"/>
      <c r="I42" s="14"/>
      <c r="J42" s="14"/>
      <c r="K42" s="14"/>
      <c r="L42" s="14"/>
      <c r="M42" s="14"/>
      <c r="N42" s="14"/>
      <c r="P42" s="14"/>
    </row>
    <row r="43" ht="18.75" customHeight="1">
      <c r="A43" s="7" t="s">
        <v>2250</v>
      </c>
      <c r="B43" s="9">
        <v>2797.0</v>
      </c>
      <c r="C43" s="9">
        <v>2767.0</v>
      </c>
      <c r="D43" s="9">
        <v>964.0</v>
      </c>
      <c r="E43" s="9">
        <v>247.0</v>
      </c>
      <c r="F43" s="14"/>
      <c r="G43" s="15"/>
      <c r="H43" s="15"/>
      <c r="I43" s="14"/>
      <c r="J43" s="14"/>
      <c r="K43" s="14"/>
      <c r="L43" s="14"/>
      <c r="M43" s="14"/>
      <c r="N43" s="14"/>
      <c r="P43" s="14"/>
    </row>
    <row r="44" ht="18.75" customHeight="1">
      <c r="A44" s="7" t="s">
        <v>2250</v>
      </c>
      <c r="B44" s="9">
        <v>21283.0</v>
      </c>
      <c r="C44" s="9">
        <v>21053.0</v>
      </c>
      <c r="D44" s="9">
        <v>7778.0</v>
      </c>
      <c r="E44" s="9">
        <v>385.0</v>
      </c>
      <c r="F44" s="14"/>
      <c r="G44" s="15"/>
      <c r="H44" s="15"/>
      <c r="I44" s="14"/>
      <c r="J44" s="14"/>
      <c r="K44" s="14"/>
      <c r="L44" s="14"/>
      <c r="M44" s="14"/>
      <c r="N44" s="14"/>
      <c r="P44" s="14"/>
    </row>
    <row r="45" ht="18.75" customHeight="1">
      <c r="A45" s="7" t="s">
        <v>2250</v>
      </c>
      <c r="B45" s="9">
        <v>118925.0</v>
      </c>
      <c r="C45" s="9">
        <v>117663.0</v>
      </c>
      <c r="D45" s="9">
        <v>45581.0</v>
      </c>
      <c r="E45" s="9">
        <v>3912.0</v>
      </c>
      <c r="F45" s="14"/>
      <c r="G45" s="15"/>
      <c r="H45" s="15"/>
      <c r="I45" s="14"/>
      <c r="J45" s="14"/>
      <c r="K45" s="14"/>
      <c r="L45" s="14"/>
      <c r="M45" s="14"/>
      <c r="N45" s="14"/>
      <c r="P45" s="14"/>
    </row>
    <row r="46" ht="18.75" customHeight="1">
      <c r="A46" s="7" t="s">
        <v>2250</v>
      </c>
      <c r="B46" s="9">
        <v>13723.0</v>
      </c>
      <c r="C46" s="9">
        <v>13568.0</v>
      </c>
      <c r="D46" s="9">
        <v>4169.0</v>
      </c>
      <c r="E46" s="9">
        <v>190.0</v>
      </c>
      <c r="F46" s="14"/>
      <c r="G46" s="15"/>
      <c r="H46" s="15"/>
      <c r="I46" s="14"/>
      <c r="J46" s="14"/>
      <c r="K46" s="14"/>
      <c r="L46" s="14"/>
      <c r="M46" s="14"/>
      <c r="N46" s="14"/>
      <c r="P46" s="14"/>
    </row>
    <row r="47" ht="18.75" customHeight="1">
      <c r="A47" s="7" t="s">
        <v>2250</v>
      </c>
      <c r="B47" s="9">
        <v>33680.0</v>
      </c>
      <c r="C47" s="9">
        <v>33289.0</v>
      </c>
      <c r="D47" s="9">
        <v>9109.0</v>
      </c>
      <c r="E47" s="9">
        <v>424.0</v>
      </c>
      <c r="F47" s="14"/>
      <c r="G47" s="15"/>
      <c r="H47" s="15"/>
      <c r="I47" s="14"/>
      <c r="J47" s="14"/>
      <c r="K47" s="14"/>
      <c r="L47" s="14"/>
      <c r="M47" s="14"/>
      <c r="N47" s="14"/>
      <c r="P47" s="14"/>
    </row>
    <row r="48" ht="18.75" customHeight="1">
      <c r="A48" s="7" t="s">
        <v>2239</v>
      </c>
      <c r="B48" s="9">
        <v>85063.0</v>
      </c>
      <c r="C48" s="9">
        <v>84140.0</v>
      </c>
      <c r="D48" s="9">
        <v>29610.0</v>
      </c>
      <c r="E48" s="9">
        <v>1380.0</v>
      </c>
      <c r="F48" s="14"/>
      <c r="G48" s="15"/>
      <c r="H48" s="15"/>
      <c r="I48" s="14"/>
      <c r="J48" s="14"/>
      <c r="K48" s="14"/>
      <c r="L48" s="14"/>
      <c r="M48" s="14"/>
      <c r="N48" s="14"/>
      <c r="P48" s="14"/>
    </row>
    <row r="49" ht="18.75" customHeight="1">
      <c r="A49" s="7" t="s">
        <v>2236</v>
      </c>
      <c r="B49" s="9">
        <v>28616.0</v>
      </c>
      <c r="C49" s="9">
        <v>28159.0</v>
      </c>
      <c r="D49" s="9">
        <v>10985.0</v>
      </c>
      <c r="E49" s="9">
        <v>1777.0</v>
      </c>
      <c r="F49" s="14"/>
      <c r="G49" s="15"/>
      <c r="H49" s="15"/>
      <c r="I49" s="14"/>
      <c r="J49" s="14"/>
      <c r="K49" s="14"/>
      <c r="L49" s="14"/>
      <c r="M49" s="14"/>
      <c r="N49" s="14"/>
      <c r="P49" s="14"/>
    </row>
    <row r="50" ht="18.75" customHeight="1">
      <c r="A50" s="7" t="s">
        <v>2253</v>
      </c>
      <c r="B50" s="9">
        <v>1597.0</v>
      </c>
      <c r="C50" s="9">
        <v>1576.0</v>
      </c>
      <c r="D50" s="9">
        <v>711.0</v>
      </c>
      <c r="E50" s="9">
        <v>223.0</v>
      </c>
      <c r="F50" s="14"/>
      <c r="G50" s="15"/>
      <c r="H50" s="15"/>
      <c r="I50" s="14"/>
      <c r="J50" s="14"/>
      <c r="K50" s="14"/>
      <c r="L50" s="14"/>
      <c r="M50" s="14"/>
      <c r="N50" s="14"/>
      <c r="P50" s="14"/>
    </row>
    <row r="51" ht="18.75" customHeight="1">
      <c r="A51" s="7" t="s">
        <v>2239</v>
      </c>
      <c r="B51" s="9">
        <v>136446.0</v>
      </c>
      <c r="C51" s="9">
        <v>136065.0</v>
      </c>
      <c r="D51" s="9">
        <v>86124.0</v>
      </c>
      <c r="E51" s="9">
        <v>1084.0</v>
      </c>
      <c r="F51" s="14"/>
      <c r="G51" s="15"/>
      <c r="H51" s="15"/>
      <c r="I51" s="14"/>
      <c r="J51" s="14"/>
      <c r="K51" s="14"/>
      <c r="L51" s="14"/>
      <c r="M51" s="14"/>
      <c r="N51" s="14"/>
    </row>
    <row r="52" ht="18.75" customHeight="1">
      <c r="A52" s="7" t="s">
        <v>2254</v>
      </c>
      <c r="B52" s="9">
        <v>60852.0</v>
      </c>
      <c r="C52" s="9">
        <v>60145.0</v>
      </c>
      <c r="D52" s="9">
        <v>20447.0</v>
      </c>
      <c r="E52" s="9">
        <v>349.0</v>
      </c>
      <c r="F52" s="14"/>
      <c r="G52" s="15"/>
      <c r="H52" s="15"/>
      <c r="I52" s="14"/>
      <c r="J52" s="14"/>
      <c r="K52" s="14"/>
      <c r="L52" s="14"/>
      <c r="M52" s="14"/>
      <c r="N52" s="14"/>
      <c r="P52" s="14"/>
    </row>
    <row r="53" ht="18.75" customHeight="1">
      <c r="A53" s="7" t="s">
        <v>2254</v>
      </c>
      <c r="B53" s="9">
        <v>73302.0</v>
      </c>
      <c r="C53" s="9">
        <v>72497.0</v>
      </c>
      <c r="D53" s="9">
        <v>26188.0</v>
      </c>
      <c r="E53" s="9">
        <v>528.0</v>
      </c>
      <c r="F53" s="14"/>
      <c r="G53" s="15"/>
      <c r="H53" s="15"/>
      <c r="I53" s="14"/>
      <c r="J53" s="14"/>
      <c r="K53" s="14"/>
      <c r="L53" s="14"/>
      <c r="M53" s="14"/>
      <c r="N53" s="14"/>
      <c r="P53" s="14"/>
    </row>
    <row r="54" ht="18.75" customHeight="1">
      <c r="A54" s="7" t="s">
        <v>2254</v>
      </c>
      <c r="B54" s="9">
        <v>68921.0</v>
      </c>
      <c r="C54" s="9">
        <v>68125.0</v>
      </c>
      <c r="D54" s="9">
        <v>24238.0</v>
      </c>
      <c r="E54" s="9">
        <v>457.0</v>
      </c>
      <c r="F54" s="14"/>
      <c r="G54" s="15"/>
      <c r="H54" s="15"/>
      <c r="I54" s="14"/>
      <c r="J54" s="14"/>
      <c r="K54" s="14"/>
      <c r="L54" s="14"/>
      <c r="M54" s="14"/>
      <c r="N54" s="14"/>
      <c r="P54" s="14"/>
    </row>
    <row r="55" ht="18.75" customHeight="1">
      <c r="A55" s="7" t="s">
        <v>2254</v>
      </c>
      <c r="B55" s="9">
        <v>68680.0</v>
      </c>
      <c r="C55" s="9">
        <v>67935.0</v>
      </c>
      <c r="D55" s="9">
        <v>19194.0</v>
      </c>
      <c r="E55" s="9">
        <v>338.0</v>
      </c>
      <c r="F55" s="14"/>
      <c r="G55" s="15"/>
      <c r="H55" s="15"/>
      <c r="I55" s="14"/>
      <c r="J55" s="14"/>
      <c r="K55" s="14"/>
      <c r="L55" s="14"/>
      <c r="M55" s="14"/>
      <c r="N55" s="14"/>
      <c r="P55" s="14"/>
    </row>
    <row r="56" ht="18.75" customHeight="1">
      <c r="A56" s="7" t="s">
        <v>2254</v>
      </c>
      <c r="B56" s="9">
        <v>51515.0</v>
      </c>
      <c r="C56" s="9">
        <v>50919.0</v>
      </c>
      <c r="D56" s="9">
        <v>12238.0</v>
      </c>
      <c r="E56" s="9">
        <v>212.0</v>
      </c>
      <c r="F56" s="14"/>
      <c r="G56" s="15"/>
      <c r="H56" s="15"/>
      <c r="I56" s="14"/>
      <c r="J56" s="14"/>
      <c r="K56" s="14"/>
      <c r="L56" s="14"/>
      <c r="M56" s="14"/>
      <c r="N56" s="14"/>
      <c r="P56" s="14"/>
    </row>
    <row r="57" ht="18.75" customHeight="1">
      <c r="A57" s="7" t="s">
        <v>2255</v>
      </c>
      <c r="B57" s="9">
        <v>47115.0</v>
      </c>
      <c r="C57" s="9">
        <v>46542.0</v>
      </c>
      <c r="D57" s="9">
        <v>17890.0</v>
      </c>
      <c r="E57" s="9">
        <v>545.0</v>
      </c>
      <c r="F57" s="14"/>
      <c r="G57" s="15"/>
      <c r="H57" s="15"/>
      <c r="I57" s="14"/>
      <c r="J57" s="14"/>
      <c r="K57" s="14"/>
      <c r="L57" s="14"/>
      <c r="M57" s="14"/>
      <c r="N57" s="14"/>
      <c r="P57" s="14"/>
    </row>
    <row r="58" ht="18.75" customHeight="1">
      <c r="A58" s="7" t="s">
        <v>2256</v>
      </c>
      <c r="B58" s="9">
        <v>10157.0</v>
      </c>
      <c r="C58" s="9">
        <v>10084.0</v>
      </c>
      <c r="D58" s="9">
        <v>5823.0</v>
      </c>
      <c r="E58" s="9">
        <v>381.0</v>
      </c>
      <c r="F58" s="14"/>
      <c r="G58" s="15"/>
      <c r="H58" s="15"/>
      <c r="I58" s="14"/>
      <c r="J58" s="14"/>
      <c r="K58" s="14"/>
      <c r="L58" s="14"/>
      <c r="M58" s="14"/>
      <c r="N58" s="14"/>
      <c r="P58" s="14"/>
    </row>
    <row r="59" ht="18.75" customHeight="1">
      <c r="A59" s="7" t="s">
        <v>2257</v>
      </c>
      <c r="B59" s="9">
        <v>67504.0</v>
      </c>
      <c r="C59" s="9">
        <v>66722.0</v>
      </c>
      <c r="D59" s="9">
        <v>28549.0</v>
      </c>
      <c r="E59" s="9">
        <v>98.0</v>
      </c>
      <c r="F59" s="14"/>
      <c r="G59" s="15"/>
      <c r="H59" s="15"/>
      <c r="I59" s="14"/>
      <c r="J59" s="14"/>
      <c r="K59" s="14"/>
      <c r="L59" s="14"/>
      <c r="M59" s="14"/>
      <c r="N59" s="14"/>
      <c r="P59" s="14"/>
    </row>
    <row r="60" ht="18.75" customHeight="1">
      <c r="A60" s="7" t="s">
        <v>2254</v>
      </c>
      <c r="B60" s="9">
        <v>70927.0</v>
      </c>
      <c r="C60" s="9">
        <v>70162.0</v>
      </c>
      <c r="D60" s="9">
        <v>22115.0</v>
      </c>
      <c r="E60" s="9">
        <v>419.0</v>
      </c>
      <c r="F60" s="14"/>
      <c r="G60" s="15"/>
      <c r="H60" s="15"/>
      <c r="I60" s="14"/>
      <c r="J60" s="14"/>
      <c r="K60" s="14"/>
      <c r="L60" s="14"/>
      <c r="M60" s="14"/>
      <c r="N60" s="14"/>
      <c r="P60" s="14"/>
    </row>
    <row r="61" ht="18.75" customHeight="1">
      <c r="A61" s="7" t="s">
        <v>2254</v>
      </c>
      <c r="B61" s="9">
        <v>57432.0</v>
      </c>
      <c r="C61" s="9">
        <v>56786.0</v>
      </c>
      <c r="D61" s="9">
        <v>16916.0</v>
      </c>
      <c r="E61" s="9">
        <v>298.0</v>
      </c>
      <c r="F61" s="14"/>
      <c r="G61" s="15"/>
      <c r="H61" s="15"/>
      <c r="I61" s="14"/>
      <c r="J61" s="14"/>
      <c r="K61" s="14"/>
      <c r="L61" s="14"/>
      <c r="M61" s="14"/>
      <c r="N61" s="14"/>
      <c r="P61" s="14"/>
    </row>
    <row r="62" ht="18.75" customHeight="1">
      <c r="A62" s="7" t="s">
        <v>2254</v>
      </c>
      <c r="B62" s="9">
        <v>81796.0</v>
      </c>
      <c r="C62" s="9">
        <v>80881.0</v>
      </c>
      <c r="D62" s="9">
        <v>30352.0</v>
      </c>
      <c r="E62" s="9">
        <v>612.0</v>
      </c>
      <c r="F62" s="14"/>
      <c r="G62" s="15"/>
      <c r="H62" s="15"/>
      <c r="I62" s="14"/>
      <c r="J62" s="14"/>
      <c r="K62" s="14"/>
      <c r="L62" s="14"/>
      <c r="M62" s="14"/>
      <c r="N62" s="14"/>
      <c r="P62" s="14"/>
    </row>
    <row r="63" ht="18.75" customHeight="1">
      <c r="A63" s="7" t="s">
        <v>2254</v>
      </c>
      <c r="B63" s="9">
        <v>72917.0</v>
      </c>
      <c r="C63" s="9">
        <v>72101.0</v>
      </c>
      <c r="D63" s="9">
        <v>33199.0</v>
      </c>
      <c r="E63" s="9">
        <v>524.0</v>
      </c>
      <c r="F63" s="14"/>
      <c r="G63" s="15"/>
      <c r="H63" s="15"/>
      <c r="I63" s="14"/>
      <c r="J63" s="14"/>
      <c r="K63" s="14"/>
      <c r="L63" s="14"/>
      <c r="M63" s="14"/>
      <c r="N63" s="14"/>
      <c r="P63" s="14"/>
    </row>
    <row r="64" ht="18.75" customHeight="1">
      <c r="A64" s="7" t="s">
        <v>2254</v>
      </c>
      <c r="B64" s="9">
        <v>62375.0</v>
      </c>
      <c r="C64" s="9">
        <v>61692.0</v>
      </c>
      <c r="D64" s="9">
        <v>22182.0</v>
      </c>
      <c r="E64" s="9">
        <v>470.0</v>
      </c>
      <c r="F64" s="14"/>
      <c r="G64" s="15"/>
      <c r="H64" s="15"/>
      <c r="I64" s="14"/>
      <c r="J64" s="14"/>
      <c r="K64" s="14"/>
      <c r="L64" s="14"/>
      <c r="M64" s="14"/>
      <c r="N64" s="14"/>
      <c r="P64" s="14"/>
    </row>
    <row r="65" ht="18.75" customHeight="1">
      <c r="A65" s="7" t="s">
        <v>2258</v>
      </c>
      <c r="B65" s="9">
        <v>275.0</v>
      </c>
      <c r="C65" s="9">
        <v>273.0</v>
      </c>
      <c r="D65" s="9">
        <v>107.0</v>
      </c>
      <c r="E65" s="9">
        <v>16.0</v>
      </c>
      <c r="F65" s="14"/>
      <c r="G65" s="15"/>
      <c r="H65" s="15"/>
      <c r="I65" s="14"/>
      <c r="J65" s="14"/>
      <c r="K65" s="14"/>
      <c r="L65" s="14"/>
      <c r="M65" s="14"/>
      <c r="N65" s="14"/>
      <c r="P65" s="14"/>
    </row>
    <row r="66" ht="18.75" customHeight="1">
      <c r="A66" s="7" t="s">
        <v>2259</v>
      </c>
      <c r="B66" s="9">
        <v>45827.0</v>
      </c>
      <c r="C66" s="9">
        <v>45782.0</v>
      </c>
      <c r="D66" s="9">
        <v>31857.0</v>
      </c>
      <c r="E66" s="9">
        <v>366.0</v>
      </c>
      <c r="F66" s="14"/>
      <c r="G66" s="15"/>
      <c r="H66" s="15"/>
      <c r="I66" s="14"/>
      <c r="J66" s="14"/>
      <c r="K66" s="14"/>
      <c r="L66" s="14"/>
      <c r="M66" s="14"/>
      <c r="N66" s="14"/>
      <c r="P66" s="14"/>
    </row>
    <row r="67" ht="18.75" customHeight="1">
      <c r="A67" s="7" t="s">
        <v>2259</v>
      </c>
      <c r="B67" s="9">
        <v>37150.0</v>
      </c>
      <c r="C67" s="9">
        <v>37111.0</v>
      </c>
      <c r="D67" s="9">
        <v>25408.0</v>
      </c>
      <c r="E67" s="9">
        <v>255.0</v>
      </c>
      <c r="F67" s="14"/>
      <c r="G67" s="15"/>
      <c r="H67" s="15"/>
      <c r="I67" s="14"/>
      <c r="J67" s="14"/>
      <c r="K67" s="14"/>
      <c r="L67" s="14"/>
      <c r="M67" s="14"/>
      <c r="N67" s="14"/>
      <c r="P67" s="14"/>
    </row>
    <row r="68" ht="18.75" customHeight="1">
      <c r="A68" s="7" t="s">
        <v>2259</v>
      </c>
      <c r="B68" s="9">
        <v>40379.0</v>
      </c>
      <c r="C68" s="9">
        <v>40349.0</v>
      </c>
      <c r="D68" s="9">
        <v>28177.0</v>
      </c>
      <c r="E68" s="9">
        <v>364.0</v>
      </c>
      <c r="F68" s="14"/>
      <c r="G68" s="15"/>
      <c r="H68" s="15"/>
      <c r="I68" s="14"/>
      <c r="J68" s="14"/>
      <c r="K68" s="14"/>
      <c r="L68" s="14"/>
      <c r="M68" s="14"/>
      <c r="N68" s="14"/>
      <c r="P68" s="14"/>
    </row>
    <row r="69" ht="18.75" customHeight="1">
      <c r="A69" s="7" t="s">
        <v>2259</v>
      </c>
      <c r="B69" s="9">
        <v>51636.0</v>
      </c>
      <c r="C69" s="9">
        <v>51019.0</v>
      </c>
      <c r="D69" s="9">
        <v>22030.0</v>
      </c>
      <c r="E69" s="9">
        <v>256.0</v>
      </c>
      <c r="F69" s="14"/>
      <c r="G69" s="15"/>
      <c r="H69" s="15"/>
      <c r="I69" s="14"/>
      <c r="J69" s="14"/>
      <c r="K69" s="14"/>
      <c r="L69" s="14"/>
      <c r="M69" s="14"/>
      <c r="N69" s="14"/>
      <c r="P69" s="14"/>
    </row>
    <row r="70" ht="18.75" customHeight="1">
      <c r="A70" s="7" t="s">
        <v>2259</v>
      </c>
      <c r="B70" s="9">
        <v>66323.0</v>
      </c>
      <c r="C70" s="9">
        <v>65589.0</v>
      </c>
      <c r="D70" s="9">
        <v>26108.0</v>
      </c>
      <c r="E70" s="9">
        <v>344.0</v>
      </c>
      <c r="F70" s="14"/>
      <c r="G70" s="15"/>
      <c r="H70" s="15"/>
      <c r="I70" s="14"/>
      <c r="J70" s="14"/>
      <c r="K70" s="14"/>
      <c r="L70" s="14"/>
      <c r="M70" s="14"/>
      <c r="N70" s="14"/>
      <c r="P70" s="14"/>
    </row>
    <row r="71" ht="18.75" customHeight="1">
      <c r="A71" s="7" t="s">
        <v>2259</v>
      </c>
      <c r="B71" s="9">
        <v>57768.0</v>
      </c>
      <c r="C71" s="9">
        <v>57110.0</v>
      </c>
      <c r="D71" s="9">
        <v>18566.0</v>
      </c>
      <c r="E71" s="9">
        <v>243.0</v>
      </c>
      <c r="F71" s="14"/>
      <c r="G71" s="15"/>
      <c r="H71" s="15"/>
      <c r="I71" s="14"/>
      <c r="J71" s="14"/>
      <c r="K71" s="14"/>
      <c r="L71" s="14"/>
      <c r="M71" s="14"/>
      <c r="N71" s="14"/>
      <c r="P71" s="14"/>
    </row>
    <row r="72" ht="18.75" customHeight="1">
      <c r="A72" s="7" t="s">
        <v>2260</v>
      </c>
      <c r="B72" s="9">
        <v>83729.0</v>
      </c>
      <c r="C72" s="9">
        <v>82801.0</v>
      </c>
      <c r="D72" s="9">
        <v>29350.0</v>
      </c>
      <c r="E72" s="9">
        <v>925.0</v>
      </c>
      <c r="F72" s="14"/>
      <c r="G72" s="15"/>
      <c r="H72" s="15"/>
      <c r="I72" s="14"/>
      <c r="J72" s="14"/>
      <c r="K72" s="14"/>
      <c r="L72" s="14"/>
      <c r="M72" s="14"/>
      <c r="N72" s="14"/>
      <c r="P72" s="14"/>
    </row>
    <row r="73" ht="18.75" customHeight="1">
      <c r="A73" s="7" t="s">
        <v>2259</v>
      </c>
      <c r="B73" s="9">
        <v>61772.0</v>
      </c>
      <c r="C73" s="9">
        <v>61122.0</v>
      </c>
      <c r="D73" s="9">
        <v>20874.0</v>
      </c>
      <c r="E73" s="9">
        <v>242.0</v>
      </c>
      <c r="F73" s="14"/>
      <c r="G73" s="15"/>
      <c r="H73" s="15"/>
      <c r="I73" s="14"/>
      <c r="J73" s="14"/>
      <c r="K73" s="14"/>
      <c r="L73" s="14"/>
      <c r="M73" s="14"/>
      <c r="N73" s="14"/>
      <c r="P73" s="14"/>
    </row>
    <row r="74" ht="18.75" customHeight="1">
      <c r="A74" s="7" t="s">
        <v>2259</v>
      </c>
      <c r="B74" s="9">
        <v>86358.0</v>
      </c>
      <c r="C74" s="9">
        <v>85322.0</v>
      </c>
      <c r="D74" s="9">
        <v>36714.0</v>
      </c>
      <c r="E74" s="9">
        <v>393.0</v>
      </c>
      <c r="F74" s="14"/>
      <c r="G74" s="15"/>
      <c r="H74" s="15"/>
      <c r="I74" s="14"/>
      <c r="J74" s="14"/>
      <c r="K74" s="14"/>
      <c r="L74" s="14"/>
      <c r="M74" s="14"/>
      <c r="N74" s="14"/>
      <c r="P74" s="14"/>
    </row>
    <row r="75" ht="18.75" customHeight="1">
      <c r="A75" s="7" t="s">
        <v>2236</v>
      </c>
      <c r="B75" s="9">
        <v>28593.0</v>
      </c>
      <c r="C75" s="9">
        <v>28224.0</v>
      </c>
      <c r="D75" s="9">
        <v>9390.0</v>
      </c>
      <c r="E75" s="9">
        <v>422.0</v>
      </c>
      <c r="F75" s="14"/>
      <c r="G75" s="15"/>
      <c r="H75" s="15"/>
      <c r="I75" s="14"/>
      <c r="J75" s="14"/>
      <c r="K75" s="14"/>
      <c r="L75" s="14"/>
      <c r="M75" s="14"/>
      <c r="N75" s="14"/>
      <c r="P75" s="14"/>
    </row>
    <row r="76" ht="18.75" customHeight="1">
      <c r="A76" s="7" t="s">
        <v>2261</v>
      </c>
      <c r="B76" s="9">
        <v>11114.0</v>
      </c>
      <c r="C76" s="9">
        <v>10995.0</v>
      </c>
      <c r="D76" s="9">
        <v>4089.0</v>
      </c>
      <c r="E76" s="9">
        <v>276.0</v>
      </c>
      <c r="F76" s="14"/>
      <c r="G76" s="15"/>
      <c r="H76" s="15"/>
      <c r="I76" s="14"/>
      <c r="J76" s="14"/>
      <c r="K76" s="14"/>
      <c r="L76" s="14"/>
      <c r="M76" s="14"/>
      <c r="N76" s="14"/>
      <c r="P76" s="14"/>
    </row>
    <row r="77" ht="18.75" customHeight="1">
      <c r="A77" s="7" t="s">
        <v>2262</v>
      </c>
      <c r="B77" s="9">
        <v>130766.0</v>
      </c>
      <c r="C77" s="9">
        <v>129715.0</v>
      </c>
      <c r="D77" s="9">
        <v>59448.0</v>
      </c>
      <c r="E77" s="9">
        <v>3741.0</v>
      </c>
      <c r="F77" s="14"/>
      <c r="G77" s="15"/>
      <c r="H77" s="15"/>
      <c r="I77" s="14"/>
      <c r="J77" s="14"/>
      <c r="K77" s="14"/>
      <c r="L77" s="14"/>
      <c r="M77" s="14"/>
      <c r="N77" s="14"/>
      <c r="P77" s="14"/>
    </row>
    <row r="78" ht="18.75" customHeight="1">
      <c r="A78" s="7" t="s">
        <v>2259</v>
      </c>
      <c r="B78" s="9">
        <v>64638.0</v>
      </c>
      <c r="C78" s="9">
        <v>63749.0</v>
      </c>
      <c r="D78" s="9">
        <v>21033.0</v>
      </c>
      <c r="E78" s="9">
        <v>216.0</v>
      </c>
      <c r="F78" s="14"/>
      <c r="G78" s="15"/>
      <c r="H78" s="15"/>
      <c r="I78" s="14"/>
      <c r="J78" s="14"/>
      <c r="K78" s="14"/>
      <c r="L78" s="14"/>
      <c r="M78" s="14"/>
      <c r="N78" s="14"/>
      <c r="P78" s="14"/>
    </row>
    <row r="79" ht="18.75" customHeight="1">
      <c r="A79" s="7" t="s">
        <v>2263</v>
      </c>
      <c r="B79" s="9">
        <v>23167.0</v>
      </c>
      <c r="C79" s="9">
        <v>22852.0</v>
      </c>
      <c r="D79" s="9">
        <v>7110.0</v>
      </c>
      <c r="E79" s="9">
        <v>445.0</v>
      </c>
      <c r="F79" s="14"/>
      <c r="G79" s="15"/>
      <c r="H79" s="15"/>
      <c r="I79" s="14"/>
      <c r="J79" s="14"/>
      <c r="K79" s="14"/>
      <c r="L79" s="14"/>
      <c r="M79" s="14"/>
      <c r="N79" s="14"/>
      <c r="P79" s="14"/>
    </row>
    <row r="80" ht="18.75" customHeight="1">
      <c r="A80" s="7" t="s">
        <v>2264</v>
      </c>
      <c r="B80" s="9">
        <v>126142.0</v>
      </c>
      <c r="C80" s="9">
        <v>124123.0</v>
      </c>
      <c r="D80" s="9">
        <v>38489.0</v>
      </c>
      <c r="E80" s="9">
        <v>4618.0</v>
      </c>
      <c r="F80" s="14"/>
      <c r="G80" s="15"/>
      <c r="H80" s="15"/>
      <c r="I80" s="14"/>
      <c r="J80" s="14"/>
      <c r="K80" s="14"/>
      <c r="L80" s="14"/>
      <c r="M80" s="14"/>
      <c r="N80" s="14"/>
      <c r="P80" s="14"/>
    </row>
    <row r="81" ht="18.75" customHeight="1">
      <c r="A81" s="7" t="s">
        <v>2263</v>
      </c>
      <c r="B81" s="9">
        <v>257.0</v>
      </c>
      <c r="C81" s="9">
        <v>254.0</v>
      </c>
      <c r="D81" s="9">
        <v>177.0</v>
      </c>
      <c r="E81" s="9">
        <v>77.0</v>
      </c>
      <c r="F81" s="14"/>
      <c r="G81" s="15"/>
      <c r="H81" s="15"/>
      <c r="I81" s="14"/>
      <c r="J81" s="14"/>
      <c r="K81" s="14"/>
      <c r="L81" s="14"/>
      <c r="M81" s="14"/>
      <c r="N81" s="14"/>
      <c r="P81" s="14"/>
    </row>
    <row r="82" ht="18.75" customHeight="1">
      <c r="A82" s="7" t="s">
        <v>2265</v>
      </c>
      <c r="B82" s="9">
        <v>29113.0</v>
      </c>
      <c r="C82" s="9">
        <v>28876.0</v>
      </c>
      <c r="D82" s="9">
        <v>14140.0</v>
      </c>
      <c r="E82" s="9">
        <v>3458.0</v>
      </c>
      <c r="F82" s="14"/>
      <c r="G82" s="15"/>
      <c r="H82" s="15"/>
      <c r="I82" s="14"/>
      <c r="J82" s="14"/>
      <c r="K82" s="14"/>
      <c r="L82" s="14"/>
      <c r="M82" s="14"/>
      <c r="N82" s="14"/>
    </row>
    <row r="83" ht="18.75" customHeight="1">
      <c r="A83" s="7" t="s">
        <v>2265</v>
      </c>
      <c r="B83" s="9">
        <v>5734.0</v>
      </c>
      <c r="C83" s="9">
        <v>5660.0</v>
      </c>
      <c r="D83" s="9">
        <v>2539.0</v>
      </c>
      <c r="E83" s="9">
        <v>570.0</v>
      </c>
      <c r="F83" s="14"/>
      <c r="G83" s="15"/>
      <c r="H83" s="15"/>
      <c r="I83" s="14"/>
      <c r="J83" s="14"/>
      <c r="K83" s="14"/>
      <c r="L83" s="14"/>
      <c r="M83" s="14"/>
      <c r="N83" s="14"/>
    </row>
    <row r="84" ht="18.75" customHeight="1">
      <c r="A84" s="7" t="s">
        <v>2266</v>
      </c>
      <c r="B84" s="9">
        <v>95345.0</v>
      </c>
      <c r="C84" s="9">
        <v>94423.0</v>
      </c>
      <c r="D84" s="9">
        <v>48005.0</v>
      </c>
      <c r="E84" s="9">
        <v>4546.0</v>
      </c>
      <c r="F84" s="14"/>
      <c r="G84" s="15"/>
      <c r="H84" s="15"/>
      <c r="I84" s="14"/>
      <c r="J84" s="14"/>
      <c r="K84" s="14"/>
      <c r="L84" s="14"/>
      <c r="M84" s="14"/>
      <c r="N84" s="14"/>
      <c r="P84" s="14"/>
    </row>
    <row r="85" ht="18.75" customHeight="1">
      <c r="A85" s="7" t="s">
        <v>2267</v>
      </c>
      <c r="B85" s="9">
        <v>84117.0</v>
      </c>
      <c r="C85" s="9">
        <v>82972.0</v>
      </c>
      <c r="D85" s="9">
        <v>34752.0</v>
      </c>
      <c r="E85" s="9">
        <v>647.0</v>
      </c>
      <c r="F85" s="14"/>
      <c r="G85" s="15"/>
      <c r="H85" s="15"/>
      <c r="I85" s="14"/>
      <c r="J85" s="14"/>
      <c r="K85" s="14"/>
      <c r="L85" s="14"/>
      <c r="M85" s="14"/>
      <c r="N85" s="14"/>
      <c r="P85" s="14"/>
    </row>
    <row r="86" ht="18.75" customHeight="1">
      <c r="A86" s="7" t="s">
        <v>2267</v>
      </c>
      <c r="B86" s="9">
        <v>81464.0</v>
      </c>
      <c r="C86" s="9">
        <v>80346.0</v>
      </c>
      <c r="D86" s="9">
        <v>26867.0</v>
      </c>
      <c r="E86" s="9">
        <v>535.0</v>
      </c>
      <c r="F86" s="14"/>
      <c r="G86" s="15"/>
      <c r="H86" s="15"/>
      <c r="I86" s="14"/>
      <c r="J86" s="14"/>
      <c r="K86" s="14"/>
      <c r="L86" s="14"/>
      <c r="M86" s="14"/>
      <c r="N86" s="14"/>
      <c r="P86" s="14"/>
    </row>
    <row r="87" ht="18.75" customHeight="1">
      <c r="A87" s="7" t="s">
        <v>2268</v>
      </c>
      <c r="B87" s="9">
        <v>55724.0</v>
      </c>
      <c r="C87" s="9">
        <v>55563.0</v>
      </c>
      <c r="D87" s="9">
        <v>38970.0</v>
      </c>
      <c r="E87" s="9">
        <v>5527.0</v>
      </c>
      <c r="F87" s="14"/>
      <c r="G87" s="15"/>
      <c r="H87" s="15"/>
      <c r="I87" s="14"/>
      <c r="J87" s="14"/>
      <c r="K87" s="14"/>
      <c r="L87" s="14"/>
      <c r="M87" s="14"/>
      <c r="N87" s="14"/>
      <c r="P87" s="14"/>
    </row>
    <row r="88" ht="18.75" customHeight="1">
      <c r="A88" s="7" t="s">
        <v>2262</v>
      </c>
      <c r="B88" s="9">
        <v>2035.0</v>
      </c>
      <c r="C88" s="9">
        <v>2032.0</v>
      </c>
      <c r="D88" s="9">
        <v>1522.0</v>
      </c>
      <c r="E88" s="9">
        <v>15.0</v>
      </c>
      <c r="F88" s="14"/>
      <c r="G88" s="15"/>
      <c r="H88" s="15"/>
      <c r="I88" s="14"/>
      <c r="J88" s="14"/>
      <c r="K88" s="14"/>
      <c r="L88" s="14"/>
      <c r="M88" s="14"/>
      <c r="N88" s="14"/>
    </row>
    <row r="89" ht="18.75" customHeight="1">
      <c r="A89" s="7" t="s">
        <v>2266</v>
      </c>
      <c r="B89" s="9">
        <v>132312.0</v>
      </c>
      <c r="C89" s="9">
        <v>130990.0</v>
      </c>
      <c r="D89" s="9">
        <v>59624.0</v>
      </c>
      <c r="E89" s="9">
        <v>4566.0</v>
      </c>
      <c r="F89" s="14"/>
      <c r="G89" s="15"/>
      <c r="H89" s="15"/>
      <c r="I89" s="14"/>
      <c r="J89" s="14"/>
      <c r="K89" s="14"/>
      <c r="L89" s="14"/>
      <c r="M89" s="14"/>
      <c r="N89" s="14"/>
      <c r="P89" s="14"/>
    </row>
    <row r="90" ht="18.75" customHeight="1">
      <c r="A90" s="7" t="s">
        <v>2269</v>
      </c>
      <c r="B90" s="9">
        <v>30017.0</v>
      </c>
      <c r="C90" s="9">
        <v>29768.0</v>
      </c>
      <c r="D90" s="9">
        <v>17501.0</v>
      </c>
      <c r="E90" s="9">
        <v>2463.0</v>
      </c>
      <c r="F90" s="14"/>
      <c r="G90" s="15"/>
      <c r="H90" s="15"/>
      <c r="I90" s="14"/>
      <c r="J90" s="14"/>
      <c r="K90" s="14"/>
      <c r="L90" s="14"/>
      <c r="M90" s="14"/>
      <c r="N90" s="14"/>
      <c r="P90" s="14"/>
    </row>
    <row r="91" ht="18.75" customHeight="1">
      <c r="A91" s="7" t="s">
        <v>2270</v>
      </c>
      <c r="B91" s="9">
        <v>34478.0</v>
      </c>
      <c r="C91" s="9">
        <v>34125.0</v>
      </c>
      <c r="D91" s="9">
        <v>12641.0</v>
      </c>
      <c r="E91" s="9">
        <v>586.0</v>
      </c>
      <c r="F91" s="14"/>
      <c r="G91" s="15"/>
      <c r="H91" s="15"/>
      <c r="I91" s="14"/>
      <c r="J91" s="14"/>
      <c r="K91" s="14"/>
      <c r="L91" s="14"/>
      <c r="M91" s="14"/>
      <c r="N91" s="14"/>
      <c r="P91" s="14"/>
    </row>
    <row r="92" ht="18.75" customHeight="1">
      <c r="A92" s="7" t="s">
        <v>2271</v>
      </c>
      <c r="B92" s="9">
        <v>42814.0</v>
      </c>
      <c r="C92" s="9">
        <v>42223.0</v>
      </c>
      <c r="D92" s="9">
        <v>16350.0</v>
      </c>
      <c r="E92" s="9">
        <v>2453.0</v>
      </c>
      <c r="F92" s="14"/>
      <c r="G92" s="15"/>
      <c r="H92" s="15"/>
      <c r="I92" s="14"/>
      <c r="J92" s="14"/>
      <c r="K92" s="14"/>
      <c r="L92" s="14"/>
      <c r="M92" s="14"/>
      <c r="N92" s="14"/>
      <c r="P92" s="14"/>
    </row>
    <row r="93" ht="18.75" customHeight="1">
      <c r="A93" s="7" t="s">
        <v>2271</v>
      </c>
      <c r="B93" s="9">
        <v>38486.0</v>
      </c>
      <c r="C93" s="9">
        <v>38037.0</v>
      </c>
      <c r="D93" s="9">
        <v>15985.0</v>
      </c>
      <c r="E93" s="9">
        <v>1068.0</v>
      </c>
      <c r="F93" s="14"/>
      <c r="G93" s="15"/>
      <c r="H93" s="15"/>
      <c r="I93" s="14"/>
      <c r="J93" s="14"/>
      <c r="K93" s="14"/>
      <c r="L93" s="14"/>
      <c r="M93" s="14"/>
      <c r="N93" s="14"/>
      <c r="P93" s="14"/>
    </row>
    <row r="94" ht="18.75" customHeight="1">
      <c r="A94" s="7" t="s">
        <v>2272</v>
      </c>
      <c r="B94" s="9">
        <v>16786.0</v>
      </c>
      <c r="C94" s="9">
        <v>16661.0</v>
      </c>
      <c r="D94" s="9">
        <v>5413.0</v>
      </c>
      <c r="E94" s="9">
        <v>342.0</v>
      </c>
      <c r="F94" s="14"/>
      <c r="G94" s="15"/>
      <c r="H94" s="15"/>
      <c r="I94" s="14"/>
      <c r="J94" s="14"/>
      <c r="K94" s="14"/>
      <c r="L94" s="14"/>
      <c r="M94" s="14"/>
      <c r="N94" s="14"/>
      <c r="P94" s="14"/>
    </row>
    <row r="95" ht="18.75" customHeight="1">
      <c r="A95" s="7" t="s">
        <v>2273</v>
      </c>
      <c r="B95" s="9">
        <v>1611.0</v>
      </c>
      <c r="C95" s="9">
        <v>1609.0</v>
      </c>
      <c r="D95" s="9">
        <v>1224.0</v>
      </c>
      <c r="E95" s="9">
        <v>756.0</v>
      </c>
      <c r="F95" s="14"/>
      <c r="G95" s="15"/>
      <c r="H95" s="15"/>
      <c r="I95" s="14"/>
      <c r="J95" s="14"/>
      <c r="K95" s="14"/>
      <c r="L95" s="14"/>
      <c r="M95" s="14"/>
      <c r="N95" s="14"/>
      <c r="P95" s="14"/>
    </row>
    <row r="96" ht="18.75" customHeight="1">
      <c r="A96" s="7" t="s">
        <v>2274</v>
      </c>
      <c r="B96" s="9">
        <v>18748.0</v>
      </c>
      <c r="C96" s="9">
        <v>18522.0</v>
      </c>
      <c r="D96" s="9">
        <v>6186.0</v>
      </c>
      <c r="E96" s="9">
        <v>278.0</v>
      </c>
      <c r="F96" s="14"/>
      <c r="G96" s="15"/>
      <c r="H96" s="15"/>
      <c r="I96" s="14"/>
      <c r="J96" s="14"/>
      <c r="K96" s="14"/>
      <c r="L96" s="14"/>
      <c r="M96" s="14"/>
      <c r="N96" s="14"/>
      <c r="P96" s="14"/>
    </row>
    <row r="97" ht="18.75" customHeight="1">
      <c r="A97" s="7" t="s">
        <v>2274</v>
      </c>
      <c r="B97" s="9">
        <v>1319.0</v>
      </c>
      <c r="C97" s="9">
        <v>1298.0</v>
      </c>
      <c r="D97" s="9">
        <v>392.0</v>
      </c>
      <c r="E97" s="9">
        <v>22.0</v>
      </c>
      <c r="F97" s="14"/>
      <c r="G97" s="15"/>
      <c r="H97" s="15"/>
      <c r="I97" s="14"/>
      <c r="J97" s="14"/>
      <c r="K97" s="14"/>
      <c r="L97" s="14"/>
      <c r="M97" s="14"/>
      <c r="N97" s="14"/>
      <c r="P97" s="14"/>
    </row>
    <row r="98" ht="18.75" customHeight="1">
      <c r="A98" s="7" t="s">
        <v>2273</v>
      </c>
      <c r="B98" s="9">
        <v>987.0</v>
      </c>
      <c r="C98" s="9">
        <v>987.0</v>
      </c>
      <c r="D98" s="9">
        <v>617.0</v>
      </c>
      <c r="E98" s="9">
        <v>307.0</v>
      </c>
      <c r="F98" s="14"/>
      <c r="G98" s="15"/>
      <c r="H98" s="15"/>
      <c r="I98" s="14"/>
      <c r="J98" s="14"/>
      <c r="K98" s="14"/>
      <c r="L98" s="14"/>
      <c r="M98" s="14"/>
      <c r="N98" s="14"/>
      <c r="P98" s="14"/>
    </row>
    <row r="99" ht="18.75" customHeight="1">
      <c r="A99" s="7" t="s">
        <v>2275</v>
      </c>
      <c r="B99" s="9">
        <v>4184.0</v>
      </c>
      <c r="C99" s="9">
        <v>4163.0</v>
      </c>
      <c r="D99" s="9">
        <v>1752.0</v>
      </c>
      <c r="E99" s="9">
        <v>289.0</v>
      </c>
      <c r="F99" s="14"/>
      <c r="G99" s="15"/>
      <c r="H99" s="15"/>
      <c r="I99" s="14"/>
      <c r="J99" s="14"/>
      <c r="K99" s="14"/>
      <c r="L99" s="14"/>
      <c r="M99" s="14"/>
      <c r="N99" s="14"/>
      <c r="P99" s="14"/>
    </row>
    <row r="100" ht="18.75" customHeight="1">
      <c r="A100" s="7" t="s">
        <v>2276</v>
      </c>
      <c r="B100" s="9">
        <v>152814.0</v>
      </c>
      <c r="C100" s="9">
        <v>152583.0</v>
      </c>
      <c r="D100" s="9">
        <v>94929.0</v>
      </c>
      <c r="E100" s="9">
        <v>720.0</v>
      </c>
      <c r="F100" s="14"/>
      <c r="G100" s="15"/>
      <c r="H100" s="15"/>
      <c r="I100" s="14"/>
      <c r="J100" s="14"/>
      <c r="K100" s="14"/>
      <c r="L100" s="14"/>
      <c r="M100" s="14"/>
      <c r="N100" s="14"/>
      <c r="P100" s="14"/>
    </row>
    <row r="101" ht="18.75" customHeight="1">
      <c r="A101" s="7" t="s">
        <v>2276</v>
      </c>
      <c r="B101" s="9">
        <v>86838.0</v>
      </c>
      <c r="C101" s="9">
        <v>86688.0</v>
      </c>
      <c r="D101" s="9">
        <v>59649.0</v>
      </c>
      <c r="E101" s="9">
        <v>459.0</v>
      </c>
      <c r="F101" s="14"/>
      <c r="G101" s="15"/>
      <c r="H101" s="15"/>
      <c r="I101" s="14"/>
      <c r="J101" s="14"/>
      <c r="K101" s="14"/>
      <c r="L101" s="14"/>
      <c r="M101" s="14"/>
      <c r="N101" s="14"/>
      <c r="P101" s="14"/>
    </row>
    <row r="102" ht="18.75" customHeight="1">
      <c r="A102" s="7" t="s">
        <v>2266</v>
      </c>
      <c r="B102" s="9">
        <v>33127.0</v>
      </c>
      <c r="C102" s="9">
        <v>32696.0</v>
      </c>
      <c r="D102" s="9">
        <v>9150.0</v>
      </c>
      <c r="E102" s="9">
        <v>893.0</v>
      </c>
      <c r="F102" s="14"/>
      <c r="G102" s="15"/>
      <c r="H102" s="15"/>
      <c r="I102" s="14"/>
      <c r="J102" s="14"/>
      <c r="K102" s="14"/>
      <c r="L102" s="14"/>
      <c r="M102" s="14"/>
      <c r="N102" s="14"/>
      <c r="P102" s="14"/>
    </row>
    <row r="103" ht="18.75" customHeight="1">
      <c r="A103" s="7" t="s">
        <v>2277</v>
      </c>
      <c r="B103" s="9">
        <v>948.0</v>
      </c>
      <c r="C103" s="9">
        <v>946.0</v>
      </c>
      <c r="D103" s="9">
        <v>552.0</v>
      </c>
      <c r="E103" s="9">
        <v>380.0</v>
      </c>
      <c r="F103" s="14"/>
      <c r="G103" s="15"/>
      <c r="H103" s="15"/>
      <c r="I103" s="14"/>
      <c r="J103" s="14"/>
      <c r="K103" s="14"/>
      <c r="L103" s="14"/>
      <c r="M103" s="14"/>
      <c r="N103" s="14"/>
      <c r="P103" s="14"/>
    </row>
    <row r="104" ht="18.75" customHeight="1">
      <c r="A104" s="7" t="s">
        <v>2277</v>
      </c>
      <c r="B104" s="9">
        <v>2045.0</v>
      </c>
      <c r="C104" s="9">
        <v>2038.0</v>
      </c>
      <c r="D104" s="9">
        <v>1191.0</v>
      </c>
      <c r="E104" s="9">
        <v>870.0</v>
      </c>
      <c r="F104" s="14"/>
      <c r="G104" s="15"/>
      <c r="H104" s="15"/>
      <c r="I104" s="14"/>
      <c r="J104" s="14"/>
      <c r="K104" s="14"/>
      <c r="L104" s="14"/>
      <c r="M104" s="14"/>
      <c r="N104" s="14"/>
      <c r="P104" s="14"/>
    </row>
    <row r="105" ht="18.75" customHeight="1">
      <c r="A105" s="7" t="s">
        <v>2278</v>
      </c>
      <c r="B105" s="9">
        <v>46578.0</v>
      </c>
      <c r="C105" s="9">
        <v>46033.0</v>
      </c>
      <c r="D105" s="9">
        <v>18108.0</v>
      </c>
      <c r="E105" s="9">
        <v>953.0</v>
      </c>
      <c r="F105" s="14"/>
      <c r="G105" s="15"/>
      <c r="H105" s="15"/>
      <c r="I105" s="14"/>
      <c r="J105" s="14"/>
      <c r="K105" s="14"/>
      <c r="L105" s="14"/>
      <c r="M105" s="14"/>
      <c r="N105" s="14"/>
      <c r="P105" s="14"/>
    </row>
    <row r="106" ht="18.75" customHeight="1">
      <c r="A106" s="7" t="s">
        <v>2275</v>
      </c>
      <c r="B106" s="9">
        <v>3755.0</v>
      </c>
      <c r="C106" s="9">
        <v>3730.0</v>
      </c>
      <c r="D106" s="9">
        <v>1611.0</v>
      </c>
      <c r="E106" s="9">
        <v>318.0</v>
      </c>
      <c r="F106" s="14"/>
      <c r="G106" s="15"/>
      <c r="H106" s="15"/>
      <c r="I106" s="14"/>
      <c r="J106" s="14"/>
      <c r="K106" s="14"/>
      <c r="L106" s="14"/>
      <c r="M106" s="14"/>
      <c r="N106" s="14"/>
      <c r="P106" s="14"/>
    </row>
    <row r="107" ht="18.75" customHeight="1">
      <c r="A107" s="7" t="s">
        <v>2279</v>
      </c>
      <c r="B107" s="9">
        <v>136.0</v>
      </c>
      <c r="C107" s="9">
        <v>136.0</v>
      </c>
      <c r="D107" s="9">
        <v>68.0</v>
      </c>
      <c r="E107" s="9">
        <v>38.0</v>
      </c>
      <c r="F107" s="14"/>
      <c r="G107" s="15"/>
      <c r="H107" s="15"/>
      <c r="I107" s="14"/>
      <c r="J107" s="14"/>
      <c r="K107" s="14"/>
      <c r="L107" s="14"/>
      <c r="M107" s="14"/>
      <c r="N107" s="14"/>
      <c r="P107" s="14"/>
    </row>
    <row r="108" ht="18.75" customHeight="1">
      <c r="A108" s="7" t="s">
        <v>2280</v>
      </c>
      <c r="B108" s="9">
        <v>107619.0</v>
      </c>
      <c r="C108" s="9">
        <v>106416.0</v>
      </c>
      <c r="D108" s="9">
        <v>37412.0</v>
      </c>
      <c r="E108" s="9">
        <v>3579.0</v>
      </c>
      <c r="F108" s="14"/>
      <c r="G108" s="15"/>
      <c r="H108" s="15"/>
      <c r="I108" s="14"/>
      <c r="J108" s="14"/>
      <c r="K108" s="14"/>
      <c r="L108" s="14"/>
      <c r="M108" s="14"/>
      <c r="N108" s="14"/>
      <c r="P108" s="14"/>
    </row>
    <row r="109" ht="18.75" customHeight="1">
      <c r="A109" s="7" t="s">
        <v>2281</v>
      </c>
      <c r="B109" s="9">
        <v>77302.0</v>
      </c>
      <c r="C109" s="9">
        <v>76439.0</v>
      </c>
      <c r="D109" s="9">
        <v>28946.0</v>
      </c>
      <c r="E109" s="9">
        <v>932.0</v>
      </c>
      <c r="F109" s="14"/>
      <c r="G109" s="15"/>
      <c r="H109" s="15"/>
      <c r="I109" s="14"/>
      <c r="J109" s="14"/>
      <c r="K109" s="14"/>
      <c r="L109" s="14"/>
      <c r="M109" s="14"/>
      <c r="N109" s="14"/>
      <c r="P109" s="14"/>
    </row>
    <row r="110" ht="18.75" customHeight="1">
      <c r="A110" s="7" t="s">
        <v>2274</v>
      </c>
      <c r="B110" s="9">
        <v>15567.0</v>
      </c>
      <c r="C110" s="9">
        <v>15375.0</v>
      </c>
      <c r="D110" s="9">
        <v>4849.0</v>
      </c>
      <c r="E110" s="9">
        <v>202.0</v>
      </c>
      <c r="F110" s="14"/>
      <c r="G110" s="15"/>
      <c r="H110" s="15"/>
      <c r="I110" s="14"/>
      <c r="J110" s="14"/>
      <c r="K110" s="14"/>
      <c r="L110" s="14"/>
      <c r="M110" s="14"/>
      <c r="N110" s="14"/>
      <c r="P110" s="14"/>
    </row>
    <row r="111" ht="18.75" customHeight="1">
      <c r="A111" s="7" t="s">
        <v>2274</v>
      </c>
      <c r="B111" s="9">
        <v>883.0</v>
      </c>
      <c r="C111" s="9">
        <v>870.0</v>
      </c>
      <c r="D111" s="9">
        <v>224.0</v>
      </c>
      <c r="E111" s="9">
        <v>12.0</v>
      </c>
      <c r="F111" s="14"/>
      <c r="G111" s="15"/>
      <c r="H111" s="15"/>
      <c r="I111" s="14"/>
      <c r="J111" s="14"/>
      <c r="K111" s="14"/>
      <c r="L111" s="14"/>
      <c r="M111" s="14"/>
      <c r="N111" s="14"/>
      <c r="P111" s="14"/>
    </row>
    <row r="112" ht="18.75" customHeight="1">
      <c r="A112" s="7" t="s">
        <v>2282</v>
      </c>
      <c r="B112" s="9">
        <v>342.0</v>
      </c>
      <c r="C112" s="9">
        <v>335.0</v>
      </c>
      <c r="D112" s="9">
        <v>151.0</v>
      </c>
      <c r="E112" s="9">
        <v>44.0</v>
      </c>
      <c r="F112" s="14"/>
      <c r="G112" s="15"/>
      <c r="H112" s="15"/>
      <c r="I112" s="14"/>
      <c r="J112" s="14"/>
      <c r="K112" s="14"/>
      <c r="L112" s="14"/>
      <c r="M112" s="14"/>
      <c r="N112" s="14"/>
      <c r="P112" s="14"/>
    </row>
    <row r="113" ht="18.75" customHeight="1">
      <c r="A113" s="7" t="s">
        <v>2283</v>
      </c>
      <c r="B113" s="9">
        <v>18741.0</v>
      </c>
      <c r="C113" s="9">
        <v>18524.0</v>
      </c>
      <c r="D113" s="9">
        <v>5753.0</v>
      </c>
      <c r="E113" s="9">
        <v>93.0</v>
      </c>
      <c r="F113" s="14"/>
      <c r="G113" s="15"/>
      <c r="H113" s="15"/>
      <c r="I113" s="14"/>
      <c r="J113" s="14"/>
      <c r="K113" s="14"/>
      <c r="L113" s="14"/>
      <c r="M113" s="14"/>
      <c r="N113" s="14"/>
      <c r="P113" s="14"/>
    </row>
    <row r="114" ht="18.75" customHeight="1">
      <c r="A114" s="7" t="s">
        <v>2283</v>
      </c>
      <c r="B114" s="9">
        <v>1323.0</v>
      </c>
      <c r="C114" s="9">
        <v>1302.0</v>
      </c>
      <c r="D114" s="9">
        <v>362.0</v>
      </c>
      <c r="E114" s="9">
        <v>9.0</v>
      </c>
      <c r="F114" s="14"/>
      <c r="G114" s="15"/>
      <c r="H114" s="15"/>
      <c r="I114" s="14"/>
      <c r="J114" s="14"/>
      <c r="K114" s="14"/>
      <c r="L114" s="14"/>
      <c r="M114" s="14"/>
      <c r="N114" s="14"/>
      <c r="P114" s="14"/>
    </row>
    <row r="115" ht="18.75" customHeight="1">
      <c r="A115" s="7" t="s">
        <v>2284</v>
      </c>
      <c r="B115" s="9">
        <v>98353.0</v>
      </c>
      <c r="C115" s="9">
        <v>97263.0</v>
      </c>
      <c r="D115" s="9">
        <v>29550.0</v>
      </c>
      <c r="E115" s="9">
        <v>1904.0</v>
      </c>
      <c r="F115" s="14"/>
      <c r="G115" s="15"/>
      <c r="H115" s="15"/>
      <c r="I115" s="14"/>
      <c r="J115" s="14"/>
      <c r="K115" s="14"/>
      <c r="L115" s="14"/>
      <c r="M115" s="14"/>
      <c r="N115" s="14"/>
      <c r="P115" s="14"/>
    </row>
    <row r="116" ht="18.75" customHeight="1">
      <c r="A116" s="7" t="s">
        <v>2259</v>
      </c>
      <c r="B116" s="9">
        <v>47026.0</v>
      </c>
      <c r="C116" s="9">
        <v>46350.0</v>
      </c>
      <c r="D116" s="9">
        <v>7600.0</v>
      </c>
      <c r="E116" s="9">
        <v>90.0</v>
      </c>
      <c r="F116" s="14"/>
      <c r="G116" s="15"/>
      <c r="H116" s="15"/>
      <c r="I116" s="14"/>
      <c r="J116" s="14"/>
      <c r="K116" s="14"/>
      <c r="L116" s="14"/>
      <c r="M116" s="14"/>
      <c r="N116" s="14"/>
      <c r="P116" s="14"/>
    </row>
    <row r="117" ht="18.75" customHeight="1">
      <c r="A117" s="7" t="s">
        <v>2259</v>
      </c>
      <c r="B117" s="9">
        <v>41364.0</v>
      </c>
      <c r="C117" s="9">
        <v>40642.0</v>
      </c>
      <c r="D117" s="9">
        <v>7383.0</v>
      </c>
      <c r="E117" s="9">
        <v>101.0</v>
      </c>
      <c r="F117" s="14"/>
      <c r="G117" s="15"/>
      <c r="H117" s="15"/>
      <c r="I117" s="14"/>
      <c r="J117" s="14"/>
      <c r="K117" s="14"/>
      <c r="L117" s="14"/>
      <c r="M117" s="14"/>
      <c r="N117" s="14"/>
      <c r="P117" s="14"/>
    </row>
    <row r="118" ht="18.75" customHeight="1">
      <c r="A118" s="7" t="s">
        <v>2259</v>
      </c>
      <c r="B118" s="9">
        <v>79630.0</v>
      </c>
      <c r="C118" s="9">
        <v>78343.0</v>
      </c>
      <c r="D118" s="9">
        <v>14635.0</v>
      </c>
      <c r="E118" s="9">
        <v>183.0</v>
      </c>
      <c r="F118" s="14"/>
      <c r="G118" s="15"/>
      <c r="H118" s="15"/>
      <c r="I118" s="14"/>
      <c r="J118" s="14"/>
      <c r="K118" s="14"/>
      <c r="L118" s="14"/>
      <c r="M118" s="14"/>
      <c r="N118" s="14"/>
      <c r="P118" s="14"/>
    </row>
    <row r="119" ht="18.75" customHeight="1">
      <c r="A119" s="7" t="s">
        <v>2285</v>
      </c>
      <c r="B119" s="9">
        <v>60924.0</v>
      </c>
      <c r="C119" s="9">
        <v>60296.0</v>
      </c>
      <c r="D119" s="9">
        <v>29760.0</v>
      </c>
      <c r="E119" s="9">
        <v>1727.0</v>
      </c>
      <c r="F119" s="14"/>
      <c r="G119" s="15"/>
      <c r="H119" s="15"/>
      <c r="I119" s="14"/>
      <c r="J119" s="14"/>
      <c r="K119" s="14"/>
      <c r="L119" s="14"/>
      <c r="M119" s="14"/>
      <c r="N119" s="14"/>
      <c r="P119" s="14"/>
    </row>
    <row r="120" ht="18.75" customHeight="1">
      <c r="A120" s="7" t="s">
        <v>2259</v>
      </c>
      <c r="B120" s="9">
        <v>54298.0</v>
      </c>
      <c r="C120" s="9">
        <v>53508.0</v>
      </c>
      <c r="D120" s="9">
        <v>15706.0</v>
      </c>
      <c r="E120" s="9">
        <v>249.0</v>
      </c>
      <c r="F120" s="14"/>
      <c r="G120" s="15"/>
      <c r="H120" s="15"/>
      <c r="I120" s="14"/>
      <c r="J120" s="14"/>
      <c r="K120" s="14"/>
      <c r="L120" s="14"/>
      <c r="M120" s="14"/>
      <c r="N120" s="14"/>
      <c r="P120" s="14"/>
    </row>
    <row r="121" ht="18.75" customHeight="1">
      <c r="A121" s="7" t="s">
        <v>2286</v>
      </c>
      <c r="B121" s="9">
        <v>1178.0</v>
      </c>
      <c r="C121" s="9">
        <v>1166.0</v>
      </c>
      <c r="D121" s="9">
        <v>498.0</v>
      </c>
      <c r="E121" s="9">
        <v>5.0</v>
      </c>
      <c r="F121" s="14"/>
      <c r="G121" s="15"/>
      <c r="H121" s="15"/>
      <c r="I121" s="14"/>
      <c r="J121" s="14"/>
      <c r="K121" s="14"/>
      <c r="L121" s="14"/>
      <c r="M121" s="14"/>
      <c r="N121" s="14"/>
      <c r="P121" s="14"/>
    </row>
    <row r="122" ht="18.75" customHeight="1">
      <c r="A122" s="7" t="s">
        <v>2287</v>
      </c>
      <c r="B122" s="9">
        <v>143.0</v>
      </c>
      <c r="C122" s="9">
        <v>143.0</v>
      </c>
      <c r="D122" s="9">
        <v>57.0</v>
      </c>
      <c r="E122" s="9">
        <v>15.0</v>
      </c>
      <c r="F122" s="14"/>
      <c r="G122" s="15"/>
      <c r="H122" s="15"/>
      <c r="I122" s="14"/>
      <c r="J122" s="14"/>
      <c r="K122" s="14"/>
      <c r="L122" s="14"/>
      <c r="M122" s="14"/>
      <c r="N122" s="14"/>
      <c r="P122" s="14"/>
    </row>
    <row r="123" ht="18.75" customHeight="1">
      <c r="A123" s="7" t="s">
        <v>2282</v>
      </c>
      <c r="B123" s="9">
        <v>185.0</v>
      </c>
      <c r="C123" s="9">
        <v>182.0</v>
      </c>
      <c r="D123" s="9">
        <v>73.0</v>
      </c>
      <c r="E123" s="9">
        <v>13.0</v>
      </c>
      <c r="F123" s="14"/>
      <c r="G123" s="15"/>
      <c r="H123" s="15"/>
      <c r="I123" s="14"/>
      <c r="J123" s="14"/>
      <c r="K123" s="14"/>
      <c r="L123" s="14"/>
      <c r="M123" s="14"/>
      <c r="N123" s="14"/>
      <c r="P123" s="14"/>
    </row>
    <row r="124" ht="18.75" customHeight="1">
      <c r="A124" s="7" t="s">
        <v>2285</v>
      </c>
      <c r="B124" s="9">
        <v>60923.0</v>
      </c>
      <c r="C124" s="9">
        <v>60295.0</v>
      </c>
      <c r="D124" s="9">
        <v>28807.0</v>
      </c>
      <c r="E124" s="9">
        <v>1405.0</v>
      </c>
      <c r="F124" s="14"/>
      <c r="G124" s="15"/>
      <c r="H124" s="15"/>
      <c r="I124" s="14"/>
      <c r="J124" s="14"/>
      <c r="K124" s="14"/>
      <c r="L124" s="14"/>
      <c r="M124" s="14"/>
      <c r="N124" s="14"/>
      <c r="P124" s="14"/>
    </row>
    <row r="125" ht="18.75" customHeight="1">
      <c r="A125" s="7" t="s">
        <v>2288</v>
      </c>
      <c r="B125" s="9">
        <v>29124.0</v>
      </c>
      <c r="C125" s="9">
        <v>28731.0</v>
      </c>
      <c r="D125" s="9">
        <v>10777.0</v>
      </c>
      <c r="E125" s="9">
        <v>1635.0</v>
      </c>
      <c r="F125" s="14"/>
      <c r="G125" s="15"/>
      <c r="H125" s="15"/>
      <c r="I125" s="14"/>
      <c r="J125" s="14"/>
      <c r="K125" s="14"/>
      <c r="L125" s="14"/>
      <c r="M125" s="14"/>
      <c r="N125" s="14"/>
    </row>
    <row r="126" ht="18.75" customHeight="1">
      <c r="A126" s="7" t="s">
        <v>2274</v>
      </c>
      <c r="B126" s="9">
        <v>13853.0</v>
      </c>
      <c r="C126" s="9">
        <v>13677.0</v>
      </c>
      <c r="D126" s="9">
        <v>4185.0</v>
      </c>
      <c r="E126" s="9">
        <v>213.0</v>
      </c>
      <c r="F126" s="14"/>
      <c r="G126" s="15"/>
      <c r="H126" s="15"/>
      <c r="I126" s="14"/>
      <c r="J126" s="14"/>
      <c r="K126" s="14"/>
      <c r="L126" s="14"/>
      <c r="M126" s="14"/>
      <c r="N126" s="14"/>
      <c r="P126" s="14"/>
    </row>
    <row r="127" ht="18.75" customHeight="1">
      <c r="A127" s="7" t="s">
        <v>2283</v>
      </c>
      <c r="B127" s="9">
        <v>14949.0</v>
      </c>
      <c r="C127" s="9">
        <v>14754.0</v>
      </c>
      <c r="D127" s="9">
        <v>4644.0</v>
      </c>
      <c r="E127" s="9">
        <v>86.0</v>
      </c>
      <c r="F127" s="14"/>
      <c r="G127" s="15"/>
      <c r="H127" s="15"/>
      <c r="I127" s="14"/>
      <c r="J127" s="14"/>
      <c r="K127" s="14"/>
      <c r="L127" s="14"/>
      <c r="M127" s="14"/>
      <c r="N127" s="14"/>
      <c r="P127" s="14"/>
    </row>
    <row r="128" ht="18.75" customHeight="1">
      <c r="A128" s="7" t="s">
        <v>2283</v>
      </c>
      <c r="B128" s="9">
        <v>881.0</v>
      </c>
      <c r="C128" s="9">
        <v>867.0</v>
      </c>
      <c r="D128" s="9">
        <v>224.0</v>
      </c>
      <c r="E128" s="9">
        <v>7.0</v>
      </c>
      <c r="F128" s="14"/>
      <c r="G128" s="15"/>
      <c r="H128" s="15"/>
      <c r="I128" s="14"/>
      <c r="J128" s="14"/>
      <c r="K128" s="14"/>
      <c r="L128" s="14"/>
      <c r="M128" s="14"/>
      <c r="N128" s="14"/>
      <c r="P128" s="14"/>
    </row>
    <row r="129" ht="18.75" customHeight="1">
      <c r="A129" s="7" t="s">
        <v>2289</v>
      </c>
      <c r="B129" s="9">
        <v>29274.0</v>
      </c>
      <c r="C129" s="9">
        <v>28924.0</v>
      </c>
      <c r="D129" s="9">
        <v>9385.0</v>
      </c>
      <c r="E129" s="9">
        <v>342.0</v>
      </c>
      <c r="F129" s="14"/>
      <c r="G129" s="15"/>
      <c r="H129" s="15"/>
      <c r="I129" s="14"/>
      <c r="J129" s="14"/>
      <c r="K129" s="14"/>
      <c r="L129" s="14"/>
      <c r="M129" s="14"/>
      <c r="N129" s="14"/>
      <c r="P129" s="14"/>
    </row>
    <row r="130" ht="18.75" customHeight="1">
      <c r="A130" s="7" t="s">
        <v>2290</v>
      </c>
      <c r="B130" s="9">
        <v>31326.0</v>
      </c>
      <c r="C130" s="9">
        <v>30940.0</v>
      </c>
      <c r="D130" s="9">
        <v>11555.0</v>
      </c>
      <c r="E130" s="9">
        <v>536.0</v>
      </c>
      <c r="F130" s="14"/>
      <c r="G130" s="15"/>
      <c r="H130" s="15"/>
      <c r="I130" s="14"/>
      <c r="J130" s="14"/>
      <c r="K130" s="14"/>
      <c r="L130" s="14"/>
      <c r="M130" s="14"/>
      <c r="N130" s="14"/>
      <c r="P130" s="14"/>
    </row>
    <row r="131" ht="18.75" customHeight="1">
      <c r="A131" s="7" t="s">
        <v>2286</v>
      </c>
      <c r="B131" s="9">
        <v>468.0</v>
      </c>
      <c r="C131" s="9">
        <v>465.0</v>
      </c>
      <c r="D131" s="9">
        <v>164.0</v>
      </c>
      <c r="E131" s="9">
        <v>3.0</v>
      </c>
      <c r="F131" s="14"/>
      <c r="G131" s="15"/>
      <c r="H131" s="15"/>
      <c r="I131" s="14"/>
      <c r="J131" s="14"/>
      <c r="K131" s="14"/>
      <c r="L131" s="14"/>
      <c r="M131" s="14"/>
      <c r="N131" s="14"/>
      <c r="P131" s="14"/>
    </row>
    <row r="132" ht="18.75" customHeight="1">
      <c r="A132" s="7" t="s">
        <v>2291</v>
      </c>
      <c r="B132" s="9">
        <v>15719.0</v>
      </c>
      <c r="C132" s="9">
        <v>15549.0</v>
      </c>
      <c r="D132" s="9">
        <v>4277.0</v>
      </c>
      <c r="E132" s="9">
        <v>148.0</v>
      </c>
      <c r="F132" s="14"/>
      <c r="G132" s="15"/>
      <c r="H132" s="15"/>
      <c r="I132" s="14"/>
      <c r="J132" s="14"/>
      <c r="K132" s="14"/>
      <c r="L132" s="14"/>
      <c r="M132" s="14"/>
      <c r="N132" s="14"/>
      <c r="P132" s="14"/>
    </row>
    <row r="133" ht="18.75" customHeight="1">
      <c r="A133" s="7" t="s">
        <v>2274</v>
      </c>
      <c r="B133" s="9">
        <v>23794.0</v>
      </c>
      <c r="C133" s="9">
        <v>23522.0</v>
      </c>
      <c r="D133" s="9">
        <v>8386.0</v>
      </c>
      <c r="E133" s="9">
        <v>364.0</v>
      </c>
      <c r="F133" s="14"/>
      <c r="G133" s="15"/>
      <c r="H133" s="15"/>
      <c r="I133" s="14"/>
      <c r="J133" s="14"/>
      <c r="K133" s="14"/>
      <c r="L133" s="14"/>
      <c r="M133" s="14"/>
      <c r="N133" s="14"/>
      <c r="P133" s="14"/>
    </row>
    <row r="134" ht="18.75" customHeight="1">
      <c r="A134" s="7" t="s">
        <v>2292</v>
      </c>
      <c r="B134" s="9">
        <v>125276.0</v>
      </c>
      <c r="C134" s="9">
        <v>124247.0</v>
      </c>
      <c r="D134" s="9">
        <v>54906.0</v>
      </c>
      <c r="E134" s="9">
        <v>2847.0</v>
      </c>
      <c r="F134" s="14"/>
      <c r="G134" s="15"/>
      <c r="H134" s="15"/>
      <c r="I134" s="14"/>
      <c r="J134" s="14"/>
      <c r="K134" s="14"/>
      <c r="L134" s="14"/>
      <c r="M134" s="14"/>
      <c r="N134" s="14"/>
      <c r="P134" s="14"/>
    </row>
    <row r="135" ht="18.75" customHeight="1">
      <c r="A135" s="7" t="s">
        <v>2283</v>
      </c>
      <c r="B135" s="9">
        <v>13841.0</v>
      </c>
      <c r="C135" s="9">
        <v>13662.0</v>
      </c>
      <c r="D135" s="9">
        <v>4392.0</v>
      </c>
      <c r="E135" s="9">
        <v>71.0</v>
      </c>
      <c r="F135" s="14"/>
      <c r="G135" s="15"/>
      <c r="H135" s="15"/>
      <c r="I135" s="14"/>
      <c r="J135" s="14"/>
      <c r="K135" s="14"/>
      <c r="L135" s="14"/>
      <c r="M135" s="14"/>
      <c r="N135" s="14"/>
      <c r="P135" s="14"/>
    </row>
    <row r="136" ht="18.75" customHeight="1">
      <c r="A136" s="7" t="s">
        <v>2293</v>
      </c>
      <c r="B136" s="9">
        <v>39474.0</v>
      </c>
      <c r="C136" s="9">
        <v>39037.0</v>
      </c>
      <c r="D136" s="9">
        <v>16137.0</v>
      </c>
      <c r="E136" s="9">
        <v>2696.0</v>
      </c>
      <c r="F136" s="14"/>
      <c r="G136" s="15"/>
      <c r="H136" s="15"/>
      <c r="I136" s="14"/>
      <c r="J136" s="14"/>
      <c r="K136" s="14"/>
      <c r="L136" s="14"/>
      <c r="M136" s="14"/>
      <c r="N136" s="14"/>
      <c r="P136" s="14"/>
    </row>
    <row r="137" ht="18.75" customHeight="1">
      <c r="A137" s="7" t="s">
        <v>2293</v>
      </c>
      <c r="B137" s="9">
        <v>30864.0</v>
      </c>
      <c r="C137" s="9">
        <v>30533.0</v>
      </c>
      <c r="D137" s="9">
        <v>14085.0</v>
      </c>
      <c r="E137" s="9">
        <v>2445.0</v>
      </c>
      <c r="F137" s="14"/>
      <c r="G137" s="15"/>
      <c r="H137" s="15"/>
      <c r="I137" s="14"/>
      <c r="J137" s="14"/>
      <c r="K137" s="14"/>
      <c r="L137" s="14"/>
      <c r="M137" s="14"/>
      <c r="N137" s="14"/>
      <c r="P137" s="14"/>
    </row>
    <row r="138" ht="18.75" customHeight="1">
      <c r="A138" s="7" t="s">
        <v>2286</v>
      </c>
      <c r="B138" s="9">
        <v>674.0</v>
      </c>
      <c r="C138" s="9">
        <v>671.0</v>
      </c>
      <c r="D138" s="9">
        <v>252.0</v>
      </c>
      <c r="E138" s="9">
        <v>2.0</v>
      </c>
      <c r="F138" s="14"/>
      <c r="G138" s="15"/>
      <c r="H138" s="15"/>
      <c r="I138" s="14"/>
      <c r="J138" s="14"/>
      <c r="K138" s="14"/>
      <c r="L138" s="14"/>
      <c r="M138" s="14"/>
      <c r="N138" s="14"/>
      <c r="P138" s="14"/>
    </row>
    <row r="139" ht="18.75" customHeight="1">
      <c r="A139" s="7" t="s">
        <v>2294</v>
      </c>
      <c r="B139" s="9">
        <v>91334.0</v>
      </c>
      <c r="C139" s="9">
        <v>91140.0</v>
      </c>
      <c r="D139" s="9">
        <v>57286.0</v>
      </c>
      <c r="E139" s="9">
        <v>1504.0</v>
      </c>
      <c r="F139" s="14"/>
      <c r="G139" s="15"/>
      <c r="H139" s="15"/>
      <c r="I139" s="14"/>
      <c r="J139" s="14"/>
      <c r="K139" s="14"/>
      <c r="L139" s="14"/>
      <c r="M139" s="14"/>
      <c r="N139" s="14"/>
      <c r="P139" s="14"/>
    </row>
    <row r="140" ht="18.75" customHeight="1">
      <c r="A140" s="7" t="s">
        <v>2294</v>
      </c>
      <c r="B140" s="9">
        <v>28572.0</v>
      </c>
      <c r="C140" s="9">
        <v>28218.0</v>
      </c>
      <c r="D140" s="9">
        <v>9074.0</v>
      </c>
      <c r="E140" s="9">
        <v>186.0</v>
      </c>
      <c r="F140" s="14"/>
      <c r="G140" s="15"/>
      <c r="H140" s="15"/>
      <c r="I140" s="14"/>
      <c r="J140" s="14"/>
      <c r="K140" s="14"/>
      <c r="L140" s="14"/>
      <c r="M140" s="14"/>
      <c r="N140" s="14"/>
      <c r="P140" s="14"/>
    </row>
    <row r="141" ht="18.75" customHeight="1">
      <c r="A141" s="7" t="s">
        <v>2295</v>
      </c>
      <c r="B141" s="9">
        <v>22419.0</v>
      </c>
      <c r="C141" s="9">
        <v>22125.0</v>
      </c>
      <c r="D141" s="9">
        <v>9262.0</v>
      </c>
      <c r="E141" s="9">
        <v>1115.0</v>
      </c>
      <c r="F141" s="14"/>
      <c r="G141" s="15"/>
      <c r="H141" s="15"/>
      <c r="I141" s="14"/>
      <c r="J141" s="14"/>
      <c r="K141" s="14"/>
      <c r="L141" s="14"/>
      <c r="M141" s="14"/>
      <c r="N141" s="14"/>
      <c r="P141" s="14"/>
    </row>
    <row r="142" ht="18.75" customHeight="1">
      <c r="A142" s="7" t="s">
        <v>2295</v>
      </c>
      <c r="B142" s="9">
        <v>24407.0</v>
      </c>
      <c r="C142" s="9">
        <v>24058.0</v>
      </c>
      <c r="D142" s="9">
        <v>10670.0</v>
      </c>
      <c r="E142" s="9">
        <v>3280.0</v>
      </c>
      <c r="F142" s="14"/>
      <c r="G142" s="15"/>
      <c r="H142" s="15"/>
      <c r="I142" s="14"/>
      <c r="J142" s="14"/>
      <c r="K142" s="14"/>
      <c r="L142" s="14"/>
      <c r="M142" s="14"/>
      <c r="N142" s="14"/>
      <c r="P142" s="14"/>
    </row>
    <row r="143" ht="18.75" customHeight="1">
      <c r="A143" s="7" t="s">
        <v>2295</v>
      </c>
      <c r="B143" s="9">
        <v>55457.0</v>
      </c>
      <c r="C143" s="9">
        <v>54899.0</v>
      </c>
      <c r="D143" s="9">
        <v>20500.0</v>
      </c>
      <c r="E143" s="9">
        <v>6999.0</v>
      </c>
      <c r="F143" s="14"/>
      <c r="G143" s="15"/>
      <c r="H143" s="15"/>
      <c r="I143" s="14"/>
      <c r="J143" s="14"/>
      <c r="K143" s="14"/>
      <c r="L143" s="14"/>
      <c r="M143" s="14"/>
      <c r="N143" s="14"/>
      <c r="P143" s="14"/>
    </row>
    <row r="144" ht="18.75" customHeight="1">
      <c r="A144" s="7" t="s">
        <v>2295</v>
      </c>
      <c r="B144" s="9">
        <v>89657.0</v>
      </c>
      <c r="C144" s="9">
        <v>88807.0</v>
      </c>
      <c r="D144" s="9">
        <v>33570.0</v>
      </c>
      <c r="E144" s="9">
        <v>11547.0</v>
      </c>
      <c r="F144" s="14"/>
      <c r="G144" s="15"/>
      <c r="H144" s="15"/>
      <c r="I144" s="14"/>
      <c r="J144" s="14"/>
      <c r="K144" s="14"/>
      <c r="L144" s="14"/>
      <c r="M144" s="14"/>
      <c r="N144" s="14"/>
      <c r="P144" s="14"/>
    </row>
    <row r="145" ht="18.75" customHeight="1">
      <c r="A145" s="7" t="s">
        <v>2236</v>
      </c>
      <c r="B145" s="9">
        <v>28469.0</v>
      </c>
      <c r="C145" s="9">
        <v>28006.0</v>
      </c>
      <c r="D145" s="9">
        <v>10494.0</v>
      </c>
      <c r="E145" s="9">
        <v>1804.0</v>
      </c>
      <c r="F145" s="14"/>
      <c r="G145" s="15"/>
      <c r="H145" s="15"/>
      <c r="I145" s="14"/>
      <c r="J145" s="14"/>
      <c r="K145" s="14"/>
      <c r="L145" s="14"/>
      <c r="M145" s="14"/>
      <c r="N145" s="14"/>
      <c r="P145" s="14"/>
    </row>
    <row r="146" ht="18.75" customHeight="1">
      <c r="A146" s="7" t="s">
        <v>2296</v>
      </c>
      <c r="B146" s="9">
        <v>803.0</v>
      </c>
      <c r="C146" s="9">
        <v>792.0</v>
      </c>
      <c r="D146" s="9">
        <v>182.0</v>
      </c>
      <c r="E146" s="9">
        <v>28.0</v>
      </c>
      <c r="F146" s="14"/>
      <c r="G146" s="15"/>
      <c r="H146" s="15"/>
      <c r="I146" s="14"/>
      <c r="J146" s="14"/>
      <c r="K146" s="14"/>
      <c r="L146" s="14"/>
      <c r="M146" s="14"/>
      <c r="N146" s="14"/>
      <c r="P146" s="14"/>
    </row>
    <row r="147" ht="18.75" customHeight="1">
      <c r="A147" s="7" t="s">
        <v>2296</v>
      </c>
      <c r="B147" s="9">
        <v>100063.0</v>
      </c>
      <c r="C147" s="9">
        <v>99411.0</v>
      </c>
      <c r="D147" s="9">
        <v>59192.0</v>
      </c>
      <c r="E147" s="9">
        <v>4798.0</v>
      </c>
      <c r="F147" s="14"/>
      <c r="G147" s="15"/>
      <c r="H147" s="15"/>
      <c r="I147" s="14"/>
      <c r="J147" s="14"/>
      <c r="K147" s="14"/>
      <c r="L147" s="14"/>
      <c r="M147" s="14"/>
      <c r="N147" s="14"/>
      <c r="P147" s="14"/>
    </row>
    <row r="148" ht="18.75" customHeight="1">
      <c r="A148" s="7" t="s">
        <v>2297</v>
      </c>
      <c r="B148" s="9">
        <v>24167.0</v>
      </c>
      <c r="C148" s="9">
        <v>24382.0</v>
      </c>
      <c r="D148" s="9">
        <v>12295.0</v>
      </c>
      <c r="E148" s="9">
        <v>5457.0</v>
      </c>
      <c r="F148" s="14"/>
      <c r="G148" s="15"/>
      <c r="H148" s="15"/>
      <c r="I148" s="14"/>
      <c r="J148" s="14"/>
      <c r="K148" s="14"/>
      <c r="L148" s="14"/>
      <c r="M148" s="14"/>
      <c r="N148" s="14"/>
      <c r="P148" s="14"/>
    </row>
    <row r="149" ht="18.75" customHeight="1">
      <c r="A149" s="7" t="s">
        <v>2297</v>
      </c>
      <c r="B149" s="9">
        <v>5054.0</v>
      </c>
      <c r="C149" s="9">
        <v>5114.0</v>
      </c>
      <c r="D149" s="9">
        <v>2267.0</v>
      </c>
      <c r="E149" s="9">
        <v>867.0</v>
      </c>
      <c r="F149" s="14"/>
      <c r="G149" s="15"/>
      <c r="H149" s="15"/>
      <c r="I149" s="14"/>
      <c r="J149" s="14"/>
      <c r="K149" s="14"/>
      <c r="L149" s="14"/>
      <c r="M149" s="14"/>
      <c r="N149" s="14"/>
      <c r="P149" s="14"/>
    </row>
    <row r="150" ht="18.75" customHeight="1">
      <c r="A150" s="7" t="s">
        <v>2292</v>
      </c>
      <c r="B150" s="9">
        <v>1854.0</v>
      </c>
      <c r="C150" s="9">
        <v>1852.0</v>
      </c>
      <c r="D150" s="9">
        <v>1122.0</v>
      </c>
      <c r="E150" s="9">
        <v>8.0</v>
      </c>
      <c r="F150" s="14"/>
      <c r="G150" s="15"/>
      <c r="H150" s="15"/>
      <c r="I150" s="14"/>
      <c r="J150" s="14"/>
      <c r="K150" s="14"/>
      <c r="L150" s="14"/>
      <c r="M150" s="14"/>
      <c r="N150" s="14"/>
      <c r="P150" s="14"/>
    </row>
    <row r="151" ht="18.75" customHeight="1">
      <c r="A151" s="7" t="s">
        <v>2298</v>
      </c>
      <c r="B151" s="9">
        <v>1029.0</v>
      </c>
      <c r="C151" s="9">
        <v>1025.0</v>
      </c>
      <c r="D151" s="9">
        <v>511.0</v>
      </c>
      <c r="E151" s="9">
        <v>51.0</v>
      </c>
      <c r="F151" s="14"/>
      <c r="G151" s="15"/>
      <c r="H151" s="15"/>
      <c r="I151" s="14"/>
      <c r="J151" s="14"/>
      <c r="K151" s="14"/>
      <c r="L151" s="14"/>
      <c r="M151" s="14"/>
      <c r="N151" s="14"/>
      <c r="P151" s="14"/>
    </row>
    <row r="152" ht="18.75" customHeight="1">
      <c r="A152" s="7" t="s">
        <v>2299</v>
      </c>
      <c r="B152" s="9">
        <v>15345.0</v>
      </c>
      <c r="C152" s="9">
        <v>15194.0</v>
      </c>
      <c r="D152" s="9">
        <v>8311.0</v>
      </c>
      <c r="E152" s="9">
        <v>1058.0</v>
      </c>
      <c r="F152" s="14"/>
      <c r="G152" s="15"/>
      <c r="H152" s="15"/>
      <c r="I152" s="14"/>
      <c r="J152" s="14"/>
      <c r="K152" s="14"/>
      <c r="L152" s="14"/>
      <c r="M152" s="14"/>
      <c r="N152" s="14"/>
      <c r="P152" s="14"/>
    </row>
    <row r="153" ht="18.75" customHeight="1">
      <c r="A153" s="7" t="s">
        <v>2274</v>
      </c>
      <c r="B153" s="9">
        <v>19390.0</v>
      </c>
      <c r="C153" s="9">
        <v>19148.0</v>
      </c>
      <c r="D153" s="9">
        <v>6048.0</v>
      </c>
      <c r="E153" s="9">
        <v>262.0</v>
      </c>
      <c r="F153" s="14"/>
      <c r="G153" s="15"/>
      <c r="H153" s="15"/>
      <c r="I153" s="14"/>
      <c r="J153" s="14"/>
      <c r="K153" s="14"/>
      <c r="L153" s="14"/>
      <c r="M153" s="14"/>
      <c r="N153" s="14"/>
      <c r="P153" s="14"/>
    </row>
    <row r="154" ht="18.75" customHeight="1">
      <c r="A154" s="7" t="s">
        <v>2300</v>
      </c>
      <c r="B154" s="9">
        <v>24545.0</v>
      </c>
      <c r="C154" s="9">
        <v>24321.0</v>
      </c>
      <c r="D154" s="9">
        <v>11747.0</v>
      </c>
      <c r="E154" s="9">
        <v>593.0</v>
      </c>
      <c r="F154" s="14"/>
      <c r="G154" s="15"/>
      <c r="H154" s="15"/>
      <c r="I154" s="14"/>
      <c r="J154" s="14"/>
      <c r="K154" s="14"/>
      <c r="L154" s="14"/>
      <c r="M154" s="14"/>
      <c r="N154" s="14"/>
      <c r="P154" s="14"/>
    </row>
    <row r="155" ht="18.75" customHeight="1">
      <c r="A155" s="7" t="s">
        <v>2301</v>
      </c>
      <c r="B155" s="9">
        <v>47.0</v>
      </c>
      <c r="C155" s="9">
        <v>47.0</v>
      </c>
      <c r="D155" s="9">
        <v>22.0</v>
      </c>
      <c r="E155" s="9">
        <v>0.0</v>
      </c>
      <c r="F155" s="14"/>
      <c r="G155" s="15"/>
      <c r="H155" s="15"/>
      <c r="I155" s="14"/>
      <c r="J155" s="14"/>
      <c r="K155" s="14"/>
      <c r="L155" s="14"/>
      <c r="M155" s="14"/>
      <c r="N155" s="14"/>
      <c r="P155" s="14"/>
    </row>
    <row r="156" ht="18.75" customHeight="1">
      <c r="A156" s="7" t="s">
        <v>2301</v>
      </c>
      <c r="B156" s="9">
        <v>131.0</v>
      </c>
      <c r="C156" s="9">
        <v>131.0</v>
      </c>
      <c r="D156" s="9">
        <v>57.0</v>
      </c>
      <c r="E156" s="9">
        <v>0.0</v>
      </c>
      <c r="F156" s="14"/>
      <c r="G156" s="15"/>
      <c r="H156" s="15"/>
      <c r="I156" s="14"/>
      <c r="J156" s="14"/>
      <c r="K156" s="14"/>
      <c r="L156" s="14"/>
      <c r="M156" s="14"/>
      <c r="N156" s="14"/>
      <c r="P156" s="14"/>
    </row>
    <row r="157" ht="18.75" customHeight="1">
      <c r="A157" s="7" t="s">
        <v>2301</v>
      </c>
      <c r="B157" s="9">
        <v>12.0</v>
      </c>
      <c r="C157" s="9">
        <v>12.0</v>
      </c>
      <c r="D157" s="9">
        <v>3.0</v>
      </c>
      <c r="E157" s="9">
        <v>0.0</v>
      </c>
      <c r="F157" s="14"/>
      <c r="G157" s="15"/>
      <c r="H157" s="15"/>
      <c r="I157" s="14"/>
      <c r="J157" s="14"/>
      <c r="K157" s="14"/>
      <c r="L157" s="14"/>
      <c r="M157" s="14"/>
      <c r="N157" s="14"/>
      <c r="P157" s="14"/>
    </row>
    <row r="158" ht="18.75" customHeight="1">
      <c r="A158" s="7" t="s">
        <v>2301</v>
      </c>
      <c r="B158" s="9">
        <v>194.0</v>
      </c>
      <c r="C158" s="9">
        <v>193.0</v>
      </c>
      <c r="D158" s="9">
        <v>40.0</v>
      </c>
      <c r="E158" s="9">
        <v>0.0</v>
      </c>
      <c r="F158" s="14"/>
      <c r="G158" s="15"/>
      <c r="H158" s="15"/>
      <c r="I158" s="14"/>
      <c r="J158" s="14"/>
      <c r="K158" s="14"/>
      <c r="L158" s="14"/>
      <c r="M158" s="14"/>
      <c r="N158" s="14"/>
      <c r="P158" s="14"/>
    </row>
    <row r="159" ht="18.75" customHeight="1">
      <c r="A159" s="7" t="s">
        <v>2301</v>
      </c>
      <c r="B159" s="9">
        <v>300.0</v>
      </c>
      <c r="C159" s="9">
        <v>295.0</v>
      </c>
      <c r="D159" s="9">
        <v>117.0</v>
      </c>
      <c r="E159" s="9">
        <v>1.0</v>
      </c>
      <c r="F159" s="14"/>
      <c r="G159" s="15"/>
      <c r="H159" s="15"/>
      <c r="I159" s="14"/>
      <c r="J159" s="14"/>
      <c r="K159" s="14"/>
      <c r="L159" s="14"/>
      <c r="M159" s="14"/>
      <c r="N159" s="14"/>
      <c r="P159" s="14"/>
    </row>
    <row r="160" ht="18.75" customHeight="1">
      <c r="A160" s="7" t="s">
        <v>2301</v>
      </c>
      <c r="B160" s="9">
        <v>276.0</v>
      </c>
      <c r="C160" s="9">
        <v>273.0</v>
      </c>
      <c r="D160" s="9">
        <v>122.0</v>
      </c>
      <c r="E160" s="9">
        <v>0.0</v>
      </c>
      <c r="F160" s="14"/>
      <c r="G160" s="15"/>
      <c r="H160" s="15"/>
      <c r="I160" s="14"/>
      <c r="J160" s="14"/>
      <c r="K160" s="14"/>
      <c r="L160" s="14"/>
      <c r="M160" s="14"/>
      <c r="N160" s="14"/>
      <c r="P160" s="14"/>
    </row>
    <row r="161" ht="18.75" customHeight="1">
      <c r="A161" s="7" t="s">
        <v>2301</v>
      </c>
      <c r="B161" s="9">
        <v>35.0</v>
      </c>
      <c r="C161" s="9">
        <v>34.0</v>
      </c>
      <c r="D161" s="9">
        <v>8.0</v>
      </c>
      <c r="E161" s="9">
        <v>0.0</v>
      </c>
      <c r="F161" s="14"/>
      <c r="G161" s="15"/>
      <c r="H161" s="15"/>
      <c r="I161" s="14"/>
      <c r="J161" s="14"/>
      <c r="K161" s="14"/>
      <c r="L161" s="14"/>
      <c r="M161" s="14"/>
      <c r="N161" s="14"/>
      <c r="P161" s="14"/>
    </row>
    <row r="162" ht="18.75" customHeight="1">
      <c r="A162" s="7" t="s">
        <v>2282</v>
      </c>
      <c r="B162" s="9">
        <v>111.0</v>
      </c>
      <c r="C162" s="9">
        <v>111.0</v>
      </c>
      <c r="D162" s="9">
        <v>54.0</v>
      </c>
      <c r="E162" s="9">
        <v>18.0</v>
      </c>
      <c r="F162" s="14"/>
      <c r="G162" s="15"/>
      <c r="H162" s="15"/>
      <c r="I162" s="14"/>
      <c r="J162" s="14"/>
      <c r="K162" s="14"/>
      <c r="L162" s="14"/>
      <c r="M162" s="14"/>
      <c r="N162" s="14"/>
      <c r="P162" s="14"/>
    </row>
    <row r="163" ht="18.75" customHeight="1">
      <c r="A163" s="7" t="s">
        <v>2301</v>
      </c>
      <c r="B163" s="9">
        <v>106.0</v>
      </c>
      <c r="C163" s="9">
        <v>105.0</v>
      </c>
      <c r="D163" s="9">
        <v>45.0</v>
      </c>
      <c r="E163" s="9">
        <v>0.0</v>
      </c>
      <c r="F163" s="14"/>
      <c r="G163" s="15"/>
      <c r="H163" s="15"/>
      <c r="I163" s="14"/>
      <c r="J163" s="14"/>
      <c r="K163" s="14"/>
      <c r="L163" s="14"/>
      <c r="M163" s="14"/>
      <c r="N163" s="14"/>
      <c r="P163" s="14"/>
    </row>
    <row r="164" ht="18.75" customHeight="1">
      <c r="A164" s="7" t="s">
        <v>2301</v>
      </c>
      <c r="B164" s="9">
        <v>331.0</v>
      </c>
      <c r="C164" s="9">
        <v>330.0</v>
      </c>
      <c r="D164" s="9">
        <v>135.0</v>
      </c>
      <c r="E164" s="9">
        <v>0.0</v>
      </c>
      <c r="F164" s="14"/>
      <c r="G164" s="15"/>
      <c r="H164" s="15"/>
      <c r="I164" s="14"/>
      <c r="J164" s="14"/>
      <c r="K164" s="14"/>
      <c r="L164" s="14"/>
      <c r="M164" s="14"/>
      <c r="N164" s="14"/>
      <c r="P164" s="14"/>
    </row>
    <row r="165" ht="18.75" customHeight="1">
      <c r="A165" s="7" t="s">
        <v>2301</v>
      </c>
      <c r="B165" s="9">
        <v>137.0</v>
      </c>
      <c r="C165" s="9">
        <v>133.0</v>
      </c>
      <c r="D165" s="9">
        <v>68.0</v>
      </c>
      <c r="E165" s="9">
        <v>0.0</v>
      </c>
      <c r="F165" s="14"/>
      <c r="G165" s="15"/>
      <c r="H165" s="15"/>
      <c r="I165" s="14"/>
      <c r="J165" s="14"/>
      <c r="K165" s="14"/>
      <c r="L165" s="14"/>
      <c r="M165" s="14"/>
      <c r="N165" s="14"/>
      <c r="P165" s="14"/>
    </row>
    <row r="166" ht="18.75" customHeight="1">
      <c r="A166" s="7" t="s">
        <v>2301</v>
      </c>
      <c r="B166" s="9">
        <v>109.0</v>
      </c>
      <c r="C166" s="9">
        <v>107.0</v>
      </c>
      <c r="D166" s="9">
        <v>43.0</v>
      </c>
      <c r="E166" s="9">
        <v>0.0</v>
      </c>
      <c r="F166" s="14"/>
      <c r="G166" s="15"/>
      <c r="H166" s="15"/>
      <c r="I166" s="14"/>
      <c r="J166" s="14"/>
      <c r="K166" s="14"/>
      <c r="L166" s="14"/>
      <c r="M166" s="14"/>
      <c r="N166" s="14"/>
      <c r="P166" s="14"/>
    </row>
    <row r="167" ht="18.75" customHeight="1">
      <c r="A167" s="7" t="s">
        <v>2301</v>
      </c>
      <c r="B167" s="9">
        <v>99.0</v>
      </c>
      <c r="C167" s="9">
        <v>99.0</v>
      </c>
      <c r="D167" s="9">
        <v>40.0</v>
      </c>
      <c r="E167" s="9">
        <v>0.0</v>
      </c>
      <c r="F167" s="14"/>
      <c r="G167" s="15"/>
      <c r="H167" s="15"/>
      <c r="I167" s="14"/>
      <c r="J167" s="14"/>
      <c r="K167" s="14"/>
      <c r="L167" s="14"/>
      <c r="M167" s="14"/>
      <c r="N167" s="14"/>
      <c r="P167" s="14"/>
    </row>
    <row r="168" ht="18.75" customHeight="1">
      <c r="A168" s="7" t="s">
        <v>2286</v>
      </c>
      <c r="B168" s="9">
        <v>460.0</v>
      </c>
      <c r="C168" s="9">
        <v>457.0</v>
      </c>
      <c r="D168" s="9">
        <v>176.0</v>
      </c>
      <c r="E168" s="9">
        <v>2.0</v>
      </c>
      <c r="F168" s="14"/>
      <c r="G168" s="15"/>
      <c r="H168" s="15"/>
      <c r="I168" s="14"/>
      <c r="J168" s="14"/>
      <c r="K168" s="14"/>
      <c r="L168" s="14"/>
      <c r="M168" s="14"/>
      <c r="N168" s="14"/>
      <c r="P168" s="14"/>
    </row>
    <row r="169" ht="18.75" customHeight="1">
      <c r="A169" s="7" t="s">
        <v>2283</v>
      </c>
      <c r="B169" s="9">
        <v>23762.0</v>
      </c>
      <c r="C169" s="9">
        <v>23486.0</v>
      </c>
      <c r="D169" s="9">
        <v>7833.0</v>
      </c>
      <c r="E169" s="9">
        <v>130.0</v>
      </c>
      <c r="F169" s="14"/>
      <c r="G169" s="15"/>
      <c r="H169" s="15"/>
      <c r="I169" s="14"/>
      <c r="J169" s="14"/>
      <c r="K169" s="14"/>
      <c r="L169" s="14"/>
      <c r="M169" s="14"/>
      <c r="N169" s="14"/>
      <c r="P169" s="14"/>
    </row>
    <row r="170" ht="18.75" customHeight="1">
      <c r="A170" s="7" t="s">
        <v>2301</v>
      </c>
      <c r="B170" s="9">
        <v>62.0</v>
      </c>
      <c r="C170" s="9">
        <v>61.0</v>
      </c>
      <c r="D170" s="9">
        <v>34.0</v>
      </c>
      <c r="E170" s="9">
        <v>3.0</v>
      </c>
      <c r="F170" s="14"/>
      <c r="G170" s="15"/>
      <c r="H170" s="15"/>
      <c r="I170" s="14"/>
      <c r="J170" s="14"/>
      <c r="K170" s="14"/>
      <c r="L170" s="14"/>
      <c r="M170" s="14"/>
      <c r="N170" s="14"/>
      <c r="P170" s="14"/>
    </row>
    <row r="171" ht="18.75" customHeight="1">
      <c r="A171" s="7" t="s">
        <v>2301</v>
      </c>
      <c r="B171" s="9">
        <v>108.0</v>
      </c>
      <c r="C171" s="9">
        <v>107.0</v>
      </c>
      <c r="D171" s="9">
        <v>60.0</v>
      </c>
      <c r="E171" s="9">
        <v>0.0</v>
      </c>
      <c r="F171" s="14"/>
      <c r="G171" s="15"/>
      <c r="H171" s="15"/>
      <c r="I171" s="14"/>
      <c r="J171" s="14"/>
      <c r="K171" s="14"/>
      <c r="L171" s="14"/>
      <c r="M171" s="14"/>
      <c r="N171" s="14"/>
      <c r="P171" s="14"/>
    </row>
    <row r="172" ht="18.75" customHeight="1">
      <c r="A172" s="7" t="s">
        <v>2300</v>
      </c>
      <c r="B172" s="9">
        <v>74.0</v>
      </c>
      <c r="C172" s="9">
        <v>74.0</v>
      </c>
      <c r="D172" s="9">
        <v>53.0</v>
      </c>
      <c r="E172" s="9">
        <v>1.0</v>
      </c>
      <c r="F172" s="14"/>
      <c r="G172" s="15"/>
      <c r="H172" s="15"/>
      <c r="I172" s="14"/>
      <c r="J172" s="14"/>
      <c r="K172" s="14"/>
      <c r="L172" s="14"/>
      <c r="M172" s="14"/>
      <c r="N172" s="14"/>
      <c r="P172" s="14"/>
    </row>
    <row r="173" ht="18.75" customHeight="1">
      <c r="A173" s="7" t="s">
        <v>2300</v>
      </c>
      <c r="B173" s="9">
        <v>221.0</v>
      </c>
      <c r="C173" s="9">
        <v>221.0</v>
      </c>
      <c r="D173" s="9">
        <v>177.0</v>
      </c>
      <c r="E173" s="9">
        <v>3.0</v>
      </c>
      <c r="F173" s="14"/>
      <c r="G173" s="15"/>
      <c r="H173" s="15"/>
      <c r="I173" s="14"/>
      <c r="J173" s="14"/>
      <c r="K173" s="14"/>
      <c r="L173" s="14"/>
      <c r="M173" s="14"/>
      <c r="N173" s="14"/>
      <c r="P173" s="14"/>
    </row>
    <row r="174" ht="18.75" customHeight="1">
      <c r="A174" s="7" t="s">
        <v>2301</v>
      </c>
      <c r="B174" s="9">
        <v>47.0</v>
      </c>
      <c r="C174" s="9">
        <v>47.0</v>
      </c>
      <c r="D174" s="9">
        <v>21.0</v>
      </c>
      <c r="E174" s="9">
        <v>0.0</v>
      </c>
      <c r="F174" s="14"/>
      <c r="G174" s="15"/>
      <c r="H174" s="15"/>
      <c r="I174" s="14"/>
      <c r="J174" s="14"/>
      <c r="K174" s="14"/>
      <c r="L174" s="14"/>
      <c r="M174" s="14"/>
      <c r="N174" s="14"/>
      <c r="P174" s="14"/>
    </row>
    <row r="175" ht="18.75" customHeight="1">
      <c r="A175" s="7" t="s">
        <v>2301</v>
      </c>
      <c r="B175" s="9">
        <v>110.0</v>
      </c>
      <c r="C175" s="9">
        <v>108.0</v>
      </c>
      <c r="D175" s="9">
        <v>32.0</v>
      </c>
      <c r="E175" s="9">
        <v>1.0</v>
      </c>
      <c r="F175" s="14"/>
      <c r="G175" s="15"/>
      <c r="H175" s="15"/>
      <c r="I175" s="14"/>
      <c r="J175" s="14"/>
      <c r="K175" s="14"/>
      <c r="L175" s="14"/>
      <c r="M175" s="14"/>
      <c r="N175" s="14"/>
      <c r="P175" s="14"/>
    </row>
    <row r="176" ht="18.75" customHeight="1">
      <c r="A176" s="7" t="s">
        <v>2301</v>
      </c>
      <c r="B176" s="9">
        <v>39.0</v>
      </c>
      <c r="C176" s="9">
        <v>39.0</v>
      </c>
      <c r="D176" s="9">
        <v>19.0</v>
      </c>
      <c r="E176" s="9">
        <v>0.0</v>
      </c>
      <c r="F176" s="14"/>
      <c r="G176" s="15"/>
      <c r="H176" s="15"/>
      <c r="I176" s="14"/>
      <c r="J176" s="14"/>
      <c r="K176" s="14"/>
      <c r="L176" s="14"/>
      <c r="M176" s="14"/>
      <c r="N176" s="14"/>
      <c r="P176" s="14"/>
    </row>
    <row r="177" ht="18.75" customHeight="1">
      <c r="A177" s="7" t="s">
        <v>2301</v>
      </c>
      <c r="B177" s="9">
        <v>74.0</v>
      </c>
      <c r="C177" s="9">
        <v>74.0</v>
      </c>
      <c r="D177" s="9">
        <v>34.0</v>
      </c>
      <c r="E177" s="9">
        <v>1.0</v>
      </c>
      <c r="F177" s="14"/>
      <c r="G177" s="15"/>
      <c r="H177" s="15"/>
      <c r="I177" s="14"/>
      <c r="J177" s="14"/>
      <c r="K177" s="14"/>
      <c r="L177" s="14"/>
      <c r="M177" s="14"/>
      <c r="N177" s="14"/>
      <c r="P177" s="14"/>
    </row>
    <row r="178" ht="18.75" customHeight="1">
      <c r="A178" s="7" t="s">
        <v>2301</v>
      </c>
      <c r="B178" s="9">
        <v>38.0</v>
      </c>
      <c r="C178" s="9">
        <v>38.0</v>
      </c>
      <c r="D178" s="9">
        <v>15.0</v>
      </c>
      <c r="E178" s="9">
        <v>0.0</v>
      </c>
      <c r="F178" s="14"/>
      <c r="G178" s="15"/>
      <c r="H178" s="15"/>
      <c r="I178" s="14"/>
      <c r="J178" s="14"/>
      <c r="K178" s="14"/>
      <c r="L178" s="14"/>
      <c r="M178" s="14"/>
      <c r="N178" s="14"/>
      <c r="P178" s="14"/>
    </row>
    <row r="179" ht="18.75" customHeight="1">
      <c r="A179" s="7" t="s">
        <v>2297</v>
      </c>
      <c r="B179" s="9">
        <v>715.0</v>
      </c>
      <c r="C179" s="9">
        <v>698.0</v>
      </c>
      <c r="D179" s="9">
        <v>296.0</v>
      </c>
      <c r="E179" s="9">
        <v>53.0</v>
      </c>
      <c r="F179" s="14"/>
      <c r="G179" s="15"/>
      <c r="H179" s="15"/>
      <c r="I179" s="14"/>
      <c r="J179" s="14"/>
      <c r="K179" s="14"/>
      <c r="L179" s="14"/>
      <c r="M179" s="14"/>
      <c r="N179" s="14"/>
    </row>
    <row r="180" ht="18.75" customHeight="1">
      <c r="A180" s="7" t="s">
        <v>2297</v>
      </c>
      <c r="B180" s="9">
        <v>310.0</v>
      </c>
      <c r="C180" s="9">
        <v>299.0</v>
      </c>
      <c r="D180" s="9">
        <v>117.0</v>
      </c>
      <c r="E180" s="9">
        <v>31.0</v>
      </c>
      <c r="F180" s="14"/>
      <c r="G180" s="15"/>
      <c r="H180" s="15"/>
      <c r="I180" s="14"/>
      <c r="J180" s="14"/>
      <c r="K180" s="14"/>
      <c r="L180" s="14"/>
      <c r="M180" s="14"/>
      <c r="N180" s="14"/>
    </row>
    <row r="181" ht="18.75" customHeight="1">
      <c r="A181" s="7" t="s">
        <v>2302</v>
      </c>
      <c r="B181" s="9">
        <v>147580.0</v>
      </c>
      <c r="C181" s="9">
        <v>145917.0</v>
      </c>
      <c r="D181" s="9">
        <v>55001.0</v>
      </c>
      <c r="E181" s="9">
        <v>1889.0</v>
      </c>
      <c r="F181" s="14"/>
      <c r="G181" s="15"/>
      <c r="H181" s="15"/>
      <c r="I181" s="14"/>
      <c r="J181" s="14"/>
      <c r="K181" s="14"/>
      <c r="L181" s="14"/>
      <c r="M181" s="14"/>
      <c r="N181" s="14"/>
    </row>
    <row r="182" ht="18.75" customHeight="1">
      <c r="A182" s="7" t="s">
        <v>2302</v>
      </c>
      <c r="B182" s="9">
        <v>341.0</v>
      </c>
      <c r="C182" s="9">
        <v>340.0</v>
      </c>
      <c r="D182" s="9">
        <v>236.0</v>
      </c>
      <c r="E182" s="9">
        <v>118.0</v>
      </c>
      <c r="F182" s="14"/>
      <c r="G182" s="15"/>
      <c r="H182" s="15"/>
      <c r="I182" s="14"/>
      <c r="J182" s="14"/>
      <c r="K182" s="14"/>
      <c r="L182" s="14"/>
      <c r="M182" s="14"/>
      <c r="N182" s="14"/>
    </row>
    <row r="183" ht="18.75" customHeight="1">
      <c r="A183" s="7" t="s">
        <v>2274</v>
      </c>
      <c r="B183" s="9">
        <v>28996.0</v>
      </c>
      <c r="C183" s="9">
        <v>28688.0</v>
      </c>
      <c r="D183" s="9">
        <v>9177.0</v>
      </c>
      <c r="E183" s="9">
        <v>344.0</v>
      </c>
      <c r="F183" s="14"/>
      <c r="G183" s="15"/>
      <c r="H183" s="15"/>
      <c r="I183" s="14"/>
      <c r="J183" s="14"/>
      <c r="K183" s="14"/>
      <c r="L183" s="14"/>
      <c r="M183" s="14"/>
      <c r="N183" s="14"/>
      <c r="P183" s="14"/>
    </row>
    <row r="184" ht="18.75" customHeight="1">
      <c r="A184" s="7" t="s">
        <v>2303</v>
      </c>
      <c r="B184" s="9">
        <v>54450.0</v>
      </c>
      <c r="C184" s="9">
        <v>53869.0</v>
      </c>
      <c r="D184" s="9">
        <v>20172.0</v>
      </c>
      <c r="E184" s="9">
        <v>908.0</v>
      </c>
      <c r="F184" s="14"/>
      <c r="G184" s="15"/>
      <c r="H184" s="15"/>
      <c r="I184" s="14"/>
      <c r="J184" s="14"/>
      <c r="K184" s="14"/>
      <c r="L184" s="14"/>
      <c r="M184" s="14"/>
      <c r="N184" s="14"/>
      <c r="P184" s="14"/>
    </row>
    <row r="185" ht="18.75" customHeight="1">
      <c r="A185" s="7" t="s">
        <v>2282</v>
      </c>
      <c r="B185" s="9">
        <v>612.0</v>
      </c>
      <c r="C185" s="9">
        <v>602.0</v>
      </c>
      <c r="D185" s="9">
        <v>257.0</v>
      </c>
      <c r="E185" s="9">
        <v>51.0</v>
      </c>
      <c r="F185" s="14"/>
      <c r="G185" s="15"/>
      <c r="H185" s="15"/>
      <c r="I185" s="14"/>
      <c r="J185" s="14"/>
      <c r="K185" s="14"/>
      <c r="L185" s="14"/>
      <c r="M185" s="14"/>
      <c r="N185" s="14"/>
      <c r="P185" s="14"/>
    </row>
    <row r="186" ht="18.75" customHeight="1">
      <c r="A186" s="7" t="s">
        <v>2283</v>
      </c>
      <c r="B186" s="9">
        <v>19378.0</v>
      </c>
      <c r="C186" s="9">
        <v>19135.0</v>
      </c>
      <c r="D186" s="9">
        <v>6048.0</v>
      </c>
      <c r="E186" s="9">
        <v>83.0</v>
      </c>
      <c r="F186" s="14"/>
      <c r="G186" s="15"/>
      <c r="H186" s="15"/>
      <c r="I186" s="14"/>
      <c r="J186" s="14"/>
      <c r="K186" s="14"/>
      <c r="L186" s="14"/>
      <c r="M186" s="14"/>
      <c r="N186" s="14"/>
      <c r="P186" s="14"/>
    </row>
    <row r="187" ht="18.75" customHeight="1">
      <c r="A187" s="7" t="s">
        <v>2304</v>
      </c>
      <c r="B187" s="9">
        <v>88216.0</v>
      </c>
      <c r="C187" s="9">
        <v>87025.0</v>
      </c>
      <c r="D187" s="9">
        <v>28019.0</v>
      </c>
      <c r="E187" s="9">
        <v>2065.0</v>
      </c>
      <c r="F187" s="14"/>
      <c r="G187" s="15"/>
      <c r="H187" s="15"/>
      <c r="I187" s="14"/>
      <c r="J187" s="14"/>
      <c r="K187" s="14"/>
      <c r="L187" s="14"/>
      <c r="M187" s="14"/>
      <c r="N187" s="14"/>
      <c r="P187" s="14"/>
    </row>
    <row r="188" ht="18.75" customHeight="1">
      <c r="A188" s="7" t="s">
        <v>2286</v>
      </c>
      <c r="B188" s="9">
        <v>194.0</v>
      </c>
      <c r="C188" s="9">
        <v>192.0</v>
      </c>
      <c r="D188" s="9">
        <v>109.0</v>
      </c>
      <c r="E188" s="9">
        <v>2.0</v>
      </c>
      <c r="F188" s="14"/>
      <c r="G188" s="15"/>
      <c r="H188" s="15"/>
      <c r="I188" s="14"/>
      <c r="J188" s="14"/>
      <c r="K188" s="14"/>
      <c r="L188" s="14"/>
      <c r="M188" s="14"/>
      <c r="N188" s="14"/>
      <c r="P188" s="14"/>
    </row>
    <row r="189" ht="18.75" customHeight="1">
      <c r="A189" s="7" t="s">
        <v>2305</v>
      </c>
      <c r="B189" s="9">
        <v>125000.0</v>
      </c>
      <c r="C189" s="9">
        <v>123928.0</v>
      </c>
      <c r="D189" s="9">
        <v>52939.0</v>
      </c>
      <c r="E189" s="9">
        <v>2189.0</v>
      </c>
      <c r="F189" s="14"/>
      <c r="G189" s="15"/>
      <c r="H189" s="15"/>
      <c r="I189" s="14"/>
      <c r="J189" s="14"/>
      <c r="K189" s="14"/>
      <c r="L189" s="14"/>
      <c r="M189" s="14"/>
      <c r="N189" s="14"/>
      <c r="P189" s="14"/>
    </row>
    <row r="190" ht="18.75" customHeight="1">
      <c r="A190" s="7" t="s">
        <v>2306</v>
      </c>
      <c r="B190" s="9">
        <v>42855.0</v>
      </c>
      <c r="C190" s="9">
        <v>42344.0</v>
      </c>
      <c r="D190" s="9">
        <v>12988.0</v>
      </c>
      <c r="E190" s="9">
        <v>308.0</v>
      </c>
      <c r="F190" s="14"/>
      <c r="G190" s="15"/>
      <c r="H190" s="15"/>
      <c r="I190" s="14"/>
      <c r="J190" s="14"/>
      <c r="K190" s="14"/>
      <c r="L190" s="14"/>
      <c r="M190" s="14"/>
      <c r="N190" s="14"/>
    </row>
    <row r="191" ht="18.75" customHeight="1">
      <c r="A191" s="7" t="s">
        <v>2306</v>
      </c>
      <c r="B191" s="9">
        <v>208.0</v>
      </c>
      <c r="C191" s="9">
        <v>198.0</v>
      </c>
      <c r="D191" s="9">
        <v>90.0</v>
      </c>
      <c r="E191" s="9">
        <v>9.0</v>
      </c>
      <c r="F191" s="14"/>
      <c r="G191" s="15"/>
      <c r="H191" s="15"/>
      <c r="I191" s="14"/>
      <c r="J191" s="14"/>
      <c r="K191" s="14"/>
      <c r="L191" s="14"/>
      <c r="M191" s="14"/>
      <c r="N191" s="14"/>
    </row>
    <row r="192" ht="18.75" customHeight="1">
      <c r="A192" s="7" t="s">
        <v>2307</v>
      </c>
      <c r="B192" s="9">
        <v>64823.0</v>
      </c>
      <c r="C192" s="9">
        <v>64088.0</v>
      </c>
      <c r="D192" s="9">
        <v>19920.0</v>
      </c>
      <c r="E192" s="9">
        <v>2285.0</v>
      </c>
      <c r="F192" s="14"/>
      <c r="G192" s="15"/>
      <c r="H192" s="15"/>
      <c r="I192" s="14"/>
      <c r="J192" s="14"/>
      <c r="K192" s="14"/>
      <c r="L192" s="14"/>
      <c r="M192" s="14"/>
      <c r="N192" s="14"/>
      <c r="P192" s="14"/>
    </row>
    <row r="193" ht="18.75" customHeight="1">
      <c r="A193" s="7" t="s">
        <v>2301</v>
      </c>
      <c r="B193" s="9">
        <v>289.0</v>
      </c>
      <c r="C193" s="9">
        <v>286.0</v>
      </c>
      <c r="D193" s="9">
        <v>89.0</v>
      </c>
      <c r="E193" s="9">
        <v>0.0</v>
      </c>
      <c r="F193" s="14"/>
      <c r="G193" s="15"/>
      <c r="H193" s="15"/>
      <c r="I193" s="14"/>
      <c r="J193" s="14"/>
      <c r="K193" s="14"/>
      <c r="L193" s="14"/>
      <c r="M193" s="14"/>
      <c r="N193" s="14"/>
      <c r="P193" s="14"/>
    </row>
    <row r="194" ht="18.75" customHeight="1">
      <c r="A194" s="7" t="s">
        <v>2301</v>
      </c>
      <c r="B194" s="9">
        <v>152.0</v>
      </c>
      <c r="C194" s="9">
        <v>151.0</v>
      </c>
      <c r="D194" s="9">
        <v>73.0</v>
      </c>
      <c r="E194" s="9">
        <v>0.0</v>
      </c>
      <c r="F194" s="14"/>
      <c r="G194" s="15"/>
      <c r="H194" s="15"/>
      <c r="I194" s="14"/>
      <c r="J194" s="14"/>
      <c r="K194" s="14"/>
      <c r="L194" s="14"/>
      <c r="M194" s="14"/>
      <c r="N194" s="14"/>
      <c r="P194" s="14"/>
    </row>
    <row r="195" ht="18.75" customHeight="1">
      <c r="A195" s="7" t="s">
        <v>2301</v>
      </c>
      <c r="B195" s="9">
        <v>62.0</v>
      </c>
      <c r="C195" s="9">
        <v>62.0</v>
      </c>
      <c r="D195" s="9">
        <v>25.0</v>
      </c>
      <c r="E195" s="9">
        <v>0.0</v>
      </c>
      <c r="F195" s="14"/>
      <c r="G195" s="15"/>
      <c r="H195" s="15"/>
      <c r="I195" s="14"/>
      <c r="J195" s="14"/>
      <c r="K195" s="14"/>
      <c r="L195" s="14"/>
      <c r="M195" s="14"/>
      <c r="N195" s="14"/>
      <c r="P195" s="14"/>
    </row>
    <row r="196" ht="18.75" customHeight="1">
      <c r="A196" s="7" t="s">
        <v>2301</v>
      </c>
      <c r="B196" s="9">
        <v>79.0</v>
      </c>
      <c r="C196" s="9">
        <v>76.0</v>
      </c>
      <c r="D196" s="9">
        <v>23.0</v>
      </c>
      <c r="E196" s="9">
        <v>0.0</v>
      </c>
      <c r="F196" s="14"/>
      <c r="G196" s="15"/>
      <c r="H196" s="15"/>
      <c r="I196" s="14"/>
      <c r="J196" s="14"/>
      <c r="K196" s="14"/>
      <c r="L196" s="14"/>
      <c r="M196" s="14"/>
      <c r="N196" s="14"/>
      <c r="P196" s="14"/>
    </row>
    <row r="197" ht="18.75" customHeight="1">
      <c r="A197" s="7" t="s">
        <v>2301</v>
      </c>
      <c r="B197" s="9">
        <v>16.0</v>
      </c>
      <c r="C197" s="9">
        <v>16.0</v>
      </c>
      <c r="D197" s="9">
        <v>7.0</v>
      </c>
      <c r="E197" s="9">
        <v>0.0</v>
      </c>
      <c r="F197" s="14"/>
      <c r="G197" s="15"/>
      <c r="H197" s="15"/>
      <c r="I197" s="14"/>
      <c r="J197" s="14"/>
      <c r="K197" s="14"/>
      <c r="L197" s="14"/>
      <c r="M197" s="14"/>
      <c r="N197" s="14"/>
      <c r="P197" s="14"/>
    </row>
    <row r="198" ht="18.75" customHeight="1">
      <c r="A198" s="7" t="s">
        <v>2301</v>
      </c>
      <c r="B198" s="9">
        <v>72.0</v>
      </c>
      <c r="C198" s="9">
        <v>72.0</v>
      </c>
      <c r="D198" s="9">
        <v>27.0</v>
      </c>
      <c r="E198" s="9">
        <v>0.0</v>
      </c>
      <c r="F198" s="14"/>
      <c r="G198" s="15"/>
      <c r="H198" s="15"/>
      <c r="I198" s="14"/>
      <c r="J198" s="14"/>
      <c r="K198" s="14"/>
      <c r="L198" s="14"/>
      <c r="M198" s="14"/>
      <c r="N198" s="14"/>
      <c r="P198" s="14"/>
    </row>
    <row r="199" ht="18.75" customHeight="1">
      <c r="A199" s="7" t="s">
        <v>2301</v>
      </c>
      <c r="B199" s="9">
        <v>87.0</v>
      </c>
      <c r="C199" s="9">
        <v>86.0</v>
      </c>
      <c r="D199" s="9">
        <v>21.0</v>
      </c>
      <c r="E199" s="9">
        <v>0.0</v>
      </c>
      <c r="F199" s="14"/>
      <c r="G199" s="15"/>
      <c r="H199" s="15"/>
      <c r="I199" s="14"/>
      <c r="J199" s="14"/>
      <c r="K199" s="14"/>
      <c r="L199" s="14"/>
      <c r="M199" s="14"/>
      <c r="N199" s="14"/>
      <c r="P199" s="14"/>
    </row>
    <row r="200" ht="18.75" customHeight="1">
      <c r="A200" s="7" t="s">
        <v>2301</v>
      </c>
      <c r="B200" s="9">
        <v>36.0</v>
      </c>
      <c r="C200" s="9">
        <v>35.0</v>
      </c>
      <c r="D200" s="9">
        <v>13.0</v>
      </c>
      <c r="E200" s="9">
        <v>0.0</v>
      </c>
      <c r="F200" s="14"/>
      <c r="G200" s="15"/>
      <c r="H200" s="15"/>
      <c r="I200" s="14"/>
      <c r="J200" s="14"/>
      <c r="K200" s="14"/>
      <c r="L200" s="14"/>
      <c r="M200" s="14"/>
      <c r="N200" s="14"/>
      <c r="P200" s="14"/>
    </row>
    <row r="201" ht="18.75" customHeight="1">
      <c r="A201" s="7" t="s">
        <v>2301</v>
      </c>
      <c r="B201" s="9">
        <v>77.0</v>
      </c>
      <c r="C201" s="9">
        <v>76.0</v>
      </c>
      <c r="D201" s="9">
        <v>27.0</v>
      </c>
      <c r="E201" s="9">
        <v>0.0</v>
      </c>
      <c r="F201" s="14"/>
      <c r="G201" s="15"/>
      <c r="H201" s="15"/>
      <c r="I201" s="14"/>
      <c r="J201" s="14"/>
      <c r="K201" s="14"/>
      <c r="L201" s="14"/>
      <c r="M201" s="14"/>
      <c r="N201" s="14"/>
      <c r="P201" s="14"/>
    </row>
    <row r="202" ht="18.75" customHeight="1">
      <c r="A202" s="7" t="s">
        <v>2301</v>
      </c>
      <c r="B202" s="9">
        <v>62.0</v>
      </c>
      <c r="C202" s="9">
        <v>61.0</v>
      </c>
      <c r="D202" s="9">
        <v>20.0</v>
      </c>
      <c r="E202" s="9">
        <v>0.0</v>
      </c>
      <c r="F202" s="14"/>
      <c r="G202" s="15"/>
      <c r="H202" s="15"/>
      <c r="I202" s="14"/>
      <c r="J202" s="14"/>
      <c r="K202" s="14"/>
      <c r="L202" s="14"/>
      <c r="M202" s="14"/>
      <c r="N202" s="14"/>
      <c r="P202" s="14"/>
    </row>
    <row r="203" ht="18.75" customHeight="1">
      <c r="A203" s="7" t="s">
        <v>2274</v>
      </c>
      <c r="B203" s="9">
        <v>12236.0</v>
      </c>
      <c r="C203" s="9">
        <v>12080.0</v>
      </c>
      <c r="D203" s="9">
        <v>3386.0</v>
      </c>
      <c r="E203" s="9">
        <v>84.0</v>
      </c>
      <c r="F203" s="14"/>
      <c r="G203" s="15"/>
      <c r="H203" s="15"/>
      <c r="I203" s="14"/>
      <c r="J203" s="14"/>
      <c r="K203" s="14"/>
      <c r="L203" s="14"/>
      <c r="M203" s="14"/>
      <c r="N203" s="14"/>
      <c r="P203" s="14"/>
    </row>
    <row r="204" ht="18.75" customHeight="1">
      <c r="A204" s="7" t="s">
        <v>2308</v>
      </c>
      <c r="B204" s="9">
        <v>8385.0</v>
      </c>
      <c r="C204" s="9">
        <v>8291.0</v>
      </c>
      <c r="D204" s="9">
        <v>1820.0</v>
      </c>
      <c r="E204" s="9">
        <v>31.0</v>
      </c>
      <c r="F204" s="14"/>
      <c r="G204" s="15"/>
      <c r="H204" s="15"/>
      <c r="I204" s="14"/>
      <c r="J204" s="14"/>
      <c r="K204" s="14"/>
      <c r="L204" s="14"/>
      <c r="M204" s="14"/>
      <c r="N204" s="14"/>
      <c r="P204" s="14"/>
    </row>
    <row r="205" ht="18.75" customHeight="1">
      <c r="A205" s="7" t="s">
        <v>2282</v>
      </c>
      <c r="B205" s="9">
        <v>83.0</v>
      </c>
      <c r="C205" s="9">
        <v>82.0</v>
      </c>
      <c r="D205" s="9">
        <v>33.0</v>
      </c>
      <c r="E205" s="9">
        <v>7.0</v>
      </c>
      <c r="F205" s="14"/>
      <c r="G205" s="15"/>
      <c r="H205" s="15"/>
      <c r="I205" s="14"/>
      <c r="J205" s="14"/>
      <c r="K205" s="14"/>
      <c r="L205" s="14"/>
      <c r="M205" s="14"/>
      <c r="N205" s="14"/>
      <c r="P205" s="14"/>
    </row>
    <row r="206" ht="18.75" customHeight="1">
      <c r="A206" s="7" t="s">
        <v>2309</v>
      </c>
      <c r="B206" s="9">
        <v>8523.0</v>
      </c>
      <c r="C206" s="9">
        <v>8421.0</v>
      </c>
      <c r="D206" s="9">
        <v>3364.0</v>
      </c>
      <c r="E206" s="9">
        <v>570.0</v>
      </c>
      <c r="F206" s="14"/>
      <c r="G206" s="15"/>
      <c r="H206" s="15"/>
      <c r="I206" s="14"/>
      <c r="J206" s="14"/>
      <c r="K206" s="14"/>
      <c r="L206" s="14"/>
      <c r="M206" s="14"/>
      <c r="N206" s="14"/>
      <c r="P206" s="14"/>
    </row>
    <row r="207" ht="18.75" customHeight="1">
      <c r="A207" s="7" t="s">
        <v>2283</v>
      </c>
      <c r="B207" s="9">
        <v>28952.0</v>
      </c>
      <c r="C207" s="9">
        <v>28632.0</v>
      </c>
      <c r="D207" s="9">
        <v>9234.0</v>
      </c>
      <c r="E207" s="9">
        <v>132.0</v>
      </c>
      <c r="F207" s="14"/>
      <c r="G207" s="15"/>
      <c r="H207" s="15"/>
      <c r="I207" s="14"/>
      <c r="J207" s="14"/>
      <c r="K207" s="14"/>
      <c r="L207" s="14"/>
      <c r="M207" s="14"/>
      <c r="N207" s="14"/>
      <c r="P207" s="14"/>
    </row>
    <row r="208" ht="18.75" customHeight="1">
      <c r="A208" s="7" t="s">
        <v>2307</v>
      </c>
      <c r="B208" s="9">
        <v>64765.0</v>
      </c>
      <c r="C208" s="9">
        <v>64011.0</v>
      </c>
      <c r="D208" s="9">
        <v>21885.0</v>
      </c>
      <c r="E208" s="9">
        <v>1264.0</v>
      </c>
      <c r="F208" s="14"/>
      <c r="G208" s="15"/>
      <c r="H208" s="15"/>
      <c r="I208" s="14"/>
      <c r="J208" s="14"/>
      <c r="K208" s="14"/>
      <c r="L208" s="14"/>
      <c r="M208" s="14"/>
      <c r="N208" s="14"/>
      <c r="P208" s="14"/>
    </row>
    <row r="209" ht="18.75" customHeight="1">
      <c r="A209" s="7" t="s">
        <v>2298</v>
      </c>
      <c r="B209" s="9">
        <v>9577.0</v>
      </c>
      <c r="C209" s="9">
        <v>9513.0</v>
      </c>
      <c r="D209" s="9">
        <v>4451.0</v>
      </c>
      <c r="E209" s="9">
        <v>3.0</v>
      </c>
      <c r="F209" s="14"/>
      <c r="G209" s="15"/>
      <c r="H209" s="15"/>
      <c r="I209" s="14"/>
      <c r="J209" s="14"/>
      <c r="K209" s="14"/>
      <c r="L209" s="14"/>
      <c r="M209" s="14"/>
      <c r="N209" s="14"/>
      <c r="P209" s="14"/>
    </row>
    <row r="210" ht="18.75" customHeight="1">
      <c r="A210" s="7" t="s">
        <v>2295</v>
      </c>
      <c r="B210" s="9">
        <v>12862.0</v>
      </c>
      <c r="C210" s="9">
        <v>12601.0</v>
      </c>
      <c r="D210" s="9">
        <v>1667.0</v>
      </c>
      <c r="E210" s="9">
        <v>119.0</v>
      </c>
      <c r="F210" s="14"/>
      <c r="G210" s="15"/>
      <c r="H210" s="15"/>
      <c r="I210" s="14"/>
      <c r="J210" s="14"/>
      <c r="K210" s="14"/>
      <c r="L210" s="14"/>
      <c r="M210" s="14"/>
      <c r="N210" s="14"/>
      <c r="P210" s="14"/>
    </row>
    <row r="211" ht="18.75" customHeight="1">
      <c r="A211" s="7" t="s">
        <v>2295</v>
      </c>
      <c r="B211" s="9">
        <v>100678.0</v>
      </c>
      <c r="C211" s="9">
        <v>99003.0</v>
      </c>
      <c r="D211" s="9">
        <v>20251.0</v>
      </c>
      <c r="E211" s="9">
        <v>4375.0</v>
      </c>
      <c r="F211" s="14"/>
      <c r="G211" s="15"/>
      <c r="H211" s="15"/>
      <c r="I211" s="14"/>
      <c r="J211" s="14"/>
      <c r="K211" s="14"/>
      <c r="L211" s="14"/>
      <c r="M211" s="14"/>
      <c r="N211" s="14"/>
      <c r="P211" s="14"/>
    </row>
    <row r="212" ht="18.75" customHeight="1">
      <c r="A212" s="7" t="s">
        <v>2310</v>
      </c>
      <c r="B212" s="9">
        <v>62412.0</v>
      </c>
      <c r="C212" s="9">
        <v>61708.0</v>
      </c>
      <c r="D212" s="9">
        <v>23259.0</v>
      </c>
      <c r="E212" s="9">
        <v>2057.0</v>
      </c>
      <c r="F212" s="14"/>
      <c r="G212" s="15"/>
      <c r="H212" s="15"/>
      <c r="I212" s="14"/>
      <c r="J212" s="14"/>
      <c r="K212" s="14"/>
      <c r="L212" s="14"/>
      <c r="M212" s="14"/>
      <c r="N212" s="14"/>
      <c r="P212" s="14"/>
    </row>
    <row r="213" ht="18.75" customHeight="1">
      <c r="A213" s="7" t="s">
        <v>2311</v>
      </c>
      <c r="B213" s="9">
        <v>84703.0</v>
      </c>
      <c r="C213" s="9">
        <v>83690.0</v>
      </c>
      <c r="D213" s="9">
        <v>28473.0</v>
      </c>
      <c r="E213" s="9">
        <v>1473.0</v>
      </c>
      <c r="F213" s="14"/>
      <c r="G213" s="15"/>
      <c r="H213" s="15"/>
      <c r="I213" s="14"/>
      <c r="J213" s="14"/>
      <c r="K213" s="14"/>
      <c r="L213" s="14"/>
      <c r="M213" s="14"/>
      <c r="N213" s="14"/>
    </row>
    <row r="214" ht="18.75" customHeight="1">
      <c r="A214" s="7" t="s">
        <v>2312</v>
      </c>
      <c r="B214" s="9">
        <v>111318.0</v>
      </c>
      <c r="C214" s="9">
        <v>110188.0</v>
      </c>
      <c r="D214" s="9">
        <v>46145.0</v>
      </c>
      <c r="E214" s="9">
        <v>3263.0</v>
      </c>
      <c r="F214" s="14"/>
      <c r="G214" s="15"/>
      <c r="H214" s="15"/>
      <c r="I214" s="14"/>
      <c r="J214" s="14"/>
      <c r="K214" s="14"/>
      <c r="L214" s="14"/>
      <c r="M214" s="14"/>
      <c r="N214" s="14"/>
    </row>
    <row r="215" ht="18.75" customHeight="1">
      <c r="A215" s="7" t="s">
        <v>2305</v>
      </c>
      <c r="B215" s="9">
        <v>1410.0</v>
      </c>
      <c r="C215" s="9">
        <v>1406.0</v>
      </c>
      <c r="D215" s="9">
        <v>1113.0</v>
      </c>
      <c r="E215" s="9">
        <v>11.0</v>
      </c>
      <c r="F215" s="14"/>
      <c r="G215" s="15"/>
      <c r="H215" s="15"/>
      <c r="I215" s="14"/>
      <c r="J215" s="14"/>
      <c r="K215" s="14"/>
      <c r="L215" s="14"/>
      <c r="M215" s="14"/>
      <c r="N215" s="14"/>
      <c r="P215" s="14"/>
    </row>
    <row r="216" ht="18.75" customHeight="1">
      <c r="A216" s="7" t="s">
        <v>2313</v>
      </c>
      <c r="B216" s="9">
        <v>74456.0</v>
      </c>
      <c r="C216" s="9">
        <v>73908.0</v>
      </c>
      <c r="D216" s="9">
        <v>37462.0</v>
      </c>
      <c r="E216" s="9">
        <v>135.0</v>
      </c>
      <c r="F216" s="14"/>
      <c r="G216" s="15"/>
      <c r="H216" s="15"/>
      <c r="I216" s="14"/>
      <c r="J216" s="14"/>
      <c r="K216" s="14"/>
      <c r="L216" s="14"/>
      <c r="M216" s="14"/>
      <c r="N216" s="14"/>
      <c r="P216" s="14"/>
    </row>
    <row r="217" ht="18.75" customHeight="1">
      <c r="A217" s="7" t="s">
        <v>2314</v>
      </c>
      <c r="B217" s="9">
        <v>524.0</v>
      </c>
      <c r="C217" s="9">
        <v>518.0</v>
      </c>
      <c r="D217" s="9">
        <v>211.0</v>
      </c>
      <c r="E217" s="9">
        <v>108.0</v>
      </c>
      <c r="F217" s="14"/>
      <c r="G217" s="15"/>
      <c r="H217" s="15"/>
      <c r="I217" s="14"/>
      <c r="J217" s="14"/>
      <c r="K217" s="14"/>
      <c r="L217" s="14"/>
      <c r="M217" s="14"/>
      <c r="N217" s="14"/>
      <c r="P217" s="14"/>
    </row>
    <row r="218" ht="18.75" customHeight="1">
      <c r="A218" s="7" t="s">
        <v>2314</v>
      </c>
      <c r="B218" s="9">
        <v>2514.0</v>
      </c>
      <c r="C218" s="9">
        <v>2505.0</v>
      </c>
      <c r="D218" s="9">
        <v>1288.0</v>
      </c>
      <c r="E218" s="9">
        <v>717.0</v>
      </c>
      <c r="F218" s="14"/>
      <c r="G218" s="15"/>
      <c r="H218" s="15"/>
      <c r="I218" s="14"/>
      <c r="J218" s="14"/>
      <c r="K218" s="14"/>
      <c r="L218" s="14"/>
      <c r="M218" s="14"/>
      <c r="N218" s="14"/>
      <c r="P218" s="14"/>
    </row>
    <row r="219" ht="18.75" customHeight="1">
      <c r="A219" s="7" t="s">
        <v>2315</v>
      </c>
      <c r="B219" s="9">
        <v>9552.0</v>
      </c>
      <c r="C219" s="9">
        <v>9499.0</v>
      </c>
      <c r="D219" s="9">
        <v>4912.0</v>
      </c>
      <c r="E219" s="9">
        <v>3.0</v>
      </c>
      <c r="F219" s="14"/>
      <c r="G219" s="15"/>
      <c r="H219" s="15"/>
      <c r="I219" s="14"/>
      <c r="J219" s="14"/>
      <c r="K219" s="14"/>
      <c r="L219" s="14"/>
      <c r="M219" s="14"/>
      <c r="N219" s="14"/>
      <c r="P219" s="14"/>
    </row>
    <row r="220" ht="18.75" customHeight="1">
      <c r="A220" s="7" t="s">
        <v>2282</v>
      </c>
      <c r="B220" s="9">
        <v>470.0</v>
      </c>
      <c r="C220" s="9">
        <v>464.0</v>
      </c>
      <c r="D220" s="9">
        <v>186.0</v>
      </c>
      <c r="E220" s="9">
        <v>31.0</v>
      </c>
      <c r="F220" s="14"/>
      <c r="G220" s="15"/>
      <c r="H220" s="15"/>
      <c r="I220" s="14"/>
      <c r="J220" s="14"/>
      <c r="K220" s="14"/>
      <c r="L220" s="14"/>
      <c r="M220" s="14"/>
      <c r="N220" s="14"/>
      <c r="P220" s="14"/>
    </row>
    <row r="221" ht="18.75" customHeight="1">
      <c r="A221" s="7" t="s">
        <v>2316</v>
      </c>
      <c r="B221" s="9">
        <v>23452.0</v>
      </c>
      <c r="C221" s="9">
        <v>23160.0</v>
      </c>
      <c r="D221" s="9">
        <v>10078.0</v>
      </c>
      <c r="E221" s="9">
        <v>1044.0</v>
      </c>
      <c r="F221" s="14"/>
      <c r="G221" s="15"/>
      <c r="H221" s="15"/>
      <c r="I221" s="14"/>
      <c r="J221" s="14"/>
      <c r="K221" s="14"/>
      <c r="L221" s="14"/>
      <c r="M221" s="14"/>
      <c r="N221" s="14"/>
      <c r="P221" s="14"/>
    </row>
    <row r="222" ht="18.75" customHeight="1">
      <c r="A222" s="7" t="s">
        <v>2316</v>
      </c>
      <c r="B222" s="9">
        <v>1084.0</v>
      </c>
      <c r="C222" s="9">
        <v>1068.0</v>
      </c>
      <c r="D222" s="9">
        <v>263.0</v>
      </c>
      <c r="E222" s="9">
        <v>54.0</v>
      </c>
      <c r="F222" s="14"/>
      <c r="G222" s="15"/>
      <c r="H222" s="15"/>
      <c r="I222" s="14"/>
      <c r="J222" s="14"/>
      <c r="K222" s="14"/>
      <c r="L222" s="14"/>
      <c r="M222" s="14"/>
      <c r="N222" s="14"/>
      <c r="P222" s="14"/>
    </row>
    <row r="223" ht="18.75" customHeight="1">
      <c r="A223" s="7" t="s">
        <v>2317</v>
      </c>
      <c r="B223" s="9">
        <v>53592.0</v>
      </c>
      <c r="C223" s="9">
        <v>52940.0</v>
      </c>
      <c r="D223" s="9">
        <v>23643.0</v>
      </c>
      <c r="E223" s="9">
        <v>78.0</v>
      </c>
      <c r="F223" s="14"/>
      <c r="G223" s="15"/>
      <c r="H223" s="15"/>
      <c r="I223" s="14"/>
      <c r="J223" s="14"/>
      <c r="K223" s="14"/>
      <c r="L223" s="14"/>
      <c r="M223" s="14"/>
      <c r="N223" s="14"/>
    </row>
    <row r="224" ht="18.75" customHeight="1">
      <c r="A224" s="7" t="s">
        <v>2287</v>
      </c>
      <c r="B224" s="9">
        <v>144.0</v>
      </c>
      <c r="C224" s="9">
        <v>141.0</v>
      </c>
      <c r="D224" s="9">
        <v>55.0</v>
      </c>
      <c r="E224" s="9">
        <v>16.0</v>
      </c>
      <c r="F224" s="14"/>
      <c r="G224" s="15"/>
      <c r="H224" s="15"/>
      <c r="I224" s="14"/>
      <c r="J224" s="14"/>
      <c r="K224" s="14"/>
      <c r="L224" s="14"/>
      <c r="M224" s="14"/>
      <c r="N224" s="14"/>
      <c r="P224" s="14"/>
    </row>
    <row r="225" ht="18.75" customHeight="1">
      <c r="A225" s="7" t="s">
        <v>2310</v>
      </c>
      <c r="B225" s="9">
        <v>35186.0</v>
      </c>
      <c r="C225" s="9">
        <v>34514.0</v>
      </c>
      <c r="D225" s="9">
        <v>5331.0</v>
      </c>
      <c r="E225" s="9">
        <v>316.0</v>
      </c>
      <c r="F225" s="14"/>
      <c r="G225" s="15"/>
      <c r="H225" s="15"/>
      <c r="I225" s="14"/>
      <c r="J225" s="14"/>
      <c r="K225" s="14"/>
      <c r="L225" s="14"/>
      <c r="M225" s="14"/>
      <c r="N225" s="14"/>
      <c r="P225" s="14"/>
    </row>
    <row r="226" ht="18.75" customHeight="1">
      <c r="A226" s="7" t="s">
        <v>2283</v>
      </c>
      <c r="B226" s="9">
        <v>10172.0</v>
      </c>
      <c r="C226" s="9">
        <v>10033.0</v>
      </c>
      <c r="D226" s="9">
        <v>2327.0</v>
      </c>
      <c r="E226" s="9">
        <v>27.0</v>
      </c>
      <c r="F226" s="14"/>
      <c r="G226" s="15"/>
      <c r="H226" s="15"/>
      <c r="I226" s="14"/>
      <c r="J226" s="14"/>
      <c r="K226" s="14"/>
      <c r="L226" s="14"/>
      <c r="M226" s="14"/>
      <c r="N226" s="14"/>
      <c r="P226" s="14"/>
    </row>
    <row r="227" ht="18.75" customHeight="1">
      <c r="A227" s="7" t="s">
        <v>2318</v>
      </c>
      <c r="B227" s="9">
        <v>22414.0</v>
      </c>
      <c r="C227" s="9">
        <v>22219.0</v>
      </c>
      <c r="D227" s="9">
        <v>11274.0</v>
      </c>
      <c r="E227" s="9">
        <v>2786.0</v>
      </c>
      <c r="F227" s="14"/>
      <c r="G227" s="15"/>
      <c r="H227" s="15"/>
      <c r="I227" s="14"/>
      <c r="J227" s="14"/>
      <c r="K227" s="14"/>
      <c r="L227" s="14"/>
      <c r="M227" s="14"/>
      <c r="N227" s="14"/>
    </row>
    <row r="228" ht="18.75" customHeight="1">
      <c r="A228" s="7" t="s">
        <v>2318</v>
      </c>
      <c r="B228" s="9">
        <v>2748.0</v>
      </c>
      <c r="C228" s="9">
        <v>2713.0</v>
      </c>
      <c r="D228" s="9">
        <v>1216.0</v>
      </c>
      <c r="E228" s="9">
        <v>252.0</v>
      </c>
      <c r="F228" s="14"/>
      <c r="G228" s="15"/>
      <c r="H228" s="15"/>
      <c r="I228" s="14"/>
      <c r="J228" s="14"/>
      <c r="K228" s="14"/>
      <c r="L228" s="14"/>
      <c r="M228" s="14"/>
      <c r="N228" s="14"/>
    </row>
    <row r="229" ht="18.75" customHeight="1">
      <c r="A229" s="7" t="s">
        <v>2319</v>
      </c>
      <c r="B229" s="9">
        <v>157666.0</v>
      </c>
      <c r="C229" s="9">
        <v>155770.0</v>
      </c>
      <c r="D229" s="9">
        <v>59565.0</v>
      </c>
      <c r="E229" s="9">
        <v>4541.0</v>
      </c>
      <c r="F229" s="14"/>
      <c r="G229" s="15"/>
      <c r="H229" s="15"/>
      <c r="I229" s="14"/>
      <c r="J229" s="14"/>
      <c r="K229" s="14"/>
      <c r="L229" s="14"/>
      <c r="M229" s="14"/>
      <c r="N229" s="14"/>
      <c r="P229" s="14"/>
    </row>
    <row r="230" ht="18.75" customHeight="1">
      <c r="A230" s="7" t="s">
        <v>2320</v>
      </c>
      <c r="B230" s="9">
        <v>71281.0</v>
      </c>
      <c r="C230" s="9">
        <v>70873.0</v>
      </c>
      <c r="D230" s="9">
        <v>37930.0</v>
      </c>
      <c r="E230" s="9">
        <v>1021.0</v>
      </c>
      <c r="F230" s="14"/>
      <c r="G230" s="15"/>
      <c r="H230" s="15"/>
      <c r="I230" s="14"/>
      <c r="J230" s="14"/>
      <c r="K230" s="14"/>
      <c r="L230" s="14"/>
      <c r="M230" s="14"/>
      <c r="N230" s="14"/>
      <c r="P230" s="14"/>
    </row>
    <row r="231" ht="18.75" customHeight="1">
      <c r="A231" s="7" t="s">
        <v>2321</v>
      </c>
      <c r="B231" s="9">
        <v>252.0</v>
      </c>
      <c r="C231" s="9">
        <v>251.0</v>
      </c>
      <c r="D231" s="9">
        <v>169.0</v>
      </c>
      <c r="E231" s="9">
        <v>73.0</v>
      </c>
      <c r="F231" s="14"/>
      <c r="G231" s="15"/>
      <c r="H231" s="15"/>
      <c r="I231" s="14"/>
      <c r="J231" s="14"/>
      <c r="K231" s="14"/>
      <c r="L231" s="14"/>
      <c r="M231" s="14"/>
      <c r="N231" s="14"/>
      <c r="P231" s="14"/>
    </row>
    <row r="232" ht="18.75" customHeight="1">
      <c r="A232" s="7" t="s">
        <v>2322</v>
      </c>
      <c r="B232" s="9">
        <v>86041.0</v>
      </c>
      <c r="C232" s="9">
        <v>85506.0</v>
      </c>
      <c r="D232" s="9">
        <v>56427.0</v>
      </c>
      <c r="E232" s="9">
        <v>809.0</v>
      </c>
      <c r="F232" s="14"/>
      <c r="G232" s="15"/>
      <c r="H232" s="15"/>
      <c r="I232" s="14"/>
      <c r="J232" s="14"/>
      <c r="K232" s="14"/>
      <c r="L232" s="14"/>
      <c r="M232" s="14"/>
      <c r="N232" s="14"/>
      <c r="P232" s="14"/>
    </row>
    <row r="233" ht="18.75" customHeight="1">
      <c r="A233" s="7" t="s">
        <v>2322</v>
      </c>
      <c r="B233" s="9">
        <v>13597.0</v>
      </c>
      <c r="C233" s="9">
        <v>13508.0</v>
      </c>
      <c r="D233" s="9">
        <v>7605.0</v>
      </c>
      <c r="E233" s="9">
        <v>300.0</v>
      </c>
      <c r="F233" s="14"/>
      <c r="G233" s="15"/>
      <c r="H233" s="15"/>
      <c r="I233" s="14"/>
      <c r="J233" s="14"/>
      <c r="K233" s="14"/>
      <c r="L233" s="14"/>
      <c r="M233" s="14"/>
      <c r="N233" s="14"/>
      <c r="P233" s="14"/>
    </row>
    <row r="234" ht="18.75" customHeight="1">
      <c r="A234" s="7" t="s">
        <v>2323</v>
      </c>
      <c r="B234" s="9">
        <v>3771.0</v>
      </c>
      <c r="C234" s="9">
        <v>3725.0</v>
      </c>
      <c r="D234" s="9">
        <v>2069.0</v>
      </c>
      <c r="E234" s="9">
        <v>35.0</v>
      </c>
      <c r="F234" s="14"/>
      <c r="G234" s="15"/>
      <c r="H234" s="15"/>
      <c r="I234" s="14"/>
      <c r="J234" s="14"/>
      <c r="K234" s="14"/>
      <c r="L234" s="14"/>
      <c r="M234" s="14"/>
      <c r="N234" s="14"/>
      <c r="P234" s="14"/>
    </row>
    <row r="235" ht="18.75" customHeight="1">
      <c r="A235" s="7" t="s">
        <v>2323</v>
      </c>
      <c r="B235" s="9">
        <v>3627.0</v>
      </c>
      <c r="C235" s="9">
        <v>3579.0</v>
      </c>
      <c r="D235" s="9">
        <v>1905.0</v>
      </c>
      <c r="E235" s="9">
        <v>48.0</v>
      </c>
      <c r="F235" s="14"/>
      <c r="G235" s="15"/>
      <c r="H235" s="15"/>
      <c r="I235" s="14"/>
      <c r="J235" s="14"/>
      <c r="K235" s="14"/>
      <c r="L235" s="14"/>
      <c r="M235" s="14"/>
      <c r="N235" s="14"/>
      <c r="P235" s="14"/>
    </row>
    <row r="236" ht="18.75" customHeight="1">
      <c r="A236" s="7" t="s">
        <v>2323</v>
      </c>
      <c r="B236" s="9">
        <v>992.0</v>
      </c>
      <c r="C236" s="9">
        <v>976.0</v>
      </c>
      <c r="D236" s="9">
        <v>445.0</v>
      </c>
      <c r="E236" s="9">
        <v>11.0</v>
      </c>
      <c r="F236" s="14"/>
      <c r="G236" s="15"/>
      <c r="H236" s="15"/>
      <c r="I236" s="14"/>
      <c r="J236" s="14"/>
      <c r="K236" s="14"/>
      <c r="L236" s="14"/>
      <c r="M236" s="14"/>
      <c r="N236" s="14"/>
      <c r="P236" s="14"/>
    </row>
    <row r="237" ht="18.75" customHeight="1">
      <c r="A237" s="7" t="s">
        <v>2323</v>
      </c>
      <c r="B237" s="9">
        <v>755.0</v>
      </c>
      <c r="C237" s="9">
        <v>741.0</v>
      </c>
      <c r="D237" s="9">
        <v>390.0</v>
      </c>
      <c r="E237" s="9">
        <v>10.0</v>
      </c>
      <c r="F237" s="14"/>
      <c r="G237" s="15"/>
      <c r="H237" s="15"/>
      <c r="I237" s="14"/>
      <c r="J237" s="14"/>
      <c r="K237" s="14"/>
      <c r="L237" s="14"/>
      <c r="M237" s="14"/>
      <c r="N237" s="14"/>
      <c r="P237" s="14"/>
    </row>
    <row r="238" ht="18.75" customHeight="1">
      <c r="A238" s="7" t="s">
        <v>2310</v>
      </c>
      <c r="B238" s="9">
        <v>24418.0</v>
      </c>
      <c r="C238" s="9">
        <v>24383.0</v>
      </c>
      <c r="D238" s="9">
        <v>16846.0</v>
      </c>
      <c r="E238" s="9">
        <v>949.0</v>
      </c>
      <c r="F238" s="14"/>
      <c r="G238" s="15"/>
      <c r="H238" s="15"/>
      <c r="I238" s="14"/>
      <c r="J238" s="14"/>
      <c r="K238" s="14"/>
      <c r="L238" s="14"/>
      <c r="M238" s="14"/>
      <c r="N238" s="14"/>
      <c r="P238" s="14"/>
    </row>
    <row r="239" ht="18.75" customHeight="1">
      <c r="A239" s="7" t="s">
        <v>2324</v>
      </c>
      <c r="B239" s="9">
        <v>20967.0</v>
      </c>
      <c r="C239" s="9">
        <v>20751.0</v>
      </c>
      <c r="D239" s="9">
        <v>8535.0</v>
      </c>
      <c r="E239" s="9">
        <v>1374.0</v>
      </c>
      <c r="F239" s="14"/>
      <c r="G239" s="15"/>
      <c r="H239" s="15"/>
      <c r="I239" s="14"/>
      <c r="J239" s="14"/>
      <c r="K239" s="14"/>
      <c r="L239" s="14"/>
      <c r="M239" s="14"/>
      <c r="N239" s="14"/>
      <c r="P239" s="14"/>
    </row>
    <row r="240" ht="18.75" customHeight="1">
      <c r="A240" s="7" t="s">
        <v>2325</v>
      </c>
      <c r="B240" s="9">
        <v>45573.0</v>
      </c>
      <c r="C240" s="9">
        <v>44869.0</v>
      </c>
      <c r="D240" s="9">
        <v>21031.0</v>
      </c>
      <c r="E240" s="9">
        <v>469.0</v>
      </c>
      <c r="F240" s="14"/>
      <c r="G240" s="15"/>
      <c r="H240" s="15"/>
      <c r="I240" s="14"/>
      <c r="J240" s="14"/>
      <c r="K240" s="14"/>
      <c r="L240" s="14"/>
      <c r="M240" s="14"/>
      <c r="N240" s="14"/>
      <c r="P240" s="14"/>
    </row>
    <row r="241" ht="18.75" customHeight="1">
      <c r="A241" s="7" t="s">
        <v>2325</v>
      </c>
      <c r="B241" s="9">
        <v>129.0</v>
      </c>
      <c r="C241" s="9">
        <v>128.0</v>
      </c>
      <c r="D241" s="9">
        <v>47.0</v>
      </c>
      <c r="E241" s="9">
        <v>1.0</v>
      </c>
      <c r="F241" s="14"/>
      <c r="G241" s="15"/>
      <c r="H241" s="15"/>
      <c r="I241" s="14"/>
      <c r="J241" s="14"/>
      <c r="K241" s="14"/>
      <c r="L241" s="14"/>
      <c r="M241" s="14"/>
      <c r="N241" s="14"/>
      <c r="P241" s="14"/>
    </row>
    <row r="242" ht="18.75" customHeight="1">
      <c r="A242" s="7" t="s">
        <v>2274</v>
      </c>
      <c r="B242" s="9">
        <v>9798.0</v>
      </c>
      <c r="C242" s="9">
        <v>9680.0</v>
      </c>
      <c r="D242" s="9">
        <v>3200.0</v>
      </c>
      <c r="E242" s="9">
        <v>125.0</v>
      </c>
      <c r="F242" s="14"/>
      <c r="G242" s="15"/>
      <c r="H242" s="15"/>
      <c r="I242" s="14"/>
      <c r="J242" s="14"/>
      <c r="K242" s="14"/>
      <c r="L242" s="14"/>
      <c r="M242" s="14"/>
      <c r="N242" s="14"/>
      <c r="P242" s="14"/>
    </row>
    <row r="243" ht="18.75" customHeight="1">
      <c r="A243" s="7" t="s">
        <v>2326</v>
      </c>
      <c r="B243" s="9">
        <v>76331.0</v>
      </c>
      <c r="C243" s="9">
        <v>75390.0</v>
      </c>
      <c r="D243" s="9">
        <v>23770.0</v>
      </c>
      <c r="E243" s="9">
        <v>1228.0</v>
      </c>
      <c r="F243" s="14"/>
      <c r="G243" s="15"/>
      <c r="H243" s="15"/>
      <c r="I243" s="14"/>
      <c r="J243" s="14"/>
      <c r="K243" s="14"/>
      <c r="L243" s="14"/>
      <c r="M243" s="14"/>
      <c r="N243" s="14"/>
      <c r="P243" s="14"/>
    </row>
    <row r="244" ht="18.75" customHeight="1">
      <c r="A244" s="7" t="s">
        <v>2327</v>
      </c>
      <c r="B244" s="9">
        <v>49081.0</v>
      </c>
      <c r="C244" s="9">
        <v>48438.0</v>
      </c>
      <c r="D244" s="9">
        <v>13073.0</v>
      </c>
      <c r="E244" s="9">
        <v>368.0</v>
      </c>
      <c r="F244" s="14"/>
      <c r="G244" s="15"/>
      <c r="H244" s="15"/>
      <c r="I244" s="14"/>
      <c r="J244" s="14"/>
      <c r="K244" s="14"/>
      <c r="L244" s="14"/>
      <c r="M244" s="14"/>
      <c r="N244" s="14"/>
      <c r="P244" s="14"/>
    </row>
    <row r="245" ht="18.75" customHeight="1">
      <c r="A245" s="7" t="s">
        <v>2282</v>
      </c>
      <c r="B245" s="9">
        <v>128.0</v>
      </c>
      <c r="C245" s="9">
        <v>125.0</v>
      </c>
      <c r="D245" s="9">
        <v>54.0</v>
      </c>
      <c r="E245" s="9">
        <v>8.0</v>
      </c>
      <c r="F245" s="14"/>
      <c r="G245" s="15"/>
      <c r="H245" s="15"/>
      <c r="I245" s="14"/>
      <c r="J245" s="14"/>
      <c r="K245" s="14"/>
      <c r="L245" s="14"/>
      <c r="M245" s="14"/>
      <c r="N245" s="14"/>
      <c r="P245" s="14"/>
    </row>
    <row r="246" ht="18.75" customHeight="1">
      <c r="A246" s="7" t="s">
        <v>2274</v>
      </c>
      <c r="B246" s="9">
        <v>14727.0</v>
      </c>
      <c r="C246" s="9">
        <v>14556.0</v>
      </c>
      <c r="D246" s="9">
        <v>4404.0</v>
      </c>
      <c r="E246" s="9">
        <v>183.0</v>
      </c>
      <c r="F246" s="14"/>
      <c r="G246" s="15"/>
      <c r="H246" s="15"/>
      <c r="I246" s="14"/>
      <c r="J246" s="14"/>
      <c r="K246" s="14"/>
      <c r="L246" s="14"/>
      <c r="M246" s="14"/>
      <c r="N246" s="14"/>
      <c r="P246" s="14"/>
    </row>
    <row r="247" ht="18.75" customHeight="1">
      <c r="A247" s="7" t="s">
        <v>2236</v>
      </c>
      <c r="B247" s="9">
        <v>28480.0</v>
      </c>
      <c r="C247" s="9">
        <v>28120.0</v>
      </c>
      <c r="D247" s="9">
        <v>10927.0</v>
      </c>
      <c r="E247" s="9">
        <v>797.0</v>
      </c>
      <c r="F247" s="14"/>
      <c r="G247" s="15"/>
      <c r="H247" s="15"/>
      <c r="I247" s="14"/>
      <c r="J247" s="14"/>
      <c r="K247" s="14"/>
      <c r="L247" s="14"/>
      <c r="M247" s="14"/>
      <c r="N247" s="14"/>
      <c r="P247" s="14"/>
    </row>
    <row r="248" ht="18.75" customHeight="1">
      <c r="A248" s="7" t="s">
        <v>2327</v>
      </c>
      <c r="B248" s="9">
        <v>97343.0</v>
      </c>
      <c r="C248" s="9">
        <v>96167.0</v>
      </c>
      <c r="D248" s="9">
        <v>29266.0</v>
      </c>
      <c r="E248" s="9">
        <v>1007.0</v>
      </c>
      <c r="F248" s="14"/>
      <c r="G248" s="15"/>
      <c r="H248" s="15"/>
      <c r="I248" s="14"/>
      <c r="J248" s="14"/>
      <c r="K248" s="14"/>
      <c r="L248" s="14"/>
      <c r="M248" s="14"/>
      <c r="N248" s="14"/>
      <c r="P248" s="14"/>
    </row>
    <row r="249" ht="18.75" customHeight="1">
      <c r="A249" s="7" t="s">
        <v>2325</v>
      </c>
      <c r="B249" s="9">
        <v>44853.0</v>
      </c>
      <c r="C249" s="9">
        <v>44835.0</v>
      </c>
      <c r="D249" s="9">
        <v>18982.0</v>
      </c>
      <c r="E249" s="9">
        <v>244.0</v>
      </c>
      <c r="F249" s="14"/>
      <c r="G249" s="15"/>
      <c r="H249" s="15"/>
      <c r="I249" s="14"/>
      <c r="J249" s="14"/>
      <c r="K249" s="14"/>
      <c r="L249" s="14"/>
      <c r="M249" s="14"/>
      <c r="N249" s="14"/>
      <c r="P249" s="14"/>
    </row>
    <row r="250" ht="18.75" customHeight="1">
      <c r="A250" s="7" t="s">
        <v>2325</v>
      </c>
      <c r="B250" s="9">
        <v>128.0</v>
      </c>
      <c r="C250" s="9">
        <v>128.0</v>
      </c>
      <c r="D250" s="9">
        <v>44.0</v>
      </c>
      <c r="E250" s="9">
        <v>2.0</v>
      </c>
      <c r="F250" s="14"/>
      <c r="G250" s="15"/>
      <c r="H250" s="15"/>
      <c r="I250" s="14"/>
      <c r="J250" s="14"/>
      <c r="K250" s="14"/>
      <c r="L250" s="14"/>
      <c r="M250" s="14"/>
      <c r="N250" s="14"/>
      <c r="P250" s="14"/>
    </row>
    <row r="251" ht="18.75" customHeight="1">
      <c r="A251" s="7" t="s">
        <v>2328</v>
      </c>
      <c r="B251" s="9">
        <v>61252.0</v>
      </c>
      <c r="C251" s="9">
        <v>60475.0</v>
      </c>
      <c r="D251" s="9">
        <v>21216.0</v>
      </c>
      <c r="E251" s="9">
        <v>95.0</v>
      </c>
      <c r="F251" s="14"/>
      <c r="G251" s="15"/>
      <c r="H251" s="15"/>
      <c r="I251" s="14"/>
      <c r="J251" s="14"/>
      <c r="K251" s="14"/>
      <c r="L251" s="14"/>
      <c r="M251" s="14"/>
      <c r="N251" s="14"/>
      <c r="P251" s="14"/>
    </row>
    <row r="252" ht="18.75" customHeight="1">
      <c r="A252" s="7" t="s">
        <v>2328</v>
      </c>
      <c r="B252" s="9">
        <v>64971.0</v>
      </c>
      <c r="C252" s="9">
        <v>64249.0</v>
      </c>
      <c r="D252" s="9">
        <v>28153.0</v>
      </c>
      <c r="E252" s="9">
        <v>350.0</v>
      </c>
      <c r="F252" s="14"/>
      <c r="G252" s="15"/>
      <c r="H252" s="15"/>
      <c r="I252" s="14"/>
      <c r="J252" s="14"/>
      <c r="K252" s="14"/>
      <c r="L252" s="14"/>
      <c r="M252" s="14"/>
      <c r="N252" s="14"/>
      <c r="P252" s="14"/>
    </row>
    <row r="253" ht="18.75" customHeight="1">
      <c r="A253" s="7" t="s">
        <v>2328</v>
      </c>
      <c r="B253" s="9">
        <v>66950.0</v>
      </c>
      <c r="C253" s="9">
        <v>66028.0</v>
      </c>
      <c r="D253" s="9">
        <v>15610.0</v>
      </c>
      <c r="E253" s="9">
        <v>81.0</v>
      </c>
      <c r="F253" s="14"/>
      <c r="G253" s="15"/>
      <c r="H253" s="15"/>
      <c r="I253" s="14"/>
      <c r="J253" s="14"/>
      <c r="K253" s="14"/>
      <c r="L253" s="14"/>
      <c r="M253" s="14"/>
      <c r="N253" s="14"/>
      <c r="P253" s="14"/>
    </row>
    <row r="254" ht="18.75" customHeight="1">
      <c r="A254" s="7" t="s">
        <v>2328</v>
      </c>
      <c r="B254" s="9">
        <v>66170.0</v>
      </c>
      <c r="C254" s="9">
        <v>65442.0</v>
      </c>
      <c r="D254" s="9">
        <v>20011.0</v>
      </c>
      <c r="E254" s="9">
        <v>264.0</v>
      </c>
      <c r="F254" s="14"/>
      <c r="G254" s="15"/>
      <c r="H254" s="15"/>
      <c r="I254" s="14"/>
      <c r="J254" s="14"/>
      <c r="K254" s="14"/>
      <c r="L254" s="14"/>
      <c r="M254" s="14"/>
      <c r="N254" s="14"/>
      <c r="P254" s="14"/>
    </row>
    <row r="255" ht="18.75" customHeight="1">
      <c r="A255" s="7" t="s">
        <v>2283</v>
      </c>
      <c r="B255" s="9">
        <v>9794.0</v>
      </c>
      <c r="C255" s="9">
        <v>9673.0</v>
      </c>
      <c r="D255" s="9">
        <v>2368.0</v>
      </c>
      <c r="E255" s="9">
        <v>37.0</v>
      </c>
      <c r="F255" s="14"/>
      <c r="G255" s="15"/>
      <c r="H255" s="15"/>
      <c r="I255" s="14"/>
      <c r="J255" s="14"/>
      <c r="K255" s="14"/>
      <c r="L255" s="14"/>
      <c r="M255" s="14"/>
      <c r="N255" s="14"/>
      <c r="P255" s="14"/>
    </row>
    <row r="256" ht="18.75" customHeight="1">
      <c r="A256" s="7" t="s">
        <v>2321</v>
      </c>
      <c r="B256" s="9">
        <v>253.0</v>
      </c>
      <c r="C256" s="9">
        <v>252.0</v>
      </c>
      <c r="D256" s="9">
        <v>123.0</v>
      </c>
      <c r="E256" s="9">
        <v>29.0</v>
      </c>
      <c r="F256" s="14"/>
      <c r="G256" s="15"/>
      <c r="H256" s="15"/>
      <c r="I256" s="14"/>
      <c r="J256" s="14"/>
      <c r="K256" s="14"/>
      <c r="L256" s="14"/>
      <c r="M256" s="14"/>
      <c r="N256" s="14"/>
      <c r="P256" s="14"/>
    </row>
    <row r="257" ht="18.75" customHeight="1">
      <c r="A257" s="7" t="s">
        <v>2329</v>
      </c>
      <c r="B257" s="9">
        <v>47731.0</v>
      </c>
      <c r="C257" s="9">
        <v>47178.0</v>
      </c>
      <c r="D257" s="9">
        <v>17194.0</v>
      </c>
      <c r="E257" s="9">
        <v>915.0</v>
      </c>
      <c r="F257" s="14"/>
      <c r="G257" s="15"/>
      <c r="H257" s="15"/>
      <c r="I257" s="14"/>
      <c r="J257" s="14"/>
      <c r="K257" s="14"/>
      <c r="L257" s="14"/>
      <c r="M257" s="14"/>
      <c r="N257" s="14"/>
      <c r="P257" s="14"/>
    </row>
    <row r="258" ht="18.75" customHeight="1">
      <c r="A258" s="7" t="s">
        <v>2328</v>
      </c>
      <c r="B258" s="9">
        <v>121000.0</v>
      </c>
      <c r="C258" s="9">
        <v>119565.0</v>
      </c>
      <c r="D258" s="9">
        <v>36032.0</v>
      </c>
      <c r="E258" s="9">
        <v>373.0</v>
      </c>
      <c r="F258" s="14"/>
      <c r="G258" s="15"/>
      <c r="H258" s="15"/>
      <c r="I258" s="14"/>
      <c r="J258" s="14"/>
      <c r="K258" s="14"/>
      <c r="L258" s="14"/>
      <c r="M258" s="14"/>
      <c r="N258" s="14"/>
      <c r="P258" s="14"/>
    </row>
    <row r="259" ht="18.75" customHeight="1">
      <c r="A259" s="7" t="s">
        <v>2286</v>
      </c>
      <c r="B259" s="9">
        <v>419.0</v>
      </c>
      <c r="C259" s="9">
        <v>416.0</v>
      </c>
      <c r="D259" s="9">
        <v>185.0</v>
      </c>
      <c r="E259" s="9">
        <v>2.0</v>
      </c>
      <c r="F259" s="14"/>
      <c r="G259" s="15"/>
      <c r="H259" s="15"/>
      <c r="I259" s="14"/>
      <c r="J259" s="14"/>
      <c r="K259" s="14"/>
      <c r="L259" s="14"/>
      <c r="M259" s="14"/>
      <c r="N259" s="14"/>
      <c r="P259" s="14"/>
    </row>
    <row r="260" ht="18.75" customHeight="1">
      <c r="A260" s="7" t="s">
        <v>2330</v>
      </c>
      <c r="B260" s="9">
        <v>57588.0</v>
      </c>
      <c r="C260" s="9">
        <v>56916.0</v>
      </c>
      <c r="D260" s="9">
        <v>21983.0</v>
      </c>
      <c r="E260" s="9">
        <v>981.0</v>
      </c>
      <c r="F260" s="14"/>
      <c r="G260" s="15"/>
      <c r="H260" s="15"/>
      <c r="I260" s="14"/>
      <c r="J260" s="14"/>
      <c r="K260" s="14"/>
      <c r="L260" s="14"/>
      <c r="M260" s="14"/>
      <c r="N260" s="14"/>
      <c r="P260" s="14"/>
    </row>
    <row r="261" ht="18.75" customHeight="1">
      <c r="A261" s="7" t="s">
        <v>2328</v>
      </c>
      <c r="B261" s="9">
        <v>137617.0</v>
      </c>
      <c r="C261" s="9">
        <v>136076.0</v>
      </c>
      <c r="D261" s="9">
        <v>43119.0</v>
      </c>
      <c r="E261" s="9">
        <v>389.0</v>
      </c>
      <c r="F261" s="14"/>
      <c r="G261" s="15"/>
      <c r="H261" s="15"/>
      <c r="I261" s="14"/>
      <c r="J261" s="14"/>
      <c r="K261" s="14"/>
      <c r="L261" s="14"/>
      <c r="M261" s="14"/>
      <c r="N261" s="14"/>
      <c r="P261" s="14"/>
    </row>
    <row r="262" ht="18.75" customHeight="1">
      <c r="A262" s="7" t="s">
        <v>2328</v>
      </c>
      <c r="B262" s="9">
        <v>109615.0</v>
      </c>
      <c r="C262" s="9">
        <v>108274.0</v>
      </c>
      <c r="D262" s="9">
        <v>26743.0</v>
      </c>
      <c r="E262" s="9">
        <v>250.0</v>
      </c>
      <c r="F262" s="14"/>
      <c r="G262" s="15"/>
      <c r="H262" s="15"/>
      <c r="I262" s="14"/>
      <c r="J262" s="14"/>
      <c r="K262" s="14"/>
      <c r="L262" s="14"/>
      <c r="M262" s="14"/>
      <c r="N262" s="14"/>
      <c r="P262" s="14"/>
    </row>
    <row r="263" ht="18.75" customHeight="1">
      <c r="A263" s="7" t="s">
        <v>2331</v>
      </c>
      <c r="B263" s="9">
        <v>39637.0</v>
      </c>
      <c r="C263" s="9">
        <v>39163.0</v>
      </c>
      <c r="D263" s="9">
        <v>14131.0</v>
      </c>
      <c r="E263" s="9">
        <v>283.0</v>
      </c>
      <c r="F263" s="14"/>
      <c r="G263" s="15"/>
      <c r="H263" s="15"/>
      <c r="I263" s="14"/>
      <c r="J263" s="14"/>
      <c r="K263" s="14"/>
      <c r="L263" s="14"/>
      <c r="M263" s="14"/>
      <c r="N263" s="14"/>
      <c r="P263" s="14"/>
    </row>
    <row r="264" ht="18.75" customHeight="1">
      <c r="A264" s="7" t="s">
        <v>2282</v>
      </c>
      <c r="B264" s="9">
        <v>169.0</v>
      </c>
      <c r="C264" s="9">
        <v>167.0</v>
      </c>
      <c r="D264" s="9">
        <v>68.0</v>
      </c>
      <c r="E264" s="9">
        <v>12.0</v>
      </c>
      <c r="F264" s="14"/>
      <c r="G264" s="15"/>
      <c r="H264" s="15"/>
      <c r="I264" s="14"/>
      <c r="J264" s="14"/>
      <c r="K264" s="14"/>
      <c r="L264" s="14"/>
      <c r="M264" s="14"/>
      <c r="N264" s="14"/>
      <c r="P264" s="14"/>
    </row>
    <row r="265" ht="18.75" customHeight="1">
      <c r="A265" s="7" t="s">
        <v>2329</v>
      </c>
      <c r="B265" s="9">
        <v>69.0</v>
      </c>
      <c r="C265" s="9">
        <v>69.0</v>
      </c>
      <c r="D265" s="9">
        <v>49.0</v>
      </c>
      <c r="E265" s="9">
        <v>1.0</v>
      </c>
      <c r="F265" s="14"/>
      <c r="G265" s="15"/>
      <c r="H265" s="15"/>
      <c r="I265" s="14"/>
      <c r="J265" s="14"/>
      <c r="K265" s="14"/>
      <c r="L265" s="14"/>
      <c r="M265" s="14"/>
      <c r="N265" s="14"/>
      <c r="P265" s="14"/>
    </row>
    <row r="266" ht="18.75" customHeight="1">
      <c r="A266" s="7" t="s">
        <v>2332</v>
      </c>
      <c r="B266" s="9">
        <v>112384.0</v>
      </c>
      <c r="C266" s="9">
        <v>111107.0</v>
      </c>
      <c r="D266" s="9">
        <v>51460.0</v>
      </c>
      <c r="E266" s="9">
        <v>4974.0</v>
      </c>
      <c r="F266" s="14"/>
      <c r="G266" s="15"/>
      <c r="H266" s="15"/>
      <c r="I266" s="14"/>
      <c r="J266" s="14"/>
      <c r="K266" s="14"/>
      <c r="L266" s="14"/>
      <c r="M266" s="14"/>
      <c r="N266" s="14"/>
    </row>
    <row r="267" ht="18.75" customHeight="1">
      <c r="A267" s="7" t="s">
        <v>2274</v>
      </c>
      <c r="B267" s="9">
        <v>16453.0</v>
      </c>
      <c r="C267" s="9">
        <v>16268.0</v>
      </c>
      <c r="D267" s="9">
        <v>4926.0</v>
      </c>
      <c r="E267" s="9">
        <v>153.0</v>
      </c>
      <c r="F267" s="14"/>
      <c r="G267" s="15"/>
      <c r="H267" s="15"/>
      <c r="I267" s="14"/>
      <c r="J267" s="14"/>
      <c r="K267" s="14"/>
      <c r="L267" s="14"/>
      <c r="M267" s="14"/>
      <c r="N267" s="14"/>
      <c r="P267" s="14"/>
    </row>
    <row r="268" ht="18.75" customHeight="1">
      <c r="A268" s="7" t="s">
        <v>2321</v>
      </c>
      <c r="B268" s="9">
        <v>122.0</v>
      </c>
      <c r="C268" s="9">
        <v>122.0</v>
      </c>
      <c r="D268" s="9">
        <v>48.0</v>
      </c>
      <c r="E268" s="9">
        <v>12.0</v>
      </c>
      <c r="F268" s="14"/>
      <c r="G268" s="15"/>
      <c r="H268" s="15"/>
      <c r="I268" s="14"/>
      <c r="J268" s="14"/>
      <c r="K268" s="14"/>
      <c r="L268" s="14"/>
      <c r="M268" s="14"/>
      <c r="N268" s="14"/>
      <c r="P268" s="14"/>
    </row>
    <row r="269" ht="18.75" customHeight="1">
      <c r="A269" s="7" t="s">
        <v>2328</v>
      </c>
      <c r="B269" s="9">
        <v>136002.0</v>
      </c>
      <c r="C269" s="9">
        <v>134402.0</v>
      </c>
      <c r="D269" s="9">
        <v>39870.0</v>
      </c>
      <c r="E269" s="9">
        <v>413.0</v>
      </c>
      <c r="F269" s="14"/>
      <c r="G269" s="15"/>
      <c r="H269" s="15"/>
      <c r="I269" s="14"/>
      <c r="J269" s="14"/>
      <c r="K269" s="14"/>
      <c r="L269" s="14"/>
      <c r="M269" s="14"/>
      <c r="N269" s="14"/>
      <c r="P269" s="14"/>
    </row>
    <row r="270" ht="18.75" customHeight="1">
      <c r="A270" s="7" t="s">
        <v>2238</v>
      </c>
      <c r="B270" s="9">
        <v>149972.0</v>
      </c>
      <c r="C270" s="9">
        <v>149015.0</v>
      </c>
      <c r="D270" s="9">
        <v>77794.0</v>
      </c>
      <c r="E270" s="9">
        <v>2770.0</v>
      </c>
      <c r="F270" s="14"/>
      <c r="G270" s="15"/>
      <c r="H270" s="15"/>
      <c r="I270" s="14"/>
      <c r="J270" s="14"/>
      <c r="K270" s="14"/>
      <c r="L270" s="14"/>
      <c r="M270" s="14"/>
      <c r="N270" s="14"/>
    </row>
    <row r="271" ht="18.75" customHeight="1">
      <c r="A271" s="7" t="s">
        <v>2333</v>
      </c>
      <c r="B271" s="9">
        <v>110473.0</v>
      </c>
      <c r="C271" s="9">
        <v>108874.0</v>
      </c>
      <c r="D271" s="9">
        <v>33600.0</v>
      </c>
      <c r="E271" s="9">
        <v>925.0</v>
      </c>
      <c r="F271" s="14"/>
      <c r="G271" s="15"/>
      <c r="H271" s="15"/>
      <c r="I271" s="14"/>
      <c r="J271" s="14"/>
      <c r="K271" s="14"/>
      <c r="L271" s="14"/>
      <c r="M271" s="14"/>
      <c r="N271" s="14"/>
      <c r="P271" s="14"/>
    </row>
    <row r="272" ht="18.75" customHeight="1">
      <c r="A272" s="7" t="s">
        <v>2328</v>
      </c>
      <c r="B272" s="9">
        <v>151620.0</v>
      </c>
      <c r="C272" s="9">
        <v>149788.0</v>
      </c>
      <c r="D272" s="9">
        <v>48940.0</v>
      </c>
      <c r="E272" s="9">
        <v>551.0</v>
      </c>
      <c r="F272" s="14"/>
      <c r="G272" s="15"/>
      <c r="H272" s="15"/>
      <c r="I272" s="14"/>
      <c r="J272" s="14"/>
      <c r="K272" s="14"/>
      <c r="L272" s="14"/>
      <c r="M272" s="14"/>
      <c r="N272" s="14"/>
      <c r="P272" s="14"/>
    </row>
    <row r="273" ht="18.75" customHeight="1">
      <c r="A273" s="7" t="s">
        <v>2328</v>
      </c>
      <c r="B273" s="9">
        <v>87278.0</v>
      </c>
      <c r="C273" s="9">
        <v>86197.0</v>
      </c>
      <c r="D273" s="9">
        <v>33297.0</v>
      </c>
      <c r="E273" s="9">
        <v>276.0</v>
      </c>
      <c r="F273" s="14"/>
      <c r="G273" s="15"/>
      <c r="H273" s="15"/>
      <c r="I273" s="14"/>
      <c r="J273" s="14"/>
      <c r="K273" s="14"/>
      <c r="L273" s="14"/>
      <c r="M273" s="14"/>
      <c r="N273" s="14"/>
      <c r="P273" s="14"/>
    </row>
    <row r="274" ht="18.75" customHeight="1">
      <c r="A274" s="7" t="s">
        <v>2283</v>
      </c>
      <c r="B274" s="9">
        <v>14694.0</v>
      </c>
      <c r="C274" s="9">
        <v>14539.0</v>
      </c>
      <c r="D274" s="9">
        <v>3467.0</v>
      </c>
      <c r="E274" s="9">
        <v>50.0</v>
      </c>
      <c r="F274" s="14"/>
      <c r="G274" s="15"/>
      <c r="H274" s="15"/>
      <c r="I274" s="14"/>
      <c r="J274" s="14"/>
      <c r="K274" s="14"/>
      <c r="L274" s="14"/>
      <c r="M274" s="14"/>
      <c r="N274" s="14"/>
      <c r="P274" s="14"/>
    </row>
    <row r="275" ht="18.75" customHeight="1">
      <c r="A275" s="7" t="s">
        <v>2321</v>
      </c>
      <c r="B275" s="9">
        <v>253.0</v>
      </c>
      <c r="C275" s="9">
        <v>251.0</v>
      </c>
      <c r="D275" s="9">
        <v>145.0</v>
      </c>
      <c r="E275" s="9">
        <v>24.0</v>
      </c>
      <c r="F275" s="14"/>
      <c r="G275" s="15"/>
      <c r="H275" s="15"/>
      <c r="I275" s="14"/>
      <c r="J275" s="14"/>
      <c r="K275" s="14"/>
      <c r="L275" s="14"/>
      <c r="M275" s="14"/>
      <c r="N275" s="14"/>
      <c r="P275" s="14"/>
    </row>
    <row r="276" ht="18.75" customHeight="1">
      <c r="A276" s="7" t="s">
        <v>2286</v>
      </c>
      <c r="B276" s="9">
        <v>385.0</v>
      </c>
      <c r="C276" s="9">
        <v>383.0</v>
      </c>
      <c r="D276" s="9">
        <v>142.0</v>
      </c>
      <c r="E276" s="9">
        <v>0.0</v>
      </c>
      <c r="F276" s="14"/>
      <c r="G276" s="15"/>
      <c r="H276" s="15"/>
      <c r="I276" s="14"/>
      <c r="J276" s="14"/>
      <c r="K276" s="14"/>
      <c r="L276" s="14"/>
      <c r="M276" s="14"/>
      <c r="N276" s="14"/>
      <c r="P276" s="14"/>
    </row>
    <row r="277" ht="18.75" customHeight="1">
      <c r="A277" s="7" t="s">
        <v>2334</v>
      </c>
      <c r="B277" s="9">
        <v>69641.0</v>
      </c>
      <c r="C277" s="9">
        <v>68872.0</v>
      </c>
      <c r="D277" s="9">
        <v>23948.0</v>
      </c>
      <c r="E277" s="9">
        <v>537.0</v>
      </c>
      <c r="F277" s="14"/>
      <c r="G277" s="15"/>
      <c r="H277" s="15"/>
      <c r="I277" s="14"/>
      <c r="J277" s="14"/>
      <c r="K277" s="14"/>
      <c r="L277" s="14"/>
      <c r="M277" s="14"/>
      <c r="N277" s="14"/>
      <c r="P277" s="14"/>
    </row>
    <row r="278" ht="18.75" customHeight="1">
      <c r="A278" s="7" t="s">
        <v>2301</v>
      </c>
      <c r="B278" s="9">
        <v>90.0</v>
      </c>
      <c r="C278" s="9">
        <v>90.0</v>
      </c>
      <c r="D278" s="9">
        <v>38.0</v>
      </c>
      <c r="E278" s="9">
        <v>1.0</v>
      </c>
      <c r="F278" s="14"/>
      <c r="G278" s="15"/>
      <c r="H278" s="15"/>
      <c r="I278" s="14"/>
      <c r="J278" s="14"/>
      <c r="K278" s="14"/>
      <c r="L278" s="14"/>
      <c r="M278" s="14"/>
      <c r="N278" s="14"/>
      <c r="P278" s="14"/>
    </row>
    <row r="279" ht="18.75" customHeight="1">
      <c r="A279" s="7" t="s">
        <v>2301</v>
      </c>
      <c r="B279" s="9">
        <v>114.0</v>
      </c>
      <c r="C279" s="9">
        <v>114.0</v>
      </c>
      <c r="D279" s="9">
        <v>60.0</v>
      </c>
      <c r="E279" s="9">
        <v>1.0</v>
      </c>
      <c r="F279" s="14"/>
      <c r="G279" s="15"/>
      <c r="H279" s="15"/>
      <c r="I279" s="14"/>
      <c r="J279" s="14"/>
      <c r="K279" s="14"/>
      <c r="L279" s="14"/>
      <c r="M279" s="14"/>
      <c r="N279" s="14"/>
      <c r="P279" s="14"/>
    </row>
    <row r="280" ht="18.75" customHeight="1">
      <c r="A280" s="7" t="s">
        <v>2301</v>
      </c>
      <c r="B280" s="9">
        <v>54.0</v>
      </c>
      <c r="C280" s="9">
        <v>54.0</v>
      </c>
      <c r="D280" s="9">
        <v>30.0</v>
      </c>
      <c r="E280" s="9">
        <v>0.0</v>
      </c>
      <c r="F280" s="14"/>
      <c r="G280" s="15"/>
      <c r="H280" s="15"/>
      <c r="I280" s="14"/>
      <c r="J280" s="14"/>
      <c r="K280" s="14"/>
      <c r="L280" s="14"/>
      <c r="M280" s="14"/>
      <c r="N280" s="14"/>
      <c r="P280" s="14"/>
    </row>
    <row r="281" ht="18.75" customHeight="1">
      <c r="A281" s="7" t="s">
        <v>2301</v>
      </c>
      <c r="B281" s="9">
        <v>43.0</v>
      </c>
      <c r="C281" s="9">
        <v>42.0</v>
      </c>
      <c r="D281" s="9">
        <v>20.0</v>
      </c>
      <c r="E281" s="9">
        <v>0.0</v>
      </c>
      <c r="F281" s="14"/>
      <c r="G281" s="15"/>
      <c r="H281" s="15"/>
      <c r="I281" s="14"/>
      <c r="J281" s="14"/>
      <c r="K281" s="14"/>
      <c r="L281" s="14"/>
      <c r="M281" s="14"/>
      <c r="N281" s="14"/>
      <c r="P281" s="14"/>
    </row>
    <row r="282" ht="18.75" customHeight="1">
      <c r="A282" s="7" t="s">
        <v>2282</v>
      </c>
      <c r="B282" s="9">
        <v>407.0</v>
      </c>
      <c r="C282" s="9">
        <v>400.0</v>
      </c>
      <c r="D282" s="9">
        <v>142.0</v>
      </c>
      <c r="E282" s="9">
        <v>22.0</v>
      </c>
      <c r="F282" s="14"/>
      <c r="G282" s="15"/>
      <c r="H282" s="15"/>
      <c r="I282" s="14"/>
      <c r="J282" s="14"/>
      <c r="K282" s="14"/>
      <c r="L282" s="14"/>
      <c r="M282" s="14"/>
      <c r="N282" s="14"/>
      <c r="P282" s="14"/>
    </row>
    <row r="283" ht="18.75" customHeight="1">
      <c r="A283" s="7" t="s">
        <v>2335</v>
      </c>
      <c r="B283" s="9">
        <v>110786.0</v>
      </c>
      <c r="C283" s="9">
        <v>109487.0</v>
      </c>
      <c r="D283" s="9">
        <v>47457.0</v>
      </c>
      <c r="E283" s="9">
        <v>5597.0</v>
      </c>
      <c r="F283" s="14"/>
      <c r="G283" s="15"/>
      <c r="H283" s="15"/>
      <c r="I283" s="14"/>
      <c r="J283" s="14"/>
      <c r="K283" s="14"/>
      <c r="L283" s="14"/>
      <c r="M283" s="14"/>
      <c r="N283" s="14"/>
      <c r="P283" s="14"/>
    </row>
    <row r="284" ht="18.75" customHeight="1">
      <c r="A284" s="7" t="s">
        <v>2325</v>
      </c>
      <c r="B284" s="9">
        <v>45430.0</v>
      </c>
      <c r="C284" s="9">
        <v>44796.0</v>
      </c>
      <c r="D284" s="9">
        <v>19597.0</v>
      </c>
      <c r="E284" s="9">
        <v>400.0</v>
      </c>
      <c r="F284" s="14"/>
      <c r="G284" s="15"/>
      <c r="H284" s="15"/>
      <c r="I284" s="14"/>
      <c r="J284" s="14"/>
      <c r="K284" s="14"/>
      <c r="L284" s="14"/>
      <c r="M284" s="14"/>
      <c r="N284" s="14"/>
      <c r="P284" s="14"/>
    </row>
    <row r="285" ht="18.75" customHeight="1">
      <c r="A285" s="7" t="s">
        <v>2325</v>
      </c>
      <c r="B285" s="9">
        <v>127.0</v>
      </c>
      <c r="C285" s="9">
        <v>127.0</v>
      </c>
      <c r="D285" s="9">
        <v>50.0</v>
      </c>
      <c r="E285" s="9">
        <v>2.0</v>
      </c>
      <c r="F285" s="14"/>
      <c r="G285" s="15"/>
      <c r="H285" s="15"/>
      <c r="I285" s="14"/>
      <c r="J285" s="14"/>
      <c r="K285" s="14"/>
      <c r="L285" s="14"/>
      <c r="M285" s="14"/>
      <c r="N285" s="14"/>
      <c r="P285" s="14"/>
    </row>
    <row r="286" ht="18.75" customHeight="1">
      <c r="A286" s="7" t="s">
        <v>2336</v>
      </c>
      <c r="B286" s="9">
        <v>87384.0</v>
      </c>
      <c r="C286" s="9">
        <v>86393.0</v>
      </c>
      <c r="D286" s="9">
        <v>32616.0</v>
      </c>
      <c r="E286" s="9">
        <v>4275.0</v>
      </c>
      <c r="F286" s="14"/>
      <c r="G286" s="15"/>
      <c r="H286" s="15"/>
      <c r="I286" s="14"/>
      <c r="J286" s="14"/>
      <c r="K286" s="14"/>
      <c r="L286" s="14"/>
      <c r="M286" s="14"/>
      <c r="N286" s="14"/>
      <c r="P286" s="14"/>
    </row>
    <row r="287" ht="18.75" customHeight="1">
      <c r="A287" s="7" t="s">
        <v>2331</v>
      </c>
      <c r="B287" s="9">
        <v>24930.0</v>
      </c>
      <c r="C287" s="9">
        <v>24473.0</v>
      </c>
      <c r="D287" s="9">
        <v>4351.0</v>
      </c>
      <c r="E287" s="9">
        <v>59.0</v>
      </c>
      <c r="F287" s="14"/>
      <c r="G287" s="15"/>
      <c r="H287" s="15"/>
      <c r="I287" s="14"/>
      <c r="J287" s="14"/>
      <c r="K287" s="14"/>
      <c r="L287" s="14"/>
      <c r="M287" s="14"/>
      <c r="N287" s="14"/>
      <c r="P287" s="14"/>
    </row>
    <row r="288" ht="18.75" customHeight="1">
      <c r="A288" s="7" t="s">
        <v>2315</v>
      </c>
      <c r="B288" s="9">
        <v>9685.0</v>
      </c>
      <c r="C288" s="9">
        <v>9411.0</v>
      </c>
      <c r="D288" s="9">
        <v>4422.0</v>
      </c>
      <c r="E288" s="9">
        <v>102.0</v>
      </c>
      <c r="F288" s="14"/>
      <c r="G288" s="15"/>
      <c r="H288" s="15"/>
      <c r="I288" s="14"/>
      <c r="J288" s="14"/>
      <c r="K288" s="14"/>
      <c r="L288" s="14"/>
      <c r="M288" s="14"/>
      <c r="N288" s="14"/>
      <c r="P288" s="14"/>
    </row>
    <row r="289" ht="18.75" customHeight="1">
      <c r="A289" s="7" t="s">
        <v>2315</v>
      </c>
      <c r="B289" s="9">
        <v>692.0</v>
      </c>
      <c r="C289" s="9">
        <v>683.0</v>
      </c>
      <c r="D289" s="9">
        <v>324.0</v>
      </c>
      <c r="E289" s="9">
        <v>17.0</v>
      </c>
      <c r="F289" s="14"/>
      <c r="G289" s="15"/>
      <c r="H289" s="15"/>
      <c r="I289" s="14"/>
      <c r="J289" s="14"/>
      <c r="K289" s="14"/>
      <c r="L289" s="14"/>
      <c r="M289" s="14"/>
      <c r="N289" s="14"/>
      <c r="P289" s="14"/>
    </row>
    <row r="290" ht="18.75" customHeight="1">
      <c r="A290" s="7" t="s">
        <v>2274</v>
      </c>
      <c r="B290" s="9">
        <v>15970.0</v>
      </c>
      <c r="C290" s="9">
        <v>15775.0</v>
      </c>
      <c r="D290" s="9">
        <v>4738.0</v>
      </c>
      <c r="E290" s="9">
        <v>181.0</v>
      </c>
      <c r="F290" s="14"/>
      <c r="G290" s="15"/>
      <c r="H290" s="15"/>
      <c r="I290" s="14"/>
      <c r="J290" s="14"/>
      <c r="K290" s="14"/>
      <c r="L290" s="14"/>
      <c r="M290" s="14"/>
      <c r="N290" s="14"/>
      <c r="P290" s="14"/>
    </row>
    <row r="291" ht="18.75" customHeight="1">
      <c r="A291" s="7" t="s">
        <v>2337</v>
      </c>
      <c r="B291" s="9">
        <v>135654.0</v>
      </c>
      <c r="C291" s="9">
        <v>134143.0</v>
      </c>
      <c r="D291" s="9">
        <v>47917.0</v>
      </c>
      <c r="E291" s="9">
        <v>723.0</v>
      </c>
      <c r="F291" s="14"/>
      <c r="G291" s="15"/>
      <c r="H291" s="15"/>
      <c r="I291" s="14"/>
      <c r="J291" s="14"/>
      <c r="K291" s="14"/>
      <c r="L291" s="14"/>
      <c r="M291" s="14"/>
      <c r="N291" s="14"/>
      <c r="P291" s="14"/>
    </row>
    <row r="292" ht="18.75" customHeight="1">
      <c r="A292" s="7" t="s">
        <v>2338</v>
      </c>
      <c r="B292" s="9">
        <v>154919.0</v>
      </c>
      <c r="C292" s="9">
        <v>153000.0</v>
      </c>
      <c r="D292" s="9">
        <v>43218.0</v>
      </c>
      <c r="E292" s="9">
        <v>380.0</v>
      </c>
      <c r="F292" s="14"/>
      <c r="G292" s="15"/>
      <c r="H292" s="15"/>
      <c r="I292" s="14"/>
      <c r="J292" s="14"/>
      <c r="K292" s="14"/>
      <c r="L292" s="14"/>
      <c r="M292" s="14"/>
      <c r="N292" s="14"/>
      <c r="P292" s="14"/>
    </row>
    <row r="293" ht="18.75" customHeight="1">
      <c r="A293" s="7" t="s">
        <v>2328</v>
      </c>
      <c r="B293" s="9">
        <v>22192.0</v>
      </c>
      <c r="C293" s="9">
        <v>21936.0</v>
      </c>
      <c r="D293" s="9">
        <v>8963.0</v>
      </c>
      <c r="E293" s="9">
        <v>199.0</v>
      </c>
      <c r="F293" s="14"/>
      <c r="G293" s="15"/>
      <c r="H293" s="15"/>
      <c r="I293" s="14"/>
      <c r="J293" s="14"/>
      <c r="K293" s="14"/>
      <c r="L293" s="14"/>
      <c r="M293" s="14"/>
      <c r="N293" s="14"/>
      <c r="P293" s="14"/>
    </row>
    <row r="294" ht="18.75" customHeight="1">
      <c r="A294" s="7" t="s">
        <v>2339</v>
      </c>
      <c r="B294" s="9">
        <v>508.0</v>
      </c>
      <c r="C294" s="9">
        <v>503.0</v>
      </c>
      <c r="D294" s="9">
        <v>170.0</v>
      </c>
      <c r="E294" s="9">
        <v>35.0</v>
      </c>
      <c r="F294" s="14"/>
      <c r="G294" s="15"/>
      <c r="H294" s="15"/>
      <c r="I294" s="14"/>
      <c r="J294" s="14"/>
      <c r="K294" s="14"/>
      <c r="L294" s="14"/>
      <c r="M294" s="14"/>
      <c r="N294" s="14"/>
      <c r="P294" s="14"/>
    </row>
    <row r="295" ht="18.75" customHeight="1">
      <c r="A295" s="7" t="s">
        <v>2340</v>
      </c>
      <c r="B295" s="9">
        <v>4976.0</v>
      </c>
      <c r="C295" s="9">
        <v>4919.0</v>
      </c>
      <c r="D295" s="9">
        <v>1524.0</v>
      </c>
      <c r="E295" s="9">
        <v>76.0</v>
      </c>
      <c r="F295" s="14"/>
      <c r="G295" s="15"/>
      <c r="H295" s="15"/>
      <c r="I295" s="14"/>
      <c r="J295" s="14"/>
      <c r="K295" s="14"/>
      <c r="L295" s="14"/>
      <c r="M295" s="14"/>
      <c r="N295" s="14"/>
      <c r="P295" s="14"/>
    </row>
    <row r="296" ht="18.75" customHeight="1">
      <c r="A296" s="7" t="s">
        <v>2340</v>
      </c>
      <c r="B296" s="9">
        <v>4961.0</v>
      </c>
      <c r="C296" s="9">
        <v>4894.0</v>
      </c>
      <c r="D296" s="9">
        <v>1563.0</v>
      </c>
      <c r="E296" s="9">
        <v>33.0</v>
      </c>
      <c r="F296" s="14"/>
      <c r="G296" s="15"/>
      <c r="H296" s="15"/>
      <c r="I296" s="14"/>
      <c r="J296" s="14"/>
      <c r="K296" s="14"/>
      <c r="L296" s="14"/>
      <c r="M296" s="14"/>
      <c r="N296" s="14"/>
      <c r="P296" s="14"/>
    </row>
    <row r="297" ht="18.75" customHeight="1">
      <c r="A297" s="7" t="s">
        <v>2341</v>
      </c>
      <c r="B297" s="9">
        <v>55.0</v>
      </c>
      <c r="C297" s="9">
        <v>55.0</v>
      </c>
      <c r="D297" s="9">
        <v>46.0</v>
      </c>
      <c r="E297" s="9">
        <v>18.0</v>
      </c>
      <c r="F297" s="14"/>
      <c r="G297" s="15"/>
      <c r="H297" s="15"/>
      <c r="I297" s="14"/>
      <c r="J297" s="14"/>
      <c r="K297" s="14"/>
      <c r="L297" s="14"/>
      <c r="M297" s="14"/>
      <c r="N297" s="14"/>
      <c r="P297" s="14"/>
    </row>
    <row r="298" ht="18.75" customHeight="1">
      <c r="A298" s="7" t="s">
        <v>2283</v>
      </c>
      <c r="B298" s="9">
        <v>16333.0</v>
      </c>
      <c r="C298" s="9">
        <v>16137.0</v>
      </c>
      <c r="D298" s="9">
        <v>3734.0</v>
      </c>
      <c r="E298" s="9">
        <v>34.0</v>
      </c>
      <c r="F298" s="14"/>
      <c r="G298" s="15"/>
      <c r="H298" s="15"/>
      <c r="I298" s="14"/>
      <c r="J298" s="14"/>
      <c r="K298" s="14"/>
      <c r="L298" s="14"/>
      <c r="M298" s="14"/>
      <c r="N298" s="14"/>
      <c r="P298" s="14"/>
    </row>
    <row r="299" ht="18.75" customHeight="1">
      <c r="A299" s="7" t="s">
        <v>2286</v>
      </c>
      <c r="B299" s="9">
        <v>483.0</v>
      </c>
      <c r="C299" s="9">
        <v>478.0</v>
      </c>
      <c r="D299" s="9">
        <v>172.0</v>
      </c>
      <c r="E299" s="9">
        <v>2.0</v>
      </c>
      <c r="F299" s="14"/>
      <c r="G299" s="15"/>
      <c r="H299" s="15"/>
      <c r="I299" s="14"/>
      <c r="J299" s="14"/>
      <c r="K299" s="14"/>
      <c r="L299" s="14"/>
      <c r="M299" s="14"/>
      <c r="N299" s="14"/>
      <c r="P299" s="14"/>
    </row>
    <row r="300" ht="18.75" customHeight="1">
      <c r="A300" s="7" t="s">
        <v>2301</v>
      </c>
      <c r="B300" s="9">
        <v>55.0</v>
      </c>
      <c r="C300" s="9">
        <v>55.0</v>
      </c>
      <c r="D300" s="9">
        <v>29.0</v>
      </c>
      <c r="E300" s="9">
        <v>0.0</v>
      </c>
      <c r="F300" s="14"/>
      <c r="G300" s="15"/>
      <c r="H300" s="15"/>
      <c r="I300" s="14"/>
      <c r="J300" s="14"/>
      <c r="K300" s="14"/>
      <c r="L300" s="14"/>
      <c r="M300" s="14"/>
      <c r="N300" s="14"/>
      <c r="P300" s="14"/>
    </row>
    <row r="301" ht="18.75" customHeight="1">
      <c r="A301" s="7" t="s">
        <v>2301</v>
      </c>
      <c r="B301" s="9">
        <v>28.0</v>
      </c>
      <c r="C301" s="9">
        <v>28.0</v>
      </c>
      <c r="D301" s="9">
        <v>12.0</v>
      </c>
      <c r="E301" s="9">
        <v>1.0</v>
      </c>
      <c r="F301" s="14"/>
      <c r="G301" s="15"/>
      <c r="H301" s="15"/>
      <c r="I301" s="14"/>
      <c r="J301" s="14"/>
      <c r="K301" s="14"/>
      <c r="L301" s="14"/>
      <c r="M301" s="14"/>
      <c r="N301" s="14"/>
      <c r="P301" s="14"/>
    </row>
    <row r="302" ht="18.75" customHeight="1">
      <c r="A302" s="7" t="s">
        <v>2340</v>
      </c>
      <c r="B302" s="9">
        <v>100615.0</v>
      </c>
      <c r="C302" s="9">
        <v>99372.0</v>
      </c>
      <c r="D302" s="9">
        <v>26588.0</v>
      </c>
      <c r="E302" s="9">
        <v>468.0</v>
      </c>
      <c r="F302" s="14"/>
      <c r="G302" s="15"/>
      <c r="H302" s="15"/>
      <c r="I302" s="14"/>
      <c r="J302" s="14"/>
      <c r="K302" s="14"/>
      <c r="L302" s="14"/>
      <c r="M302" s="14"/>
      <c r="N302" s="14"/>
      <c r="P302" s="14"/>
    </row>
    <row r="303" ht="18.75" customHeight="1">
      <c r="A303" s="7" t="s">
        <v>2340</v>
      </c>
      <c r="B303" s="9">
        <v>83717.0</v>
      </c>
      <c r="C303" s="9">
        <v>82701.0</v>
      </c>
      <c r="D303" s="9">
        <v>23460.0</v>
      </c>
      <c r="E303" s="9">
        <v>327.0</v>
      </c>
      <c r="F303" s="14"/>
      <c r="G303" s="15"/>
      <c r="H303" s="15"/>
      <c r="I303" s="14"/>
      <c r="J303" s="14"/>
      <c r="K303" s="14"/>
      <c r="L303" s="14"/>
      <c r="M303" s="14"/>
      <c r="N303" s="14"/>
      <c r="P303" s="14"/>
    </row>
    <row r="304" ht="18.75" customHeight="1">
      <c r="A304" s="7" t="s">
        <v>2340</v>
      </c>
      <c r="B304" s="9">
        <v>117583.0</v>
      </c>
      <c r="C304" s="9">
        <v>116187.0</v>
      </c>
      <c r="D304" s="9">
        <v>22524.0</v>
      </c>
      <c r="E304" s="9">
        <v>340.0</v>
      </c>
      <c r="F304" s="14"/>
      <c r="G304" s="15"/>
      <c r="H304" s="15"/>
      <c r="I304" s="14"/>
      <c r="J304" s="14"/>
      <c r="K304" s="14"/>
      <c r="L304" s="14"/>
      <c r="M304" s="14"/>
      <c r="N304" s="14"/>
      <c r="P304" s="14"/>
    </row>
    <row r="305" ht="18.75" customHeight="1">
      <c r="A305" s="7" t="s">
        <v>2340</v>
      </c>
      <c r="B305" s="9">
        <v>70471.0</v>
      </c>
      <c r="C305" s="9">
        <v>69652.0</v>
      </c>
      <c r="D305" s="9">
        <v>22404.0</v>
      </c>
      <c r="E305" s="9">
        <v>283.0</v>
      </c>
      <c r="F305" s="14"/>
      <c r="G305" s="15"/>
      <c r="H305" s="15"/>
      <c r="I305" s="14"/>
      <c r="J305" s="14"/>
      <c r="K305" s="14"/>
      <c r="L305" s="14"/>
      <c r="M305" s="14"/>
      <c r="N305" s="14"/>
      <c r="P305" s="14"/>
    </row>
    <row r="306" ht="18.75" customHeight="1">
      <c r="A306" s="7" t="s">
        <v>2340</v>
      </c>
      <c r="B306" s="9">
        <v>65553.0</v>
      </c>
      <c r="C306" s="9">
        <v>64799.0</v>
      </c>
      <c r="D306" s="9">
        <v>14744.0</v>
      </c>
      <c r="E306" s="9">
        <v>212.0</v>
      </c>
      <c r="F306" s="14"/>
      <c r="G306" s="15"/>
      <c r="H306" s="15"/>
      <c r="I306" s="14"/>
      <c r="J306" s="14"/>
      <c r="K306" s="14"/>
      <c r="L306" s="14"/>
      <c r="M306" s="14"/>
      <c r="N306" s="14"/>
      <c r="P306" s="14"/>
    </row>
    <row r="307" ht="18.75" customHeight="1">
      <c r="A307" s="7" t="s">
        <v>2341</v>
      </c>
      <c r="B307" s="9">
        <v>89.0</v>
      </c>
      <c r="C307" s="9">
        <v>89.0</v>
      </c>
      <c r="D307" s="9">
        <v>67.0</v>
      </c>
      <c r="E307" s="9">
        <v>2.0</v>
      </c>
      <c r="F307" s="14"/>
      <c r="G307" s="15"/>
      <c r="H307" s="15"/>
      <c r="I307" s="14"/>
      <c r="J307" s="14"/>
      <c r="K307" s="14"/>
      <c r="L307" s="14"/>
      <c r="M307" s="14"/>
      <c r="N307" s="14"/>
      <c r="P307" s="14"/>
    </row>
    <row r="308" ht="18.75" customHeight="1">
      <c r="A308" s="7" t="s">
        <v>2342</v>
      </c>
      <c r="B308" s="9">
        <v>91733.0</v>
      </c>
      <c r="C308" s="9">
        <v>90875.0</v>
      </c>
      <c r="D308" s="9">
        <v>35394.0</v>
      </c>
      <c r="E308" s="9">
        <v>1176.0</v>
      </c>
      <c r="F308" s="14"/>
      <c r="G308" s="15"/>
      <c r="H308" s="15"/>
      <c r="I308" s="14"/>
      <c r="J308" s="14"/>
      <c r="K308" s="14"/>
      <c r="L308" s="14"/>
      <c r="M308" s="14"/>
      <c r="N308" s="14"/>
      <c r="P308" s="14"/>
    </row>
    <row r="309" ht="18.75" customHeight="1">
      <c r="A309" s="7" t="s">
        <v>2343</v>
      </c>
      <c r="B309" s="9">
        <v>108057.0</v>
      </c>
      <c r="C309" s="9">
        <v>107824.0</v>
      </c>
      <c r="D309" s="9">
        <v>71411.0</v>
      </c>
      <c r="E309" s="9">
        <v>969.0</v>
      </c>
      <c r="F309" s="14"/>
      <c r="G309" s="15"/>
      <c r="H309" s="15"/>
      <c r="I309" s="14"/>
      <c r="J309" s="14"/>
      <c r="K309" s="14"/>
      <c r="L309" s="14"/>
      <c r="M309" s="14"/>
      <c r="N309" s="14"/>
      <c r="P309" s="14"/>
    </row>
    <row r="310" ht="18.75" customHeight="1">
      <c r="A310" s="7" t="s">
        <v>2343</v>
      </c>
      <c r="B310" s="9">
        <v>107452.0</v>
      </c>
      <c r="C310" s="9">
        <v>107329.0</v>
      </c>
      <c r="D310" s="9">
        <v>68242.0</v>
      </c>
      <c r="E310" s="9">
        <v>958.0</v>
      </c>
      <c r="F310" s="14"/>
      <c r="G310" s="15"/>
      <c r="H310" s="15"/>
      <c r="I310" s="14"/>
      <c r="J310" s="14"/>
      <c r="K310" s="14"/>
      <c r="L310" s="14"/>
      <c r="M310" s="14"/>
      <c r="N310" s="14"/>
      <c r="P310" s="14"/>
    </row>
    <row r="311" ht="18.75" customHeight="1">
      <c r="A311" s="7" t="s">
        <v>2343</v>
      </c>
      <c r="B311" s="9">
        <v>107438.0</v>
      </c>
      <c r="C311" s="9">
        <v>107245.0</v>
      </c>
      <c r="D311" s="9">
        <v>69860.0</v>
      </c>
      <c r="E311" s="9">
        <v>770.0</v>
      </c>
      <c r="F311" s="14"/>
      <c r="G311" s="15"/>
      <c r="H311" s="15"/>
      <c r="I311" s="14"/>
      <c r="J311" s="14"/>
      <c r="K311" s="14"/>
      <c r="L311" s="14"/>
      <c r="M311" s="14"/>
      <c r="N311" s="14"/>
      <c r="P311" s="14"/>
    </row>
    <row r="312" ht="18.75" customHeight="1">
      <c r="A312" s="7" t="s">
        <v>2274</v>
      </c>
      <c r="B312" s="9">
        <v>24254.0</v>
      </c>
      <c r="C312" s="9">
        <v>23961.0</v>
      </c>
      <c r="D312" s="9">
        <v>7205.0</v>
      </c>
      <c r="E312" s="9">
        <v>175.0</v>
      </c>
      <c r="F312" s="14"/>
      <c r="G312" s="15"/>
      <c r="H312" s="15"/>
      <c r="I312" s="14"/>
      <c r="J312" s="14"/>
      <c r="K312" s="14"/>
      <c r="L312" s="14"/>
      <c r="M312" s="14"/>
      <c r="N312" s="14"/>
      <c r="P312" s="14"/>
    </row>
    <row r="313" ht="18.75" customHeight="1">
      <c r="A313" s="7" t="s">
        <v>2282</v>
      </c>
      <c r="B313" s="9">
        <v>349.0</v>
      </c>
      <c r="C313" s="9">
        <v>344.0</v>
      </c>
      <c r="D313" s="9">
        <v>138.0</v>
      </c>
      <c r="E313" s="9">
        <v>30.0</v>
      </c>
      <c r="F313" s="14"/>
      <c r="G313" s="15"/>
      <c r="H313" s="15"/>
      <c r="I313" s="14"/>
      <c r="J313" s="14"/>
      <c r="K313" s="14"/>
      <c r="L313" s="14"/>
      <c r="M313" s="14"/>
      <c r="N313" s="14"/>
      <c r="P313" s="14"/>
    </row>
    <row r="314" ht="18.75" customHeight="1">
      <c r="A314" s="7" t="s">
        <v>2344</v>
      </c>
      <c r="B314" s="9">
        <v>28137.0</v>
      </c>
      <c r="C314" s="9">
        <v>27865.0</v>
      </c>
      <c r="D314" s="9">
        <v>11405.0</v>
      </c>
      <c r="E314" s="9">
        <v>1830.0</v>
      </c>
      <c r="F314" s="14"/>
      <c r="G314" s="15"/>
      <c r="H314" s="15"/>
      <c r="I314" s="14"/>
      <c r="J314" s="14"/>
      <c r="K314" s="14"/>
      <c r="L314" s="14"/>
      <c r="M314" s="14"/>
      <c r="N314" s="14"/>
      <c r="P314" s="14"/>
    </row>
    <row r="315" ht="18.75" customHeight="1">
      <c r="A315" s="7" t="s">
        <v>2345</v>
      </c>
      <c r="B315" s="9">
        <v>67.0</v>
      </c>
      <c r="C315" s="9">
        <v>67.0</v>
      </c>
      <c r="D315" s="9">
        <v>43.0</v>
      </c>
      <c r="E315" s="9">
        <v>23.0</v>
      </c>
      <c r="F315" s="14"/>
      <c r="G315" s="15"/>
      <c r="H315" s="15"/>
      <c r="I315" s="14"/>
      <c r="J315" s="14"/>
      <c r="K315" s="14"/>
      <c r="L315" s="14"/>
      <c r="M315" s="14"/>
      <c r="N315" s="14"/>
      <c r="P315" s="14"/>
    </row>
    <row r="316" ht="18.75" customHeight="1">
      <c r="A316" s="7" t="s">
        <v>2346</v>
      </c>
      <c r="B316" s="9">
        <v>141866.0</v>
      </c>
      <c r="C316" s="9">
        <v>139950.0</v>
      </c>
      <c r="D316" s="9">
        <v>41084.0</v>
      </c>
      <c r="E316" s="9">
        <v>1343.0</v>
      </c>
      <c r="F316" s="14"/>
      <c r="G316" s="15"/>
      <c r="H316" s="15"/>
      <c r="I316" s="14"/>
      <c r="J316" s="14"/>
      <c r="K316" s="14"/>
      <c r="L316" s="14"/>
      <c r="M316" s="14"/>
      <c r="N316" s="14"/>
      <c r="P316" s="14"/>
    </row>
    <row r="317" ht="18.75" customHeight="1">
      <c r="A317" s="7" t="s">
        <v>2287</v>
      </c>
      <c r="B317" s="9">
        <v>269.0</v>
      </c>
      <c r="C317" s="9">
        <v>268.0</v>
      </c>
      <c r="D317" s="9">
        <v>100.0</v>
      </c>
      <c r="E317" s="9">
        <v>18.0</v>
      </c>
      <c r="F317" s="14"/>
      <c r="G317" s="15"/>
      <c r="H317" s="15"/>
      <c r="I317" s="14"/>
      <c r="J317" s="14"/>
      <c r="K317" s="14"/>
      <c r="L317" s="14"/>
      <c r="M317" s="14"/>
      <c r="N317" s="14"/>
      <c r="P317" s="14"/>
    </row>
    <row r="318" ht="18.75" customHeight="1">
      <c r="A318" s="7" t="s">
        <v>2283</v>
      </c>
      <c r="B318" s="9">
        <v>15922.0</v>
      </c>
      <c r="C318" s="9">
        <v>15721.0</v>
      </c>
      <c r="D318" s="9">
        <v>3661.0</v>
      </c>
      <c r="E318" s="9">
        <v>35.0</v>
      </c>
      <c r="F318" s="14"/>
      <c r="G318" s="15"/>
      <c r="H318" s="15"/>
      <c r="I318" s="14"/>
      <c r="J318" s="14"/>
      <c r="K318" s="14"/>
      <c r="L318" s="14"/>
      <c r="M318" s="14"/>
      <c r="N318" s="14"/>
      <c r="P318" s="14"/>
    </row>
    <row r="319" ht="18.75" customHeight="1">
      <c r="A319" s="7" t="s">
        <v>2347</v>
      </c>
      <c r="B319" s="9">
        <v>139428.0</v>
      </c>
      <c r="C319" s="9">
        <v>138637.0</v>
      </c>
      <c r="D319" s="9">
        <v>80581.0</v>
      </c>
      <c r="E319" s="9">
        <v>242.0</v>
      </c>
      <c r="F319" s="14"/>
      <c r="G319" s="15"/>
      <c r="H319" s="15"/>
      <c r="I319" s="14"/>
      <c r="J319" s="14"/>
      <c r="K319" s="14"/>
      <c r="L319" s="14"/>
      <c r="M319" s="14"/>
      <c r="N319" s="14"/>
      <c r="P319" s="14"/>
    </row>
    <row r="320" ht="18.75" customHeight="1">
      <c r="A320" s="7" t="s">
        <v>2328</v>
      </c>
      <c r="B320" s="9">
        <v>111814.0</v>
      </c>
      <c r="C320" s="9">
        <v>109736.0</v>
      </c>
      <c r="D320" s="9">
        <v>14560.0</v>
      </c>
      <c r="E320" s="9">
        <v>143.0</v>
      </c>
      <c r="F320" s="14"/>
      <c r="G320" s="15"/>
      <c r="H320" s="15"/>
      <c r="I320" s="14"/>
      <c r="J320" s="14"/>
      <c r="K320" s="14"/>
      <c r="L320" s="14"/>
      <c r="M320" s="14"/>
      <c r="N320" s="14"/>
      <c r="P320" s="14"/>
    </row>
    <row r="321" ht="18.75" customHeight="1">
      <c r="A321" s="7" t="s">
        <v>2328</v>
      </c>
      <c r="B321" s="9">
        <v>111795.0</v>
      </c>
      <c r="C321" s="9">
        <v>109804.0</v>
      </c>
      <c r="D321" s="9">
        <v>13284.0</v>
      </c>
      <c r="E321" s="9">
        <v>126.0</v>
      </c>
      <c r="F321" s="14"/>
      <c r="G321" s="15"/>
      <c r="H321" s="15"/>
      <c r="I321" s="14"/>
      <c r="J321" s="14"/>
      <c r="K321" s="14"/>
      <c r="L321" s="14"/>
      <c r="M321" s="14"/>
      <c r="N321" s="14"/>
      <c r="P321" s="14"/>
    </row>
    <row r="322" ht="18.75" customHeight="1">
      <c r="A322" s="7" t="s">
        <v>2328</v>
      </c>
      <c r="B322" s="9">
        <v>111787.0</v>
      </c>
      <c r="C322" s="9">
        <v>109935.0</v>
      </c>
      <c r="D322" s="9">
        <v>15155.0</v>
      </c>
      <c r="E322" s="9">
        <v>118.0</v>
      </c>
      <c r="F322" s="14"/>
      <c r="G322" s="15"/>
      <c r="H322" s="15"/>
      <c r="I322" s="14"/>
      <c r="J322" s="14"/>
      <c r="K322" s="14"/>
      <c r="L322" s="14"/>
      <c r="M322" s="14"/>
      <c r="N322" s="14"/>
      <c r="P322" s="14"/>
    </row>
    <row r="323" ht="18.75" customHeight="1">
      <c r="A323" s="7" t="s">
        <v>2328</v>
      </c>
      <c r="B323" s="9">
        <v>111782.0</v>
      </c>
      <c r="C323" s="9">
        <v>109999.0</v>
      </c>
      <c r="D323" s="9">
        <v>14823.0</v>
      </c>
      <c r="E323" s="9">
        <v>107.0</v>
      </c>
      <c r="F323" s="14"/>
      <c r="G323" s="15"/>
      <c r="H323" s="15"/>
      <c r="I323" s="14"/>
      <c r="J323" s="14"/>
      <c r="K323" s="14"/>
      <c r="L323" s="14"/>
      <c r="M323" s="14"/>
      <c r="N323" s="14"/>
      <c r="P323" s="14"/>
    </row>
    <row r="324" ht="18.75" customHeight="1">
      <c r="A324" s="7" t="s">
        <v>2286</v>
      </c>
      <c r="B324" s="9">
        <v>329.0</v>
      </c>
      <c r="C324" s="9">
        <v>326.0</v>
      </c>
      <c r="D324" s="9">
        <v>100.0</v>
      </c>
      <c r="E324" s="9">
        <v>1.0</v>
      </c>
      <c r="F324" s="14"/>
      <c r="G324" s="15"/>
      <c r="H324" s="15"/>
      <c r="I324" s="14"/>
      <c r="J324" s="14"/>
      <c r="K324" s="14"/>
      <c r="L324" s="14"/>
      <c r="M324" s="14"/>
      <c r="N324" s="14"/>
      <c r="P324" s="14"/>
    </row>
    <row r="325" ht="18.75" customHeight="1">
      <c r="A325" s="7" t="s">
        <v>2346</v>
      </c>
      <c r="B325" s="9">
        <v>52773.0</v>
      </c>
      <c r="C325" s="9">
        <v>52024.0</v>
      </c>
      <c r="D325" s="9">
        <v>12438.0</v>
      </c>
      <c r="E325" s="9">
        <v>93.0</v>
      </c>
      <c r="F325" s="14"/>
      <c r="G325" s="15"/>
      <c r="H325" s="15"/>
      <c r="I325" s="14"/>
      <c r="J325" s="14"/>
      <c r="K325" s="14"/>
      <c r="L325" s="14"/>
      <c r="M325" s="14"/>
      <c r="N325" s="14"/>
      <c r="P325" s="14"/>
    </row>
    <row r="326" ht="18.75" customHeight="1">
      <c r="A326" s="7" t="s">
        <v>2328</v>
      </c>
      <c r="B326" s="9">
        <v>111774.0</v>
      </c>
      <c r="C326" s="9">
        <v>109932.0</v>
      </c>
      <c r="D326" s="9">
        <v>13560.0</v>
      </c>
      <c r="E326" s="9">
        <v>71.0</v>
      </c>
      <c r="F326" s="14"/>
      <c r="G326" s="15"/>
      <c r="H326" s="15"/>
      <c r="I326" s="14"/>
      <c r="J326" s="14"/>
      <c r="K326" s="14"/>
      <c r="L326" s="14"/>
      <c r="M326" s="14"/>
      <c r="N326" s="14"/>
      <c r="P326" s="14"/>
    </row>
    <row r="327" ht="18.75" customHeight="1">
      <c r="A327" s="7" t="s">
        <v>2328</v>
      </c>
      <c r="B327" s="9">
        <v>111810.0</v>
      </c>
      <c r="C327" s="9">
        <v>110009.0</v>
      </c>
      <c r="D327" s="9">
        <v>14136.0</v>
      </c>
      <c r="E327" s="9">
        <v>153.0</v>
      </c>
      <c r="F327" s="14"/>
      <c r="G327" s="15"/>
      <c r="H327" s="15"/>
      <c r="I327" s="14"/>
      <c r="J327" s="14"/>
      <c r="K327" s="14"/>
      <c r="L327" s="14"/>
      <c r="M327" s="14"/>
      <c r="N327" s="14"/>
      <c r="P327" s="14"/>
    </row>
    <row r="328" ht="18.75" customHeight="1">
      <c r="A328" s="7" t="s">
        <v>2346</v>
      </c>
      <c r="B328" s="9">
        <v>82801.0</v>
      </c>
      <c r="C328" s="9">
        <v>81312.0</v>
      </c>
      <c r="D328" s="9">
        <v>8308.0</v>
      </c>
      <c r="E328" s="9">
        <v>73.0</v>
      </c>
      <c r="F328" s="14"/>
      <c r="G328" s="15"/>
      <c r="H328" s="15"/>
      <c r="I328" s="14"/>
      <c r="J328" s="14"/>
      <c r="K328" s="14"/>
      <c r="L328" s="14"/>
      <c r="M328" s="14"/>
      <c r="N328" s="14"/>
      <c r="P328" s="14"/>
    </row>
    <row r="329" ht="18.75" customHeight="1">
      <c r="A329" s="7" t="s">
        <v>2346</v>
      </c>
      <c r="B329" s="9">
        <v>137167.0</v>
      </c>
      <c r="C329" s="9">
        <v>135445.0</v>
      </c>
      <c r="D329" s="9">
        <v>32471.0</v>
      </c>
      <c r="E329" s="9">
        <v>107.0</v>
      </c>
      <c r="F329" s="14"/>
      <c r="G329" s="15"/>
      <c r="H329" s="15"/>
      <c r="I329" s="14"/>
      <c r="J329" s="14"/>
      <c r="K329" s="14"/>
      <c r="L329" s="14"/>
      <c r="M329" s="14"/>
      <c r="N329" s="14"/>
      <c r="P329" s="14"/>
    </row>
    <row r="330" ht="18.75" customHeight="1">
      <c r="A330" s="7" t="s">
        <v>2342</v>
      </c>
      <c r="B330" s="9">
        <v>899.0</v>
      </c>
      <c r="C330" s="9">
        <v>899.0</v>
      </c>
      <c r="D330" s="9">
        <v>652.0</v>
      </c>
      <c r="E330" s="9">
        <v>5.0</v>
      </c>
      <c r="F330" s="14"/>
      <c r="G330" s="15"/>
      <c r="H330" s="15"/>
      <c r="I330" s="14"/>
      <c r="J330" s="14"/>
      <c r="K330" s="14"/>
      <c r="L330" s="14"/>
      <c r="M330" s="14"/>
      <c r="N330" s="14"/>
      <c r="P330" s="14"/>
    </row>
    <row r="331" ht="18.75" customHeight="1">
      <c r="A331" s="7" t="s">
        <v>2348</v>
      </c>
      <c r="B331" s="9">
        <v>57723.0</v>
      </c>
      <c r="C331" s="9">
        <v>57026.0</v>
      </c>
      <c r="D331" s="9">
        <v>21631.0</v>
      </c>
      <c r="E331" s="9">
        <v>1297.0</v>
      </c>
      <c r="F331" s="14"/>
      <c r="G331" s="15"/>
      <c r="H331" s="15"/>
      <c r="I331" s="14"/>
      <c r="J331" s="14"/>
      <c r="K331" s="14"/>
      <c r="L331" s="14"/>
      <c r="M331" s="14"/>
      <c r="N331" s="14"/>
      <c r="P331" s="14"/>
    </row>
    <row r="332" ht="18.75" customHeight="1">
      <c r="A332" s="7" t="s">
        <v>2349</v>
      </c>
      <c r="B332" s="9">
        <v>12963.0</v>
      </c>
      <c r="C332" s="9">
        <v>12834.0</v>
      </c>
      <c r="D332" s="9">
        <v>5089.0</v>
      </c>
      <c r="E332" s="9">
        <v>432.0</v>
      </c>
      <c r="F332" s="14"/>
      <c r="G332" s="15"/>
      <c r="H332" s="15"/>
      <c r="I332" s="14"/>
      <c r="J332" s="14"/>
      <c r="K332" s="14"/>
      <c r="L332" s="14"/>
      <c r="M332" s="14"/>
      <c r="N332" s="14"/>
      <c r="P332" s="14"/>
    </row>
    <row r="333" ht="18.75" customHeight="1">
      <c r="A333" s="7" t="s">
        <v>2350</v>
      </c>
      <c r="B333" s="9">
        <v>24898.0</v>
      </c>
      <c r="C333" s="9">
        <v>24631.0</v>
      </c>
      <c r="D333" s="9">
        <v>12754.0</v>
      </c>
      <c r="E333" s="9">
        <v>3061.0</v>
      </c>
      <c r="F333" s="14"/>
      <c r="G333" s="15"/>
      <c r="H333" s="15"/>
      <c r="I333" s="14"/>
      <c r="J333" s="14"/>
      <c r="K333" s="14"/>
      <c r="L333" s="14"/>
      <c r="M333" s="14"/>
      <c r="N333" s="14"/>
    </row>
    <row r="334" ht="18.75" customHeight="1">
      <c r="A334" s="7" t="s">
        <v>2350</v>
      </c>
      <c r="B334" s="9">
        <v>2736.0</v>
      </c>
      <c r="C334" s="9">
        <v>2700.0</v>
      </c>
      <c r="D334" s="9">
        <v>1241.0</v>
      </c>
      <c r="E334" s="9">
        <v>242.0</v>
      </c>
      <c r="F334" s="14"/>
      <c r="G334" s="15"/>
      <c r="H334" s="15"/>
      <c r="I334" s="14"/>
      <c r="J334" s="14"/>
      <c r="K334" s="14"/>
      <c r="L334" s="14"/>
      <c r="M334" s="14"/>
      <c r="N334" s="14"/>
      <c r="P334" s="14"/>
    </row>
    <row r="335" ht="18.75" customHeight="1">
      <c r="A335" s="7" t="s">
        <v>2344</v>
      </c>
      <c r="B335" s="9">
        <v>51543.0</v>
      </c>
      <c r="C335" s="9">
        <v>50869.0</v>
      </c>
      <c r="D335" s="9">
        <v>16917.0</v>
      </c>
      <c r="E335" s="9">
        <v>624.0</v>
      </c>
      <c r="F335" s="14"/>
      <c r="G335" s="15"/>
      <c r="H335" s="15"/>
      <c r="I335" s="14"/>
      <c r="J335" s="14"/>
      <c r="K335" s="14"/>
      <c r="L335" s="14"/>
      <c r="M335" s="14"/>
      <c r="N335" s="14"/>
      <c r="P335" s="14"/>
    </row>
    <row r="336" ht="18.75" customHeight="1">
      <c r="A336" s="7" t="s">
        <v>2351</v>
      </c>
      <c r="B336" s="9">
        <v>31908.0</v>
      </c>
      <c r="C336" s="9">
        <v>31480.0</v>
      </c>
      <c r="D336" s="9">
        <v>11174.0</v>
      </c>
      <c r="E336" s="9">
        <v>1056.0</v>
      </c>
      <c r="F336" s="14"/>
      <c r="G336" s="15"/>
      <c r="H336" s="15"/>
      <c r="I336" s="14"/>
      <c r="J336" s="14"/>
      <c r="K336" s="14"/>
      <c r="L336" s="14"/>
      <c r="M336" s="14"/>
      <c r="N336" s="14"/>
      <c r="P336" s="14"/>
    </row>
    <row r="337" ht="18.75" customHeight="1">
      <c r="A337" s="7" t="s">
        <v>2274</v>
      </c>
      <c r="B337" s="9">
        <v>22023.0</v>
      </c>
      <c r="C337" s="9">
        <v>21742.0</v>
      </c>
      <c r="D337" s="9">
        <v>6115.0</v>
      </c>
      <c r="E337" s="9">
        <v>150.0</v>
      </c>
      <c r="F337" s="14"/>
      <c r="G337" s="15"/>
      <c r="H337" s="15"/>
      <c r="I337" s="14"/>
      <c r="J337" s="14"/>
      <c r="K337" s="14"/>
      <c r="L337" s="14"/>
      <c r="M337" s="14"/>
      <c r="N337" s="14"/>
      <c r="P337" s="14"/>
    </row>
    <row r="338" ht="18.75" customHeight="1">
      <c r="A338" s="7" t="s">
        <v>2282</v>
      </c>
      <c r="B338" s="9">
        <v>208.0</v>
      </c>
      <c r="C338" s="9">
        <v>208.0</v>
      </c>
      <c r="D338" s="9">
        <v>103.0</v>
      </c>
      <c r="E338" s="9">
        <v>19.0</v>
      </c>
      <c r="F338" s="14"/>
      <c r="G338" s="15"/>
      <c r="H338" s="15"/>
      <c r="I338" s="14"/>
      <c r="J338" s="14"/>
      <c r="K338" s="14"/>
      <c r="L338" s="14"/>
      <c r="M338" s="14"/>
      <c r="N338" s="14"/>
      <c r="P338" s="14"/>
    </row>
    <row r="339" ht="18.75" customHeight="1">
      <c r="A339" s="7" t="s">
        <v>2352</v>
      </c>
      <c r="B339" s="9">
        <v>43485.0</v>
      </c>
      <c r="C339" s="9">
        <v>42981.0</v>
      </c>
      <c r="D339" s="9">
        <v>16843.0</v>
      </c>
      <c r="E339" s="9">
        <v>757.0</v>
      </c>
      <c r="F339" s="14"/>
      <c r="G339" s="15"/>
      <c r="H339" s="15"/>
      <c r="I339" s="14"/>
      <c r="J339" s="14"/>
      <c r="K339" s="14"/>
      <c r="L339" s="14"/>
      <c r="M339" s="14"/>
      <c r="N339" s="14"/>
      <c r="P339" s="14"/>
    </row>
    <row r="340" ht="18.75" customHeight="1">
      <c r="A340" s="7" t="s">
        <v>2353</v>
      </c>
      <c r="B340" s="9">
        <v>87932.0</v>
      </c>
      <c r="C340" s="9">
        <v>86840.0</v>
      </c>
      <c r="D340" s="9">
        <v>32294.0</v>
      </c>
      <c r="E340" s="9">
        <v>1206.0</v>
      </c>
      <c r="F340" s="14"/>
      <c r="G340" s="15"/>
      <c r="H340" s="15"/>
      <c r="I340" s="14"/>
      <c r="J340" s="14"/>
      <c r="K340" s="14"/>
      <c r="L340" s="14"/>
      <c r="M340" s="14"/>
      <c r="N340" s="14"/>
      <c r="P340" s="14"/>
    </row>
    <row r="341" ht="18.75" customHeight="1">
      <c r="A341" s="7" t="s">
        <v>2236</v>
      </c>
      <c r="B341" s="9">
        <v>28449.0</v>
      </c>
      <c r="C341" s="9">
        <v>28089.0</v>
      </c>
      <c r="D341" s="9">
        <v>10202.0</v>
      </c>
      <c r="E341" s="9">
        <v>911.0</v>
      </c>
      <c r="F341" s="14"/>
      <c r="G341" s="15"/>
      <c r="H341" s="15"/>
      <c r="I341" s="14"/>
      <c r="J341" s="14"/>
      <c r="K341" s="14"/>
      <c r="L341" s="14"/>
      <c r="M341" s="14"/>
      <c r="N341" s="14"/>
      <c r="P341" s="14"/>
    </row>
    <row r="342" ht="18.75" customHeight="1">
      <c r="A342" s="7" t="s">
        <v>2335</v>
      </c>
      <c r="B342" s="9">
        <v>32514.0</v>
      </c>
      <c r="C342" s="9">
        <v>32359.0</v>
      </c>
      <c r="D342" s="9">
        <v>16739.0</v>
      </c>
      <c r="E342" s="9">
        <v>303.0</v>
      </c>
      <c r="F342" s="14"/>
      <c r="G342" s="15"/>
      <c r="H342" s="15"/>
      <c r="I342" s="14"/>
      <c r="J342" s="14"/>
      <c r="K342" s="14"/>
      <c r="L342" s="14"/>
      <c r="M342" s="14"/>
      <c r="N342" s="14"/>
      <c r="P342" s="14"/>
    </row>
    <row r="343" ht="18.75" customHeight="1">
      <c r="A343" s="7" t="s">
        <v>2335</v>
      </c>
      <c r="B343" s="9">
        <v>33710.0</v>
      </c>
      <c r="C343" s="9">
        <v>33603.0</v>
      </c>
      <c r="D343" s="9">
        <v>20202.0</v>
      </c>
      <c r="E343" s="9">
        <v>425.0</v>
      </c>
      <c r="F343" s="14"/>
      <c r="G343" s="15"/>
      <c r="H343" s="15"/>
      <c r="I343" s="14"/>
      <c r="J343" s="14"/>
      <c r="K343" s="14"/>
      <c r="L343" s="14"/>
      <c r="M343" s="14"/>
      <c r="N343" s="14"/>
      <c r="P343" s="14"/>
    </row>
    <row r="344" ht="18.75" customHeight="1">
      <c r="A344" s="7" t="s">
        <v>2354</v>
      </c>
      <c r="B344" s="9">
        <v>67319.0</v>
      </c>
      <c r="C344" s="9">
        <v>66539.0</v>
      </c>
      <c r="D344" s="9">
        <v>22660.0</v>
      </c>
      <c r="E344" s="9">
        <v>416.0</v>
      </c>
      <c r="F344" s="14"/>
      <c r="G344" s="15"/>
      <c r="H344" s="15"/>
      <c r="I344" s="14"/>
      <c r="J344" s="14"/>
      <c r="K344" s="14"/>
      <c r="L344" s="14"/>
      <c r="M344" s="14"/>
      <c r="N344" s="14"/>
      <c r="P344" s="14"/>
    </row>
    <row r="345" ht="18.75" customHeight="1">
      <c r="A345" s="7" t="s">
        <v>2355</v>
      </c>
      <c r="B345" s="9">
        <v>15237.0</v>
      </c>
      <c r="C345" s="9">
        <v>15045.0</v>
      </c>
      <c r="D345" s="9">
        <v>6451.0</v>
      </c>
      <c r="E345" s="9">
        <v>1493.0</v>
      </c>
      <c r="F345" s="14"/>
      <c r="G345" s="15"/>
      <c r="H345" s="15"/>
      <c r="I345" s="14"/>
      <c r="J345" s="14"/>
      <c r="K345" s="14"/>
      <c r="L345" s="14"/>
      <c r="M345" s="14"/>
      <c r="N345" s="14"/>
      <c r="P345" s="14"/>
    </row>
    <row r="346" ht="18.75" customHeight="1">
      <c r="A346" s="7" t="s">
        <v>2279</v>
      </c>
      <c r="B346" s="9">
        <v>329.0</v>
      </c>
      <c r="C346" s="9">
        <v>323.0</v>
      </c>
      <c r="D346" s="9">
        <v>137.0</v>
      </c>
      <c r="E346" s="9">
        <v>47.0</v>
      </c>
      <c r="F346" s="14"/>
      <c r="G346" s="15"/>
      <c r="H346" s="15"/>
      <c r="I346" s="14"/>
      <c r="J346" s="14"/>
      <c r="K346" s="14"/>
      <c r="L346" s="14"/>
      <c r="M346" s="14"/>
      <c r="N346" s="14"/>
      <c r="P346" s="14"/>
    </row>
    <row r="347" ht="18.75" customHeight="1">
      <c r="A347" s="7" t="s">
        <v>2286</v>
      </c>
      <c r="B347" s="9">
        <v>211.0</v>
      </c>
      <c r="C347" s="9">
        <v>209.0</v>
      </c>
      <c r="D347" s="9">
        <v>110.0</v>
      </c>
      <c r="E347" s="9">
        <v>0.0</v>
      </c>
      <c r="F347" s="14"/>
      <c r="G347" s="15"/>
      <c r="H347" s="15"/>
      <c r="I347" s="14"/>
      <c r="J347" s="14"/>
      <c r="K347" s="14"/>
      <c r="L347" s="14"/>
      <c r="M347" s="14"/>
      <c r="N347" s="14"/>
      <c r="P347" s="14"/>
    </row>
    <row r="348" ht="18.75" customHeight="1">
      <c r="A348" s="7" t="s">
        <v>2283</v>
      </c>
      <c r="B348" s="9">
        <v>24204.0</v>
      </c>
      <c r="C348" s="9">
        <v>23911.0</v>
      </c>
      <c r="D348" s="9">
        <v>5916.0</v>
      </c>
      <c r="E348" s="9">
        <v>65.0</v>
      </c>
      <c r="F348" s="14"/>
      <c r="G348" s="15"/>
      <c r="H348" s="15"/>
      <c r="I348" s="14"/>
      <c r="J348" s="14"/>
      <c r="K348" s="14"/>
      <c r="L348" s="14"/>
      <c r="M348" s="14"/>
      <c r="N348" s="14"/>
      <c r="P348" s="14"/>
    </row>
    <row r="349" ht="18.75" customHeight="1">
      <c r="A349" s="7" t="s">
        <v>2352</v>
      </c>
      <c r="B349" s="9">
        <v>42.0</v>
      </c>
      <c r="C349" s="9">
        <v>41.0</v>
      </c>
      <c r="D349" s="9">
        <v>32.0</v>
      </c>
      <c r="E349" s="9">
        <v>1.0</v>
      </c>
      <c r="F349" s="14"/>
      <c r="G349" s="15"/>
      <c r="H349" s="15"/>
      <c r="I349" s="14"/>
      <c r="J349" s="14"/>
      <c r="K349" s="14"/>
      <c r="L349" s="14"/>
      <c r="M349" s="14"/>
      <c r="N349" s="14"/>
      <c r="P349" s="14"/>
    </row>
    <row r="350" ht="18.75" customHeight="1">
      <c r="A350" s="7" t="s">
        <v>2351</v>
      </c>
      <c r="B350" s="9">
        <v>238.0</v>
      </c>
      <c r="C350" s="9">
        <v>238.0</v>
      </c>
      <c r="D350" s="9">
        <v>200.0</v>
      </c>
      <c r="E350" s="9">
        <v>105.0</v>
      </c>
      <c r="F350" s="14"/>
      <c r="G350" s="15"/>
      <c r="H350" s="15"/>
      <c r="I350" s="14"/>
      <c r="J350" s="14"/>
      <c r="K350" s="14"/>
      <c r="L350" s="14"/>
      <c r="M350" s="14"/>
      <c r="N350" s="14"/>
      <c r="P350" s="14"/>
    </row>
    <row r="351" ht="18.75" customHeight="1">
      <c r="A351" s="7" t="s">
        <v>2349</v>
      </c>
      <c r="B351" s="9">
        <v>149.0</v>
      </c>
      <c r="C351" s="9">
        <v>148.0</v>
      </c>
      <c r="D351" s="9">
        <v>116.0</v>
      </c>
      <c r="E351" s="9">
        <v>1.0</v>
      </c>
      <c r="F351" s="14"/>
      <c r="G351" s="15"/>
      <c r="H351" s="15"/>
      <c r="I351" s="14"/>
      <c r="J351" s="14"/>
      <c r="K351" s="14"/>
      <c r="L351" s="14"/>
      <c r="M351" s="14"/>
      <c r="N351" s="14"/>
      <c r="P351" s="14"/>
    </row>
    <row r="352" ht="18.75" customHeight="1">
      <c r="A352" s="7" t="s">
        <v>2335</v>
      </c>
      <c r="B352" s="9">
        <v>44983.0</v>
      </c>
      <c r="C352" s="9">
        <v>44338.0</v>
      </c>
      <c r="D352" s="9">
        <v>14730.0</v>
      </c>
      <c r="E352" s="9">
        <v>256.0</v>
      </c>
      <c r="F352" s="14"/>
      <c r="G352" s="15"/>
      <c r="H352" s="15"/>
      <c r="I352" s="14"/>
      <c r="J352" s="14"/>
      <c r="K352" s="14"/>
      <c r="L352" s="14"/>
      <c r="M352" s="14"/>
      <c r="N352" s="14"/>
      <c r="P352" s="14"/>
    </row>
    <row r="353" ht="18.75" customHeight="1">
      <c r="A353" s="7" t="s">
        <v>2356</v>
      </c>
      <c r="B353" s="9">
        <v>11066.0</v>
      </c>
      <c r="C353" s="9">
        <v>10970.0</v>
      </c>
      <c r="D353" s="9">
        <v>5486.0</v>
      </c>
      <c r="E353" s="9">
        <v>13.0</v>
      </c>
      <c r="F353" s="14"/>
      <c r="G353" s="15"/>
      <c r="H353" s="15"/>
      <c r="I353" s="14"/>
      <c r="J353" s="14"/>
      <c r="K353" s="14"/>
      <c r="L353" s="14"/>
      <c r="M353" s="14"/>
      <c r="N353" s="14"/>
      <c r="P353" s="14"/>
    </row>
    <row r="354" ht="18.75" customHeight="1">
      <c r="A354" s="7" t="s">
        <v>2351</v>
      </c>
      <c r="B354" s="9">
        <v>24.0</v>
      </c>
      <c r="C354" s="9">
        <v>22.0</v>
      </c>
      <c r="D354" s="9">
        <v>18.0</v>
      </c>
      <c r="E354" s="9">
        <v>2.0</v>
      </c>
      <c r="F354" s="14"/>
      <c r="G354" s="15"/>
      <c r="H354" s="15"/>
      <c r="I354" s="14"/>
      <c r="J354" s="14"/>
      <c r="K354" s="14"/>
      <c r="L354" s="14"/>
      <c r="M354" s="14"/>
      <c r="N354" s="14"/>
      <c r="P354" s="14"/>
    </row>
    <row r="355" ht="18.75" customHeight="1">
      <c r="A355" s="7" t="s">
        <v>2357</v>
      </c>
      <c r="B355" s="9">
        <v>61001.0</v>
      </c>
      <c r="C355" s="9">
        <v>60183.0</v>
      </c>
      <c r="D355" s="9">
        <v>27795.0</v>
      </c>
      <c r="E355" s="9">
        <v>1802.0</v>
      </c>
      <c r="F355" s="14"/>
      <c r="G355" s="15"/>
      <c r="H355" s="15"/>
      <c r="I355" s="14"/>
      <c r="J355" s="14"/>
      <c r="K355" s="14"/>
      <c r="L355" s="14"/>
      <c r="M355" s="14"/>
      <c r="N355" s="14"/>
      <c r="P355" s="14"/>
    </row>
    <row r="356" ht="18.75" customHeight="1">
      <c r="A356" s="7" t="s">
        <v>2343</v>
      </c>
      <c r="B356" s="9">
        <v>109956.0</v>
      </c>
      <c r="C356" s="9">
        <v>109516.0</v>
      </c>
      <c r="D356" s="9">
        <v>42876.0</v>
      </c>
      <c r="E356" s="9">
        <v>414.0</v>
      </c>
      <c r="F356" s="14"/>
      <c r="G356" s="15"/>
      <c r="H356" s="15"/>
      <c r="I356" s="14"/>
      <c r="J356" s="14"/>
      <c r="K356" s="14"/>
      <c r="L356" s="14"/>
      <c r="M356" s="14"/>
      <c r="N356" s="14"/>
      <c r="P356" s="14"/>
    </row>
    <row r="357" ht="18.75" customHeight="1">
      <c r="A357" s="7" t="s">
        <v>2274</v>
      </c>
      <c r="B357" s="9">
        <v>13645.0</v>
      </c>
      <c r="C357" s="9">
        <v>13456.0</v>
      </c>
      <c r="D357" s="9">
        <v>3725.0</v>
      </c>
      <c r="E357" s="9">
        <v>94.0</v>
      </c>
      <c r="F357" s="14"/>
      <c r="G357" s="15"/>
      <c r="H357" s="15"/>
      <c r="I357" s="14"/>
      <c r="J357" s="14"/>
      <c r="K357" s="14"/>
      <c r="L357" s="14"/>
      <c r="M357" s="14"/>
      <c r="N357" s="14"/>
      <c r="P357" s="14"/>
    </row>
    <row r="358" ht="18.75" customHeight="1">
      <c r="A358" s="7" t="s">
        <v>2282</v>
      </c>
      <c r="B358" s="9">
        <v>580.0</v>
      </c>
      <c r="C358" s="9">
        <v>571.0</v>
      </c>
      <c r="D358" s="9">
        <v>251.0</v>
      </c>
      <c r="E358" s="9">
        <v>43.0</v>
      </c>
      <c r="F358" s="14"/>
      <c r="G358" s="15"/>
      <c r="H358" s="15"/>
      <c r="I358" s="14"/>
      <c r="J358" s="14"/>
      <c r="K358" s="14"/>
      <c r="L358" s="14"/>
      <c r="M358" s="14"/>
      <c r="N358" s="14"/>
      <c r="P358" s="14"/>
    </row>
    <row r="359" ht="18.75" customHeight="1">
      <c r="A359" s="7" t="s">
        <v>2358</v>
      </c>
      <c r="B359" s="9">
        <v>31952.0</v>
      </c>
      <c r="C359" s="9">
        <v>31405.0</v>
      </c>
      <c r="D359" s="9">
        <v>8676.0</v>
      </c>
      <c r="E359" s="9">
        <v>465.0</v>
      </c>
      <c r="F359" s="14"/>
      <c r="G359" s="15"/>
      <c r="H359" s="15"/>
      <c r="I359" s="14"/>
      <c r="J359" s="14"/>
      <c r="K359" s="14"/>
      <c r="L359" s="14"/>
      <c r="M359" s="14"/>
      <c r="N359" s="14"/>
      <c r="P359" s="14"/>
    </row>
    <row r="360" ht="18.75" customHeight="1">
      <c r="A360" s="7" t="s">
        <v>2358</v>
      </c>
      <c r="B360" s="9">
        <v>62243.0</v>
      </c>
      <c r="C360" s="9">
        <v>61382.0</v>
      </c>
      <c r="D360" s="9">
        <v>22892.0</v>
      </c>
      <c r="E360" s="9">
        <v>990.0</v>
      </c>
      <c r="F360" s="14"/>
      <c r="G360" s="15"/>
      <c r="H360" s="15"/>
      <c r="I360" s="14"/>
      <c r="J360" s="14"/>
      <c r="K360" s="14"/>
      <c r="L360" s="14"/>
      <c r="M360" s="14"/>
      <c r="N360" s="14"/>
      <c r="P360" s="14"/>
    </row>
    <row r="361" ht="18.75" customHeight="1">
      <c r="A361" s="7" t="s">
        <v>2358</v>
      </c>
      <c r="B361" s="9">
        <v>18216.0</v>
      </c>
      <c r="C361" s="9">
        <v>17975.0</v>
      </c>
      <c r="D361" s="9">
        <v>5805.0</v>
      </c>
      <c r="E361" s="9">
        <v>259.0</v>
      </c>
      <c r="F361" s="14"/>
      <c r="G361" s="15"/>
      <c r="H361" s="15"/>
      <c r="I361" s="14"/>
      <c r="J361" s="14"/>
      <c r="K361" s="14"/>
      <c r="L361" s="14"/>
      <c r="M361" s="14"/>
      <c r="N361" s="14"/>
      <c r="P361" s="14"/>
    </row>
    <row r="362" ht="18.75" customHeight="1">
      <c r="A362" s="7" t="s">
        <v>2358</v>
      </c>
      <c r="B362" s="9">
        <v>12766.0</v>
      </c>
      <c r="C362" s="9">
        <v>12590.0</v>
      </c>
      <c r="D362" s="9">
        <v>2671.0</v>
      </c>
      <c r="E362" s="9">
        <v>158.0</v>
      </c>
      <c r="F362" s="14"/>
      <c r="G362" s="15"/>
      <c r="H362" s="15"/>
      <c r="I362" s="14"/>
      <c r="J362" s="14"/>
      <c r="K362" s="14"/>
      <c r="L362" s="14"/>
      <c r="M362" s="14"/>
      <c r="N362" s="14"/>
      <c r="P362" s="14"/>
    </row>
    <row r="363" ht="18.75" customHeight="1">
      <c r="A363" s="7" t="s">
        <v>2359</v>
      </c>
      <c r="B363" s="9">
        <v>76753.0</v>
      </c>
      <c r="C363" s="9">
        <v>75808.0</v>
      </c>
      <c r="D363" s="9">
        <v>26068.0</v>
      </c>
      <c r="E363" s="9">
        <v>3341.0</v>
      </c>
      <c r="F363" s="14"/>
      <c r="G363" s="15"/>
      <c r="H363" s="15"/>
      <c r="I363" s="14"/>
      <c r="J363" s="14"/>
      <c r="K363" s="14"/>
      <c r="L363" s="14"/>
      <c r="M363" s="14"/>
      <c r="N363" s="14"/>
      <c r="P363" s="14"/>
    </row>
    <row r="364" ht="18.75" customHeight="1">
      <c r="A364" s="7" t="s">
        <v>2279</v>
      </c>
      <c r="B364" s="9">
        <v>285.0</v>
      </c>
      <c r="C364" s="9">
        <v>285.0</v>
      </c>
      <c r="D364" s="9">
        <v>116.0</v>
      </c>
      <c r="E364" s="9">
        <v>40.0</v>
      </c>
      <c r="F364" s="14"/>
      <c r="G364" s="15"/>
      <c r="H364" s="15"/>
      <c r="I364" s="14"/>
      <c r="J364" s="14"/>
      <c r="K364" s="14"/>
      <c r="L364" s="14"/>
      <c r="M364" s="14"/>
      <c r="N364" s="14"/>
      <c r="P364" s="14"/>
    </row>
    <row r="365" ht="18.75" customHeight="1">
      <c r="A365" s="7" t="s">
        <v>2253</v>
      </c>
      <c r="B365" s="9">
        <v>3060.0</v>
      </c>
      <c r="C365" s="9">
        <v>2995.0</v>
      </c>
      <c r="D365" s="9">
        <v>1409.0</v>
      </c>
      <c r="E365" s="9">
        <v>265.0</v>
      </c>
      <c r="F365" s="14"/>
      <c r="G365" s="15"/>
      <c r="H365" s="15"/>
      <c r="I365" s="14"/>
      <c r="J365" s="14"/>
      <c r="K365" s="14"/>
      <c r="L365" s="14"/>
      <c r="M365" s="14"/>
      <c r="N365" s="14"/>
      <c r="P365" s="14"/>
    </row>
    <row r="366" ht="18.75" customHeight="1">
      <c r="A366" s="7" t="s">
        <v>2283</v>
      </c>
      <c r="B366" s="9">
        <v>21977.0</v>
      </c>
      <c r="C366" s="9">
        <v>21694.0</v>
      </c>
      <c r="D366" s="9">
        <v>5098.0</v>
      </c>
      <c r="E366" s="9">
        <v>38.0</v>
      </c>
      <c r="F366" s="14"/>
      <c r="G366" s="15"/>
      <c r="H366" s="15"/>
      <c r="I366" s="14"/>
      <c r="J366" s="14"/>
      <c r="K366" s="14"/>
      <c r="L366" s="14"/>
      <c r="M366" s="14"/>
      <c r="N366" s="14"/>
      <c r="P366" s="14"/>
    </row>
    <row r="367" ht="18.75" customHeight="1">
      <c r="A367" s="7" t="s">
        <v>2358</v>
      </c>
      <c r="B367" s="9">
        <v>1380.0</v>
      </c>
      <c r="C367" s="9">
        <v>1356.0</v>
      </c>
      <c r="D367" s="9">
        <v>570.0</v>
      </c>
      <c r="E367" s="9">
        <v>39.0</v>
      </c>
      <c r="F367" s="14"/>
      <c r="G367" s="15"/>
      <c r="H367" s="15"/>
      <c r="I367" s="14"/>
      <c r="J367" s="14"/>
      <c r="K367" s="14"/>
      <c r="L367" s="14"/>
      <c r="M367" s="14"/>
      <c r="N367" s="14"/>
      <c r="P367" s="14"/>
    </row>
    <row r="368" ht="18.75" customHeight="1">
      <c r="A368" s="7" t="s">
        <v>2360</v>
      </c>
      <c r="B368" s="9">
        <v>60842.0</v>
      </c>
      <c r="C368" s="9">
        <v>60091.0</v>
      </c>
      <c r="D368" s="9">
        <v>23735.0</v>
      </c>
      <c r="E368" s="9">
        <v>1524.0</v>
      </c>
      <c r="F368" s="14"/>
      <c r="G368" s="15"/>
      <c r="H368" s="15"/>
      <c r="I368" s="14"/>
      <c r="J368" s="14"/>
      <c r="K368" s="14"/>
      <c r="L368" s="14"/>
      <c r="M368" s="14"/>
      <c r="N368" s="14"/>
      <c r="P368" s="14"/>
    </row>
    <row r="369" ht="18.75" customHeight="1">
      <c r="A369" s="7" t="s">
        <v>2284</v>
      </c>
      <c r="B369" s="9">
        <v>96351.0</v>
      </c>
      <c r="C369" s="9">
        <v>95028.0</v>
      </c>
      <c r="D369" s="9">
        <v>26125.0</v>
      </c>
      <c r="E369" s="9">
        <v>993.0</v>
      </c>
      <c r="F369" s="14"/>
      <c r="G369" s="15"/>
      <c r="H369" s="15"/>
      <c r="I369" s="14"/>
      <c r="J369" s="14"/>
      <c r="K369" s="14"/>
      <c r="L369" s="14"/>
      <c r="M369" s="14"/>
      <c r="N369" s="14"/>
      <c r="P369" s="14"/>
    </row>
    <row r="370" ht="18.75" customHeight="1">
      <c r="A370" s="7" t="s">
        <v>2361</v>
      </c>
      <c r="B370" s="9">
        <v>48998.0</v>
      </c>
      <c r="C370" s="9">
        <v>48380.0</v>
      </c>
      <c r="D370" s="9">
        <v>9709.0</v>
      </c>
      <c r="E370" s="9">
        <v>243.0</v>
      </c>
      <c r="F370" s="14"/>
      <c r="G370" s="15"/>
      <c r="H370" s="15"/>
      <c r="I370" s="14"/>
      <c r="J370" s="14"/>
      <c r="K370" s="14"/>
      <c r="L370" s="14"/>
      <c r="M370" s="14"/>
      <c r="N370" s="14"/>
      <c r="P370" s="14"/>
    </row>
    <row r="371" ht="18.75" customHeight="1">
      <c r="A371" s="7" t="s">
        <v>2362</v>
      </c>
      <c r="B371" s="9">
        <v>107343.0</v>
      </c>
      <c r="C371" s="9">
        <v>105995.0</v>
      </c>
      <c r="D371" s="9">
        <v>33326.0</v>
      </c>
      <c r="E371" s="9">
        <v>992.0</v>
      </c>
      <c r="F371" s="14"/>
      <c r="G371" s="15"/>
      <c r="H371" s="15"/>
      <c r="I371" s="14"/>
      <c r="J371" s="14"/>
      <c r="K371" s="14"/>
      <c r="L371" s="14"/>
      <c r="M371" s="14"/>
      <c r="N371" s="14"/>
      <c r="P371" s="14"/>
    </row>
    <row r="372" ht="18.75" customHeight="1">
      <c r="A372" s="7" t="s">
        <v>2363</v>
      </c>
      <c r="B372" s="9">
        <v>29964.0</v>
      </c>
      <c r="C372" s="9">
        <v>29545.0</v>
      </c>
      <c r="D372" s="9">
        <v>9860.0</v>
      </c>
      <c r="E372" s="9">
        <v>445.0</v>
      </c>
      <c r="F372" s="14"/>
      <c r="G372" s="15"/>
      <c r="H372" s="15"/>
      <c r="I372" s="14"/>
      <c r="J372" s="14"/>
      <c r="K372" s="14"/>
      <c r="L372" s="14"/>
      <c r="M372" s="14"/>
      <c r="N372" s="14"/>
    </row>
    <row r="373" ht="18.75" customHeight="1">
      <c r="A373" s="7" t="s">
        <v>2364</v>
      </c>
      <c r="B373" s="9">
        <v>5506.0</v>
      </c>
      <c r="C373" s="9">
        <v>5425.0</v>
      </c>
      <c r="D373" s="9">
        <v>1048.0</v>
      </c>
      <c r="E373" s="9">
        <v>26.0</v>
      </c>
      <c r="F373" s="14"/>
      <c r="G373" s="15"/>
      <c r="H373" s="15"/>
      <c r="I373" s="14"/>
      <c r="J373" s="14"/>
      <c r="K373" s="14"/>
      <c r="L373" s="14"/>
      <c r="M373" s="14"/>
      <c r="N373" s="14"/>
    </row>
    <row r="374" ht="18.75" customHeight="1">
      <c r="A374" s="7" t="s">
        <v>2286</v>
      </c>
      <c r="B374" s="9">
        <v>1034.0</v>
      </c>
      <c r="C374" s="9">
        <v>1022.0</v>
      </c>
      <c r="D374" s="9">
        <v>435.0</v>
      </c>
      <c r="E374" s="9">
        <v>4.0</v>
      </c>
      <c r="F374" s="14"/>
      <c r="G374" s="15"/>
      <c r="H374" s="15"/>
      <c r="I374" s="14"/>
      <c r="J374" s="14"/>
      <c r="K374" s="14"/>
      <c r="L374" s="14"/>
      <c r="M374" s="14"/>
      <c r="N374" s="14"/>
      <c r="P374" s="14"/>
    </row>
    <row r="375" ht="18.75" customHeight="1">
      <c r="A375" s="7" t="s">
        <v>2362</v>
      </c>
      <c r="B375" s="9">
        <v>107271.0</v>
      </c>
      <c r="C375" s="9">
        <v>105910.0</v>
      </c>
      <c r="D375" s="9">
        <v>30659.0</v>
      </c>
      <c r="E375" s="9">
        <v>1286.0</v>
      </c>
      <c r="F375" s="14"/>
      <c r="G375" s="15"/>
      <c r="H375" s="15"/>
      <c r="I375" s="14"/>
      <c r="J375" s="14"/>
      <c r="K375" s="14"/>
      <c r="L375" s="14"/>
      <c r="M375" s="14"/>
      <c r="N375" s="14"/>
      <c r="P375" s="14"/>
    </row>
    <row r="376" ht="18.75" customHeight="1">
      <c r="A376" s="7" t="s">
        <v>2274</v>
      </c>
      <c r="B376" s="9">
        <v>17699.0</v>
      </c>
      <c r="C376" s="9">
        <v>17446.0</v>
      </c>
      <c r="D376" s="9">
        <v>4611.0</v>
      </c>
      <c r="E376" s="9">
        <v>145.0</v>
      </c>
      <c r="F376" s="14"/>
      <c r="G376" s="15"/>
      <c r="H376" s="15"/>
      <c r="I376" s="14"/>
      <c r="J376" s="14"/>
      <c r="K376" s="14"/>
      <c r="L376" s="14"/>
      <c r="M376" s="14"/>
      <c r="N376" s="14"/>
      <c r="P376" s="14"/>
    </row>
    <row r="377" ht="18.75" customHeight="1">
      <c r="A377" s="7" t="s">
        <v>2365</v>
      </c>
      <c r="B377" s="9">
        <v>125809.0</v>
      </c>
      <c r="C377" s="9">
        <v>124503.0</v>
      </c>
      <c r="D377" s="9">
        <v>52298.0</v>
      </c>
      <c r="E377" s="9">
        <v>710.0</v>
      </c>
      <c r="F377" s="14"/>
      <c r="G377" s="15"/>
      <c r="H377" s="15"/>
      <c r="I377" s="14"/>
      <c r="J377" s="14"/>
      <c r="K377" s="14"/>
      <c r="L377" s="14"/>
      <c r="M377" s="14"/>
      <c r="N377" s="14"/>
    </row>
    <row r="378" ht="18.75" customHeight="1">
      <c r="A378" s="7" t="s">
        <v>2366</v>
      </c>
      <c r="B378" s="9">
        <v>21741.0</v>
      </c>
      <c r="C378" s="9">
        <v>21430.0</v>
      </c>
      <c r="D378" s="9">
        <v>3771.0</v>
      </c>
      <c r="E378" s="9">
        <v>109.0</v>
      </c>
      <c r="F378" s="14"/>
      <c r="G378" s="15"/>
      <c r="H378" s="15"/>
      <c r="I378" s="14"/>
      <c r="J378" s="14"/>
      <c r="K378" s="14"/>
      <c r="L378" s="14"/>
      <c r="M378" s="14"/>
      <c r="N378" s="14"/>
      <c r="P378" s="14"/>
    </row>
    <row r="379" ht="18.75" customHeight="1">
      <c r="A379" s="7" t="s">
        <v>2367</v>
      </c>
      <c r="B379" s="9">
        <v>73682.0</v>
      </c>
      <c r="C379" s="9">
        <v>72779.0</v>
      </c>
      <c r="D379" s="9">
        <v>23156.0</v>
      </c>
      <c r="E379" s="9">
        <v>1271.0</v>
      </c>
      <c r="F379" s="14"/>
      <c r="G379" s="15"/>
      <c r="H379" s="15"/>
      <c r="I379" s="14"/>
      <c r="J379" s="14"/>
      <c r="K379" s="14"/>
      <c r="L379" s="14"/>
      <c r="M379" s="14"/>
      <c r="N379" s="14"/>
      <c r="P379" s="14"/>
    </row>
    <row r="380" ht="18.75" customHeight="1">
      <c r="A380" s="7" t="s">
        <v>2364</v>
      </c>
      <c r="B380" s="9">
        <v>4467.0</v>
      </c>
      <c r="C380" s="9">
        <v>4372.0</v>
      </c>
      <c r="D380" s="9">
        <v>900.0</v>
      </c>
      <c r="E380" s="9">
        <v>20.0</v>
      </c>
      <c r="F380" s="14"/>
      <c r="G380" s="15"/>
      <c r="H380" s="15"/>
      <c r="I380" s="14"/>
      <c r="J380" s="14"/>
      <c r="K380" s="14"/>
      <c r="L380" s="14"/>
      <c r="M380" s="14"/>
      <c r="N380" s="14"/>
      <c r="P380" s="14"/>
    </row>
    <row r="381" ht="18.75" customHeight="1">
      <c r="A381" s="7" t="s">
        <v>2283</v>
      </c>
      <c r="B381" s="9">
        <v>13627.0</v>
      </c>
      <c r="C381" s="9">
        <v>13439.0</v>
      </c>
      <c r="D381" s="9">
        <v>3130.0</v>
      </c>
      <c r="E381" s="9">
        <v>32.0</v>
      </c>
      <c r="F381" s="14"/>
      <c r="G381" s="15"/>
      <c r="H381" s="15"/>
      <c r="I381" s="14"/>
      <c r="J381" s="14"/>
      <c r="K381" s="14"/>
      <c r="L381" s="14"/>
      <c r="M381" s="14"/>
      <c r="N381" s="14"/>
      <c r="P381" s="14"/>
    </row>
    <row r="382" ht="18.75" customHeight="1">
      <c r="A382" s="7" t="s">
        <v>2368</v>
      </c>
      <c r="B382" s="9">
        <v>35506.0</v>
      </c>
      <c r="C382" s="9">
        <v>35099.0</v>
      </c>
      <c r="D382" s="9">
        <v>13083.0</v>
      </c>
      <c r="E382" s="9">
        <v>1159.0</v>
      </c>
      <c r="F382" s="14"/>
      <c r="G382" s="15"/>
      <c r="H382" s="15"/>
      <c r="I382" s="14"/>
      <c r="J382" s="14"/>
      <c r="K382" s="14"/>
      <c r="L382" s="14"/>
      <c r="M382" s="14"/>
      <c r="N382" s="14"/>
      <c r="P382" s="14"/>
    </row>
    <row r="383" ht="18.75" customHeight="1">
      <c r="A383" s="7" t="s">
        <v>2369</v>
      </c>
      <c r="B383" s="9">
        <v>79334.0</v>
      </c>
      <c r="C383" s="9">
        <v>78329.0</v>
      </c>
      <c r="D383" s="9">
        <v>18533.0</v>
      </c>
      <c r="E383" s="9">
        <v>967.0</v>
      </c>
      <c r="F383" s="14"/>
      <c r="G383" s="15"/>
      <c r="H383" s="15"/>
      <c r="I383" s="14"/>
      <c r="J383" s="14"/>
      <c r="K383" s="14"/>
      <c r="L383" s="14"/>
      <c r="M383" s="14"/>
      <c r="N383" s="14"/>
      <c r="P383" s="14"/>
    </row>
    <row r="384" ht="18.75" customHeight="1">
      <c r="A384" s="7" t="s">
        <v>2370</v>
      </c>
      <c r="B384" s="9">
        <v>72906.0</v>
      </c>
      <c r="C384" s="9">
        <v>71853.0</v>
      </c>
      <c r="D384" s="9">
        <v>1950.0</v>
      </c>
      <c r="E384" s="9">
        <v>1525.0</v>
      </c>
      <c r="F384" s="14"/>
      <c r="G384" s="15"/>
      <c r="H384" s="15"/>
      <c r="I384" s="14"/>
      <c r="J384" s="14"/>
      <c r="K384" s="14"/>
      <c r="L384" s="14"/>
      <c r="M384" s="14"/>
      <c r="N384" s="14"/>
      <c r="P384" s="14"/>
    </row>
    <row r="385" ht="18.75" customHeight="1">
      <c r="A385" s="7" t="s">
        <v>2356</v>
      </c>
      <c r="B385" s="9">
        <v>7995.0</v>
      </c>
      <c r="C385" s="9">
        <v>7939.0</v>
      </c>
      <c r="D385" s="9">
        <v>4037.0</v>
      </c>
      <c r="E385" s="9">
        <v>7.0</v>
      </c>
      <c r="F385" s="14"/>
      <c r="G385" s="15"/>
      <c r="H385" s="15"/>
      <c r="I385" s="14"/>
      <c r="J385" s="14"/>
      <c r="K385" s="14"/>
      <c r="L385" s="14"/>
      <c r="M385" s="14"/>
      <c r="N385" s="14"/>
      <c r="P385" s="14"/>
    </row>
    <row r="386" ht="18.75" customHeight="1">
      <c r="A386" s="7" t="s">
        <v>2362</v>
      </c>
      <c r="B386" s="9">
        <v>107218.0</v>
      </c>
      <c r="C386" s="9">
        <v>105805.0</v>
      </c>
      <c r="D386" s="9">
        <v>29244.0</v>
      </c>
      <c r="E386" s="9">
        <v>735.0</v>
      </c>
      <c r="F386" s="14"/>
      <c r="G386" s="15"/>
      <c r="H386" s="15"/>
      <c r="I386" s="14"/>
      <c r="J386" s="14"/>
      <c r="K386" s="14"/>
      <c r="L386" s="14"/>
      <c r="M386" s="14"/>
      <c r="N386" s="14"/>
      <c r="P386" s="14"/>
    </row>
    <row r="387" ht="18.75" customHeight="1">
      <c r="A387" s="7" t="s">
        <v>2371</v>
      </c>
      <c r="B387" s="9">
        <v>63323.0</v>
      </c>
      <c r="C387" s="9">
        <v>62568.0</v>
      </c>
      <c r="D387" s="9">
        <v>11854.0</v>
      </c>
      <c r="E387" s="9">
        <v>294.0</v>
      </c>
      <c r="F387" s="14"/>
      <c r="G387" s="15"/>
      <c r="H387" s="15"/>
      <c r="I387" s="14"/>
      <c r="J387" s="14"/>
      <c r="K387" s="14"/>
      <c r="L387" s="14"/>
      <c r="M387" s="14"/>
      <c r="N387" s="14"/>
      <c r="P387" s="14"/>
    </row>
    <row r="388" ht="18.75" customHeight="1">
      <c r="A388" s="7" t="s">
        <v>2360</v>
      </c>
      <c r="B388" s="9">
        <v>634.0</v>
      </c>
      <c r="C388" s="9">
        <v>630.0</v>
      </c>
      <c r="D388" s="9">
        <v>415.0</v>
      </c>
      <c r="E388" s="9">
        <v>4.0</v>
      </c>
      <c r="F388" s="14"/>
      <c r="G388" s="15"/>
      <c r="H388" s="15"/>
      <c r="I388" s="14"/>
      <c r="J388" s="14"/>
      <c r="K388" s="14"/>
      <c r="L388" s="14"/>
      <c r="M388" s="14"/>
      <c r="N388" s="14"/>
      <c r="P388" s="14"/>
    </row>
    <row r="389" ht="18.75" customHeight="1">
      <c r="A389" s="7" t="s">
        <v>2372</v>
      </c>
      <c r="B389" s="9">
        <v>140482.0</v>
      </c>
      <c r="C389" s="9">
        <v>138876.0</v>
      </c>
      <c r="D389" s="9">
        <v>53337.0</v>
      </c>
      <c r="E389" s="9">
        <v>142.0</v>
      </c>
      <c r="F389" s="14"/>
      <c r="G389" s="15"/>
      <c r="H389" s="15"/>
      <c r="I389" s="14"/>
      <c r="J389" s="14"/>
      <c r="K389" s="14"/>
      <c r="L389" s="14"/>
      <c r="M389" s="14"/>
      <c r="N389" s="14"/>
      <c r="P389" s="14"/>
    </row>
    <row r="390" ht="18.75" customHeight="1">
      <c r="A390" s="7" t="s">
        <v>2274</v>
      </c>
      <c r="B390" s="9">
        <v>16897.0</v>
      </c>
      <c r="C390" s="9">
        <v>16671.0</v>
      </c>
      <c r="D390" s="9">
        <v>4536.0</v>
      </c>
      <c r="E390" s="9">
        <v>109.0</v>
      </c>
      <c r="F390" s="14"/>
      <c r="G390" s="15"/>
      <c r="H390" s="15"/>
      <c r="I390" s="14"/>
      <c r="J390" s="14"/>
      <c r="K390" s="14"/>
      <c r="L390" s="14"/>
      <c r="M390" s="14"/>
      <c r="N390" s="14"/>
      <c r="P390" s="14"/>
    </row>
    <row r="391" ht="18.75" customHeight="1">
      <c r="A391" s="7" t="s">
        <v>2335</v>
      </c>
      <c r="B391" s="9">
        <v>13801.0</v>
      </c>
      <c r="C391" s="9">
        <v>13639.0</v>
      </c>
      <c r="D391" s="9">
        <v>3569.0</v>
      </c>
      <c r="E391" s="9">
        <v>83.0</v>
      </c>
      <c r="F391" s="14"/>
      <c r="G391" s="15"/>
      <c r="H391" s="15"/>
      <c r="I391" s="14"/>
      <c r="J391" s="14"/>
      <c r="K391" s="14"/>
      <c r="L391" s="14"/>
      <c r="M391" s="14"/>
      <c r="N391" s="14"/>
      <c r="P391" s="14"/>
    </row>
    <row r="392" ht="18.75" customHeight="1">
      <c r="A392" s="7" t="s">
        <v>2373</v>
      </c>
      <c r="B392" s="9">
        <v>100912.0</v>
      </c>
      <c r="C392" s="9">
        <v>99509.0</v>
      </c>
      <c r="D392" s="9">
        <v>25937.0</v>
      </c>
      <c r="E392" s="9">
        <v>484.0</v>
      </c>
      <c r="F392" s="14"/>
      <c r="G392" s="15"/>
      <c r="H392" s="15"/>
      <c r="I392" s="14"/>
      <c r="J392" s="14"/>
      <c r="K392" s="14"/>
      <c r="L392" s="14"/>
      <c r="M392" s="14"/>
      <c r="N392" s="14"/>
    </row>
    <row r="393" ht="18.75" customHeight="1">
      <c r="A393" s="7" t="s">
        <v>2374</v>
      </c>
      <c r="B393" s="9">
        <v>136895.0</v>
      </c>
      <c r="C393" s="9">
        <v>135584.0</v>
      </c>
      <c r="D393" s="9">
        <v>57942.0</v>
      </c>
      <c r="E393" s="9">
        <v>2274.0</v>
      </c>
      <c r="F393" s="14"/>
      <c r="G393" s="15"/>
      <c r="H393" s="15"/>
      <c r="I393" s="14"/>
      <c r="J393" s="14"/>
      <c r="K393" s="14"/>
      <c r="L393" s="14"/>
      <c r="M393" s="14"/>
      <c r="N393" s="14"/>
    </row>
    <row r="394" ht="18.75" customHeight="1">
      <c r="A394" s="7" t="s">
        <v>2373</v>
      </c>
      <c r="B394" s="9">
        <v>89017.0</v>
      </c>
      <c r="C394" s="9">
        <v>87747.0</v>
      </c>
      <c r="D394" s="9">
        <v>19209.0</v>
      </c>
      <c r="E394" s="9">
        <v>366.0</v>
      </c>
      <c r="F394" s="14"/>
      <c r="G394" s="15"/>
      <c r="H394" s="15"/>
      <c r="I394" s="14"/>
      <c r="J394" s="14"/>
      <c r="K394" s="14"/>
      <c r="L394" s="14"/>
      <c r="M394" s="14"/>
      <c r="N394" s="14"/>
      <c r="P394" s="14"/>
    </row>
    <row r="395" ht="18.75" customHeight="1">
      <c r="A395" s="7" t="s">
        <v>2283</v>
      </c>
      <c r="B395" s="9">
        <v>17671.0</v>
      </c>
      <c r="C395" s="9">
        <v>17412.0</v>
      </c>
      <c r="D395" s="9">
        <v>3737.0</v>
      </c>
      <c r="E395" s="9">
        <v>33.0</v>
      </c>
      <c r="F395" s="14"/>
      <c r="G395" s="15"/>
      <c r="H395" s="15"/>
      <c r="I395" s="14"/>
      <c r="J395" s="14"/>
      <c r="K395" s="14"/>
      <c r="L395" s="14"/>
      <c r="M395" s="14"/>
      <c r="N395" s="14"/>
      <c r="P395" s="14"/>
    </row>
    <row r="396" ht="18.75" customHeight="1">
      <c r="A396" s="7" t="s">
        <v>2236</v>
      </c>
      <c r="B396" s="9">
        <v>28441.0</v>
      </c>
      <c r="C396" s="9">
        <v>27909.0</v>
      </c>
      <c r="D396" s="9">
        <v>11334.0</v>
      </c>
      <c r="E396" s="9">
        <v>1783.0</v>
      </c>
      <c r="F396" s="14"/>
      <c r="G396" s="15"/>
      <c r="H396" s="15"/>
      <c r="I396" s="14"/>
      <c r="J396" s="14"/>
      <c r="K396" s="14"/>
      <c r="L396" s="14"/>
      <c r="M396" s="14"/>
      <c r="N396" s="14"/>
      <c r="P396" s="14"/>
    </row>
    <row r="397" ht="18.75" customHeight="1">
      <c r="A397" s="7" t="s">
        <v>2373</v>
      </c>
      <c r="B397" s="9">
        <v>147255.0</v>
      </c>
      <c r="C397" s="9">
        <v>144572.0</v>
      </c>
      <c r="D397" s="9">
        <v>30802.0</v>
      </c>
      <c r="E397" s="9">
        <v>288.0</v>
      </c>
      <c r="F397" s="14"/>
      <c r="G397" s="15"/>
      <c r="H397" s="15"/>
      <c r="I397" s="14"/>
      <c r="J397" s="14"/>
      <c r="K397" s="14"/>
      <c r="L397" s="14"/>
      <c r="M397" s="14"/>
      <c r="N397" s="14"/>
      <c r="P397" s="14"/>
    </row>
    <row r="398" ht="18.75" customHeight="1">
      <c r="A398" s="7" t="s">
        <v>2335</v>
      </c>
      <c r="B398" s="9">
        <v>37544.0</v>
      </c>
      <c r="C398" s="9">
        <v>37040.0</v>
      </c>
      <c r="D398" s="9">
        <v>10659.0</v>
      </c>
      <c r="E398" s="9">
        <v>255.0</v>
      </c>
      <c r="F398" s="14"/>
      <c r="G398" s="15"/>
      <c r="H398" s="15"/>
      <c r="I398" s="14"/>
      <c r="J398" s="14"/>
      <c r="K398" s="14"/>
      <c r="L398" s="14"/>
      <c r="M398" s="14"/>
      <c r="N398" s="14"/>
      <c r="P398" s="14"/>
    </row>
    <row r="399" ht="18.75" customHeight="1">
      <c r="A399" s="7" t="s">
        <v>2335</v>
      </c>
      <c r="B399" s="9">
        <v>7017.0</v>
      </c>
      <c r="C399" s="9">
        <v>6934.0</v>
      </c>
      <c r="D399" s="9">
        <v>2367.0</v>
      </c>
      <c r="E399" s="9">
        <v>90.0</v>
      </c>
      <c r="F399" s="14"/>
      <c r="G399" s="15"/>
      <c r="H399" s="15"/>
      <c r="I399" s="14"/>
      <c r="J399" s="14"/>
      <c r="K399" s="14"/>
      <c r="L399" s="14"/>
      <c r="M399" s="14"/>
      <c r="N399" s="14"/>
      <c r="P399" s="14"/>
    </row>
    <row r="400" ht="18.75" customHeight="1">
      <c r="A400" s="7" t="s">
        <v>2375</v>
      </c>
      <c r="B400" s="9">
        <v>15153.0</v>
      </c>
      <c r="C400" s="9">
        <v>14962.0</v>
      </c>
      <c r="D400" s="9">
        <v>5441.0</v>
      </c>
      <c r="E400" s="9">
        <v>1871.0</v>
      </c>
      <c r="F400" s="14"/>
      <c r="G400" s="15"/>
      <c r="H400" s="15"/>
      <c r="I400" s="14"/>
      <c r="J400" s="14"/>
      <c r="K400" s="14"/>
      <c r="L400" s="14"/>
      <c r="M400" s="14"/>
      <c r="N400" s="14"/>
      <c r="P400" s="14"/>
    </row>
    <row r="401" ht="18.75" customHeight="1">
      <c r="A401" s="7" t="s">
        <v>2376</v>
      </c>
      <c r="B401" s="9">
        <v>7363.0</v>
      </c>
      <c r="C401" s="9">
        <v>7230.0</v>
      </c>
      <c r="D401" s="9">
        <v>2282.0</v>
      </c>
      <c r="E401" s="9">
        <v>85.0</v>
      </c>
      <c r="F401" s="14"/>
      <c r="G401" s="15"/>
      <c r="H401" s="15"/>
      <c r="I401" s="14"/>
      <c r="J401" s="14"/>
      <c r="K401" s="14"/>
      <c r="L401" s="14"/>
      <c r="M401" s="14"/>
      <c r="N401" s="14"/>
      <c r="P401" s="14"/>
    </row>
    <row r="402" ht="18.75" customHeight="1">
      <c r="A402" s="7" t="s">
        <v>2286</v>
      </c>
      <c r="B402" s="9">
        <v>94.0</v>
      </c>
      <c r="C402" s="9">
        <v>93.0</v>
      </c>
      <c r="D402" s="9">
        <v>42.0</v>
      </c>
      <c r="E402" s="9">
        <v>4.0</v>
      </c>
      <c r="F402" s="14"/>
      <c r="G402" s="15"/>
      <c r="H402" s="15"/>
      <c r="I402" s="14"/>
      <c r="J402" s="14"/>
      <c r="K402" s="14"/>
      <c r="L402" s="14"/>
      <c r="M402" s="14"/>
      <c r="N402" s="14"/>
      <c r="P402" s="14"/>
    </row>
    <row r="403" ht="18.75" customHeight="1">
      <c r="A403" s="7" t="s">
        <v>2373</v>
      </c>
      <c r="B403" s="9">
        <v>125607.0</v>
      </c>
      <c r="C403" s="9">
        <v>123698.0</v>
      </c>
      <c r="D403" s="9">
        <v>35771.0</v>
      </c>
      <c r="E403" s="9">
        <v>167.0</v>
      </c>
      <c r="F403" s="14"/>
      <c r="G403" s="15"/>
      <c r="H403" s="15"/>
      <c r="I403" s="14"/>
      <c r="J403" s="14"/>
      <c r="K403" s="14"/>
      <c r="L403" s="14"/>
      <c r="M403" s="14"/>
      <c r="N403" s="14"/>
    </row>
    <row r="404" ht="18.75" customHeight="1">
      <c r="A404" s="7" t="s">
        <v>2373</v>
      </c>
      <c r="B404" s="9">
        <v>121577.0</v>
      </c>
      <c r="C404" s="9">
        <v>119747.0</v>
      </c>
      <c r="D404" s="9">
        <v>31417.0</v>
      </c>
      <c r="E404" s="9">
        <v>165.0</v>
      </c>
      <c r="F404" s="14"/>
      <c r="G404" s="15"/>
      <c r="H404" s="15"/>
      <c r="I404" s="14"/>
      <c r="J404" s="14"/>
      <c r="K404" s="14"/>
      <c r="L404" s="14"/>
      <c r="M404" s="14"/>
      <c r="N404" s="14"/>
      <c r="P404" s="14"/>
    </row>
    <row r="405" ht="18.75" customHeight="1">
      <c r="A405" s="7" t="s">
        <v>2377</v>
      </c>
      <c r="B405" s="9">
        <v>63742.0</v>
      </c>
      <c r="C405" s="9">
        <v>62742.0</v>
      </c>
      <c r="D405" s="9">
        <v>20940.0</v>
      </c>
      <c r="E405" s="9">
        <v>827.0</v>
      </c>
      <c r="F405" s="14"/>
      <c r="G405" s="15"/>
      <c r="H405" s="15"/>
      <c r="I405" s="14"/>
      <c r="J405" s="14"/>
      <c r="K405" s="14"/>
      <c r="L405" s="14"/>
      <c r="M405" s="14"/>
      <c r="N405" s="14"/>
      <c r="P405" s="14"/>
    </row>
    <row r="406" ht="18.75" customHeight="1">
      <c r="A406" s="7" t="s">
        <v>2378</v>
      </c>
      <c r="B406" s="9">
        <v>66652.0</v>
      </c>
      <c r="C406" s="9">
        <v>65786.0</v>
      </c>
      <c r="D406" s="9">
        <v>12758.0</v>
      </c>
      <c r="E406" s="9">
        <v>209.0</v>
      </c>
      <c r="F406" s="14"/>
      <c r="G406" s="15"/>
      <c r="H406" s="15"/>
      <c r="I406" s="14"/>
      <c r="J406" s="14"/>
      <c r="K406" s="14"/>
      <c r="L406" s="14"/>
      <c r="M406" s="14"/>
      <c r="N406" s="14"/>
      <c r="P406" s="14"/>
    </row>
    <row r="407" ht="18.75" customHeight="1">
      <c r="A407" s="7" t="s">
        <v>2374</v>
      </c>
      <c r="B407" s="9">
        <v>1243.0</v>
      </c>
      <c r="C407" s="9">
        <v>1240.0</v>
      </c>
      <c r="D407" s="9">
        <v>1033.0</v>
      </c>
      <c r="E407" s="9">
        <v>14.0</v>
      </c>
      <c r="F407" s="14"/>
      <c r="G407" s="15"/>
      <c r="H407" s="15"/>
      <c r="I407" s="14"/>
      <c r="J407" s="14"/>
      <c r="K407" s="14"/>
      <c r="L407" s="14"/>
      <c r="M407" s="14"/>
      <c r="N407" s="14"/>
      <c r="P407" s="14"/>
    </row>
    <row r="408" ht="18.75" customHeight="1">
      <c r="A408" s="7" t="s">
        <v>2379</v>
      </c>
      <c r="B408" s="9">
        <v>45918.0</v>
      </c>
      <c r="C408" s="9">
        <v>45266.0</v>
      </c>
      <c r="D408" s="9">
        <v>13466.0</v>
      </c>
      <c r="E408" s="9">
        <v>262.0</v>
      </c>
      <c r="F408" s="14"/>
      <c r="G408" s="15"/>
      <c r="H408" s="15"/>
      <c r="I408" s="14"/>
      <c r="J408" s="14"/>
      <c r="K408" s="14"/>
      <c r="L408" s="14"/>
      <c r="M408" s="14"/>
      <c r="N408" s="14"/>
      <c r="P408" s="14"/>
    </row>
    <row r="409" ht="18.75" customHeight="1">
      <c r="A409" s="7" t="s">
        <v>2380</v>
      </c>
      <c r="B409" s="9">
        <v>96883.0</v>
      </c>
      <c r="C409" s="9">
        <v>95574.0</v>
      </c>
      <c r="D409" s="9">
        <v>41480.0</v>
      </c>
      <c r="E409" s="9">
        <v>3692.0</v>
      </c>
      <c r="F409" s="14"/>
      <c r="G409" s="15"/>
      <c r="H409" s="15"/>
      <c r="I409" s="14"/>
      <c r="J409" s="14"/>
      <c r="K409" s="14"/>
      <c r="L409" s="14"/>
      <c r="M409" s="14"/>
      <c r="N409" s="14"/>
      <c r="P409" s="14"/>
    </row>
    <row r="410" ht="18.75" customHeight="1">
      <c r="A410" s="7" t="s">
        <v>2381</v>
      </c>
      <c r="B410" s="9">
        <v>68532.0</v>
      </c>
      <c r="C410" s="9">
        <v>67527.0</v>
      </c>
      <c r="D410" s="9">
        <v>20658.0</v>
      </c>
      <c r="E410" s="9">
        <v>2455.0</v>
      </c>
      <c r="F410" s="14"/>
      <c r="G410" s="15"/>
      <c r="H410" s="15"/>
      <c r="I410" s="14"/>
      <c r="J410" s="14"/>
      <c r="K410" s="14"/>
      <c r="L410" s="14"/>
      <c r="M410" s="14"/>
      <c r="N410" s="14"/>
      <c r="P410" s="14"/>
    </row>
    <row r="411" ht="18.75" customHeight="1">
      <c r="A411" s="7" t="s">
        <v>2382</v>
      </c>
      <c r="B411" s="9">
        <v>36653.0</v>
      </c>
      <c r="C411" s="9">
        <v>36080.0</v>
      </c>
      <c r="D411" s="9">
        <v>8030.0</v>
      </c>
      <c r="E411" s="9">
        <v>133.0</v>
      </c>
      <c r="F411" s="14"/>
      <c r="G411" s="15"/>
      <c r="H411" s="15"/>
      <c r="I411" s="14"/>
      <c r="J411" s="14"/>
      <c r="K411" s="14"/>
      <c r="L411" s="14"/>
      <c r="M411" s="14"/>
      <c r="N411" s="14"/>
      <c r="P411" s="14"/>
    </row>
    <row r="412" ht="18.75" customHeight="1">
      <c r="A412" s="7" t="s">
        <v>2383</v>
      </c>
      <c r="B412" s="9">
        <v>43057.0</v>
      </c>
      <c r="C412" s="9">
        <v>42446.0</v>
      </c>
      <c r="D412" s="9">
        <v>11408.0</v>
      </c>
      <c r="E412" s="9">
        <v>131.0</v>
      </c>
      <c r="F412" s="14"/>
      <c r="G412" s="15"/>
      <c r="H412" s="15"/>
      <c r="I412" s="14"/>
      <c r="J412" s="14"/>
      <c r="K412" s="14"/>
      <c r="L412" s="14"/>
      <c r="M412" s="14"/>
      <c r="N412" s="14"/>
    </row>
    <row r="413" ht="18.75" customHeight="1">
      <c r="A413" s="7" t="s">
        <v>2384</v>
      </c>
      <c r="B413" s="9">
        <v>62834.0</v>
      </c>
      <c r="C413" s="9">
        <v>61619.0</v>
      </c>
      <c r="D413" s="9">
        <v>20338.0</v>
      </c>
      <c r="E413" s="9">
        <v>989.0</v>
      </c>
      <c r="F413" s="14"/>
      <c r="G413" s="15"/>
      <c r="H413" s="15"/>
      <c r="I413" s="14"/>
      <c r="J413" s="14"/>
      <c r="K413" s="14"/>
      <c r="L413" s="14"/>
      <c r="M413" s="14"/>
      <c r="N413" s="14"/>
      <c r="P413" s="14"/>
    </row>
    <row r="414" ht="18.75" customHeight="1">
      <c r="A414" s="7" t="s">
        <v>2381</v>
      </c>
      <c r="B414" s="9">
        <v>66508.0</v>
      </c>
      <c r="C414" s="9">
        <v>65563.0</v>
      </c>
      <c r="D414" s="9">
        <v>21827.0</v>
      </c>
      <c r="E414" s="9">
        <v>1662.0</v>
      </c>
      <c r="F414" s="14"/>
      <c r="G414" s="15"/>
      <c r="H414" s="15"/>
      <c r="I414" s="14"/>
      <c r="J414" s="14"/>
      <c r="K414" s="14"/>
      <c r="L414" s="14"/>
      <c r="M414" s="14"/>
      <c r="N414" s="14"/>
    </row>
    <row r="415" ht="18.75" customHeight="1">
      <c r="A415" s="7" t="s">
        <v>2282</v>
      </c>
      <c r="B415" s="9">
        <v>356.0</v>
      </c>
      <c r="C415" s="9">
        <v>351.0</v>
      </c>
      <c r="D415" s="9">
        <v>149.0</v>
      </c>
      <c r="E415" s="9">
        <v>27.0</v>
      </c>
      <c r="F415" s="14"/>
      <c r="G415" s="15"/>
      <c r="H415" s="15"/>
      <c r="I415" s="14"/>
      <c r="J415" s="14"/>
      <c r="K415" s="14"/>
      <c r="L415" s="14"/>
      <c r="M415" s="14"/>
      <c r="N415" s="14"/>
    </row>
    <row r="416" ht="18.75" customHeight="1">
      <c r="A416" s="7" t="s">
        <v>2372</v>
      </c>
      <c r="B416" s="9">
        <v>86040.0</v>
      </c>
      <c r="C416" s="9">
        <v>84350.0</v>
      </c>
      <c r="D416" s="9">
        <v>11398.0</v>
      </c>
      <c r="E416" s="9">
        <v>27.0</v>
      </c>
      <c r="F416" s="14"/>
      <c r="G416" s="15"/>
      <c r="H416" s="15"/>
      <c r="I416" s="14"/>
      <c r="J416" s="14"/>
      <c r="K416" s="14"/>
      <c r="L416" s="14"/>
      <c r="M416" s="14"/>
      <c r="N416" s="14"/>
      <c r="P416" s="14"/>
    </row>
    <row r="417" ht="18.75" customHeight="1">
      <c r="A417" s="7" t="s">
        <v>2385</v>
      </c>
      <c r="B417" s="9">
        <v>28316.0</v>
      </c>
      <c r="C417" s="9">
        <v>28168.0</v>
      </c>
      <c r="D417" s="9">
        <v>15395.0</v>
      </c>
      <c r="E417" s="9">
        <v>3284.0</v>
      </c>
      <c r="F417" s="14"/>
      <c r="G417" s="15"/>
      <c r="H417" s="15"/>
      <c r="I417" s="14"/>
      <c r="J417" s="14"/>
      <c r="K417" s="14"/>
      <c r="L417" s="14"/>
      <c r="M417" s="14"/>
      <c r="N417" s="14"/>
      <c r="P417" s="14"/>
    </row>
    <row r="418" ht="18.75" customHeight="1">
      <c r="A418" s="7" t="s">
        <v>2385</v>
      </c>
      <c r="B418" s="9">
        <v>8351.0</v>
      </c>
      <c r="C418" s="9">
        <v>8351.0</v>
      </c>
      <c r="D418" s="9">
        <v>4125.0</v>
      </c>
      <c r="E418" s="9">
        <v>800.0</v>
      </c>
      <c r="F418" s="14"/>
      <c r="G418" s="15"/>
      <c r="H418" s="15"/>
      <c r="I418" s="14"/>
      <c r="J418" s="14"/>
      <c r="K418" s="14"/>
      <c r="L418" s="14"/>
      <c r="M418" s="14"/>
      <c r="N418" s="14"/>
      <c r="P418" s="14"/>
    </row>
    <row r="419" ht="18.75" customHeight="1">
      <c r="A419" s="7" t="s">
        <v>2386</v>
      </c>
      <c r="B419" s="9">
        <v>403.0</v>
      </c>
      <c r="C419" s="9">
        <v>401.0</v>
      </c>
      <c r="D419" s="9">
        <v>208.0</v>
      </c>
      <c r="E419" s="9">
        <v>35.0</v>
      </c>
      <c r="F419" s="14"/>
      <c r="G419" s="15"/>
      <c r="H419" s="15"/>
      <c r="I419" s="14"/>
      <c r="J419" s="14"/>
      <c r="K419" s="14"/>
      <c r="L419" s="14"/>
      <c r="M419" s="14"/>
      <c r="N419" s="14"/>
    </row>
    <row r="420" ht="18.75" customHeight="1">
      <c r="A420" s="7" t="s">
        <v>2286</v>
      </c>
      <c r="B420" s="9">
        <v>481.0</v>
      </c>
      <c r="C420" s="9">
        <v>470.0</v>
      </c>
      <c r="D420" s="9">
        <v>170.0</v>
      </c>
      <c r="E420" s="9">
        <v>2.0</v>
      </c>
      <c r="F420" s="14"/>
      <c r="G420" s="15"/>
      <c r="H420" s="15"/>
      <c r="I420" s="14"/>
      <c r="J420" s="14"/>
      <c r="K420" s="14"/>
      <c r="L420" s="14"/>
      <c r="M420" s="14"/>
      <c r="N420" s="14"/>
    </row>
    <row r="421" ht="18.75" customHeight="1">
      <c r="A421" s="7" t="s">
        <v>2274</v>
      </c>
      <c r="B421" s="9">
        <v>18866.0</v>
      </c>
      <c r="C421" s="9">
        <v>18594.0</v>
      </c>
      <c r="D421" s="9">
        <v>5142.0</v>
      </c>
      <c r="E421" s="9">
        <v>121.0</v>
      </c>
      <c r="F421" s="14"/>
      <c r="G421" s="15"/>
      <c r="H421" s="15"/>
      <c r="I421" s="14"/>
      <c r="J421" s="14"/>
      <c r="K421" s="14"/>
      <c r="L421" s="14"/>
      <c r="M421" s="14"/>
      <c r="N421" s="14"/>
      <c r="P421" s="14"/>
    </row>
    <row r="422" ht="18.75" customHeight="1">
      <c r="A422" s="7" t="s">
        <v>2283</v>
      </c>
      <c r="B422" s="9">
        <v>16876.0</v>
      </c>
      <c r="C422" s="9">
        <v>16615.0</v>
      </c>
      <c r="D422" s="9">
        <v>3630.0</v>
      </c>
      <c r="E422" s="9">
        <v>39.0</v>
      </c>
      <c r="F422" s="14"/>
      <c r="G422" s="15"/>
      <c r="H422" s="15"/>
      <c r="I422" s="14"/>
      <c r="J422" s="14"/>
      <c r="K422" s="14"/>
      <c r="L422" s="14"/>
      <c r="M422" s="14"/>
      <c r="N422" s="14"/>
      <c r="P422" s="14"/>
    </row>
    <row r="423" ht="18.75" customHeight="1">
      <c r="A423" s="7" t="s">
        <v>2387</v>
      </c>
      <c r="B423" s="9">
        <v>50593.0</v>
      </c>
      <c r="C423" s="9">
        <v>49875.0</v>
      </c>
      <c r="D423" s="9">
        <v>16607.0</v>
      </c>
      <c r="E423" s="9">
        <v>174.0</v>
      </c>
      <c r="F423" s="14"/>
      <c r="G423" s="15"/>
      <c r="H423" s="15"/>
      <c r="I423" s="14"/>
      <c r="J423" s="14"/>
      <c r="K423" s="14"/>
      <c r="L423" s="14"/>
      <c r="M423" s="14"/>
      <c r="N423" s="14"/>
      <c r="P423" s="14"/>
    </row>
    <row r="424" ht="18.75" customHeight="1">
      <c r="A424" s="7" t="s">
        <v>2388</v>
      </c>
      <c r="B424" s="9">
        <v>147835.0</v>
      </c>
      <c r="C424" s="9">
        <v>145848.0</v>
      </c>
      <c r="D424" s="9">
        <v>52231.0</v>
      </c>
      <c r="E424" s="9">
        <v>83.0</v>
      </c>
      <c r="F424" s="14"/>
      <c r="G424" s="15"/>
      <c r="H424" s="15"/>
      <c r="I424" s="14"/>
      <c r="J424" s="14"/>
      <c r="K424" s="14"/>
      <c r="L424" s="14"/>
      <c r="M424" s="14"/>
      <c r="N424" s="14"/>
      <c r="P424" s="14"/>
    </row>
    <row r="425" ht="18.75" customHeight="1">
      <c r="A425" s="7" t="s">
        <v>2389</v>
      </c>
      <c r="B425" s="9">
        <v>22898.0</v>
      </c>
      <c r="C425" s="9">
        <v>22569.0</v>
      </c>
      <c r="D425" s="9">
        <v>5178.0</v>
      </c>
      <c r="E425" s="9">
        <v>233.0</v>
      </c>
      <c r="F425" s="14"/>
      <c r="G425" s="15"/>
      <c r="H425" s="15"/>
      <c r="I425" s="14"/>
      <c r="J425" s="14"/>
      <c r="K425" s="14"/>
      <c r="L425" s="14"/>
      <c r="M425" s="14"/>
      <c r="N425" s="14"/>
      <c r="P425" s="14"/>
    </row>
    <row r="426" ht="18.75" customHeight="1">
      <c r="A426" s="7" t="s">
        <v>2390</v>
      </c>
      <c r="B426" s="9">
        <v>24088.0</v>
      </c>
      <c r="C426" s="9">
        <v>23735.0</v>
      </c>
      <c r="D426" s="9">
        <v>4989.0</v>
      </c>
      <c r="E426" s="9">
        <v>138.0</v>
      </c>
      <c r="F426" s="14"/>
      <c r="G426" s="15"/>
      <c r="H426" s="15"/>
      <c r="I426" s="14"/>
      <c r="J426" s="14"/>
      <c r="K426" s="14"/>
      <c r="L426" s="14"/>
      <c r="M426" s="14"/>
      <c r="N426" s="14"/>
    </row>
    <row r="427" ht="18.75" customHeight="1">
      <c r="A427" s="7" t="s">
        <v>2391</v>
      </c>
      <c r="B427" s="9">
        <v>24348.0</v>
      </c>
      <c r="C427" s="9">
        <v>23950.0</v>
      </c>
      <c r="D427" s="9">
        <v>7707.0</v>
      </c>
      <c r="E427" s="9">
        <v>27.0</v>
      </c>
      <c r="F427" s="14"/>
      <c r="G427" s="15"/>
      <c r="H427" s="15"/>
      <c r="I427" s="14"/>
      <c r="J427" s="14"/>
      <c r="K427" s="14"/>
      <c r="L427" s="14"/>
      <c r="M427" s="14"/>
      <c r="N427" s="14"/>
      <c r="P427" s="14"/>
    </row>
    <row r="428" ht="18.75" customHeight="1">
      <c r="A428" s="7" t="s">
        <v>2392</v>
      </c>
      <c r="B428" s="9">
        <v>45264.0</v>
      </c>
      <c r="C428" s="9">
        <v>44540.0</v>
      </c>
      <c r="D428" s="9">
        <v>17469.0</v>
      </c>
      <c r="E428" s="9">
        <v>320.0</v>
      </c>
      <c r="F428" s="14"/>
      <c r="G428" s="15"/>
      <c r="H428" s="15"/>
      <c r="I428" s="14"/>
      <c r="J428" s="14"/>
      <c r="K428" s="14"/>
      <c r="L428" s="14"/>
      <c r="M428" s="14"/>
      <c r="N428" s="14"/>
      <c r="P428" s="14"/>
    </row>
    <row r="429" ht="18.75" customHeight="1">
      <c r="A429" s="7" t="s">
        <v>2392</v>
      </c>
      <c r="B429" s="9">
        <v>124.0</v>
      </c>
      <c r="C429" s="9">
        <v>123.0</v>
      </c>
      <c r="D429" s="9">
        <v>47.0</v>
      </c>
      <c r="E429" s="9">
        <v>5.0</v>
      </c>
      <c r="F429" s="14"/>
      <c r="G429" s="15"/>
      <c r="H429" s="15"/>
      <c r="I429" s="14"/>
      <c r="J429" s="14"/>
      <c r="K429" s="14"/>
      <c r="L429" s="14"/>
      <c r="M429" s="14"/>
      <c r="N429" s="14"/>
      <c r="P429" s="14"/>
    </row>
    <row r="430" ht="18.75" customHeight="1">
      <c r="A430" s="7" t="s">
        <v>2383</v>
      </c>
      <c r="B430" s="9">
        <v>31719.0</v>
      </c>
      <c r="C430" s="9">
        <v>31104.0</v>
      </c>
      <c r="D430" s="9">
        <v>2131.0</v>
      </c>
      <c r="E430" s="9">
        <v>31.0</v>
      </c>
      <c r="F430" s="14"/>
      <c r="G430" s="15"/>
      <c r="H430" s="15"/>
      <c r="I430" s="14"/>
      <c r="J430" s="14"/>
      <c r="K430" s="14"/>
      <c r="L430" s="14"/>
      <c r="M430" s="14"/>
      <c r="N430" s="14"/>
    </row>
    <row r="431" ht="18.75" customHeight="1">
      <c r="A431" s="7" t="s">
        <v>2393</v>
      </c>
      <c r="B431" s="9">
        <v>72147.0</v>
      </c>
      <c r="C431" s="9">
        <v>70922.0</v>
      </c>
      <c r="D431" s="9">
        <v>19786.0</v>
      </c>
      <c r="E431" s="9">
        <v>4400.0</v>
      </c>
      <c r="F431" s="14"/>
      <c r="G431" s="15"/>
      <c r="H431" s="15"/>
      <c r="I431" s="14"/>
      <c r="J431" s="14"/>
      <c r="K431" s="14"/>
      <c r="L431" s="14"/>
      <c r="M431" s="14"/>
      <c r="N431" s="14"/>
    </row>
    <row r="432" ht="18.75" customHeight="1">
      <c r="A432" s="7" t="s">
        <v>2394</v>
      </c>
      <c r="B432" s="9">
        <v>55250.0</v>
      </c>
      <c r="C432" s="9">
        <v>54344.0</v>
      </c>
      <c r="D432" s="9">
        <v>20682.0</v>
      </c>
      <c r="E432" s="9">
        <v>3252.0</v>
      </c>
      <c r="F432" s="14"/>
      <c r="G432" s="15"/>
      <c r="H432" s="15"/>
      <c r="I432" s="14"/>
      <c r="J432" s="14"/>
      <c r="K432" s="14"/>
      <c r="L432" s="14"/>
      <c r="M432" s="14"/>
      <c r="N432" s="14"/>
      <c r="P432" s="14"/>
    </row>
    <row r="433" ht="18.75" customHeight="1">
      <c r="A433" s="7" t="s">
        <v>2395</v>
      </c>
      <c r="B433" s="9">
        <v>51715.0</v>
      </c>
      <c r="C433" s="9">
        <v>51003.0</v>
      </c>
      <c r="D433" s="9">
        <v>12165.0</v>
      </c>
      <c r="E433" s="9">
        <v>324.0</v>
      </c>
      <c r="F433" s="14"/>
      <c r="G433" s="15"/>
      <c r="H433" s="15"/>
      <c r="I433" s="14"/>
      <c r="J433" s="14"/>
      <c r="K433" s="14"/>
      <c r="L433" s="14"/>
      <c r="M433" s="14"/>
      <c r="N433" s="14"/>
    </row>
    <row r="434" ht="18.75" customHeight="1">
      <c r="A434" s="7" t="s">
        <v>2380</v>
      </c>
      <c r="B434" s="9">
        <v>60212.0</v>
      </c>
      <c r="C434" s="9">
        <v>59378.0</v>
      </c>
      <c r="D434" s="9">
        <v>22647.0</v>
      </c>
      <c r="E434" s="9">
        <v>3862.0</v>
      </c>
      <c r="F434" s="14"/>
      <c r="G434" s="15"/>
      <c r="H434" s="15"/>
      <c r="I434" s="14"/>
      <c r="J434" s="14"/>
      <c r="K434" s="14"/>
      <c r="L434" s="14"/>
      <c r="M434" s="14"/>
      <c r="N434" s="14"/>
    </row>
    <row r="435" ht="18.75" customHeight="1">
      <c r="A435" s="7" t="s">
        <v>2396</v>
      </c>
      <c r="B435" s="9">
        <v>7994.0</v>
      </c>
      <c r="C435" s="9">
        <v>7921.0</v>
      </c>
      <c r="D435" s="9">
        <v>4104.0</v>
      </c>
      <c r="E435" s="9">
        <v>7.0</v>
      </c>
      <c r="F435" s="14"/>
      <c r="G435" s="15"/>
      <c r="H435" s="15"/>
      <c r="I435" s="14"/>
      <c r="J435" s="14"/>
      <c r="K435" s="14"/>
      <c r="L435" s="14"/>
      <c r="M435" s="14"/>
      <c r="N435" s="14"/>
      <c r="P435" s="14"/>
    </row>
    <row r="436" ht="18.75" customHeight="1">
      <c r="A436" s="7" t="s">
        <v>2381</v>
      </c>
      <c r="B436" s="9">
        <v>20346.0</v>
      </c>
      <c r="C436" s="9">
        <v>20295.0</v>
      </c>
      <c r="D436" s="9">
        <v>12573.0</v>
      </c>
      <c r="E436" s="9">
        <v>1175.0</v>
      </c>
      <c r="F436" s="14"/>
      <c r="G436" s="15"/>
      <c r="H436" s="15"/>
      <c r="I436" s="14"/>
      <c r="J436" s="14"/>
      <c r="K436" s="14"/>
      <c r="L436" s="14"/>
      <c r="M436" s="14"/>
      <c r="N436" s="14"/>
      <c r="P436" s="14"/>
    </row>
    <row r="437" ht="18.75" customHeight="1">
      <c r="A437" s="7" t="s">
        <v>2397</v>
      </c>
      <c r="B437" s="9">
        <v>86959.0</v>
      </c>
      <c r="C437" s="9">
        <v>85808.0</v>
      </c>
      <c r="D437" s="9">
        <v>19478.0</v>
      </c>
      <c r="E437" s="9">
        <v>74.0</v>
      </c>
      <c r="F437" s="14"/>
      <c r="G437" s="15"/>
      <c r="H437" s="15"/>
      <c r="I437" s="14"/>
      <c r="J437" s="14"/>
      <c r="K437" s="14"/>
      <c r="L437" s="14"/>
      <c r="M437" s="14"/>
      <c r="N437" s="14"/>
    </row>
    <row r="438" ht="18.75" customHeight="1">
      <c r="A438" s="7" t="s">
        <v>2274</v>
      </c>
      <c r="B438" s="9">
        <v>21347.0</v>
      </c>
      <c r="C438" s="9">
        <v>21007.0</v>
      </c>
      <c r="D438" s="9">
        <v>5992.0</v>
      </c>
      <c r="E438" s="9">
        <v>139.0</v>
      </c>
      <c r="F438" s="14"/>
      <c r="G438" s="15"/>
      <c r="H438" s="15"/>
      <c r="I438" s="14"/>
      <c r="J438" s="14"/>
      <c r="K438" s="14"/>
      <c r="L438" s="14"/>
      <c r="M438" s="14"/>
      <c r="N438" s="14"/>
      <c r="P438" s="14"/>
    </row>
    <row r="439" ht="18.75" customHeight="1">
      <c r="A439" s="7" t="s">
        <v>2398</v>
      </c>
      <c r="B439" s="9">
        <v>17187.0</v>
      </c>
      <c r="C439" s="9">
        <v>16930.0</v>
      </c>
      <c r="D439" s="9">
        <v>3394.0</v>
      </c>
      <c r="E439" s="9">
        <v>131.0</v>
      </c>
      <c r="F439" s="14"/>
      <c r="G439" s="15"/>
      <c r="H439" s="15"/>
      <c r="I439" s="14"/>
      <c r="J439" s="14"/>
      <c r="K439" s="14"/>
      <c r="L439" s="14"/>
      <c r="M439" s="14"/>
      <c r="N439" s="14"/>
      <c r="P439" s="14"/>
    </row>
    <row r="440" ht="18.75" customHeight="1">
      <c r="A440" s="7" t="s">
        <v>2393</v>
      </c>
      <c r="B440" s="9">
        <v>68378.0</v>
      </c>
      <c r="C440" s="9">
        <v>67244.0</v>
      </c>
      <c r="D440" s="9">
        <v>21129.0</v>
      </c>
      <c r="E440" s="9">
        <v>3030.0</v>
      </c>
      <c r="F440" s="14"/>
      <c r="G440" s="15"/>
      <c r="H440" s="15"/>
      <c r="I440" s="14"/>
      <c r="J440" s="14"/>
      <c r="K440" s="14"/>
      <c r="L440" s="14"/>
      <c r="M440" s="14"/>
      <c r="N440" s="14"/>
      <c r="P440" s="14"/>
    </row>
    <row r="441" ht="18.75" customHeight="1">
      <c r="A441" s="7" t="s">
        <v>2399</v>
      </c>
      <c r="B441" s="9">
        <v>42271.0</v>
      </c>
      <c r="C441" s="9">
        <v>41673.0</v>
      </c>
      <c r="D441" s="9">
        <v>13407.0</v>
      </c>
      <c r="E441" s="9">
        <v>1143.0</v>
      </c>
      <c r="F441" s="14"/>
      <c r="G441" s="15"/>
      <c r="H441" s="15"/>
      <c r="I441" s="14"/>
      <c r="J441" s="14"/>
      <c r="K441" s="14"/>
      <c r="L441" s="14"/>
      <c r="M441" s="14"/>
      <c r="N441" s="14"/>
      <c r="P441" s="14"/>
    </row>
    <row r="442" ht="18.75" customHeight="1">
      <c r="A442" s="7" t="s">
        <v>2279</v>
      </c>
      <c r="B442" s="9">
        <v>332.0</v>
      </c>
      <c r="C442" s="9">
        <v>332.0</v>
      </c>
      <c r="D442" s="9">
        <v>139.0</v>
      </c>
      <c r="E442" s="9">
        <v>51.0</v>
      </c>
      <c r="F442" s="14"/>
      <c r="G442" s="15"/>
      <c r="H442" s="15"/>
      <c r="I442" s="14"/>
      <c r="J442" s="14"/>
      <c r="K442" s="14"/>
      <c r="L442" s="14"/>
      <c r="M442" s="14"/>
      <c r="N442" s="14"/>
    </row>
    <row r="443" ht="18.75" customHeight="1">
      <c r="A443" s="7" t="s">
        <v>2283</v>
      </c>
      <c r="B443" s="9">
        <v>18844.0</v>
      </c>
      <c r="C443" s="9">
        <v>18561.0</v>
      </c>
      <c r="D443" s="9">
        <v>3898.0</v>
      </c>
      <c r="E443" s="9">
        <v>40.0</v>
      </c>
      <c r="F443" s="14"/>
      <c r="G443" s="15"/>
      <c r="H443" s="15"/>
      <c r="I443" s="14"/>
      <c r="J443" s="14"/>
      <c r="K443" s="14"/>
      <c r="L443" s="14"/>
      <c r="M443" s="14"/>
      <c r="N443" s="14"/>
      <c r="P443" s="14"/>
    </row>
    <row r="444" ht="18.75" customHeight="1">
      <c r="A444" s="7" t="s">
        <v>2396</v>
      </c>
      <c r="B444" s="9">
        <v>8016.0</v>
      </c>
      <c r="C444" s="9">
        <v>7940.0</v>
      </c>
      <c r="D444" s="9">
        <v>3541.0</v>
      </c>
      <c r="E444" s="9">
        <v>5.0</v>
      </c>
      <c r="F444" s="14"/>
      <c r="G444" s="15"/>
      <c r="H444" s="15"/>
      <c r="I444" s="14"/>
      <c r="J444" s="14"/>
      <c r="K444" s="14"/>
      <c r="L444" s="14"/>
      <c r="M444" s="14"/>
      <c r="N444" s="14"/>
    </row>
    <row r="445" ht="18.75" customHeight="1">
      <c r="A445" s="7" t="s">
        <v>2393</v>
      </c>
      <c r="B445" s="9">
        <v>72053.0</v>
      </c>
      <c r="C445" s="9">
        <v>70812.0</v>
      </c>
      <c r="D445" s="9">
        <v>19685.0</v>
      </c>
      <c r="E445" s="9">
        <v>2849.0</v>
      </c>
      <c r="F445" s="14"/>
      <c r="G445" s="15"/>
      <c r="H445" s="15"/>
      <c r="I445" s="14"/>
      <c r="J445" s="14"/>
      <c r="K445" s="14"/>
      <c r="L445" s="14"/>
      <c r="M445" s="14"/>
      <c r="N445" s="14"/>
      <c r="P445" s="14"/>
    </row>
    <row r="446" ht="18.75" customHeight="1">
      <c r="A446" s="7" t="s">
        <v>2400</v>
      </c>
      <c r="B446" s="9">
        <v>36526.0</v>
      </c>
      <c r="C446" s="9">
        <v>35738.0</v>
      </c>
      <c r="D446" s="9">
        <v>10188.0</v>
      </c>
      <c r="E446" s="9">
        <v>849.0</v>
      </c>
      <c r="F446" s="14"/>
      <c r="G446" s="15"/>
      <c r="H446" s="15"/>
      <c r="I446" s="14"/>
      <c r="J446" s="14"/>
      <c r="K446" s="14"/>
      <c r="L446" s="14"/>
      <c r="M446" s="14"/>
      <c r="N446" s="14"/>
      <c r="P446" s="14"/>
    </row>
    <row r="447" ht="18.75" customHeight="1">
      <c r="A447" s="7" t="s">
        <v>2401</v>
      </c>
      <c r="B447" s="9">
        <v>33567.0</v>
      </c>
      <c r="C447" s="9">
        <v>33059.0</v>
      </c>
      <c r="D447" s="9">
        <v>12923.0</v>
      </c>
      <c r="E447" s="9">
        <v>174.0</v>
      </c>
      <c r="F447" s="14"/>
      <c r="G447" s="15"/>
      <c r="H447" s="15"/>
      <c r="I447" s="14"/>
      <c r="J447" s="14"/>
      <c r="K447" s="14"/>
      <c r="L447" s="14"/>
      <c r="M447" s="14"/>
      <c r="N447" s="14"/>
      <c r="P447" s="14"/>
    </row>
    <row r="448" ht="18.75" customHeight="1">
      <c r="A448" s="7" t="s">
        <v>2402</v>
      </c>
      <c r="B448" s="9">
        <v>74404.0</v>
      </c>
      <c r="C448" s="9">
        <v>74009.0</v>
      </c>
      <c r="D448" s="9">
        <v>43106.0</v>
      </c>
      <c r="E448" s="9">
        <v>482.0</v>
      </c>
      <c r="F448" s="14"/>
      <c r="G448" s="15"/>
      <c r="H448" s="15"/>
      <c r="I448" s="14"/>
      <c r="J448" s="14"/>
      <c r="K448" s="14"/>
      <c r="L448" s="14"/>
      <c r="M448" s="14"/>
      <c r="N448" s="14"/>
      <c r="P448" s="14"/>
    </row>
    <row r="449" ht="18.75" customHeight="1">
      <c r="A449" s="7" t="s">
        <v>2402</v>
      </c>
      <c r="B449" s="9">
        <v>93877.0</v>
      </c>
      <c r="C449" s="9">
        <v>92551.0</v>
      </c>
      <c r="D449" s="9">
        <v>23461.0</v>
      </c>
      <c r="E449" s="9">
        <v>94.0</v>
      </c>
      <c r="F449" s="14"/>
      <c r="G449" s="15"/>
      <c r="H449" s="15"/>
      <c r="I449" s="14"/>
      <c r="J449" s="14"/>
      <c r="K449" s="14"/>
      <c r="L449" s="14"/>
      <c r="M449" s="14"/>
      <c r="N449" s="14"/>
      <c r="P449" s="14"/>
    </row>
    <row r="450" ht="18.75" customHeight="1">
      <c r="A450" s="7" t="s">
        <v>2403</v>
      </c>
      <c r="B450" s="9">
        <v>13839.0</v>
      </c>
      <c r="C450" s="9">
        <v>13612.0</v>
      </c>
      <c r="D450" s="9">
        <v>3232.0</v>
      </c>
      <c r="E450" s="9">
        <v>97.0</v>
      </c>
      <c r="F450" s="14"/>
      <c r="G450" s="15"/>
      <c r="H450" s="15"/>
      <c r="I450" s="14"/>
      <c r="J450" s="14"/>
      <c r="K450" s="14"/>
      <c r="L450" s="14"/>
      <c r="M450" s="14"/>
      <c r="N450" s="14"/>
      <c r="P450" s="14"/>
    </row>
    <row r="451" ht="18.75" customHeight="1">
      <c r="A451" s="7" t="s">
        <v>2404</v>
      </c>
      <c r="B451" s="9">
        <v>2727.0</v>
      </c>
      <c r="C451" s="9">
        <v>2636.0</v>
      </c>
      <c r="D451" s="9">
        <v>783.0</v>
      </c>
      <c r="E451" s="9">
        <v>286.0</v>
      </c>
      <c r="F451" s="14"/>
      <c r="G451" s="15"/>
      <c r="H451" s="15"/>
      <c r="I451" s="14"/>
      <c r="J451" s="14"/>
      <c r="K451" s="14"/>
      <c r="L451" s="14"/>
      <c r="M451" s="14"/>
      <c r="N451" s="14"/>
      <c r="P451" s="14"/>
    </row>
    <row r="452" ht="18.75" customHeight="1">
      <c r="A452" s="7" t="s">
        <v>2404</v>
      </c>
      <c r="B452" s="9">
        <v>94.0</v>
      </c>
      <c r="C452" s="9">
        <v>92.0</v>
      </c>
      <c r="D452" s="9">
        <v>41.0</v>
      </c>
      <c r="E452" s="9">
        <v>0.0</v>
      </c>
      <c r="F452" s="14"/>
      <c r="G452" s="15"/>
      <c r="H452" s="15"/>
      <c r="I452" s="14"/>
      <c r="J452" s="14"/>
      <c r="K452" s="14"/>
      <c r="L452" s="14"/>
      <c r="M452" s="14"/>
      <c r="N452" s="14"/>
      <c r="P452" s="14"/>
    </row>
    <row r="453" ht="18.75" customHeight="1">
      <c r="A453" s="7" t="s">
        <v>2405</v>
      </c>
      <c r="B453" s="9">
        <v>14516.0</v>
      </c>
      <c r="C453" s="9">
        <v>14305.0</v>
      </c>
      <c r="D453" s="9">
        <v>2839.0</v>
      </c>
      <c r="E453" s="9">
        <v>103.0</v>
      </c>
      <c r="F453" s="14"/>
      <c r="G453" s="15"/>
      <c r="H453" s="15"/>
      <c r="I453" s="14"/>
      <c r="J453" s="14"/>
      <c r="K453" s="14"/>
      <c r="L453" s="14"/>
      <c r="M453" s="14"/>
      <c r="N453" s="14"/>
      <c r="P453" s="14"/>
    </row>
    <row r="454" ht="18.75" customHeight="1">
      <c r="A454" s="7" t="s">
        <v>2406</v>
      </c>
      <c r="B454" s="9">
        <v>37643.0</v>
      </c>
      <c r="C454" s="9">
        <v>37166.0</v>
      </c>
      <c r="D454" s="9">
        <v>12770.0</v>
      </c>
      <c r="E454" s="9">
        <v>48.0</v>
      </c>
      <c r="F454" s="14"/>
      <c r="G454" s="15"/>
      <c r="H454" s="15"/>
      <c r="I454" s="14"/>
      <c r="J454" s="14"/>
      <c r="K454" s="14"/>
      <c r="L454" s="14"/>
      <c r="M454" s="14"/>
      <c r="N454" s="14"/>
      <c r="P454" s="14"/>
    </row>
    <row r="455" ht="18.75" customHeight="1">
      <c r="A455" s="7" t="s">
        <v>2407</v>
      </c>
      <c r="B455" s="9">
        <v>17775.0</v>
      </c>
      <c r="C455" s="9">
        <v>17524.0</v>
      </c>
      <c r="D455" s="9">
        <v>4705.0</v>
      </c>
      <c r="E455" s="9">
        <v>139.0</v>
      </c>
      <c r="F455" s="14"/>
      <c r="G455" s="15"/>
      <c r="H455" s="15"/>
      <c r="I455" s="14"/>
      <c r="J455" s="14"/>
      <c r="K455" s="14"/>
      <c r="L455" s="14"/>
      <c r="M455" s="14"/>
      <c r="N455" s="14"/>
    </row>
    <row r="456" ht="18.75" customHeight="1">
      <c r="A456" s="7" t="s">
        <v>2406</v>
      </c>
      <c r="B456" s="9">
        <v>21752.0</v>
      </c>
      <c r="C456" s="9">
        <v>21740.0</v>
      </c>
      <c r="D456" s="9">
        <v>14980.0</v>
      </c>
      <c r="E456" s="9">
        <v>54.0</v>
      </c>
      <c r="F456" s="14"/>
      <c r="G456" s="15"/>
      <c r="H456" s="15"/>
      <c r="I456" s="14"/>
      <c r="J456" s="14"/>
      <c r="K456" s="14"/>
      <c r="L456" s="14"/>
      <c r="M456" s="14"/>
      <c r="N456" s="14"/>
    </row>
    <row r="457" ht="18.75" customHeight="1">
      <c r="A457" s="7" t="s">
        <v>2408</v>
      </c>
      <c r="B457" s="9">
        <v>23400.0</v>
      </c>
      <c r="C457" s="9">
        <v>22996.0</v>
      </c>
      <c r="D457" s="9">
        <v>5436.0</v>
      </c>
      <c r="E457" s="9">
        <v>109.0</v>
      </c>
      <c r="F457" s="14"/>
      <c r="G457" s="15"/>
      <c r="H457" s="15"/>
      <c r="I457" s="14"/>
      <c r="J457" s="14"/>
      <c r="K457" s="14"/>
      <c r="L457" s="14"/>
      <c r="M457" s="14"/>
      <c r="N457" s="14"/>
      <c r="P457" s="14"/>
    </row>
    <row r="458" ht="18.75" customHeight="1">
      <c r="A458" s="7" t="s">
        <v>2274</v>
      </c>
      <c r="B458" s="9">
        <v>19205.0</v>
      </c>
      <c r="C458" s="9">
        <v>18922.0</v>
      </c>
      <c r="D458" s="9">
        <v>4704.0</v>
      </c>
      <c r="E458" s="9">
        <v>138.0</v>
      </c>
      <c r="F458" s="14"/>
      <c r="G458" s="15"/>
      <c r="H458" s="15"/>
      <c r="I458" s="14"/>
      <c r="J458" s="14"/>
      <c r="K458" s="14"/>
      <c r="L458" s="14"/>
      <c r="M458" s="14"/>
      <c r="N458" s="14"/>
      <c r="P458" s="14"/>
    </row>
    <row r="459" ht="18.75" customHeight="1">
      <c r="A459" s="7" t="s">
        <v>2409</v>
      </c>
      <c r="B459" s="9">
        <v>51595.0</v>
      </c>
      <c r="C459" s="9">
        <v>50851.0</v>
      </c>
      <c r="D459" s="9">
        <v>17254.0</v>
      </c>
      <c r="E459" s="9">
        <v>1277.0</v>
      </c>
      <c r="F459" s="14"/>
      <c r="G459" s="15"/>
      <c r="H459" s="15"/>
      <c r="I459" s="14"/>
      <c r="J459" s="14"/>
      <c r="K459" s="14"/>
      <c r="L459" s="14"/>
      <c r="M459" s="14"/>
      <c r="N459" s="14"/>
      <c r="P459" s="14"/>
    </row>
    <row r="460" ht="18.75" customHeight="1">
      <c r="A460" s="7" t="s">
        <v>2409</v>
      </c>
      <c r="B460" s="9">
        <v>82363.0</v>
      </c>
      <c r="C460" s="9">
        <v>81217.0</v>
      </c>
      <c r="D460" s="9">
        <v>23716.0</v>
      </c>
      <c r="E460" s="9">
        <v>2431.0</v>
      </c>
      <c r="F460" s="14"/>
      <c r="G460" s="15"/>
      <c r="H460" s="15"/>
      <c r="I460" s="14"/>
      <c r="J460" s="14"/>
      <c r="K460" s="14"/>
      <c r="L460" s="14"/>
      <c r="M460" s="14"/>
      <c r="N460" s="14"/>
      <c r="P460" s="14"/>
    </row>
    <row r="461" ht="18.75" customHeight="1">
      <c r="A461" s="7" t="s">
        <v>2409</v>
      </c>
      <c r="B461" s="9">
        <v>86811.0</v>
      </c>
      <c r="C461" s="9">
        <v>85654.0</v>
      </c>
      <c r="D461" s="9">
        <v>29258.0</v>
      </c>
      <c r="E461" s="9">
        <v>2309.0</v>
      </c>
      <c r="F461" s="14"/>
      <c r="G461" s="15"/>
      <c r="H461" s="15"/>
      <c r="I461" s="14"/>
      <c r="J461" s="14"/>
      <c r="K461" s="14"/>
      <c r="L461" s="14"/>
      <c r="M461" s="14"/>
      <c r="N461" s="14"/>
      <c r="P461" s="14"/>
    </row>
    <row r="462" ht="18.75" customHeight="1">
      <c r="A462" s="7" t="s">
        <v>2409</v>
      </c>
      <c r="B462" s="9">
        <v>73350.0</v>
      </c>
      <c r="C462" s="9">
        <v>72309.0</v>
      </c>
      <c r="D462" s="9">
        <v>26291.0</v>
      </c>
      <c r="E462" s="9">
        <v>1860.0</v>
      </c>
      <c r="F462" s="14"/>
      <c r="G462" s="15"/>
      <c r="H462" s="15"/>
      <c r="I462" s="14"/>
      <c r="J462" s="14"/>
      <c r="K462" s="14"/>
      <c r="L462" s="14"/>
      <c r="M462" s="14"/>
      <c r="N462" s="14"/>
      <c r="P462" s="14"/>
    </row>
    <row r="463" ht="18.75" customHeight="1">
      <c r="A463" s="7" t="s">
        <v>2283</v>
      </c>
      <c r="B463" s="9">
        <v>21319.0</v>
      </c>
      <c r="C463" s="9">
        <v>20981.0</v>
      </c>
      <c r="D463" s="9">
        <v>4634.0</v>
      </c>
      <c r="E463" s="9">
        <v>42.0</v>
      </c>
      <c r="F463" s="14"/>
      <c r="G463" s="15"/>
      <c r="H463" s="15"/>
      <c r="I463" s="14"/>
      <c r="J463" s="14"/>
      <c r="K463" s="14"/>
      <c r="L463" s="14"/>
      <c r="M463" s="14"/>
      <c r="N463" s="14"/>
      <c r="P463" s="14"/>
    </row>
    <row r="464" ht="18.75" customHeight="1">
      <c r="A464" s="7" t="s">
        <v>2286</v>
      </c>
      <c r="B464" s="9">
        <v>931.0</v>
      </c>
      <c r="C464" s="9">
        <v>918.0</v>
      </c>
      <c r="D464" s="9">
        <v>378.0</v>
      </c>
      <c r="E464" s="9">
        <v>0.0</v>
      </c>
      <c r="F464" s="14"/>
      <c r="G464" s="15"/>
      <c r="H464" s="15"/>
      <c r="I464" s="14"/>
      <c r="J464" s="14"/>
      <c r="K464" s="14"/>
      <c r="L464" s="14"/>
      <c r="M464" s="14"/>
      <c r="N464" s="14"/>
      <c r="P464" s="14"/>
    </row>
    <row r="465" ht="18.75" customHeight="1">
      <c r="A465" s="7" t="s">
        <v>2410</v>
      </c>
      <c r="B465" s="9">
        <v>10766.0</v>
      </c>
      <c r="C465" s="9">
        <v>10691.0</v>
      </c>
      <c r="D465" s="9">
        <v>2585.0</v>
      </c>
      <c r="E465" s="9">
        <v>37.0</v>
      </c>
      <c r="F465" s="14"/>
      <c r="G465" s="15"/>
      <c r="H465" s="15"/>
      <c r="I465" s="14"/>
      <c r="J465" s="14"/>
      <c r="K465" s="14"/>
      <c r="L465" s="14"/>
      <c r="M465" s="14"/>
      <c r="N465" s="14"/>
      <c r="P465" s="14"/>
    </row>
    <row r="466" ht="18.75" customHeight="1">
      <c r="A466" s="7" t="s">
        <v>2411</v>
      </c>
      <c r="B466" s="9">
        <v>12229.0</v>
      </c>
      <c r="C466" s="9">
        <v>12056.0</v>
      </c>
      <c r="D466" s="9">
        <v>3106.0</v>
      </c>
      <c r="E466" s="9">
        <v>174.0</v>
      </c>
      <c r="F466" s="14"/>
      <c r="G466" s="15"/>
      <c r="H466" s="15"/>
      <c r="I466" s="14"/>
      <c r="J466" s="14"/>
      <c r="K466" s="14"/>
      <c r="L466" s="14"/>
      <c r="M466" s="14"/>
      <c r="N466" s="14"/>
    </row>
    <row r="467" ht="18.75" customHeight="1">
      <c r="A467" s="7" t="s">
        <v>2412</v>
      </c>
      <c r="B467" s="9">
        <v>20787.0</v>
      </c>
      <c r="C467" s="9">
        <v>20636.0</v>
      </c>
      <c r="D467" s="9">
        <v>10428.0</v>
      </c>
      <c r="E467" s="9">
        <v>220.0</v>
      </c>
      <c r="F467" s="14"/>
      <c r="G467" s="15"/>
      <c r="H467" s="15"/>
      <c r="I467" s="14"/>
      <c r="J467" s="14"/>
      <c r="K467" s="14"/>
      <c r="L467" s="14"/>
      <c r="M467" s="14"/>
      <c r="N467" s="14"/>
      <c r="P467" s="14"/>
    </row>
    <row r="468" ht="18.75" customHeight="1">
      <c r="A468" s="7" t="s">
        <v>2406</v>
      </c>
      <c r="B468" s="9">
        <v>32025.0</v>
      </c>
      <c r="C468" s="9">
        <v>31545.0</v>
      </c>
      <c r="D468" s="9">
        <v>8062.0</v>
      </c>
      <c r="E468" s="9">
        <v>59.0</v>
      </c>
      <c r="F468" s="14"/>
      <c r="G468" s="15"/>
      <c r="H468" s="15"/>
      <c r="I468" s="14"/>
      <c r="J468" s="14"/>
      <c r="K468" s="14"/>
      <c r="L468" s="14"/>
      <c r="M468" s="14"/>
      <c r="N468" s="14"/>
      <c r="P468" s="14"/>
    </row>
    <row r="469" ht="18.75" customHeight="1">
      <c r="A469" s="7" t="s">
        <v>2412</v>
      </c>
      <c r="B469" s="9">
        <v>94454.0</v>
      </c>
      <c r="C469" s="9">
        <v>93188.0</v>
      </c>
      <c r="D469" s="9">
        <v>30065.0</v>
      </c>
      <c r="E469" s="9">
        <v>930.0</v>
      </c>
      <c r="F469" s="14"/>
      <c r="G469" s="15"/>
      <c r="H469" s="15"/>
      <c r="I469" s="14"/>
      <c r="J469" s="14"/>
      <c r="K469" s="14"/>
      <c r="L469" s="14"/>
      <c r="M469" s="14"/>
      <c r="N469" s="14"/>
      <c r="P469" s="14"/>
    </row>
    <row r="470" ht="18.75" customHeight="1">
      <c r="A470" s="7" t="s">
        <v>2413</v>
      </c>
      <c r="B470" s="9">
        <v>45430.0</v>
      </c>
      <c r="C470" s="9">
        <v>44832.0</v>
      </c>
      <c r="D470" s="9">
        <v>9585.0</v>
      </c>
      <c r="E470" s="9">
        <v>273.0</v>
      </c>
      <c r="F470" s="14"/>
      <c r="G470" s="15"/>
      <c r="H470" s="15"/>
      <c r="I470" s="14"/>
      <c r="J470" s="14"/>
      <c r="K470" s="14"/>
      <c r="L470" s="14"/>
      <c r="M470" s="14"/>
      <c r="N470" s="14"/>
      <c r="P470" s="14"/>
    </row>
    <row r="471" ht="18.75" customHeight="1">
      <c r="A471" s="7" t="s">
        <v>2414</v>
      </c>
      <c r="B471" s="9">
        <v>28689.0</v>
      </c>
      <c r="C471" s="9">
        <v>28016.0</v>
      </c>
      <c r="D471" s="9">
        <v>6836.0</v>
      </c>
      <c r="E471" s="9">
        <v>359.0</v>
      </c>
      <c r="F471" s="14"/>
      <c r="G471" s="15"/>
      <c r="H471" s="15"/>
      <c r="I471" s="14"/>
      <c r="J471" s="14"/>
      <c r="K471" s="14"/>
      <c r="L471" s="14"/>
      <c r="M471" s="14"/>
      <c r="N471" s="14"/>
      <c r="P471" s="14"/>
    </row>
    <row r="472" ht="18.75" customHeight="1">
      <c r="A472" s="7" t="s">
        <v>2415</v>
      </c>
      <c r="B472" s="9">
        <v>120467.0</v>
      </c>
      <c r="C472" s="9">
        <v>119113.0</v>
      </c>
      <c r="D472" s="9">
        <v>44770.0</v>
      </c>
      <c r="E472" s="9">
        <v>1487.0</v>
      </c>
      <c r="F472" s="14"/>
      <c r="G472" s="15"/>
      <c r="H472" s="15"/>
      <c r="I472" s="14"/>
      <c r="J472" s="14"/>
      <c r="K472" s="14"/>
      <c r="L472" s="14"/>
      <c r="M472" s="14"/>
      <c r="N472" s="14"/>
    </row>
    <row r="473" ht="18.75" customHeight="1">
      <c r="A473" s="7" t="s">
        <v>2416</v>
      </c>
      <c r="B473" s="9">
        <v>125961.0</v>
      </c>
      <c r="C473" s="9">
        <v>124052.0</v>
      </c>
      <c r="D473" s="9">
        <v>37634.0</v>
      </c>
      <c r="E473" s="9">
        <v>1917.0</v>
      </c>
      <c r="F473" s="14"/>
      <c r="G473" s="15"/>
      <c r="H473" s="15"/>
      <c r="I473" s="14"/>
      <c r="J473" s="14"/>
      <c r="K473" s="14"/>
      <c r="L473" s="14"/>
      <c r="M473" s="14"/>
      <c r="N473" s="14"/>
      <c r="P473" s="14"/>
    </row>
    <row r="474" ht="18.75" customHeight="1">
      <c r="A474" s="7" t="s">
        <v>2412</v>
      </c>
      <c r="B474" s="9">
        <v>74845.0</v>
      </c>
      <c r="C474" s="9">
        <v>73451.0</v>
      </c>
      <c r="D474" s="9">
        <v>13294.0</v>
      </c>
      <c r="E474" s="9">
        <v>701.0</v>
      </c>
      <c r="F474" s="14"/>
      <c r="G474" s="15"/>
      <c r="H474" s="15"/>
      <c r="I474" s="14"/>
      <c r="J474" s="14"/>
      <c r="K474" s="14"/>
      <c r="L474" s="14"/>
      <c r="M474" s="14"/>
      <c r="N474" s="14"/>
      <c r="P474" s="14"/>
    </row>
    <row r="475" ht="18.75" customHeight="1">
      <c r="A475" s="7" t="s">
        <v>2274</v>
      </c>
      <c r="B475" s="9">
        <v>9922.0</v>
      </c>
      <c r="C475" s="9">
        <v>9794.0</v>
      </c>
      <c r="D475" s="9">
        <v>2387.0</v>
      </c>
      <c r="E475" s="9">
        <v>69.0</v>
      </c>
      <c r="F475" s="14"/>
      <c r="G475" s="15"/>
      <c r="H475" s="15"/>
      <c r="I475" s="14"/>
      <c r="J475" s="14"/>
      <c r="K475" s="14"/>
      <c r="L475" s="14"/>
      <c r="M475" s="14"/>
      <c r="N475" s="14"/>
      <c r="P475" s="14"/>
    </row>
    <row r="476" ht="18.75" customHeight="1">
      <c r="A476" s="7" t="s">
        <v>2274</v>
      </c>
      <c r="B476" s="9">
        <v>8569.0</v>
      </c>
      <c r="C476" s="9">
        <v>8424.0</v>
      </c>
      <c r="D476" s="9">
        <v>1984.0</v>
      </c>
      <c r="E476" s="9">
        <v>61.0</v>
      </c>
      <c r="F476" s="14"/>
      <c r="G476" s="15"/>
      <c r="H476" s="15"/>
      <c r="I476" s="14"/>
      <c r="J476" s="14"/>
      <c r="K476" s="14"/>
      <c r="L476" s="14"/>
      <c r="M476" s="14"/>
      <c r="N476" s="14"/>
      <c r="P476" s="14"/>
    </row>
    <row r="477" ht="18.75" customHeight="1">
      <c r="A477" s="7" t="s">
        <v>2417</v>
      </c>
      <c r="B477" s="9">
        <v>161306.0</v>
      </c>
      <c r="C477" s="9">
        <v>158590.0</v>
      </c>
      <c r="D477" s="9">
        <v>32543.0</v>
      </c>
      <c r="E477" s="9">
        <v>190.0</v>
      </c>
      <c r="F477" s="14"/>
      <c r="G477" s="15"/>
      <c r="H477" s="15"/>
      <c r="I477" s="14"/>
      <c r="J477" s="14"/>
      <c r="K477" s="14"/>
      <c r="L477" s="14"/>
      <c r="M477" s="14"/>
      <c r="N477" s="14"/>
    </row>
    <row r="478" ht="18.75" customHeight="1">
      <c r="A478" s="7" t="s">
        <v>2283</v>
      </c>
      <c r="B478" s="9">
        <v>19187.0</v>
      </c>
      <c r="C478" s="9">
        <v>18916.0</v>
      </c>
      <c r="D478" s="9">
        <v>4063.0</v>
      </c>
      <c r="E478" s="9">
        <v>40.0</v>
      </c>
      <c r="F478" s="14"/>
      <c r="G478" s="15"/>
      <c r="H478" s="15"/>
      <c r="I478" s="14"/>
      <c r="J478" s="14"/>
      <c r="K478" s="14"/>
      <c r="L478" s="14"/>
      <c r="M478" s="14"/>
      <c r="N478" s="14"/>
      <c r="P478" s="14"/>
    </row>
    <row r="479" ht="18.75" customHeight="1">
      <c r="A479" s="7" t="s">
        <v>2394</v>
      </c>
      <c r="B479" s="9">
        <v>41881.0</v>
      </c>
      <c r="C479" s="9">
        <v>41756.0</v>
      </c>
      <c r="D479" s="9">
        <v>23945.0</v>
      </c>
      <c r="E479" s="9">
        <v>1104.0</v>
      </c>
      <c r="F479" s="14"/>
      <c r="G479" s="15"/>
      <c r="H479" s="15"/>
      <c r="I479" s="14"/>
      <c r="J479" s="14"/>
      <c r="K479" s="14"/>
      <c r="L479" s="14"/>
      <c r="M479" s="14"/>
      <c r="N479" s="14"/>
      <c r="P479" s="14"/>
    </row>
    <row r="480" ht="18.75" customHeight="1">
      <c r="A480" s="7" t="s">
        <v>2417</v>
      </c>
      <c r="B480" s="9">
        <v>132229.0</v>
      </c>
      <c r="C480" s="9">
        <v>129560.0</v>
      </c>
      <c r="D480" s="9">
        <v>24712.0</v>
      </c>
      <c r="E480" s="9">
        <v>1426.0</v>
      </c>
      <c r="F480" s="14"/>
      <c r="G480" s="15"/>
      <c r="H480" s="15"/>
      <c r="I480" s="14"/>
      <c r="J480" s="14"/>
      <c r="K480" s="14"/>
      <c r="L480" s="14"/>
      <c r="M480" s="14"/>
      <c r="N480" s="14"/>
      <c r="P480" s="14"/>
    </row>
    <row r="481" ht="18.75" customHeight="1">
      <c r="A481" s="7" t="s">
        <v>2415</v>
      </c>
      <c r="B481" s="9">
        <v>77182.0</v>
      </c>
      <c r="C481" s="9">
        <v>75886.0</v>
      </c>
      <c r="D481" s="9">
        <v>17198.0</v>
      </c>
      <c r="E481" s="9">
        <v>328.0</v>
      </c>
      <c r="F481" s="14"/>
      <c r="G481" s="15"/>
      <c r="H481" s="15"/>
      <c r="I481" s="14"/>
      <c r="J481" s="14"/>
      <c r="K481" s="14"/>
      <c r="L481" s="14"/>
      <c r="M481" s="14"/>
      <c r="N481" s="14"/>
      <c r="P481" s="14"/>
    </row>
    <row r="482" ht="18.75" customHeight="1">
      <c r="A482" s="7" t="s">
        <v>2418</v>
      </c>
      <c r="B482" s="9">
        <v>17160.0</v>
      </c>
      <c r="C482" s="9">
        <v>16901.0</v>
      </c>
      <c r="D482" s="9">
        <v>4568.0</v>
      </c>
      <c r="E482" s="9">
        <v>84.0</v>
      </c>
      <c r="F482" s="14"/>
      <c r="G482" s="15"/>
      <c r="H482" s="15"/>
      <c r="I482" s="14"/>
      <c r="J482" s="14"/>
      <c r="K482" s="14"/>
      <c r="L482" s="14"/>
      <c r="M482" s="14"/>
      <c r="N482" s="14"/>
      <c r="P482" s="14"/>
    </row>
    <row r="483" ht="18.75" customHeight="1">
      <c r="A483" s="7" t="s">
        <v>2419</v>
      </c>
      <c r="B483" s="9">
        <v>66297.0</v>
      </c>
      <c r="C483" s="9">
        <v>65341.0</v>
      </c>
      <c r="D483" s="9">
        <v>23765.0</v>
      </c>
      <c r="E483" s="9">
        <v>174.0</v>
      </c>
      <c r="F483" s="14"/>
      <c r="G483" s="15"/>
      <c r="H483" s="15"/>
      <c r="I483" s="14"/>
      <c r="J483" s="14"/>
      <c r="K483" s="14"/>
      <c r="L483" s="14"/>
      <c r="M483" s="14"/>
      <c r="N483" s="14"/>
      <c r="P483" s="14"/>
    </row>
    <row r="484" ht="18.75" customHeight="1">
      <c r="A484" s="7" t="s">
        <v>2420</v>
      </c>
      <c r="B484" s="9">
        <v>17101.0</v>
      </c>
      <c r="C484" s="9">
        <v>16852.0</v>
      </c>
      <c r="D484" s="9">
        <v>3486.0</v>
      </c>
      <c r="E484" s="9">
        <v>167.0</v>
      </c>
      <c r="F484" s="14"/>
      <c r="G484" s="15"/>
      <c r="H484" s="15"/>
      <c r="I484" s="14"/>
      <c r="J484" s="14"/>
      <c r="K484" s="14"/>
      <c r="L484" s="14"/>
      <c r="M484" s="14"/>
      <c r="N484" s="14"/>
      <c r="P484" s="14"/>
    </row>
    <row r="485" ht="18.75" customHeight="1">
      <c r="A485" s="7" t="s">
        <v>2415</v>
      </c>
      <c r="B485" s="9">
        <v>1007.0</v>
      </c>
      <c r="C485" s="9">
        <v>1005.0</v>
      </c>
      <c r="D485" s="9">
        <v>789.0</v>
      </c>
      <c r="E485" s="9">
        <v>8.0</v>
      </c>
      <c r="F485" s="14"/>
      <c r="G485" s="15"/>
      <c r="H485" s="15"/>
      <c r="I485" s="14"/>
      <c r="J485" s="14"/>
      <c r="K485" s="14"/>
      <c r="L485" s="14"/>
      <c r="M485" s="14"/>
      <c r="N485" s="14"/>
      <c r="P485" s="14"/>
    </row>
    <row r="486" ht="18.75" customHeight="1">
      <c r="A486" s="7" t="s">
        <v>2421</v>
      </c>
      <c r="B486" s="9">
        <v>66665.0</v>
      </c>
      <c r="C486" s="9">
        <v>65770.0</v>
      </c>
      <c r="D486" s="9">
        <v>18201.0</v>
      </c>
      <c r="E486" s="9">
        <v>700.0</v>
      </c>
      <c r="F486" s="14"/>
      <c r="G486" s="15"/>
      <c r="H486" s="15"/>
      <c r="I486" s="14"/>
      <c r="J486" s="14"/>
      <c r="K486" s="14"/>
      <c r="L486" s="14"/>
      <c r="M486" s="14"/>
      <c r="N486" s="14"/>
      <c r="P486" s="14"/>
    </row>
    <row r="487" ht="18.75" customHeight="1">
      <c r="A487" s="7" t="s">
        <v>2422</v>
      </c>
      <c r="B487" s="9">
        <v>26599.0</v>
      </c>
      <c r="C487" s="9">
        <v>26273.0</v>
      </c>
      <c r="D487" s="9">
        <v>8531.0</v>
      </c>
      <c r="E487" s="9">
        <v>196.0</v>
      </c>
      <c r="F487" s="14"/>
      <c r="G487" s="15"/>
      <c r="H487" s="15"/>
      <c r="I487" s="14"/>
      <c r="J487" s="14"/>
      <c r="K487" s="14"/>
      <c r="L487" s="14"/>
      <c r="M487" s="14"/>
      <c r="N487" s="14"/>
      <c r="P487" s="14"/>
    </row>
    <row r="488" ht="18.75" customHeight="1">
      <c r="A488" s="7" t="s">
        <v>2287</v>
      </c>
      <c r="B488" s="9">
        <v>268.0</v>
      </c>
      <c r="C488" s="9">
        <v>267.0</v>
      </c>
      <c r="D488" s="9">
        <v>123.0</v>
      </c>
      <c r="E488" s="9">
        <v>3.0</v>
      </c>
      <c r="F488" s="14"/>
      <c r="G488" s="15"/>
      <c r="H488" s="15"/>
      <c r="I488" s="14"/>
      <c r="J488" s="14"/>
      <c r="K488" s="14"/>
      <c r="L488" s="14"/>
      <c r="M488" s="14"/>
      <c r="N488" s="14"/>
      <c r="P488" s="14"/>
    </row>
    <row r="489" ht="18.75" customHeight="1">
      <c r="A489" s="7" t="s">
        <v>2418</v>
      </c>
      <c r="B489" s="9">
        <v>48.0</v>
      </c>
      <c r="C489" s="9">
        <v>48.0</v>
      </c>
      <c r="D489" s="9">
        <v>40.0</v>
      </c>
      <c r="E489" s="9">
        <v>1.0</v>
      </c>
      <c r="F489" s="14"/>
      <c r="G489" s="15"/>
      <c r="H489" s="15"/>
      <c r="I489" s="14"/>
      <c r="J489" s="14"/>
      <c r="K489" s="14"/>
      <c r="L489" s="14"/>
      <c r="M489" s="14"/>
      <c r="N489" s="14"/>
      <c r="P489" s="14"/>
    </row>
    <row r="490" ht="18.75" customHeight="1">
      <c r="A490" s="7" t="s">
        <v>2423</v>
      </c>
      <c r="B490" s="9">
        <v>62073.0</v>
      </c>
      <c r="C490" s="9">
        <v>61186.0</v>
      </c>
      <c r="D490" s="9">
        <v>22145.0</v>
      </c>
      <c r="E490" s="9">
        <v>837.0</v>
      </c>
      <c r="F490" s="14"/>
      <c r="G490" s="15"/>
      <c r="H490" s="15"/>
      <c r="I490" s="14"/>
      <c r="J490" s="14"/>
      <c r="K490" s="14"/>
      <c r="L490" s="14"/>
      <c r="M490" s="14"/>
      <c r="N490" s="14"/>
      <c r="P490" s="14"/>
    </row>
    <row r="491" ht="18.75" customHeight="1">
      <c r="A491" s="7" t="s">
        <v>2274</v>
      </c>
      <c r="B491" s="9">
        <v>21329.0</v>
      </c>
      <c r="C491" s="9">
        <v>21026.0</v>
      </c>
      <c r="D491" s="9">
        <v>5576.0</v>
      </c>
      <c r="E491" s="9">
        <v>121.0</v>
      </c>
      <c r="F491" s="14"/>
      <c r="G491" s="15"/>
      <c r="H491" s="15"/>
      <c r="I491" s="14"/>
      <c r="J491" s="14"/>
      <c r="K491" s="14"/>
      <c r="L491" s="14"/>
      <c r="M491" s="14"/>
      <c r="N491" s="14"/>
      <c r="P491" s="14"/>
    </row>
    <row r="492" ht="18.75" customHeight="1">
      <c r="A492" s="7" t="s">
        <v>2282</v>
      </c>
      <c r="B492" s="9">
        <v>245.0</v>
      </c>
      <c r="C492" s="9">
        <v>241.0</v>
      </c>
      <c r="D492" s="9">
        <v>93.0</v>
      </c>
      <c r="E492" s="9">
        <v>12.0</v>
      </c>
      <c r="F492" s="14"/>
      <c r="G492" s="15"/>
      <c r="H492" s="15"/>
      <c r="I492" s="14"/>
      <c r="J492" s="14"/>
      <c r="K492" s="14"/>
      <c r="L492" s="14"/>
      <c r="M492" s="14"/>
      <c r="N492" s="14"/>
      <c r="P492" s="14"/>
    </row>
    <row r="493" ht="18.75" customHeight="1">
      <c r="A493" s="7" t="s">
        <v>2424</v>
      </c>
      <c r="B493" s="9">
        <v>327.0</v>
      </c>
      <c r="C493" s="9">
        <v>315.0</v>
      </c>
      <c r="D493" s="9">
        <v>115.0</v>
      </c>
      <c r="E493" s="9">
        <v>5.0</v>
      </c>
      <c r="F493" s="14"/>
      <c r="G493" s="15"/>
      <c r="H493" s="15"/>
      <c r="I493" s="14"/>
      <c r="J493" s="14"/>
      <c r="K493" s="14"/>
      <c r="L493" s="14"/>
      <c r="M493" s="14"/>
      <c r="N493" s="14"/>
      <c r="P493" s="14"/>
    </row>
    <row r="494" ht="18.75" customHeight="1">
      <c r="A494" s="7" t="s">
        <v>2283</v>
      </c>
      <c r="B494" s="9">
        <v>9914.0</v>
      </c>
      <c r="C494" s="9">
        <v>9792.0</v>
      </c>
      <c r="D494" s="9">
        <v>2258.0</v>
      </c>
      <c r="E494" s="9">
        <v>27.0</v>
      </c>
      <c r="F494" s="14"/>
      <c r="G494" s="15"/>
      <c r="H494" s="15"/>
      <c r="I494" s="14"/>
      <c r="J494" s="14"/>
      <c r="K494" s="14"/>
      <c r="L494" s="14"/>
      <c r="M494" s="14"/>
      <c r="N494" s="14"/>
      <c r="P494" s="14"/>
    </row>
    <row r="495" ht="18.75" customHeight="1">
      <c r="A495" s="7" t="s">
        <v>2283</v>
      </c>
      <c r="B495" s="9">
        <v>10255.0</v>
      </c>
      <c r="C495" s="9">
        <v>10100.0</v>
      </c>
      <c r="D495" s="9">
        <v>2335.0</v>
      </c>
      <c r="E495" s="9">
        <v>24.0</v>
      </c>
      <c r="F495" s="14"/>
      <c r="G495" s="15"/>
      <c r="H495" s="15"/>
      <c r="I495" s="14"/>
      <c r="J495" s="14"/>
      <c r="K495" s="14"/>
      <c r="L495" s="14"/>
      <c r="M495" s="14"/>
      <c r="N495" s="14"/>
      <c r="P495" s="14"/>
    </row>
    <row r="496" ht="18.75" customHeight="1">
      <c r="A496" s="7" t="s">
        <v>2425</v>
      </c>
      <c r="B496" s="9">
        <v>20448.0</v>
      </c>
      <c r="C496" s="9">
        <v>20196.0</v>
      </c>
      <c r="D496" s="9">
        <v>7942.0</v>
      </c>
      <c r="E496" s="9">
        <v>214.0</v>
      </c>
      <c r="F496" s="14"/>
      <c r="G496" s="15"/>
      <c r="H496" s="15"/>
      <c r="I496" s="14"/>
      <c r="J496" s="14"/>
      <c r="K496" s="14"/>
      <c r="L496" s="14"/>
      <c r="M496" s="14"/>
      <c r="N496" s="14"/>
      <c r="P496" s="14"/>
    </row>
    <row r="497" ht="18.75" customHeight="1">
      <c r="A497" s="7" t="s">
        <v>2426</v>
      </c>
      <c r="B497" s="9">
        <v>67538.0</v>
      </c>
      <c r="C497" s="9">
        <v>66630.0</v>
      </c>
      <c r="D497" s="9">
        <v>17370.0</v>
      </c>
      <c r="E497" s="9">
        <v>83.0</v>
      </c>
      <c r="F497" s="14"/>
      <c r="G497" s="15"/>
      <c r="H497" s="15"/>
      <c r="I497" s="14"/>
      <c r="J497" s="14"/>
      <c r="K497" s="14"/>
      <c r="L497" s="14"/>
      <c r="M497" s="14"/>
      <c r="N497" s="14"/>
      <c r="P497" s="14"/>
    </row>
    <row r="498" ht="18.75" customHeight="1">
      <c r="A498" s="7" t="s">
        <v>2427</v>
      </c>
      <c r="B498" s="9">
        <v>83651.0</v>
      </c>
      <c r="C498" s="9">
        <v>82816.0</v>
      </c>
      <c r="D498" s="9">
        <v>23119.0</v>
      </c>
      <c r="E498" s="9">
        <v>525.0</v>
      </c>
      <c r="F498" s="14"/>
      <c r="G498" s="15"/>
      <c r="H498" s="15"/>
      <c r="I498" s="14"/>
      <c r="J498" s="14"/>
      <c r="K498" s="14"/>
      <c r="L498" s="14"/>
      <c r="M498" s="14"/>
      <c r="N498" s="14"/>
      <c r="P498" s="14"/>
    </row>
    <row r="499" ht="18.75" customHeight="1">
      <c r="A499" s="7" t="s">
        <v>2428</v>
      </c>
      <c r="B499" s="9">
        <v>30233.0</v>
      </c>
      <c r="C499" s="9">
        <v>30092.0</v>
      </c>
      <c r="D499" s="9">
        <v>18360.0</v>
      </c>
      <c r="E499" s="9">
        <v>4533.0</v>
      </c>
      <c r="F499" s="14"/>
      <c r="G499" s="15"/>
      <c r="H499" s="15"/>
      <c r="I499" s="14"/>
      <c r="J499" s="14"/>
      <c r="K499" s="14"/>
      <c r="L499" s="14"/>
      <c r="M499" s="14"/>
      <c r="N499" s="14"/>
      <c r="P499" s="14"/>
    </row>
    <row r="500" ht="18.75" customHeight="1">
      <c r="A500" s="7" t="s">
        <v>2428</v>
      </c>
      <c r="B500" s="9">
        <v>8134.0</v>
      </c>
      <c r="C500" s="9">
        <v>8058.0</v>
      </c>
      <c r="D500" s="9">
        <v>4668.0</v>
      </c>
      <c r="E500" s="9">
        <v>979.0</v>
      </c>
      <c r="F500" s="14"/>
      <c r="G500" s="15"/>
      <c r="H500" s="15"/>
      <c r="I500" s="14"/>
      <c r="J500" s="14"/>
      <c r="K500" s="14"/>
      <c r="L500" s="14"/>
      <c r="M500" s="14"/>
      <c r="N500" s="14"/>
      <c r="P500" s="14"/>
    </row>
    <row r="501" ht="18.75" customHeight="1">
      <c r="A501" s="7" t="s">
        <v>2429</v>
      </c>
      <c r="B501" s="9">
        <v>13920.0</v>
      </c>
      <c r="C501" s="9">
        <v>13733.0</v>
      </c>
      <c r="D501" s="9">
        <v>3530.0</v>
      </c>
      <c r="E501" s="9">
        <v>25.0</v>
      </c>
      <c r="F501" s="14"/>
      <c r="G501" s="15"/>
      <c r="H501" s="15"/>
      <c r="I501" s="14"/>
      <c r="J501" s="14"/>
      <c r="K501" s="14"/>
      <c r="L501" s="14"/>
      <c r="M501" s="14"/>
      <c r="N501" s="14"/>
      <c r="P501" s="14"/>
    </row>
    <row r="502" ht="18.75" customHeight="1">
      <c r="A502" s="7" t="s">
        <v>2286</v>
      </c>
      <c r="B502" s="9">
        <v>140.0</v>
      </c>
      <c r="C502" s="9">
        <v>138.0</v>
      </c>
      <c r="D502" s="9">
        <v>51.0</v>
      </c>
      <c r="E502" s="9">
        <v>0.0</v>
      </c>
      <c r="F502" s="14"/>
      <c r="G502" s="15"/>
      <c r="H502" s="15"/>
      <c r="I502" s="14"/>
      <c r="J502" s="14"/>
      <c r="K502" s="14"/>
      <c r="L502" s="14"/>
      <c r="M502" s="14"/>
      <c r="N502" s="14"/>
      <c r="P502" s="14"/>
    </row>
    <row r="503" ht="18.75" customHeight="1">
      <c r="A503" s="7" t="s">
        <v>2430</v>
      </c>
      <c r="B503" s="9">
        <v>15600.0</v>
      </c>
      <c r="C503" s="9">
        <v>15394.0</v>
      </c>
      <c r="D503" s="9">
        <v>3066.0</v>
      </c>
      <c r="E503" s="9">
        <v>82.0</v>
      </c>
      <c r="F503" s="14"/>
      <c r="G503" s="15"/>
      <c r="H503" s="15"/>
      <c r="I503" s="14"/>
      <c r="J503" s="14"/>
      <c r="K503" s="14"/>
      <c r="L503" s="14"/>
      <c r="M503" s="14"/>
      <c r="N503" s="14"/>
      <c r="P503" s="14"/>
    </row>
    <row r="504" ht="18.75" customHeight="1">
      <c r="A504" s="7" t="s">
        <v>2429</v>
      </c>
      <c r="B504" s="9">
        <v>49839.0</v>
      </c>
      <c r="C504" s="9">
        <v>49155.0</v>
      </c>
      <c r="D504" s="9">
        <v>14545.0</v>
      </c>
      <c r="E504" s="9">
        <v>666.0</v>
      </c>
      <c r="F504" s="14"/>
      <c r="G504" s="15"/>
      <c r="H504" s="15"/>
      <c r="I504" s="14"/>
      <c r="J504" s="14"/>
      <c r="K504" s="14"/>
      <c r="L504" s="14"/>
      <c r="M504" s="14"/>
      <c r="N504" s="14"/>
      <c r="P504" s="14"/>
    </row>
    <row r="505" ht="18.75" customHeight="1">
      <c r="A505" s="7" t="s">
        <v>2429</v>
      </c>
      <c r="B505" s="9">
        <v>51212.0</v>
      </c>
      <c r="C505" s="9">
        <v>50511.0</v>
      </c>
      <c r="D505" s="9">
        <v>18977.0</v>
      </c>
      <c r="E505" s="9">
        <v>645.0</v>
      </c>
      <c r="F505" s="14"/>
      <c r="G505" s="15"/>
      <c r="H505" s="15"/>
      <c r="I505" s="14"/>
      <c r="J505" s="14"/>
      <c r="K505" s="14"/>
      <c r="L505" s="14"/>
      <c r="M505" s="14"/>
      <c r="N505" s="14"/>
      <c r="P505" s="14"/>
    </row>
    <row r="506" ht="18.75" customHeight="1">
      <c r="A506" s="7" t="s">
        <v>2236</v>
      </c>
      <c r="B506" s="9">
        <v>27651.0</v>
      </c>
      <c r="C506" s="9">
        <v>27179.0</v>
      </c>
      <c r="D506" s="9">
        <v>8838.0</v>
      </c>
      <c r="E506" s="9">
        <v>1022.0</v>
      </c>
      <c r="F506" s="14"/>
      <c r="G506" s="15"/>
      <c r="H506" s="15"/>
      <c r="I506" s="14"/>
      <c r="J506" s="14"/>
      <c r="K506" s="14"/>
      <c r="L506" s="14"/>
      <c r="M506" s="14"/>
      <c r="N506" s="14"/>
      <c r="P506" s="14"/>
    </row>
    <row r="507" ht="18.75" customHeight="1">
      <c r="A507" s="7" t="s">
        <v>2431</v>
      </c>
      <c r="B507" s="9">
        <v>94850.0</v>
      </c>
      <c r="C507" s="9">
        <v>94446.0</v>
      </c>
      <c r="D507" s="9">
        <v>34162.0</v>
      </c>
      <c r="E507" s="9">
        <v>141.0</v>
      </c>
      <c r="F507" s="14"/>
      <c r="G507" s="15"/>
      <c r="H507" s="15"/>
      <c r="I507" s="14"/>
      <c r="J507" s="14"/>
      <c r="K507" s="14"/>
      <c r="L507" s="14"/>
      <c r="M507" s="14"/>
      <c r="N507" s="14"/>
      <c r="P507" s="14"/>
    </row>
    <row r="508" ht="18.75" customHeight="1">
      <c r="A508" s="7" t="s">
        <v>2432</v>
      </c>
      <c r="B508" s="9">
        <v>68660.0</v>
      </c>
      <c r="C508" s="9">
        <v>68058.0</v>
      </c>
      <c r="D508" s="9">
        <v>29948.0</v>
      </c>
      <c r="E508" s="9">
        <v>369.0</v>
      </c>
      <c r="F508" s="14"/>
      <c r="G508" s="15"/>
      <c r="H508" s="15"/>
      <c r="I508" s="14"/>
      <c r="J508" s="14"/>
      <c r="K508" s="14"/>
      <c r="L508" s="14"/>
      <c r="M508" s="14"/>
      <c r="N508" s="14"/>
    </row>
    <row r="509" ht="18.75" customHeight="1">
      <c r="A509" s="7" t="s">
        <v>2433</v>
      </c>
      <c r="B509" s="9">
        <v>15765.0</v>
      </c>
      <c r="C509" s="9">
        <v>15536.0</v>
      </c>
      <c r="D509" s="9">
        <v>2937.0</v>
      </c>
      <c r="E509" s="9">
        <v>113.0</v>
      </c>
      <c r="F509" s="14"/>
      <c r="G509" s="15"/>
      <c r="H509" s="15"/>
      <c r="I509" s="14"/>
      <c r="J509" s="14"/>
      <c r="K509" s="14"/>
      <c r="L509" s="14"/>
      <c r="M509" s="14"/>
      <c r="N509" s="14"/>
      <c r="P509" s="14"/>
    </row>
    <row r="510" ht="18.75" customHeight="1">
      <c r="A510" s="7" t="s">
        <v>2434</v>
      </c>
      <c r="B510" s="9">
        <v>345.0</v>
      </c>
      <c r="C510" s="9">
        <v>341.0</v>
      </c>
      <c r="D510" s="9">
        <v>215.0</v>
      </c>
      <c r="E510" s="9">
        <v>48.0</v>
      </c>
      <c r="F510" s="14"/>
      <c r="G510" s="15"/>
      <c r="H510" s="15"/>
      <c r="I510" s="14"/>
      <c r="J510" s="14"/>
      <c r="K510" s="14"/>
      <c r="L510" s="14"/>
      <c r="M510" s="14"/>
      <c r="N510" s="14"/>
      <c r="P510" s="14"/>
    </row>
    <row r="511" ht="18.75" customHeight="1">
      <c r="A511" s="7" t="s">
        <v>2434</v>
      </c>
      <c r="B511" s="9">
        <v>105.0</v>
      </c>
      <c r="C511" s="9">
        <v>105.0</v>
      </c>
      <c r="D511" s="9">
        <v>65.0</v>
      </c>
      <c r="E511" s="9">
        <v>6.0</v>
      </c>
      <c r="F511" s="14"/>
      <c r="G511" s="15"/>
      <c r="H511" s="15"/>
      <c r="I511" s="14"/>
      <c r="J511" s="14"/>
      <c r="K511" s="14"/>
      <c r="L511" s="14"/>
      <c r="M511" s="14"/>
      <c r="N511" s="14"/>
      <c r="P511" s="14"/>
    </row>
    <row r="512" ht="18.75" customHeight="1">
      <c r="A512" s="7" t="s">
        <v>2435</v>
      </c>
      <c r="B512" s="9">
        <v>57579.0</v>
      </c>
      <c r="C512" s="9">
        <v>56750.0</v>
      </c>
      <c r="D512" s="9">
        <v>18591.0</v>
      </c>
      <c r="E512" s="9">
        <v>2293.0</v>
      </c>
      <c r="F512" s="14"/>
      <c r="G512" s="15"/>
      <c r="H512" s="15"/>
      <c r="I512" s="14"/>
      <c r="J512" s="14"/>
      <c r="K512" s="14"/>
      <c r="L512" s="14"/>
      <c r="M512" s="14"/>
      <c r="N512" s="14"/>
      <c r="P512" s="14"/>
    </row>
    <row r="513" ht="18.75" customHeight="1">
      <c r="A513" s="7" t="s">
        <v>2436</v>
      </c>
      <c r="B513" s="9">
        <v>4275.0</v>
      </c>
      <c r="C513" s="9">
        <v>4166.0</v>
      </c>
      <c r="D513" s="9">
        <v>1602.0</v>
      </c>
      <c r="E513" s="9">
        <v>132.0</v>
      </c>
      <c r="F513" s="14"/>
      <c r="G513" s="15"/>
      <c r="H513" s="15"/>
      <c r="I513" s="14"/>
      <c r="J513" s="14"/>
      <c r="K513" s="14"/>
      <c r="L513" s="14"/>
      <c r="M513" s="14"/>
      <c r="N513" s="14"/>
    </row>
    <row r="514" ht="18.75" customHeight="1">
      <c r="A514" s="7" t="s">
        <v>2436</v>
      </c>
      <c r="B514" s="9">
        <v>1748.0</v>
      </c>
      <c r="C514" s="9">
        <v>1741.0</v>
      </c>
      <c r="D514" s="9">
        <v>1409.0</v>
      </c>
      <c r="E514" s="9">
        <v>13.0</v>
      </c>
      <c r="F514" s="14"/>
      <c r="G514" s="15"/>
      <c r="H514" s="15"/>
      <c r="I514" s="14"/>
      <c r="J514" s="14"/>
      <c r="K514" s="14"/>
      <c r="L514" s="14"/>
      <c r="M514" s="14"/>
      <c r="N514" s="14"/>
      <c r="P514" s="14"/>
    </row>
    <row r="515" ht="18.75" customHeight="1">
      <c r="A515" s="7" t="s">
        <v>2437</v>
      </c>
      <c r="B515" s="9">
        <v>72475.0</v>
      </c>
      <c r="C515" s="9">
        <v>71410.0</v>
      </c>
      <c r="D515" s="9">
        <v>19405.0</v>
      </c>
      <c r="E515" s="9">
        <v>471.0</v>
      </c>
      <c r="F515" s="14"/>
      <c r="G515" s="15"/>
      <c r="H515" s="15"/>
      <c r="I515" s="14"/>
      <c r="J515" s="14"/>
      <c r="K515" s="14"/>
      <c r="L515" s="14"/>
      <c r="M515" s="14"/>
      <c r="N515" s="14"/>
      <c r="P515" s="14"/>
    </row>
    <row r="516" ht="18.75" customHeight="1">
      <c r="A516" s="7" t="s">
        <v>2438</v>
      </c>
      <c r="B516" s="9">
        <v>68255.0</v>
      </c>
      <c r="C516" s="9">
        <v>67328.0</v>
      </c>
      <c r="D516" s="9">
        <v>17865.0</v>
      </c>
      <c r="E516" s="9">
        <v>1346.0</v>
      </c>
      <c r="F516" s="14"/>
      <c r="G516" s="15"/>
      <c r="H516" s="15"/>
      <c r="I516" s="14"/>
      <c r="J516" s="14"/>
      <c r="K516" s="14"/>
      <c r="L516" s="14"/>
      <c r="M516" s="14"/>
      <c r="N516" s="14"/>
      <c r="P516" s="14"/>
    </row>
    <row r="517" ht="18.75" customHeight="1">
      <c r="A517" s="7" t="s">
        <v>2439</v>
      </c>
      <c r="B517" s="9">
        <v>72329.0</v>
      </c>
      <c r="C517" s="9">
        <v>71247.0</v>
      </c>
      <c r="D517" s="9">
        <v>17508.0</v>
      </c>
      <c r="E517" s="9">
        <v>1132.0</v>
      </c>
      <c r="F517" s="14"/>
      <c r="G517" s="15"/>
      <c r="H517" s="15"/>
      <c r="I517" s="14"/>
      <c r="J517" s="14"/>
      <c r="K517" s="14"/>
      <c r="L517" s="14"/>
      <c r="M517" s="14"/>
      <c r="N517" s="14"/>
      <c r="P517" s="14"/>
    </row>
    <row r="518" ht="18.75" customHeight="1">
      <c r="A518" s="7" t="s">
        <v>2282</v>
      </c>
      <c r="B518" s="9">
        <v>129.0</v>
      </c>
      <c r="C518" s="9">
        <v>129.0</v>
      </c>
      <c r="D518" s="9">
        <v>59.0</v>
      </c>
      <c r="E518" s="9">
        <v>6.0</v>
      </c>
      <c r="F518" s="14"/>
      <c r="G518" s="15"/>
      <c r="H518" s="15"/>
      <c r="I518" s="14"/>
      <c r="J518" s="14"/>
      <c r="K518" s="14"/>
      <c r="L518" s="14"/>
      <c r="M518" s="14"/>
      <c r="N518" s="14"/>
      <c r="P518" s="14"/>
    </row>
    <row r="519" ht="18.75" customHeight="1">
      <c r="A519" s="7" t="s">
        <v>2394</v>
      </c>
      <c r="B519" s="9">
        <v>41790.0</v>
      </c>
      <c r="C519" s="9">
        <v>41700.0</v>
      </c>
      <c r="D519" s="9">
        <v>22458.0</v>
      </c>
      <c r="E519" s="9">
        <v>497.0</v>
      </c>
      <c r="F519" s="14"/>
      <c r="G519" s="15"/>
      <c r="H519" s="15"/>
      <c r="I519" s="14"/>
      <c r="J519" s="14"/>
      <c r="K519" s="14"/>
      <c r="L519" s="14"/>
      <c r="M519" s="14"/>
      <c r="N519" s="14"/>
      <c r="P519" s="14"/>
    </row>
    <row r="520" ht="18.75" customHeight="1">
      <c r="A520" s="7" t="s">
        <v>2440</v>
      </c>
      <c r="B520" s="9">
        <v>41213.0</v>
      </c>
      <c r="C520" s="9">
        <v>40598.0</v>
      </c>
      <c r="D520" s="9">
        <v>14910.0</v>
      </c>
      <c r="E520" s="9">
        <v>223.0</v>
      </c>
      <c r="F520" s="14"/>
      <c r="G520" s="15"/>
      <c r="H520" s="15"/>
      <c r="I520" s="14"/>
      <c r="J520" s="14"/>
      <c r="K520" s="14"/>
      <c r="L520" s="14"/>
      <c r="M520" s="14"/>
      <c r="N520" s="14"/>
      <c r="P520" s="14"/>
    </row>
    <row r="521" ht="18.75" customHeight="1">
      <c r="A521" s="7" t="s">
        <v>2440</v>
      </c>
      <c r="B521" s="9">
        <v>1714.0</v>
      </c>
      <c r="C521" s="9">
        <v>1610.0</v>
      </c>
      <c r="D521" s="9">
        <v>721.0</v>
      </c>
      <c r="E521" s="9">
        <v>49.0</v>
      </c>
      <c r="F521" s="14"/>
      <c r="G521" s="15"/>
      <c r="H521" s="15"/>
      <c r="I521" s="14"/>
      <c r="J521" s="14"/>
      <c r="K521" s="14"/>
      <c r="L521" s="14"/>
      <c r="M521" s="14"/>
      <c r="N521" s="14"/>
    </row>
    <row r="522" ht="18.75" customHeight="1">
      <c r="A522" s="7" t="s">
        <v>2441</v>
      </c>
      <c r="B522" s="9">
        <v>51319.0</v>
      </c>
      <c r="C522" s="9">
        <v>50657.0</v>
      </c>
      <c r="D522" s="9">
        <v>11582.0</v>
      </c>
      <c r="E522" s="9">
        <v>190.0</v>
      </c>
      <c r="F522" s="14"/>
      <c r="G522" s="15"/>
      <c r="H522" s="15"/>
      <c r="I522" s="14"/>
      <c r="J522" s="14"/>
      <c r="K522" s="14"/>
      <c r="L522" s="14"/>
      <c r="M522" s="14"/>
      <c r="N522" s="14"/>
      <c r="P522" s="14"/>
    </row>
    <row r="523" ht="18.75" customHeight="1">
      <c r="A523" s="7" t="s">
        <v>2442</v>
      </c>
      <c r="B523" s="9">
        <v>33816.0</v>
      </c>
      <c r="C523" s="9">
        <v>33375.0</v>
      </c>
      <c r="D523" s="9">
        <v>11410.0</v>
      </c>
      <c r="E523" s="9">
        <v>1811.0</v>
      </c>
      <c r="F523" s="14"/>
      <c r="G523" s="15"/>
      <c r="H523" s="15"/>
      <c r="I523" s="14"/>
      <c r="J523" s="14"/>
      <c r="K523" s="14"/>
      <c r="L523" s="14"/>
      <c r="M523" s="14"/>
      <c r="N523" s="14"/>
      <c r="P523" s="14"/>
    </row>
    <row r="524" ht="18.75" customHeight="1">
      <c r="A524" s="7" t="s">
        <v>2283</v>
      </c>
      <c r="B524" s="9">
        <v>21289.0</v>
      </c>
      <c r="C524" s="9">
        <v>21013.0</v>
      </c>
      <c r="D524" s="9">
        <v>4430.0</v>
      </c>
      <c r="E524" s="9">
        <v>41.0</v>
      </c>
      <c r="F524" s="14"/>
      <c r="G524" s="15"/>
      <c r="H524" s="15"/>
      <c r="I524" s="14"/>
      <c r="J524" s="14"/>
      <c r="K524" s="14"/>
      <c r="L524" s="14"/>
      <c r="M524" s="14"/>
      <c r="N524" s="14"/>
      <c r="P524" s="14"/>
    </row>
    <row r="525" ht="18.75" customHeight="1">
      <c r="A525" s="7" t="s">
        <v>2443</v>
      </c>
      <c r="B525" s="9">
        <v>13213.0</v>
      </c>
      <c r="C525" s="9">
        <v>13019.0</v>
      </c>
      <c r="D525" s="9">
        <v>2774.0</v>
      </c>
      <c r="E525" s="9">
        <v>110.0</v>
      </c>
      <c r="F525" s="14"/>
      <c r="G525" s="15"/>
      <c r="H525" s="15"/>
      <c r="I525" s="14"/>
      <c r="J525" s="14"/>
      <c r="K525" s="14"/>
      <c r="L525" s="14"/>
      <c r="M525" s="14"/>
      <c r="N525" s="14"/>
      <c r="P525" s="14"/>
    </row>
    <row r="526" ht="18.75" customHeight="1">
      <c r="A526" s="7" t="s">
        <v>2426</v>
      </c>
      <c r="B526" s="9">
        <v>81634.0</v>
      </c>
      <c r="C526" s="9">
        <v>80358.0</v>
      </c>
      <c r="D526" s="9">
        <v>24104.0</v>
      </c>
      <c r="E526" s="9">
        <v>1859.0</v>
      </c>
      <c r="F526" s="14"/>
      <c r="G526" s="15"/>
      <c r="H526" s="15"/>
      <c r="I526" s="14"/>
      <c r="J526" s="14"/>
      <c r="K526" s="14"/>
      <c r="L526" s="14"/>
      <c r="M526" s="14"/>
      <c r="N526" s="14"/>
      <c r="P526" s="14"/>
    </row>
    <row r="527" ht="18.75" customHeight="1">
      <c r="A527" s="7" t="s">
        <v>2444</v>
      </c>
      <c r="B527" s="9">
        <v>18525.0</v>
      </c>
      <c r="C527" s="9">
        <v>18520.0</v>
      </c>
      <c r="D527" s="9">
        <v>12653.0</v>
      </c>
      <c r="E527" s="9">
        <v>1640.0</v>
      </c>
      <c r="F527" s="14"/>
      <c r="G527" s="15"/>
      <c r="H527" s="15"/>
      <c r="I527" s="14"/>
      <c r="J527" s="14"/>
      <c r="K527" s="14"/>
      <c r="L527" s="14"/>
      <c r="M527" s="14"/>
      <c r="N527" s="14"/>
      <c r="P527" s="14"/>
    </row>
    <row r="528" ht="18.75" customHeight="1">
      <c r="A528" s="7" t="s">
        <v>2445</v>
      </c>
      <c r="B528" s="9">
        <v>271.0</v>
      </c>
      <c r="C528" s="9">
        <v>270.0</v>
      </c>
      <c r="D528" s="9">
        <v>117.0</v>
      </c>
      <c r="E528" s="9">
        <v>19.0</v>
      </c>
      <c r="F528" s="14"/>
      <c r="G528" s="15"/>
      <c r="H528" s="15"/>
      <c r="I528" s="14"/>
      <c r="J528" s="14"/>
      <c r="K528" s="14"/>
      <c r="L528" s="14"/>
      <c r="M528" s="14"/>
      <c r="N528" s="14"/>
      <c r="P528" s="14"/>
    </row>
    <row r="529" ht="18.75" customHeight="1">
      <c r="A529" s="7" t="s">
        <v>2434</v>
      </c>
      <c r="B529" s="9">
        <v>141.0</v>
      </c>
      <c r="C529" s="9">
        <v>138.0</v>
      </c>
      <c r="D529" s="9">
        <v>20.0</v>
      </c>
      <c r="E529" s="9">
        <v>2.0</v>
      </c>
      <c r="F529" s="14"/>
      <c r="G529" s="15"/>
      <c r="H529" s="15"/>
      <c r="I529" s="14"/>
      <c r="J529" s="14"/>
      <c r="K529" s="14"/>
      <c r="L529" s="14"/>
      <c r="M529" s="14"/>
      <c r="N529" s="14"/>
      <c r="P529" s="14"/>
    </row>
    <row r="530" ht="18.75" customHeight="1">
      <c r="A530" s="7" t="s">
        <v>2434</v>
      </c>
      <c r="B530" s="9">
        <v>51.0</v>
      </c>
      <c r="C530" s="9">
        <v>51.0</v>
      </c>
      <c r="D530" s="9">
        <v>12.0</v>
      </c>
      <c r="E530" s="9">
        <v>0.0</v>
      </c>
      <c r="F530" s="14"/>
      <c r="G530" s="15"/>
      <c r="H530" s="15"/>
      <c r="I530" s="14"/>
      <c r="J530" s="14"/>
      <c r="K530" s="14"/>
      <c r="L530" s="14"/>
      <c r="M530" s="14"/>
      <c r="N530" s="14"/>
      <c r="P530" s="14"/>
    </row>
    <row r="531" ht="18.75" customHeight="1">
      <c r="A531" s="7" t="s">
        <v>2446</v>
      </c>
      <c r="B531" s="9">
        <v>24033.0</v>
      </c>
      <c r="C531" s="9">
        <v>23717.0</v>
      </c>
      <c r="D531" s="9">
        <v>5371.0</v>
      </c>
      <c r="E531" s="9">
        <v>152.0</v>
      </c>
      <c r="F531" s="14"/>
      <c r="G531" s="15"/>
      <c r="H531" s="15"/>
      <c r="I531" s="14"/>
      <c r="J531" s="14"/>
      <c r="K531" s="14"/>
      <c r="L531" s="14"/>
      <c r="M531" s="14"/>
      <c r="N531" s="14"/>
      <c r="P531" s="14"/>
    </row>
    <row r="532" ht="18.75" customHeight="1">
      <c r="A532" s="7" t="s">
        <v>2447</v>
      </c>
      <c r="B532" s="9">
        <v>62499.0</v>
      </c>
      <c r="C532" s="9">
        <v>62240.0</v>
      </c>
      <c r="D532" s="9">
        <v>9820.0</v>
      </c>
      <c r="E532" s="9">
        <v>35.0</v>
      </c>
      <c r="F532" s="14"/>
      <c r="G532" s="15"/>
      <c r="H532" s="15"/>
      <c r="I532" s="14"/>
      <c r="J532" s="14"/>
      <c r="K532" s="14"/>
      <c r="L532" s="14"/>
      <c r="M532" s="14"/>
      <c r="N532" s="14"/>
      <c r="P532" s="14"/>
    </row>
    <row r="533" ht="18.75" customHeight="1">
      <c r="A533" s="7" t="s">
        <v>2431</v>
      </c>
      <c r="B533" s="9">
        <v>60452.0</v>
      </c>
      <c r="C533" s="9">
        <v>60101.0</v>
      </c>
      <c r="D533" s="9">
        <v>25311.0</v>
      </c>
      <c r="E533" s="9">
        <v>339.0</v>
      </c>
      <c r="F533" s="14"/>
      <c r="G533" s="15"/>
      <c r="H533" s="15"/>
      <c r="I533" s="14"/>
      <c r="J533" s="14"/>
      <c r="K533" s="14"/>
      <c r="L533" s="14"/>
      <c r="M533" s="14"/>
      <c r="N533" s="14"/>
      <c r="P533" s="14"/>
    </row>
    <row r="534" ht="18.75" customHeight="1">
      <c r="A534" s="7" t="s">
        <v>2431</v>
      </c>
      <c r="B534" s="9">
        <v>68008.0</v>
      </c>
      <c r="C534" s="9">
        <v>67188.0</v>
      </c>
      <c r="D534" s="9">
        <v>25664.0</v>
      </c>
      <c r="E534" s="9">
        <v>982.0</v>
      </c>
      <c r="F534" s="14"/>
      <c r="G534" s="15"/>
      <c r="H534" s="15"/>
      <c r="I534" s="14"/>
      <c r="J534" s="14"/>
      <c r="K534" s="14"/>
      <c r="L534" s="14"/>
      <c r="M534" s="14"/>
      <c r="N534" s="14"/>
      <c r="P534" s="14"/>
    </row>
    <row r="535" ht="18.75" customHeight="1">
      <c r="A535" s="7" t="s">
        <v>2448</v>
      </c>
      <c r="B535" s="9">
        <v>72294.0</v>
      </c>
      <c r="C535" s="9">
        <v>71369.0</v>
      </c>
      <c r="D535" s="9">
        <v>24796.0</v>
      </c>
      <c r="E535" s="9">
        <v>3569.0</v>
      </c>
      <c r="F535" s="14"/>
      <c r="G535" s="15"/>
      <c r="H535" s="15"/>
      <c r="I535" s="14"/>
      <c r="J535" s="14"/>
      <c r="K535" s="14"/>
      <c r="L535" s="14"/>
      <c r="M535" s="14"/>
      <c r="N535" s="14"/>
      <c r="P535" s="14"/>
    </row>
    <row r="536" ht="18.75" customHeight="1">
      <c r="A536" s="7" t="s">
        <v>2449</v>
      </c>
      <c r="B536" s="9">
        <v>26087.0</v>
      </c>
      <c r="C536" s="9">
        <v>25653.0</v>
      </c>
      <c r="D536" s="9">
        <v>7646.0</v>
      </c>
      <c r="E536" s="9">
        <v>1189.0</v>
      </c>
      <c r="F536" s="14"/>
      <c r="G536" s="15"/>
      <c r="H536" s="15"/>
      <c r="I536" s="14"/>
      <c r="J536" s="14"/>
      <c r="K536" s="14"/>
      <c r="L536" s="14"/>
      <c r="M536" s="14"/>
      <c r="N536" s="14"/>
      <c r="P536" s="14"/>
    </row>
    <row r="537" ht="18.75" customHeight="1">
      <c r="A537" s="7" t="s">
        <v>2450</v>
      </c>
      <c r="B537" s="9">
        <v>70704.0</v>
      </c>
      <c r="C537" s="9">
        <v>69606.0</v>
      </c>
      <c r="D537" s="9">
        <v>23003.0</v>
      </c>
      <c r="E537" s="9">
        <v>1641.0</v>
      </c>
      <c r="F537" s="14"/>
      <c r="G537" s="15"/>
      <c r="H537" s="15"/>
      <c r="I537" s="14"/>
      <c r="J537" s="14"/>
      <c r="K537" s="14"/>
      <c r="L537" s="14"/>
      <c r="M537" s="14"/>
      <c r="N537" s="14"/>
      <c r="P537" s="14"/>
    </row>
    <row r="538" ht="18.75" customHeight="1">
      <c r="A538" s="7" t="s">
        <v>2451</v>
      </c>
      <c r="B538" s="9">
        <v>30258.0</v>
      </c>
      <c r="C538" s="9">
        <v>29801.0</v>
      </c>
      <c r="D538" s="9">
        <v>10271.0</v>
      </c>
      <c r="E538" s="9">
        <v>315.0</v>
      </c>
      <c r="F538" s="14"/>
      <c r="G538" s="15"/>
      <c r="H538" s="15"/>
      <c r="I538" s="14"/>
      <c r="J538" s="14"/>
      <c r="K538" s="14"/>
      <c r="L538" s="14"/>
      <c r="M538" s="14"/>
      <c r="N538" s="14"/>
      <c r="P538" s="14"/>
    </row>
    <row r="539" ht="18.75" customHeight="1">
      <c r="A539" s="7" t="s">
        <v>2452</v>
      </c>
      <c r="B539" s="9">
        <v>71707.0</v>
      </c>
      <c r="C539" s="9">
        <v>70748.0</v>
      </c>
      <c r="D539" s="9">
        <v>13687.0</v>
      </c>
      <c r="E539" s="9">
        <v>430.0</v>
      </c>
      <c r="F539" s="14"/>
      <c r="G539" s="15"/>
      <c r="H539" s="15"/>
      <c r="I539" s="14"/>
      <c r="J539" s="14"/>
      <c r="K539" s="14"/>
      <c r="L539" s="14"/>
      <c r="M539" s="14"/>
      <c r="N539" s="14"/>
      <c r="P539" s="14"/>
    </row>
    <row r="540" ht="18.75" customHeight="1">
      <c r="A540" s="7" t="s">
        <v>2453</v>
      </c>
      <c r="B540" s="9">
        <v>73108.0</v>
      </c>
      <c r="C540" s="9">
        <v>72159.0</v>
      </c>
      <c r="D540" s="9">
        <v>19580.0</v>
      </c>
      <c r="E540" s="9">
        <v>500.0</v>
      </c>
      <c r="F540" s="14"/>
      <c r="G540" s="15"/>
      <c r="H540" s="15"/>
      <c r="I540" s="14"/>
      <c r="J540" s="14"/>
      <c r="K540" s="14"/>
      <c r="L540" s="14"/>
      <c r="M540" s="14"/>
      <c r="N540" s="14"/>
      <c r="P540" s="14"/>
    </row>
    <row r="541" ht="18.75" customHeight="1">
      <c r="A541" s="7" t="s">
        <v>2454</v>
      </c>
      <c r="B541" s="9">
        <v>53317.0</v>
      </c>
      <c r="C541" s="9">
        <v>52465.0</v>
      </c>
      <c r="D541" s="9">
        <v>17082.0</v>
      </c>
      <c r="E541" s="9">
        <v>796.0</v>
      </c>
      <c r="F541" s="14"/>
      <c r="G541" s="15"/>
      <c r="H541" s="15"/>
      <c r="I541" s="14"/>
      <c r="J541" s="14"/>
      <c r="K541" s="14"/>
      <c r="L541" s="14"/>
      <c r="M541" s="14"/>
      <c r="N541" s="14"/>
      <c r="P541" s="14"/>
    </row>
    <row r="542" ht="18.75" customHeight="1">
      <c r="A542" s="7" t="s">
        <v>2274</v>
      </c>
      <c r="B542" s="9">
        <v>18721.0</v>
      </c>
      <c r="C542" s="9">
        <v>18408.0</v>
      </c>
      <c r="D542" s="9">
        <v>4942.0</v>
      </c>
      <c r="E542" s="9">
        <v>130.0</v>
      </c>
      <c r="F542" s="14"/>
      <c r="G542" s="15"/>
      <c r="H542" s="15"/>
      <c r="I542" s="14"/>
      <c r="J542" s="14"/>
      <c r="K542" s="14"/>
      <c r="L542" s="14"/>
      <c r="M542" s="14"/>
      <c r="N542" s="14"/>
      <c r="P542" s="14"/>
    </row>
    <row r="543" ht="18.75" customHeight="1">
      <c r="A543" s="7" t="s">
        <v>2446</v>
      </c>
      <c r="B543" s="9">
        <v>18807.0</v>
      </c>
      <c r="C543" s="9">
        <v>18416.0</v>
      </c>
      <c r="D543" s="9">
        <v>936.0</v>
      </c>
      <c r="E543" s="9">
        <v>25.0</v>
      </c>
      <c r="F543" s="14"/>
      <c r="G543" s="15"/>
      <c r="H543" s="15"/>
      <c r="I543" s="14"/>
      <c r="J543" s="14"/>
      <c r="K543" s="14"/>
      <c r="L543" s="14"/>
      <c r="M543" s="14"/>
      <c r="N543" s="14"/>
      <c r="P543" s="14"/>
    </row>
    <row r="544" ht="18.75" customHeight="1">
      <c r="A544" s="7" t="s">
        <v>2283</v>
      </c>
      <c r="B544" s="9">
        <v>18160.0</v>
      </c>
      <c r="C544" s="9">
        <v>17880.0</v>
      </c>
      <c r="D544" s="9">
        <v>5189.0</v>
      </c>
      <c r="E544" s="9">
        <v>64.0</v>
      </c>
      <c r="F544" s="14"/>
      <c r="G544" s="15"/>
      <c r="H544" s="15"/>
      <c r="I544" s="14"/>
      <c r="J544" s="14"/>
      <c r="K544" s="14"/>
      <c r="L544" s="14"/>
      <c r="M544" s="14"/>
      <c r="N544" s="14"/>
      <c r="P544" s="14"/>
    </row>
    <row r="545" ht="18.75" customHeight="1">
      <c r="A545" s="7" t="s">
        <v>2286</v>
      </c>
      <c r="B545" s="9">
        <v>253.0</v>
      </c>
      <c r="C545" s="9">
        <v>249.0</v>
      </c>
      <c r="D545" s="9">
        <v>86.0</v>
      </c>
      <c r="E545" s="9">
        <v>1.0</v>
      </c>
      <c r="F545" s="14"/>
      <c r="G545" s="15"/>
      <c r="H545" s="15"/>
      <c r="I545" s="14"/>
      <c r="J545" s="14"/>
      <c r="K545" s="14"/>
      <c r="L545" s="14"/>
      <c r="M545" s="14"/>
      <c r="N545" s="14"/>
      <c r="P545" s="14"/>
    </row>
    <row r="546" ht="18.75" customHeight="1">
      <c r="A546" s="7" t="s">
        <v>2455</v>
      </c>
      <c r="B546" s="9">
        <v>146379.0</v>
      </c>
      <c r="C546" s="9">
        <v>145421.0</v>
      </c>
      <c r="D546" s="9">
        <v>58940.0</v>
      </c>
      <c r="E546" s="9">
        <v>253.0</v>
      </c>
      <c r="F546" s="14"/>
      <c r="G546" s="15"/>
      <c r="H546" s="15"/>
      <c r="I546" s="14"/>
      <c r="J546" s="14"/>
      <c r="K546" s="14"/>
      <c r="L546" s="14"/>
      <c r="M546" s="14"/>
      <c r="N546" s="14"/>
      <c r="P546" s="14"/>
    </row>
    <row r="547" ht="18.75" customHeight="1">
      <c r="A547" s="7" t="s">
        <v>2455</v>
      </c>
      <c r="B547" s="9">
        <v>101154.0</v>
      </c>
      <c r="C547" s="9">
        <v>99708.0</v>
      </c>
      <c r="D547" s="9">
        <v>32020.0</v>
      </c>
      <c r="E547" s="9">
        <v>1283.0</v>
      </c>
      <c r="F547" s="14"/>
      <c r="G547" s="15"/>
      <c r="H547" s="15"/>
      <c r="I547" s="14"/>
      <c r="J547" s="14"/>
      <c r="K547" s="14"/>
      <c r="L547" s="14"/>
      <c r="M547" s="14"/>
      <c r="N547" s="14"/>
      <c r="P547" s="14"/>
    </row>
    <row r="548" ht="18.75" customHeight="1">
      <c r="A548" s="7" t="s">
        <v>2456</v>
      </c>
      <c r="B548" s="9">
        <v>17121.0</v>
      </c>
      <c r="C548" s="9">
        <v>16788.0</v>
      </c>
      <c r="D548" s="9">
        <v>4123.0</v>
      </c>
      <c r="E548" s="9">
        <v>59.0</v>
      </c>
      <c r="F548" s="14"/>
      <c r="G548" s="15"/>
      <c r="H548" s="15"/>
      <c r="I548" s="14"/>
      <c r="J548" s="14"/>
      <c r="K548" s="14"/>
      <c r="L548" s="14"/>
      <c r="M548" s="14"/>
      <c r="N548" s="14"/>
      <c r="P548" s="14"/>
    </row>
    <row r="549" ht="18.75" customHeight="1">
      <c r="A549" s="7" t="s">
        <v>2449</v>
      </c>
      <c r="B549" s="9">
        <v>86025.0</v>
      </c>
      <c r="C549" s="9">
        <v>84044.0</v>
      </c>
      <c r="D549" s="9">
        <v>28005.0</v>
      </c>
      <c r="E549" s="9">
        <v>3634.0</v>
      </c>
      <c r="F549" s="14"/>
      <c r="G549" s="15"/>
      <c r="H549" s="15"/>
      <c r="I549" s="14"/>
      <c r="J549" s="14"/>
      <c r="K549" s="14"/>
      <c r="L549" s="14"/>
      <c r="M549" s="14"/>
      <c r="N549" s="14"/>
    </row>
    <row r="550" ht="18.75" customHeight="1">
      <c r="A550" s="7" t="s">
        <v>2457</v>
      </c>
      <c r="B550" s="9">
        <v>102660.0</v>
      </c>
      <c r="C550" s="9">
        <v>100885.0</v>
      </c>
      <c r="D550" s="9">
        <v>40700.0</v>
      </c>
      <c r="E550" s="9">
        <v>869.0</v>
      </c>
      <c r="F550" s="14"/>
      <c r="G550" s="15"/>
      <c r="H550" s="15"/>
      <c r="I550" s="14"/>
      <c r="J550" s="14"/>
      <c r="K550" s="14"/>
      <c r="L550" s="14"/>
      <c r="M550" s="14"/>
      <c r="N550" s="14"/>
      <c r="P550" s="14"/>
    </row>
    <row r="551" ht="18.75" customHeight="1">
      <c r="A551" s="7" t="s">
        <v>2458</v>
      </c>
      <c r="B551" s="9">
        <v>42640.0</v>
      </c>
      <c r="C551" s="9">
        <v>41893.0</v>
      </c>
      <c r="D551" s="9">
        <v>15413.0</v>
      </c>
      <c r="E551" s="9">
        <v>1962.0</v>
      </c>
      <c r="F551" s="14"/>
      <c r="G551" s="15"/>
      <c r="H551" s="15"/>
      <c r="I551" s="14"/>
      <c r="J551" s="14"/>
      <c r="K551" s="14"/>
      <c r="L551" s="14"/>
      <c r="M551" s="14"/>
      <c r="N551" s="14"/>
      <c r="P551" s="14"/>
    </row>
    <row r="552" ht="18.75" customHeight="1">
      <c r="A552" s="7" t="s">
        <v>2459</v>
      </c>
      <c r="B552" s="9">
        <v>101445.0</v>
      </c>
      <c r="C552" s="9">
        <v>99719.0</v>
      </c>
      <c r="D552" s="9">
        <v>38536.0</v>
      </c>
      <c r="E552" s="9">
        <v>1097.0</v>
      </c>
      <c r="F552" s="14"/>
      <c r="G552" s="15"/>
      <c r="H552" s="15"/>
      <c r="I552" s="14"/>
      <c r="J552" s="14"/>
      <c r="K552" s="14"/>
      <c r="L552" s="14"/>
      <c r="M552" s="14"/>
      <c r="N552" s="14"/>
      <c r="P552" s="14"/>
    </row>
    <row r="553" ht="18.75" customHeight="1">
      <c r="A553" s="7" t="s">
        <v>2460</v>
      </c>
      <c r="B553" s="9">
        <v>116127.0</v>
      </c>
      <c r="C553" s="9">
        <v>113840.0</v>
      </c>
      <c r="D553" s="9">
        <v>31485.0</v>
      </c>
      <c r="E553" s="9">
        <v>759.0</v>
      </c>
      <c r="F553" s="14"/>
      <c r="G553" s="15"/>
      <c r="H553" s="15"/>
      <c r="I553" s="14"/>
      <c r="J553" s="14"/>
      <c r="K553" s="14"/>
      <c r="L553" s="14"/>
      <c r="M553" s="14"/>
      <c r="N553" s="14"/>
    </row>
    <row r="554" ht="18.75" customHeight="1">
      <c r="A554" s="7" t="s">
        <v>2461</v>
      </c>
      <c r="B554" s="9">
        <v>63802.0</v>
      </c>
      <c r="C554" s="9">
        <v>62425.0</v>
      </c>
      <c r="D554" s="9">
        <v>17847.0</v>
      </c>
      <c r="E554" s="9">
        <v>449.0</v>
      </c>
      <c r="F554" s="14"/>
      <c r="G554" s="15"/>
      <c r="H554" s="15"/>
      <c r="I554" s="14"/>
      <c r="J554" s="14"/>
      <c r="K554" s="14"/>
      <c r="L554" s="14"/>
      <c r="M554" s="14"/>
      <c r="N554" s="14"/>
    </row>
    <row r="555" ht="18.75" customHeight="1">
      <c r="A555" s="7" t="s">
        <v>2462</v>
      </c>
      <c r="B555" s="9">
        <v>143505.0</v>
      </c>
      <c r="C555" s="9">
        <v>139446.0</v>
      </c>
      <c r="D555" s="9">
        <v>38327.0</v>
      </c>
      <c r="E555" s="9">
        <v>314.0</v>
      </c>
      <c r="F555" s="14"/>
      <c r="G555" s="15"/>
      <c r="H555" s="15"/>
      <c r="I555" s="14"/>
      <c r="J555" s="14"/>
      <c r="K555" s="14"/>
      <c r="L555" s="14"/>
      <c r="M555" s="14"/>
      <c r="N555" s="14"/>
    </row>
    <row r="556" ht="18.75" customHeight="1">
      <c r="A556" s="7" t="s">
        <v>2463</v>
      </c>
      <c r="B556" s="9">
        <v>69888.0</v>
      </c>
      <c r="C556" s="9">
        <v>68723.0</v>
      </c>
      <c r="D556" s="9">
        <v>28892.0</v>
      </c>
      <c r="E556" s="9">
        <v>200.0</v>
      </c>
      <c r="F556" s="14"/>
      <c r="G556" s="15"/>
      <c r="H556" s="15"/>
      <c r="I556" s="14"/>
      <c r="J556" s="14"/>
      <c r="K556" s="14"/>
      <c r="L556" s="14"/>
      <c r="M556" s="14"/>
      <c r="N556" s="14"/>
      <c r="P556" s="14"/>
    </row>
    <row r="557" ht="18.75" customHeight="1">
      <c r="A557" s="7" t="s">
        <v>2274</v>
      </c>
      <c r="B557" s="9">
        <v>15337.0</v>
      </c>
      <c r="C557" s="9">
        <v>15041.0</v>
      </c>
      <c r="D557" s="9">
        <v>3765.0</v>
      </c>
      <c r="E557" s="9">
        <v>88.0</v>
      </c>
      <c r="F557" s="14"/>
      <c r="G557" s="15"/>
      <c r="H557" s="15"/>
      <c r="I557" s="14"/>
      <c r="J557" s="14"/>
      <c r="K557" s="14"/>
      <c r="L557" s="14"/>
      <c r="M557" s="14"/>
      <c r="N557" s="14"/>
      <c r="P557" s="14"/>
    </row>
    <row r="558" ht="18.75" customHeight="1">
      <c r="A558" s="7" t="s">
        <v>2282</v>
      </c>
      <c r="B558" s="9">
        <v>244.0</v>
      </c>
      <c r="C558" s="9">
        <v>241.0</v>
      </c>
      <c r="D558" s="9">
        <v>84.0</v>
      </c>
      <c r="E558" s="9">
        <v>10.0</v>
      </c>
      <c r="F558" s="14"/>
      <c r="G558" s="15"/>
      <c r="H558" s="15"/>
      <c r="I558" s="14"/>
      <c r="J558" s="14"/>
      <c r="K558" s="14"/>
      <c r="L558" s="14"/>
      <c r="M558" s="14"/>
      <c r="N558" s="14"/>
      <c r="P558" s="14"/>
    </row>
    <row r="559" ht="18.75" customHeight="1">
      <c r="A559" s="7" t="s">
        <v>2464</v>
      </c>
      <c r="B559" s="9">
        <v>19400.0</v>
      </c>
      <c r="C559" s="9">
        <v>19099.0</v>
      </c>
      <c r="D559" s="9">
        <v>4255.0</v>
      </c>
      <c r="E559" s="9">
        <v>165.0</v>
      </c>
      <c r="F559" s="14"/>
      <c r="G559" s="15"/>
      <c r="H559" s="15"/>
      <c r="I559" s="14"/>
      <c r="J559" s="14"/>
      <c r="K559" s="14"/>
      <c r="L559" s="14"/>
      <c r="M559" s="14"/>
      <c r="N559" s="14"/>
      <c r="P559" s="14"/>
    </row>
    <row r="560" ht="18.75" customHeight="1">
      <c r="A560" s="7" t="s">
        <v>2465</v>
      </c>
      <c r="B560" s="9">
        <v>11053.0</v>
      </c>
      <c r="C560" s="9">
        <v>10883.0</v>
      </c>
      <c r="D560" s="9">
        <v>5309.0</v>
      </c>
      <c r="E560" s="9">
        <v>121.0</v>
      </c>
      <c r="F560" s="14"/>
      <c r="G560" s="15"/>
      <c r="H560" s="15"/>
      <c r="I560" s="14"/>
      <c r="J560" s="14"/>
      <c r="K560" s="14"/>
      <c r="L560" s="14"/>
      <c r="M560" s="14"/>
      <c r="N560" s="14"/>
      <c r="P560" s="14"/>
    </row>
    <row r="561" ht="18.75" customHeight="1">
      <c r="A561" s="7" t="s">
        <v>2466</v>
      </c>
      <c r="B561" s="9">
        <v>64312.0</v>
      </c>
      <c r="C561" s="9">
        <v>63310.0</v>
      </c>
      <c r="D561" s="9">
        <v>20751.0</v>
      </c>
      <c r="E561" s="9">
        <v>441.0</v>
      </c>
      <c r="F561" s="14"/>
      <c r="G561" s="15"/>
      <c r="H561" s="15"/>
      <c r="I561" s="14"/>
      <c r="J561" s="14"/>
      <c r="K561" s="14"/>
      <c r="L561" s="14"/>
      <c r="M561" s="14"/>
      <c r="N561" s="14"/>
      <c r="P561" s="14"/>
    </row>
    <row r="562" ht="18.75" customHeight="1">
      <c r="A562" s="7" t="s">
        <v>2455</v>
      </c>
      <c r="B562" s="9">
        <v>80123.0</v>
      </c>
      <c r="C562" s="9">
        <v>78884.0</v>
      </c>
      <c r="D562" s="9">
        <v>31762.0</v>
      </c>
      <c r="E562" s="9">
        <v>868.0</v>
      </c>
      <c r="F562" s="14"/>
      <c r="G562" s="15"/>
      <c r="H562" s="15"/>
      <c r="I562" s="14"/>
      <c r="J562" s="14"/>
      <c r="K562" s="14"/>
      <c r="L562" s="14"/>
      <c r="M562" s="14"/>
      <c r="N562" s="14"/>
      <c r="P562" s="14"/>
    </row>
    <row r="563" ht="18.75" customHeight="1">
      <c r="A563" s="7" t="s">
        <v>2283</v>
      </c>
      <c r="B563" s="9">
        <v>18710.0</v>
      </c>
      <c r="C563" s="9">
        <v>18274.0</v>
      </c>
      <c r="D563" s="9">
        <v>5061.0</v>
      </c>
      <c r="E563" s="9">
        <v>52.0</v>
      </c>
      <c r="F563" s="14"/>
      <c r="G563" s="15"/>
      <c r="H563" s="15"/>
      <c r="I563" s="14"/>
      <c r="J563" s="14"/>
      <c r="K563" s="14"/>
      <c r="L563" s="14"/>
      <c r="M563" s="14"/>
      <c r="N563" s="14"/>
      <c r="P563" s="14"/>
    </row>
    <row r="564" ht="18.75" customHeight="1">
      <c r="A564" s="7" t="s">
        <v>2463</v>
      </c>
      <c r="B564" s="9">
        <v>40969.0</v>
      </c>
      <c r="C564" s="9">
        <v>39879.0</v>
      </c>
      <c r="D564" s="9">
        <v>6378.0</v>
      </c>
      <c r="E564" s="9">
        <v>75.0</v>
      </c>
      <c r="F564" s="14"/>
      <c r="G564" s="15"/>
      <c r="H564" s="15"/>
      <c r="I564" s="14"/>
      <c r="J564" s="14"/>
      <c r="K564" s="14"/>
      <c r="L564" s="14"/>
      <c r="M564" s="14"/>
      <c r="N564" s="14"/>
      <c r="P564" s="14"/>
    </row>
    <row r="565" ht="18.75" customHeight="1">
      <c r="A565" s="7" t="s">
        <v>2467</v>
      </c>
      <c r="B565" s="9">
        <v>64778.0</v>
      </c>
      <c r="C565" s="9">
        <v>62872.0</v>
      </c>
      <c r="D565" s="9">
        <v>9498.0</v>
      </c>
      <c r="E565" s="9">
        <v>89.0</v>
      </c>
      <c r="F565" s="14"/>
      <c r="G565" s="15"/>
      <c r="H565" s="15"/>
      <c r="I565" s="14"/>
      <c r="J565" s="14"/>
      <c r="K565" s="14"/>
      <c r="L565" s="14"/>
      <c r="M565" s="14"/>
      <c r="N565" s="14"/>
    </row>
    <row r="566" ht="18.75" customHeight="1">
      <c r="A566" s="7" t="s">
        <v>2468</v>
      </c>
      <c r="B566" s="9">
        <v>120317.0</v>
      </c>
      <c r="C566" s="9">
        <v>118284.0</v>
      </c>
      <c r="D566" s="9">
        <v>45617.0</v>
      </c>
      <c r="E566" s="9">
        <v>3236.0</v>
      </c>
      <c r="F566" s="14"/>
      <c r="G566" s="15"/>
      <c r="H566" s="15"/>
      <c r="I566" s="14"/>
      <c r="J566" s="14"/>
      <c r="K566" s="14"/>
      <c r="L566" s="14"/>
      <c r="M566" s="14"/>
      <c r="N566" s="14"/>
      <c r="P566" s="14"/>
    </row>
    <row r="567" ht="18.75" customHeight="1">
      <c r="A567" s="7" t="s">
        <v>2468</v>
      </c>
      <c r="B567" s="9">
        <v>126410.0</v>
      </c>
      <c r="C567" s="9">
        <v>123748.0</v>
      </c>
      <c r="D567" s="9">
        <v>23046.0</v>
      </c>
      <c r="E567" s="9">
        <v>450.0</v>
      </c>
      <c r="F567" s="14"/>
      <c r="G567" s="15"/>
      <c r="H567" s="15"/>
      <c r="I567" s="14"/>
      <c r="J567" s="14"/>
      <c r="K567" s="14"/>
      <c r="L567" s="14"/>
      <c r="M567" s="14"/>
      <c r="N567" s="14"/>
      <c r="P567" s="14"/>
    </row>
    <row r="568" ht="18.75" customHeight="1">
      <c r="A568" s="7" t="s">
        <v>2469</v>
      </c>
      <c r="B568" s="9">
        <v>17742.0</v>
      </c>
      <c r="C568" s="9">
        <v>17370.0</v>
      </c>
      <c r="D568" s="9">
        <v>4102.0</v>
      </c>
      <c r="E568" s="9">
        <v>131.0</v>
      </c>
      <c r="F568" s="14"/>
      <c r="G568" s="15"/>
      <c r="H568" s="15"/>
      <c r="I568" s="14"/>
      <c r="J568" s="14"/>
      <c r="K568" s="14"/>
      <c r="L568" s="14"/>
      <c r="M568" s="14"/>
      <c r="N568" s="14"/>
      <c r="P568" s="14"/>
    </row>
    <row r="569" ht="18.75" customHeight="1">
      <c r="A569" s="7" t="s">
        <v>2470</v>
      </c>
      <c r="B569" s="9">
        <v>126396.0</v>
      </c>
      <c r="C569" s="9">
        <v>123240.0</v>
      </c>
      <c r="D569" s="9">
        <v>32328.0</v>
      </c>
      <c r="E569" s="9">
        <v>977.0</v>
      </c>
      <c r="F569" s="14"/>
      <c r="G569" s="15"/>
      <c r="H569" s="15"/>
      <c r="I569" s="14"/>
      <c r="J569" s="14"/>
      <c r="K569" s="14"/>
      <c r="L569" s="14"/>
      <c r="M569" s="14"/>
      <c r="N569" s="14"/>
      <c r="P569" s="14"/>
    </row>
    <row r="570" ht="18.75" customHeight="1">
      <c r="A570" s="7" t="s">
        <v>2471</v>
      </c>
      <c r="B570" s="9">
        <v>13739.0</v>
      </c>
      <c r="C570" s="9">
        <v>13354.0</v>
      </c>
      <c r="D570" s="9">
        <v>3753.0</v>
      </c>
      <c r="E570" s="9">
        <v>225.0</v>
      </c>
      <c r="F570" s="14"/>
      <c r="G570" s="15"/>
      <c r="H570" s="15"/>
      <c r="I570" s="14"/>
      <c r="J570" s="14"/>
      <c r="K570" s="14"/>
      <c r="L570" s="14"/>
      <c r="M570" s="14"/>
      <c r="N570" s="14"/>
      <c r="P570" s="14"/>
    </row>
    <row r="571" ht="18.75" customHeight="1">
      <c r="A571" s="7" t="s">
        <v>2472</v>
      </c>
      <c r="B571" s="9">
        <v>118323.0</v>
      </c>
      <c r="C571" s="9">
        <v>116086.0</v>
      </c>
      <c r="D571" s="9">
        <v>45521.0</v>
      </c>
      <c r="E571" s="9">
        <v>1322.0</v>
      </c>
      <c r="F571" s="14"/>
      <c r="G571" s="15"/>
      <c r="H571" s="15"/>
      <c r="I571" s="14"/>
      <c r="J571" s="14"/>
      <c r="K571" s="14"/>
      <c r="L571" s="14"/>
      <c r="M571" s="14"/>
      <c r="N571" s="14"/>
      <c r="P571" s="14"/>
    </row>
    <row r="572" ht="18.75" customHeight="1">
      <c r="A572" s="7" t="s">
        <v>2473</v>
      </c>
      <c r="B572" s="9">
        <v>64656.0</v>
      </c>
      <c r="C572" s="9">
        <v>63269.0</v>
      </c>
      <c r="D572" s="9">
        <v>18086.0</v>
      </c>
      <c r="E572" s="9">
        <v>253.0</v>
      </c>
      <c r="F572" s="14"/>
      <c r="G572" s="15"/>
      <c r="H572" s="15"/>
      <c r="I572" s="14"/>
      <c r="J572" s="14"/>
      <c r="K572" s="14"/>
      <c r="L572" s="14"/>
      <c r="M572" s="14"/>
      <c r="N572" s="14"/>
      <c r="P572" s="14"/>
    </row>
    <row r="573" ht="18.75" customHeight="1">
      <c r="A573" s="7" t="s">
        <v>2474</v>
      </c>
      <c r="B573" s="9">
        <v>133905.0</v>
      </c>
      <c r="C573" s="9">
        <v>131282.0</v>
      </c>
      <c r="D573" s="9">
        <v>53961.0</v>
      </c>
      <c r="E573" s="9">
        <v>318.0</v>
      </c>
      <c r="F573" s="14"/>
      <c r="G573" s="15"/>
      <c r="H573" s="15"/>
      <c r="I573" s="14"/>
      <c r="J573" s="14"/>
      <c r="K573" s="14"/>
      <c r="L573" s="14"/>
      <c r="M573" s="14"/>
      <c r="N573" s="14"/>
      <c r="P573" s="14"/>
    </row>
    <row r="574" ht="18.75" customHeight="1">
      <c r="A574" s="7" t="s">
        <v>2274</v>
      </c>
      <c r="B574" s="9">
        <v>15268.0</v>
      </c>
      <c r="C574" s="9">
        <v>14895.0</v>
      </c>
      <c r="D574" s="9">
        <v>4184.0</v>
      </c>
      <c r="E574" s="9">
        <v>108.0</v>
      </c>
      <c r="F574" s="14"/>
      <c r="G574" s="15"/>
      <c r="H574" s="15"/>
      <c r="I574" s="14"/>
      <c r="J574" s="14"/>
      <c r="K574" s="14"/>
      <c r="L574" s="14"/>
      <c r="M574" s="14"/>
      <c r="N574" s="14"/>
      <c r="P574" s="14"/>
    </row>
    <row r="575" ht="18.75" customHeight="1">
      <c r="A575" s="7" t="s">
        <v>2475</v>
      </c>
      <c r="B575" s="9">
        <v>109170.0</v>
      </c>
      <c r="C575" s="9">
        <v>106636.0</v>
      </c>
      <c r="D575" s="9">
        <v>20830.0</v>
      </c>
      <c r="E575" s="9">
        <v>428.0</v>
      </c>
      <c r="F575" s="14"/>
      <c r="G575" s="15"/>
      <c r="H575" s="15"/>
      <c r="I575" s="14"/>
      <c r="J575" s="14"/>
      <c r="K575" s="14"/>
      <c r="L575" s="14"/>
      <c r="M575" s="14"/>
      <c r="N575" s="14"/>
    </row>
    <row r="576" ht="18.75" customHeight="1">
      <c r="A576" s="7" t="s">
        <v>2476</v>
      </c>
      <c r="B576" s="9">
        <v>60153.0</v>
      </c>
      <c r="C576" s="9">
        <v>58603.0</v>
      </c>
      <c r="D576" s="9">
        <v>20637.0</v>
      </c>
      <c r="E576" s="9">
        <v>609.0</v>
      </c>
      <c r="F576" s="14"/>
      <c r="G576" s="15"/>
      <c r="H576" s="15"/>
      <c r="I576" s="14"/>
      <c r="J576" s="14"/>
      <c r="K576" s="14"/>
      <c r="L576" s="14"/>
      <c r="M576" s="14"/>
      <c r="N576" s="14"/>
      <c r="P576" s="14"/>
    </row>
    <row r="577" ht="18.75" customHeight="1">
      <c r="A577" s="7" t="s">
        <v>2477</v>
      </c>
      <c r="B577" s="9">
        <v>558.0</v>
      </c>
      <c r="C577" s="9">
        <v>549.0</v>
      </c>
      <c r="D577" s="9">
        <v>239.0</v>
      </c>
      <c r="E577" s="9">
        <v>2.0</v>
      </c>
      <c r="F577" s="14"/>
      <c r="G577" s="15"/>
      <c r="H577" s="15"/>
      <c r="I577" s="14"/>
      <c r="J577" s="14"/>
      <c r="K577" s="14"/>
      <c r="L577" s="14"/>
      <c r="M577" s="14"/>
      <c r="N577" s="14"/>
      <c r="P577" s="14"/>
    </row>
    <row r="578" ht="18.75" customHeight="1">
      <c r="A578" s="7" t="s">
        <v>2468</v>
      </c>
      <c r="B578" s="9">
        <v>103177.0</v>
      </c>
      <c r="C578" s="9">
        <v>100504.0</v>
      </c>
      <c r="D578" s="9">
        <v>10388.0</v>
      </c>
      <c r="E578" s="9">
        <v>175.0</v>
      </c>
      <c r="F578" s="14"/>
      <c r="G578" s="15"/>
      <c r="H578" s="15"/>
      <c r="I578" s="14"/>
      <c r="J578" s="14"/>
      <c r="K578" s="14"/>
      <c r="L578" s="14"/>
      <c r="M578" s="14"/>
      <c r="N578" s="14"/>
      <c r="P578" s="14"/>
    </row>
    <row r="579" ht="18.75" customHeight="1">
      <c r="A579" s="7" t="s">
        <v>2283</v>
      </c>
      <c r="B579" s="9">
        <v>15307.0</v>
      </c>
      <c r="C579" s="9">
        <v>14952.0</v>
      </c>
      <c r="D579" s="9">
        <v>4270.0</v>
      </c>
      <c r="E579" s="9">
        <v>57.0</v>
      </c>
      <c r="F579" s="14"/>
      <c r="G579" s="15"/>
      <c r="H579" s="15"/>
      <c r="I579" s="14"/>
      <c r="J579" s="14"/>
      <c r="K579" s="14"/>
      <c r="L579" s="14"/>
      <c r="M579" s="14"/>
      <c r="N579" s="14"/>
      <c r="P579" s="14"/>
    </row>
    <row r="580" ht="18.75" customHeight="1">
      <c r="A580" s="7" t="s">
        <v>2420</v>
      </c>
      <c r="B580" s="9">
        <v>51116.0</v>
      </c>
      <c r="C580" s="9">
        <v>50176.0</v>
      </c>
      <c r="D580" s="9">
        <v>11640.0</v>
      </c>
      <c r="E580" s="9">
        <v>271.0</v>
      </c>
      <c r="F580" s="14"/>
      <c r="G580" s="15"/>
      <c r="H580" s="15"/>
      <c r="I580" s="14"/>
      <c r="J580" s="14"/>
      <c r="K580" s="14"/>
      <c r="L580" s="14"/>
      <c r="M580" s="14"/>
      <c r="N580" s="14"/>
      <c r="P580" s="14"/>
    </row>
    <row r="581" ht="18.75" customHeight="1">
      <c r="A581" s="7" t="s">
        <v>2478</v>
      </c>
      <c r="B581" s="9">
        <v>30158.0</v>
      </c>
      <c r="C581" s="9">
        <v>29468.0</v>
      </c>
      <c r="D581" s="9">
        <v>8033.0</v>
      </c>
      <c r="E581" s="9">
        <v>1655.0</v>
      </c>
      <c r="F581" s="14"/>
      <c r="G581" s="15"/>
      <c r="H581" s="15"/>
      <c r="I581" s="14"/>
      <c r="J581" s="14"/>
      <c r="K581" s="14"/>
      <c r="L581" s="14"/>
      <c r="M581" s="14"/>
      <c r="N581" s="14"/>
      <c r="P581" s="14"/>
    </row>
    <row r="582" ht="18.75" customHeight="1">
      <c r="A582" s="7" t="s">
        <v>2478</v>
      </c>
      <c r="B582" s="9">
        <v>24632.0</v>
      </c>
      <c r="C582" s="9">
        <v>23888.0</v>
      </c>
      <c r="D582" s="9">
        <v>8903.0</v>
      </c>
      <c r="E582" s="9">
        <v>2762.0</v>
      </c>
      <c r="F582" s="14"/>
      <c r="G582" s="15"/>
      <c r="H582" s="15"/>
      <c r="I582" s="14"/>
      <c r="J582" s="14"/>
      <c r="K582" s="14"/>
      <c r="L582" s="14"/>
      <c r="M582" s="14"/>
      <c r="N582" s="14"/>
      <c r="P582" s="14"/>
    </row>
    <row r="583" ht="18.75" customHeight="1">
      <c r="A583" s="7" t="s">
        <v>2472</v>
      </c>
      <c r="B583" s="9">
        <v>1225.0</v>
      </c>
      <c r="C583" s="9">
        <v>1215.0</v>
      </c>
      <c r="D583" s="9">
        <v>890.0</v>
      </c>
      <c r="E583" s="9">
        <v>15.0</v>
      </c>
      <c r="F583" s="14"/>
      <c r="G583" s="15"/>
      <c r="H583" s="15"/>
      <c r="I583" s="14"/>
      <c r="J583" s="14"/>
      <c r="K583" s="14"/>
      <c r="L583" s="14"/>
      <c r="M583" s="14"/>
      <c r="N583" s="14"/>
      <c r="P583" s="14"/>
    </row>
    <row r="584" ht="18.75" customHeight="1">
      <c r="A584" s="7" t="s">
        <v>2479</v>
      </c>
      <c r="B584" s="9">
        <v>58915.0</v>
      </c>
      <c r="C584" s="9">
        <v>57504.0</v>
      </c>
      <c r="D584" s="9">
        <v>14731.0</v>
      </c>
      <c r="E584" s="9">
        <v>1172.0</v>
      </c>
      <c r="F584" s="14"/>
      <c r="G584" s="15"/>
      <c r="H584" s="15"/>
      <c r="I584" s="14"/>
      <c r="J584" s="14"/>
      <c r="K584" s="14"/>
      <c r="L584" s="14"/>
      <c r="M584" s="14"/>
      <c r="N584" s="14"/>
      <c r="P584" s="14"/>
    </row>
    <row r="585" ht="18.75" customHeight="1">
      <c r="A585" s="7" t="s">
        <v>2480</v>
      </c>
      <c r="B585" s="9">
        <v>52102.0</v>
      </c>
      <c r="C585" s="9">
        <v>50843.0</v>
      </c>
      <c r="D585" s="9">
        <v>14697.0</v>
      </c>
      <c r="E585" s="9">
        <v>472.0</v>
      </c>
      <c r="F585" s="14"/>
      <c r="G585" s="15"/>
      <c r="H585" s="15"/>
      <c r="I585" s="14"/>
      <c r="J585" s="14"/>
      <c r="K585" s="14"/>
      <c r="L585" s="14"/>
      <c r="M585" s="14"/>
      <c r="N585" s="14"/>
      <c r="P585" s="14"/>
    </row>
    <row r="586" ht="18.75" customHeight="1">
      <c r="A586" s="7" t="s">
        <v>2481</v>
      </c>
      <c r="B586" s="9">
        <v>7910.0</v>
      </c>
      <c r="C586" s="9">
        <v>7737.0</v>
      </c>
      <c r="D586" s="9">
        <v>2001.0</v>
      </c>
      <c r="E586" s="9">
        <v>72.0</v>
      </c>
      <c r="F586" s="14"/>
      <c r="G586" s="15"/>
      <c r="H586" s="15"/>
      <c r="I586" s="14"/>
      <c r="J586" s="14"/>
      <c r="K586" s="14"/>
      <c r="L586" s="14"/>
      <c r="M586" s="14"/>
      <c r="N586" s="14"/>
      <c r="P586" s="14"/>
    </row>
    <row r="587" ht="18.75" customHeight="1">
      <c r="A587" s="7" t="s">
        <v>2472</v>
      </c>
      <c r="B587" s="9">
        <v>28.0</v>
      </c>
      <c r="C587" s="9">
        <v>28.0</v>
      </c>
      <c r="D587" s="9">
        <v>21.0</v>
      </c>
      <c r="E587" s="9">
        <v>1.0</v>
      </c>
      <c r="F587" s="14"/>
      <c r="G587" s="15"/>
      <c r="H587" s="15"/>
      <c r="I587" s="14"/>
      <c r="J587" s="14"/>
      <c r="K587" s="14"/>
      <c r="L587" s="14"/>
      <c r="M587" s="14"/>
      <c r="N587" s="14"/>
      <c r="P587" s="14"/>
    </row>
    <row r="588" ht="18.75" customHeight="1">
      <c r="A588" s="7" t="s">
        <v>2482</v>
      </c>
      <c r="B588" s="9">
        <v>30812.0</v>
      </c>
      <c r="C588" s="9">
        <v>30154.0</v>
      </c>
      <c r="D588" s="9">
        <v>5349.0</v>
      </c>
      <c r="E588" s="9">
        <v>180.0</v>
      </c>
      <c r="F588" s="14"/>
      <c r="G588" s="15"/>
      <c r="H588" s="15"/>
      <c r="I588" s="14"/>
      <c r="J588" s="14"/>
      <c r="K588" s="14"/>
      <c r="L588" s="14"/>
      <c r="M588" s="14"/>
      <c r="N588" s="14"/>
      <c r="P588" s="14"/>
    </row>
    <row r="589" ht="18.75" customHeight="1">
      <c r="A589" s="7" t="s">
        <v>2483</v>
      </c>
      <c r="B589" s="9">
        <v>61148.0</v>
      </c>
      <c r="C589" s="9">
        <v>60083.0</v>
      </c>
      <c r="D589" s="9">
        <v>24015.0</v>
      </c>
      <c r="E589" s="9">
        <v>408.0</v>
      </c>
      <c r="F589" s="14"/>
      <c r="G589" s="15"/>
      <c r="H589" s="15"/>
      <c r="I589" s="14"/>
      <c r="J589" s="14"/>
      <c r="K589" s="14"/>
      <c r="L589" s="14"/>
      <c r="M589" s="14"/>
      <c r="N589" s="14"/>
      <c r="P589" s="14"/>
    </row>
    <row r="590" ht="18.75" customHeight="1">
      <c r="A590" s="7" t="s">
        <v>2484</v>
      </c>
      <c r="B590" s="9">
        <v>46847.0</v>
      </c>
      <c r="C590" s="9">
        <v>46009.0</v>
      </c>
      <c r="D590" s="9">
        <v>13894.0</v>
      </c>
      <c r="E590" s="9">
        <v>207.0</v>
      </c>
      <c r="F590" s="14"/>
      <c r="G590" s="15"/>
      <c r="H590" s="15"/>
      <c r="I590" s="14"/>
      <c r="J590" s="14"/>
      <c r="K590" s="14"/>
      <c r="L590" s="14"/>
      <c r="M590" s="14"/>
      <c r="N590" s="14"/>
      <c r="P590" s="14"/>
    </row>
    <row r="591" ht="18.75" customHeight="1">
      <c r="A591" s="7" t="s">
        <v>2477</v>
      </c>
      <c r="B591" s="9">
        <v>545.0</v>
      </c>
      <c r="C591" s="9">
        <v>537.0</v>
      </c>
      <c r="D591" s="9">
        <v>271.0</v>
      </c>
      <c r="E591" s="9">
        <v>4.0</v>
      </c>
      <c r="F591" s="14"/>
      <c r="G591" s="15"/>
      <c r="H591" s="15"/>
      <c r="I591" s="14"/>
      <c r="J591" s="14"/>
      <c r="K591" s="14"/>
      <c r="L591" s="14"/>
      <c r="M591" s="14"/>
      <c r="N591" s="14"/>
      <c r="P591" s="14"/>
    </row>
    <row r="592" ht="18.75" customHeight="1">
      <c r="A592" s="7" t="s">
        <v>2485</v>
      </c>
      <c r="B592" s="9">
        <v>1636.0</v>
      </c>
      <c r="C592" s="9">
        <v>1613.0</v>
      </c>
      <c r="D592" s="9">
        <v>639.0</v>
      </c>
      <c r="E592" s="9">
        <v>101.0</v>
      </c>
      <c r="F592" s="14"/>
      <c r="G592" s="15"/>
      <c r="H592" s="15"/>
      <c r="I592" s="14"/>
      <c r="J592" s="14"/>
      <c r="K592" s="14"/>
      <c r="L592" s="14"/>
      <c r="M592" s="14"/>
      <c r="N592" s="14"/>
      <c r="P592" s="14"/>
    </row>
    <row r="593" ht="18.75" customHeight="1">
      <c r="A593" s="7" t="s">
        <v>2485</v>
      </c>
      <c r="B593" s="9">
        <v>350.0</v>
      </c>
      <c r="C593" s="9">
        <v>344.0</v>
      </c>
      <c r="D593" s="9">
        <v>126.0</v>
      </c>
      <c r="E593" s="9">
        <v>18.0</v>
      </c>
      <c r="F593" s="14"/>
      <c r="G593" s="15"/>
      <c r="H593" s="15"/>
      <c r="I593" s="14"/>
      <c r="J593" s="14"/>
      <c r="K593" s="14"/>
      <c r="L593" s="14"/>
      <c r="M593" s="14"/>
      <c r="N593" s="14"/>
      <c r="P593" s="14"/>
    </row>
    <row r="594" ht="18.75" customHeight="1">
      <c r="A594" s="7" t="s">
        <v>2486</v>
      </c>
      <c r="B594" s="9">
        <v>441.0</v>
      </c>
      <c r="C594" s="9">
        <v>435.0</v>
      </c>
      <c r="D594" s="9">
        <v>256.0</v>
      </c>
      <c r="E594" s="9">
        <v>99.0</v>
      </c>
      <c r="F594" s="14"/>
      <c r="G594" s="15"/>
      <c r="H594" s="15"/>
      <c r="I594" s="14"/>
      <c r="J594" s="14"/>
      <c r="K594" s="14"/>
      <c r="L594" s="14"/>
      <c r="M594" s="14"/>
      <c r="N594" s="14"/>
    </row>
    <row r="595" ht="18.75" customHeight="1">
      <c r="A595" s="7" t="s">
        <v>2486</v>
      </c>
      <c r="B595" s="9">
        <v>141.0</v>
      </c>
      <c r="C595" s="9">
        <v>136.0</v>
      </c>
      <c r="D595" s="9">
        <v>74.0</v>
      </c>
      <c r="E595" s="9">
        <v>18.0</v>
      </c>
      <c r="F595" s="14"/>
      <c r="G595" s="15"/>
      <c r="H595" s="15"/>
      <c r="I595" s="14"/>
      <c r="J595" s="14"/>
      <c r="K595" s="14"/>
      <c r="L595" s="14"/>
      <c r="M595" s="14"/>
      <c r="N595" s="14"/>
    </row>
    <row r="596" ht="18.75" customHeight="1">
      <c r="A596" s="7" t="s">
        <v>2487</v>
      </c>
      <c r="B596" s="9">
        <v>9433.0</v>
      </c>
      <c r="C596" s="9">
        <v>136.0</v>
      </c>
      <c r="D596" s="9">
        <v>2241.0</v>
      </c>
      <c r="E596" s="9">
        <v>104.0</v>
      </c>
      <c r="F596" s="14"/>
      <c r="G596" s="15"/>
      <c r="H596" s="15"/>
      <c r="I596" s="14"/>
      <c r="J596" s="14"/>
      <c r="K596" s="14"/>
      <c r="L596" s="14"/>
      <c r="M596" s="14"/>
      <c r="N596" s="14"/>
      <c r="P596" s="14"/>
    </row>
    <row r="597" ht="18.75" customHeight="1">
      <c r="A597" s="7" t="s">
        <v>2481</v>
      </c>
      <c r="B597" s="9">
        <v>12575.0</v>
      </c>
      <c r="C597" s="9">
        <v>12303.0</v>
      </c>
      <c r="D597" s="9">
        <v>3138.0</v>
      </c>
      <c r="E597" s="9">
        <v>87.0</v>
      </c>
      <c r="F597" s="14"/>
      <c r="G597" s="15"/>
      <c r="H597" s="15"/>
      <c r="I597" s="14"/>
      <c r="J597" s="14"/>
      <c r="K597" s="14"/>
      <c r="L597" s="14"/>
      <c r="M597" s="14"/>
      <c r="N597" s="14"/>
      <c r="P597" s="14"/>
    </row>
    <row r="598" ht="18.75" customHeight="1">
      <c r="A598" s="7" t="s">
        <v>2488</v>
      </c>
      <c r="B598" s="9">
        <v>134933.0</v>
      </c>
      <c r="C598" s="9">
        <v>132898.0</v>
      </c>
      <c r="D598" s="9">
        <v>68734.0</v>
      </c>
      <c r="E598" s="9">
        <v>1085.0</v>
      </c>
      <c r="F598" s="14"/>
      <c r="G598" s="15"/>
      <c r="H598" s="15"/>
      <c r="I598" s="14"/>
      <c r="J598" s="14"/>
      <c r="K598" s="14"/>
      <c r="L598" s="14"/>
      <c r="M598" s="14"/>
      <c r="N598" s="14"/>
      <c r="P598" s="14"/>
    </row>
    <row r="599" ht="18.75" customHeight="1">
      <c r="A599" s="7" t="s">
        <v>2489</v>
      </c>
      <c r="B599" s="9">
        <v>66172.0</v>
      </c>
      <c r="C599" s="9">
        <v>64924.0</v>
      </c>
      <c r="D599" s="9">
        <v>21286.0</v>
      </c>
      <c r="E599" s="9">
        <v>2631.0</v>
      </c>
      <c r="F599" s="14"/>
      <c r="G599" s="15"/>
      <c r="H599" s="15"/>
      <c r="I599" s="14"/>
      <c r="J599" s="14"/>
      <c r="K599" s="14"/>
      <c r="L599" s="14"/>
      <c r="M599" s="14"/>
      <c r="N599" s="14"/>
      <c r="P599" s="14"/>
    </row>
    <row r="600" ht="18.75" customHeight="1">
      <c r="A600" s="7" t="s">
        <v>2490</v>
      </c>
      <c r="B600" s="9">
        <v>8515.0</v>
      </c>
      <c r="C600" s="9">
        <v>8353.0</v>
      </c>
      <c r="D600" s="9">
        <v>2008.0</v>
      </c>
      <c r="E600" s="9">
        <v>81.0</v>
      </c>
      <c r="F600" s="14"/>
      <c r="G600" s="15"/>
      <c r="H600" s="15"/>
      <c r="I600" s="14"/>
      <c r="J600" s="14"/>
      <c r="K600" s="14"/>
      <c r="L600" s="14"/>
      <c r="M600" s="14"/>
      <c r="N600" s="14"/>
      <c r="P600" s="14"/>
    </row>
    <row r="601" ht="18.75" customHeight="1">
      <c r="A601" s="7" t="s">
        <v>2491</v>
      </c>
      <c r="B601" s="9">
        <v>85391.0</v>
      </c>
      <c r="C601" s="9">
        <v>84116.0</v>
      </c>
      <c r="D601" s="9">
        <v>31594.0</v>
      </c>
      <c r="E601" s="9">
        <v>2496.0</v>
      </c>
      <c r="F601" s="14"/>
      <c r="G601" s="15"/>
      <c r="H601" s="15"/>
      <c r="I601" s="14"/>
      <c r="J601" s="14"/>
      <c r="K601" s="14"/>
      <c r="L601" s="14"/>
      <c r="M601" s="14"/>
      <c r="N601" s="14"/>
      <c r="P601" s="14"/>
    </row>
    <row r="602" ht="18.75" customHeight="1">
      <c r="A602" s="7" t="s">
        <v>2274</v>
      </c>
      <c r="B602" s="9">
        <v>19577.0</v>
      </c>
      <c r="C602" s="9">
        <v>19157.0</v>
      </c>
      <c r="D602" s="9">
        <v>4921.0</v>
      </c>
      <c r="E602" s="9">
        <v>106.0</v>
      </c>
      <c r="F602" s="14"/>
      <c r="G602" s="15"/>
      <c r="H602" s="15"/>
      <c r="I602" s="14"/>
      <c r="J602" s="14"/>
      <c r="K602" s="14"/>
      <c r="L602" s="14"/>
      <c r="M602" s="14"/>
      <c r="N602" s="14"/>
      <c r="P602" s="14"/>
    </row>
    <row r="603" ht="18.75" customHeight="1">
      <c r="A603" s="7" t="s">
        <v>2492</v>
      </c>
      <c r="B603" s="9">
        <v>32355.0</v>
      </c>
      <c r="C603" s="9">
        <v>32010.0</v>
      </c>
      <c r="D603" s="9">
        <v>17373.0</v>
      </c>
      <c r="E603" s="9">
        <v>4054.0</v>
      </c>
      <c r="F603" s="14"/>
      <c r="G603" s="15"/>
      <c r="H603" s="15"/>
      <c r="I603" s="14"/>
      <c r="J603" s="14"/>
      <c r="K603" s="14"/>
      <c r="L603" s="14"/>
      <c r="M603" s="14"/>
      <c r="N603" s="14"/>
      <c r="P603" s="14"/>
    </row>
    <row r="604" ht="18.75" customHeight="1">
      <c r="A604" s="7" t="s">
        <v>2492</v>
      </c>
      <c r="B604" s="9">
        <v>1538.0</v>
      </c>
      <c r="C604" s="9">
        <v>1507.0</v>
      </c>
      <c r="D604" s="9">
        <v>801.0</v>
      </c>
      <c r="E604" s="9">
        <v>184.0</v>
      </c>
      <c r="F604" s="14"/>
      <c r="G604" s="15"/>
      <c r="H604" s="15"/>
      <c r="I604" s="14"/>
      <c r="J604" s="14"/>
      <c r="K604" s="14"/>
      <c r="L604" s="14"/>
      <c r="M604" s="14"/>
      <c r="N604" s="14"/>
      <c r="P604" s="14"/>
    </row>
    <row r="605" ht="18.75" customHeight="1">
      <c r="A605" s="7" t="s">
        <v>2493</v>
      </c>
      <c r="B605" s="9">
        <v>41125.0</v>
      </c>
      <c r="C605" s="9">
        <v>40776.0</v>
      </c>
      <c r="D605" s="9">
        <v>23206.0</v>
      </c>
      <c r="E605" s="9">
        <v>70.0</v>
      </c>
      <c r="F605" s="14"/>
      <c r="G605" s="15"/>
      <c r="H605" s="15"/>
      <c r="I605" s="14"/>
      <c r="J605" s="14"/>
      <c r="K605" s="14"/>
      <c r="L605" s="14"/>
      <c r="M605" s="14"/>
      <c r="N605" s="14"/>
      <c r="P605" s="14"/>
    </row>
    <row r="606" ht="18.75" customHeight="1">
      <c r="A606" s="7" t="s">
        <v>2488</v>
      </c>
      <c r="B606" s="9">
        <v>110541.0</v>
      </c>
      <c r="C606" s="9">
        <v>109560.0</v>
      </c>
      <c r="D606" s="9">
        <v>65914.0</v>
      </c>
      <c r="E606" s="9">
        <v>1410.0</v>
      </c>
      <c r="F606" s="14"/>
      <c r="G606" s="15"/>
      <c r="H606" s="15"/>
      <c r="I606" s="14"/>
      <c r="J606" s="14"/>
      <c r="K606" s="14"/>
      <c r="L606" s="14"/>
      <c r="M606" s="14"/>
      <c r="N606" s="14"/>
      <c r="P606" s="14"/>
    </row>
    <row r="607" ht="18.75" customHeight="1">
      <c r="A607" s="7" t="s">
        <v>2479</v>
      </c>
      <c r="B607" s="9">
        <v>45148.0</v>
      </c>
      <c r="C607" s="9">
        <v>44227.0</v>
      </c>
      <c r="D607" s="9">
        <v>11301.0</v>
      </c>
      <c r="E607" s="9">
        <v>36.0</v>
      </c>
      <c r="F607" s="14"/>
      <c r="G607" s="15"/>
      <c r="H607" s="15"/>
      <c r="I607" s="14"/>
      <c r="J607" s="14"/>
      <c r="K607" s="14"/>
      <c r="L607" s="14"/>
      <c r="M607" s="14"/>
      <c r="N607" s="14"/>
      <c r="P607" s="14"/>
    </row>
    <row r="608" ht="18.75" customHeight="1">
      <c r="A608" s="7" t="s">
        <v>2494</v>
      </c>
      <c r="B608" s="9">
        <v>56069.0</v>
      </c>
      <c r="C608" s="9">
        <v>55420.0</v>
      </c>
      <c r="D608" s="9">
        <v>20002.0</v>
      </c>
      <c r="E608" s="9">
        <v>531.0</v>
      </c>
      <c r="F608" s="14"/>
      <c r="G608" s="15"/>
      <c r="H608" s="15"/>
      <c r="I608" s="14"/>
      <c r="J608" s="14"/>
      <c r="K608" s="14"/>
      <c r="L608" s="14"/>
      <c r="M608" s="14"/>
      <c r="N608" s="14"/>
      <c r="P608" s="14"/>
    </row>
    <row r="609" ht="18.75" customHeight="1">
      <c r="A609" s="7" t="s">
        <v>2495</v>
      </c>
      <c r="B609" s="9">
        <v>13415.0</v>
      </c>
      <c r="C609" s="9">
        <v>13156.0</v>
      </c>
      <c r="D609" s="9">
        <v>1951.0</v>
      </c>
      <c r="E609" s="9">
        <v>64.0</v>
      </c>
      <c r="F609" s="14"/>
      <c r="G609" s="15"/>
      <c r="H609" s="15"/>
      <c r="I609" s="14"/>
      <c r="J609" s="14"/>
      <c r="K609" s="14"/>
      <c r="L609" s="14"/>
      <c r="M609" s="14"/>
      <c r="N609" s="14"/>
      <c r="P609" s="14"/>
    </row>
    <row r="610" ht="18.75" customHeight="1">
      <c r="A610" s="7" t="s">
        <v>2283</v>
      </c>
      <c r="B610" s="9">
        <v>15246.0</v>
      </c>
      <c r="C610" s="9">
        <v>14920.0</v>
      </c>
      <c r="D610" s="9">
        <v>4549.0</v>
      </c>
      <c r="E610" s="9">
        <v>57.0</v>
      </c>
      <c r="F610" s="14"/>
      <c r="G610" s="15"/>
      <c r="H610" s="15"/>
      <c r="I610" s="14"/>
      <c r="J610" s="14"/>
      <c r="K610" s="14"/>
      <c r="L610" s="14"/>
      <c r="M610" s="14"/>
      <c r="N610" s="14"/>
    </row>
    <row r="611" ht="18.75" customHeight="1">
      <c r="A611" s="7" t="s">
        <v>2286</v>
      </c>
      <c r="B611" s="9">
        <v>62.0</v>
      </c>
      <c r="C611" s="9">
        <v>62.0</v>
      </c>
      <c r="D611" s="9">
        <v>35.0</v>
      </c>
      <c r="E611" s="9">
        <v>0.0</v>
      </c>
      <c r="F611" s="14"/>
      <c r="G611" s="15"/>
      <c r="H611" s="15"/>
      <c r="I611" s="14"/>
      <c r="J611" s="14"/>
      <c r="K611" s="14"/>
      <c r="L611" s="14"/>
      <c r="M611" s="14"/>
      <c r="N611" s="14"/>
      <c r="P611" s="14"/>
    </row>
    <row r="612" ht="18.75" customHeight="1">
      <c r="A612" s="7" t="s">
        <v>2236</v>
      </c>
      <c r="B612" s="9">
        <v>27600.0</v>
      </c>
      <c r="C612" s="9">
        <v>26772.0</v>
      </c>
      <c r="D612" s="9">
        <v>7735.0</v>
      </c>
      <c r="E612" s="9">
        <v>1030.0</v>
      </c>
      <c r="F612" s="14"/>
      <c r="G612" s="15"/>
      <c r="H612" s="15"/>
      <c r="I612" s="14"/>
      <c r="J612" s="14"/>
      <c r="K612" s="14"/>
      <c r="L612" s="14"/>
      <c r="M612" s="14"/>
      <c r="N612" s="14"/>
      <c r="P612" s="14"/>
    </row>
    <row r="613" ht="18.75" customHeight="1">
      <c r="A613" s="7" t="s">
        <v>2485</v>
      </c>
      <c r="B613" s="9">
        <v>982.0</v>
      </c>
      <c r="C613" s="9">
        <v>963.0</v>
      </c>
      <c r="D613" s="9">
        <v>194.0</v>
      </c>
      <c r="E613" s="9">
        <v>38.0</v>
      </c>
      <c r="F613" s="14"/>
      <c r="G613" s="15"/>
      <c r="H613" s="15"/>
      <c r="I613" s="14"/>
      <c r="J613" s="14"/>
      <c r="K613" s="14"/>
      <c r="L613" s="14"/>
      <c r="M613" s="14"/>
      <c r="N613" s="14"/>
      <c r="P613" s="14"/>
    </row>
    <row r="614" ht="18.75" customHeight="1">
      <c r="A614" s="7" t="s">
        <v>2485</v>
      </c>
      <c r="B614" s="9">
        <v>230.0</v>
      </c>
      <c r="C614" s="9">
        <v>223.0</v>
      </c>
      <c r="D614" s="9">
        <v>45.0</v>
      </c>
      <c r="E614" s="9">
        <v>2.0</v>
      </c>
      <c r="F614" s="14"/>
      <c r="G614" s="15"/>
      <c r="H614" s="15"/>
      <c r="I614" s="14"/>
      <c r="J614" s="14"/>
      <c r="K614" s="14"/>
      <c r="L614" s="14"/>
      <c r="M614" s="14"/>
      <c r="N614" s="14"/>
      <c r="P614" s="14"/>
    </row>
    <row r="615" ht="18.75" customHeight="1">
      <c r="A615" s="7" t="s">
        <v>2496</v>
      </c>
      <c r="B615" s="9">
        <v>14042.0</v>
      </c>
      <c r="C615" s="9">
        <v>13762.0</v>
      </c>
      <c r="D615" s="9">
        <v>5226.0</v>
      </c>
      <c r="E615" s="9">
        <v>487.0</v>
      </c>
      <c r="F615" s="14"/>
      <c r="G615" s="15"/>
      <c r="H615" s="15"/>
      <c r="I615" s="14"/>
      <c r="J615" s="14"/>
      <c r="K615" s="14"/>
      <c r="L615" s="14"/>
      <c r="M615" s="14"/>
      <c r="N615" s="14"/>
      <c r="P615" s="14"/>
    </row>
    <row r="616" ht="18.75" customHeight="1">
      <c r="A616" s="7" t="s">
        <v>2497</v>
      </c>
      <c r="B616" s="9">
        <v>109801.0</v>
      </c>
      <c r="C616" s="9">
        <v>106924.0</v>
      </c>
      <c r="D616" s="9">
        <v>21221.0</v>
      </c>
      <c r="E616" s="9">
        <v>1118.0</v>
      </c>
      <c r="F616" s="14"/>
      <c r="G616" s="15"/>
      <c r="H616" s="15"/>
      <c r="I616" s="14"/>
      <c r="J616" s="14"/>
      <c r="K616" s="14"/>
      <c r="L616" s="14"/>
      <c r="M616" s="14"/>
      <c r="N616" s="14"/>
      <c r="P616" s="14"/>
    </row>
    <row r="617" ht="18.75" customHeight="1">
      <c r="A617" s="7" t="s">
        <v>2498</v>
      </c>
      <c r="B617" s="9">
        <v>179000.0</v>
      </c>
      <c r="C617" s="9">
        <v>176392.0</v>
      </c>
      <c r="D617" s="9">
        <v>50194.0</v>
      </c>
      <c r="E617" s="9">
        <v>198.0</v>
      </c>
      <c r="F617" s="14"/>
      <c r="G617" s="15"/>
      <c r="H617" s="15"/>
      <c r="I617" s="14"/>
      <c r="J617" s="14"/>
      <c r="K617" s="14"/>
      <c r="L617" s="14"/>
      <c r="M617" s="14"/>
      <c r="N617" s="14"/>
      <c r="P617" s="14"/>
    </row>
    <row r="618" ht="18.75" customHeight="1">
      <c r="A618" s="7" t="s">
        <v>2499</v>
      </c>
      <c r="B618" s="9">
        <v>38288.0</v>
      </c>
      <c r="C618" s="9">
        <v>37439.0</v>
      </c>
      <c r="D618" s="9">
        <v>11869.0</v>
      </c>
      <c r="E618" s="9">
        <v>1017.0</v>
      </c>
      <c r="F618" s="14"/>
      <c r="G618" s="15"/>
      <c r="H618" s="15"/>
      <c r="I618" s="14"/>
      <c r="J618" s="14"/>
      <c r="K618" s="14"/>
      <c r="L618" s="14"/>
      <c r="M618" s="14"/>
      <c r="N618" s="14"/>
      <c r="P618" s="14"/>
    </row>
    <row r="619" ht="18.75" customHeight="1">
      <c r="A619" s="7" t="s">
        <v>2500</v>
      </c>
      <c r="B619" s="9">
        <v>16450.0</v>
      </c>
      <c r="C619" s="9">
        <v>16159.0</v>
      </c>
      <c r="D619" s="9">
        <v>2844.0</v>
      </c>
      <c r="E619" s="9">
        <v>139.0</v>
      </c>
      <c r="F619" s="14"/>
      <c r="G619" s="15"/>
      <c r="H619" s="15"/>
      <c r="I619" s="14"/>
      <c r="J619" s="14"/>
      <c r="K619" s="14"/>
      <c r="L619" s="14"/>
      <c r="M619" s="14"/>
      <c r="N619" s="14"/>
      <c r="P619" s="14"/>
    </row>
    <row r="620" ht="18.75" customHeight="1">
      <c r="A620" s="7" t="s">
        <v>2501</v>
      </c>
      <c r="B620" s="9">
        <v>139.0</v>
      </c>
      <c r="C620" s="9">
        <v>139.0</v>
      </c>
      <c r="D620" s="9">
        <v>79.0</v>
      </c>
      <c r="E620" s="9">
        <v>2.0</v>
      </c>
      <c r="F620" s="14"/>
      <c r="G620" s="15"/>
      <c r="H620" s="15"/>
      <c r="I620" s="14"/>
      <c r="J620" s="14"/>
      <c r="K620" s="14"/>
      <c r="L620" s="14"/>
      <c r="M620" s="14"/>
      <c r="N620" s="14"/>
      <c r="P620" s="14"/>
    </row>
    <row r="621" ht="18.75" customHeight="1">
      <c r="A621" s="7" t="s">
        <v>2495</v>
      </c>
      <c r="B621" s="9">
        <v>11460.0</v>
      </c>
      <c r="C621" s="9">
        <v>11215.0</v>
      </c>
      <c r="D621" s="9">
        <v>578.0</v>
      </c>
      <c r="E621" s="9">
        <v>13.0</v>
      </c>
      <c r="F621" s="14"/>
      <c r="G621" s="15"/>
      <c r="H621" s="15"/>
      <c r="I621" s="14"/>
      <c r="J621" s="14"/>
      <c r="K621" s="14"/>
      <c r="L621" s="14"/>
      <c r="M621" s="14"/>
      <c r="N621" s="14"/>
      <c r="P621" s="14"/>
    </row>
    <row r="622" ht="18.75" customHeight="1">
      <c r="A622" s="7" t="s">
        <v>2496</v>
      </c>
      <c r="B622" s="9">
        <v>13302.0</v>
      </c>
      <c r="C622" s="9">
        <v>13046.0</v>
      </c>
      <c r="D622" s="9">
        <v>4427.0</v>
      </c>
      <c r="E622" s="9">
        <v>354.0</v>
      </c>
      <c r="F622" s="14"/>
      <c r="G622" s="15"/>
      <c r="H622" s="15"/>
      <c r="I622" s="14"/>
      <c r="J622" s="14"/>
      <c r="K622" s="14"/>
      <c r="L622" s="14"/>
      <c r="M622" s="14"/>
      <c r="N622" s="14"/>
      <c r="P622" s="14"/>
    </row>
    <row r="623" ht="18.75" customHeight="1">
      <c r="A623" s="7" t="s">
        <v>2490</v>
      </c>
      <c r="B623" s="9">
        <v>8498.0</v>
      </c>
      <c r="C623" s="9">
        <v>8350.0</v>
      </c>
      <c r="D623" s="9">
        <v>1921.0</v>
      </c>
      <c r="E623" s="9">
        <v>51.0</v>
      </c>
      <c r="F623" s="14"/>
      <c r="G623" s="15"/>
      <c r="H623" s="15"/>
      <c r="I623" s="14"/>
      <c r="J623" s="14"/>
      <c r="K623" s="14"/>
      <c r="L623" s="14"/>
      <c r="M623" s="14"/>
      <c r="N623" s="14"/>
      <c r="P623" s="14"/>
    </row>
    <row r="624" ht="18.75" customHeight="1">
      <c r="A624" s="7" t="s">
        <v>2274</v>
      </c>
      <c r="B624" s="9">
        <v>20604.0</v>
      </c>
      <c r="C624" s="9">
        <v>20196.0</v>
      </c>
      <c r="D624" s="9">
        <v>5602.0</v>
      </c>
      <c r="E624" s="9">
        <v>111.0</v>
      </c>
      <c r="F624" s="14"/>
      <c r="G624" s="15"/>
      <c r="H624" s="15"/>
      <c r="I624" s="14"/>
      <c r="J624" s="14"/>
      <c r="K624" s="14"/>
      <c r="L624" s="14"/>
      <c r="M624" s="14"/>
      <c r="N624" s="14"/>
      <c r="P624" s="14"/>
    </row>
    <row r="625" ht="18.75" customHeight="1">
      <c r="A625" s="7" t="s">
        <v>2283</v>
      </c>
      <c r="B625" s="9">
        <v>19547.0</v>
      </c>
      <c r="C625" s="9">
        <v>19144.0</v>
      </c>
      <c r="D625" s="9">
        <v>5438.0</v>
      </c>
      <c r="E625" s="9">
        <v>59.0</v>
      </c>
      <c r="F625" s="14"/>
      <c r="G625" s="15"/>
      <c r="H625" s="15"/>
      <c r="I625" s="14"/>
      <c r="J625" s="14"/>
      <c r="K625" s="14"/>
      <c r="L625" s="14"/>
      <c r="M625" s="14"/>
      <c r="N625" s="14"/>
    </row>
    <row r="626" ht="18.75" customHeight="1">
      <c r="A626" s="7" t="s">
        <v>2502</v>
      </c>
      <c r="B626" s="9">
        <v>2199.0</v>
      </c>
      <c r="C626" s="9">
        <v>2158.0</v>
      </c>
      <c r="D626" s="9">
        <v>674.0</v>
      </c>
      <c r="E626" s="9">
        <v>31.0</v>
      </c>
      <c r="F626" s="14"/>
      <c r="G626" s="15"/>
      <c r="H626" s="15"/>
      <c r="I626" s="14"/>
      <c r="J626" s="14"/>
      <c r="K626" s="14"/>
      <c r="L626" s="14"/>
      <c r="M626" s="14"/>
      <c r="N626" s="14"/>
      <c r="P626" s="14"/>
    </row>
    <row r="627" ht="18.75" customHeight="1">
      <c r="A627" s="7" t="s">
        <v>2253</v>
      </c>
      <c r="B627" s="9">
        <v>3300.0</v>
      </c>
      <c r="C627" s="9">
        <v>3001.0</v>
      </c>
      <c r="D627" s="9">
        <v>1321.0</v>
      </c>
      <c r="E627" s="9">
        <v>193.0</v>
      </c>
      <c r="F627" s="14"/>
      <c r="G627" s="15"/>
      <c r="H627" s="15"/>
      <c r="I627" s="14"/>
      <c r="J627" s="14"/>
      <c r="K627" s="14"/>
      <c r="L627" s="14"/>
      <c r="M627" s="14"/>
      <c r="N627" s="14"/>
      <c r="P627" s="14"/>
    </row>
    <row r="628" ht="18.75" customHeight="1">
      <c r="A628" s="7" t="s">
        <v>2503</v>
      </c>
      <c r="B628" s="9">
        <v>33241.0</v>
      </c>
      <c r="C628" s="9">
        <v>32685.0</v>
      </c>
      <c r="D628" s="9">
        <v>13903.0</v>
      </c>
      <c r="E628" s="9">
        <v>387.0</v>
      </c>
      <c r="F628" s="14"/>
      <c r="G628" s="15"/>
      <c r="H628" s="15"/>
      <c r="I628" s="14"/>
      <c r="J628" s="14"/>
      <c r="K628" s="14"/>
      <c r="L628" s="14"/>
      <c r="M628" s="14"/>
      <c r="N628" s="14"/>
    </row>
    <row r="629" ht="18.75" customHeight="1">
      <c r="A629" s="7" t="s">
        <v>2502</v>
      </c>
      <c r="B629" s="9">
        <v>15656.0</v>
      </c>
      <c r="C629" s="9">
        <v>15383.0</v>
      </c>
      <c r="D629" s="9">
        <v>4800.0</v>
      </c>
      <c r="E629" s="9">
        <v>167.0</v>
      </c>
      <c r="F629" s="14"/>
      <c r="G629" s="15"/>
      <c r="H629" s="15"/>
      <c r="I629" s="14"/>
      <c r="J629" s="14"/>
      <c r="K629" s="14"/>
      <c r="L629" s="14"/>
      <c r="M629" s="14"/>
      <c r="N629" s="14"/>
      <c r="P629" s="14"/>
    </row>
    <row r="630" ht="18.75" customHeight="1">
      <c r="A630" s="7" t="s">
        <v>2504</v>
      </c>
      <c r="B630" s="9">
        <v>73773.0</v>
      </c>
      <c r="C630" s="9">
        <v>72368.0</v>
      </c>
      <c r="D630" s="9">
        <v>27014.0</v>
      </c>
      <c r="E630" s="9">
        <v>1510.0</v>
      </c>
      <c r="F630" s="14"/>
      <c r="G630" s="15"/>
      <c r="H630" s="15"/>
      <c r="I630" s="14"/>
      <c r="J630" s="14"/>
      <c r="K630" s="14"/>
      <c r="L630" s="14"/>
      <c r="M630" s="14"/>
      <c r="N630" s="14"/>
      <c r="P630" s="14"/>
    </row>
    <row r="631" ht="18.75" customHeight="1">
      <c r="A631" s="7" t="s">
        <v>2505</v>
      </c>
      <c r="B631" s="9">
        <v>14008.0</v>
      </c>
      <c r="C631" s="9">
        <v>13742.0</v>
      </c>
      <c r="D631" s="9">
        <v>3932.0</v>
      </c>
      <c r="E631" s="9">
        <v>120.0</v>
      </c>
      <c r="F631" s="14"/>
      <c r="G631" s="15"/>
      <c r="H631" s="15"/>
      <c r="I631" s="14"/>
      <c r="J631" s="14"/>
      <c r="K631" s="14"/>
      <c r="L631" s="14"/>
      <c r="M631" s="14"/>
      <c r="N631" s="14"/>
      <c r="P631" s="14"/>
    </row>
    <row r="632" ht="18.75" customHeight="1">
      <c r="A632" s="7" t="s">
        <v>2506</v>
      </c>
      <c r="B632" s="9">
        <v>115425.0</v>
      </c>
      <c r="C632" s="9">
        <v>113408.0</v>
      </c>
      <c r="D632" s="9">
        <v>45347.0</v>
      </c>
      <c r="E632" s="9">
        <v>1707.0</v>
      </c>
      <c r="F632" s="14"/>
      <c r="G632" s="15"/>
      <c r="H632" s="15"/>
      <c r="I632" s="14"/>
      <c r="J632" s="14"/>
      <c r="K632" s="14"/>
      <c r="L632" s="14"/>
      <c r="M632" s="14"/>
      <c r="N632" s="14"/>
      <c r="P632" s="14"/>
    </row>
    <row r="633" ht="18.75" customHeight="1">
      <c r="A633" s="7" t="s">
        <v>2507</v>
      </c>
      <c r="B633" s="9">
        <v>47353.0</v>
      </c>
      <c r="C633" s="9">
        <v>46627.0</v>
      </c>
      <c r="D633" s="9">
        <v>15003.0</v>
      </c>
      <c r="E633" s="9">
        <v>271.0</v>
      </c>
      <c r="F633" s="14"/>
      <c r="G633" s="15"/>
      <c r="H633" s="15"/>
      <c r="I633" s="14"/>
      <c r="J633" s="14"/>
      <c r="K633" s="14"/>
      <c r="L633" s="14"/>
      <c r="M633" s="14"/>
      <c r="N633" s="14"/>
      <c r="P633" s="14"/>
    </row>
    <row r="634" ht="18.75" customHeight="1">
      <c r="A634" s="7" t="s">
        <v>2282</v>
      </c>
      <c r="B634" s="9">
        <v>95.0</v>
      </c>
      <c r="C634" s="9">
        <v>91.0</v>
      </c>
      <c r="D634" s="9">
        <v>33.0</v>
      </c>
      <c r="E634" s="9">
        <v>5.0</v>
      </c>
      <c r="F634" s="14"/>
      <c r="G634" s="15"/>
      <c r="H634" s="15"/>
      <c r="I634" s="14"/>
      <c r="J634" s="14"/>
      <c r="K634" s="14"/>
      <c r="L634" s="14"/>
      <c r="M634" s="14"/>
      <c r="N634" s="14"/>
      <c r="P634" s="14"/>
    </row>
    <row r="635" ht="18.75" customHeight="1">
      <c r="A635" s="7" t="s">
        <v>2508</v>
      </c>
      <c r="B635" s="9">
        <v>66074.0</v>
      </c>
      <c r="C635" s="9">
        <v>64909.0</v>
      </c>
      <c r="D635" s="9">
        <v>19256.0</v>
      </c>
      <c r="E635" s="9">
        <v>402.0</v>
      </c>
      <c r="F635" s="14"/>
      <c r="G635" s="15"/>
      <c r="H635" s="15"/>
      <c r="I635" s="14"/>
      <c r="J635" s="14"/>
      <c r="K635" s="14"/>
      <c r="L635" s="14"/>
      <c r="M635" s="14"/>
      <c r="N635" s="14"/>
      <c r="P635" s="14"/>
    </row>
    <row r="636" ht="18.75" customHeight="1">
      <c r="A636" s="7" t="s">
        <v>2445</v>
      </c>
      <c r="B636" s="9">
        <v>161.0</v>
      </c>
      <c r="C636" s="9">
        <v>159.0</v>
      </c>
      <c r="D636" s="9">
        <v>80.0</v>
      </c>
      <c r="E636" s="9">
        <v>11.0</v>
      </c>
      <c r="F636" s="14"/>
      <c r="G636" s="15"/>
      <c r="H636" s="15"/>
      <c r="I636" s="14"/>
      <c r="J636" s="14"/>
      <c r="K636" s="14"/>
      <c r="L636" s="14"/>
      <c r="M636" s="14"/>
      <c r="N636" s="14"/>
      <c r="P636" s="14"/>
    </row>
    <row r="637" ht="18.75" customHeight="1">
      <c r="A637" s="7" t="s">
        <v>2445</v>
      </c>
      <c r="B637" s="9">
        <v>132.0</v>
      </c>
      <c r="C637" s="9">
        <v>126.0</v>
      </c>
      <c r="D637" s="9">
        <v>49.0</v>
      </c>
      <c r="E637" s="9">
        <v>2.0</v>
      </c>
      <c r="F637" s="14"/>
      <c r="G637" s="15"/>
      <c r="H637" s="15"/>
      <c r="I637" s="14"/>
      <c r="J637" s="14"/>
      <c r="K637" s="14"/>
      <c r="L637" s="14"/>
      <c r="M637" s="14"/>
      <c r="N637" s="14"/>
      <c r="P637" s="14"/>
    </row>
    <row r="638" ht="18.75" customHeight="1">
      <c r="A638" s="7" t="s">
        <v>2509</v>
      </c>
      <c r="B638" s="9">
        <v>13698.0</v>
      </c>
      <c r="C638" s="9">
        <v>13395.0</v>
      </c>
      <c r="D638" s="9">
        <v>4099.0</v>
      </c>
      <c r="E638" s="9">
        <v>610.0</v>
      </c>
      <c r="F638" s="14"/>
      <c r="G638" s="15"/>
      <c r="H638" s="15"/>
      <c r="I638" s="14"/>
      <c r="J638" s="14"/>
      <c r="K638" s="14"/>
      <c r="L638" s="14"/>
      <c r="M638" s="14"/>
      <c r="N638" s="14"/>
      <c r="P638" s="14"/>
    </row>
    <row r="639" ht="18.75" customHeight="1">
      <c r="A639" s="7" t="s">
        <v>2274</v>
      </c>
      <c r="B639" s="9">
        <v>22099.0</v>
      </c>
      <c r="C639" s="9">
        <v>21649.0</v>
      </c>
      <c r="D639" s="9">
        <v>5290.0</v>
      </c>
      <c r="E639" s="9">
        <v>137.0</v>
      </c>
      <c r="F639" s="14"/>
      <c r="G639" s="15"/>
      <c r="H639" s="15"/>
      <c r="I639" s="14"/>
      <c r="J639" s="14"/>
      <c r="K639" s="14"/>
      <c r="L639" s="14"/>
      <c r="M639" s="14"/>
      <c r="N639" s="14"/>
      <c r="P639" s="14"/>
    </row>
    <row r="640" ht="18.75" customHeight="1">
      <c r="A640" s="7" t="s">
        <v>2510</v>
      </c>
      <c r="B640" s="9">
        <v>41524.0</v>
      </c>
      <c r="C640" s="9">
        <v>40754.0</v>
      </c>
      <c r="D640" s="9">
        <v>13539.0</v>
      </c>
      <c r="E640" s="9">
        <v>563.0</v>
      </c>
      <c r="F640" s="14"/>
      <c r="G640" s="15"/>
      <c r="H640" s="15"/>
      <c r="I640" s="14"/>
      <c r="J640" s="14"/>
      <c r="K640" s="14"/>
      <c r="L640" s="14"/>
      <c r="M640" s="14"/>
      <c r="N640" s="14"/>
      <c r="P640" s="14"/>
    </row>
    <row r="641" ht="18.75" customHeight="1">
      <c r="A641" s="7" t="s">
        <v>2496</v>
      </c>
      <c r="B641" s="9">
        <v>11787.0</v>
      </c>
      <c r="C641" s="9">
        <v>11561.0</v>
      </c>
      <c r="D641" s="9">
        <v>4423.0</v>
      </c>
      <c r="E641" s="9">
        <v>372.0</v>
      </c>
      <c r="F641" s="14"/>
      <c r="G641" s="15"/>
      <c r="H641" s="15"/>
      <c r="I641" s="14"/>
      <c r="J641" s="14"/>
      <c r="K641" s="14"/>
      <c r="L641" s="14"/>
      <c r="M641" s="14"/>
      <c r="N641" s="14"/>
    </row>
    <row r="642" ht="18.75" customHeight="1">
      <c r="A642" s="7" t="s">
        <v>2511</v>
      </c>
      <c r="B642" s="9">
        <v>58890.0</v>
      </c>
      <c r="C642" s="9">
        <v>57661.0</v>
      </c>
      <c r="D642" s="9">
        <v>15789.0</v>
      </c>
      <c r="E642" s="9">
        <v>2525.0</v>
      </c>
      <c r="F642" s="14"/>
      <c r="G642" s="15"/>
      <c r="H642" s="15"/>
      <c r="I642" s="14"/>
      <c r="J642" s="14"/>
      <c r="K642" s="14"/>
      <c r="L642" s="14"/>
      <c r="M642" s="14"/>
      <c r="N642" s="14"/>
      <c r="P642" s="14"/>
    </row>
    <row r="643" ht="18.75" customHeight="1">
      <c r="A643" s="7" t="s">
        <v>2512</v>
      </c>
      <c r="B643" s="9">
        <v>40435.0</v>
      </c>
      <c r="C643" s="9">
        <v>39523.0</v>
      </c>
      <c r="D643" s="9">
        <v>7643.0</v>
      </c>
      <c r="E643" s="9">
        <v>342.0</v>
      </c>
      <c r="F643" s="14"/>
      <c r="G643" s="15"/>
      <c r="H643" s="15"/>
      <c r="I643" s="14"/>
      <c r="J643" s="14"/>
      <c r="K643" s="14"/>
      <c r="L643" s="14"/>
      <c r="M643" s="14"/>
      <c r="N643" s="14"/>
      <c r="P643" s="14"/>
    </row>
    <row r="644" ht="18.75" customHeight="1">
      <c r="A644" s="7" t="s">
        <v>2283</v>
      </c>
      <c r="B644" s="9">
        <v>20588.0</v>
      </c>
      <c r="C644" s="9">
        <v>20204.0</v>
      </c>
      <c r="D644" s="9">
        <v>5910.0</v>
      </c>
      <c r="E644" s="9">
        <v>48.0</v>
      </c>
      <c r="F644" s="14"/>
      <c r="G644" s="15"/>
      <c r="H644" s="15"/>
      <c r="I644" s="14"/>
      <c r="J644" s="14"/>
      <c r="K644" s="14"/>
      <c r="L644" s="14"/>
      <c r="M644" s="14"/>
      <c r="N644" s="14"/>
    </row>
    <row r="645" ht="18.75" customHeight="1">
      <c r="A645" s="7" t="s">
        <v>2286</v>
      </c>
      <c r="B645" s="9">
        <v>188.0</v>
      </c>
      <c r="C645" s="9">
        <v>186.0</v>
      </c>
      <c r="D645" s="9">
        <v>86.0</v>
      </c>
      <c r="E645" s="9">
        <v>0.0</v>
      </c>
      <c r="F645" s="14"/>
      <c r="G645" s="15"/>
      <c r="H645" s="15"/>
      <c r="I645" s="14"/>
      <c r="J645" s="14"/>
      <c r="K645" s="14"/>
      <c r="L645" s="14"/>
      <c r="M645" s="14"/>
      <c r="N645" s="14"/>
      <c r="P645" s="14"/>
    </row>
    <row r="646" ht="18.75" customHeight="1">
      <c r="A646" s="7" t="s">
        <v>2358</v>
      </c>
      <c r="B646" s="9">
        <v>10961.0</v>
      </c>
      <c r="C646" s="9">
        <v>10633.0</v>
      </c>
      <c r="D646" s="9">
        <v>2402.0</v>
      </c>
      <c r="E646" s="9">
        <v>119.0</v>
      </c>
      <c r="F646" s="14"/>
      <c r="G646" s="15"/>
      <c r="H646" s="15"/>
      <c r="I646" s="14"/>
      <c r="J646" s="14"/>
      <c r="K646" s="14"/>
      <c r="L646" s="14"/>
      <c r="M646" s="14"/>
      <c r="N646" s="14"/>
      <c r="P646" s="14"/>
    </row>
    <row r="647" ht="18.75" customHeight="1">
      <c r="A647" s="7" t="s">
        <v>2253</v>
      </c>
      <c r="B647" s="9">
        <v>3175.0</v>
      </c>
      <c r="C647" s="9">
        <v>3018.0</v>
      </c>
      <c r="D647" s="9">
        <v>847.0</v>
      </c>
      <c r="E647" s="9">
        <v>134.0</v>
      </c>
      <c r="F647" s="14"/>
      <c r="G647" s="15"/>
      <c r="H647" s="15"/>
      <c r="I647" s="14"/>
      <c r="J647" s="14"/>
      <c r="K647" s="14"/>
      <c r="L647" s="14"/>
      <c r="M647" s="14"/>
      <c r="N647" s="14"/>
      <c r="P647" s="14"/>
    </row>
    <row r="648" ht="18.75" customHeight="1">
      <c r="A648" s="7" t="s">
        <v>2513</v>
      </c>
      <c r="B648" s="9">
        <v>35037.0</v>
      </c>
      <c r="C648" s="9">
        <v>34500.0</v>
      </c>
      <c r="D648" s="9">
        <v>15021.0</v>
      </c>
      <c r="E648" s="9">
        <v>542.0</v>
      </c>
      <c r="F648" s="14"/>
      <c r="G648" s="15"/>
      <c r="H648" s="15"/>
      <c r="I648" s="14"/>
      <c r="J648" s="14"/>
      <c r="K648" s="14"/>
      <c r="L648" s="14"/>
      <c r="M648" s="14"/>
      <c r="N648" s="14"/>
      <c r="P648" s="14"/>
    </row>
    <row r="649" ht="18.75" customHeight="1">
      <c r="A649" s="7" t="s">
        <v>2514</v>
      </c>
      <c r="B649" s="9">
        <v>89736.0</v>
      </c>
      <c r="C649" s="9">
        <v>87938.0</v>
      </c>
      <c r="D649" s="9">
        <v>29279.0</v>
      </c>
      <c r="E649" s="9">
        <v>3361.0</v>
      </c>
      <c r="F649" s="14"/>
      <c r="G649" s="15"/>
      <c r="H649" s="15"/>
      <c r="I649" s="14"/>
      <c r="J649" s="14"/>
      <c r="K649" s="14"/>
      <c r="L649" s="14"/>
      <c r="M649" s="14"/>
      <c r="N649" s="14"/>
      <c r="P649" s="14"/>
    </row>
    <row r="650" ht="18.75" customHeight="1">
      <c r="A650" s="7" t="s">
        <v>2515</v>
      </c>
      <c r="B650" s="9">
        <v>41499.0</v>
      </c>
      <c r="C650" s="9">
        <v>40827.0</v>
      </c>
      <c r="D650" s="9">
        <v>12360.0</v>
      </c>
      <c r="E650" s="9">
        <v>200.0</v>
      </c>
      <c r="F650" s="14"/>
      <c r="G650" s="15"/>
      <c r="H650" s="15"/>
      <c r="I650" s="14"/>
      <c r="J650" s="14"/>
      <c r="K650" s="14"/>
      <c r="L650" s="14"/>
      <c r="M650" s="14"/>
      <c r="N650" s="14"/>
      <c r="P650" s="14"/>
    </row>
    <row r="651" ht="18.75" customHeight="1">
      <c r="A651" s="7" t="s">
        <v>2516</v>
      </c>
      <c r="B651" s="9">
        <v>15463.0</v>
      </c>
      <c r="C651" s="9">
        <v>15037.0</v>
      </c>
      <c r="D651" s="9">
        <v>2700.0</v>
      </c>
      <c r="E651" s="9">
        <v>47.0</v>
      </c>
      <c r="F651" s="14"/>
      <c r="G651" s="15"/>
      <c r="H651" s="15"/>
      <c r="I651" s="14"/>
      <c r="J651" s="14"/>
      <c r="K651" s="14"/>
      <c r="L651" s="14"/>
      <c r="M651" s="14"/>
      <c r="N651" s="14"/>
      <c r="P651" s="14"/>
    </row>
    <row r="652" ht="18.75" customHeight="1">
      <c r="A652" s="7" t="s">
        <v>2517</v>
      </c>
      <c r="B652" s="9">
        <v>113311.0</v>
      </c>
      <c r="C652" s="9">
        <v>111982.0</v>
      </c>
      <c r="D652" s="9">
        <v>54028.0</v>
      </c>
      <c r="E652" s="9">
        <v>1615.0</v>
      </c>
      <c r="F652" s="14"/>
      <c r="G652" s="15"/>
      <c r="H652" s="15"/>
      <c r="I652" s="14"/>
      <c r="J652" s="14"/>
      <c r="K652" s="14"/>
      <c r="L652" s="14"/>
      <c r="M652" s="14"/>
      <c r="N652" s="14"/>
      <c r="P652" s="14"/>
    </row>
    <row r="653" ht="18.75" customHeight="1">
      <c r="A653" s="7" t="s">
        <v>2358</v>
      </c>
      <c r="B653" s="9">
        <v>16500.0</v>
      </c>
      <c r="C653" s="9">
        <v>16062.0</v>
      </c>
      <c r="D653" s="9">
        <v>3493.0</v>
      </c>
      <c r="E653" s="9">
        <v>184.0</v>
      </c>
      <c r="F653" s="14"/>
      <c r="G653" s="15"/>
      <c r="H653" s="15"/>
      <c r="I653" s="14"/>
      <c r="J653" s="14"/>
      <c r="K653" s="14"/>
      <c r="L653" s="14"/>
      <c r="M653" s="14"/>
      <c r="N653" s="14"/>
      <c r="P653" s="14"/>
    </row>
    <row r="654" ht="18.75" customHeight="1">
      <c r="A654" s="7" t="s">
        <v>2358</v>
      </c>
      <c r="B654" s="9">
        <v>6741.0</v>
      </c>
      <c r="C654" s="9">
        <v>6583.0</v>
      </c>
      <c r="D654" s="9">
        <v>1704.0</v>
      </c>
      <c r="E654" s="9">
        <v>102.0</v>
      </c>
      <c r="F654" s="14"/>
      <c r="G654" s="15"/>
      <c r="H654" s="15"/>
      <c r="I654" s="14"/>
      <c r="J654" s="14"/>
      <c r="K654" s="14"/>
      <c r="L654" s="14"/>
      <c r="M654" s="14"/>
      <c r="N654" s="14"/>
      <c r="P654" s="14"/>
    </row>
    <row r="655" ht="18.75" customHeight="1">
      <c r="A655" s="7" t="s">
        <v>2358</v>
      </c>
      <c r="B655" s="9">
        <v>6725.0</v>
      </c>
      <c r="C655" s="9">
        <v>6546.0</v>
      </c>
      <c r="D655" s="9">
        <v>1724.0</v>
      </c>
      <c r="E655" s="9">
        <v>93.0</v>
      </c>
      <c r="F655" s="14"/>
      <c r="G655" s="15"/>
      <c r="H655" s="15"/>
      <c r="I655" s="14"/>
      <c r="J655" s="14"/>
      <c r="K655" s="14"/>
      <c r="L655" s="14"/>
      <c r="M655" s="14"/>
      <c r="N655" s="14"/>
      <c r="P655" s="14"/>
    </row>
    <row r="656" ht="18.75" customHeight="1">
      <c r="A656" s="7" t="s">
        <v>2518</v>
      </c>
      <c r="B656" s="9">
        <v>24162.0</v>
      </c>
      <c r="C656" s="9">
        <v>23589.0</v>
      </c>
      <c r="D656" s="9">
        <v>6564.0</v>
      </c>
      <c r="E656" s="9">
        <v>386.0</v>
      </c>
      <c r="F656" s="14"/>
      <c r="G656" s="15"/>
      <c r="H656" s="15"/>
      <c r="I656" s="14"/>
      <c r="J656" s="14"/>
      <c r="K656" s="14"/>
      <c r="L656" s="14"/>
      <c r="M656" s="14"/>
      <c r="N656" s="14"/>
      <c r="P656" s="14"/>
    </row>
    <row r="657" ht="18.75" customHeight="1">
      <c r="A657" s="7" t="s">
        <v>2478</v>
      </c>
      <c r="B657" s="9">
        <v>125178.0</v>
      </c>
      <c r="C657" s="9">
        <v>122154.0</v>
      </c>
      <c r="D657" s="9">
        <v>41429.0</v>
      </c>
      <c r="E657" s="9">
        <v>10438.0</v>
      </c>
      <c r="F657" s="14"/>
      <c r="G657" s="15"/>
      <c r="H657" s="15"/>
      <c r="I657" s="14"/>
      <c r="J657" s="14"/>
      <c r="K657" s="14"/>
      <c r="L657" s="14"/>
      <c r="M657" s="14"/>
      <c r="N657" s="14"/>
      <c r="P657" s="14"/>
    </row>
    <row r="658" ht="18.75" customHeight="1">
      <c r="A658" s="7" t="s">
        <v>2519</v>
      </c>
      <c r="B658" s="9">
        <v>12635.0</v>
      </c>
      <c r="C658" s="9">
        <v>12363.0</v>
      </c>
      <c r="D658" s="9">
        <v>3544.0</v>
      </c>
      <c r="E658" s="9">
        <v>324.0</v>
      </c>
      <c r="F658" s="14"/>
      <c r="G658" s="15"/>
      <c r="H658" s="15"/>
      <c r="I658" s="14"/>
      <c r="J658" s="14"/>
      <c r="K658" s="14"/>
      <c r="L658" s="14"/>
      <c r="M658" s="14"/>
      <c r="N658" s="14"/>
    </row>
    <row r="659" ht="18.75" customHeight="1">
      <c r="A659" s="7" t="s">
        <v>2519</v>
      </c>
      <c r="B659" s="9">
        <v>27419.0</v>
      </c>
      <c r="C659" s="9">
        <v>26947.0</v>
      </c>
      <c r="D659" s="9">
        <v>9784.0</v>
      </c>
      <c r="E659" s="9">
        <v>594.0</v>
      </c>
      <c r="F659" s="14"/>
      <c r="G659" s="15"/>
      <c r="H659" s="15"/>
      <c r="I659" s="14"/>
      <c r="J659" s="14"/>
      <c r="K659" s="14"/>
      <c r="L659" s="14"/>
      <c r="M659" s="14"/>
      <c r="N659" s="14"/>
      <c r="P659" s="14"/>
    </row>
    <row r="660" ht="18.75" customHeight="1">
      <c r="A660" s="7" t="s">
        <v>2282</v>
      </c>
      <c r="B660" s="9">
        <v>94.0</v>
      </c>
      <c r="C660" s="9">
        <v>94.0</v>
      </c>
      <c r="D660" s="9">
        <v>52.0</v>
      </c>
      <c r="E660" s="9">
        <v>6.0</v>
      </c>
      <c r="F660" s="14"/>
      <c r="G660" s="15"/>
      <c r="H660" s="15"/>
      <c r="I660" s="14"/>
      <c r="J660" s="14"/>
      <c r="K660" s="14"/>
      <c r="L660" s="14"/>
      <c r="M660" s="14"/>
      <c r="N660" s="14"/>
      <c r="P660" s="14"/>
    </row>
    <row r="661" ht="18.75" customHeight="1">
      <c r="A661" s="7" t="s">
        <v>2496</v>
      </c>
      <c r="B661" s="9">
        <v>11283.0</v>
      </c>
      <c r="C661" s="9">
        <v>11077.0</v>
      </c>
      <c r="D661" s="9">
        <v>4413.0</v>
      </c>
      <c r="E661" s="9">
        <v>366.0</v>
      </c>
      <c r="F661" s="14"/>
      <c r="G661" s="15"/>
      <c r="H661" s="15"/>
      <c r="I661" s="14"/>
      <c r="J661" s="14"/>
      <c r="K661" s="14"/>
      <c r="L661" s="14"/>
      <c r="M661" s="14"/>
      <c r="N661" s="14"/>
      <c r="P661" s="14"/>
    </row>
    <row r="662" ht="18.75" customHeight="1">
      <c r="A662" s="7" t="s">
        <v>2520</v>
      </c>
      <c r="B662" s="9">
        <v>59908.0</v>
      </c>
      <c r="C662" s="9">
        <v>58610.0</v>
      </c>
      <c r="D662" s="9">
        <v>18122.0</v>
      </c>
      <c r="E662" s="9">
        <v>748.0</v>
      </c>
      <c r="F662" s="14"/>
      <c r="G662" s="15"/>
      <c r="H662" s="15"/>
      <c r="I662" s="14"/>
      <c r="J662" s="14"/>
      <c r="K662" s="14"/>
      <c r="L662" s="14"/>
      <c r="M662" s="14"/>
      <c r="N662" s="14"/>
      <c r="P662" s="14"/>
    </row>
    <row r="663" ht="18.75" customHeight="1">
      <c r="A663" s="7" t="s">
        <v>2283</v>
      </c>
      <c r="B663" s="9">
        <v>22076.0</v>
      </c>
      <c r="C663" s="9">
        <v>21632.0</v>
      </c>
      <c r="D663" s="9">
        <v>5778.0</v>
      </c>
      <c r="E663" s="9">
        <v>51.0</v>
      </c>
      <c r="F663" s="14"/>
      <c r="G663" s="15"/>
      <c r="H663" s="15"/>
      <c r="I663" s="14"/>
      <c r="J663" s="14"/>
      <c r="K663" s="14"/>
      <c r="L663" s="14"/>
      <c r="M663" s="14"/>
      <c r="N663" s="14"/>
    </row>
    <row r="664" ht="18.75" customHeight="1">
      <c r="A664" s="7" t="s">
        <v>2519</v>
      </c>
      <c r="B664" s="9">
        <v>10622.0</v>
      </c>
      <c r="C664" s="9">
        <v>10445.0</v>
      </c>
      <c r="D664" s="9">
        <v>3916.0</v>
      </c>
      <c r="E664" s="9">
        <v>228.0</v>
      </c>
      <c r="F664" s="14"/>
      <c r="G664" s="15"/>
      <c r="H664" s="15"/>
      <c r="I664" s="14"/>
      <c r="J664" s="14"/>
      <c r="K664" s="14"/>
      <c r="L664" s="14"/>
      <c r="M664" s="14"/>
      <c r="N664" s="14"/>
      <c r="P664" s="14"/>
    </row>
    <row r="665" ht="18.75" customHeight="1">
      <c r="A665" s="7" t="s">
        <v>2519</v>
      </c>
      <c r="B665" s="9">
        <v>22956.0</v>
      </c>
      <c r="C665" s="9">
        <v>22498.0</v>
      </c>
      <c r="D665" s="9">
        <v>6114.0</v>
      </c>
      <c r="E665" s="9">
        <v>412.0</v>
      </c>
      <c r="F665" s="14"/>
      <c r="G665" s="15"/>
      <c r="H665" s="15"/>
      <c r="I665" s="14"/>
      <c r="J665" s="14"/>
      <c r="K665" s="14"/>
      <c r="L665" s="14"/>
      <c r="M665" s="14"/>
      <c r="N665" s="14"/>
      <c r="P665" s="14"/>
    </row>
    <row r="666" ht="18.75" customHeight="1">
      <c r="A666" s="7" t="s">
        <v>2519</v>
      </c>
      <c r="B666" s="9">
        <v>10977.0</v>
      </c>
      <c r="C666" s="9">
        <v>10648.0</v>
      </c>
      <c r="D666" s="9">
        <v>2298.0</v>
      </c>
      <c r="E666" s="9">
        <v>121.0</v>
      </c>
      <c r="F666" s="14"/>
      <c r="G666" s="15"/>
      <c r="H666" s="15"/>
      <c r="I666" s="14"/>
      <c r="J666" s="14"/>
      <c r="K666" s="14"/>
      <c r="L666" s="14"/>
      <c r="M666" s="14"/>
      <c r="N666" s="14"/>
      <c r="P666" s="14"/>
    </row>
    <row r="667" ht="18.75" customHeight="1">
      <c r="A667" s="7" t="s">
        <v>2521</v>
      </c>
      <c r="B667" s="9">
        <v>65314.0</v>
      </c>
      <c r="C667" s="9">
        <v>63919.0</v>
      </c>
      <c r="D667" s="9">
        <v>12514.0</v>
      </c>
      <c r="E667" s="9">
        <v>294.0</v>
      </c>
      <c r="F667" s="14"/>
      <c r="G667" s="15"/>
      <c r="H667" s="15"/>
      <c r="I667" s="14"/>
      <c r="J667" s="14"/>
      <c r="K667" s="14"/>
      <c r="L667" s="14"/>
      <c r="M667" s="14"/>
      <c r="N667" s="14"/>
      <c r="P667" s="14"/>
    </row>
    <row r="668" ht="18.75" customHeight="1">
      <c r="A668" s="7" t="s">
        <v>2522</v>
      </c>
      <c r="B668" s="9">
        <v>56321.0</v>
      </c>
      <c r="C668" s="9">
        <v>55348.0</v>
      </c>
      <c r="D668" s="9">
        <v>21169.0</v>
      </c>
      <c r="E668" s="9">
        <v>872.0</v>
      </c>
      <c r="F668" s="14"/>
      <c r="G668" s="15"/>
      <c r="H668" s="15"/>
      <c r="I668" s="14"/>
      <c r="J668" s="14"/>
      <c r="K668" s="14"/>
      <c r="L668" s="14"/>
      <c r="M668" s="14"/>
      <c r="N668" s="14"/>
      <c r="P668" s="14"/>
    </row>
    <row r="669" ht="18.75" customHeight="1">
      <c r="A669" s="7" t="s">
        <v>2286</v>
      </c>
      <c r="B669" s="9">
        <v>154.0</v>
      </c>
      <c r="C669" s="9">
        <v>147.0</v>
      </c>
      <c r="D669" s="9">
        <v>50.0</v>
      </c>
      <c r="E669" s="9">
        <v>1.0</v>
      </c>
      <c r="F669" s="14"/>
      <c r="G669" s="15"/>
      <c r="H669" s="15"/>
      <c r="I669" s="14"/>
      <c r="J669" s="14"/>
      <c r="K669" s="14"/>
      <c r="L669" s="14"/>
      <c r="M669" s="14"/>
      <c r="N669" s="14"/>
      <c r="P669" s="14"/>
    </row>
    <row r="670" ht="18.75" customHeight="1">
      <c r="A670" s="7" t="s">
        <v>2523</v>
      </c>
      <c r="B670" s="9">
        <v>2540.0</v>
      </c>
      <c r="C670" s="9">
        <v>2531.0</v>
      </c>
      <c r="D670" s="9">
        <v>1265.0</v>
      </c>
      <c r="E670" s="9">
        <v>7.0</v>
      </c>
      <c r="F670" s="14"/>
      <c r="G670" s="15"/>
      <c r="H670" s="15"/>
      <c r="I670" s="14"/>
      <c r="J670" s="14"/>
      <c r="K670" s="14"/>
      <c r="L670" s="14"/>
      <c r="M670" s="14"/>
      <c r="N670" s="14"/>
      <c r="P670" s="14"/>
    </row>
    <row r="671" ht="18.75" customHeight="1">
      <c r="A671" s="7" t="s">
        <v>2524</v>
      </c>
      <c r="B671" s="9">
        <v>123110.0</v>
      </c>
      <c r="C671" s="9">
        <v>120244.0</v>
      </c>
      <c r="D671" s="9">
        <v>29831.0</v>
      </c>
      <c r="E671" s="9">
        <v>4356.0</v>
      </c>
      <c r="F671" s="14"/>
      <c r="G671" s="15"/>
      <c r="H671" s="15"/>
      <c r="I671" s="14"/>
      <c r="J671" s="14"/>
      <c r="K671" s="14"/>
      <c r="L671" s="14"/>
      <c r="M671" s="14"/>
      <c r="N671" s="14"/>
      <c r="P671" s="14"/>
    </row>
    <row r="672" ht="18.75" customHeight="1">
      <c r="A672" s="7" t="s">
        <v>2282</v>
      </c>
      <c r="B672" s="9">
        <v>576.0</v>
      </c>
      <c r="C672" s="9">
        <v>560.0</v>
      </c>
      <c r="D672" s="9">
        <v>198.0</v>
      </c>
      <c r="E672" s="9">
        <v>20.0</v>
      </c>
      <c r="F672" s="14"/>
      <c r="G672" s="15"/>
      <c r="H672" s="15"/>
      <c r="I672" s="14"/>
      <c r="J672" s="14"/>
      <c r="K672" s="14"/>
      <c r="L672" s="14"/>
      <c r="M672" s="14"/>
      <c r="N672" s="14"/>
      <c r="P672" s="14"/>
    </row>
    <row r="673" ht="18.75" customHeight="1">
      <c r="A673" s="7" t="s">
        <v>2524</v>
      </c>
      <c r="B673" s="9">
        <v>106073.0</v>
      </c>
      <c r="C673" s="9">
        <v>102939.0</v>
      </c>
      <c r="D673" s="9">
        <v>26818.0</v>
      </c>
      <c r="E673" s="9">
        <v>3778.0</v>
      </c>
      <c r="F673" s="14"/>
      <c r="G673" s="15"/>
      <c r="H673" s="15"/>
      <c r="I673" s="14"/>
      <c r="J673" s="14"/>
      <c r="K673" s="14"/>
      <c r="L673" s="14"/>
      <c r="M673" s="14"/>
      <c r="N673" s="14"/>
      <c r="P673" s="14"/>
    </row>
    <row r="674" ht="18.75" customHeight="1">
      <c r="A674" s="7" t="s">
        <v>2525</v>
      </c>
      <c r="B674" s="9">
        <v>145297.0</v>
      </c>
      <c r="C674" s="9">
        <v>141638.0</v>
      </c>
      <c r="D674" s="9">
        <v>40049.0</v>
      </c>
      <c r="E674" s="9">
        <v>124.0</v>
      </c>
      <c r="F674" s="14"/>
      <c r="G674" s="15"/>
      <c r="H674" s="15"/>
      <c r="I674" s="14"/>
      <c r="J674" s="14"/>
      <c r="K674" s="14"/>
      <c r="L674" s="14"/>
      <c r="M674" s="14"/>
      <c r="N674" s="14"/>
      <c r="P674" s="14"/>
    </row>
    <row r="675" ht="18.75" customHeight="1">
      <c r="A675" s="7" t="s">
        <v>2526</v>
      </c>
      <c r="B675" s="9">
        <v>19723.0</v>
      </c>
      <c r="C675" s="9">
        <v>19388.0</v>
      </c>
      <c r="D675" s="9">
        <v>5189.0</v>
      </c>
      <c r="E675" s="9">
        <v>52.0</v>
      </c>
      <c r="F675" s="14"/>
      <c r="G675" s="15"/>
      <c r="H675" s="15"/>
      <c r="I675" s="14"/>
      <c r="J675" s="14"/>
      <c r="K675" s="14"/>
      <c r="L675" s="14"/>
      <c r="M675" s="14"/>
      <c r="N675" s="14"/>
      <c r="P675" s="14"/>
    </row>
    <row r="676" ht="18.75" customHeight="1">
      <c r="A676" s="7" t="s">
        <v>2527</v>
      </c>
      <c r="B676" s="9">
        <v>533.0</v>
      </c>
      <c r="C676" s="9">
        <v>516.0</v>
      </c>
      <c r="D676" s="9">
        <v>263.0</v>
      </c>
      <c r="E676" s="9">
        <v>70.0</v>
      </c>
      <c r="F676" s="14"/>
      <c r="G676" s="15"/>
      <c r="H676" s="15"/>
      <c r="I676" s="14"/>
      <c r="J676" s="14"/>
      <c r="K676" s="14"/>
      <c r="L676" s="14"/>
      <c r="M676" s="14"/>
      <c r="N676" s="14"/>
      <c r="P676" s="14"/>
    </row>
    <row r="677" ht="18.75" customHeight="1">
      <c r="A677" s="7" t="s">
        <v>2528</v>
      </c>
      <c r="B677" s="9">
        <v>84364.0</v>
      </c>
      <c r="C677" s="9">
        <v>82946.0</v>
      </c>
      <c r="D677" s="9">
        <v>34237.0</v>
      </c>
      <c r="E677" s="9">
        <v>911.0</v>
      </c>
      <c r="F677" s="14"/>
      <c r="G677" s="15"/>
      <c r="H677" s="15"/>
      <c r="I677" s="14"/>
      <c r="J677" s="14"/>
      <c r="K677" s="14"/>
      <c r="L677" s="14"/>
      <c r="M677" s="14"/>
      <c r="N677" s="14"/>
      <c r="P677" s="14"/>
    </row>
    <row r="678" ht="18.75" customHeight="1">
      <c r="A678" s="7" t="s">
        <v>2529</v>
      </c>
      <c r="B678" s="9">
        <v>34163.0</v>
      </c>
      <c r="C678" s="9">
        <v>33263.0</v>
      </c>
      <c r="D678" s="9">
        <v>9171.0</v>
      </c>
      <c r="E678" s="9">
        <v>48.0</v>
      </c>
      <c r="F678" s="14"/>
      <c r="G678" s="15"/>
      <c r="H678" s="15"/>
      <c r="I678" s="14"/>
      <c r="J678" s="14"/>
      <c r="K678" s="14"/>
      <c r="L678" s="14"/>
      <c r="M678" s="14"/>
      <c r="N678" s="14"/>
      <c r="P678" s="14"/>
    </row>
    <row r="679" ht="18.75" customHeight="1">
      <c r="A679" s="7" t="s">
        <v>2517</v>
      </c>
      <c r="B679" s="9">
        <v>1280.0</v>
      </c>
      <c r="C679" s="9">
        <v>1272.0</v>
      </c>
      <c r="D679" s="9">
        <v>982.0</v>
      </c>
      <c r="E679" s="9">
        <v>9.0</v>
      </c>
      <c r="F679" s="14"/>
      <c r="G679" s="15"/>
      <c r="H679" s="15"/>
      <c r="I679" s="14"/>
      <c r="J679" s="14"/>
      <c r="K679" s="14"/>
      <c r="L679" s="14"/>
      <c r="M679" s="14"/>
      <c r="N679" s="14"/>
      <c r="P679" s="14"/>
    </row>
    <row r="680" ht="18.75" customHeight="1">
      <c r="A680" s="7" t="s">
        <v>2274</v>
      </c>
      <c r="B680" s="9">
        <v>7162.0</v>
      </c>
      <c r="C680" s="9">
        <v>7054.0</v>
      </c>
      <c r="D680" s="9">
        <v>1947.0</v>
      </c>
      <c r="E680" s="9">
        <v>41.0</v>
      </c>
      <c r="F680" s="14"/>
      <c r="G680" s="15"/>
      <c r="H680" s="15"/>
      <c r="I680" s="14"/>
      <c r="J680" s="14"/>
      <c r="K680" s="14"/>
      <c r="L680" s="14"/>
      <c r="M680" s="14"/>
      <c r="N680" s="14"/>
      <c r="P680" s="14"/>
    </row>
    <row r="681" ht="18.75" customHeight="1">
      <c r="A681" s="7" t="s">
        <v>2530</v>
      </c>
      <c r="B681" s="9">
        <v>67289.0</v>
      </c>
      <c r="C681" s="9">
        <v>66996.0</v>
      </c>
      <c r="D681" s="9">
        <v>38677.0</v>
      </c>
      <c r="E681" s="9">
        <v>268.0</v>
      </c>
      <c r="F681" s="14"/>
      <c r="G681" s="15"/>
      <c r="H681" s="15"/>
      <c r="I681" s="14"/>
      <c r="J681" s="14"/>
      <c r="K681" s="14"/>
      <c r="L681" s="14"/>
      <c r="M681" s="14"/>
      <c r="N681" s="14"/>
      <c r="P681" s="14"/>
    </row>
    <row r="682" ht="18.75" customHeight="1">
      <c r="A682" s="7" t="s">
        <v>2531</v>
      </c>
      <c r="B682" s="9">
        <v>26971.0</v>
      </c>
      <c r="C682" s="9">
        <v>26768.0</v>
      </c>
      <c r="D682" s="9">
        <v>14961.0</v>
      </c>
      <c r="E682" s="9">
        <v>3410.0</v>
      </c>
      <c r="F682" s="14"/>
      <c r="G682" s="15"/>
      <c r="H682" s="15"/>
      <c r="I682" s="14"/>
      <c r="J682" s="14"/>
      <c r="K682" s="14"/>
      <c r="L682" s="14"/>
      <c r="M682" s="14"/>
      <c r="N682" s="14"/>
      <c r="P682" s="14"/>
    </row>
    <row r="683" ht="18.75" customHeight="1">
      <c r="A683" s="7" t="s">
        <v>2531</v>
      </c>
      <c r="B683" s="9">
        <v>7823.0</v>
      </c>
      <c r="C683" s="9">
        <v>7693.0</v>
      </c>
      <c r="D683" s="9">
        <v>4067.0</v>
      </c>
      <c r="E683" s="9">
        <v>820.0</v>
      </c>
      <c r="F683" s="14"/>
      <c r="G683" s="15"/>
      <c r="H683" s="15"/>
      <c r="I683" s="14"/>
      <c r="J683" s="14"/>
      <c r="K683" s="14"/>
      <c r="L683" s="14"/>
      <c r="M683" s="14"/>
      <c r="N683" s="14"/>
      <c r="P683" s="14"/>
    </row>
    <row r="684" ht="18.75" customHeight="1">
      <c r="A684" s="7" t="s">
        <v>2532</v>
      </c>
      <c r="B684" s="9">
        <v>14056.0</v>
      </c>
      <c r="C684" s="9">
        <v>13783.0</v>
      </c>
      <c r="D684" s="9">
        <v>2519.0</v>
      </c>
      <c r="E684" s="9">
        <v>63.0</v>
      </c>
      <c r="F684" s="14"/>
      <c r="G684" s="15"/>
      <c r="H684" s="15"/>
      <c r="I684" s="14"/>
      <c r="J684" s="14"/>
      <c r="K684" s="14"/>
      <c r="L684" s="14"/>
      <c r="M684" s="14"/>
      <c r="N684" s="14"/>
      <c r="P684" s="14"/>
    </row>
    <row r="685" ht="18.75" customHeight="1">
      <c r="A685" s="7" t="s">
        <v>2533</v>
      </c>
      <c r="B685" s="9">
        <v>85210.0</v>
      </c>
      <c r="C685" s="9">
        <v>83518.0</v>
      </c>
      <c r="D685" s="9">
        <v>27697.0</v>
      </c>
      <c r="E685" s="9">
        <v>1893.0</v>
      </c>
      <c r="F685" s="14"/>
      <c r="G685" s="15"/>
      <c r="H685" s="15"/>
      <c r="I685" s="14"/>
      <c r="J685" s="14"/>
      <c r="K685" s="14"/>
      <c r="L685" s="14"/>
      <c r="M685" s="14"/>
      <c r="N685" s="14"/>
    </row>
    <row r="686" ht="18.75" customHeight="1">
      <c r="A686" s="7" t="s">
        <v>2534</v>
      </c>
      <c r="B686" s="9">
        <v>45002.0</v>
      </c>
      <c r="C686" s="9">
        <v>44210.0</v>
      </c>
      <c r="D686" s="9">
        <v>10399.0</v>
      </c>
      <c r="E686" s="9">
        <v>372.0</v>
      </c>
      <c r="F686" s="14"/>
      <c r="G686" s="15"/>
      <c r="H686" s="15"/>
      <c r="I686" s="14"/>
      <c r="J686" s="14"/>
      <c r="K686" s="14"/>
      <c r="L686" s="14"/>
      <c r="M686" s="14"/>
      <c r="N686" s="14"/>
      <c r="P686" s="14"/>
    </row>
    <row r="687" ht="18.75" customHeight="1">
      <c r="A687" s="7" t="s">
        <v>2526</v>
      </c>
      <c r="B687" s="9">
        <v>14588.0</v>
      </c>
      <c r="C687" s="9">
        <v>14263.0</v>
      </c>
      <c r="D687" s="9">
        <v>2720.0</v>
      </c>
      <c r="E687" s="9">
        <v>101.0</v>
      </c>
      <c r="F687" s="14"/>
      <c r="G687" s="15"/>
      <c r="H687" s="15"/>
      <c r="I687" s="14"/>
      <c r="J687" s="14"/>
      <c r="K687" s="14"/>
      <c r="L687" s="14"/>
      <c r="M687" s="14"/>
      <c r="N687" s="14"/>
      <c r="P687" s="14"/>
    </row>
    <row r="688" ht="18.75" customHeight="1">
      <c r="A688" s="7" t="s">
        <v>2524</v>
      </c>
      <c r="B688" s="9">
        <v>93211.0</v>
      </c>
      <c r="C688" s="9">
        <v>90453.0</v>
      </c>
      <c r="D688" s="9">
        <v>10875.0</v>
      </c>
      <c r="E688" s="9">
        <v>921.0</v>
      </c>
      <c r="F688" s="14"/>
      <c r="G688" s="15"/>
      <c r="H688" s="15"/>
      <c r="I688" s="14"/>
      <c r="J688" s="14"/>
      <c r="K688" s="14"/>
      <c r="L688" s="14"/>
      <c r="M688" s="14"/>
      <c r="N688" s="14"/>
      <c r="P688" s="14"/>
    </row>
    <row r="689" ht="18.75" customHeight="1">
      <c r="A689" s="7" t="s">
        <v>2282</v>
      </c>
      <c r="B689" s="9">
        <v>182.0</v>
      </c>
      <c r="C689" s="9">
        <v>179.0</v>
      </c>
      <c r="D689" s="9">
        <v>50.0</v>
      </c>
      <c r="E689" s="9">
        <v>3.0</v>
      </c>
      <c r="F689" s="14"/>
      <c r="G689" s="15"/>
      <c r="H689" s="15"/>
      <c r="I689" s="14"/>
      <c r="J689" s="14"/>
      <c r="K689" s="14"/>
      <c r="L689" s="14"/>
      <c r="M689" s="14"/>
      <c r="N689" s="14"/>
      <c r="P689" s="14"/>
    </row>
    <row r="690" ht="18.75" customHeight="1">
      <c r="A690" s="7" t="s">
        <v>2274</v>
      </c>
      <c r="B690" s="9">
        <v>20439.0</v>
      </c>
      <c r="C690" s="9">
        <v>20038.0</v>
      </c>
      <c r="D690" s="9">
        <v>4890.0</v>
      </c>
      <c r="E690" s="9">
        <v>100.0</v>
      </c>
      <c r="F690" s="14"/>
      <c r="G690" s="15"/>
      <c r="H690" s="15"/>
      <c r="I690" s="14"/>
      <c r="J690" s="14"/>
      <c r="K690" s="14"/>
      <c r="L690" s="14"/>
      <c r="M690" s="14"/>
      <c r="N690" s="14"/>
      <c r="P690" s="14"/>
    </row>
    <row r="691" ht="18.75" customHeight="1">
      <c r="A691" s="7" t="s">
        <v>2535</v>
      </c>
      <c r="B691" s="9">
        <v>18807.0</v>
      </c>
      <c r="C691" s="9">
        <v>18416.0</v>
      </c>
      <c r="D691" s="9">
        <v>1126.0</v>
      </c>
      <c r="E691" s="9">
        <v>26.0</v>
      </c>
      <c r="F691" s="14"/>
      <c r="G691" s="15"/>
      <c r="H691" s="15"/>
      <c r="I691" s="14"/>
      <c r="J691" s="14"/>
      <c r="K691" s="14"/>
      <c r="L691" s="14"/>
      <c r="M691" s="14"/>
      <c r="N691" s="14"/>
      <c r="P691" s="14"/>
    </row>
    <row r="692" ht="18.75" customHeight="1">
      <c r="A692" s="7" t="s">
        <v>2536</v>
      </c>
      <c r="B692" s="9">
        <v>73330.0</v>
      </c>
      <c r="C692" s="9">
        <v>72106.0</v>
      </c>
      <c r="D692" s="9">
        <v>29249.0</v>
      </c>
      <c r="E692" s="9">
        <v>1347.0</v>
      </c>
      <c r="F692" s="14"/>
      <c r="G692" s="15"/>
      <c r="H692" s="15"/>
      <c r="I692" s="14"/>
      <c r="J692" s="14"/>
      <c r="K692" s="14"/>
      <c r="L692" s="14"/>
      <c r="M692" s="14"/>
      <c r="N692" s="14"/>
    </row>
    <row r="693" ht="18.75" customHeight="1">
      <c r="A693" s="7" t="s">
        <v>2537</v>
      </c>
      <c r="B693" s="9">
        <v>72113.0</v>
      </c>
      <c r="C693" s="9">
        <v>70792.0</v>
      </c>
      <c r="D693" s="9">
        <v>22981.0</v>
      </c>
      <c r="E693" s="9">
        <v>1069.0</v>
      </c>
      <c r="F693" s="14"/>
      <c r="G693" s="15"/>
      <c r="H693" s="15"/>
      <c r="I693" s="14"/>
      <c r="J693" s="14"/>
      <c r="K693" s="14"/>
      <c r="L693" s="14"/>
      <c r="M693" s="14"/>
      <c r="N693" s="14"/>
      <c r="P693" s="14"/>
    </row>
    <row r="694" ht="18.75" customHeight="1">
      <c r="A694" s="7" t="s">
        <v>2236</v>
      </c>
      <c r="B694" s="9">
        <v>27834.0</v>
      </c>
      <c r="C694" s="9">
        <v>26854.0</v>
      </c>
      <c r="D694" s="9">
        <v>6273.0</v>
      </c>
      <c r="E694" s="9">
        <v>665.0</v>
      </c>
      <c r="F694" s="14"/>
      <c r="G694" s="15"/>
      <c r="H694" s="15"/>
      <c r="I694" s="14"/>
      <c r="J694" s="14"/>
      <c r="K694" s="14"/>
      <c r="L694" s="14"/>
      <c r="M694" s="14"/>
      <c r="N694" s="14"/>
      <c r="P694" s="14"/>
    </row>
    <row r="695" ht="18.75" customHeight="1">
      <c r="A695" s="7" t="s">
        <v>2524</v>
      </c>
      <c r="B695" s="9">
        <v>80419.0</v>
      </c>
      <c r="C695" s="9">
        <v>77369.0</v>
      </c>
      <c r="D695" s="9">
        <v>10844.0</v>
      </c>
      <c r="E695" s="9">
        <v>1150.0</v>
      </c>
      <c r="F695" s="14"/>
      <c r="G695" s="15"/>
      <c r="H695" s="15"/>
      <c r="I695" s="14"/>
      <c r="J695" s="14"/>
      <c r="K695" s="14"/>
      <c r="L695" s="14"/>
      <c r="M695" s="14"/>
      <c r="N695" s="14"/>
    </row>
    <row r="696" ht="18.75" customHeight="1">
      <c r="A696" s="7" t="s">
        <v>2283</v>
      </c>
      <c r="B696" s="9">
        <v>7157.0</v>
      </c>
      <c r="C696" s="9">
        <v>7047.0</v>
      </c>
      <c r="D696" s="9">
        <v>2059.0</v>
      </c>
      <c r="E696" s="9">
        <v>26.0</v>
      </c>
      <c r="F696" s="14"/>
      <c r="G696" s="15"/>
      <c r="H696" s="15"/>
      <c r="I696" s="14"/>
      <c r="J696" s="14"/>
      <c r="K696" s="14"/>
      <c r="L696" s="14"/>
      <c r="M696" s="14"/>
      <c r="N696" s="14"/>
    </row>
    <row r="697" ht="18.75" customHeight="1">
      <c r="A697" s="7" t="s">
        <v>2283</v>
      </c>
      <c r="B697" s="9">
        <v>20411.0</v>
      </c>
      <c r="C697" s="9">
        <v>20010.0</v>
      </c>
      <c r="D697" s="9">
        <v>5472.0</v>
      </c>
      <c r="E697" s="9">
        <v>48.0</v>
      </c>
      <c r="F697" s="14"/>
      <c r="G697" s="15"/>
      <c r="H697" s="15"/>
      <c r="I697" s="14"/>
      <c r="J697" s="14"/>
      <c r="K697" s="14"/>
      <c r="L697" s="14"/>
      <c r="M697" s="14"/>
      <c r="N697" s="14"/>
      <c r="P697" s="14"/>
    </row>
    <row r="698" ht="18.75" customHeight="1">
      <c r="A698" s="7" t="s">
        <v>2286</v>
      </c>
      <c r="B698" s="9">
        <v>722.0</v>
      </c>
      <c r="C698" s="9">
        <v>710.0</v>
      </c>
      <c r="D698" s="9">
        <v>255.0</v>
      </c>
      <c r="E698" s="9">
        <v>0.0</v>
      </c>
      <c r="F698" s="14"/>
      <c r="G698" s="15"/>
      <c r="H698" s="15"/>
      <c r="I698" s="14"/>
      <c r="J698" s="14"/>
      <c r="K698" s="14"/>
      <c r="L698" s="14"/>
      <c r="M698" s="14"/>
      <c r="N698" s="14"/>
      <c r="P698" s="14"/>
    </row>
    <row r="699" ht="18.75" customHeight="1">
      <c r="A699" s="7" t="s">
        <v>2275</v>
      </c>
      <c r="B699" s="9">
        <v>330.0</v>
      </c>
      <c r="C699" s="9">
        <v>327.0</v>
      </c>
      <c r="D699" s="9">
        <v>136.0</v>
      </c>
      <c r="E699" s="9">
        <v>46.0</v>
      </c>
      <c r="F699" s="14"/>
      <c r="G699" s="15"/>
      <c r="H699" s="15"/>
      <c r="I699" s="14"/>
      <c r="J699" s="14"/>
      <c r="K699" s="14"/>
      <c r="L699" s="14"/>
      <c r="M699" s="14"/>
      <c r="N699" s="14"/>
      <c r="P699" s="14"/>
    </row>
    <row r="700" ht="18.75" customHeight="1">
      <c r="A700" s="7" t="s">
        <v>2538</v>
      </c>
      <c r="B700" s="9">
        <v>58950.0</v>
      </c>
      <c r="C700" s="9">
        <v>57825.0</v>
      </c>
      <c r="D700" s="9">
        <v>17841.0</v>
      </c>
      <c r="E700" s="9">
        <v>215.0</v>
      </c>
      <c r="F700" s="14"/>
      <c r="G700" s="15"/>
      <c r="H700" s="15"/>
      <c r="I700" s="14"/>
      <c r="J700" s="14"/>
      <c r="K700" s="14"/>
      <c r="L700" s="14"/>
      <c r="M700" s="14"/>
      <c r="N700" s="14"/>
    </row>
    <row r="701" ht="18.75" customHeight="1">
      <c r="A701" s="7" t="s">
        <v>2539</v>
      </c>
      <c r="B701" s="9">
        <v>37997.0</v>
      </c>
      <c r="C701" s="9">
        <v>37159.0</v>
      </c>
      <c r="D701" s="9">
        <v>14470.0</v>
      </c>
      <c r="E701" s="9">
        <v>2094.0</v>
      </c>
      <c r="F701" s="14"/>
      <c r="G701" s="15"/>
      <c r="H701" s="15"/>
      <c r="I701" s="14"/>
      <c r="J701" s="14"/>
      <c r="K701" s="14"/>
      <c r="L701" s="14"/>
      <c r="M701" s="14"/>
      <c r="N701" s="14"/>
    </row>
    <row r="702" ht="18.75" customHeight="1">
      <c r="A702" s="7" t="s">
        <v>2540</v>
      </c>
      <c r="B702" s="9">
        <v>135586.0</v>
      </c>
      <c r="C702" s="9">
        <v>133039.0</v>
      </c>
      <c r="D702" s="9">
        <v>45231.0</v>
      </c>
      <c r="E702" s="9">
        <v>831.0</v>
      </c>
      <c r="F702" s="14"/>
      <c r="G702" s="15"/>
      <c r="H702" s="15"/>
      <c r="I702" s="14"/>
      <c r="J702" s="14"/>
      <c r="K702" s="14"/>
      <c r="L702" s="14"/>
      <c r="M702" s="14"/>
      <c r="N702" s="14"/>
    </row>
    <row r="703" ht="18.75" customHeight="1">
      <c r="A703" s="7" t="s">
        <v>2541</v>
      </c>
      <c r="B703" s="9">
        <v>815.0</v>
      </c>
      <c r="C703" s="9">
        <v>806.0</v>
      </c>
      <c r="D703" s="9">
        <v>546.0</v>
      </c>
      <c r="E703" s="9">
        <v>127.0</v>
      </c>
      <c r="F703" s="14"/>
      <c r="G703" s="15"/>
      <c r="H703" s="15"/>
      <c r="I703" s="14"/>
      <c r="J703" s="14"/>
      <c r="K703" s="14"/>
      <c r="L703" s="14"/>
      <c r="M703" s="14"/>
      <c r="N703" s="14"/>
      <c r="P703" s="14"/>
    </row>
    <row r="704" ht="18.75" customHeight="1">
      <c r="A704" s="7" t="s">
        <v>2541</v>
      </c>
      <c r="B704" s="9">
        <v>255.0</v>
      </c>
      <c r="C704" s="9">
        <v>251.0</v>
      </c>
      <c r="D704" s="9">
        <v>153.0</v>
      </c>
      <c r="E704" s="9">
        <v>12.0</v>
      </c>
      <c r="F704" s="14"/>
      <c r="G704" s="15"/>
      <c r="H704" s="15"/>
      <c r="I704" s="14"/>
      <c r="J704" s="14"/>
      <c r="K704" s="14"/>
      <c r="L704" s="14"/>
      <c r="M704" s="14"/>
      <c r="N704" s="14"/>
      <c r="P704" s="14"/>
    </row>
    <row r="705" ht="18.75" customHeight="1">
      <c r="A705" s="7" t="s">
        <v>2542</v>
      </c>
      <c r="B705" s="9">
        <v>28251.0</v>
      </c>
      <c r="C705" s="9">
        <v>27669.0</v>
      </c>
      <c r="D705" s="9">
        <v>7004.0</v>
      </c>
      <c r="E705" s="9">
        <v>296.0</v>
      </c>
      <c r="F705" s="14"/>
      <c r="G705" s="15"/>
      <c r="H705" s="15"/>
      <c r="I705" s="14"/>
      <c r="J705" s="14"/>
      <c r="K705" s="14"/>
      <c r="L705" s="14"/>
      <c r="M705" s="14"/>
      <c r="N705" s="14"/>
      <c r="P705" s="14"/>
    </row>
    <row r="706" ht="18.75" customHeight="1">
      <c r="A706" s="7" t="s">
        <v>2543</v>
      </c>
      <c r="B706" s="9">
        <v>21899.0</v>
      </c>
      <c r="C706" s="9">
        <v>21493.0</v>
      </c>
      <c r="D706" s="9">
        <v>4803.0</v>
      </c>
      <c r="E706" s="9">
        <v>126.0</v>
      </c>
      <c r="F706" s="14"/>
      <c r="G706" s="15"/>
      <c r="H706" s="15"/>
      <c r="I706" s="14"/>
      <c r="J706" s="14"/>
      <c r="K706" s="14"/>
      <c r="L706" s="14"/>
      <c r="M706" s="14"/>
      <c r="N706" s="14"/>
      <c r="P706" s="14"/>
    </row>
    <row r="707" ht="18.75" customHeight="1">
      <c r="A707" s="7" t="s">
        <v>2544</v>
      </c>
      <c r="B707" s="9">
        <v>39258.0</v>
      </c>
      <c r="C707" s="9">
        <v>39147.0</v>
      </c>
      <c r="D707" s="9">
        <v>22855.0</v>
      </c>
      <c r="E707" s="9">
        <v>56.0</v>
      </c>
      <c r="F707" s="14"/>
      <c r="G707" s="15"/>
      <c r="H707" s="15"/>
      <c r="I707" s="14"/>
      <c r="J707" s="14"/>
      <c r="K707" s="14"/>
      <c r="L707" s="14"/>
      <c r="M707" s="14"/>
      <c r="N707" s="14"/>
      <c r="P707" s="14"/>
    </row>
    <row r="708" ht="18.75" customHeight="1">
      <c r="A708" s="7" t="s">
        <v>2545</v>
      </c>
      <c r="B708" s="9">
        <v>79105.0</v>
      </c>
      <c r="C708" s="9">
        <v>76475.0</v>
      </c>
      <c r="D708" s="9">
        <v>21834.0</v>
      </c>
      <c r="E708" s="9">
        <v>1144.0</v>
      </c>
      <c r="F708" s="14"/>
      <c r="G708" s="15"/>
      <c r="H708" s="15"/>
      <c r="I708" s="14"/>
      <c r="J708" s="14"/>
      <c r="K708" s="14"/>
      <c r="L708" s="14"/>
      <c r="M708" s="14"/>
      <c r="N708" s="14"/>
      <c r="P708" s="14"/>
    </row>
    <row r="709" ht="18.75" customHeight="1">
      <c r="A709" s="7" t="s">
        <v>2546</v>
      </c>
      <c r="B709" s="9">
        <v>30717.0</v>
      </c>
      <c r="C709" s="9">
        <v>30149.0</v>
      </c>
      <c r="D709" s="9">
        <v>6639.0</v>
      </c>
      <c r="E709" s="9">
        <v>106.0</v>
      </c>
      <c r="F709" s="14"/>
      <c r="G709" s="15"/>
      <c r="H709" s="15"/>
      <c r="I709" s="14"/>
      <c r="J709" s="14"/>
      <c r="K709" s="14"/>
      <c r="L709" s="14"/>
      <c r="M709" s="14"/>
      <c r="N709" s="14"/>
      <c r="P709" s="14"/>
    </row>
    <row r="710" ht="18.75" customHeight="1">
      <c r="A710" s="7" t="s">
        <v>2547</v>
      </c>
      <c r="B710" s="9">
        <v>88437.0</v>
      </c>
      <c r="C710" s="9">
        <v>86972.0</v>
      </c>
      <c r="D710" s="9">
        <v>33186.0</v>
      </c>
      <c r="E710" s="9">
        <v>3682.0</v>
      </c>
      <c r="F710" s="14"/>
      <c r="G710" s="15"/>
      <c r="H710" s="15"/>
      <c r="I710" s="14"/>
      <c r="J710" s="14"/>
      <c r="K710" s="14"/>
      <c r="L710" s="14"/>
      <c r="M710" s="14"/>
      <c r="N710" s="14"/>
      <c r="P710" s="14"/>
    </row>
    <row r="711" ht="18.75" customHeight="1">
      <c r="A711" s="7" t="s">
        <v>2548</v>
      </c>
      <c r="B711" s="9">
        <v>23969.0</v>
      </c>
      <c r="C711" s="9">
        <v>23485.0</v>
      </c>
      <c r="D711" s="9">
        <v>4233.0</v>
      </c>
      <c r="E711" s="9">
        <v>187.0</v>
      </c>
      <c r="F711" s="14"/>
      <c r="G711" s="15"/>
      <c r="H711" s="15"/>
      <c r="I711" s="14"/>
      <c r="J711" s="14"/>
      <c r="K711" s="14"/>
      <c r="L711" s="14"/>
      <c r="M711" s="14"/>
      <c r="N711" s="14"/>
      <c r="P711" s="14"/>
    </row>
    <row r="712" ht="18.75" customHeight="1">
      <c r="A712" s="7" t="s">
        <v>2274</v>
      </c>
      <c r="B712" s="9">
        <v>20604.0</v>
      </c>
      <c r="C712" s="9">
        <v>20196.0</v>
      </c>
      <c r="D712" s="9">
        <v>5842.0</v>
      </c>
      <c r="E712" s="9">
        <v>114.0</v>
      </c>
      <c r="F712" s="14"/>
      <c r="G712" s="15"/>
      <c r="H712" s="15"/>
      <c r="I712" s="14"/>
      <c r="J712" s="14"/>
      <c r="K712" s="14"/>
      <c r="L712" s="14"/>
      <c r="M712" s="14"/>
      <c r="N712" s="14"/>
      <c r="P712" s="14"/>
    </row>
    <row r="713" ht="18.75" customHeight="1">
      <c r="A713" s="7" t="s">
        <v>2504</v>
      </c>
      <c r="B713" s="9">
        <v>44852.0</v>
      </c>
      <c r="C713" s="9">
        <v>44062.0</v>
      </c>
      <c r="D713" s="9">
        <v>17106.0</v>
      </c>
      <c r="E713" s="9">
        <v>744.0</v>
      </c>
      <c r="F713" s="14"/>
      <c r="G713" s="15"/>
      <c r="H713" s="15"/>
      <c r="I713" s="14"/>
      <c r="J713" s="14"/>
      <c r="K713" s="14"/>
      <c r="L713" s="14"/>
      <c r="M713" s="14"/>
      <c r="N713" s="14"/>
      <c r="P713" s="14"/>
    </row>
    <row r="714" ht="18.75" customHeight="1">
      <c r="A714" s="7" t="s">
        <v>2504</v>
      </c>
      <c r="B714" s="9">
        <v>65819.0</v>
      </c>
      <c r="C714" s="9">
        <v>64697.0</v>
      </c>
      <c r="D714" s="9">
        <v>24494.0</v>
      </c>
      <c r="E714" s="9">
        <v>894.0</v>
      </c>
      <c r="F714" s="14"/>
      <c r="G714" s="15"/>
      <c r="H714" s="15"/>
      <c r="I714" s="14"/>
      <c r="J714" s="14"/>
      <c r="K714" s="14"/>
      <c r="L714" s="14"/>
      <c r="M714" s="14"/>
      <c r="N714" s="14"/>
      <c r="P714" s="14"/>
    </row>
    <row r="715" ht="18.75" customHeight="1">
      <c r="A715" s="7" t="s">
        <v>2549</v>
      </c>
      <c r="B715" s="9">
        <v>101880.0</v>
      </c>
      <c r="C715" s="9">
        <v>99857.0</v>
      </c>
      <c r="D715" s="9">
        <v>30809.0</v>
      </c>
      <c r="E715" s="9">
        <v>1087.0</v>
      </c>
      <c r="F715" s="14"/>
      <c r="G715" s="15"/>
      <c r="H715" s="15"/>
      <c r="I715" s="14"/>
      <c r="J715" s="14"/>
      <c r="K715" s="14"/>
      <c r="L715" s="14"/>
      <c r="M715" s="14"/>
      <c r="N715" s="14"/>
      <c r="P715" s="14"/>
    </row>
    <row r="716" ht="18.75" customHeight="1">
      <c r="A716" s="7" t="s">
        <v>2253</v>
      </c>
      <c r="B716" s="9">
        <v>165.0</v>
      </c>
      <c r="C716" s="9">
        <v>161.0</v>
      </c>
      <c r="D716" s="9">
        <v>53.0</v>
      </c>
      <c r="E716" s="9">
        <v>7.0</v>
      </c>
      <c r="F716" s="14"/>
      <c r="G716" s="15"/>
      <c r="H716" s="15"/>
      <c r="I716" s="14"/>
      <c r="J716" s="14"/>
      <c r="K716" s="14"/>
      <c r="L716" s="14"/>
      <c r="M716" s="14"/>
      <c r="N716" s="14"/>
      <c r="P716" s="14"/>
    </row>
    <row r="717" ht="18.75" customHeight="1">
      <c r="A717" s="7" t="s">
        <v>2550</v>
      </c>
      <c r="B717" s="9">
        <v>169318.0</v>
      </c>
      <c r="C717" s="9">
        <v>166157.0</v>
      </c>
      <c r="D717" s="9">
        <v>54685.0</v>
      </c>
      <c r="E717" s="9">
        <v>435.0</v>
      </c>
      <c r="F717" s="14"/>
      <c r="G717" s="15"/>
      <c r="H717" s="15"/>
      <c r="I717" s="14"/>
      <c r="J717" s="14"/>
      <c r="K717" s="14"/>
      <c r="L717" s="14"/>
      <c r="M717" s="14"/>
      <c r="N717" s="14"/>
      <c r="P717" s="14"/>
    </row>
    <row r="718" ht="18.75" customHeight="1">
      <c r="A718" s="7" t="s">
        <v>2550</v>
      </c>
      <c r="B718" s="9">
        <v>123720.0</v>
      </c>
      <c r="C718" s="9">
        <v>121516.0</v>
      </c>
      <c r="D718" s="9">
        <v>43579.0</v>
      </c>
      <c r="E718" s="9">
        <v>252.0</v>
      </c>
      <c r="F718" s="14"/>
      <c r="G718" s="15"/>
      <c r="H718" s="15"/>
      <c r="I718" s="14"/>
      <c r="J718" s="14"/>
      <c r="K718" s="14"/>
      <c r="L718" s="14"/>
      <c r="M718" s="14"/>
      <c r="N718" s="14"/>
      <c r="P718" s="14"/>
    </row>
    <row r="719" ht="18.75" customHeight="1">
      <c r="A719" s="7" t="s">
        <v>2286</v>
      </c>
      <c r="B719" s="9">
        <v>619.0</v>
      </c>
      <c r="C719" s="9">
        <v>614.0</v>
      </c>
      <c r="D719" s="9">
        <v>191.0</v>
      </c>
      <c r="E719" s="9">
        <v>3.0</v>
      </c>
      <c r="F719" s="14"/>
      <c r="G719" s="15"/>
      <c r="H719" s="15"/>
      <c r="I719" s="14"/>
      <c r="J719" s="14"/>
      <c r="K719" s="14"/>
      <c r="L719" s="14"/>
      <c r="M719" s="14"/>
      <c r="N719" s="14"/>
      <c r="P719" s="14"/>
    </row>
    <row r="720" ht="18.75" customHeight="1">
      <c r="A720" s="7" t="s">
        <v>2551</v>
      </c>
      <c r="B720" s="9">
        <v>34080.0</v>
      </c>
      <c r="C720" s="9">
        <v>33213.0</v>
      </c>
      <c r="D720" s="9">
        <v>7086.0</v>
      </c>
      <c r="E720" s="9">
        <v>258.0</v>
      </c>
      <c r="F720" s="14"/>
      <c r="G720" s="15"/>
      <c r="H720" s="15"/>
      <c r="I720" s="14"/>
      <c r="J720" s="14"/>
      <c r="K720" s="14"/>
      <c r="L720" s="14"/>
      <c r="M720" s="14"/>
      <c r="N720" s="14"/>
      <c r="P720" s="14"/>
    </row>
    <row r="721" ht="18.75" customHeight="1">
      <c r="A721" s="7" t="s">
        <v>2552</v>
      </c>
      <c r="B721" s="9">
        <v>85452.0</v>
      </c>
      <c r="C721" s="9">
        <v>84060.0</v>
      </c>
      <c r="D721" s="9">
        <v>33354.0</v>
      </c>
      <c r="E721" s="9">
        <v>694.0</v>
      </c>
      <c r="F721" s="14"/>
      <c r="G721" s="15"/>
      <c r="H721" s="15"/>
      <c r="I721" s="14"/>
      <c r="J721" s="14"/>
      <c r="K721" s="14"/>
      <c r="L721" s="14"/>
      <c r="M721" s="14"/>
      <c r="N721" s="14"/>
      <c r="P721" s="14"/>
    </row>
    <row r="722" ht="18.75" customHeight="1">
      <c r="A722" s="7" t="s">
        <v>2553</v>
      </c>
      <c r="B722" s="9">
        <v>61621.0</v>
      </c>
      <c r="C722" s="9">
        <v>60352.0</v>
      </c>
      <c r="D722" s="9">
        <v>19504.0</v>
      </c>
      <c r="E722" s="9">
        <v>619.0</v>
      </c>
      <c r="F722" s="14"/>
      <c r="G722" s="15"/>
      <c r="H722" s="15"/>
      <c r="I722" s="14"/>
      <c r="J722" s="14"/>
      <c r="K722" s="14"/>
      <c r="L722" s="14"/>
      <c r="M722" s="14"/>
      <c r="N722" s="14"/>
      <c r="P722" s="14"/>
    </row>
    <row r="723" ht="18.75" customHeight="1">
      <c r="A723" s="7" t="s">
        <v>2554</v>
      </c>
      <c r="B723" s="9">
        <v>19955.0</v>
      </c>
      <c r="C723" s="9">
        <v>19583.0</v>
      </c>
      <c r="D723" s="9">
        <v>7570.0</v>
      </c>
      <c r="E723" s="9">
        <v>482.0</v>
      </c>
      <c r="F723" s="14"/>
      <c r="G723" s="15"/>
      <c r="H723" s="15"/>
      <c r="I723" s="14"/>
      <c r="J723" s="14"/>
      <c r="K723" s="14"/>
      <c r="L723" s="14"/>
      <c r="M723" s="14"/>
      <c r="N723" s="14"/>
      <c r="P723" s="14"/>
    </row>
    <row r="724" ht="18.75" customHeight="1">
      <c r="A724" s="7" t="s">
        <v>2555</v>
      </c>
      <c r="B724" s="9">
        <v>451.0</v>
      </c>
      <c r="C724" s="9">
        <v>447.0</v>
      </c>
      <c r="D724" s="9">
        <v>199.0</v>
      </c>
      <c r="E724" s="9">
        <v>3.0</v>
      </c>
      <c r="F724" s="14"/>
      <c r="G724" s="15"/>
      <c r="H724" s="15"/>
      <c r="I724" s="14"/>
      <c r="J724" s="14"/>
      <c r="K724" s="14"/>
      <c r="L724" s="14"/>
      <c r="M724" s="14"/>
      <c r="N724" s="14"/>
      <c r="P724" s="14"/>
    </row>
    <row r="725" ht="18.75" customHeight="1">
      <c r="A725" s="7" t="s">
        <v>2282</v>
      </c>
      <c r="B725" s="9">
        <v>128.0</v>
      </c>
      <c r="C725" s="9">
        <v>127.0</v>
      </c>
      <c r="D725" s="9">
        <v>55.0</v>
      </c>
      <c r="E725" s="9">
        <v>9.0</v>
      </c>
      <c r="F725" s="14"/>
      <c r="G725" s="15"/>
      <c r="H725" s="15"/>
      <c r="I725" s="14"/>
      <c r="J725" s="14"/>
      <c r="K725" s="14"/>
      <c r="L725" s="14"/>
      <c r="M725" s="14"/>
      <c r="N725" s="14"/>
      <c r="P725" s="14"/>
    </row>
    <row r="726" ht="18.75" customHeight="1">
      <c r="A726" s="7" t="s">
        <v>2556</v>
      </c>
      <c r="B726" s="9">
        <v>86316.0</v>
      </c>
      <c r="C726" s="9">
        <v>84521.0</v>
      </c>
      <c r="D726" s="9">
        <v>30765.0</v>
      </c>
      <c r="E726" s="9">
        <v>4523.0</v>
      </c>
      <c r="F726" s="14"/>
      <c r="G726" s="15"/>
      <c r="H726" s="15"/>
      <c r="I726" s="14"/>
      <c r="J726" s="14"/>
      <c r="K726" s="14"/>
      <c r="L726" s="14"/>
      <c r="M726" s="14"/>
      <c r="N726" s="14"/>
      <c r="P726" s="14"/>
    </row>
    <row r="727" ht="18.75" customHeight="1">
      <c r="A727" s="7" t="s">
        <v>2478</v>
      </c>
      <c r="B727" s="9">
        <v>77756.0</v>
      </c>
      <c r="C727" s="9">
        <v>75237.0</v>
      </c>
      <c r="D727" s="9">
        <v>9626.0</v>
      </c>
      <c r="E727" s="9">
        <v>2100.0</v>
      </c>
      <c r="F727" s="14"/>
      <c r="G727" s="15"/>
      <c r="H727" s="15"/>
      <c r="I727" s="14"/>
      <c r="J727" s="14"/>
      <c r="K727" s="14"/>
      <c r="L727" s="14"/>
      <c r="M727" s="14"/>
      <c r="N727" s="14"/>
      <c r="P727" s="14"/>
    </row>
    <row r="728" ht="18.75" customHeight="1">
      <c r="A728" s="7" t="s">
        <v>2557</v>
      </c>
      <c r="B728" s="9">
        <v>50486.0</v>
      </c>
      <c r="C728" s="9">
        <v>49529.0</v>
      </c>
      <c r="D728" s="9">
        <v>16080.0</v>
      </c>
      <c r="E728" s="9">
        <v>1271.0</v>
      </c>
      <c r="F728" s="14"/>
      <c r="G728" s="15"/>
      <c r="H728" s="15"/>
      <c r="I728" s="14"/>
      <c r="J728" s="14"/>
      <c r="K728" s="14"/>
      <c r="L728" s="14"/>
      <c r="M728" s="14"/>
      <c r="N728" s="14"/>
      <c r="P728" s="14"/>
    </row>
    <row r="729" ht="18.75" customHeight="1">
      <c r="A729" s="7" t="s">
        <v>2558</v>
      </c>
      <c r="B729" s="9">
        <v>38896.0</v>
      </c>
      <c r="C729" s="9">
        <v>37897.0</v>
      </c>
      <c r="D729" s="9">
        <v>10062.0</v>
      </c>
      <c r="E729" s="9">
        <v>902.0</v>
      </c>
      <c r="F729" s="14"/>
      <c r="G729" s="15"/>
      <c r="H729" s="15"/>
      <c r="I729" s="14"/>
      <c r="J729" s="14"/>
      <c r="K729" s="14"/>
      <c r="L729" s="14"/>
      <c r="M729" s="14"/>
      <c r="N729" s="14"/>
    </row>
    <row r="730" ht="18.75" customHeight="1">
      <c r="A730" s="7" t="s">
        <v>2559</v>
      </c>
      <c r="B730" s="9">
        <v>41320.0</v>
      </c>
      <c r="C730" s="9">
        <v>40581.0</v>
      </c>
      <c r="D730" s="9">
        <v>14078.0</v>
      </c>
      <c r="E730" s="9">
        <v>1252.0</v>
      </c>
      <c r="F730" s="14"/>
      <c r="G730" s="15"/>
      <c r="H730" s="15"/>
      <c r="I730" s="14"/>
      <c r="J730" s="14"/>
      <c r="K730" s="14"/>
      <c r="L730" s="14"/>
      <c r="M730" s="14"/>
      <c r="N730" s="14"/>
      <c r="P730" s="14"/>
    </row>
    <row r="731" ht="18.75" customHeight="1">
      <c r="A731" s="7" t="s">
        <v>2560</v>
      </c>
      <c r="B731" s="9">
        <v>57325.0</v>
      </c>
      <c r="C731" s="9">
        <v>56458.0</v>
      </c>
      <c r="D731" s="9">
        <v>15606.0</v>
      </c>
      <c r="E731" s="9">
        <v>1460.0</v>
      </c>
      <c r="F731" s="14"/>
      <c r="G731" s="15"/>
      <c r="H731" s="15"/>
      <c r="I731" s="14"/>
      <c r="J731" s="14"/>
      <c r="K731" s="14"/>
      <c r="L731" s="14"/>
      <c r="M731" s="14"/>
      <c r="N731" s="14"/>
      <c r="P731" s="14"/>
    </row>
    <row r="732" ht="18.75" customHeight="1">
      <c r="A732" s="7" t="s">
        <v>2561</v>
      </c>
      <c r="B732" s="9">
        <v>13958.0</v>
      </c>
      <c r="C732" s="9">
        <v>13724.0</v>
      </c>
      <c r="D732" s="9">
        <v>4051.0</v>
      </c>
      <c r="E732" s="9">
        <v>48.0</v>
      </c>
      <c r="F732" s="14"/>
      <c r="G732" s="15"/>
      <c r="H732" s="15"/>
      <c r="I732" s="14"/>
      <c r="J732" s="14"/>
      <c r="K732" s="14"/>
      <c r="L732" s="14"/>
      <c r="M732" s="14"/>
      <c r="N732" s="14"/>
      <c r="P732" s="14"/>
    </row>
    <row r="733" ht="18.75" customHeight="1">
      <c r="A733" s="7" t="s">
        <v>2562</v>
      </c>
      <c r="B733" s="9">
        <v>83212.0</v>
      </c>
      <c r="C733" s="9">
        <v>81634.0</v>
      </c>
      <c r="D733" s="9">
        <v>38265.0</v>
      </c>
      <c r="E733" s="9">
        <v>1019.0</v>
      </c>
      <c r="F733" s="14"/>
      <c r="G733" s="15"/>
      <c r="H733" s="15"/>
      <c r="I733" s="14"/>
      <c r="J733" s="14"/>
      <c r="K733" s="14"/>
      <c r="L733" s="14"/>
      <c r="M733" s="14"/>
      <c r="N733" s="14"/>
      <c r="P733" s="14"/>
    </row>
    <row r="734" ht="18.75" customHeight="1">
      <c r="A734" s="7" t="s">
        <v>2563</v>
      </c>
      <c r="B734" s="9">
        <v>5685.0</v>
      </c>
      <c r="C734" s="9">
        <v>5564.0</v>
      </c>
      <c r="D734" s="9">
        <v>1319.0</v>
      </c>
      <c r="E734" s="9">
        <v>58.0</v>
      </c>
      <c r="F734" s="14"/>
      <c r="G734" s="15"/>
      <c r="H734" s="15"/>
      <c r="I734" s="14"/>
      <c r="J734" s="14"/>
      <c r="K734" s="14"/>
      <c r="L734" s="14"/>
      <c r="M734" s="14"/>
      <c r="N734" s="14"/>
      <c r="P734" s="14"/>
    </row>
    <row r="735" ht="18.75" customHeight="1">
      <c r="A735" s="7" t="s">
        <v>2564</v>
      </c>
      <c r="B735" s="9">
        <v>20182.0</v>
      </c>
      <c r="C735" s="9">
        <v>19896.0</v>
      </c>
      <c r="D735" s="9">
        <v>8035.0</v>
      </c>
      <c r="E735" s="9">
        <v>134.0</v>
      </c>
      <c r="F735" s="14"/>
      <c r="G735" s="15"/>
      <c r="H735" s="15"/>
      <c r="I735" s="14"/>
      <c r="J735" s="14"/>
      <c r="K735" s="14"/>
      <c r="L735" s="14"/>
      <c r="M735" s="14"/>
      <c r="N735" s="14"/>
      <c r="P735" s="14"/>
    </row>
    <row r="736" ht="18.75" customHeight="1">
      <c r="A736" s="7" t="s">
        <v>2565</v>
      </c>
      <c r="B736" s="9">
        <v>86069.0</v>
      </c>
      <c r="C736" s="9">
        <v>84693.0</v>
      </c>
      <c r="D736" s="9">
        <v>33071.0</v>
      </c>
      <c r="E736" s="9">
        <v>1357.0</v>
      </c>
      <c r="F736" s="14"/>
      <c r="G736" s="15"/>
      <c r="H736" s="15"/>
      <c r="I736" s="14"/>
      <c r="J736" s="14"/>
      <c r="K736" s="14"/>
      <c r="L736" s="14"/>
      <c r="M736" s="14"/>
      <c r="N736" s="14"/>
      <c r="P736" s="14"/>
    </row>
    <row r="737" ht="18.75" customHeight="1">
      <c r="A737" s="7" t="s">
        <v>2566</v>
      </c>
      <c r="B737" s="9">
        <v>43558.0</v>
      </c>
      <c r="C737" s="9">
        <v>42746.0</v>
      </c>
      <c r="D737" s="9">
        <v>9625.0</v>
      </c>
      <c r="E737" s="9">
        <v>171.0</v>
      </c>
      <c r="F737" s="14"/>
      <c r="G737" s="15"/>
      <c r="H737" s="15"/>
      <c r="I737" s="14"/>
      <c r="J737" s="14"/>
      <c r="K737" s="14"/>
      <c r="L737" s="14"/>
      <c r="M737" s="14"/>
      <c r="N737" s="14"/>
      <c r="P737" s="14"/>
    </row>
    <row r="738" ht="18.75" customHeight="1">
      <c r="A738" s="7" t="s">
        <v>2567</v>
      </c>
      <c r="B738" s="9">
        <v>3622.0</v>
      </c>
      <c r="C738" s="9">
        <v>3512.0</v>
      </c>
      <c r="D738" s="9">
        <v>1005.0</v>
      </c>
      <c r="E738" s="9">
        <v>96.0</v>
      </c>
      <c r="F738" s="14"/>
      <c r="G738" s="15"/>
      <c r="H738" s="15"/>
      <c r="I738" s="14"/>
      <c r="J738" s="14"/>
      <c r="K738" s="14"/>
      <c r="L738" s="14"/>
      <c r="M738" s="14"/>
      <c r="N738" s="14"/>
      <c r="P738" s="14"/>
    </row>
    <row r="739" ht="18.75" customHeight="1">
      <c r="A739" s="7" t="s">
        <v>2567</v>
      </c>
      <c r="B739" s="9">
        <v>1388.0</v>
      </c>
      <c r="C739" s="9">
        <v>1092.0</v>
      </c>
      <c r="D739" s="9">
        <v>329.0</v>
      </c>
      <c r="E739" s="9">
        <v>48.0</v>
      </c>
      <c r="F739" s="14"/>
      <c r="G739" s="15"/>
      <c r="H739" s="15"/>
      <c r="I739" s="14"/>
      <c r="J739" s="14"/>
      <c r="K739" s="14"/>
      <c r="L739" s="14"/>
      <c r="M739" s="14"/>
      <c r="N739" s="14"/>
      <c r="P739" s="14"/>
    </row>
    <row r="740" ht="18.75" customHeight="1">
      <c r="A740" s="7" t="s">
        <v>2568</v>
      </c>
      <c r="B740" s="9">
        <v>26441.0</v>
      </c>
      <c r="C740" s="9">
        <v>26011.0</v>
      </c>
      <c r="D740" s="9">
        <v>6269.0</v>
      </c>
      <c r="E740" s="9">
        <v>234.0</v>
      </c>
      <c r="F740" s="14"/>
      <c r="G740" s="15"/>
      <c r="H740" s="15"/>
      <c r="I740" s="14"/>
      <c r="J740" s="14"/>
      <c r="K740" s="14"/>
      <c r="L740" s="14"/>
      <c r="M740" s="14"/>
      <c r="N740" s="14"/>
      <c r="P740" s="14"/>
    </row>
    <row r="741" ht="18.75" customHeight="1">
      <c r="A741" s="7" t="s">
        <v>2569</v>
      </c>
      <c r="B741" s="9">
        <v>33911.0</v>
      </c>
      <c r="C741" s="9">
        <v>33256.0</v>
      </c>
      <c r="D741" s="9">
        <v>12918.0</v>
      </c>
      <c r="E741" s="9">
        <v>71.0</v>
      </c>
      <c r="F741" s="14"/>
      <c r="G741" s="15"/>
      <c r="H741" s="15"/>
      <c r="I741" s="14"/>
      <c r="J741" s="14"/>
      <c r="K741" s="14"/>
      <c r="L741" s="14"/>
      <c r="M741" s="14"/>
      <c r="N741" s="14"/>
      <c r="P741" s="14"/>
    </row>
    <row r="742" ht="18.75" customHeight="1">
      <c r="A742" s="7" t="s">
        <v>2570</v>
      </c>
      <c r="B742" s="9">
        <v>41365.0</v>
      </c>
      <c r="C742" s="9">
        <v>40603.0</v>
      </c>
      <c r="D742" s="9">
        <v>12513.0</v>
      </c>
      <c r="E742" s="9">
        <v>166.0</v>
      </c>
      <c r="F742" s="14"/>
      <c r="G742" s="15"/>
      <c r="H742" s="15"/>
      <c r="I742" s="14"/>
      <c r="J742" s="14"/>
      <c r="K742" s="14"/>
      <c r="L742" s="14"/>
      <c r="M742" s="14"/>
      <c r="N742" s="14"/>
      <c r="P742" s="14"/>
    </row>
    <row r="743" ht="18.75" customHeight="1">
      <c r="A743" s="7" t="s">
        <v>2571</v>
      </c>
      <c r="B743" s="9">
        <v>62344.0</v>
      </c>
      <c r="C743" s="9">
        <v>61539.0</v>
      </c>
      <c r="D743" s="9">
        <v>31978.0</v>
      </c>
      <c r="E743" s="9">
        <v>769.0</v>
      </c>
      <c r="F743" s="14"/>
      <c r="G743" s="15"/>
      <c r="H743" s="15"/>
      <c r="I743" s="14"/>
      <c r="J743" s="14"/>
      <c r="K743" s="14"/>
      <c r="L743" s="14"/>
      <c r="M743" s="14"/>
      <c r="N743" s="14"/>
      <c r="P743" s="14"/>
    </row>
    <row r="744" ht="18.75" customHeight="1">
      <c r="A744" s="7" t="s">
        <v>2572</v>
      </c>
      <c r="B744" s="9">
        <v>86077.0</v>
      </c>
      <c r="C744" s="9">
        <v>84253.0</v>
      </c>
      <c r="D744" s="9">
        <v>28555.0</v>
      </c>
      <c r="E744" s="9">
        <v>1442.0</v>
      </c>
      <c r="F744" s="14"/>
      <c r="G744" s="15"/>
      <c r="H744" s="15"/>
      <c r="I744" s="14"/>
      <c r="J744" s="14"/>
      <c r="K744" s="14"/>
      <c r="L744" s="14"/>
      <c r="M744" s="14"/>
      <c r="N744" s="14"/>
      <c r="P744" s="14"/>
    </row>
    <row r="745" ht="18.75" customHeight="1">
      <c r="A745" s="7" t="s">
        <v>2274</v>
      </c>
      <c r="B745" s="9">
        <v>19303.0</v>
      </c>
      <c r="C745" s="9">
        <v>18926.0</v>
      </c>
      <c r="D745" s="9">
        <v>4713.0</v>
      </c>
      <c r="E745" s="9">
        <v>95.0</v>
      </c>
      <c r="F745" s="14"/>
      <c r="G745" s="15"/>
      <c r="H745" s="15"/>
      <c r="I745" s="14"/>
      <c r="J745" s="14"/>
      <c r="K745" s="14"/>
      <c r="L745" s="14"/>
      <c r="M745" s="14"/>
      <c r="N745" s="14"/>
      <c r="P745" s="14"/>
    </row>
    <row r="746" ht="18.75" customHeight="1">
      <c r="A746" s="7" t="s">
        <v>2404</v>
      </c>
      <c r="B746" s="9">
        <v>5686.0</v>
      </c>
      <c r="C746" s="9">
        <v>5658.0</v>
      </c>
      <c r="D746" s="9">
        <v>2513.0</v>
      </c>
      <c r="E746" s="9">
        <v>191.0</v>
      </c>
      <c r="F746" s="14"/>
      <c r="G746" s="15"/>
      <c r="H746" s="15"/>
      <c r="I746" s="14"/>
      <c r="J746" s="14"/>
      <c r="K746" s="14"/>
      <c r="L746" s="14"/>
      <c r="M746" s="14"/>
      <c r="N746" s="14"/>
      <c r="P746" s="14"/>
    </row>
    <row r="747" ht="18.75" customHeight="1">
      <c r="A747" s="7" t="s">
        <v>2504</v>
      </c>
      <c r="B747" s="9">
        <v>15476.0</v>
      </c>
      <c r="C747" s="9">
        <v>15126.0</v>
      </c>
      <c r="D747" s="9">
        <v>4389.0</v>
      </c>
      <c r="E747" s="9">
        <v>188.0</v>
      </c>
      <c r="F747" s="14"/>
      <c r="G747" s="15"/>
      <c r="H747" s="15"/>
      <c r="I747" s="14"/>
      <c r="J747" s="14"/>
      <c r="K747" s="14"/>
      <c r="L747" s="14"/>
      <c r="M747" s="14"/>
      <c r="N747" s="14"/>
    </row>
    <row r="748" ht="18.75" customHeight="1">
      <c r="A748" s="7" t="s">
        <v>2504</v>
      </c>
      <c r="B748" s="9">
        <v>12469.0</v>
      </c>
      <c r="C748" s="9">
        <v>12247.0</v>
      </c>
      <c r="D748" s="9">
        <v>4326.0</v>
      </c>
      <c r="E748" s="9">
        <v>150.0</v>
      </c>
      <c r="F748" s="14"/>
      <c r="G748" s="15"/>
      <c r="H748" s="15"/>
      <c r="I748" s="14"/>
      <c r="J748" s="14"/>
      <c r="K748" s="14"/>
      <c r="L748" s="14"/>
      <c r="M748" s="14"/>
      <c r="N748" s="14"/>
      <c r="P748" s="14"/>
    </row>
    <row r="749" ht="18.75" customHeight="1">
      <c r="A749" s="7" t="s">
        <v>2283</v>
      </c>
      <c r="B749" s="9">
        <v>19604.0</v>
      </c>
      <c r="C749" s="9">
        <v>19246.0</v>
      </c>
      <c r="D749" s="9">
        <v>5593.0</v>
      </c>
      <c r="E749" s="9">
        <v>63.0</v>
      </c>
      <c r="F749" s="14"/>
      <c r="G749" s="15"/>
      <c r="H749" s="15"/>
      <c r="I749" s="14"/>
      <c r="J749" s="14"/>
      <c r="K749" s="14"/>
      <c r="L749" s="14"/>
      <c r="M749" s="14"/>
      <c r="N749" s="14"/>
      <c r="P749" s="14"/>
    </row>
    <row r="750" ht="18.75" customHeight="1">
      <c r="A750" s="7" t="s">
        <v>2286</v>
      </c>
      <c r="B750" s="9">
        <v>142.0</v>
      </c>
      <c r="C750" s="9">
        <v>139.0</v>
      </c>
      <c r="D750" s="9">
        <v>63.0</v>
      </c>
      <c r="E750" s="9">
        <v>1.0</v>
      </c>
      <c r="F750" s="14"/>
      <c r="G750" s="15"/>
      <c r="H750" s="15"/>
      <c r="I750" s="14"/>
      <c r="J750" s="14"/>
      <c r="K750" s="14"/>
      <c r="L750" s="14"/>
      <c r="M750" s="14"/>
      <c r="N750" s="14"/>
      <c r="P750" s="14"/>
    </row>
    <row r="751" ht="18.75" customHeight="1">
      <c r="A751" s="7" t="s">
        <v>2519</v>
      </c>
      <c r="B751" s="9">
        <v>15006.0</v>
      </c>
      <c r="C751" s="9">
        <v>14752.0</v>
      </c>
      <c r="D751" s="9">
        <v>5130.0</v>
      </c>
      <c r="E751" s="9">
        <v>327.0</v>
      </c>
      <c r="F751" s="14"/>
      <c r="G751" s="15"/>
      <c r="H751" s="15"/>
      <c r="I751" s="14"/>
      <c r="J751" s="14"/>
      <c r="K751" s="14"/>
      <c r="L751" s="14"/>
      <c r="M751" s="14"/>
      <c r="N751" s="14"/>
      <c r="P751" s="14"/>
    </row>
    <row r="752" ht="18.75" customHeight="1">
      <c r="A752" s="7" t="s">
        <v>2519</v>
      </c>
      <c r="B752" s="9">
        <v>24584.0</v>
      </c>
      <c r="C752" s="9">
        <v>24073.0</v>
      </c>
      <c r="D752" s="9">
        <v>6224.0</v>
      </c>
      <c r="E752" s="9">
        <v>371.0</v>
      </c>
      <c r="F752" s="14"/>
      <c r="G752" s="15"/>
      <c r="H752" s="15"/>
      <c r="I752" s="14"/>
      <c r="J752" s="14"/>
      <c r="K752" s="14"/>
      <c r="L752" s="14"/>
      <c r="M752" s="14"/>
      <c r="N752" s="14"/>
      <c r="P752" s="14"/>
    </row>
    <row r="753" ht="18.75" customHeight="1">
      <c r="A753" s="7" t="s">
        <v>2573</v>
      </c>
      <c r="B753" s="9">
        <v>37169.0</v>
      </c>
      <c r="C753" s="9">
        <v>36379.0</v>
      </c>
      <c r="D753" s="9">
        <v>11361.0</v>
      </c>
      <c r="E753" s="9">
        <v>440.0</v>
      </c>
      <c r="F753" s="14"/>
      <c r="G753" s="15"/>
      <c r="H753" s="15"/>
      <c r="I753" s="14"/>
      <c r="J753" s="14"/>
      <c r="K753" s="14"/>
      <c r="L753" s="14"/>
      <c r="M753" s="14"/>
      <c r="N753" s="14"/>
      <c r="P753" s="14"/>
    </row>
    <row r="754" ht="18.75" customHeight="1">
      <c r="A754" s="7" t="s">
        <v>2574</v>
      </c>
      <c r="B754" s="9">
        <v>39234.0</v>
      </c>
      <c r="C754" s="9">
        <v>38454.0</v>
      </c>
      <c r="D754" s="9">
        <v>13678.0</v>
      </c>
      <c r="E754" s="9">
        <v>749.0</v>
      </c>
      <c r="F754" s="14"/>
      <c r="G754" s="15"/>
      <c r="H754" s="15"/>
      <c r="I754" s="14"/>
      <c r="J754" s="14"/>
      <c r="K754" s="14"/>
      <c r="L754" s="14"/>
      <c r="M754" s="14"/>
      <c r="N754" s="14"/>
      <c r="P754" s="14"/>
    </row>
    <row r="755" ht="18.75" customHeight="1">
      <c r="A755" s="7" t="s">
        <v>2358</v>
      </c>
      <c r="B755" s="9">
        <v>7618.0</v>
      </c>
      <c r="C755" s="9">
        <v>7483.0</v>
      </c>
      <c r="D755" s="9">
        <v>2447.0</v>
      </c>
      <c r="E755" s="9">
        <v>141.0</v>
      </c>
      <c r="F755" s="14"/>
      <c r="G755" s="15"/>
      <c r="H755" s="15"/>
      <c r="I755" s="14"/>
      <c r="J755" s="14"/>
      <c r="K755" s="14"/>
      <c r="L755" s="14"/>
      <c r="M755" s="14"/>
      <c r="N755" s="14"/>
      <c r="P755" s="14"/>
    </row>
    <row r="756" ht="18.75" customHeight="1">
      <c r="A756" s="7" t="s">
        <v>2358</v>
      </c>
      <c r="B756" s="9">
        <v>9690.0</v>
      </c>
      <c r="C756" s="9">
        <v>9473.0</v>
      </c>
      <c r="D756" s="9">
        <v>2291.0</v>
      </c>
      <c r="E756" s="9">
        <v>90.0</v>
      </c>
      <c r="F756" s="14"/>
      <c r="G756" s="15"/>
      <c r="H756" s="15"/>
      <c r="I756" s="14"/>
      <c r="J756" s="14"/>
      <c r="K756" s="14"/>
      <c r="L756" s="14"/>
      <c r="M756" s="14"/>
      <c r="N756" s="14"/>
      <c r="P756" s="14"/>
    </row>
    <row r="757" ht="18.75" customHeight="1">
      <c r="A757" s="7" t="s">
        <v>2575</v>
      </c>
      <c r="B757" s="9">
        <v>80865.0</v>
      </c>
      <c r="C757" s="9">
        <v>79569.0</v>
      </c>
      <c r="D757" s="9">
        <v>33486.0</v>
      </c>
      <c r="E757" s="9">
        <v>1023.0</v>
      </c>
      <c r="F757" s="14"/>
      <c r="G757" s="15"/>
      <c r="H757" s="15"/>
      <c r="I757" s="14"/>
      <c r="J757" s="14"/>
      <c r="K757" s="14"/>
      <c r="L757" s="14"/>
      <c r="M757" s="14"/>
      <c r="N757" s="14"/>
      <c r="P757" s="14"/>
    </row>
    <row r="758" ht="18.75" customHeight="1">
      <c r="A758" s="7" t="s">
        <v>2576</v>
      </c>
      <c r="B758" s="9">
        <v>35466.0</v>
      </c>
      <c r="C758" s="9">
        <v>35090.0</v>
      </c>
      <c r="D758" s="9">
        <v>18472.0</v>
      </c>
      <c r="E758" s="9">
        <v>1464.0</v>
      </c>
      <c r="F758" s="14"/>
      <c r="G758" s="15"/>
      <c r="H758" s="15"/>
      <c r="I758" s="14"/>
      <c r="J758" s="14"/>
      <c r="K758" s="14"/>
      <c r="L758" s="14"/>
      <c r="M758" s="14"/>
      <c r="N758" s="14"/>
      <c r="P758" s="14"/>
    </row>
    <row r="759" ht="18.75" customHeight="1">
      <c r="A759" s="7" t="s">
        <v>2358</v>
      </c>
      <c r="B759" s="9">
        <v>25088.0</v>
      </c>
      <c r="C759" s="9">
        <v>24612.0</v>
      </c>
      <c r="D759" s="9">
        <v>9267.0</v>
      </c>
      <c r="E759" s="9">
        <v>430.0</v>
      </c>
      <c r="F759" s="14"/>
      <c r="G759" s="15"/>
      <c r="H759" s="15"/>
      <c r="I759" s="14"/>
      <c r="J759" s="14"/>
      <c r="K759" s="14"/>
      <c r="L759" s="14"/>
      <c r="M759" s="14"/>
      <c r="N759" s="14"/>
      <c r="P759" s="14"/>
    </row>
    <row r="760" ht="18.75" customHeight="1">
      <c r="A760" s="7" t="s">
        <v>2358</v>
      </c>
      <c r="B760" s="9">
        <v>42849.0</v>
      </c>
      <c r="C760" s="9">
        <v>42045.0</v>
      </c>
      <c r="D760" s="9">
        <v>14438.0</v>
      </c>
      <c r="E760" s="9">
        <v>726.0</v>
      </c>
      <c r="F760" s="14"/>
      <c r="G760" s="15"/>
      <c r="H760" s="15"/>
      <c r="I760" s="14"/>
      <c r="J760" s="14"/>
      <c r="K760" s="14"/>
      <c r="L760" s="14"/>
      <c r="M760" s="14"/>
      <c r="N760" s="14"/>
      <c r="P760" s="14"/>
    </row>
    <row r="761" ht="18.75" customHeight="1">
      <c r="A761" s="7" t="s">
        <v>2358</v>
      </c>
      <c r="B761" s="9">
        <v>11069.0</v>
      </c>
      <c r="C761" s="9">
        <v>10819.0</v>
      </c>
      <c r="D761" s="9">
        <v>3295.0</v>
      </c>
      <c r="E761" s="9">
        <v>195.0</v>
      </c>
      <c r="F761" s="14"/>
      <c r="G761" s="15"/>
      <c r="H761" s="15"/>
      <c r="I761" s="14"/>
      <c r="J761" s="14"/>
      <c r="K761" s="14"/>
      <c r="L761" s="14"/>
      <c r="M761" s="14"/>
      <c r="N761" s="14"/>
      <c r="P761" s="14"/>
    </row>
    <row r="762" ht="18.75" customHeight="1">
      <c r="A762" s="7" t="s">
        <v>2478</v>
      </c>
      <c r="B762" s="9">
        <v>68822.0</v>
      </c>
      <c r="C762" s="9">
        <v>67268.0</v>
      </c>
      <c r="D762" s="9">
        <v>17871.0</v>
      </c>
      <c r="E762" s="9">
        <v>3083.0</v>
      </c>
      <c r="F762" s="14"/>
      <c r="G762" s="15"/>
      <c r="H762" s="15"/>
      <c r="I762" s="14"/>
      <c r="J762" s="14"/>
      <c r="K762" s="14"/>
      <c r="L762" s="14"/>
      <c r="M762" s="14"/>
      <c r="N762" s="14"/>
      <c r="P762" s="14"/>
    </row>
    <row r="763" ht="18.75" customHeight="1">
      <c r="A763" s="7" t="s">
        <v>2577</v>
      </c>
      <c r="B763" s="9">
        <v>129994.0</v>
      </c>
      <c r="C763" s="9">
        <v>127399.0</v>
      </c>
      <c r="D763" s="9">
        <v>50349.0</v>
      </c>
      <c r="E763" s="9">
        <v>3937.0</v>
      </c>
      <c r="F763" s="14"/>
      <c r="G763" s="15"/>
      <c r="H763" s="15"/>
      <c r="I763" s="14"/>
      <c r="J763" s="14"/>
      <c r="K763" s="14"/>
      <c r="L763" s="14"/>
      <c r="M763" s="14"/>
      <c r="N763" s="14"/>
      <c r="P763" s="14"/>
    </row>
    <row r="764" ht="18.75" customHeight="1">
      <c r="A764" s="7" t="s">
        <v>2578</v>
      </c>
      <c r="B764" s="9">
        <v>19994.0</v>
      </c>
      <c r="C764" s="9">
        <v>19565.0</v>
      </c>
      <c r="D764" s="9">
        <v>4712.0</v>
      </c>
      <c r="E764" s="9">
        <v>178.0</v>
      </c>
      <c r="F764" s="14"/>
      <c r="G764" s="15"/>
      <c r="H764" s="15"/>
      <c r="I764" s="14"/>
      <c r="J764" s="14"/>
      <c r="K764" s="14"/>
      <c r="L764" s="14"/>
      <c r="M764" s="14"/>
      <c r="N764" s="14"/>
      <c r="P764" s="14"/>
    </row>
    <row r="765" ht="18.75" customHeight="1">
      <c r="A765" s="7" t="s">
        <v>2579</v>
      </c>
      <c r="B765" s="9">
        <v>19950.0</v>
      </c>
      <c r="C765" s="9">
        <v>19587.0</v>
      </c>
      <c r="D765" s="9">
        <v>6572.0</v>
      </c>
      <c r="E765" s="9">
        <v>405.0</v>
      </c>
      <c r="F765" s="14"/>
      <c r="G765" s="15"/>
      <c r="H765" s="15"/>
      <c r="I765" s="14"/>
      <c r="J765" s="14"/>
      <c r="K765" s="14"/>
      <c r="L765" s="14"/>
      <c r="M765" s="14"/>
      <c r="N765" s="14"/>
      <c r="P765" s="14"/>
    </row>
    <row r="766" ht="18.75" customHeight="1">
      <c r="A766" s="7" t="s">
        <v>2358</v>
      </c>
      <c r="B766" s="9">
        <v>24200.0</v>
      </c>
      <c r="C766" s="9">
        <v>23800.0</v>
      </c>
      <c r="D766" s="9">
        <v>8255.0</v>
      </c>
      <c r="E766" s="9">
        <v>301.0</v>
      </c>
      <c r="F766" s="14"/>
      <c r="G766" s="15"/>
      <c r="H766" s="15"/>
      <c r="I766" s="14"/>
      <c r="J766" s="14"/>
      <c r="K766" s="14"/>
      <c r="L766" s="14"/>
      <c r="M766" s="14"/>
      <c r="N766" s="14"/>
      <c r="P766" s="14"/>
    </row>
    <row r="767" ht="18.75" customHeight="1">
      <c r="A767" s="7" t="s">
        <v>2358</v>
      </c>
      <c r="B767" s="9">
        <v>32333.0</v>
      </c>
      <c r="C767" s="9">
        <v>31697.0</v>
      </c>
      <c r="D767" s="9">
        <v>8386.0</v>
      </c>
      <c r="E767" s="9">
        <v>364.0</v>
      </c>
      <c r="F767" s="14"/>
      <c r="G767" s="15"/>
      <c r="H767" s="15"/>
      <c r="I767" s="14"/>
      <c r="J767" s="14"/>
      <c r="K767" s="14"/>
      <c r="L767" s="14"/>
      <c r="M767" s="14"/>
      <c r="N767" s="14"/>
      <c r="P767" s="14"/>
    </row>
    <row r="768" ht="18.75" customHeight="1">
      <c r="A768" s="7" t="s">
        <v>2580</v>
      </c>
      <c r="B768" s="9">
        <v>101472.0</v>
      </c>
      <c r="C768" s="9">
        <v>99473.0</v>
      </c>
      <c r="D768" s="9">
        <v>35209.0</v>
      </c>
      <c r="E768" s="9">
        <v>688.0</v>
      </c>
      <c r="F768" s="14"/>
      <c r="G768" s="15"/>
      <c r="H768" s="15"/>
      <c r="I768" s="14"/>
      <c r="J768" s="14"/>
      <c r="K768" s="14"/>
      <c r="L768" s="14"/>
      <c r="M768" s="14"/>
      <c r="N768" s="14"/>
      <c r="P768" s="14"/>
    </row>
    <row r="769" ht="18.75" customHeight="1">
      <c r="A769" s="7" t="s">
        <v>2274</v>
      </c>
      <c r="B769" s="9">
        <v>13144.0</v>
      </c>
      <c r="C769" s="9">
        <v>12904.0</v>
      </c>
      <c r="D769" s="9">
        <v>3532.0</v>
      </c>
      <c r="E769" s="9">
        <v>135.0</v>
      </c>
      <c r="F769" s="14"/>
      <c r="G769" s="15"/>
      <c r="H769" s="15"/>
      <c r="I769" s="14"/>
      <c r="J769" s="14"/>
      <c r="K769" s="14"/>
      <c r="L769" s="14"/>
      <c r="M769" s="14"/>
      <c r="N769" s="14"/>
      <c r="P769" s="14"/>
    </row>
    <row r="770" ht="18.75" customHeight="1">
      <c r="A770" s="7" t="s">
        <v>2581</v>
      </c>
      <c r="B770" s="9">
        <v>362.0</v>
      </c>
      <c r="C770" s="9">
        <v>350.0</v>
      </c>
      <c r="D770" s="9">
        <v>143.0</v>
      </c>
      <c r="E770" s="9">
        <v>25.0</v>
      </c>
      <c r="F770" s="14"/>
      <c r="G770" s="15"/>
      <c r="H770" s="15"/>
      <c r="I770" s="14"/>
      <c r="J770" s="14"/>
      <c r="K770" s="14"/>
      <c r="L770" s="14"/>
      <c r="M770" s="14"/>
      <c r="N770" s="14"/>
      <c r="P770" s="14"/>
    </row>
    <row r="771" ht="18.75" customHeight="1">
      <c r="A771" s="7" t="s">
        <v>2567</v>
      </c>
      <c r="B771" s="9">
        <v>3588.0</v>
      </c>
      <c r="C771" s="9">
        <v>3285.0</v>
      </c>
      <c r="D771" s="9">
        <v>410.0</v>
      </c>
      <c r="E771" s="9">
        <v>24.0</v>
      </c>
      <c r="F771" s="14"/>
      <c r="G771" s="15"/>
      <c r="H771" s="15"/>
      <c r="I771" s="14"/>
      <c r="J771" s="14"/>
      <c r="K771" s="14"/>
      <c r="L771" s="14"/>
      <c r="M771" s="14"/>
      <c r="N771" s="14"/>
      <c r="P771" s="14"/>
    </row>
    <row r="772" ht="18.75" customHeight="1">
      <c r="A772" s="7" t="s">
        <v>2582</v>
      </c>
      <c r="B772" s="9">
        <v>20306.0</v>
      </c>
      <c r="C772" s="9">
        <v>19979.0</v>
      </c>
      <c r="D772" s="9">
        <v>5102.0</v>
      </c>
      <c r="E772" s="9">
        <v>218.0</v>
      </c>
      <c r="F772" s="14"/>
      <c r="G772" s="15"/>
      <c r="H772" s="15"/>
      <c r="I772" s="14"/>
      <c r="J772" s="14"/>
      <c r="K772" s="14"/>
      <c r="L772" s="14"/>
      <c r="M772" s="14"/>
      <c r="N772" s="14"/>
      <c r="P772" s="14"/>
    </row>
    <row r="773" ht="18.75" customHeight="1">
      <c r="A773" s="7" t="s">
        <v>2504</v>
      </c>
      <c r="B773" s="9">
        <v>17028.0</v>
      </c>
      <c r="C773" s="9">
        <v>16713.0</v>
      </c>
      <c r="D773" s="9">
        <v>6231.0</v>
      </c>
      <c r="E773" s="9">
        <v>344.0</v>
      </c>
      <c r="F773" s="14"/>
      <c r="G773" s="15"/>
      <c r="H773" s="15"/>
      <c r="I773" s="14"/>
      <c r="J773" s="14"/>
      <c r="K773" s="14"/>
      <c r="L773" s="14"/>
      <c r="M773" s="14"/>
      <c r="N773" s="14"/>
      <c r="P773" s="14"/>
    </row>
    <row r="774" ht="18.75" customHeight="1">
      <c r="A774" s="7" t="s">
        <v>2358</v>
      </c>
      <c r="B774" s="9">
        <v>21482.0</v>
      </c>
      <c r="C774" s="9">
        <v>21090.0</v>
      </c>
      <c r="D774" s="9">
        <v>7563.0</v>
      </c>
      <c r="E774" s="9">
        <v>375.0</v>
      </c>
      <c r="F774" s="14"/>
      <c r="G774" s="15"/>
      <c r="H774" s="15"/>
      <c r="I774" s="14"/>
      <c r="J774" s="14"/>
      <c r="K774" s="14"/>
      <c r="L774" s="14"/>
      <c r="M774" s="14"/>
      <c r="N774" s="14"/>
      <c r="P774" s="14"/>
    </row>
    <row r="775" ht="18.75" customHeight="1">
      <c r="A775" s="7" t="s">
        <v>2583</v>
      </c>
      <c r="B775" s="9">
        <v>356.0</v>
      </c>
      <c r="C775" s="9">
        <v>333.0</v>
      </c>
      <c r="D775" s="9">
        <v>145.0</v>
      </c>
      <c r="E775" s="9">
        <v>24.0</v>
      </c>
      <c r="F775" s="14"/>
      <c r="G775" s="15"/>
      <c r="H775" s="15"/>
      <c r="I775" s="14"/>
      <c r="J775" s="14"/>
      <c r="K775" s="14"/>
      <c r="L775" s="14"/>
      <c r="M775" s="14"/>
      <c r="N775" s="14"/>
      <c r="P775" s="14"/>
    </row>
    <row r="776" ht="18.75" customHeight="1">
      <c r="A776" s="7" t="s">
        <v>2564</v>
      </c>
      <c r="B776" s="9">
        <v>59751.0</v>
      </c>
      <c r="C776" s="9">
        <v>58618.0</v>
      </c>
      <c r="D776" s="9">
        <v>15314.0</v>
      </c>
      <c r="E776" s="9">
        <v>49.0</v>
      </c>
      <c r="F776" s="14"/>
      <c r="G776" s="15"/>
      <c r="H776" s="15"/>
      <c r="I776" s="14"/>
      <c r="J776" s="14"/>
      <c r="K776" s="14"/>
      <c r="L776" s="14"/>
      <c r="M776" s="14"/>
      <c r="N776" s="14"/>
    </row>
    <row r="777" ht="18.75" customHeight="1">
      <c r="A777" s="7" t="s">
        <v>2584</v>
      </c>
      <c r="B777" s="9">
        <v>49600.0</v>
      </c>
      <c r="C777" s="9">
        <v>48583.0</v>
      </c>
      <c r="D777" s="9">
        <v>9254.0</v>
      </c>
      <c r="E777" s="9">
        <v>211.0</v>
      </c>
      <c r="F777" s="14"/>
      <c r="G777" s="15"/>
      <c r="H777" s="15"/>
      <c r="I777" s="14"/>
      <c r="J777" s="14"/>
      <c r="K777" s="14"/>
      <c r="L777" s="14"/>
      <c r="M777" s="14"/>
      <c r="N777" s="14"/>
      <c r="P777" s="14"/>
    </row>
    <row r="778" ht="18.75" customHeight="1">
      <c r="A778" s="7" t="s">
        <v>2283</v>
      </c>
      <c r="B778" s="9">
        <v>19287.0</v>
      </c>
      <c r="C778" s="9">
        <v>18900.0</v>
      </c>
      <c r="D778" s="9">
        <v>5436.0</v>
      </c>
      <c r="E778" s="9">
        <v>55.0</v>
      </c>
      <c r="F778" s="14"/>
      <c r="G778" s="15"/>
      <c r="H778" s="15"/>
      <c r="I778" s="14"/>
      <c r="J778" s="14"/>
      <c r="K778" s="14"/>
      <c r="L778" s="14"/>
      <c r="M778" s="14"/>
      <c r="N778" s="14"/>
      <c r="P778" s="14"/>
    </row>
    <row r="779" ht="18.75" customHeight="1">
      <c r="A779" s="7" t="s">
        <v>2585</v>
      </c>
      <c r="B779" s="9">
        <v>84820.0</v>
      </c>
      <c r="C779" s="9">
        <v>83559.0</v>
      </c>
      <c r="D779" s="9">
        <v>36703.0</v>
      </c>
      <c r="E779" s="9">
        <v>104.0</v>
      </c>
      <c r="F779" s="14"/>
      <c r="G779" s="15"/>
      <c r="H779" s="15"/>
      <c r="I779" s="14"/>
      <c r="J779" s="14"/>
      <c r="K779" s="14"/>
      <c r="L779" s="14"/>
      <c r="M779" s="14"/>
      <c r="N779" s="14"/>
      <c r="P779" s="14"/>
    </row>
    <row r="780" ht="18.75" customHeight="1">
      <c r="A780" s="7" t="s">
        <v>2585</v>
      </c>
      <c r="B780" s="9">
        <v>106085.0</v>
      </c>
      <c r="C780" s="9">
        <v>103972.0</v>
      </c>
      <c r="D780" s="9">
        <v>39178.0</v>
      </c>
      <c r="E780" s="9">
        <v>80.0</v>
      </c>
      <c r="F780" s="14"/>
      <c r="G780" s="15"/>
      <c r="H780" s="15"/>
      <c r="I780" s="14"/>
      <c r="J780" s="14"/>
      <c r="K780" s="14"/>
      <c r="L780" s="14"/>
      <c r="M780" s="14"/>
      <c r="N780" s="14"/>
      <c r="P780" s="14"/>
    </row>
    <row r="781" ht="18.75" customHeight="1">
      <c r="A781" s="7" t="s">
        <v>2585</v>
      </c>
      <c r="B781" s="9">
        <v>94530.0</v>
      </c>
      <c r="C781" s="9">
        <v>92423.0</v>
      </c>
      <c r="D781" s="9">
        <v>29432.0</v>
      </c>
      <c r="E781" s="9">
        <v>98.0</v>
      </c>
      <c r="F781" s="14"/>
      <c r="G781" s="15"/>
      <c r="H781" s="15"/>
      <c r="I781" s="14"/>
      <c r="J781" s="14"/>
      <c r="K781" s="14"/>
      <c r="L781" s="14"/>
      <c r="M781" s="14"/>
      <c r="N781" s="14"/>
      <c r="P781" s="14"/>
    </row>
    <row r="782" ht="18.75" customHeight="1">
      <c r="A782" s="7" t="s">
        <v>2585</v>
      </c>
      <c r="B782" s="9">
        <v>94146.0</v>
      </c>
      <c r="C782" s="9">
        <v>92164.0</v>
      </c>
      <c r="D782" s="9">
        <v>31338.0</v>
      </c>
      <c r="E782" s="9">
        <v>90.0</v>
      </c>
      <c r="F782" s="14"/>
      <c r="G782" s="15"/>
      <c r="H782" s="15"/>
      <c r="I782" s="14"/>
      <c r="J782" s="14"/>
      <c r="K782" s="14"/>
      <c r="L782" s="14"/>
      <c r="M782" s="14"/>
      <c r="N782" s="14"/>
      <c r="P782" s="14"/>
    </row>
    <row r="783" ht="18.75" customHeight="1">
      <c r="A783" s="7" t="s">
        <v>2585</v>
      </c>
      <c r="B783" s="9">
        <v>97762.0</v>
      </c>
      <c r="C783" s="9">
        <v>95889.0</v>
      </c>
      <c r="D783" s="9">
        <v>35715.0</v>
      </c>
      <c r="E783" s="9">
        <v>107.0</v>
      </c>
      <c r="F783" s="14"/>
      <c r="G783" s="15"/>
      <c r="H783" s="15"/>
      <c r="I783" s="14"/>
      <c r="J783" s="14"/>
      <c r="K783" s="14"/>
      <c r="L783" s="14"/>
      <c r="M783" s="14"/>
      <c r="N783" s="14"/>
      <c r="P783" s="14"/>
    </row>
    <row r="784" ht="18.75" customHeight="1">
      <c r="A784" s="7" t="s">
        <v>2585</v>
      </c>
      <c r="B784" s="9">
        <v>59866.0</v>
      </c>
      <c r="C784" s="9">
        <v>58802.0</v>
      </c>
      <c r="D784" s="9">
        <v>25687.0</v>
      </c>
      <c r="E784" s="9">
        <v>83.0</v>
      </c>
      <c r="F784" s="14"/>
      <c r="G784" s="15"/>
      <c r="H784" s="15"/>
      <c r="I784" s="14"/>
      <c r="J784" s="14"/>
      <c r="K784" s="14"/>
      <c r="L784" s="14"/>
      <c r="M784" s="14"/>
      <c r="N784" s="14"/>
      <c r="P784" s="14"/>
    </row>
    <row r="785" ht="18.75" customHeight="1">
      <c r="A785" s="7" t="s">
        <v>2504</v>
      </c>
      <c r="B785" s="9">
        <v>7858.0</v>
      </c>
      <c r="C785" s="9">
        <v>7723.0</v>
      </c>
      <c r="D785" s="9">
        <v>3302.0</v>
      </c>
      <c r="E785" s="9">
        <v>162.0</v>
      </c>
      <c r="F785" s="14"/>
      <c r="G785" s="15"/>
      <c r="H785" s="15"/>
      <c r="I785" s="14"/>
      <c r="J785" s="14"/>
      <c r="K785" s="14"/>
      <c r="L785" s="14"/>
      <c r="M785" s="14"/>
      <c r="N785" s="14"/>
      <c r="P785" s="14"/>
    </row>
    <row r="786" ht="18.75" customHeight="1">
      <c r="A786" s="7" t="s">
        <v>2586</v>
      </c>
      <c r="B786" s="9">
        <v>82617.0</v>
      </c>
      <c r="C786" s="9">
        <v>81437.0</v>
      </c>
      <c r="D786" s="9">
        <v>39545.0</v>
      </c>
      <c r="E786" s="9">
        <v>940.0</v>
      </c>
      <c r="F786" s="14"/>
      <c r="G786" s="15"/>
      <c r="H786" s="15"/>
      <c r="I786" s="14"/>
      <c r="J786" s="14"/>
      <c r="K786" s="14"/>
      <c r="L786" s="14"/>
      <c r="M786" s="14"/>
      <c r="N786" s="14"/>
      <c r="P786" s="14"/>
    </row>
    <row r="787" ht="18.75" customHeight="1">
      <c r="A787" s="7" t="s">
        <v>2504</v>
      </c>
      <c r="B787" s="9">
        <v>19904.0</v>
      </c>
      <c r="C787" s="9">
        <v>19538.0</v>
      </c>
      <c r="D787" s="9">
        <v>7101.0</v>
      </c>
      <c r="E787" s="9">
        <v>302.0</v>
      </c>
      <c r="F787" s="14"/>
      <c r="G787" s="15"/>
      <c r="H787" s="15"/>
      <c r="I787" s="14"/>
      <c r="J787" s="14"/>
      <c r="K787" s="14"/>
      <c r="L787" s="14"/>
      <c r="M787" s="14"/>
      <c r="N787" s="14"/>
      <c r="P787" s="14"/>
    </row>
    <row r="788" ht="18.75" customHeight="1">
      <c r="A788" s="7" t="s">
        <v>2358</v>
      </c>
      <c r="B788" s="9">
        <v>14928.0</v>
      </c>
      <c r="C788" s="9">
        <v>14655.0</v>
      </c>
      <c r="D788" s="9">
        <v>4199.0</v>
      </c>
      <c r="E788" s="9">
        <v>201.0</v>
      </c>
      <c r="F788" s="14"/>
      <c r="G788" s="15"/>
      <c r="H788" s="15"/>
      <c r="I788" s="14"/>
      <c r="J788" s="14"/>
      <c r="K788" s="14"/>
      <c r="L788" s="14"/>
      <c r="M788" s="14"/>
      <c r="N788" s="14"/>
      <c r="P788" s="14"/>
    </row>
    <row r="789" ht="18.75" customHeight="1">
      <c r="A789" s="7" t="s">
        <v>2587</v>
      </c>
      <c r="B789" s="9">
        <v>19486.0</v>
      </c>
      <c r="C789" s="9">
        <v>19287.0</v>
      </c>
      <c r="D789" s="9">
        <v>10490.0</v>
      </c>
      <c r="E789" s="9">
        <v>234.0</v>
      </c>
      <c r="F789" s="14"/>
      <c r="G789" s="15"/>
      <c r="H789" s="15"/>
      <c r="I789" s="14"/>
      <c r="J789" s="14"/>
      <c r="K789" s="14"/>
      <c r="L789" s="14"/>
      <c r="M789" s="14"/>
      <c r="N789" s="14"/>
      <c r="P789" s="14"/>
    </row>
    <row r="790" ht="18.75" customHeight="1">
      <c r="A790" s="7" t="s">
        <v>2358</v>
      </c>
      <c r="B790" s="9">
        <v>45190.0</v>
      </c>
      <c r="C790" s="9">
        <v>44331.0</v>
      </c>
      <c r="D790" s="9">
        <v>17395.0</v>
      </c>
      <c r="E790" s="9">
        <v>921.0</v>
      </c>
      <c r="F790" s="14"/>
      <c r="G790" s="15"/>
      <c r="H790" s="15"/>
      <c r="I790" s="14"/>
      <c r="J790" s="14"/>
      <c r="K790" s="14"/>
      <c r="L790" s="14"/>
      <c r="M790" s="14"/>
      <c r="N790" s="14"/>
      <c r="P790" s="14"/>
    </row>
    <row r="791" ht="18.75" customHeight="1">
      <c r="A791" s="7" t="s">
        <v>2358</v>
      </c>
      <c r="B791" s="9">
        <v>24972.0</v>
      </c>
      <c r="C791" s="9">
        <v>24543.0</v>
      </c>
      <c r="D791" s="9">
        <v>8635.0</v>
      </c>
      <c r="E791" s="9">
        <v>524.0</v>
      </c>
      <c r="F791" s="14"/>
      <c r="G791" s="15"/>
      <c r="H791" s="15"/>
      <c r="I791" s="14"/>
      <c r="J791" s="14"/>
      <c r="K791" s="14"/>
      <c r="L791" s="14"/>
      <c r="M791" s="14"/>
      <c r="N791" s="14"/>
      <c r="P791" s="14"/>
    </row>
    <row r="792" ht="18.75" customHeight="1">
      <c r="A792" s="7" t="s">
        <v>2588</v>
      </c>
      <c r="B792" s="9">
        <v>65782.0</v>
      </c>
      <c r="C792" s="9">
        <v>64643.0</v>
      </c>
      <c r="D792" s="9">
        <v>17991.0</v>
      </c>
      <c r="E792" s="9">
        <v>509.0</v>
      </c>
      <c r="F792" s="14"/>
      <c r="G792" s="15"/>
      <c r="H792" s="15"/>
      <c r="I792" s="14"/>
      <c r="J792" s="14"/>
      <c r="K792" s="14"/>
      <c r="L792" s="14"/>
      <c r="M792" s="14"/>
      <c r="N792" s="14"/>
      <c r="P792" s="14"/>
    </row>
    <row r="793" ht="18.75" customHeight="1">
      <c r="A793" s="7" t="s">
        <v>2589</v>
      </c>
      <c r="B793" s="9">
        <v>114026.0</v>
      </c>
      <c r="C793" s="9">
        <v>112852.0</v>
      </c>
      <c r="D793" s="9">
        <v>55537.0</v>
      </c>
      <c r="E793" s="9">
        <v>1672.0</v>
      </c>
      <c r="F793" s="14"/>
      <c r="G793" s="15"/>
      <c r="H793" s="15"/>
      <c r="I793" s="14"/>
      <c r="J793" s="14"/>
      <c r="K793" s="14"/>
      <c r="L793" s="14"/>
      <c r="M793" s="14"/>
      <c r="N793" s="14"/>
      <c r="P793" s="14"/>
    </row>
    <row r="794" ht="18.75" customHeight="1">
      <c r="A794" s="7" t="s">
        <v>2590</v>
      </c>
      <c r="B794" s="9">
        <v>23932.0</v>
      </c>
      <c r="C794" s="9">
        <v>23443.0</v>
      </c>
      <c r="D794" s="9">
        <v>7977.0</v>
      </c>
      <c r="E794" s="9">
        <v>158.0</v>
      </c>
      <c r="F794" s="14"/>
      <c r="G794" s="15"/>
      <c r="H794" s="15"/>
      <c r="I794" s="14"/>
      <c r="J794" s="14"/>
      <c r="K794" s="14"/>
      <c r="L794" s="14"/>
      <c r="M794" s="14"/>
      <c r="N794" s="14"/>
      <c r="P794" s="14"/>
    </row>
    <row r="795" ht="18.75" customHeight="1">
      <c r="A795" s="7" t="s">
        <v>2591</v>
      </c>
      <c r="B795" s="9">
        <v>12607.0</v>
      </c>
      <c r="C795" s="9">
        <v>12397.0</v>
      </c>
      <c r="D795" s="9">
        <v>2675.0</v>
      </c>
      <c r="E795" s="9">
        <v>42.0</v>
      </c>
      <c r="F795" s="14"/>
      <c r="G795" s="15"/>
      <c r="H795" s="15"/>
      <c r="I795" s="14"/>
      <c r="J795" s="14"/>
      <c r="K795" s="14"/>
      <c r="L795" s="14"/>
      <c r="M795" s="14"/>
      <c r="N795" s="14"/>
      <c r="P795" s="14"/>
    </row>
    <row r="796" ht="18.75" customHeight="1">
      <c r="A796" s="7" t="s">
        <v>2592</v>
      </c>
      <c r="B796" s="9">
        <v>28529.0</v>
      </c>
      <c r="C796" s="9">
        <v>27869.0</v>
      </c>
      <c r="D796" s="9">
        <v>8858.0</v>
      </c>
      <c r="E796" s="9">
        <v>465.0</v>
      </c>
      <c r="F796" s="14"/>
      <c r="G796" s="15"/>
      <c r="H796" s="15"/>
      <c r="I796" s="14"/>
      <c r="J796" s="14"/>
      <c r="K796" s="14"/>
      <c r="L796" s="14"/>
      <c r="M796" s="14"/>
      <c r="N796" s="14"/>
      <c r="P796" s="14"/>
    </row>
    <row r="797" ht="18.75" customHeight="1">
      <c r="A797" s="7" t="s">
        <v>2504</v>
      </c>
      <c r="B797" s="9">
        <v>35503.0</v>
      </c>
      <c r="C797" s="9">
        <v>34579.0</v>
      </c>
      <c r="D797" s="9">
        <v>8178.0</v>
      </c>
      <c r="E797" s="9">
        <v>297.0</v>
      </c>
      <c r="F797" s="14"/>
      <c r="G797" s="15"/>
      <c r="H797" s="15"/>
      <c r="I797" s="14"/>
      <c r="J797" s="14"/>
      <c r="K797" s="14"/>
      <c r="L797" s="14"/>
      <c r="M797" s="14"/>
      <c r="N797" s="14"/>
      <c r="P797" s="14"/>
    </row>
    <row r="798" ht="18.75" customHeight="1">
      <c r="A798" s="7" t="s">
        <v>2274</v>
      </c>
      <c r="B798" s="9">
        <v>24701.0</v>
      </c>
      <c r="C798" s="9">
        <v>24199.0</v>
      </c>
      <c r="D798" s="9">
        <v>6281.0</v>
      </c>
      <c r="E798" s="9">
        <v>128.0</v>
      </c>
      <c r="F798" s="14"/>
      <c r="G798" s="15"/>
      <c r="H798" s="15"/>
      <c r="I798" s="14"/>
      <c r="J798" s="14"/>
      <c r="K798" s="14"/>
      <c r="L798" s="14"/>
      <c r="M798" s="14"/>
      <c r="N798" s="14"/>
      <c r="P798" s="14"/>
    </row>
    <row r="799" ht="18.75" customHeight="1">
      <c r="A799" s="7" t="s">
        <v>2593</v>
      </c>
      <c r="B799" s="9">
        <v>8949.0</v>
      </c>
      <c r="C799" s="9">
        <v>8901.0</v>
      </c>
      <c r="D799" s="9">
        <v>4140.0</v>
      </c>
      <c r="E799" s="9">
        <v>9.0</v>
      </c>
      <c r="F799" s="14"/>
      <c r="G799" s="15"/>
      <c r="H799" s="15"/>
      <c r="I799" s="14"/>
      <c r="J799" s="14"/>
      <c r="K799" s="14"/>
      <c r="L799" s="14"/>
      <c r="M799" s="14"/>
      <c r="N799" s="14"/>
      <c r="P799" s="14"/>
    </row>
    <row r="800" ht="18.75" customHeight="1">
      <c r="A800" s="7" t="s">
        <v>2594</v>
      </c>
      <c r="B800" s="9">
        <v>77151.0</v>
      </c>
      <c r="C800" s="9">
        <v>75828.0</v>
      </c>
      <c r="D800" s="9">
        <v>30235.0</v>
      </c>
      <c r="E800" s="9">
        <v>547.0</v>
      </c>
      <c r="F800" s="14"/>
      <c r="G800" s="15"/>
      <c r="H800" s="15"/>
      <c r="I800" s="14"/>
      <c r="J800" s="14"/>
      <c r="K800" s="14"/>
      <c r="L800" s="14"/>
      <c r="M800" s="14"/>
      <c r="N800" s="14"/>
      <c r="P800" s="14"/>
    </row>
    <row r="801" ht="18.75" customHeight="1">
      <c r="A801" s="7" t="s">
        <v>2594</v>
      </c>
      <c r="B801" s="9">
        <v>45484.0</v>
      </c>
      <c r="C801" s="9">
        <v>44559.0</v>
      </c>
      <c r="D801" s="9">
        <v>13970.0</v>
      </c>
      <c r="E801" s="9">
        <v>621.0</v>
      </c>
      <c r="F801" s="14"/>
      <c r="G801" s="15"/>
      <c r="H801" s="15"/>
      <c r="I801" s="14"/>
      <c r="J801" s="14"/>
      <c r="K801" s="14"/>
      <c r="L801" s="14"/>
      <c r="M801" s="14"/>
      <c r="N801" s="14"/>
      <c r="P801" s="14"/>
    </row>
    <row r="802" ht="18.75" customHeight="1">
      <c r="A802" s="7" t="s">
        <v>2595</v>
      </c>
      <c r="B802" s="9">
        <v>19187.0</v>
      </c>
      <c r="C802" s="9">
        <v>18715.0</v>
      </c>
      <c r="D802" s="9">
        <v>4514.0</v>
      </c>
      <c r="E802" s="9">
        <v>12.0</v>
      </c>
      <c r="F802" s="14"/>
      <c r="G802" s="15"/>
      <c r="H802" s="15"/>
      <c r="I802" s="14"/>
      <c r="J802" s="14"/>
      <c r="K802" s="14"/>
      <c r="L802" s="14"/>
      <c r="M802" s="14"/>
      <c r="N802" s="14"/>
      <c r="P802" s="14"/>
    </row>
    <row r="803" ht="18.75" customHeight="1">
      <c r="A803" s="7" t="s">
        <v>2560</v>
      </c>
      <c r="B803" s="9">
        <v>491.0</v>
      </c>
      <c r="C803" s="9">
        <v>489.0</v>
      </c>
      <c r="D803" s="9">
        <v>382.0</v>
      </c>
      <c r="E803" s="9">
        <v>89.0</v>
      </c>
      <c r="F803" s="14"/>
      <c r="G803" s="15"/>
      <c r="H803" s="15"/>
      <c r="I803" s="14"/>
      <c r="J803" s="14"/>
      <c r="K803" s="14"/>
      <c r="L803" s="14"/>
      <c r="M803" s="14"/>
      <c r="N803" s="14"/>
      <c r="P803" s="14"/>
    </row>
    <row r="804" ht="18.75" customHeight="1">
      <c r="A804" s="7" t="s">
        <v>2596</v>
      </c>
      <c r="B804" s="9">
        <v>38741.0</v>
      </c>
      <c r="C804" s="9">
        <v>37883.0</v>
      </c>
      <c r="D804" s="9">
        <v>11926.0</v>
      </c>
      <c r="E804" s="9">
        <v>844.0</v>
      </c>
      <c r="F804" s="14"/>
      <c r="G804" s="15"/>
      <c r="H804" s="15"/>
      <c r="I804" s="14"/>
      <c r="J804" s="14"/>
      <c r="K804" s="14"/>
      <c r="L804" s="14"/>
      <c r="M804" s="14"/>
      <c r="N804" s="14"/>
      <c r="P804" s="14"/>
    </row>
    <row r="805" ht="18.75" customHeight="1">
      <c r="A805" s="7" t="s">
        <v>2504</v>
      </c>
      <c r="B805" s="9">
        <v>23909.0</v>
      </c>
      <c r="C805" s="9">
        <v>23419.0</v>
      </c>
      <c r="D805" s="9">
        <v>7371.0</v>
      </c>
      <c r="E805" s="9">
        <v>350.0</v>
      </c>
      <c r="F805" s="14"/>
      <c r="G805" s="15"/>
      <c r="H805" s="15"/>
      <c r="I805" s="14"/>
      <c r="J805" s="14"/>
      <c r="K805" s="14"/>
      <c r="L805" s="14"/>
      <c r="M805" s="14"/>
      <c r="N805" s="14"/>
    </row>
    <row r="806" ht="18.75" customHeight="1">
      <c r="A806" s="7" t="s">
        <v>2283</v>
      </c>
      <c r="B806" s="9">
        <v>13129.0</v>
      </c>
      <c r="C806" s="9">
        <v>12889.0</v>
      </c>
      <c r="D806" s="9">
        <v>3746.0</v>
      </c>
      <c r="E806" s="9">
        <v>57.0</v>
      </c>
      <c r="F806" s="14"/>
      <c r="G806" s="15"/>
      <c r="H806" s="15"/>
      <c r="I806" s="14"/>
      <c r="J806" s="14"/>
      <c r="K806" s="14"/>
      <c r="L806" s="14"/>
      <c r="M806" s="14"/>
      <c r="N806" s="14"/>
      <c r="P806" s="14"/>
    </row>
    <row r="807" ht="18.75" customHeight="1">
      <c r="A807" s="7" t="s">
        <v>2597</v>
      </c>
      <c r="B807" s="9">
        <v>27754.0</v>
      </c>
      <c r="C807" s="9">
        <v>26928.0</v>
      </c>
      <c r="D807" s="9">
        <v>7986.0</v>
      </c>
      <c r="E807" s="9">
        <v>1451.0</v>
      </c>
      <c r="F807" s="14"/>
      <c r="G807" s="15"/>
      <c r="H807" s="15"/>
      <c r="I807" s="14"/>
      <c r="J807" s="14"/>
      <c r="K807" s="14"/>
      <c r="L807" s="14"/>
      <c r="M807" s="14"/>
      <c r="N807" s="14"/>
      <c r="P807" s="14"/>
    </row>
    <row r="808" ht="18.75" customHeight="1">
      <c r="A808" s="7" t="s">
        <v>2560</v>
      </c>
      <c r="B808" s="9">
        <v>62.0</v>
      </c>
      <c r="C808" s="9">
        <v>62.0</v>
      </c>
      <c r="D808" s="9">
        <v>46.0</v>
      </c>
      <c r="E808" s="9">
        <v>8.0</v>
      </c>
      <c r="F808" s="14"/>
      <c r="G808" s="15"/>
      <c r="H808" s="15"/>
      <c r="I808" s="14"/>
      <c r="J808" s="14"/>
      <c r="K808" s="14"/>
      <c r="L808" s="14"/>
      <c r="M808" s="14"/>
      <c r="N808" s="14"/>
      <c r="P808" s="14"/>
    </row>
    <row r="809" ht="18.75" customHeight="1">
      <c r="A809" s="7" t="s">
        <v>2504</v>
      </c>
      <c r="B809" s="9">
        <v>30663.0</v>
      </c>
      <c r="C809" s="9">
        <v>30077.0</v>
      </c>
      <c r="D809" s="9">
        <v>10101.0</v>
      </c>
      <c r="E809" s="9">
        <v>400.0</v>
      </c>
      <c r="F809" s="14"/>
      <c r="G809" s="15"/>
      <c r="H809" s="15"/>
      <c r="I809" s="14"/>
      <c r="J809" s="14"/>
      <c r="K809" s="14"/>
      <c r="L809" s="14"/>
      <c r="M809" s="14"/>
      <c r="N809" s="14"/>
      <c r="P809" s="14"/>
    </row>
    <row r="810" ht="18.75" customHeight="1">
      <c r="A810" s="7" t="s">
        <v>2598</v>
      </c>
      <c r="B810" s="9">
        <v>30244.0</v>
      </c>
      <c r="C810" s="9">
        <v>29691.0</v>
      </c>
      <c r="D810" s="9">
        <v>11023.0</v>
      </c>
      <c r="E810" s="9">
        <v>653.0</v>
      </c>
      <c r="F810" s="14"/>
      <c r="G810" s="15"/>
      <c r="H810" s="15"/>
      <c r="I810" s="14"/>
      <c r="J810" s="14"/>
      <c r="K810" s="14"/>
      <c r="L810" s="14"/>
      <c r="M810" s="14"/>
      <c r="N810" s="14"/>
      <c r="P810" s="14"/>
    </row>
    <row r="811" ht="18.75" customHeight="1">
      <c r="A811" s="7" t="s">
        <v>2599</v>
      </c>
      <c r="B811" s="9">
        <v>23934.0</v>
      </c>
      <c r="C811" s="9">
        <v>23443.0</v>
      </c>
      <c r="D811" s="9">
        <v>8011.0</v>
      </c>
      <c r="E811" s="9">
        <v>117.0</v>
      </c>
      <c r="F811" s="14"/>
      <c r="G811" s="15"/>
      <c r="H811" s="15"/>
      <c r="I811" s="14"/>
      <c r="J811" s="14"/>
      <c r="K811" s="14"/>
      <c r="L811" s="14"/>
      <c r="M811" s="14"/>
      <c r="N811" s="14"/>
      <c r="P811" s="14"/>
    </row>
    <row r="812" ht="18.75" customHeight="1">
      <c r="A812" s="7" t="s">
        <v>2358</v>
      </c>
      <c r="B812" s="9">
        <v>26321.0</v>
      </c>
      <c r="C812" s="9">
        <v>25751.0</v>
      </c>
      <c r="D812" s="9">
        <v>7420.0</v>
      </c>
      <c r="E812" s="9">
        <v>389.0</v>
      </c>
      <c r="F812" s="14"/>
      <c r="G812" s="15"/>
      <c r="H812" s="15"/>
      <c r="I812" s="14"/>
      <c r="J812" s="14"/>
      <c r="K812" s="14"/>
      <c r="L812" s="14"/>
      <c r="M812" s="14"/>
      <c r="N812" s="14"/>
      <c r="P812" s="14"/>
    </row>
    <row r="813" ht="18.75" customHeight="1">
      <c r="A813" s="7" t="s">
        <v>2593</v>
      </c>
      <c r="B813" s="9">
        <v>8928.0</v>
      </c>
      <c r="C813" s="9">
        <v>8880.0</v>
      </c>
      <c r="D813" s="9">
        <v>3955.0</v>
      </c>
      <c r="E813" s="9">
        <v>3.0</v>
      </c>
      <c r="F813" s="14"/>
      <c r="G813" s="15"/>
      <c r="H813" s="15"/>
      <c r="I813" s="14"/>
      <c r="J813" s="14"/>
      <c r="K813" s="14"/>
      <c r="L813" s="14"/>
      <c r="M813" s="14"/>
      <c r="N813" s="14"/>
      <c r="P813" s="14"/>
    </row>
    <row r="814" ht="18.75" customHeight="1">
      <c r="A814" s="7" t="s">
        <v>2589</v>
      </c>
      <c r="B814" s="9">
        <v>1261.0</v>
      </c>
      <c r="C814" s="9">
        <v>1257.0</v>
      </c>
      <c r="D814" s="9">
        <v>968.0</v>
      </c>
      <c r="E814" s="9">
        <v>8.0</v>
      </c>
      <c r="F814" s="14"/>
      <c r="G814" s="15"/>
      <c r="H814" s="15"/>
      <c r="I814" s="14"/>
      <c r="J814" s="14"/>
      <c r="K814" s="14"/>
      <c r="L814" s="14"/>
      <c r="M814" s="14"/>
      <c r="N814" s="14"/>
      <c r="P814" s="14"/>
    </row>
    <row r="815" ht="18.75" customHeight="1">
      <c r="A815" s="7" t="s">
        <v>2600</v>
      </c>
      <c r="B815" s="9">
        <v>97359.0</v>
      </c>
      <c r="C815" s="9">
        <v>96044.0</v>
      </c>
      <c r="D815" s="9">
        <v>43124.0</v>
      </c>
      <c r="E815" s="9">
        <v>4553.0</v>
      </c>
      <c r="F815" s="14"/>
      <c r="G815" s="15"/>
      <c r="H815" s="15"/>
      <c r="I815" s="14"/>
      <c r="J815" s="14"/>
      <c r="K815" s="14"/>
      <c r="L815" s="14"/>
      <c r="M815" s="14"/>
      <c r="N815" s="14"/>
      <c r="P815" s="14"/>
    </row>
    <row r="816" ht="18.75" customHeight="1">
      <c r="A816" s="7" t="s">
        <v>2601</v>
      </c>
      <c r="B816" s="9">
        <v>13907.0</v>
      </c>
      <c r="C816" s="9">
        <v>13651.0</v>
      </c>
      <c r="D816" s="9">
        <v>4684.0</v>
      </c>
      <c r="E816" s="9">
        <v>147.0</v>
      </c>
      <c r="F816" s="14"/>
      <c r="G816" s="15"/>
      <c r="H816" s="15"/>
      <c r="I816" s="14"/>
      <c r="J816" s="14"/>
      <c r="K816" s="14"/>
      <c r="L816" s="14"/>
      <c r="M816" s="14"/>
      <c r="N816" s="14"/>
      <c r="P816" s="14"/>
    </row>
    <row r="817" ht="18.75" customHeight="1">
      <c r="A817" s="7" t="s">
        <v>2602</v>
      </c>
      <c r="B817" s="9">
        <v>14260.0</v>
      </c>
      <c r="C817" s="9">
        <v>13964.0</v>
      </c>
      <c r="D817" s="9">
        <v>4169.0</v>
      </c>
      <c r="E817" s="9">
        <v>322.0</v>
      </c>
      <c r="F817" s="14"/>
      <c r="G817" s="15"/>
      <c r="H817" s="15"/>
      <c r="I817" s="14"/>
      <c r="J817" s="14"/>
      <c r="K817" s="14"/>
      <c r="M817" s="14"/>
      <c r="N817" s="14"/>
      <c r="P817" s="14"/>
    </row>
    <row r="818" ht="18.75" customHeight="1">
      <c r="A818" s="7" t="s">
        <v>2603</v>
      </c>
      <c r="B818" s="9">
        <v>54131.0</v>
      </c>
      <c r="C818" s="9">
        <v>52934.0</v>
      </c>
      <c r="D818" s="9">
        <v>12713.0</v>
      </c>
      <c r="E818" s="9">
        <v>398.0</v>
      </c>
      <c r="F818" s="14"/>
      <c r="G818" s="15"/>
      <c r="H818" s="15"/>
      <c r="I818" s="14"/>
      <c r="J818" s="14"/>
      <c r="K818" s="14"/>
      <c r="L818" s="14"/>
      <c r="M818" s="14"/>
      <c r="N818" s="14"/>
      <c r="P818" s="14"/>
    </row>
    <row r="819" ht="18.75" customHeight="1">
      <c r="A819" s="7" t="s">
        <v>2604</v>
      </c>
      <c r="B819" s="9">
        <v>19268.0</v>
      </c>
      <c r="C819" s="9">
        <v>18963.0</v>
      </c>
      <c r="D819" s="9">
        <v>4720.0</v>
      </c>
      <c r="E819" s="9">
        <v>131.0</v>
      </c>
      <c r="F819" s="14"/>
      <c r="G819" s="15"/>
      <c r="H819" s="15"/>
      <c r="I819" s="14"/>
      <c r="J819" s="14"/>
      <c r="K819" s="14"/>
      <c r="L819" s="14"/>
      <c r="M819" s="14"/>
      <c r="N819" s="14"/>
      <c r="P819" s="14"/>
    </row>
    <row r="820" ht="18.75" customHeight="1">
      <c r="A820" s="7" t="s">
        <v>2605</v>
      </c>
      <c r="B820" s="9">
        <v>87201.0</v>
      </c>
      <c r="C820" s="9">
        <v>85221.0</v>
      </c>
      <c r="D820" s="9">
        <v>22920.0</v>
      </c>
      <c r="E820" s="9">
        <v>4866.0</v>
      </c>
      <c r="F820" s="14"/>
      <c r="G820" s="15"/>
      <c r="H820" s="15"/>
      <c r="I820" s="14"/>
      <c r="J820" s="14"/>
      <c r="K820" s="14"/>
      <c r="L820" s="14"/>
      <c r="M820" s="14"/>
      <c r="N820" s="14"/>
      <c r="P820" s="14"/>
    </row>
    <row r="821" ht="18.75" customHeight="1">
      <c r="A821" s="7" t="s">
        <v>2606</v>
      </c>
      <c r="B821" s="9">
        <v>56074.0</v>
      </c>
      <c r="C821" s="9">
        <v>54793.0</v>
      </c>
      <c r="D821" s="9">
        <v>15917.0</v>
      </c>
      <c r="E821" s="9">
        <v>43.0</v>
      </c>
      <c r="F821" s="14"/>
      <c r="G821" s="15"/>
      <c r="H821" s="15"/>
      <c r="I821" s="14"/>
      <c r="J821" s="14"/>
      <c r="K821" s="14"/>
      <c r="L821" s="14"/>
      <c r="M821" s="14"/>
      <c r="N821" s="14"/>
      <c r="P821" s="14"/>
    </row>
    <row r="822" ht="18.75" customHeight="1">
      <c r="A822" s="7" t="s">
        <v>2607</v>
      </c>
      <c r="B822" s="9">
        <v>45756.0</v>
      </c>
      <c r="C822" s="9">
        <v>44939.0</v>
      </c>
      <c r="D822" s="9">
        <v>19076.0</v>
      </c>
      <c r="E822" s="9">
        <v>107.0</v>
      </c>
      <c r="F822" s="14"/>
      <c r="G822" s="15"/>
      <c r="H822" s="15"/>
      <c r="I822" s="14"/>
      <c r="J822" s="14"/>
      <c r="K822" s="14"/>
      <c r="L822" s="14"/>
      <c r="M822" s="14"/>
      <c r="N822" s="14"/>
      <c r="P822" s="14"/>
    </row>
    <row r="823" ht="18.75" customHeight="1">
      <c r="A823" s="7" t="s">
        <v>2608</v>
      </c>
      <c r="B823" s="9">
        <v>10855.0</v>
      </c>
      <c r="C823" s="9">
        <v>10649.0</v>
      </c>
      <c r="D823" s="9">
        <v>1901.0</v>
      </c>
      <c r="E823" s="9">
        <v>82.0</v>
      </c>
      <c r="F823" s="14"/>
      <c r="G823" s="15"/>
      <c r="H823" s="15"/>
      <c r="I823" s="14"/>
      <c r="J823" s="14"/>
      <c r="K823" s="14"/>
      <c r="L823" s="14"/>
      <c r="M823" s="14"/>
      <c r="N823" s="14"/>
      <c r="P823" s="14"/>
    </row>
    <row r="824" ht="18.75" customHeight="1">
      <c r="A824" s="7" t="s">
        <v>2593</v>
      </c>
      <c r="B824" s="9">
        <v>5149.0</v>
      </c>
      <c r="C824" s="9">
        <v>5111.0</v>
      </c>
      <c r="D824" s="9">
        <v>922.0</v>
      </c>
      <c r="E824" s="9">
        <v>5.0</v>
      </c>
      <c r="F824" s="14"/>
      <c r="G824" s="15"/>
      <c r="H824" s="15"/>
      <c r="I824" s="14"/>
      <c r="J824" s="14"/>
      <c r="K824" s="14"/>
      <c r="L824" s="14"/>
      <c r="M824" s="14"/>
      <c r="N824" s="14"/>
      <c r="P824" s="14"/>
    </row>
    <row r="825" ht="18.75" customHeight="1">
      <c r="A825" s="7" t="s">
        <v>2609</v>
      </c>
      <c r="B825" s="9">
        <v>15238.0</v>
      </c>
      <c r="C825" s="9">
        <v>15009.0</v>
      </c>
      <c r="D825" s="9">
        <v>5384.0</v>
      </c>
      <c r="E825" s="9">
        <v>88.0</v>
      </c>
      <c r="F825" s="14"/>
      <c r="G825" s="15"/>
      <c r="H825" s="15"/>
      <c r="I825" s="14"/>
      <c r="J825" s="14"/>
      <c r="K825" s="14"/>
      <c r="L825" s="14"/>
      <c r="M825" s="14"/>
      <c r="N825" s="14"/>
      <c r="P825" s="14"/>
    </row>
    <row r="826" ht="18.75" customHeight="1">
      <c r="A826" s="7" t="s">
        <v>2609</v>
      </c>
      <c r="B826" s="9">
        <v>15249.0</v>
      </c>
      <c r="C826" s="9">
        <v>14989.0</v>
      </c>
      <c r="D826" s="9">
        <v>4135.0</v>
      </c>
      <c r="E826" s="9">
        <v>72.0</v>
      </c>
      <c r="F826" s="14"/>
      <c r="G826" s="15"/>
      <c r="H826" s="15"/>
      <c r="I826" s="14"/>
      <c r="J826" s="14"/>
      <c r="K826" s="14"/>
      <c r="L826" s="14"/>
      <c r="M826" s="14"/>
      <c r="N826" s="14"/>
      <c r="P826" s="14"/>
    </row>
    <row r="827" ht="18.75" customHeight="1">
      <c r="A827" s="7" t="s">
        <v>2282</v>
      </c>
      <c r="B827" s="9">
        <v>35.0</v>
      </c>
      <c r="C827" s="9">
        <v>35.0</v>
      </c>
      <c r="D827" s="9">
        <v>17.0</v>
      </c>
      <c r="E827" s="9">
        <v>2.0</v>
      </c>
      <c r="F827" s="14"/>
      <c r="G827" s="15"/>
      <c r="H827" s="15"/>
      <c r="I827" s="14"/>
      <c r="J827" s="14"/>
      <c r="K827" s="14"/>
      <c r="L827" s="14"/>
      <c r="M827" s="14"/>
      <c r="N827" s="14"/>
      <c r="P827" s="14"/>
    </row>
    <row r="828" ht="18.75" customHeight="1">
      <c r="A828" s="7" t="s">
        <v>2274</v>
      </c>
      <c r="B828" s="9">
        <v>17008.0</v>
      </c>
      <c r="C828" s="9">
        <v>16675.0</v>
      </c>
      <c r="D828" s="9">
        <v>4237.0</v>
      </c>
      <c r="E828" s="9">
        <v>110.0</v>
      </c>
      <c r="F828" s="14"/>
      <c r="G828" s="15"/>
      <c r="H828" s="15"/>
      <c r="I828" s="14"/>
      <c r="J828" s="14"/>
      <c r="K828" s="14"/>
      <c r="L828" s="14"/>
      <c r="M828" s="14"/>
      <c r="N828" s="14"/>
      <c r="P828" s="14"/>
    </row>
    <row r="829" ht="18.75" customHeight="1">
      <c r="A829" s="7" t="s">
        <v>2283</v>
      </c>
      <c r="B829" s="9">
        <v>24674.0</v>
      </c>
      <c r="C829" s="9">
        <v>24189.0</v>
      </c>
      <c r="D829" s="9">
        <v>6595.0</v>
      </c>
      <c r="E829" s="9">
        <v>52.0</v>
      </c>
      <c r="F829" s="14"/>
      <c r="G829" s="15"/>
      <c r="H829" s="15"/>
      <c r="I829" s="14"/>
      <c r="J829" s="14"/>
      <c r="K829" s="14"/>
      <c r="L829" s="14"/>
      <c r="M829" s="14"/>
      <c r="N829" s="14"/>
    </row>
    <row r="830" ht="18.75" customHeight="1">
      <c r="A830" s="7" t="s">
        <v>2609</v>
      </c>
      <c r="B830" s="9">
        <v>16524.0</v>
      </c>
      <c r="C830" s="9">
        <v>16240.0</v>
      </c>
      <c r="D830" s="9">
        <v>5286.0</v>
      </c>
      <c r="E830" s="9">
        <v>75.0</v>
      </c>
      <c r="F830" s="14"/>
      <c r="G830" s="15"/>
      <c r="H830" s="15"/>
      <c r="I830" s="14"/>
      <c r="J830" s="14"/>
      <c r="K830" s="14"/>
      <c r="L830" s="14"/>
      <c r="M830" s="14"/>
      <c r="N830" s="14"/>
      <c r="P830" s="14"/>
    </row>
    <row r="831" ht="18.75" customHeight="1">
      <c r="A831" s="7" t="s">
        <v>2610</v>
      </c>
      <c r="B831" s="9">
        <v>377.0</v>
      </c>
      <c r="C831" s="9">
        <v>374.0</v>
      </c>
      <c r="D831" s="9">
        <v>177.0</v>
      </c>
      <c r="E831" s="9">
        <v>61.0</v>
      </c>
      <c r="F831" s="14"/>
      <c r="G831" s="15"/>
      <c r="H831" s="15"/>
      <c r="I831" s="14"/>
      <c r="J831" s="14"/>
      <c r="K831" s="14"/>
      <c r="L831" s="14"/>
      <c r="M831" s="14"/>
      <c r="N831" s="14"/>
      <c r="P831" s="14"/>
    </row>
    <row r="832" ht="18.75" customHeight="1">
      <c r="A832" s="7" t="s">
        <v>2504</v>
      </c>
      <c r="B832" s="9">
        <v>48355.0</v>
      </c>
      <c r="C832" s="9">
        <v>47320.0</v>
      </c>
      <c r="D832" s="9">
        <v>17327.0</v>
      </c>
      <c r="E832" s="9">
        <v>729.0</v>
      </c>
      <c r="F832" s="14"/>
      <c r="G832" s="15"/>
      <c r="H832" s="15"/>
      <c r="I832" s="14"/>
      <c r="J832" s="14"/>
      <c r="K832" s="14"/>
      <c r="L832" s="14"/>
      <c r="M832" s="14"/>
      <c r="N832" s="14"/>
      <c r="P832" s="14"/>
    </row>
    <row r="833" ht="18.75" customHeight="1">
      <c r="A833" s="7" t="s">
        <v>2611</v>
      </c>
      <c r="B833" s="9">
        <v>103.0</v>
      </c>
      <c r="C833" s="9">
        <v>103.0</v>
      </c>
      <c r="D833" s="9">
        <v>67.0</v>
      </c>
      <c r="E833" s="9">
        <v>5.0</v>
      </c>
      <c r="F833" s="14"/>
      <c r="G833" s="15"/>
      <c r="H833" s="15"/>
      <c r="I833" s="14"/>
      <c r="J833" s="14"/>
      <c r="K833" s="14"/>
      <c r="L833" s="14"/>
      <c r="M833" s="14"/>
      <c r="N833" s="14"/>
      <c r="P833" s="14"/>
    </row>
    <row r="834" ht="18.75" customHeight="1">
      <c r="A834" s="7" t="s">
        <v>2611</v>
      </c>
      <c r="B834" s="9">
        <v>33.0</v>
      </c>
      <c r="C834" s="9">
        <v>33.0</v>
      </c>
      <c r="D834" s="9">
        <v>13.0</v>
      </c>
      <c r="E834" s="9">
        <v>1.0</v>
      </c>
      <c r="F834" s="14"/>
      <c r="G834" s="15"/>
      <c r="H834" s="15"/>
      <c r="I834" s="14"/>
      <c r="J834" s="14"/>
      <c r="K834" s="14"/>
      <c r="L834" s="14"/>
      <c r="M834" s="14"/>
      <c r="N834" s="14"/>
      <c r="P834" s="14"/>
    </row>
    <row r="835" ht="18.75" customHeight="1">
      <c r="A835" s="7" t="s">
        <v>2504</v>
      </c>
      <c r="B835" s="9">
        <v>13389.0</v>
      </c>
      <c r="C835" s="9">
        <v>13098.0</v>
      </c>
      <c r="D835" s="9">
        <v>4435.0</v>
      </c>
      <c r="E835" s="9">
        <v>159.0</v>
      </c>
      <c r="F835" s="14"/>
      <c r="G835" s="15"/>
      <c r="H835" s="15"/>
      <c r="I835" s="14"/>
      <c r="J835" s="14"/>
      <c r="K835" s="14"/>
      <c r="L835" s="14"/>
      <c r="M835" s="14"/>
      <c r="N835" s="14"/>
      <c r="P835" s="14"/>
    </row>
    <row r="836" ht="18.75" customHeight="1">
      <c r="A836" s="7" t="s">
        <v>2604</v>
      </c>
      <c r="B836" s="9">
        <v>14547.0</v>
      </c>
      <c r="C836" s="9">
        <v>14227.0</v>
      </c>
      <c r="D836" s="9">
        <v>1316.0</v>
      </c>
      <c r="E836" s="9">
        <v>30.0</v>
      </c>
      <c r="F836" s="14"/>
      <c r="G836" s="15"/>
      <c r="H836" s="15"/>
      <c r="I836" s="14"/>
      <c r="J836" s="14"/>
      <c r="K836" s="14"/>
      <c r="L836" s="14"/>
      <c r="M836" s="14"/>
      <c r="N836" s="14"/>
      <c r="P836" s="14"/>
    </row>
    <row r="837" ht="18.75" customHeight="1">
      <c r="A837" s="7" t="s">
        <v>2612</v>
      </c>
      <c r="B837" s="9">
        <v>28669.0</v>
      </c>
      <c r="C837" s="9">
        <v>28152.0</v>
      </c>
      <c r="D837" s="9">
        <v>8679.0</v>
      </c>
      <c r="E837" s="9">
        <v>1157.0</v>
      </c>
      <c r="F837" s="14"/>
      <c r="G837" s="15"/>
      <c r="H837" s="15"/>
      <c r="I837" s="14"/>
      <c r="J837" s="14"/>
      <c r="K837" s="14"/>
      <c r="L837" s="14"/>
      <c r="M837" s="14"/>
      <c r="N837" s="14"/>
      <c r="P837" s="14"/>
    </row>
    <row r="838" ht="18.75" customHeight="1">
      <c r="A838" s="7" t="s">
        <v>2604</v>
      </c>
      <c r="B838" s="9">
        <v>79.0</v>
      </c>
      <c r="C838" s="9">
        <v>79.0</v>
      </c>
      <c r="D838" s="9">
        <v>57.0</v>
      </c>
      <c r="E838" s="9">
        <v>2.0</v>
      </c>
      <c r="F838" s="14"/>
      <c r="G838" s="15"/>
      <c r="H838" s="15"/>
      <c r="I838" s="14"/>
      <c r="J838" s="14"/>
      <c r="K838" s="14"/>
      <c r="L838" s="14"/>
      <c r="M838" s="14"/>
      <c r="N838" s="14"/>
      <c r="P838" s="14"/>
    </row>
    <row r="839" ht="18.75" customHeight="1">
      <c r="A839" s="7" t="s">
        <v>2504</v>
      </c>
      <c r="B839" s="9">
        <v>72354.0</v>
      </c>
      <c r="C839" s="9">
        <v>71005.0</v>
      </c>
      <c r="D839" s="9">
        <v>32349.0</v>
      </c>
      <c r="E839" s="9">
        <v>845.0</v>
      </c>
      <c r="F839" s="14"/>
      <c r="G839" s="15"/>
      <c r="H839" s="15"/>
      <c r="I839" s="14"/>
      <c r="J839" s="14"/>
      <c r="K839" s="14"/>
      <c r="L839" s="14"/>
      <c r="M839" s="14"/>
      <c r="N839" s="14"/>
      <c r="P839" s="14"/>
    </row>
    <row r="840" ht="18.75" customHeight="1">
      <c r="A840" s="7" t="s">
        <v>2613</v>
      </c>
      <c r="B840" s="9">
        <v>113249.0</v>
      </c>
      <c r="C840" s="9">
        <v>111048.0</v>
      </c>
      <c r="D840" s="9">
        <v>27352.0</v>
      </c>
      <c r="E840" s="9">
        <v>99.0</v>
      </c>
      <c r="F840" s="14"/>
      <c r="G840" s="15"/>
      <c r="H840" s="15"/>
      <c r="I840" s="14"/>
      <c r="J840" s="14"/>
      <c r="K840" s="14"/>
      <c r="L840" s="14"/>
      <c r="M840" s="14"/>
      <c r="N840" s="14"/>
      <c r="P840" s="14"/>
    </row>
    <row r="841" ht="18.75" customHeight="1">
      <c r="A841" s="7" t="s">
        <v>2286</v>
      </c>
      <c r="B841" s="9">
        <v>134.0</v>
      </c>
      <c r="C841" s="9">
        <v>133.0</v>
      </c>
      <c r="D841" s="9">
        <v>57.0</v>
      </c>
      <c r="E841" s="9">
        <v>0.0</v>
      </c>
      <c r="F841" s="14"/>
      <c r="G841" s="15"/>
      <c r="H841" s="15"/>
      <c r="I841" s="14"/>
      <c r="J841" s="14"/>
      <c r="K841" s="14"/>
      <c r="L841" s="14"/>
      <c r="M841" s="14"/>
      <c r="N841" s="14"/>
      <c r="P841" s="14"/>
    </row>
    <row r="842" ht="18.75" customHeight="1">
      <c r="A842" s="7" t="s">
        <v>2282</v>
      </c>
      <c r="B842" s="9">
        <v>359.0</v>
      </c>
      <c r="C842" s="9">
        <v>354.0</v>
      </c>
      <c r="D842" s="9">
        <v>157.0</v>
      </c>
      <c r="E842" s="9">
        <v>31.0</v>
      </c>
      <c r="F842" s="14"/>
      <c r="G842" s="15"/>
      <c r="H842" s="15"/>
      <c r="I842" s="14"/>
      <c r="J842" s="14"/>
      <c r="K842" s="14"/>
      <c r="L842" s="14"/>
      <c r="M842" s="14"/>
      <c r="N842" s="14"/>
      <c r="P842" s="14"/>
    </row>
    <row r="843" ht="18.75" customHeight="1">
      <c r="A843" s="7" t="s">
        <v>2614</v>
      </c>
      <c r="B843" s="9">
        <v>40172.0</v>
      </c>
      <c r="C843" s="9">
        <v>39317.0</v>
      </c>
      <c r="D843" s="9">
        <v>9663.0</v>
      </c>
      <c r="E843" s="9">
        <v>342.0</v>
      </c>
      <c r="F843" s="14"/>
      <c r="G843" s="15"/>
      <c r="H843" s="15"/>
      <c r="I843" s="14"/>
      <c r="J843" s="14"/>
      <c r="K843" s="14"/>
      <c r="L843" s="14"/>
      <c r="M843" s="14"/>
      <c r="N843" s="14"/>
      <c r="P843" s="14"/>
    </row>
    <row r="844" ht="18.75" customHeight="1">
      <c r="A844" s="7" t="s">
        <v>2615</v>
      </c>
      <c r="B844" s="9">
        <v>49783.0</v>
      </c>
      <c r="C844" s="9">
        <v>48659.0</v>
      </c>
      <c r="D844" s="9">
        <v>15921.0</v>
      </c>
      <c r="E844" s="9">
        <v>464.0</v>
      </c>
      <c r="F844" s="14"/>
      <c r="G844" s="15"/>
      <c r="H844" s="15"/>
      <c r="I844" s="14"/>
      <c r="J844" s="14"/>
      <c r="K844" s="14"/>
      <c r="L844" s="14"/>
      <c r="M844" s="14"/>
      <c r="N844" s="14"/>
      <c r="P844" s="14"/>
    </row>
    <row r="845" ht="18.75" customHeight="1">
      <c r="A845" s="7" t="s">
        <v>2616</v>
      </c>
      <c r="B845" s="9">
        <v>2641.0</v>
      </c>
      <c r="C845" s="9">
        <v>2585.0</v>
      </c>
      <c r="D845" s="9">
        <v>911.0</v>
      </c>
      <c r="E845" s="9">
        <v>60.0</v>
      </c>
      <c r="F845" s="14"/>
      <c r="G845" s="15"/>
      <c r="H845" s="15"/>
      <c r="I845" s="14"/>
      <c r="J845" s="14"/>
      <c r="K845" s="14"/>
      <c r="L845" s="14"/>
      <c r="M845" s="14"/>
      <c r="N845" s="14"/>
      <c r="P845" s="14"/>
    </row>
    <row r="846" ht="18.75" customHeight="1">
      <c r="A846" s="7" t="s">
        <v>2617</v>
      </c>
      <c r="B846" s="9">
        <v>471.0</v>
      </c>
      <c r="C846" s="9">
        <v>469.0</v>
      </c>
      <c r="D846" s="9">
        <v>209.0</v>
      </c>
      <c r="E846" s="9">
        <v>39.0</v>
      </c>
      <c r="F846" s="14"/>
      <c r="G846" s="15"/>
      <c r="H846" s="15"/>
      <c r="I846" s="14"/>
      <c r="J846" s="14"/>
      <c r="K846" s="14"/>
      <c r="L846" s="14"/>
      <c r="M846" s="14"/>
      <c r="N846" s="14"/>
      <c r="P846" s="14"/>
    </row>
    <row r="847" ht="18.75" customHeight="1">
      <c r="A847" s="7" t="s">
        <v>2617</v>
      </c>
      <c r="B847" s="9">
        <v>62.0</v>
      </c>
      <c r="C847" s="9">
        <v>61.0</v>
      </c>
      <c r="D847" s="9">
        <v>13.0</v>
      </c>
      <c r="E847" s="9">
        <v>1.0</v>
      </c>
      <c r="F847" s="14"/>
      <c r="G847" s="15"/>
      <c r="H847" s="15"/>
      <c r="I847" s="14"/>
      <c r="J847" s="14"/>
      <c r="K847" s="14"/>
      <c r="L847" s="14"/>
      <c r="M847" s="14"/>
      <c r="N847" s="14"/>
      <c r="P847" s="14"/>
    </row>
    <row r="848" ht="18.75" customHeight="1">
      <c r="A848" s="7" t="s">
        <v>2618</v>
      </c>
      <c r="B848" s="9">
        <v>1028.0</v>
      </c>
      <c r="C848" s="9">
        <v>1024.0</v>
      </c>
      <c r="D848" s="9">
        <v>462.0</v>
      </c>
      <c r="E848" s="9">
        <v>135.0</v>
      </c>
      <c r="F848" s="14"/>
      <c r="G848" s="15"/>
      <c r="H848" s="15"/>
      <c r="I848" s="14"/>
      <c r="J848" s="14"/>
      <c r="K848" s="14"/>
      <c r="L848" s="14"/>
      <c r="M848" s="14"/>
      <c r="N848" s="14"/>
    </row>
    <row r="849" ht="18.75" customHeight="1">
      <c r="A849" s="7" t="s">
        <v>2619</v>
      </c>
      <c r="B849" s="9">
        <v>32753.0</v>
      </c>
      <c r="C849" s="9">
        <v>23146.0</v>
      </c>
      <c r="D849" s="9">
        <v>7765.0</v>
      </c>
      <c r="E849" s="9">
        <v>197.0</v>
      </c>
      <c r="F849" s="14"/>
      <c r="G849" s="15"/>
      <c r="H849" s="15"/>
      <c r="I849" s="14"/>
      <c r="J849" s="14"/>
      <c r="K849" s="14"/>
      <c r="L849" s="14"/>
      <c r="M849" s="14"/>
      <c r="N849" s="14"/>
      <c r="P849" s="14"/>
    </row>
    <row r="850" ht="18.75" customHeight="1">
      <c r="A850" s="7" t="s">
        <v>2620</v>
      </c>
      <c r="B850" s="9">
        <v>34867.0</v>
      </c>
      <c r="C850" s="9">
        <v>34172.0</v>
      </c>
      <c r="D850" s="9">
        <v>11170.0</v>
      </c>
      <c r="E850" s="9">
        <v>119.0</v>
      </c>
      <c r="F850" s="14"/>
      <c r="G850" s="15"/>
      <c r="H850" s="15"/>
      <c r="I850" s="14"/>
      <c r="J850" s="14"/>
      <c r="K850" s="14"/>
      <c r="L850" s="14"/>
      <c r="M850" s="14"/>
      <c r="N850" s="14"/>
      <c r="P850" s="14"/>
    </row>
    <row r="851" ht="18.75" customHeight="1">
      <c r="A851" s="7" t="s">
        <v>2621</v>
      </c>
      <c r="B851" s="9">
        <v>37051.0</v>
      </c>
      <c r="C851" s="9">
        <v>36458.0</v>
      </c>
      <c r="D851" s="9">
        <v>16179.0</v>
      </c>
      <c r="E851" s="9">
        <v>89.0</v>
      </c>
      <c r="F851" s="14"/>
      <c r="G851" s="15"/>
      <c r="H851" s="15"/>
      <c r="I851" s="14"/>
      <c r="J851" s="14"/>
      <c r="K851" s="14"/>
      <c r="L851" s="14"/>
      <c r="M851" s="14"/>
      <c r="N851" s="14"/>
      <c r="P851" s="14"/>
    </row>
    <row r="852" ht="18.75" customHeight="1">
      <c r="A852" s="7" t="s">
        <v>2622</v>
      </c>
      <c r="B852" s="9">
        <v>18065.0</v>
      </c>
      <c r="C852" s="9">
        <v>17748.0</v>
      </c>
      <c r="D852" s="9">
        <v>5498.0</v>
      </c>
      <c r="E852" s="9">
        <v>118.0</v>
      </c>
      <c r="F852" s="14"/>
      <c r="G852" s="15"/>
      <c r="H852" s="15"/>
      <c r="I852" s="14"/>
      <c r="J852" s="14"/>
      <c r="K852" s="14"/>
      <c r="L852" s="14"/>
      <c r="M852" s="14"/>
      <c r="N852" s="14"/>
      <c r="P852" s="14"/>
    </row>
    <row r="853" ht="18.75" customHeight="1">
      <c r="A853" s="7" t="s">
        <v>2623</v>
      </c>
      <c r="B853" s="9">
        <v>15571.0</v>
      </c>
      <c r="C853" s="9">
        <v>15273.0</v>
      </c>
      <c r="D853" s="9">
        <v>3811.0</v>
      </c>
      <c r="E853" s="9">
        <v>63.0</v>
      </c>
      <c r="F853" s="14"/>
      <c r="G853" s="15"/>
      <c r="H853" s="15"/>
      <c r="I853" s="14"/>
      <c r="J853" s="14"/>
      <c r="K853" s="14"/>
      <c r="L853" s="14"/>
      <c r="M853" s="14"/>
      <c r="N853" s="14"/>
      <c r="P853" s="14"/>
    </row>
    <row r="854" ht="18.75" customHeight="1">
      <c r="A854" s="7" t="s">
        <v>2274</v>
      </c>
      <c r="B854" s="9">
        <v>19128.0</v>
      </c>
      <c r="C854" s="9">
        <v>18787.0</v>
      </c>
      <c r="D854" s="9">
        <v>5292.0</v>
      </c>
      <c r="E854" s="9">
        <v>146.0</v>
      </c>
      <c r="F854" s="14"/>
      <c r="G854" s="15"/>
      <c r="H854" s="15"/>
      <c r="I854" s="14"/>
      <c r="J854" s="14"/>
      <c r="K854" s="14"/>
      <c r="L854" s="14"/>
      <c r="M854" s="14"/>
      <c r="N854" s="14"/>
      <c r="P854" s="14"/>
    </row>
    <row r="855" ht="18.75" customHeight="1">
      <c r="A855" s="7" t="s">
        <v>2624</v>
      </c>
      <c r="B855" s="9">
        <v>19909.0</v>
      </c>
      <c r="C855" s="9">
        <v>19561.0</v>
      </c>
      <c r="D855" s="9">
        <v>3717.0</v>
      </c>
      <c r="E855" s="9">
        <v>23.0</v>
      </c>
      <c r="F855" s="14"/>
      <c r="G855" s="15"/>
      <c r="H855" s="15"/>
      <c r="I855" s="14"/>
      <c r="J855" s="14"/>
      <c r="K855" s="14"/>
      <c r="L855" s="14"/>
      <c r="M855" s="14"/>
      <c r="N855" s="14"/>
      <c r="P855" s="14"/>
    </row>
    <row r="856" ht="18.75" customHeight="1">
      <c r="A856" s="7" t="s">
        <v>2625</v>
      </c>
      <c r="B856" s="9">
        <v>13406.0</v>
      </c>
      <c r="C856" s="9">
        <v>13105.0</v>
      </c>
      <c r="D856" s="9">
        <v>2267.0</v>
      </c>
      <c r="E856" s="9">
        <v>82.0</v>
      </c>
      <c r="F856" s="14"/>
      <c r="G856" s="15"/>
      <c r="H856" s="15"/>
      <c r="I856" s="14"/>
      <c r="J856" s="14"/>
      <c r="K856" s="14"/>
      <c r="L856" s="14"/>
      <c r="M856" s="14"/>
      <c r="N856" s="14"/>
      <c r="P856" s="14"/>
    </row>
    <row r="857" ht="18.75" customHeight="1">
      <c r="A857" s="7" t="s">
        <v>2626</v>
      </c>
      <c r="B857" s="9">
        <v>87213.0</v>
      </c>
      <c r="C857" s="9">
        <v>85693.0</v>
      </c>
      <c r="D857" s="9">
        <v>32855.0</v>
      </c>
      <c r="E857" s="9">
        <v>102.0</v>
      </c>
      <c r="F857" s="14"/>
      <c r="G857" s="15"/>
      <c r="H857" s="15"/>
      <c r="I857" s="14"/>
      <c r="J857" s="14"/>
      <c r="K857" s="14"/>
      <c r="L857" s="14"/>
      <c r="M857" s="14"/>
      <c r="N857" s="14"/>
      <c r="P857" s="14"/>
    </row>
    <row r="858" ht="18.75" customHeight="1">
      <c r="A858" s="7" t="s">
        <v>2627</v>
      </c>
      <c r="B858" s="9">
        <v>115224.0</v>
      </c>
      <c r="C858" s="9">
        <v>112796.0</v>
      </c>
      <c r="D858" s="9">
        <v>21876.0</v>
      </c>
      <c r="E858" s="9">
        <v>77.0</v>
      </c>
      <c r="F858" s="14"/>
      <c r="G858" s="15"/>
      <c r="H858" s="15"/>
      <c r="I858" s="14"/>
      <c r="J858" s="14"/>
      <c r="K858" s="14"/>
      <c r="L858" s="14"/>
      <c r="M858" s="14"/>
      <c r="N858" s="14"/>
      <c r="P858" s="14"/>
    </row>
    <row r="859" ht="18.75" customHeight="1">
      <c r="A859" s="7" t="s">
        <v>2627</v>
      </c>
      <c r="B859" s="9">
        <v>125002.0</v>
      </c>
      <c r="C859" s="9">
        <v>122037.0</v>
      </c>
      <c r="D859" s="9">
        <v>15314.0</v>
      </c>
      <c r="E859" s="9">
        <v>90.0</v>
      </c>
      <c r="F859" s="14"/>
      <c r="G859" s="15"/>
      <c r="H859" s="15"/>
      <c r="I859" s="14"/>
      <c r="J859" s="14"/>
      <c r="K859" s="14"/>
      <c r="L859" s="14"/>
      <c r="M859" s="14"/>
      <c r="N859" s="14"/>
      <c r="P859" s="14"/>
    </row>
    <row r="860" ht="18.75" customHeight="1">
      <c r="A860" s="7" t="s">
        <v>2627</v>
      </c>
      <c r="B860" s="9">
        <v>148060.0</v>
      </c>
      <c r="C860" s="9">
        <v>144554.0</v>
      </c>
      <c r="D860" s="9">
        <v>19979.0</v>
      </c>
      <c r="E860" s="9">
        <v>83.0</v>
      </c>
      <c r="F860" s="14"/>
      <c r="G860" s="15"/>
      <c r="H860" s="15"/>
      <c r="I860" s="14"/>
      <c r="J860" s="14"/>
      <c r="K860" s="14"/>
      <c r="L860" s="14"/>
      <c r="M860" s="14"/>
      <c r="N860" s="14"/>
      <c r="P860" s="14"/>
    </row>
    <row r="861" ht="18.75" customHeight="1">
      <c r="A861" s="7" t="s">
        <v>2283</v>
      </c>
      <c r="B861" s="9">
        <v>18383.0</v>
      </c>
      <c r="C861" s="9">
        <v>18044.0</v>
      </c>
      <c r="D861" s="9">
        <v>5024.0</v>
      </c>
      <c r="E861" s="9">
        <v>28.0</v>
      </c>
      <c r="F861" s="14"/>
      <c r="G861" s="15"/>
      <c r="H861" s="15"/>
      <c r="I861" s="14"/>
      <c r="J861" s="14"/>
      <c r="K861" s="14"/>
      <c r="L861" s="14"/>
      <c r="M861" s="14"/>
      <c r="N861" s="14"/>
    </row>
    <row r="862" ht="18.75" customHeight="1">
      <c r="A862" s="7" t="s">
        <v>2504</v>
      </c>
      <c r="B862" s="9">
        <v>19975.0</v>
      </c>
      <c r="C862" s="9">
        <v>19563.0</v>
      </c>
      <c r="D862" s="9">
        <v>6311.0</v>
      </c>
      <c r="E862" s="9">
        <v>285.0</v>
      </c>
      <c r="F862" s="14"/>
      <c r="G862" s="15"/>
      <c r="H862" s="15"/>
      <c r="I862" s="14"/>
      <c r="J862" s="14"/>
      <c r="K862" s="14"/>
      <c r="L862" s="14"/>
      <c r="M862" s="14"/>
      <c r="N862" s="14"/>
      <c r="P862" s="14"/>
    </row>
    <row r="863" ht="18.75" customHeight="1">
      <c r="A863" s="7" t="s">
        <v>2504</v>
      </c>
      <c r="B863" s="9">
        <v>5122.0</v>
      </c>
      <c r="C863" s="9">
        <v>5003.0</v>
      </c>
      <c r="D863" s="9">
        <v>1344.0</v>
      </c>
      <c r="E863" s="9">
        <v>64.0</v>
      </c>
      <c r="F863" s="14"/>
      <c r="G863" s="15"/>
      <c r="H863" s="15"/>
      <c r="I863" s="14"/>
      <c r="J863" s="14"/>
      <c r="K863" s="14"/>
      <c r="L863" s="14"/>
      <c r="M863" s="14"/>
      <c r="N863" s="14"/>
      <c r="P863" s="14"/>
    </row>
    <row r="864" ht="18.75" customHeight="1">
      <c r="A864" s="7" t="s">
        <v>2504</v>
      </c>
      <c r="B864" s="9">
        <v>15476.0</v>
      </c>
      <c r="C864" s="9">
        <v>15125.0</v>
      </c>
      <c r="D864" s="9">
        <v>4855.0</v>
      </c>
      <c r="E864" s="9">
        <v>231.0</v>
      </c>
      <c r="F864" s="14"/>
      <c r="G864" s="15"/>
      <c r="H864" s="15"/>
      <c r="I864" s="14"/>
      <c r="J864" s="14"/>
      <c r="K864" s="14"/>
      <c r="L864" s="14"/>
      <c r="M864" s="14"/>
      <c r="N864" s="14"/>
      <c r="P864" s="14"/>
    </row>
    <row r="865" ht="18.75" customHeight="1">
      <c r="A865" s="7" t="s">
        <v>2624</v>
      </c>
      <c r="B865" s="9">
        <v>16177.0</v>
      </c>
      <c r="C865" s="9">
        <v>15812.0</v>
      </c>
      <c r="D865" s="9">
        <v>1147.0</v>
      </c>
      <c r="E865" s="9">
        <v>14.0</v>
      </c>
      <c r="F865" s="14"/>
      <c r="G865" s="15"/>
      <c r="H865" s="15"/>
      <c r="I865" s="14"/>
      <c r="J865" s="14"/>
      <c r="K865" s="14"/>
      <c r="L865" s="14"/>
      <c r="M865" s="14"/>
      <c r="N865" s="14"/>
      <c r="P865" s="14"/>
    </row>
    <row r="866" ht="18.75" customHeight="1">
      <c r="A866" s="7" t="s">
        <v>2628</v>
      </c>
      <c r="B866" s="9">
        <v>103519.0</v>
      </c>
      <c r="C866" s="9">
        <v>101363.0</v>
      </c>
      <c r="D866" s="9">
        <v>35051.0</v>
      </c>
      <c r="E866" s="9">
        <v>4935.0</v>
      </c>
      <c r="F866" s="14"/>
      <c r="G866" s="15"/>
      <c r="H866" s="15"/>
      <c r="I866" s="14"/>
      <c r="J866" s="14"/>
      <c r="K866" s="14"/>
      <c r="L866" s="14"/>
      <c r="M866" s="14"/>
      <c r="N866" s="14"/>
      <c r="P866" s="14"/>
    </row>
    <row r="867" ht="18.75" customHeight="1">
      <c r="A867" s="7" t="s">
        <v>2629</v>
      </c>
      <c r="B867" s="9">
        <v>28465.0</v>
      </c>
      <c r="C867" s="9">
        <v>28006.0</v>
      </c>
      <c r="D867" s="9">
        <v>10040.0</v>
      </c>
      <c r="E867" s="9">
        <v>165.0</v>
      </c>
      <c r="F867" s="14"/>
      <c r="G867" s="15"/>
      <c r="H867" s="15"/>
      <c r="I867" s="14"/>
      <c r="J867" s="14"/>
      <c r="K867" s="14"/>
      <c r="L867" s="14"/>
      <c r="M867" s="14"/>
      <c r="N867" s="14"/>
      <c r="P867" s="14"/>
    </row>
    <row r="868" ht="18.75" customHeight="1">
      <c r="A868" s="7" t="s">
        <v>2282</v>
      </c>
      <c r="B868" s="9">
        <v>436.0</v>
      </c>
      <c r="C868" s="9">
        <v>427.0</v>
      </c>
      <c r="D868" s="9">
        <v>122.0</v>
      </c>
      <c r="E868" s="9">
        <v>14.0</v>
      </c>
      <c r="F868" s="14"/>
      <c r="G868" s="15"/>
      <c r="H868" s="15"/>
      <c r="I868" s="14"/>
      <c r="J868" s="14"/>
      <c r="K868" s="14"/>
      <c r="L868" s="14"/>
      <c r="M868" s="14"/>
      <c r="N868" s="14"/>
      <c r="P868" s="14"/>
    </row>
    <row r="869" ht="18.75" customHeight="1">
      <c r="A869" s="7" t="s">
        <v>2630</v>
      </c>
      <c r="B869" s="9">
        <v>291.0</v>
      </c>
      <c r="C869" s="9">
        <v>282.0</v>
      </c>
      <c r="D869" s="9">
        <v>135.0</v>
      </c>
      <c r="E869" s="9">
        <v>27.0</v>
      </c>
      <c r="F869" s="14"/>
      <c r="G869" s="15"/>
      <c r="H869" s="15"/>
      <c r="I869" s="14"/>
      <c r="J869" s="14"/>
      <c r="K869" s="14"/>
      <c r="L869" s="14"/>
      <c r="M869" s="14"/>
      <c r="N869" s="14"/>
      <c r="P869" s="14"/>
    </row>
    <row r="870" ht="18.75" customHeight="1">
      <c r="A870" s="7" t="s">
        <v>2631</v>
      </c>
      <c r="B870" s="9">
        <v>11485.0</v>
      </c>
      <c r="C870" s="9">
        <v>11300.0</v>
      </c>
      <c r="D870" s="9">
        <v>5534.0</v>
      </c>
      <c r="E870" s="9">
        <v>230.0</v>
      </c>
      <c r="F870" s="14"/>
      <c r="G870" s="15"/>
      <c r="H870" s="15"/>
      <c r="I870" s="14"/>
      <c r="J870" s="14"/>
      <c r="K870" s="14"/>
      <c r="L870" s="14"/>
      <c r="M870" s="14"/>
      <c r="N870" s="14"/>
      <c r="P870" s="14"/>
    </row>
    <row r="871" ht="18.75" customHeight="1">
      <c r="A871" s="7" t="s">
        <v>2632</v>
      </c>
      <c r="B871" s="9">
        <v>9035.0</v>
      </c>
      <c r="C871" s="9">
        <v>8898.0</v>
      </c>
      <c r="D871" s="9">
        <v>2806.0</v>
      </c>
      <c r="E871" s="9">
        <v>126.0</v>
      </c>
      <c r="F871" s="14"/>
      <c r="G871" s="15"/>
      <c r="H871" s="15"/>
      <c r="I871" s="14"/>
      <c r="J871" s="14"/>
      <c r="K871" s="14"/>
      <c r="L871" s="14"/>
      <c r="M871" s="14"/>
      <c r="N871" s="14"/>
      <c r="P871" s="14"/>
    </row>
    <row r="872" ht="18.75" customHeight="1">
      <c r="A872" s="7" t="s">
        <v>2633</v>
      </c>
      <c r="B872" s="9">
        <v>47309.0</v>
      </c>
      <c r="C872" s="9">
        <v>46286.0</v>
      </c>
      <c r="D872" s="9">
        <v>7097.0</v>
      </c>
      <c r="E872" s="9">
        <v>123.0</v>
      </c>
      <c r="F872" s="14"/>
      <c r="G872" s="15"/>
      <c r="H872" s="15"/>
      <c r="I872" s="14"/>
      <c r="J872" s="14"/>
      <c r="K872" s="14"/>
      <c r="L872" s="14"/>
      <c r="M872" s="14"/>
      <c r="N872" s="14"/>
      <c r="P872" s="14"/>
    </row>
    <row r="873" ht="18.75" customHeight="1">
      <c r="A873" s="7" t="s">
        <v>2616</v>
      </c>
      <c r="B873" s="9">
        <v>64.0</v>
      </c>
      <c r="C873" s="9">
        <v>64.0</v>
      </c>
      <c r="D873" s="9">
        <v>49.0</v>
      </c>
      <c r="E873" s="9">
        <v>2.0</v>
      </c>
      <c r="F873" s="14"/>
      <c r="G873" s="15"/>
      <c r="H873" s="15"/>
      <c r="I873" s="14"/>
      <c r="J873" s="14"/>
      <c r="K873" s="14"/>
      <c r="L873" s="14"/>
      <c r="M873" s="14"/>
      <c r="N873" s="14"/>
      <c r="P873" s="14"/>
    </row>
    <row r="874" ht="18.75" customHeight="1">
      <c r="A874" s="7" t="s">
        <v>2358</v>
      </c>
      <c r="B874" s="9">
        <v>14100.0</v>
      </c>
      <c r="C874" s="9">
        <v>13848.0</v>
      </c>
      <c r="D874" s="9">
        <v>4509.0</v>
      </c>
      <c r="E874" s="9">
        <v>251.0</v>
      </c>
      <c r="F874" s="14"/>
      <c r="G874" s="15"/>
      <c r="H874" s="15"/>
      <c r="I874" s="14"/>
      <c r="J874" s="14"/>
      <c r="K874" s="14"/>
      <c r="L874" s="14"/>
      <c r="M874" s="14"/>
      <c r="N874" s="14"/>
      <c r="P874" s="14"/>
    </row>
    <row r="875" ht="18.75" customHeight="1">
      <c r="A875" s="7" t="s">
        <v>2587</v>
      </c>
      <c r="B875" s="9">
        <v>24634.0</v>
      </c>
      <c r="C875" s="9">
        <v>23928.0</v>
      </c>
      <c r="D875" s="9">
        <v>3097.0</v>
      </c>
      <c r="E875" s="9">
        <v>64.0</v>
      </c>
      <c r="F875" s="14"/>
      <c r="G875" s="15"/>
      <c r="H875" s="15"/>
      <c r="I875" s="14"/>
      <c r="J875" s="14"/>
      <c r="K875" s="14"/>
      <c r="L875" s="14"/>
      <c r="M875" s="14"/>
      <c r="N875" s="14"/>
      <c r="P875" s="14"/>
    </row>
    <row r="876" ht="18.75" customHeight="1">
      <c r="A876" s="7" t="s">
        <v>2587</v>
      </c>
      <c r="B876" s="9">
        <v>8726.0</v>
      </c>
      <c r="C876" s="9">
        <v>8553.0</v>
      </c>
      <c r="D876" s="9">
        <v>2028.0</v>
      </c>
      <c r="E876" s="9">
        <v>30.0</v>
      </c>
      <c r="F876" s="14"/>
      <c r="G876" s="15"/>
      <c r="H876" s="15"/>
      <c r="I876" s="14"/>
      <c r="J876" s="14"/>
      <c r="K876" s="14"/>
      <c r="L876" s="14"/>
      <c r="M876" s="14"/>
      <c r="N876" s="14"/>
      <c r="P876" s="14"/>
    </row>
    <row r="877" ht="18.75" customHeight="1">
      <c r="A877" s="7" t="s">
        <v>2634</v>
      </c>
      <c r="B877" s="9">
        <v>7536.0</v>
      </c>
      <c r="C877" s="9">
        <v>7407.0</v>
      </c>
      <c r="D877" s="9">
        <v>2986.0</v>
      </c>
      <c r="E877" s="9">
        <v>252.0</v>
      </c>
      <c r="F877" s="14"/>
      <c r="G877" s="15"/>
      <c r="H877" s="15"/>
      <c r="I877" s="14"/>
      <c r="J877" s="14"/>
      <c r="K877" s="14"/>
      <c r="L877" s="14"/>
      <c r="M877" s="14"/>
      <c r="N877" s="14"/>
      <c r="P877" s="14"/>
    </row>
    <row r="878" ht="18.75" customHeight="1">
      <c r="A878" s="7" t="s">
        <v>2634</v>
      </c>
      <c r="B878" s="9">
        <v>15952.0</v>
      </c>
      <c r="C878" s="9">
        <v>15231.0</v>
      </c>
      <c r="D878" s="9">
        <v>6013.0</v>
      </c>
      <c r="E878" s="9">
        <v>208.0</v>
      </c>
      <c r="F878" s="14"/>
      <c r="G878" s="15"/>
      <c r="H878" s="15"/>
      <c r="I878" s="14"/>
      <c r="J878" s="14"/>
      <c r="K878" s="14"/>
      <c r="L878" s="14"/>
      <c r="M878" s="14"/>
      <c r="N878" s="14"/>
      <c r="P878" s="14"/>
    </row>
    <row r="879" ht="18.75" customHeight="1">
      <c r="A879" s="7" t="s">
        <v>2635</v>
      </c>
      <c r="B879" s="9">
        <v>79653.0</v>
      </c>
      <c r="C879" s="9">
        <v>78272.0</v>
      </c>
      <c r="D879" s="9">
        <v>29931.0</v>
      </c>
      <c r="E879" s="9">
        <v>1546.0</v>
      </c>
      <c r="F879" s="14"/>
      <c r="G879" s="15"/>
      <c r="H879" s="15"/>
      <c r="I879" s="14"/>
      <c r="J879" s="14"/>
      <c r="K879" s="14"/>
      <c r="L879" s="14"/>
      <c r="M879" s="14"/>
      <c r="N879" s="14"/>
      <c r="P879" s="14"/>
    </row>
    <row r="880" ht="18.75" customHeight="1">
      <c r="A880" s="7" t="s">
        <v>2636</v>
      </c>
      <c r="B880" s="9">
        <v>6018.0</v>
      </c>
      <c r="C880" s="9">
        <v>5961.0</v>
      </c>
      <c r="D880" s="9">
        <v>4754.0</v>
      </c>
      <c r="E880" s="9">
        <v>216.0</v>
      </c>
      <c r="F880" s="14"/>
      <c r="G880" s="15"/>
      <c r="H880" s="15"/>
      <c r="I880" s="14"/>
      <c r="J880" s="14"/>
      <c r="K880" s="14"/>
      <c r="L880" s="14"/>
      <c r="M880" s="14"/>
      <c r="N880" s="14"/>
      <c r="P880" s="14"/>
    </row>
    <row r="881" ht="18.75" customHeight="1">
      <c r="A881" s="7" t="s">
        <v>2637</v>
      </c>
      <c r="B881" s="9">
        <v>17072.0</v>
      </c>
      <c r="C881" s="9">
        <v>16711.0</v>
      </c>
      <c r="D881" s="9">
        <v>4255.0</v>
      </c>
      <c r="E881" s="9">
        <v>55.0</v>
      </c>
      <c r="F881" s="14"/>
      <c r="G881" s="15"/>
      <c r="H881" s="15"/>
      <c r="I881" s="14"/>
      <c r="J881" s="14"/>
      <c r="K881" s="14"/>
      <c r="L881" s="14"/>
      <c r="M881" s="14"/>
      <c r="N881" s="14"/>
      <c r="P881" s="14"/>
    </row>
    <row r="882" ht="18.75" customHeight="1">
      <c r="A882" s="7" t="s">
        <v>2638</v>
      </c>
      <c r="B882" s="9">
        <v>78690.0</v>
      </c>
      <c r="C882" s="9">
        <v>77388.0</v>
      </c>
      <c r="D882" s="9">
        <v>24792.0</v>
      </c>
      <c r="E882" s="9">
        <v>342.0</v>
      </c>
      <c r="F882" s="14"/>
      <c r="G882" s="15"/>
      <c r="H882" s="15"/>
      <c r="I882" s="14"/>
      <c r="J882" s="14"/>
      <c r="K882" s="14"/>
      <c r="L882" s="14"/>
      <c r="M882" s="14"/>
      <c r="N882" s="14"/>
      <c r="P882" s="14"/>
    </row>
    <row r="883" ht="18.75" customHeight="1">
      <c r="A883" s="7" t="s">
        <v>2639</v>
      </c>
      <c r="B883" s="9">
        <v>143277.0</v>
      </c>
      <c r="C883" s="9">
        <v>140299.0</v>
      </c>
      <c r="D883" s="9">
        <v>32911.0</v>
      </c>
      <c r="E883" s="9">
        <v>74.0</v>
      </c>
      <c r="F883" s="14"/>
      <c r="G883" s="15"/>
      <c r="H883" s="15"/>
      <c r="I883" s="14"/>
      <c r="J883" s="14"/>
      <c r="L883" s="14"/>
      <c r="M883" s="14"/>
      <c r="N883" s="14"/>
      <c r="P883" s="14"/>
    </row>
    <row r="884" ht="18.75" customHeight="1">
      <c r="A884" s="7" t="s">
        <v>2274</v>
      </c>
      <c r="B884" s="9">
        <v>19489.0</v>
      </c>
      <c r="C884" s="9">
        <v>19138.0</v>
      </c>
      <c r="D884" s="9">
        <v>5014.0</v>
      </c>
      <c r="E884" s="9">
        <v>177.0</v>
      </c>
      <c r="F884" s="14"/>
      <c r="G884" s="15"/>
      <c r="H884" s="15"/>
      <c r="I884" s="14"/>
      <c r="J884" s="14"/>
      <c r="K884" s="14"/>
      <c r="L884" s="14"/>
      <c r="M884" s="14"/>
      <c r="N884" s="14"/>
      <c r="P884" s="14"/>
    </row>
    <row r="885" ht="18.75" customHeight="1">
      <c r="A885" s="7" t="s">
        <v>2640</v>
      </c>
      <c r="B885" s="9">
        <v>52139.0</v>
      </c>
      <c r="C885" s="9">
        <v>51249.0</v>
      </c>
      <c r="D885" s="9">
        <v>21109.0</v>
      </c>
      <c r="E885" s="9">
        <v>58.0</v>
      </c>
      <c r="F885" s="14"/>
      <c r="G885" s="15"/>
      <c r="H885" s="15"/>
      <c r="I885" s="14"/>
      <c r="J885" s="14"/>
      <c r="L885" s="14"/>
      <c r="M885" s="14"/>
      <c r="N885" s="14"/>
      <c r="P885" s="14"/>
    </row>
    <row r="886" ht="18.75" customHeight="1">
      <c r="A886" s="7" t="s">
        <v>2358</v>
      </c>
      <c r="B886" s="9">
        <v>20128.0</v>
      </c>
      <c r="C886" s="9">
        <v>19757.0</v>
      </c>
      <c r="D886" s="9">
        <v>6004.0</v>
      </c>
      <c r="E886" s="9">
        <v>342.0</v>
      </c>
      <c r="F886" s="14"/>
      <c r="G886" s="15"/>
      <c r="H886" s="15"/>
      <c r="I886" s="14"/>
      <c r="J886" s="14"/>
      <c r="K886" s="14"/>
      <c r="L886" s="14"/>
      <c r="M886" s="14"/>
      <c r="N886" s="14"/>
      <c r="P886" s="14"/>
    </row>
    <row r="887" ht="18.75" customHeight="1">
      <c r="A887" s="7" t="s">
        <v>2358</v>
      </c>
      <c r="B887" s="9">
        <v>12942.0</v>
      </c>
      <c r="C887" s="9">
        <v>12689.0</v>
      </c>
      <c r="D887" s="9">
        <v>4215.0</v>
      </c>
      <c r="E887" s="9">
        <v>212.0</v>
      </c>
      <c r="F887" s="14"/>
      <c r="G887" s="15"/>
      <c r="H887" s="15"/>
      <c r="I887" s="14"/>
      <c r="J887" s="14"/>
      <c r="K887" s="14"/>
      <c r="L887" s="14"/>
      <c r="M887" s="14"/>
      <c r="N887" s="14"/>
      <c r="P887" s="14"/>
    </row>
    <row r="888" ht="18.75" customHeight="1">
      <c r="A888" s="7" t="s">
        <v>2641</v>
      </c>
      <c r="B888" s="9">
        <v>2712.0</v>
      </c>
      <c r="C888" s="9">
        <v>2695.0</v>
      </c>
      <c r="D888" s="9">
        <v>1306.0</v>
      </c>
      <c r="E888" s="9">
        <v>79.0</v>
      </c>
      <c r="F888" s="14"/>
      <c r="G888" s="15"/>
      <c r="H888" s="15"/>
      <c r="I888" s="14"/>
      <c r="J888" s="14"/>
      <c r="K888" s="14"/>
      <c r="L888" s="14"/>
      <c r="M888" s="14"/>
      <c r="N888" s="14"/>
      <c r="P888" s="14"/>
    </row>
    <row r="889" ht="18.75" customHeight="1">
      <c r="A889" s="7" t="s">
        <v>2641</v>
      </c>
      <c r="B889" s="9">
        <v>3011.0</v>
      </c>
      <c r="C889" s="9">
        <v>2982.0</v>
      </c>
      <c r="D889" s="9">
        <v>1504.0</v>
      </c>
      <c r="E889" s="9">
        <v>119.0</v>
      </c>
      <c r="F889" s="14"/>
      <c r="G889" s="15"/>
      <c r="H889" s="15"/>
      <c r="I889" s="14"/>
      <c r="J889" s="14"/>
      <c r="K889" s="14"/>
      <c r="L889" s="14"/>
      <c r="M889" s="14"/>
      <c r="N889" s="14"/>
      <c r="P889" s="14"/>
    </row>
    <row r="890" ht="18.75" customHeight="1">
      <c r="A890" s="7" t="s">
        <v>2358</v>
      </c>
      <c r="B890" s="9">
        <v>21620.0</v>
      </c>
      <c r="C890" s="9">
        <v>21266.0</v>
      </c>
      <c r="D890" s="9">
        <v>6786.0</v>
      </c>
      <c r="E890" s="9">
        <v>247.0</v>
      </c>
      <c r="F890" s="14"/>
      <c r="G890" s="15"/>
      <c r="H890" s="15"/>
      <c r="I890" s="14"/>
      <c r="J890" s="14"/>
      <c r="K890" s="14"/>
      <c r="L890" s="14"/>
      <c r="M890" s="14"/>
      <c r="N890" s="14"/>
      <c r="P890" s="14"/>
    </row>
    <row r="891" ht="18.75" customHeight="1">
      <c r="A891" s="7" t="s">
        <v>2642</v>
      </c>
      <c r="B891" s="9">
        <v>50719.0</v>
      </c>
      <c r="C891" s="9">
        <v>49850.0</v>
      </c>
      <c r="D891" s="9">
        <v>16096.0</v>
      </c>
      <c r="E891" s="9">
        <v>248.0</v>
      </c>
      <c r="F891" s="14"/>
      <c r="G891" s="15"/>
      <c r="H891" s="15"/>
      <c r="I891" s="14"/>
      <c r="J891" s="14"/>
      <c r="K891" s="14"/>
      <c r="L891" s="14"/>
      <c r="M891" s="14"/>
      <c r="N891" s="14"/>
      <c r="P891" s="14"/>
    </row>
    <row r="892" ht="18.75" customHeight="1">
      <c r="A892" s="7" t="s">
        <v>2504</v>
      </c>
      <c r="B892" s="9">
        <v>2768.0</v>
      </c>
      <c r="C892" s="9">
        <v>2733.0</v>
      </c>
      <c r="D892" s="9">
        <v>980.0</v>
      </c>
      <c r="E892" s="9">
        <v>61.0</v>
      </c>
      <c r="F892" s="14"/>
      <c r="G892" s="15"/>
      <c r="H892" s="15"/>
      <c r="I892" s="14"/>
      <c r="J892" s="14"/>
      <c r="K892" s="14"/>
      <c r="L892" s="14"/>
      <c r="M892" s="14"/>
      <c r="N892" s="14"/>
      <c r="P892" s="14"/>
    </row>
    <row r="893" ht="18.75" customHeight="1">
      <c r="A893" s="7" t="s">
        <v>2504</v>
      </c>
      <c r="B893" s="9">
        <v>10377.0</v>
      </c>
      <c r="C893" s="9">
        <v>10219.0</v>
      </c>
      <c r="D893" s="9">
        <v>4089.0</v>
      </c>
      <c r="E893" s="9">
        <v>184.0</v>
      </c>
      <c r="F893" s="14"/>
      <c r="G893" s="15"/>
      <c r="H893" s="15"/>
      <c r="I893" s="14"/>
      <c r="J893" s="14"/>
      <c r="K893" s="14"/>
      <c r="L893" s="14"/>
      <c r="M893" s="14"/>
      <c r="N893" s="14"/>
      <c r="P893" s="14"/>
    </row>
    <row r="894" ht="18.75" customHeight="1">
      <c r="A894" s="7" t="s">
        <v>2504</v>
      </c>
      <c r="B894" s="9">
        <v>10076.0</v>
      </c>
      <c r="C894" s="9">
        <v>9877.0</v>
      </c>
      <c r="D894" s="9">
        <v>3840.0</v>
      </c>
      <c r="E894" s="9">
        <v>218.0</v>
      </c>
      <c r="F894" s="14"/>
      <c r="G894" s="15"/>
      <c r="H894" s="15"/>
      <c r="I894" s="14"/>
      <c r="J894" s="14"/>
      <c r="K894" s="14"/>
      <c r="L894" s="14"/>
      <c r="M894" s="14"/>
      <c r="N894" s="14"/>
      <c r="P894" s="14"/>
    </row>
    <row r="895" ht="18.75" customHeight="1">
      <c r="A895" s="7" t="s">
        <v>2504</v>
      </c>
      <c r="B895" s="9">
        <v>8940.0</v>
      </c>
      <c r="C895" s="9">
        <v>8736.0</v>
      </c>
      <c r="D895" s="9">
        <v>2773.0</v>
      </c>
      <c r="E895" s="9">
        <v>125.0</v>
      </c>
      <c r="F895" s="14"/>
      <c r="G895" s="15"/>
      <c r="H895" s="15"/>
      <c r="I895" s="14"/>
      <c r="J895" s="14"/>
      <c r="K895" s="14"/>
      <c r="L895" s="14"/>
      <c r="M895" s="14"/>
      <c r="N895" s="14"/>
      <c r="P895" s="14"/>
    </row>
    <row r="896" ht="18.75" customHeight="1">
      <c r="A896" s="7" t="s">
        <v>2504</v>
      </c>
      <c r="B896" s="9">
        <v>1224.0</v>
      </c>
      <c r="C896" s="9">
        <v>1199.0</v>
      </c>
      <c r="D896" s="9">
        <v>432.0</v>
      </c>
      <c r="E896" s="9">
        <v>30.0</v>
      </c>
      <c r="F896" s="14"/>
      <c r="G896" s="15"/>
      <c r="H896" s="15"/>
      <c r="I896" s="14"/>
      <c r="J896" s="14"/>
      <c r="K896" s="14"/>
      <c r="L896" s="14"/>
      <c r="M896" s="14"/>
      <c r="N896" s="14"/>
      <c r="P896" s="14"/>
    </row>
    <row r="897" ht="18.75" customHeight="1">
      <c r="A897" s="7" t="s">
        <v>2286</v>
      </c>
      <c r="B897" s="9">
        <v>438.0</v>
      </c>
      <c r="C897" s="9">
        <v>429.0</v>
      </c>
      <c r="D897" s="9">
        <v>121.0</v>
      </c>
      <c r="E897" s="9">
        <v>4.0</v>
      </c>
      <c r="F897" s="14"/>
      <c r="G897" s="15"/>
      <c r="H897" s="15"/>
      <c r="I897" s="14"/>
      <c r="J897" s="14"/>
      <c r="K897" s="14"/>
      <c r="L897" s="14"/>
      <c r="M897" s="14"/>
      <c r="N897" s="14"/>
      <c r="P897" s="14"/>
    </row>
    <row r="898" ht="18.75" customHeight="1">
      <c r="A898" s="7" t="s">
        <v>2643</v>
      </c>
      <c r="B898" s="9">
        <v>47717.0</v>
      </c>
      <c r="C898" s="9">
        <v>46989.0</v>
      </c>
      <c r="D898" s="9">
        <v>17745.0</v>
      </c>
      <c r="E898" s="9">
        <v>229.0</v>
      </c>
      <c r="F898" s="14"/>
      <c r="G898" s="15"/>
      <c r="H898" s="15"/>
      <c r="I898" s="14"/>
      <c r="J898" s="14"/>
      <c r="K898" s="14"/>
      <c r="L898" s="14"/>
      <c r="M898" s="14"/>
      <c r="N898" s="14"/>
      <c r="P898" s="14"/>
    </row>
    <row r="899" ht="18.75" customHeight="1">
      <c r="A899" s="7" t="s">
        <v>2644</v>
      </c>
      <c r="B899" s="9">
        <v>20.683</v>
      </c>
      <c r="C899" s="9">
        <v>20194.0</v>
      </c>
      <c r="D899" s="9">
        <v>7270.0</v>
      </c>
      <c r="E899" s="9">
        <v>338.0</v>
      </c>
      <c r="F899" s="14"/>
      <c r="G899" s="15"/>
      <c r="H899" s="15"/>
      <c r="I899" s="14"/>
      <c r="J899" s="14"/>
      <c r="K899" s="14"/>
      <c r="L899" s="14"/>
      <c r="M899" s="14"/>
      <c r="N899" s="14"/>
      <c r="P899" s="14"/>
    </row>
    <row r="900" ht="18.75" customHeight="1">
      <c r="A900" s="7" t="s">
        <v>2644</v>
      </c>
      <c r="B900" s="9">
        <v>242.0</v>
      </c>
      <c r="C900" s="9">
        <v>239.0</v>
      </c>
      <c r="D900" s="9">
        <v>93.0</v>
      </c>
      <c r="E900" s="9">
        <v>14.0</v>
      </c>
      <c r="F900" s="14"/>
      <c r="G900" s="15"/>
      <c r="H900" s="15"/>
      <c r="I900" s="14"/>
      <c r="J900" s="14"/>
      <c r="K900" s="14"/>
      <c r="L900" s="14"/>
      <c r="M900" s="14"/>
      <c r="N900" s="14"/>
      <c r="P900" s="14"/>
    </row>
    <row r="901" ht="18.75" customHeight="1">
      <c r="A901" s="7" t="s">
        <v>2358</v>
      </c>
      <c r="B901" s="9">
        <v>58576.0</v>
      </c>
      <c r="C901" s="9">
        <v>57365.0</v>
      </c>
      <c r="D901" s="9">
        <v>17138.0</v>
      </c>
      <c r="E901" s="9">
        <v>649.0</v>
      </c>
      <c r="F901" s="14"/>
      <c r="G901" s="15"/>
      <c r="H901" s="15"/>
      <c r="I901" s="14"/>
      <c r="J901" s="14"/>
      <c r="K901" s="14"/>
      <c r="L901" s="14"/>
      <c r="M901" s="14"/>
      <c r="N901" s="14"/>
      <c r="P901" s="14"/>
    </row>
    <row r="902" ht="18.75" customHeight="1">
      <c r="A902" s="7" t="s">
        <v>2627</v>
      </c>
      <c r="B902" s="9">
        <v>46615.0</v>
      </c>
      <c r="C902" s="9">
        <v>45390.0</v>
      </c>
      <c r="D902" s="9">
        <v>8258.0</v>
      </c>
      <c r="E902" s="9">
        <v>275.0</v>
      </c>
      <c r="F902" s="14"/>
      <c r="G902" s="15"/>
      <c r="H902" s="15"/>
      <c r="I902" s="14"/>
      <c r="J902" s="14"/>
      <c r="K902" s="14"/>
      <c r="L902" s="14"/>
      <c r="M902" s="14"/>
      <c r="N902" s="14"/>
      <c r="P902" s="14"/>
    </row>
    <row r="903" ht="18.75" customHeight="1">
      <c r="A903" s="7" t="s">
        <v>2627</v>
      </c>
      <c r="B903" s="9">
        <v>46621.0</v>
      </c>
      <c r="C903" s="9">
        <v>45541.0</v>
      </c>
      <c r="D903" s="9">
        <v>7856.0</v>
      </c>
      <c r="E903" s="9">
        <v>298.0</v>
      </c>
      <c r="F903" s="14"/>
      <c r="G903" s="15"/>
      <c r="H903" s="15"/>
      <c r="I903" s="14"/>
      <c r="J903" s="14"/>
      <c r="K903" s="14"/>
      <c r="L903" s="14"/>
      <c r="M903" s="14"/>
      <c r="N903" s="14"/>
      <c r="P903" s="14"/>
    </row>
    <row r="904" ht="18.75" customHeight="1">
      <c r="A904" s="7" t="s">
        <v>2645</v>
      </c>
      <c r="B904" s="9">
        <v>67727.0</v>
      </c>
      <c r="C904" s="9">
        <v>66268.0</v>
      </c>
      <c r="D904" s="9">
        <v>16142.0</v>
      </c>
      <c r="E904" s="9">
        <v>203.0</v>
      </c>
      <c r="F904" s="14"/>
      <c r="G904" s="15"/>
      <c r="H904" s="15"/>
      <c r="I904" s="14"/>
      <c r="J904" s="14"/>
      <c r="K904" s="14"/>
      <c r="L904" s="14"/>
      <c r="M904" s="14"/>
      <c r="N904" s="14"/>
      <c r="P904" s="14"/>
    </row>
    <row r="905" ht="18.75" customHeight="1">
      <c r="A905" s="7" t="s">
        <v>2645</v>
      </c>
      <c r="B905" s="9">
        <v>100.0</v>
      </c>
      <c r="C905" s="9">
        <v>100.0</v>
      </c>
      <c r="D905" s="9">
        <v>35.0</v>
      </c>
      <c r="E905" s="9">
        <v>5.0</v>
      </c>
      <c r="F905" s="14"/>
      <c r="G905" s="15"/>
      <c r="H905" s="15"/>
      <c r="I905" s="14"/>
      <c r="J905" s="14"/>
      <c r="K905" s="14"/>
      <c r="L905" s="14"/>
      <c r="M905" s="14"/>
      <c r="N905" s="14"/>
      <c r="P905" s="14"/>
    </row>
    <row r="906" ht="18.75" customHeight="1">
      <c r="A906" s="7" t="s">
        <v>2646</v>
      </c>
      <c r="B906" s="9">
        <v>23891.0</v>
      </c>
      <c r="C906" s="9">
        <v>23393.0</v>
      </c>
      <c r="D906" s="9">
        <v>6096.0</v>
      </c>
      <c r="E906" s="9">
        <v>170.0</v>
      </c>
      <c r="F906" s="14"/>
      <c r="G906" s="15"/>
      <c r="H906" s="15"/>
      <c r="I906" s="14"/>
      <c r="J906" s="14"/>
      <c r="K906" s="14"/>
      <c r="L906" s="14"/>
      <c r="M906" s="14"/>
      <c r="N906" s="14"/>
      <c r="P906" s="14"/>
    </row>
    <row r="907" ht="18.75" customHeight="1">
      <c r="A907" s="7" t="s">
        <v>2358</v>
      </c>
      <c r="B907" s="9">
        <v>8556.0</v>
      </c>
      <c r="C907" s="9">
        <v>8376.0</v>
      </c>
      <c r="D907" s="9">
        <v>2374.0</v>
      </c>
      <c r="E907" s="9">
        <v>112.0</v>
      </c>
      <c r="F907" s="14"/>
      <c r="G907" s="15"/>
      <c r="H907" s="15"/>
      <c r="I907" s="14"/>
      <c r="J907" s="14"/>
      <c r="K907" s="14"/>
      <c r="L907" s="14"/>
      <c r="M907" s="14"/>
      <c r="N907" s="14"/>
      <c r="P907" s="14"/>
    </row>
    <row r="908" ht="18.75" customHeight="1">
      <c r="A908" s="7" t="s">
        <v>2647</v>
      </c>
      <c r="B908" s="9">
        <v>17653.0</v>
      </c>
      <c r="C908" s="9">
        <v>17352.0</v>
      </c>
      <c r="D908" s="9">
        <v>2956.0</v>
      </c>
      <c r="E908" s="9">
        <v>41.0</v>
      </c>
      <c r="F908" s="14"/>
      <c r="G908" s="15"/>
      <c r="H908" s="15"/>
      <c r="I908" s="14"/>
      <c r="J908" s="14"/>
      <c r="K908" s="14"/>
      <c r="L908" s="14"/>
      <c r="M908" s="14"/>
      <c r="N908" s="14"/>
      <c r="P908" s="14"/>
    </row>
    <row r="909" ht="18.75" customHeight="1">
      <c r="A909" s="7" t="s">
        <v>2648</v>
      </c>
      <c r="B909" s="9">
        <v>52209.0</v>
      </c>
      <c r="C909" s="9">
        <v>51276.0</v>
      </c>
      <c r="D909" s="9">
        <v>13272.0</v>
      </c>
      <c r="E909" s="9">
        <v>99.0</v>
      </c>
      <c r="F909" s="14"/>
      <c r="G909" s="15"/>
      <c r="H909" s="15"/>
      <c r="I909" s="14"/>
      <c r="J909" s="14"/>
      <c r="K909" s="14"/>
      <c r="L909" s="14"/>
      <c r="M909" s="14"/>
      <c r="N909" s="14"/>
      <c r="P909" s="14"/>
    </row>
    <row r="910" ht="18.75" customHeight="1">
      <c r="A910" s="7" t="s">
        <v>2634</v>
      </c>
      <c r="B910" s="9">
        <v>58157.0</v>
      </c>
      <c r="C910" s="9">
        <v>56808.0</v>
      </c>
      <c r="D910" s="9">
        <v>19784.0</v>
      </c>
      <c r="E910" s="9">
        <v>3129.0</v>
      </c>
      <c r="F910" s="14"/>
      <c r="G910" s="15"/>
      <c r="H910" s="15"/>
      <c r="I910" s="14"/>
      <c r="J910" s="14"/>
      <c r="K910" s="14"/>
      <c r="L910" s="14"/>
      <c r="M910" s="14"/>
      <c r="N910" s="14"/>
      <c r="P910" s="14"/>
    </row>
    <row r="911" ht="18.75" customHeight="1">
      <c r="A911" s="7" t="s">
        <v>2649</v>
      </c>
      <c r="B911" s="9">
        <v>14021.0</v>
      </c>
      <c r="C911" s="9">
        <v>13742.0</v>
      </c>
      <c r="D911" s="9">
        <v>2484.0</v>
      </c>
      <c r="E911" s="9">
        <v>52.0</v>
      </c>
      <c r="F911" s="14"/>
      <c r="G911" s="15"/>
      <c r="H911" s="15"/>
      <c r="I911" s="14"/>
      <c r="J911" s="14"/>
      <c r="K911" s="14"/>
      <c r="L911" s="14"/>
      <c r="M911" s="14"/>
      <c r="N911" s="14"/>
    </row>
    <row r="912" ht="18.75" customHeight="1">
      <c r="A912" s="7" t="s">
        <v>2650</v>
      </c>
      <c r="B912" s="9">
        <v>1463.0</v>
      </c>
      <c r="C912" s="9">
        <v>1454.0</v>
      </c>
      <c r="D912" s="9">
        <v>776.0</v>
      </c>
      <c r="E912" s="9">
        <v>316.0</v>
      </c>
      <c r="F912" s="14"/>
      <c r="G912" s="15"/>
      <c r="H912" s="15"/>
      <c r="I912" s="14"/>
      <c r="J912" s="14"/>
      <c r="K912" s="14"/>
      <c r="L912" s="14"/>
      <c r="M912" s="14"/>
      <c r="N912" s="14"/>
    </row>
    <row r="913" ht="18.75" customHeight="1">
      <c r="A913" s="7" t="s">
        <v>2650</v>
      </c>
      <c r="B913" s="9">
        <v>291.0</v>
      </c>
      <c r="C913" s="9">
        <v>289.0</v>
      </c>
      <c r="D913" s="9">
        <v>136.0</v>
      </c>
      <c r="E913" s="9">
        <v>35.0</v>
      </c>
      <c r="F913" s="14"/>
      <c r="G913" s="15"/>
      <c r="H913" s="15"/>
      <c r="I913" s="14"/>
      <c r="J913" s="14"/>
      <c r="K913" s="14"/>
      <c r="L913" s="14"/>
      <c r="M913" s="14"/>
      <c r="N913" s="14"/>
    </row>
    <row r="914" ht="18.75" customHeight="1">
      <c r="A914" s="7" t="s">
        <v>2651</v>
      </c>
      <c r="B914" s="9">
        <v>113681.0</v>
      </c>
      <c r="C914" s="9">
        <v>112522.0</v>
      </c>
      <c r="D914" s="9">
        <v>50714.0</v>
      </c>
      <c r="E914" s="9">
        <v>1777.0</v>
      </c>
      <c r="F914" s="14"/>
      <c r="G914" s="15"/>
      <c r="H914" s="15"/>
      <c r="I914" s="14"/>
      <c r="J914" s="14"/>
      <c r="K914" s="14"/>
      <c r="L914" s="14"/>
      <c r="M914" s="14"/>
      <c r="N914" s="14"/>
      <c r="P914" s="14"/>
    </row>
    <row r="915" ht="18.75" customHeight="1">
      <c r="A915" s="7" t="s">
        <v>2627</v>
      </c>
      <c r="B915" s="9">
        <v>124209.0</v>
      </c>
      <c r="C915" s="9">
        <v>120759.0</v>
      </c>
      <c r="D915" s="9">
        <v>14522.0</v>
      </c>
      <c r="E915" s="9">
        <v>428.0</v>
      </c>
      <c r="F915" s="14"/>
      <c r="G915" s="15"/>
      <c r="H915" s="15"/>
      <c r="I915" s="14"/>
      <c r="J915" s="14"/>
      <c r="K915" s="14"/>
      <c r="L915" s="14"/>
      <c r="M915" s="14"/>
      <c r="N915" s="14"/>
      <c r="P915" s="14"/>
    </row>
    <row r="916" ht="18.75" customHeight="1">
      <c r="A916" s="7" t="s">
        <v>2627</v>
      </c>
      <c r="B916" s="9">
        <v>94297.0</v>
      </c>
      <c r="C916" s="9">
        <v>91562.0</v>
      </c>
      <c r="D916" s="9">
        <v>5760.0</v>
      </c>
      <c r="E916" s="9">
        <v>199.0</v>
      </c>
      <c r="F916" s="14"/>
      <c r="G916" s="15"/>
      <c r="H916" s="15"/>
      <c r="I916" s="14"/>
      <c r="J916" s="14"/>
      <c r="K916" s="14"/>
      <c r="L916" s="14"/>
      <c r="M916" s="14"/>
      <c r="N916" s="14"/>
      <c r="P916" s="14"/>
    </row>
    <row r="917" ht="18.75" customHeight="1">
      <c r="A917" s="7" t="s">
        <v>2652</v>
      </c>
      <c r="B917" s="9">
        <v>25302.0</v>
      </c>
      <c r="C917" s="9">
        <v>24793.0</v>
      </c>
      <c r="D917" s="9">
        <v>6325.0</v>
      </c>
      <c r="E917" s="9">
        <v>364.0</v>
      </c>
      <c r="F917" s="14"/>
      <c r="G917" s="15"/>
      <c r="H917" s="15"/>
      <c r="I917" s="14"/>
      <c r="J917" s="14"/>
      <c r="K917" s="14"/>
      <c r="L917" s="14"/>
      <c r="M917" s="14"/>
      <c r="N917" s="14"/>
      <c r="P917" s="14"/>
    </row>
    <row r="918" ht="18.75" customHeight="1">
      <c r="A918" s="7" t="s">
        <v>2274</v>
      </c>
      <c r="B918" s="9">
        <v>18930.0</v>
      </c>
      <c r="C918" s="9">
        <v>18590.0</v>
      </c>
      <c r="D918" s="9">
        <v>5036.0</v>
      </c>
      <c r="E918" s="9">
        <v>106.0</v>
      </c>
      <c r="F918" s="14"/>
      <c r="G918" s="15"/>
      <c r="H918" s="15"/>
      <c r="I918" s="14"/>
      <c r="P918" s="14"/>
    </row>
    <row r="919" ht="18.75" customHeight="1">
      <c r="A919" s="7" t="s">
        <v>2653</v>
      </c>
      <c r="B919" s="9">
        <v>113781.0</v>
      </c>
      <c r="C919" s="9">
        <v>112231.0</v>
      </c>
      <c r="D919" s="9">
        <v>53556.0</v>
      </c>
      <c r="E919" s="9">
        <v>3201.0</v>
      </c>
      <c r="F919" s="14"/>
      <c r="G919" s="15"/>
      <c r="H919" s="15"/>
      <c r="I919" s="14"/>
      <c r="P919" s="14"/>
    </row>
    <row r="920" ht="18.75" customHeight="1">
      <c r="A920" s="7" t="s">
        <v>2653</v>
      </c>
      <c r="B920" s="9">
        <v>17609.0</v>
      </c>
      <c r="C920" s="9">
        <v>17120.0</v>
      </c>
      <c r="D920" s="9">
        <v>7364.0</v>
      </c>
      <c r="E920" s="9">
        <v>259.0</v>
      </c>
      <c r="F920" s="14"/>
      <c r="G920" s="15"/>
      <c r="H920" s="15"/>
      <c r="I920" s="14"/>
      <c r="P920" s="14"/>
    </row>
    <row r="921" ht="18.75" customHeight="1">
      <c r="A921" s="7" t="s">
        <v>2654</v>
      </c>
      <c r="B921" s="9">
        <v>19556.0</v>
      </c>
      <c r="C921" s="9">
        <v>19208.0</v>
      </c>
      <c r="D921" s="9">
        <v>6595.0</v>
      </c>
      <c r="E921" s="9">
        <v>352.0</v>
      </c>
      <c r="F921" s="14"/>
      <c r="G921" s="15"/>
      <c r="H921" s="15"/>
      <c r="I921" s="14"/>
      <c r="P921" s="14"/>
    </row>
    <row r="922" ht="18.75" customHeight="1">
      <c r="A922" s="7" t="s">
        <v>2653</v>
      </c>
      <c r="B922" s="9">
        <v>4218.0</v>
      </c>
      <c r="C922" s="9">
        <v>4184.0</v>
      </c>
      <c r="D922" s="9">
        <v>3003.0</v>
      </c>
      <c r="E922" s="9">
        <v>134.0</v>
      </c>
      <c r="F922" s="14"/>
      <c r="G922" s="15"/>
      <c r="H922" s="15"/>
      <c r="I922" s="14"/>
      <c r="P922" s="14"/>
    </row>
    <row r="923" ht="18.75" customHeight="1">
      <c r="A923" s="7" t="s">
        <v>2653</v>
      </c>
      <c r="B923" s="9">
        <v>13743.0</v>
      </c>
      <c r="C923" s="9">
        <v>13493.0</v>
      </c>
      <c r="D923" s="9">
        <v>5769.0</v>
      </c>
      <c r="E923" s="9">
        <v>291.0</v>
      </c>
      <c r="F923" s="14"/>
      <c r="G923" s="15"/>
      <c r="H923" s="15"/>
      <c r="I923" s="14"/>
      <c r="P923" s="14"/>
    </row>
    <row r="924" ht="18.75" customHeight="1">
      <c r="A924" s="7" t="s">
        <v>2655</v>
      </c>
      <c r="B924" s="9">
        <v>127195.0</v>
      </c>
      <c r="C924" s="9">
        <v>124543.0</v>
      </c>
      <c r="D924" s="9">
        <v>39844.0</v>
      </c>
      <c r="E924" s="9">
        <v>1025.0</v>
      </c>
      <c r="F924" s="14"/>
      <c r="G924" s="15"/>
      <c r="H924" s="15"/>
      <c r="I924" s="14"/>
      <c r="P924" s="14"/>
    </row>
    <row r="925" ht="18.75" customHeight="1">
      <c r="A925" s="7" t="s">
        <v>2504</v>
      </c>
      <c r="B925" s="9">
        <v>12685.0</v>
      </c>
      <c r="C925" s="9">
        <v>12430.0</v>
      </c>
      <c r="D925" s="9">
        <v>3852.0</v>
      </c>
      <c r="E925" s="9">
        <v>128.0</v>
      </c>
      <c r="F925" s="14"/>
      <c r="G925" s="15"/>
      <c r="H925" s="15"/>
      <c r="I925" s="14"/>
    </row>
    <row r="926" ht="18.75" customHeight="1">
      <c r="A926" s="7" t="s">
        <v>2504</v>
      </c>
      <c r="B926" s="9">
        <v>9990.0</v>
      </c>
      <c r="C926" s="9">
        <v>9812.0</v>
      </c>
      <c r="D926" s="9">
        <v>4142.0</v>
      </c>
      <c r="E926" s="9">
        <v>269.0</v>
      </c>
      <c r="F926" s="14"/>
      <c r="G926" s="15"/>
      <c r="H926" s="15"/>
      <c r="I926" s="14"/>
    </row>
    <row r="927" ht="18.75" customHeight="1">
      <c r="A927" s="7" t="s">
        <v>2504</v>
      </c>
      <c r="B927" s="9">
        <v>12527.0</v>
      </c>
      <c r="C927" s="9">
        <v>12320.0</v>
      </c>
      <c r="D927" s="9">
        <v>4779.0</v>
      </c>
      <c r="E927" s="9">
        <v>229.0</v>
      </c>
      <c r="F927" s="14"/>
      <c r="G927" s="15"/>
      <c r="H927" s="15"/>
      <c r="I927" s="14"/>
    </row>
    <row r="928" ht="18.75" customHeight="1">
      <c r="A928" s="7" t="s">
        <v>2504</v>
      </c>
      <c r="B928" s="9">
        <v>10236.0</v>
      </c>
      <c r="C928" s="9">
        <v>10006.0</v>
      </c>
      <c r="D928" s="9">
        <v>2887.0</v>
      </c>
      <c r="E928" s="9">
        <v>147.0</v>
      </c>
      <c r="F928" s="14"/>
      <c r="G928" s="15"/>
      <c r="H928" s="15"/>
      <c r="I928" s="14"/>
      <c r="P928" s="14"/>
    </row>
    <row r="929" ht="18.75" customHeight="1">
      <c r="A929" s="7" t="s">
        <v>2656</v>
      </c>
      <c r="B929" s="9">
        <v>76137.0</v>
      </c>
      <c r="C929" s="9">
        <v>74852.0</v>
      </c>
      <c r="D929" s="9">
        <v>20173.0</v>
      </c>
      <c r="E929" s="9">
        <v>80.0</v>
      </c>
      <c r="F929" s="14"/>
      <c r="G929" s="15"/>
      <c r="H929" s="15"/>
      <c r="I929" s="14"/>
      <c r="P929" s="14"/>
    </row>
    <row r="930" ht="18.75" customHeight="1">
      <c r="A930" s="7" t="s">
        <v>2657</v>
      </c>
      <c r="B930" s="9">
        <v>8693.0</v>
      </c>
      <c r="C930" s="9">
        <v>9572.0</v>
      </c>
      <c r="D930" s="9">
        <v>2892.0</v>
      </c>
      <c r="E930" s="9">
        <v>94.0</v>
      </c>
      <c r="F930" s="14"/>
      <c r="G930" s="15"/>
      <c r="H930" s="15"/>
      <c r="I930" s="14"/>
      <c r="P930" s="14"/>
    </row>
    <row r="931" ht="18.75" customHeight="1">
      <c r="A931" s="7" t="s">
        <v>2651</v>
      </c>
      <c r="B931" s="9">
        <v>1481.0</v>
      </c>
      <c r="C931" s="9">
        <v>1477.0</v>
      </c>
      <c r="D931" s="9">
        <v>1123.0</v>
      </c>
      <c r="E931" s="9">
        <v>7.0</v>
      </c>
      <c r="F931" s="14"/>
      <c r="G931" s="15"/>
      <c r="H931" s="15"/>
      <c r="I931" s="14"/>
      <c r="P931" s="14"/>
    </row>
    <row r="932" ht="18.75" customHeight="1">
      <c r="A932" s="7" t="s">
        <v>2658</v>
      </c>
      <c r="B932" s="9">
        <v>61029.0</v>
      </c>
      <c r="C932" s="9">
        <v>59219.0</v>
      </c>
      <c r="D932" s="9">
        <v>18018.0</v>
      </c>
      <c r="E932" s="9">
        <v>218.0</v>
      </c>
      <c r="F932" s="14"/>
      <c r="G932" s="15"/>
      <c r="H932" s="15"/>
      <c r="I932" s="14"/>
      <c r="P932" s="14"/>
    </row>
    <row r="933" ht="18.75" customHeight="1">
      <c r="A933" s="7" t="s">
        <v>2659</v>
      </c>
      <c r="B933" s="9">
        <v>17909.0</v>
      </c>
      <c r="C933" s="9">
        <v>17421.0</v>
      </c>
      <c r="D933" s="9">
        <v>1903.0</v>
      </c>
      <c r="E933" s="9">
        <v>69.0</v>
      </c>
      <c r="F933" s="14"/>
      <c r="G933" s="15"/>
      <c r="H933" s="15"/>
      <c r="I933" s="14"/>
      <c r="P933" s="14"/>
    </row>
    <row r="934" ht="18.75" customHeight="1">
      <c r="A934" s="7" t="s">
        <v>2660</v>
      </c>
      <c r="B934" s="9">
        <v>17626.0</v>
      </c>
      <c r="C934" s="9">
        <v>17323.0</v>
      </c>
      <c r="D934" s="9">
        <v>2928.0</v>
      </c>
      <c r="E934" s="9">
        <v>42.0</v>
      </c>
      <c r="F934" s="14"/>
      <c r="G934" s="15"/>
      <c r="H934" s="15"/>
      <c r="I934" s="14"/>
      <c r="P934" s="14"/>
    </row>
    <row r="935" ht="18.75" customHeight="1">
      <c r="A935" s="7" t="s">
        <v>2661</v>
      </c>
      <c r="B935" s="9">
        <v>16908.0</v>
      </c>
      <c r="C935" s="9">
        <v>16600.0</v>
      </c>
      <c r="D935" s="9">
        <v>3219.0</v>
      </c>
      <c r="E935" s="9">
        <v>82.0</v>
      </c>
      <c r="F935" s="14"/>
      <c r="G935" s="15"/>
      <c r="H935" s="15"/>
      <c r="I935" s="14"/>
      <c r="P935" s="14"/>
    </row>
    <row r="936" ht="18.75" customHeight="1">
      <c r="A936" s="7" t="s">
        <v>2655</v>
      </c>
      <c r="B936" s="9">
        <v>130200.0</v>
      </c>
      <c r="C936" s="9">
        <v>128198.0</v>
      </c>
      <c r="D936" s="9">
        <v>29526.0</v>
      </c>
      <c r="E936" s="9">
        <v>1876.0</v>
      </c>
      <c r="F936" s="14"/>
      <c r="G936" s="15"/>
      <c r="H936" s="15"/>
      <c r="I936" s="14"/>
      <c r="P936" s="14"/>
    </row>
    <row r="937" ht="18.75" customHeight="1">
      <c r="A937" s="7" t="s">
        <v>2274</v>
      </c>
      <c r="B937" s="9">
        <v>20423.0</v>
      </c>
      <c r="C937" s="9">
        <v>19998.0</v>
      </c>
      <c r="D937" s="9">
        <v>5632.0</v>
      </c>
      <c r="E937" s="9">
        <v>106.0</v>
      </c>
      <c r="F937" s="14"/>
      <c r="G937" s="15"/>
      <c r="H937" s="15"/>
      <c r="I937" s="14"/>
      <c r="P937" s="14"/>
    </row>
    <row r="938" ht="18.75" customHeight="1">
      <c r="A938" s="7" t="s">
        <v>2662</v>
      </c>
      <c r="B938" s="9">
        <v>39221.0</v>
      </c>
      <c r="C938" s="9">
        <v>38194.0</v>
      </c>
      <c r="D938" s="9">
        <v>7299.0</v>
      </c>
      <c r="E938" s="9">
        <v>335.0</v>
      </c>
      <c r="F938" s="14"/>
      <c r="G938" s="15"/>
      <c r="H938" s="15"/>
      <c r="I938" s="14"/>
      <c r="P938" s="14"/>
    </row>
    <row r="939" ht="18.75" customHeight="1">
      <c r="A939" s="7" t="s">
        <v>2604</v>
      </c>
      <c r="B939" s="9">
        <v>6166.0</v>
      </c>
      <c r="C939" s="9">
        <v>6155.0</v>
      </c>
      <c r="D939" s="9">
        <v>3827.0</v>
      </c>
      <c r="E939" s="9">
        <v>64.0</v>
      </c>
      <c r="F939" s="14"/>
      <c r="G939" s="15"/>
      <c r="H939" s="15"/>
      <c r="I939" s="14"/>
      <c r="P939" s="14"/>
    </row>
    <row r="940" ht="18.75" customHeight="1">
      <c r="A940" s="7" t="s">
        <v>2663</v>
      </c>
      <c r="B940" s="9">
        <v>62536.0</v>
      </c>
      <c r="C940" s="9">
        <v>61456.0</v>
      </c>
      <c r="D940" s="9">
        <v>12755.0</v>
      </c>
      <c r="E940" s="9">
        <v>2483.0</v>
      </c>
      <c r="F940" s="14"/>
      <c r="G940" s="15"/>
      <c r="H940" s="15"/>
      <c r="I940" s="14"/>
      <c r="P940" s="14"/>
    </row>
    <row r="941" ht="18.75" customHeight="1">
      <c r="A941" s="7" t="s">
        <v>2664</v>
      </c>
      <c r="B941" s="9">
        <v>7389.0</v>
      </c>
      <c r="C941" s="9">
        <v>7239.0</v>
      </c>
      <c r="D941" s="9">
        <v>1449.0</v>
      </c>
      <c r="E941" s="9">
        <v>173.0</v>
      </c>
      <c r="F941" s="14"/>
      <c r="G941" s="15"/>
      <c r="H941" s="15"/>
      <c r="I941" s="14"/>
      <c r="P941" s="14"/>
    </row>
    <row r="942" ht="18.75" customHeight="1">
      <c r="A942" s="7" t="s">
        <v>2478</v>
      </c>
      <c r="B942" s="9">
        <v>86062.0</v>
      </c>
      <c r="C942" s="9">
        <v>83551.0</v>
      </c>
      <c r="D942" s="9">
        <v>24217.0</v>
      </c>
      <c r="E942" s="9">
        <v>1822.0</v>
      </c>
      <c r="F942" s="14"/>
      <c r="G942" s="15"/>
      <c r="H942" s="15"/>
      <c r="I942" s="14"/>
      <c r="P942" s="14"/>
    </row>
    <row r="943" ht="18.75" customHeight="1">
      <c r="A943" s="7" t="s">
        <v>2665</v>
      </c>
      <c r="B943" s="9">
        <v>61870.0</v>
      </c>
      <c r="C943" s="9">
        <v>60737.0</v>
      </c>
      <c r="D943" s="9">
        <v>23030.0</v>
      </c>
      <c r="E943" s="9">
        <v>591.0</v>
      </c>
      <c r="F943" s="14"/>
      <c r="G943" s="15"/>
      <c r="H943" s="15"/>
      <c r="I943" s="14"/>
      <c r="P943" s="14"/>
    </row>
    <row r="944" ht="18.75" customHeight="1">
      <c r="A944" s="7" t="s">
        <v>2571</v>
      </c>
      <c r="B944" s="9">
        <v>70563.0</v>
      </c>
      <c r="C944" s="9">
        <v>69283.0</v>
      </c>
      <c r="D944" s="9">
        <v>28291.0</v>
      </c>
      <c r="E944" s="9">
        <v>707.0</v>
      </c>
      <c r="F944" s="14"/>
      <c r="G944" s="15"/>
      <c r="H944" s="15"/>
      <c r="I944" s="14"/>
      <c r="P944" s="14"/>
    </row>
    <row r="945" ht="18.75" customHeight="1">
      <c r="A945" s="7" t="s">
        <v>2666</v>
      </c>
      <c r="B945" s="9">
        <v>91076.0</v>
      </c>
      <c r="C945" s="9">
        <v>89371.0</v>
      </c>
      <c r="D945" s="9">
        <v>30156.0</v>
      </c>
      <c r="E945" s="9">
        <v>647.0</v>
      </c>
      <c r="F945" s="14"/>
      <c r="G945" s="15"/>
      <c r="H945" s="15"/>
      <c r="I945" s="14"/>
      <c r="P945" s="14"/>
    </row>
    <row r="946" ht="18.75" customHeight="1">
      <c r="A946" s="7" t="s">
        <v>2667</v>
      </c>
      <c r="B946" s="9">
        <v>82527.0</v>
      </c>
      <c r="C946" s="9">
        <v>80861.0</v>
      </c>
      <c r="D946" s="9">
        <v>22894.0</v>
      </c>
      <c r="E946" s="9">
        <v>664.0</v>
      </c>
      <c r="F946" s="14"/>
      <c r="G946" s="15"/>
      <c r="H946" s="15"/>
      <c r="I946" s="14"/>
    </row>
    <row r="947" ht="18.75" customHeight="1">
      <c r="A947" s="7" t="s">
        <v>2660</v>
      </c>
      <c r="B947" s="9">
        <v>14679.0</v>
      </c>
      <c r="C947" s="9">
        <v>14379.0</v>
      </c>
      <c r="D947" s="9">
        <v>973.0</v>
      </c>
      <c r="E947" s="9">
        <v>17.0</v>
      </c>
      <c r="F947" s="14"/>
      <c r="G947" s="15"/>
      <c r="H947" s="15"/>
      <c r="I947" s="14"/>
      <c r="P947" s="14"/>
    </row>
    <row r="948" ht="18.75" customHeight="1">
      <c r="A948" s="7" t="s">
        <v>2668</v>
      </c>
      <c r="B948" s="9">
        <v>28020.0</v>
      </c>
      <c r="C948" s="9">
        <v>27411.0</v>
      </c>
      <c r="D948" s="9">
        <v>6896.0</v>
      </c>
      <c r="E948" s="9">
        <v>1303.0</v>
      </c>
      <c r="F948" s="14"/>
      <c r="G948" s="15"/>
      <c r="H948" s="15"/>
      <c r="I948" s="14"/>
      <c r="P948" s="14"/>
    </row>
    <row r="949" ht="18.75" customHeight="1">
      <c r="A949" s="7" t="s">
        <v>2478</v>
      </c>
      <c r="B949" s="9">
        <v>26298.0</v>
      </c>
      <c r="C949" s="9">
        <v>26182.0</v>
      </c>
      <c r="D949" s="9">
        <v>11726.0</v>
      </c>
      <c r="E949" s="9">
        <v>3342.0</v>
      </c>
      <c r="F949" s="14"/>
      <c r="G949" s="15"/>
      <c r="H949" s="15"/>
      <c r="I949" s="14"/>
      <c r="P949" s="14"/>
    </row>
    <row r="950" ht="18.75" customHeight="1">
      <c r="A950" s="7" t="s">
        <v>2478</v>
      </c>
      <c r="B950" s="9">
        <v>31731.0</v>
      </c>
      <c r="C950" s="9">
        <v>31677.0</v>
      </c>
      <c r="D950" s="9">
        <v>15935.0</v>
      </c>
      <c r="E950" s="9">
        <v>3137.0</v>
      </c>
      <c r="F950" s="14"/>
      <c r="G950" s="15"/>
      <c r="H950" s="15"/>
      <c r="I950" s="14"/>
      <c r="P950" s="14"/>
    </row>
    <row r="951" ht="18.75" customHeight="1">
      <c r="A951" s="7" t="s">
        <v>2669</v>
      </c>
      <c r="B951" s="9">
        <v>23995.0</v>
      </c>
      <c r="C951" s="9">
        <v>23455.0</v>
      </c>
      <c r="D951" s="9">
        <v>6434.0</v>
      </c>
      <c r="E951" s="9">
        <v>541.0</v>
      </c>
      <c r="F951" s="14"/>
      <c r="G951" s="15"/>
      <c r="H951" s="15"/>
      <c r="I951" s="14"/>
      <c r="P951" s="14"/>
    </row>
    <row r="952" ht="18.75" customHeight="1">
      <c r="A952" s="7" t="s">
        <v>2504</v>
      </c>
      <c r="B952" s="9">
        <v>5775.0</v>
      </c>
      <c r="C952" s="9">
        <v>5681.0</v>
      </c>
      <c r="D952" s="9">
        <v>2079.0</v>
      </c>
      <c r="E952" s="9">
        <v>113.0</v>
      </c>
      <c r="F952" s="14"/>
      <c r="G952" s="15"/>
      <c r="H952" s="15"/>
      <c r="I952" s="14"/>
      <c r="P952" s="14"/>
    </row>
    <row r="953" ht="18.75" customHeight="1">
      <c r="A953" s="7" t="s">
        <v>2670</v>
      </c>
      <c r="B953" s="9">
        <v>14160.0</v>
      </c>
      <c r="C953" s="9">
        <v>13816.0</v>
      </c>
      <c r="D953" s="9">
        <v>3160.0</v>
      </c>
      <c r="E953" s="9">
        <v>544.0</v>
      </c>
      <c r="F953" s="14"/>
      <c r="G953" s="15"/>
      <c r="H953" s="15"/>
      <c r="I953" s="14"/>
      <c r="P953" s="14"/>
    </row>
    <row r="954" ht="18.75" customHeight="1">
      <c r="A954" s="7" t="s">
        <v>2670</v>
      </c>
      <c r="B954" s="9">
        <v>18876.0</v>
      </c>
      <c r="C954" s="9">
        <v>18540.0</v>
      </c>
      <c r="D954" s="9">
        <v>5793.0</v>
      </c>
      <c r="E954" s="9">
        <v>913.0</v>
      </c>
      <c r="F954" s="14"/>
      <c r="G954" s="15"/>
      <c r="H954" s="15"/>
      <c r="I954" s="14"/>
      <c r="P954" s="14"/>
    </row>
    <row r="955" ht="18.75" customHeight="1">
      <c r="A955" s="7" t="s">
        <v>2645</v>
      </c>
      <c r="B955" s="9">
        <v>56604.0</v>
      </c>
      <c r="C955" s="9">
        <v>55447.0</v>
      </c>
      <c r="D955" s="9">
        <v>14568.0</v>
      </c>
      <c r="E955" s="9">
        <v>196.0</v>
      </c>
      <c r="F955" s="14"/>
      <c r="G955" s="15"/>
      <c r="H955" s="15"/>
      <c r="I955" s="14"/>
      <c r="P955" s="14"/>
    </row>
    <row r="956" ht="18.75" customHeight="1">
      <c r="A956" s="7" t="s">
        <v>2645</v>
      </c>
      <c r="B956" s="9">
        <v>204.0</v>
      </c>
      <c r="C956" s="9">
        <v>198.0</v>
      </c>
      <c r="D956" s="9">
        <v>59.0</v>
      </c>
      <c r="E956" s="9">
        <v>3.0</v>
      </c>
      <c r="F956" s="14"/>
      <c r="G956" s="15"/>
      <c r="H956" s="15"/>
      <c r="I956" s="14"/>
      <c r="P956" s="14"/>
    </row>
    <row r="957" ht="18.75" customHeight="1">
      <c r="A957" s="7" t="s">
        <v>2671</v>
      </c>
      <c r="B957" s="9">
        <v>84507.0</v>
      </c>
      <c r="C957" s="9">
        <v>83654.0</v>
      </c>
      <c r="D957" s="9">
        <v>50751.0</v>
      </c>
      <c r="E957" s="9">
        <v>2805.0</v>
      </c>
      <c r="F957" s="14"/>
      <c r="G957" s="15"/>
      <c r="H957" s="15"/>
      <c r="I957" s="14"/>
      <c r="P957" s="14"/>
    </row>
    <row r="958" ht="18.75" customHeight="1">
      <c r="A958" s="7" t="s">
        <v>2672</v>
      </c>
      <c r="B958" s="9">
        <v>12958.0</v>
      </c>
      <c r="C958" s="9">
        <v>12743.0</v>
      </c>
      <c r="D958" s="9">
        <v>4234.0</v>
      </c>
      <c r="E958" s="9">
        <v>156.0</v>
      </c>
      <c r="F958" s="14"/>
      <c r="G958" s="15"/>
      <c r="H958" s="15"/>
      <c r="I958" s="14"/>
      <c r="P958" s="14"/>
    </row>
    <row r="959" ht="18.75" customHeight="1">
      <c r="A959" s="7" t="s">
        <v>2504</v>
      </c>
      <c r="B959" s="9">
        <v>10920.0</v>
      </c>
      <c r="C959" s="9">
        <v>10720.0</v>
      </c>
      <c r="D959" s="9">
        <v>3682.0</v>
      </c>
      <c r="E959" s="9">
        <v>217.0</v>
      </c>
      <c r="F959" s="14"/>
      <c r="G959" s="15"/>
      <c r="H959" s="15"/>
      <c r="I959" s="14"/>
      <c r="P959" s="14"/>
    </row>
    <row r="960" ht="18.75" customHeight="1">
      <c r="A960" s="7" t="s">
        <v>2673</v>
      </c>
      <c r="B960" s="9">
        <v>2633.0</v>
      </c>
      <c r="C960" s="9">
        <v>2580.0</v>
      </c>
      <c r="D960" s="9">
        <v>927.0</v>
      </c>
      <c r="E960" s="9">
        <v>54.0</v>
      </c>
      <c r="F960" s="14"/>
      <c r="G960" s="15"/>
      <c r="H960" s="15"/>
      <c r="I960" s="14"/>
      <c r="P960" s="14"/>
    </row>
    <row r="961" ht="18.75" customHeight="1">
      <c r="A961" s="7" t="s">
        <v>2674</v>
      </c>
      <c r="B961" s="9">
        <v>53292.0</v>
      </c>
      <c r="C961" s="9">
        <v>52439.0</v>
      </c>
      <c r="D961" s="9">
        <v>13879.0</v>
      </c>
      <c r="E961" s="9">
        <v>23.0</v>
      </c>
      <c r="F961" s="14"/>
      <c r="G961" s="15"/>
      <c r="H961" s="15"/>
      <c r="I961" s="14"/>
      <c r="P961" s="14"/>
    </row>
    <row r="962" ht="18.75" customHeight="1">
      <c r="A962" s="7" t="s">
        <v>2662</v>
      </c>
      <c r="B962" s="9">
        <v>31256.0</v>
      </c>
      <c r="C962" s="9">
        <v>30224.0</v>
      </c>
      <c r="D962" s="9">
        <v>1602.0</v>
      </c>
      <c r="E962" s="9">
        <v>41.0</v>
      </c>
      <c r="F962" s="14"/>
      <c r="G962" s="15"/>
      <c r="H962" s="15"/>
      <c r="I962" s="14"/>
      <c r="P962" s="14"/>
    </row>
    <row r="963" ht="18.75" customHeight="1">
      <c r="A963" s="7" t="s">
        <v>2662</v>
      </c>
      <c r="B963" s="9">
        <v>233.0</v>
      </c>
      <c r="C963" s="9">
        <v>232.0</v>
      </c>
      <c r="D963" s="9">
        <v>157.0</v>
      </c>
      <c r="E963" s="9">
        <v>2.0</v>
      </c>
      <c r="F963" s="14"/>
      <c r="G963" s="15"/>
      <c r="H963" s="15"/>
      <c r="I963" s="14"/>
      <c r="P963" s="14"/>
    </row>
    <row r="964" ht="18.75" customHeight="1">
      <c r="A964" s="7" t="s">
        <v>2675</v>
      </c>
      <c r="B964" s="9">
        <v>41907.0</v>
      </c>
      <c r="C964" s="9">
        <v>41160.0</v>
      </c>
      <c r="D964" s="9">
        <v>14478.0</v>
      </c>
      <c r="E964" s="9">
        <v>1970.0</v>
      </c>
      <c r="F964" s="14"/>
      <c r="G964" s="15"/>
      <c r="H964" s="15"/>
      <c r="I964" s="14"/>
      <c r="P964" s="14"/>
    </row>
    <row r="965" ht="18.75" customHeight="1">
      <c r="A965" s="7" t="s">
        <v>2676</v>
      </c>
      <c r="B965" s="9">
        <v>41762.0</v>
      </c>
      <c r="C965" s="9">
        <v>40921.0</v>
      </c>
      <c r="D965" s="9">
        <v>10587.0</v>
      </c>
      <c r="E965" s="9">
        <v>495.0</v>
      </c>
      <c r="F965" s="14"/>
      <c r="G965" s="15"/>
      <c r="H965" s="15"/>
      <c r="I965" s="14"/>
      <c r="P965" s="14"/>
    </row>
    <row r="966" ht="18.75" customHeight="1">
      <c r="A966" s="7" t="s">
        <v>2677</v>
      </c>
      <c r="B966" s="9">
        <v>34393.0</v>
      </c>
      <c r="C966" s="9">
        <v>33676.0</v>
      </c>
      <c r="D966" s="9">
        <v>11315.0</v>
      </c>
      <c r="E966" s="9">
        <v>1127.0</v>
      </c>
      <c r="F966" s="14"/>
      <c r="G966" s="15"/>
      <c r="H966" s="15"/>
      <c r="I966" s="14"/>
      <c r="P966" s="14"/>
    </row>
    <row r="967" ht="18.75" customHeight="1">
      <c r="A967" s="7" t="s">
        <v>2678</v>
      </c>
      <c r="B967" s="9">
        <v>56939.0</v>
      </c>
      <c r="C967" s="9">
        <v>56052.0</v>
      </c>
      <c r="D967" s="9">
        <v>25431.0</v>
      </c>
      <c r="E967" s="9">
        <v>185.0</v>
      </c>
      <c r="F967" s="14"/>
      <c r="G967" s="15"/>
      <c r="H967" s="15"/>
      <c r="I967" s="14"/>
      <c r="P967" s="14"/>
    </row>
    <row r="968" ht="18.75" customHeight="1">
      <c r="A968" s="7" t="s">
        <v>2679</v>
      </c>
      <c r="B968" s="9">
        <v>204.0</v>
      </c>
      <c r="C968" s="9">
        <v>198.0</v>
      </c>
      <c r="D968" s="9">
        <v>70.0</v>
      </c>
      <c r="E968" s="9">
        <v>3.0</v>
      </c>
      <c r="F968" s="14"/>
      <c r="G968" s="15"/>
      <c r="H968" s="15"/>
      <c r="I968" s="14"/>
      <c r="P968" s="14"/>
    </row>
    <row r="969" ht="18.75" customHeight="1">
      <c r="A969" s="7" t="s">
        <v>2673</v>
      </c>
      <c r="B969" s="9">
        <v>45.0</v>
      </c>
      <c r="C969" s="9">
        <v>45.0</v>
      </c>
      <c r="D969" s="9">
        <v>29.0</v>
      </c>
      <c r="E969" s="9">
        <v>1.0</v>
      </c>
      <c r="F969" s="14"/>
      <c r="G969" s="15"/>
      <c r="H969" s="15"/>
      <c r="I969" s="14"/>
      <c r="P969" s="14"/>
    </row>
    <row r="970" ht="18.75" customHeight="1">
      <c r="A970" s="7" t="s">
        <v>2680</v>
      </c>
      <c r="B970" s="9">
        <v>25739.0</v>
      </c>
      <c r="C970" s="9">
        <v>25232.0</v>
      </c>
      <c r="D970" s="9">
        <v>7236.0</v>
      </c>
      <c r="E970" s="9">
        <v>53.0</v>
      </c>
      <c r="F970" s="14"/>
      <c r="G970" s="15"/>
      <c r="H970" s="15"/>
      <c r="I970" s="14"/>
      <c r="P970" s="14"/>
    </row>
    <row r="971" ht="18.75" customHeight="1">
      <c r="A971" s="7" t="s">
        <v>2274</v>
      </c>
      <c r="B971" s="9">
        <v>21906.0</v>
      </c>
      <c r="C971" s="9">
        <v>21512.0</v>
      </c>
      <c r="D971" s="9">
        <v>6390.0</v>
      </c>
      <c r="E971" s="9">
        <v>155.0</v>
      </c>
      <c r="F971" s="14"/>
      <c r="G971" s="15"/>
      <c r="H971" s="15"/>
      <c r="I971" s="14"/>
      <c r="P971" s="14"/>
    </row>
    <row r="972" ht="18.75" customHeight="1">
      <c r="A972" s="7" t="s">
        <v>2681</v>
      </c>
      <c r="B972" s="9">
        <v>475.0</v>
      </c>
      <c r="C972" s="9">
        <v>463.0</v>
      </c>
      <c r="D972" s="9">
        <v>221.0</v>
      </c>
      <c r="E972" s="9">
        <v>31.0</v>
      </c>
      <c r="F972" s="14"/>
      <c r="G972" s="15"/>
      <c r="H972" s="15"/>
      <c r="I972" s="14"/>
      <c r="P972" s="14"/>
    </row>
    <row r="973" ht="18.75" customHeight="1">
      <c r="A973" s="7" t="s">
        <v>2681</v>
      </c>
      <c r="B973" s="9">
        <v>474.0</v>
      </c>
      <c r="C973" s="9">
        <v>389.0</v>
      </c>
      <c r="D973" s="9">
        <v>144.0</v>
      </c>
      <c r="E973" s="9">
        <v>21.0</v>
      </c>
      <c r="F973" s="14"/>
      <c r="G973" s="15"/>
      <c r="H973" s="15"/>
      <c r="I973" s="14"/>
      <c r="P973" s="14"/>
    </row>
    <row r="974" ht="18.75" customHeight="1">
      <c r="A974" s="7" t="s">
        <v>2286</v>
      </c>
      <c r="B974" s="9">
        <v>357.0</v>
      </c>
      <c r="C974" s="9">
        <v>352.0</v>
      </c>
      <c r="D974" s="9">
        <v>128.0</v>
      </c>
      <c r="E974" s="9">
        <v>0.0</v>
      </c>
      <c r="F974" s="14"/>
      <c r="G974" s="15"/>
      <c r="H974" s="15"/>
      <c r="I974" s="14"/>
      <c r="P974" s="14"/>
    </row>
    <row r="975" ht="18.75" customHeight="1">
      <c r="A975" s="7" t="s">
        <v>2677</v>
      </c>
      <c r="B975" s="9">
        <v>877.0</v>
      </c>
      <c r="C975" s="9">
        <v>875.0</v>
      </c>
      <c r="D975" s="9">
        <v>636.0</v>
      </c>
      <c r="E975" s="9">
        <v>239.0</v>
      </c>
      <c r="F975" s="14"/>
      <c r="G975" s="15"/>
      <c r="H975" s="15"/>
      <c r="I975" s="14"/>
      <c r="P975" s="14"/>
    </row>
    <row r="976" ht="18.75" customHeight="1">
      <c r="A976" s="7" t="s">
        <v>2682</v>
      </c>
      <c r="B976" s="9">
        <v>88631.0</v>
      </c>
      <c r="C976" s="9">
        <v>87035.0</v>
      </c>
      <c r="D976" s="9">
        <v>20723.0</v>
      </c>
      <c r="E976" s="9">
        <v>61.0</v>
      </c>
      <c r="F976" s="14"/>
      <c r="G976" s="15"/>
      <c r="H976" s="15"/>
      <c r="I976" s="14"/>
      <c r="P976" s="14"/>
    </row>
    <row r="977" ht="18.75" customHeight="1">
      <c r="A977" s="7" t="s">
        <v>2675</v>
      </c>
      <c r="B977" s="9">
        <v>25612.0</v>
      </c>
      <c r="C977" s="9">
        <v>24891.0</v>
      </c>
      <c r="D977" s="9">
        <v>3277.0</v>
      </c>
      <c r="E977" s="9">
        <v>173.0</v>
      </c>
      <c r="F977" s="14"/>
      <c r="G977" s="15"/>
      <c r="H977" s="15"/>
      <c r="I977" s="14"/>
      <c r="P977" s="14"/>
    </row>
    <row r="978" ht="18.75" customHeight="1">
      <c r="A978" s="7" t="s">
        <v>2675</v>
      </c>
      <c r="B978" s="9">
        <v>21482.0</v>
      </c>
      <c r="C978" s="9">
        <v>21132.0</v>
      </c>
      <c r="D978" s="9">
        <v>8326.0</v>
      </c>
      <c r="E978" s="9">
        <v>263.0</v>
      </c>
      <c r="F978" s="14"/>
      <c r="G978" s="15"/>
      <c r="H978" s="15"/>
      <c r="I978" s="14"/>
      <c r="P978" s="14"/>
    </row>
    <row r="979" ht="18.75" customHeight="1">
      <c r="A979" s="7" t="s">
        <v>2683</v>
      </c>
      <c r="B979" s="9">
        <v>56591.0</v>
      </c>
      <c r="C979" s="9">
        <v>56043.0</v>
      </c>
      <c r="D979" s="9">
        <v>26112.0</v>
      </c>
      <c r="E979" s="9">
        <v>45.0</v>
      </c>
      <c r="F979" s="14"/>
      <c r="G979" s="15"/>
      <c r="H979" s="15"/>
      <c r="I979" s="14"/>
      <c r="P979" s="14"/>
    </row>
    <row r="980" ht="18.75" customHeight="1">
      <c r="A980" s="7" t="s">
        <v>2636</v>
      </c>
      <c r="B980" s="9">
        <v>919.0</v>
      </c>
      <c r="C980" s="9">
        <v>913.0</v>
      </c>
      <c r="D980" s="9">
        <v>677.0</v>
      </c>
      <c r="E980" s="9">
        <v>6.0</v>
      </c>
      <c r="F980" s="14"/>
      <c r="G980" s="15"/>
      <c r="H980" s="15"/>
      <c r="I980" s="14"/>
      <c r="P980" s="14"/>
    </row>
    <row r="981" ht="18.75" customHeight="1">
      <c r="A981" s="7" t="s">
        <v>2636</v>
      </c>
      <c r="B981" s="9">
        <v>647.0</v>
      </c>
      <c r="C981" s="9">
        <v>643.0</v>
      </c>
      <c r="D981" s="9">
        <v>488.0</v>
      </c>
      <c r="E981" s="9">
        <v>5.0</v>
      </c>
      <c r="F981" s="14"/>
      <c r="G981" s="15"/>
      <c r="H981" s="15"/>
      <c r="I981" s="14"/>
      <c r="P981" s="14"/>
    </row>
    <row r="982" ht="18.75" customHeight="1">
      <c r="A982" s="7" t="s">
        <v>2636</v>
      </c>
      <c r="B982" s="9">
        <v>739.0</v>
      </c>
      <c r="C982" s="9">
        <v>731.0</v>
      </c>
      <c r="D982" s="9">
        <v>389.0</v>
      </c>
      <c r="E982" s="9">
        <v>6.0</v>
      </c>
      <c r="F982" s="14"/>
      <c r="G982" s="15"/>
      <c r="H982" s="15"/>
      <c r="I982" s="14"/>
      <c r="P982" s="14"/>
    </row>
    <row r="983" ht="18.75" customHeight="1">
      <c r="A983" s="7" t="s">
        <v>2636</v>
      </c>
      <c r="B983" s="9">
        <v>755.0</v>
      </c>
      <c r="C983" s="9">
        <v>752.0</v>
      </c>
      <c r="D983" s="9">
        <v>523.0</v>
      </c>
      <c r="E983" s="9">
        <v>2.0</v>
      </c>
      <c r="F983" s="14"/>
      <c r="G983" s="15"/>
      <c r="H983" s="15"/>
      <c r="I983" s="14"/>
      <c r="P983" s="14"/>
    </row>
    <row r="984" ht="18.75" customHeight="1">
      <c r="A984" s="7" t="s">
        <v>2636</v>
      </c>
      <c r="B984" s="9">
        <v>376.0</v>
      </c>
      <c r="C984" s="9">
        <v>374.0</v>
      </c>
      <c r="D984" s="9">
        <v>213.0</v>
      </c>
      <c r="E984" s="9">
        <v>1.0</v>
      </c>
      <c r="F984" s="14"/>
      <c r="G984" s="15"/>
      <c r="H984" s="15"/>
      <c r="I984" s="14"/>
      <c r="P984" s="14"/>
    </row>
    <row r="985" ht="18.75" customHeight="1">
      <c r="A985" s="7" t="s">
        <v>2636</v>
      </c>
      <c r="B985" s="9">
        <v>719.0</v>
      </c>
      <c r="C985" s="9">
        <v>716.0</v>
      </c>
      <c r="D985" s="9">
        <v>501.0</v>
      </c>
      <c r="E985" s="9">
        <v>8.0</v>
      </c>
      <c r="F985" s="14"/>
      <c r="G985" s="15"/>
      <c r="H985" s="15"/>
      <c r="I985" s="14"/>
      <c r="P985" s="14"/>
    </row>
    <row r="986" ht="18.75" customHeight="1">
      <c r="A986" s="7" t="s">
        <v>2636</v>
      </c>
      <c r="B986" s="9">
        <v>572.0</v>
      </c>
      <c r="C986" s="9">
        <v>571.0</v>
      </c>
      <c r="D986" s="9">
        <v>423.0</v>
      </c>
      <c r="E986" s="9">
        <v>6.0</v>
      </c>
      <c r="F986" s="14"/>
      <c r="G986" s="15"/>
      <c r="H986" s="15"/>
      <c r="I986" s="14"/>
      <c r="P986" s="14"/>
    </row>
    <row r="987" ht="18.75" customHeight="1">
      <c r="A987" s="7" t="s">
        <v>2636</v>
      </c>
      <c r="B987" s="9">
        <v>947.0</v>
      </c>
      <c r="C987" s="9">
        <v>946.0</v>
      </c>
      <c r="D987" s="9">
        <v>655.0</v>
      </c>
      <c r="E987" s="9">
        <v>11.0</v>
      </c>
      <c r="F987" s="14"/>
      <c r="G987" s="15"/>
      <c r="H987" s="15"/>
      <c r="I987" s="14"/>
      <c r="P987" s="14"/>
    </row>
    <row r="988" ht="18.75" customHeight="1">
      <c r="A988" s="7" t="s">
        <v>2636</v>
      </c>
      <c r="B988" s="9">
        <v>234.0</v>
      </c>
      <c r="C988" s="9">
        <v>231.0</v>
      </c>
      <c r="D988" s="9">
        <v>140.0</v>
      </c>
      <c r="E988" s="9">
        <v>1.0</v>
      </c>
      <c r="F988" s="14"/>
      <c r="G988" s="15"/>
      <c r="H988" s="15"/>
      <c r="I988" s="14"/>
      <c r="P988" s="14"/>
    </row>
    <row r="989" ht="18.75" customHeight="1">
      <c r="A989" s="7" t="s">
        <v>2636</v>
      </c>
      <c r="B989" s="9">
        <v>498.0</v>
      </c>
      <c r="C989" s="9">
        <v>495.0</v>
      </c>
      <c r="D989" s="9">
        <v>347.0</v>
      </c>
      <c r="E989" s="9">
        <v>3.0</v>
      </c>
      <c r="F989" s="14"/>
      <c r="G989" s="15"/>
      <c r="H989" s="15"/>
      <c r="I989" s="14"/>
      <c r="P989" s="14"/>
    </row>
    <row r="990" ht="18.75" customHeight="1">
      <c r="A990" s="7" t="s">
        <v>2636</v>
      </c>
      <c r="B990" s="9">
        <v>537.0</v>
      </c>
      <c r="C990" s="9">
        <v>537.0</v>
      </c>
      <c r="D990" s="9">
        <v>400.0</v>
      </c>
      <c r="E990" s="9">
        <v>0.0</v>
      </c>
      <c r="F990" s="14"/>
      <c r="G990" s="15"/>
      <c r="H990" s="15"/>
      <c r="I990" s="14"/>
      <c r="P990" s="14"/>
    </row>
    <row r="991" ht="18.75" customHeight="1">
      <c r="A991" s="7" t="s">
        <v>2636</v>
      </c>
      <c r="B991" s="9">
        <v>533.0</v>
      </c>
      <c r="C991" s="9">
        <v>533.0</v>
      </c>
      <c r="D991" s="9">
        <v>361.0</v>
      </c>
      <c r="E991" s="9">
        <v>2.0</v>
      </c>
      <c r="F991" s="14"/>
      <c r="G991" s="15"/>
      <c r="H991" s="15"/>
      <c r="I991" s="14"/>
      <c r="P991" s="14"/>
    </row>
    <row r="992" ht="18.75" customHeight="1">
      <c r="A992" s="7" t="s">
        <v>2636</v>
      </c>
      <c r="B992" s="9">
        <v>491.0</v>
      </c>
      <c r="C992" s="9">
        <v>488.0</v>
      </c>
      <c r="D992" s="9">
        <v>268.0</v>
      </c>
      <c r="E992" s="9">
        <v>2.0</v>
      </c>
      <c r="F992" s="14"/>
      <c r="G992" s="15"/>
      <c r="H992" s="15"/>
      <c r="I992" s="14"/>
      <c r="P992" s="14"/>
    </row>
    <row r="993" ht="18.75" customHeight="1">
      <c r="A993" s="7" t="s">
        <v>2636</v>
      </c>
      <c r="B993" s="9">
        <v>244.0</v>
      </c>
      <c r="C993" s="9">
        <v>244.0</v>
      </c>
      <c r="D993" s="9">
        <v>180.0</v>
      </c>
      <c r="E993" s="9">
        <v>0.0</v>
      </c>
      <c r="F993" s="14"/>
      <c r="G993" s="15"/>
      <c r="H993" s="15"/>
      <c r="I993" s="14"/>
      <c r="P993" s="14"/>
    </row>
    <row r="994" ht="18.75" customHeight="1">
      <c r="A994" s="7" t="s">
        <v>2684</v>
      </c>
      <c r="B994" s="9">
        <v>55792.0</v>
      </c>
      <c r="C994" s="9">
        <v>54862.0</v>
      </c>
      <c r="D994" s="9">
        <v>18339.0</v>
      </c>
      <c r="E994" s="9">
        <v>829.0</v>
      </c>
      <c r="F994" s="14"/>
      <c r="G994" s="15"/>
      <c r="H994" s="15"/>
      <c r="I994" s="14"/>
      <c r="P994" s="14"/>
    </row>
    <row r="995" ht="18.75" customHeight="1">
      <c r="A995" s="7" t="s">
        <v>2685</v>
      </c>
      <c r="B995" s="9">
        <v>1206.0</v>
      </c>
      <c r="C995" s="9">
        <v>1199.0</v>
      </c>
      <c r="D995" s="9">
        <v>660.0</v>
      </c>
      <c r="E995" s="9">
        <v>28.0</v>
      </c>
      <c r="F995" s="14"/>
      <c r="G995" s="15"/>
      <c r="H995" s="15"/>
      <c r="I995" s="14"/>
      <c r="P995" s="14"/>
    </row>
    <row r="996" ht="18.75" customHeight="1">
      <c r="A996" s="7" t="s">
        <v>2686</v>
      </c>
      <c r="B996" s="9">
        <v>307.0</v>
      </c>
      <c r="C996" s="9">
        <v>298.0</v>
      </c>
      <c r="D996" s="9">
        <v>143.0</v>
      </c>
      <c r="E996" s="9">
        <v>14.0</v>
      </c>
      <c r="F996" s="14"/>
      <c r="G996" s="15"/>
      <c r="H996" s="15"/>
      <c r="I996" s="14"/>
      <c r="P996" s="14"/>
    </row>
    <row r="997" ht="18.75" customHeight="1">
      <c r="A997" s="7" t="s">
        <v>2274</v>
      </c>
      <c r="B997" s="9">
        <v>24079.0</v>
      </c>
      <c r="C997" s="9">
        <v>23619.0</v>
      </c>
      <c r="D997" s="9">
        <v>6297.0</v>
      </c>
      <c r="E997" s="9">
        <v>155.0</v>
      </c>
      <c r="F997" s="14"/>
      <c r="G997" s="15"/>
      <c r="H997" s="15"/>
      <c r="I997" s="14"/>
      <c r="P997" s="14"/>
    </row>
    <row r="998" ht="18.75" customHeight="1">
      <c r="A998" s="7" t="s">
        <v>2687</v>
      </c>
      <c r="B998" s="9">
        <v>172645.0</v>
      </c>
      <c r="C998" s="9">
        <v>170309.0</v>
      </c>
      <c r="D998" s="9">
        <v>77646.0</v>
      </c>
      <c r="E998" s="9">
        <v>3106.0</v>
      </c>
      <c r="F998" s="14"/>
      <c r="G998" s="15"/>
      <c r="H998" s="15"/>
      <c r="I998" s="14"/>
      <c r="P998" s="14"/>
    </row>
    <row r="999" ht="18.75" customHeight="1">
      <c r="A999" s="7" t="s">
        <v>2688</v>
      </c>
      <c r="B999" s="9">
        <v>27542.0</v>
      </c>
      <c r="C999" s="9">
        <v>26926.0</v>
      </c>
      <c r="D999" s="9">
        <v>7050.0</v>
      </c>
      <c r="E999" s="9">
        <v>224.0</v>
      </c>
      <c r="F999" s="14"/>
      <c r="G999" s="15"/>
      <c r="H999" s="15"/>
      <c r="I999" s="14"/>
      <c r="P999" s="14"/>
    </row>
    <row r="1000" ht="18.75" customHeight="1">
      <c r="A1000" s="7" t="s">
        <v>2689</v>
      </c>
      <c r="B1000" s="9">
        <v>150373.0</v>
      </c>
      <c r="C1000" s="9">
        <v>149000.0</v>
      </c>
      <c r="D1000" s="9">
        <v>85623.0</v>
      </c>
      <c r="E1000" s="9">
        <v>446.0</v>
      </c>
      <c r="F1000" s="14"/>
      <c r="G1000" s="15"/>
      <c r="H1000" s="15"/>
      <c r="I1000" s="14"/>
      <c r="P1000" s="14"/>
    </row>
    <row r="1001" ht="18.75" customHeight="1">
      <c r="A1001" s="7" t="s">
        <v>2689</v>
      </c>
      <c r="B1001" s="9">
        <v>138611.0</v>
      </c>
      <c r="C1001" s="9">
        <v>137204.0</v>
      </c>
      <c r="D1001" s="9">
        <v>77246.0</v>
      </c>
      <c r="E1001" s="9">
        <v>461.0</v>
      </c>
      <c r="F1001" s="14"/>
      <c r="G1001" s="15"/>
      <c r="H1001" s="15"/>
      <c r="I1001" s="14"/>
      <c r="P1001" s="14"/>
    </row>
    <row r="1002" ht="18.75" customHeight="1">
      <c r="A1002" s="7" t="s">
        <v>2690</v>
      </c>
      <c r="B1002" s="9">
        <v>877.0</v>
      </c>
      <c r="C1002" s="9">
        <v>875.0</v>
      </c>
      <c r="D1002" s="9">
        <v>557.0</v>
      </c>
      <c r="E1002" s="9">
        <v>250.0</v>
      </c>
      <c r="F1002" s="14"/>
      <c r="G1002" s="15"/>
      <c r="H1002" s="15"/>
      <c r="I1002" s="14"/>
      <c r="P1002" s="14"/>
    </row>
    <row r="1003" ht="18.75" customHeight="1">
      <c r="A1003" s="7" t="s">
        <v>2691</v>
      </c>
      <c r="B1003" s="9">
        <v>13161.0</v>
      </c>
      <c r="C1003" s="9">
        <v>12874.0</v>
      </c>
      <c r="D1003" s="9">
        <v>5798.0</v>
      </c>
      <c r="E1003" s="9">
        <v>1920.0</v>
      </c>
      <c r="F1003" s="14"/>
      <c r="G1003" s="15"/>
      <c r="H1003" s="15"/>
      <c r="I1003" s="14"/>
      <c r="P1003" s="14"/>
    </row>
    <row r="1004" ht="18.75" customHeight="1">
      <c r="A1004" s="7" t="s">
        <v>2690</v>
      </c>
      <c r="B1004" s="9">
        <v>154.0</v>
      </c>
      <c r="C1004" s="9">
        <v>154.0</v>
      </c>
      <c r="D1004" s="9">
        <v>130.0</v>
      </c>
      <c r="E1004" s="9">
        <v>101.0</v>
      </c>
      <c r="F1004" s="14"/>
      <c r="G1004" s="15"/>
      <c r="H1004" s="15"/>
      <c r="I1004" s="14"/>
      <c r="P1004" s="14"/>
    </row>
    <row r="1005" ht="18.75" customHeight="1">
      <c r="A1005" s="7" t="s">
        <v>2692</v>
      </c>
      <c r="B1005" s="9">
        <v>122032.0</v>
      </c>
      <c r="C1005" s="9">
        <v>120041.0</v>
      </c>
      <c r="D1005" s="9">
        <v>38723.0</v>
      </c>
      <c r="E1005" s="9">
        <v>868.0</v>
      </c>
      <c r="F1005" s="14"/>
      <c r="G1005" s="15"/>
      <c r="H1005" s="15"/>
      <c r="I1005" s="14"/>
      <c r="P1005" s="14"/>
    </row>
    <row r="1006" ht="18.75" customHeight="1">
      <c r="A1006" s="7" t="s">
        <v>2693</v>
      </c>
      <c r="B1006" s="9">
        <v>76813.0</v>
      </c>
      <c r="C1006" s="9">
        <v>75347.0</v>
      </c>
      <c r="D1006" s="9">
        <v>25544.0</v>
      </c>
      <c r="E1006" s="9">
        <v>742.0</v>
      </c>
      <c r="F1006" s="14"/>
      <c r="G1006" s="15"/>
      <c r="H1006" s="15"/>
      <c r="I1006" s="14"/>
      <c r="P1006" s="14"/>
    </row>
    <row r="1007" ht="18.75" customHeight="1">
      <c r="A1007" s="7" t="s">
        <v>2274</v>
      </c>
      <c r="B1007" s="9">
        <v>10521.0</v>
      </c>
      <c r="C1007" s="9">
        <v>10307.0</v>
      </c>
      <c r="D1007" s="9">
        <v>3219.0</v>
      </c>
      <c r="E1007" s="9">
        <v>48.0</v>
      </c>
      <c r="F1007" s="14"/>
      <c r="G1007" s="15"/>
      <c r="H1007" s="15"/>
      <c r="I1007" s="14"/>
      <c r="P1007" s="14"/>
    </row>
    <row r="1008" ht="18.75" customHeight="1">
      <c r="A1008" s="7" t="s">
        <v>2683</v>
      </c>
      <c r="B1008" s="9">
        <v>29563.0</v>
      </c>
      <c r="C1008" s="9">
        <v>29029.0</v>
      </c>
      <c r="D1008" s="9">
        <v>9307.0</v>
      </c>
      <c r="E1008" s="9">
        <v>124.0</v>
      </c>
      <c r="F1008" s="14"/>
      <c r="G1008" s="15"/>
      <c r="H1008" s="15"/>
      <c r="I1008" s="14"/>
      <c r="P1008" s="14"/>
    </row>
    <row r="1009" ht="18.75" customHeight="1">
      <c r="A1009" s="7" t="s">
        <v>2694</v>
      </c>
      <c r="B1009" s="9">
        <v>25044.0</v>
      </c>
      <c r="C1009" s="9">
        <v>24601.0</v>
      </c>
      <c r="D1009" s="9">
        <v>8728.0</v>
      </c>
      <c r="E1009" s="9">
        <v>432.0</v>
      </c>
      <c r="F1009" s="14"/>
      <c r="G1009" s="15"/>
      <c r="H1009" s="15"/>
      <c r="I1009" s="14"/>
      <c r="P1009" s="14"/>
    </row>
    <row r="1010" ht="18.75" customHeight="1">
      <c r="A1010" s="7" t="s">
        <v>2695</v>
      </c>
      <c r="B1010" s="9">
        <v>34527.0</v>
      </c>
      <c r="C1010" s="9">
        <v>33867.0</v>
      </c>
      <c r="D1010" s="9">
        <v>14063.0</v>
      </c>
      <c r="E1010" s="9">
        <v>511.0</v>
      </c>
      <c r="F1010" s="14"/>
      <c r="G1010" s="15"/>
      <c r="H1010" s="15"/>
      <c r="I1010" s="14"/>
      <c r="P1010" s="14"/>
    </row>
    <row r="1011" ht="18.75" customHeight="1">
      <c r="A1011" s="7" t="s">
        <v>2696</v>
      </c>
      <c r="B1011" s="9">
        <v>31354.0</v>
      </c>
      <c r="C1011" s="9">
        <v>30381.0</v>
      </c>
      <c r="D1011" s="9">
        <v>2081.0</v>
      </c>
      <c r="E1011" s="9">
        <v>34.0</v>
      </c>
      <c r="F1011" s="14"/>
      <c r="G1011" s="15"/>
      <c r="H1011" s="15"/>
      <c r="I1011" s="14"/>
      <c r="P1011" s="14"/>
    </row>
    <row r="1012" ht="18.75" customHeight="1">
      <c r="A1012" s="7" t="s">
        <v>2697</v>
      </c>
      <c r="B1012" s="9">
        <v>51537.0</v>
      </c>
      <c r="C1012" s="9">
        <v>50930.0</v>
      </c>
      <c r="D1012" s="9">
        <v>19663.0</v>
      </c>
      <c r="E1012" s="9">
        <v>1960.0</v>
      </c>
      <c r="F1012" s="14"/>
      <c r="G1012" s="15"/>
      <c r="H1012" s="15"/>
      <c r="I1012" s="14"/>
      <c r="P1012" s="14"/>
    </row>
    <row r="1013" ht="18.75" customHeight="1">
      <c r="A1013" s="7" t="s">
        <v>2698</v>
      </c>
      <c r="B1013" s="9">
        <v>27641.0</v>
      </c>
      <c r="C1013" s="9">
        <v>27138.0</v>
      </c>
      <c r="D1013" s="9">
        <v>6454.0</v>
      </c>
      <c r="E1013" s="9">
        <v>351.0</v>
      </c>
      <c r="F1013" s="14"/>
      <c r="G1013" s="15"/>
      <c r="H1013" s="15"/>
      <c r="I1013" s="14"/>
      <c r="P1013" s="14"/>
    </row>
    <row r="1014" ht="18.75" customHeight="1">
      <c r="A1014" s="7" t="s">
        <v>2699</v>
      </c>
      <c r="B1014" s="9">
        <v>94265.0</v>
      </c>
      <c r="C1014" s="9">
        <v>92469.0</v>
      </c>
      <c r="D1014" s="9">
        <v>24567.0</v>
      </c>
      <c r="E1014" s="9">
        <v>357.0</v>
      </c>
      <c r="F1014" s="14"/>
      <c r="G1014" s="15"/>
      <c r="H1014" s="15"/>
      <c r="I1014" s="14"/>
      <c r="P1014" s="14"/>
    </row>
    <row r="1015" ht="18.75" customHeight="1">
      <c r="A1015" s="7" t="s">
        <v>2700</v>
      </c>
      <c r="B1015" s="9">
        <v>14202.0</v>
      </c>
      <c r="C1015" s="9">
        <v>13932.0</v>
      </c>
      <c r="D1015" s="9">
        <v>5056.0</v>
      </c>
      <c r="E1015" s="9">
        <v>296.0</v>
      </c>
      <c r="F1015" s="14"/>
      <c r="G1015" s="15"/>
      <c r="H1015" s="15"/>
      <c r="I1015" s="14"/>
      <c r="P1015" s="14"/>
    </row>
    <row r="1016" ht="18.75" customHeight="1">
      <c r="A1016" s="7" t="s">
        <v>2701</v>
      </c>
      <c r="B1016" s="9">
        <v>18415.0</v>
      </c>
      <c r="C1016" s="9">
        <v>18116.0</v>
      </c>
      <c r="D1016" s="9">
        <v>6744.0</v>
      </c>
      <c r="E1016" s="9">
        <v>267.0</v>
      </c>
      <c r="F1016" s="14"/>
      <c r="G1016" s="15"/>
      <c r="H1016" s="15"/>
      <c r="I1016" s="14"/>
      <c r="P1016" s="14"/>
    </row>
    <row r="1017" ht="18.75" customHeight="1">
      <c r="A1017" s="7" t="s">
        <v>2702</v>
      </c>
      <c r="B1017" s="9">
        <v>12101.0</v>
      </c>
      <c r="C1017" s="9">
        <v>11811.0</v>
      </c>
      <c r="D1017" s="9">
        <v>3164.0</v>
      </c>
      <c r="E1017" s="9">
        <v>114.0</v>
      </c>
      <c r="F1017" s="14"/>
      <c r="G1017" s="15"/>
      <c r="H1017" s="15"/>
      <c r="I1017" s="14"/>
      <c r="P1017" s="14"/>
    </row>
    <row r="1018" ht="18.75" customHeight="1">
      <c r="A1018" s="7" t="s">
        <v>2703</v>
      </c>
      <c r="B1018" s="9">
        <v>23467.0</v>
      </c>
      <c r="C1018" s="9">
        <v>23065.0</v>
      </c>
      <c r="D1018" s="9">
        <v>8581.0</v>
      </c>
      <c r="E1018" s="9">
        <v>317.0</v>
      </c>
      <c r="F1018" s="14"/>
      <c r="G1018" s="15"/>
      <c r="H1018" s="15"/>
      <c r="I1018" s="14"/>
      <c r="P1018" s="14"/>
    </row>
    <row r="1019" ht="18.75" customHeight="1">
      <c r="A1019" s="7" t="s">
        <v>2704</v>
      </c>
      <c r="B1019" s="9">
        <v>14464.0</v>
      </c>
      <c r="C1019" s="9">
        <v>14217.0</v>
      </c>
      <c r="D1019" s="9">
        <v>4943.0</v>
      </c>
      <c r="E1019" s="9">
        <v>254.0</v>
      </c>
      <c r="F1019" s="14"/>
      <c r="G1019" s="15"/>
      <c r="H1019" s="15"/>
      <c r="I1019" s="14"/>
      <c r="P1019" s="14"/>
    </row>
    <row r="1020" ht="18.75" customHeight="1">
      <c r="A1020" s="7" t="s">
        <v>2705</v>
      </c>
      <c r="B1020" s="9">
        <v>9658.0</v>
      </c>
      <c r="C1020" s="9">
        <v>9477.0</v>
      </c>
      <c r="D1020" s="9">
        <v>3320.0</v>
      </c>
      <c r="E1020" s="9">
        <v>184.0</v>
      </c>
      <c r="F1020" s="14"/>
      <c r="G1020" s="15"/>
      <c r="H1020" s="15"/>
      <c r="I1020" s="14"/>
      <c r="P1020" s="14"/>
    </row>
    <row r="1021" ht="18.75" customHeight="1">
      <c r="A1021" s="7" t="s">
        <v>2706</v>
      </c>
      <c r="B1021" s="9">
        <v>13449.0</v>
      </c>
      <c r="C1021" s="9">
        <v>13227.0</v>
      </c>
      <c r="D1021" s="9">
        <v>5079.0</v>
      </c>
      <c r="E1021" s="9">
        <v>271.0</v>
      </c>
      <c r="F1021" s="14"/>
      <c r="G1021" s="15"/>
      <c r="H1021" s="15"/>
      <c r="I1021" s="14"/>
      <c r="P1021" s="14"/>
    </row>
    <row r="1022" ht="18.75" customHeight="1">
      <c r="A1022" s="7" t="s">
        <v>2707</v>
      </c>
      <c r="B1022" s="9">
        <v>21985.0</v>
      </c>
      <c r="C1022" s="9">
        <v>21591.0</v>
      </c>
      <c r="D1022" s="9">
        <v>8733.0</v>
      </c>
      <c r="E1022" s="9">
        <v>312.0</v>
      </c>
      <c r="F1022" s="14"/>
      <c r="G1022" s="15"/>
      <c r="H1022" s="15"/>
      <c r="I1022" s="14"/>
      <c r="P1022" s="14"/>
    </row>
    <row r="1023" ht="18.75" customHeight="1">
      <c r="A1023" s="7" t="s">
        <v>2708</v>
      </c>
      <c r="B1023" s="9">
        <v>14275.0</v>
      </c>
      <c r="C1023" s="9">
        <v>14016.0</v>
      </c>
      <c r="D1023" s="9">
        <v>6258.0</v>
      </c>
      <c r="E1023" s="9">
        <v>171.0</v>
      </c>
      <c r="F1023" s="14"/>
      <c r="G1023" s="15"/>
      <c r="H1023" s="15"/>
      <c r="I1023" s="14"/>
      <c r="P1023" s="14"/>
    </row>
    <row r="1024" ht="18.75" customHeight="1">
      <c r="A1024" s="7" t="s">
        <v>2709</v>
      </c>
      <c r="B1024" s="9">
        <v>13558.0</v>
      </c>
      <c r="C1024" s="9">
        <v>13326.0</v>
      </c>
      <c r="D1024" s="9">
        <v>4729.0</v>
      </c>
      <c r="E1024" s="9">
        <v>288.0</v>
      </c>
      <c r="F1024" s="14"/>
      <c r="G1024" s="15"/>
      <c r="H1024" s="15"/>
      <c r="I1024" s="14"/>
      <c r="P1024" s="14"/>
    </row>
    <row r="1025" ht="18.75" customHeight="1">
      <c r="A1025" s="7" t="s">
        <v>2710</v>
      </c>
      <c r="B1025" s="9">
        <v>23732.0</v>
      </c>
      <c r="C1025" s="9">
        <v>23334.0</v>
      </c>
      <c r="D1025" s="9">
        <v>9667.0</v>
      </c>
      <c r="E1025" s="9">
        <v>292.0</v>
      </c>
      <c r="F1025" s="14"/>
      <c r="G1025" s="15"/>
      <c r="H1025" s="15"/>
      <c r="I1025" s="14"/>
      <c r="P1025" s="14"/>
    </row>
    <row r="1026" ht="18.75" customHeight="1">
      <c r="A1026" s="7" t="s">
        <v>2504</v>
      </c>
      <c r="B1026" s="9">
        <v>12459.0</v>
      </c>
      <c r="C1026" s="9">
        <v>12309.0</v>
      </c>
      <c r="D1026" s="9">
        <v>4509.0</v>
      </c>
      <c r="E1026" s="9">
        <v>231.0</v>
      </c>
      <c r="F1026" s="14"/>
      <c r="G1026" s="15"/>
      <c r="H1026" s="15"/>
      <c r="I1026" s="14"/>
      <c r="P1026" s="14"/>
    </row>
    <row r="1027" ht="18.75" customHeight="1">
      <c r="A1027" s="7" t="s">
        <v>2504</v>
      </c>
      <c r="B1027" s="9">
        <v>29151.0</v>
      </c>
      <c r="C1027" s="9">
        <v>28911.0</v>
      </c>
      <c r="D1027" s="9">
        <v>12885.0</v>
      </c>
      <c r="E1027" s="9">
        <v>528.0</v>
      </c>
      <c r="F1027" s="14"/>
      <c r="G1027" s="15"/>
      <c r="H1027" s="15"/>
      <c r="I1027" s="14"/>
      <c r="P1027" s="14"/>
    </row>
    <row r="1028" ht="18.75" customHeight="1">
      <c r="A1028" s="7" t="s">
        <v>2504</v>
      </c>
      <c r="B1028" s="9">
        <v>30244.0</v>
      </c>
      <c r="C1028" s="9">
        <v>29934.0</v>
      </c>
      <c r="D1028" s="9">
        <v>12961.0</v>
      </c>
      <c r="E1028" s="9">
        <v>507.0</v>
      </c>
      <c r="F1028" s="14"/>
      <c r="G1028" s="15"/>
      <c r="H1028" s="15"/>
      <c r="I1028" s="14"/>
      <c r="P1028" s="14"/>
    </row>
    <row r="1029" ht="18.75" customHeight="1">
      <c r="A1029" s="7" t="s">
        <v>2504</v>
      </c>
      <c r="B1029" s="9">
        <v>18276.0</v>
      </c>
      <c r="C1029" s="9">
        <v>18089.0</v>
      </c>
      <c r="D1029" s="9">
        <v>5843.0</v>
      </c>
      <c r="E1029" s="9">
        <v>234.0</v>
      </c>
      <c r="F1029" s="14"/>
      <c r="G1029" s="15"/>
      <c r="H1029" s="15"/>
      <c r="I1029" s="14"/>
      <c r="P1029" s="14"/>
    </row>
    <row r="1030" ht="18.75" customHeight="1">
      <c r="A1030" s="7" t="s">
        <v>2504</v>
      </c>
      <c r="B1030" s="9">
        <v>8965.0</v>
      </c>
      <c r="C1030" s="9">
        <v>8838.0</v>
      </c>
      <c r="D1030" s="9">
        <v>2660.0</v>
      </c>
      <c r="E1030" s="9">
        <v>175.0</v>
      </c>
      <c r="F1030" s="14"/>
      <c r="G1030" s="15"/>
      <c r="H1030" s="15"/>
      <c r="I1030" s="14"/>
      <c r="P1030" s="14"/>
    </row>
    <row r="1031" ht="18.75" customHeight="1">
      <c r="A1031" s="7" t="s">
        <v>2504</v>
      </c>
      <c r="B1031" s="9">
        <v>21184.0</v>
      </c>
      <c r="C1031" s="9">
        <v>20929.0</v>
      </c>
      <c r="D1031" s="9">
        <v>9049.0</v>
      </c>
      <c r="E1031" s="9">
        <v>198.0</v>
      </c>
      <c r="F1031" s="14"/>
      <c r="G1031" s="15"/>
      <c r="H1031" s="15"/>
      <c r="I1031" s="14"/>
      <c r="P1031" s="14"/>
    </row>
    <row r="1032" ht="18.75" customHeight="1">
      <c r="A1032" s="7" t="s">
        <v>2504</v>
      </c>
      <c r="B1032" s="9">
        <v>12589.0</v>
      </c>
      <c r="C1032" s="9">
        <v>12462.0</v>
      </c>
      <c r="D1032" s="9">
        <v>5095.0</v>
      </c>
      <c r="E1032" s="9">
        <v>356.0</v>
      </c>
      <c r="F1032" s="14"/>
      <c r="G1032" s="15"/>
      <c r="H1032" s="15"/>
      <c r="I1032" s="14"/>
      <c r="P1032" s="14"/>
    </row>
    <row r="1033" ht="18.75" customHeight="1">
      <c r="A1033" s="7" t="s">
        <v>2504</v>
      </c>
      <c r="B1033" s="9">
        <v>21642.0</v>
      </c>
      <c r="C1033" s="9">
        <v>21439.0</v>
      </c>
      <c r="D1033" s="9">
        <v>9039.0</v>
      </c>
      <c r="E1033" s="9">
        <v>474.0</v>
      </c>
      <c r="F1033" s="14"/>
      <c r="G1033" s="15"/>
      <c r="H1033" s="15"/>
      <c r="I1033" s="14"/>
      <c r="P1033" s="14"/>
    </row>
    <row r="1034" ht="18.75" customHeight="1">
      <c r="A1034" s="7" t="s">
        <v>2504</v>
      </c>
      <c r="B1034" s="9">
        <v>4882.0</v>
      </c>
      <c r="C1034" s="9">
        <v>4761.0</v>
      </c>
      <c r="D1034" s="9">
        <v>1291.0</v>
      </c>
      <c r="E1034" s="9">
        <v>97.0</v>
      </c>
      <c r="F1034" s="14"/>
      <c r="G1034" s="15"/>
      <c r="H1034" s="15"/>
      <c r="I1034" s="14"/>
      <c r="P1034" s="14"/>
    </row>
    <row r="1035" ht="18.75" customHeight="1">
      <c r="A1035" s="7" t="s">
        <v>2711</v>
      </c>
      <c r="B1035" s="9">
        <v>31099.0</v>
      </c>
      <c r="C1035" s="9">
        <v>30767.0</v>
      </c>
      <c r="D1035" s="9">
        <v>12859.0</v>
      </c>
      <c r="E1035" s="9">
        <v>417.0</v>
      </c>
      <c r="F1035" s="14"/>
      <c r="G1035" s="15"/>
      <c r="H1035" s="15"/>
      <c r="I1035" s="14"/>
      <c r="P1035" s="14"/>
    </row>
    <row r="1036" ht="18.75" customHeight="1">
      <c r="A1036" s="7" t="s">
        <v>2712</v>
      </c>
      <c r="B1036" s="9">
        <v>10915.0</v>
      </c>
      <c r="C1036" s="9">
        <v>10780.0</v>
      </c>
      <c r="D1036" s="9">
        <v>3466.0</v>
      </c>
      <c r="E1036" s="9">
        <v>235.0</v>
      </c>
      <c r="F1036" s="14"/>
      <c r="G1036" s="15"/>
      <c r="H1036" s="15"/>
      <c r="I1036" s="14"/>
      <c r="P1036" s="14"/>
    </row>
    <row r="1037" ht="18.75" customHeight="1">
      <c r="A1037" s="7" t="s">
        <v>2713</v>
      </c>
      <c r="B1037" s="9">
        <v>12761.0</v>
      </c>
      <c r="C1037" s="9">
        <v>12530.0</v>
      </c>
      <c r="D1037" s="9">
        <v>5075.0</v>
      </c>
      <c r="E1037" s="9">
        <v>215.0</v>
      </c>
      <c r="F1037" s="14"/>
      <c r="G1037" s="15"/>
      <c r="H1037" s="15"/>
      <c r="I1037" s="14"/>
      <c r="P1037" s="14"/>
    </row>
    <row r="1038" ht="18.75" customHeight="1">
      <c r="A1038" s="7" t="s">
        <v>2714</v>
      </c>
      <c r="B1038" s="9">
        <v>9387.0</v>
      </c>
      <c r="C1038" s="9">
        <v>9240.0</v>
      </c>
      <c r="D1038" s="9">
        <v>4351.0</v>
      </c>
      <c r="E1038" s="9">
        <v>217.0</v>
      </c>
      <c r="F1038" s="14"/>
      <c r="G1038" s="15"/>
      <c r="H1038" s="15"/>
      <c r="I1038" s="14"/>
      <c r="P1038" s="14"/>
    </row>
    <row r="1039" ht="18.75" customHeight="1">
      <c r="A1039" s="7" t="s">
        <v>2715</v>
      </c>
      <c r="B1039" s="9">
        <v>28037.0</v>
      </c>
      <c r="C1039" s="9">
        <v>27497.0</v>
      </c>
      <c r="D1039" s="9">
        <v>10201.0</v>
      </c>
      <c r="E1039" s="9">
        <v>327.0</v>
      </c>
      <c r="F1039" s="14"/>
      <c r="G1039" s="15"/>
      <c r="H1039" s="15"/>
      <c r="I1039" s="14"/>
      <c r="P1039" s="14"/>
    </row>
    <row r="1040" ht="18.75" customHeight="1">
      <c r="A1040" s="7" t="s">
        <v>2716</v>
      </c>
      <c r="B1040" s="9">
        <v>28025.0</v>
      </c>
      <c r="C1040" s="9">
        <v>27460.0</v>
      </c>
      <c r="D1040" s="9">
        <v>8080.0</v>
      </c>
      <c r="E1040" s="9">
        <v>53.0</v>
      </c>
      <c r="F1040" s="14"/>
      <c r="G1040" s="15"/>
      <c r="H1040" s="15"/>
      <c r="I1040" s="14"/>
      <c r="P1040" s="14"/>
    </row>
    <row r="1041" ht="18.75" customHeight="1">
      <c r="A1041" s="7" t="s">
        <v>2717</v>
      </c>
      <c r="B1041" s="9">
        <v>28501.0</v>
      </c>
      <c r="C1041" s="9">
        <v>28000.0</v>
      </c>
      <c r="D1041" s="9">
        <v>10294.0</v>
      </c>
      <c r="E1041" s="9">
        <v>479.0</v>
      </c>
      <c r="F1041" s="14"/>
      <c r="G1041" s="15"/>
      <c r="H1041" s="15"/>
      <c r="I1041" s="14"/>
      <c r="P1041" s="14"/>
    </row>
    <row r="1042" ht="18.75" customHeight="1">
      <c r="A1042" s="7" t="s">
        <v>2718</v>
      </c>
      <c r="B1042" s="9">
        <v>6637.0</v>
      </c>
      <c r="C1042" s="9">
        <v>6516.0</v>
      </c>
      <c r="D1042" s="9">
        <v>2926.0</v>
      </c>
      <c r="E1042" s="9">
        <v>135.0</v>
      </c>
      <c r="F1042" s="14"/>
      <c r="G1042" s="15"/>
      <c r="H1042" s="15"/>
      <c r="I1042" s="14"/>
      <c r="P1042" s="14"/>
    </row>
    <row r="1043" ht="18.75" customHeight="1">
      <c r="A1043" s="7" t="s">
        <v>2719</v>
      </c>
      <c r="B1043" s="9">
        <v>19683.0</v>
      </c>
      <c r="C1043" s="9">
        <v>19301.0</v>
      </c>
      <c r="D1043" s="9">
        <v>6465.0</v>
      </c>
      <c r="E1043" s="9">
        <v>226.0</v>
      </c>
      <c r="F1043" s="14"/>
      <c r="G1043" s="15"/>
      <c r="H1043" s="15"/>
      <c r="I1043" s="14"/>
      <c r="P1043" s="14"/>
    </row>
    <row r="1044" ht="18.75" customHeight="1">
      <c r="A1044" s="7" t="s">
        <v>2720</v>
      </c>
      <c r="B1044" s="9">
        <v>35668.0</v>
      </c>
      <c r="C1044" s="9">
        <v>35074.0</v>
      </c>
      <c r="D1044" s="9">
        <v>15033.0</v>
      </c>
      <c r="E1044" s="9">
        <v>326.0</v>
      </c>
      <c r="F1044" s="14"/>
      <c r="G1044" s="15"/>
      <c r="H1044" s="15"/>
      <c r="I1044" s="14"/>
      <c r="P1044" s="14"/>
    </row>
    <row r="1045" ht="18.75" customHeight="1">
      <c r="A1045" s="7" t="s">
        <v>2721</v>
      </c>
      <c r="B1045" s="9">
        <v>10569.0</v>
      </c>
      <c r="C1045" s="9">
        <v>10363.0</v>
      </c>
      <c r="D1045" s="9">
        <v>3723.0</v>
      </c>
      <c r="E1045" s="9">
        <v>239.0</v>
      </c>
      <c r="F1045" s="14"/>
      <c r="G1045" s="15"/>
      <c r="H1045" s="15"/>
      <c r="I1045" s="14"/>
      <c r="P1045" s="14"/>
    </row>
    <row r="1046" ht="18.75" customHeight="1">
      <c r="A1046" s="7" t="s">
        <v>2722</v>
      </c>
      <c r="B1046" s="9">
        <v>21045.0</v>
      </c>
      <c r="C1046" s="9">
        <v>20711.0</v>
      </c>
      <c r="D1046" s="9">
        <v>8822.0</v>
      </c>
      <c r="E1046" s="9">
        <v>403.0</v>
      </c>
      <c r="F1046" s="14"/>
      <c r="G1046" s="15"/>
      <c r="H1046" s="15"/>
      <c r="I1046" s="14"/>
      <c r="P1046" s="14"/>
    </row>
    <row r="1047" ht="18.75" customHeight="1">
      <c r="A1047" s="7" t="s">
        <v>2723</v>
      </c>
      <c r="B1047" s="9">
        <v>15057.0</v>
      </c>
      <c r="C1047" s="9">
        <v>14815.0</v>
      </c>
      <c r="D1047" s="9">
        <v>5860.0</v>
      </c>
      <c r="E1047" s="9">
        <v>325.0</v>
      </c>
      <c r="F1047" s="14"/>
      <c r="G1047" s="15"/>
      <c r="H1047" s="15"/>
      <c r="I1047" s="14"/>
      <c r="P1047" s="14"/>
    </row>
    <row r="1048" ht="18.75" customHeight="1">
      <c r="A1048" s="7" t="s">
        <v>2724</v>
      </c>
      <c r="B1048" s="9">
        <v>11468.0</v>
      </c>
      <c r="C1048" s="9">
        <v>11288.0</v>
      </c>
      <c r="D1048" s="9">
        <v>4545.0</v>
      </c>
      <c r="E1048" s="9">
        <v>203.0</v>
      </c>
      <c r="F1048" s="14"/>
      <c r="G1048" s="15"/>
      <c r="H1048" s="15"/>
      <c r="I1048" s="14"/>
      <c r="P1048" s="14"/>
    </row>
    <row r="1049" ht="18.75" customHeight="1">
      <c r="A1049" s="7" t="s">
        <v>2725</v>
      </c>
      <c r="B1049" s="9">
        <v>12271.0</v>
      </c>
      <c r="C1049" s="9">
        <v>11998.0</v>
      </c>
      <c r="D1049" s="9">
        <v>3774.0</v>
      </c>
      <c r="E1049" s="9">
        <v>195.0</v>
      </c>
      <c r="F1049" s="14"/>
      <c r="G1049" s="15"/>
      <c r="H1049" s="15"/>
      <c r="I1049" s="14"/>
      <c r="P1049" s="14"/>
    </row>
    <row r="1050" ht="18.75" customHeight="1">
      <c r="A1050" s="7" t="s">
        <v>2726</v>
      </c>
      <c r="B1050" s="9">
        <v>20275.0</v>
      </c>
      <c r="C1050" s="9">
        <v>19945.0</v>
      </c>
      <c r="D1050" s="9">
        <v>7524.0</v>
      </c>
      <c r="E1050" s="9">
        <v>367.0</v>
      </c>
      <c r="F1050" s="14"/>
      <c r="G1050" s="15"/>
      <c r="H1050" s="15"/>
      <c r="I1050" s="14"/>
      <c r="P1050" s="14"/>
    </row>
    <row r="1051" ht="18.75" customHeight="1">
      <c r="A1051" s="7" t="s">
        <v>2727</v>
      </c>
      <c r="B1051" s="9">
        <v>6615.0</v>
      </c>
      <c r="C1051" s="9">
        <v>6516.0</v>
      </c>
      <c r="D1051" s="9">
        <v>2477.0</v>
      </c>
      <c r="E1051" s="9">
        <v>125.0</v>
      </c>
      <c r="F1051" s="14"/>
      <c r="G1051" s="15"/>
      <c r="H1051" s="15"/>
      <c r="I1051" s="14"/>
      <c r="P1051" s="14"/>
    </row>
    <row r="1052" ht="18.75" customHeight="1">
      <c r="A1052" s="7" t="s">
        <v>2728</v>
      </c>
      <c r="B1052" s="9">
        <v>22585.0</v>
      </c>
      <c r="C1052" s="9">
        <v>22117.0</v>
      </c>
      <c r="D1052" s="9">
        <v>7524.0</v>
      </c>
      <c r="E1052" s="9">
        <v>299.0</v>
      </c>
      <c r="F1052" s="14"/>
      <c r="G1052" s="15"/>
      <c r="H1052" s="15"/>
      <c r="I1052" s="14"/>
      <c r="P1052" s="14"/>
    </row>
    <row r="1053" ht="18.75" customHeight="1">
      <c r="A1053" s="7" t="s">
        <v>2729</v>
      </c>
      <c r="B1053" s="9">
        <v>8302.0</v>
      </c>
      <c r="C1053" s="9">
        <v>8128.0</v>
      </c>
      <c r="D1053" s="9">
        <v>2340.0</v>
      </c>
      <c r="E1053" s="9">
        <v>122.0</v>
      </c>
      <c r="F1053" s="14"/>
      <c r="G1053" s="15"/>
      <c r="H1053" s="15"/>
      <c r="I1053" s="14"/>
      <c r="P1053" s="14"/>
    </row>
    <row r="1054" ht="18.75" customHeight="1">
      <c r="A1054" s="7" t="s">
        <v>2730</v>
      </c>
      <c r="B1054" s="9">
        <v>4367.0</v>
      </c>
      <c r="C1054" s="9">
        <v>4271.0</v>
      </c>
      <c r="D1054" s="9">
        <v>1303.0</v>
      </c>
      <c r="E1054" s="9">
        <v>90.0</v>
      </c>
      <c r="F1054" s="14"/>
      <c r="G1054" s="15"/>
      <c r="H1054" s="15"/>
      <c r="I1054" s="14"/>
      <c r="P1054" s="14"/>
    </row>
    <row r="1055" ht="18.75" customHeight="1">
      <c r="A1055" s="7" t="s">
        <v>2731</v>
      </c>
      <c r="B1055" s="9">
        <v>14226.0</v>
      </c>
      <c r="C1055" s="9">
        <v>13976.0</v>
      </c>
      <c r="D1055" s="9">
        <v>4918.0</v>
      </c>
      <c r="E1055" s="9">
        <v>259.0</v>
      </c>
      <c r="F1055" s="14"/>
      <c r="G1055" s="15"/>
      <c r="H1055" s="15"/>
      <c r="I1055" s="14"/>
      <c r="P1055" s="14"/>
    </row>
    <row r="1056" ht="18.75" customHeight="1">
      <c r="A1056" s="7" t="s">
        <v>2732</v>
      </c>
      <c r="B1056" s="9">
        <v>11421.0</v>
      </c>
      <c r="C1056" s="9">
        <v>11222.0</v>
      </c>
      <c r="D1056" s="9">
        <v>4210.0</v>
      </c>
      <c r="E1056" s="9">
        <v>296.0</v>
      </c>
      <c r="F1056" s="14"/>
      <c r="G1056" s="15"/>
      <c r="H1056" s="15"/>
      <c r="I1056" s="14"/>
      <c r="P1056" s="14"/>
    </row>
    <row r="1057" ht="18.75" customHeight="1">
      <c r="A1057" s="7" t="s">
        <v>2504</v>
      </c>
      <c r="B1057" s="9">
        <v>15896.0</v>
      </c>
      <c r="C1057" s="9">
        <v>15712.0</v>
      </c>
      <c r="D1057" s="9">
        <v>6461.0</v>
      </c>
      <c r="E1057" s="9">
        <v>386.0</v>
      </c>
      <c r="F1057" s="14"/>
      <c r="G1057" s="15"/>
      <c r="H1057" s="15"/>
      <c r="I1057" s="14"/>
      <c r="P1057" s="14"/>
    </row>
    <row r="1058" ht="18.75" customHeight="1">
      <c r="A1058" s="7" t="s">
        <v>2504</v>
      </c>
      <c r="B1058" s="9">
        <v>9089.0</v>
      </c>
      <c r="C1058" s="9">
        <v>8949.0</v>
      </c>
      <c r="D1058" s="9">
        <v>3119.0</v>
      </c>
      <c r="E1058" s="9">
        <v>206.0</v>
      </c>
      <c r="F1058" s="14"/>
      <c r="G1058" s="15"/>
      <c r="H1058" s="15"/>
      <c r="I1058" s="14"/>
      <c r="P1058" s="14"/>
    </row>
    <row r="1059" ht="18.75" customHeight="1">
      <c r="A1059" s="7" t="s">
        <v>2733</v>
      </c>
      <c r="B1059" s="9">
        <v>12328.0</v>
      </c>
      <c r="C1059" s="9">
        <v>12052.0</v>
      </c>
      <c r="D1059" s="9">
        <v>3563.0</v>
      </c>
      <c r="E1059" s="9">
        <v>196.0</v>
      </c>
      <c r="F1059" s="14"/>
      <c r="G1059" s="15"/>
      <c r="H1059" s="15"/>
      <c r="I1059" s="14"/>
      <c r="P1059" s="14"/>
    </row>
    <row r="1060" ht="18.75" customHeight="1">
      <c r="A1060" s="7" t="s">
        <v>2734</v>
      </c>
      <c r="B1060" s="9">
        <v>36694.0</v>
      </c>
      <c r="C1060" s="9">
        <v>36098.0</v>
      </c>
      <c r="D1060" s="9">
        <v>16111.0</v>
      </c>
      <c r="E1060" s="9">
        <v>557.0</v>
      </c>
      <c r="F1060" s="14"/>
      <c r="G1060" s="15"/>
      <c r="H1060" s="15"/>
      <c r="I1060" s="14"/>
      <c r="P1060" s="14"/>
    </row>
    <row r="1061" ht="18.75" customHeight="1">
      <c r="A1061" s="7" t="s">
        <v>2735</v>
      </c>
      <c r="B1061" s="9">
        <v>24387.0</v>
      </c>
      <c r="C1061" s="9">
        <v>23935.0</v>
      </c>
      <c r="D1061" s="9">
        <v>10636.0</v>
      </c>
      <c r="E1061" s="9">
        <v>293.0</v>
      </c>
      <c r="F1061" s="14"/>
      <c r="G1061" s="15"/>
      <c r="H1061" s="15"/>
      <c r="I1061" s="14"/>
      <c r="P1061" s="14"/>
    </row>
    <row r="1062" ht="18.75" customHeight="1">
      <c r="A1062" s="7" t="s">
        <v>2736</v>
      </c>
      <c r="B1062" s="9">
        <v>27288.0</v>
      </c>
      <c r="C1062" s="9">
        <v>26795.0</v>
      </c>
      <c r="D1062" s="9">
        <v>9220.0</v>
      </c>
      <c r="E1062" s="9">
        <v>317.0</v>
      </c>
      <c r="F1062" s="14"/>
      <c r="G1062" s="15"/>
      <c r="H1062" s="15"/>
      <c r="I1062" s="14"/>
      <c r="P1062" s="14"/>
    </row>
    <row r="1063" ht="18.75" customHeight="1">
      <c r="A1063" s="7" t="s">
        <v>2737</v>
      </c>
      <c r="B1063" s="9">
        <v>16577.0</v>
      </c>
      <c r="C1063" s="9">
        <v>16303.0</v>
      </c>
      <c r="D1063" s="9">
        <v>6448.0</v>
      </c>
      <c r="E1063" s="9">
        <v>322.0</v>
      </c>
      <c r="F1063" s="14"/>
      <c r="G1063" s="15"/>
      <c r="H1063" s="15"/>
      <c r="I1063" s="14"/>
      <c r="P1063" s="14"/>
    </row>
    <row r="1064" ht="18.75" customHeight="1">
      <c r="A1064" s="7" t="s">
        <v>2738</v>
      </c>
      <c r="B1064" s="9">
        <v>9366.0</v>
      </c>
      <c r="C1064" s="9">
        <v>9168.0</v>
      </c>
      <c r="D1064" s="9">
        <v>3842.0</v>
      </c>
      <c r="E1064" s="9">
        <v>211.0</v>
      </c>
      <c r="F1064" s="14"/>
      <c r="G1064" s="15"/>
      <c r="H1064" s="15"/>
      <c r="I1064" s="14"/>
      <c r="P1064" s="14"/>
    </row>
    <row r="1065" ht="18.75" customHeight="1">
      <c r="A1065" s="7" t="s">
        <v>2739</v>
      </c>
      <c r="B1065" s="9">
        <v>9380.0</v>
      </c>
      <c r="C1065" s="9">
        <v>9171.0</v>
      </c>
      <c r="D1065" s="9">
        <v>2598.0</v>
      </c>
      <c r="E1065" s="9">
        <v>110.0</v>
      </c>
      <c r="F1065" s="14"/>
      <c r="G1065" s="15"/>
      <c r="H1065" s="15"/>
      <c r="I1065" s="14"/>
      <c r="P1065" s="14"/>
    </row>
    <row r="1066" ht="18.75" customHeight="1">
      <c r="A1066" s="7" t="s">
        <v>2740</v>
      </c>
      <c r="B1066" s="9">
        <v>27490.0</v>
      </c>
      <c r="C1066" s="9">
        <v>27003.0</v>
      </c>
      <c r="D1066" s="9">
        <v>10060.0</v>
      </c>
      <c r="E1066" s="9">
        <v>301.0</v>
      </c>
      <c r="F1066" s="14"/>
      <c r="G1066" s="15"/>
      <c r="H1066" s="15"/>
      <c r="I1066" s="14"/>
      <c r="P1066" s="14"/>
    </row>
    <row r="1067" ht="18.75" customHeight="1">
      <c r="A1067" s="7" t="s">
        <v>2741</v>
      </c>
      <c r="B1067" s="9">
        <v>13469.0</v>
      </c>
      <c r="C1067" s="9">
        <v>13232.0</v>
      </c>
      <c r="D1067" s="9">
        <v>5077.0</v>
      </c>
      <c r="E1067" s="9">
        <v>49.0</v>
      </c>
      <c r="F1067" s="14"/>
      <c r="G1067" s="15"/>
      <c r="H1067" s="15"/>
      <c r="I1067" s="14"/>
      <c r="P1067" s="14"/>
    </row>
    <row r="1068" ht="18.75" customHeight="1">
      <c r="A1068" s="7" t="s">
        <v>2741</v>
      </c>
      <c r="B1068" s="9">
        <v>8210.0</v>
      </c>
      <c r="C1068" s="9">
        <v>8035.0</v>
      </c>
      <c r="D1068" s="9">
        <v>2577.0</v>
      </c>
      <c r="E1068" s="9">
        <v>131.0</v>
      </c>
      <c r="F1068" s="14"/>
      <c r="G1068" s="15"/>
      <c r="H1068" s="15"/>
      <c r="I1068" s="14"/>
      <c r="P1068" s="14"/>
    </row>
    <row r="1069" ht="18.75" customHeight="1">
      <c r="A1069" s="7" t="s">
        <v>2742</v>
      </c>
      <c r="B1069" s="9">
        <v>15523.0</v>
      </c>
      <c r="C1069" s="9">
        <v>15232.0</v>
      </c>
      <c r="D1069" s="9">
        <v>4089.0</v>
      </c>
      <c r="E1069" s="9">
        <v>80.0</v>
      </c>
      <c r="F1069" s="14"/>
      <c r="G1069" s="15"/>
      <c r="H1069" s="15"/>
      <c r="I1069" s="14"/>
      <c r="P1069" s="14"/>
    </row>
    <row r="1070" ht="18.75" customHeight="1">
      <c r="A1070" s="7" t="s">
        <v>2743</v>
      </c>
      <c r="B1070" s="9">
        <v>29428.0</v>
      </c>
      <c r="C1070" s="9">
        <v>28890.0</v>
      </c>
      <c r="D1070" s="9">
        <v>10725.0</v>
      </c>
      <c r="E1070" s="9">
        <v>429.0</v>
      </c>
      <c r="F1070" s="14"/>
      <c r="G1070" s="15"/>
      <c r="H1070" s="15"/>
      <c r="I1070" s="14"/>
      <c r="P1070" s="14"/>
    </row>
    <row r="1071" ht="18.75" customHeight="1">
      <c r="A1071" s="7" t="s">
        <v>2744</v>
      </c>
      <c r="B1071" s="9">
        <v>19528.0</v>
      </c>
      <c r="C1071" s="9">
        <v>19117.0</v>
      </c>
      <c r="D1071" s="9">
        <v>6367.0</v>
      </c>
      <c r="E1071" s="9">
        <v>248.0</v>
      </c>
      <c r="F1071" s="14"/>
      <c r="G1071" s="15"/>
      <c r="H1071" s="15"/>
      <c r="I1071" s="14"/>
      <c r="P1071" s="14"/>
    </row>
    <row r="1072" ht="18.75" customHeight="1">
      <c r="A1072" s="7" t="s">
        <v>2741</v>
      </c>
      <c r="B1072" s="9">
        <v>21021.0</v>
      </c>
      <c r="C1072" s="9">
        <v>20673.0</v>
      </c>
      <c r="D1072" s="9">
        <v>8556.0</v>
      </c>
      <c r="E1072" s="9">
        <v>82.0</v>
      </c>
      <c r="F1072" s="14"/>
      <c r="G1072" s="15"/>
      <c r="H1072" s="15"/>
      <c r="I1072" s="14"/>
      <c r="P1072" s="14"/>
    </row>
    <row r="1073" ht="18.75" customHeight="1">
      <c r="A1073" s="7" t="s">
        <v>2741</v>
      </c>
      <c r="B1073" s="9">
        <v>7500.0</v>
      </c>
      <c r="C1073" s="9">
        <v>7387.0</v>
      </c>
      <c r="D1073" s="9">
        <v>2462.0</v>
      </c>
      <c r="E1073" s="9">
        <v>101.0</v>
      </c>
      <c r="F1073" s="14"/>
      <c r="G1073" s="15"/>
      <c r="H1073" s="15"/>
      <c r="I1073" s="14"/>
      <c r="P1073" s="14"/>
    </row>
    <row r="1074" ht="18.75" customHeight="1">
      <c r="A1074" s="7" t="s">
        <v>2745</v>
      </c>
      <c r="B1074" s="9">
        <v>12437.0</v>
      </c>
      <c r="C1074" s="9">
        <v>12199.0</v>
      </c>
      <c r="D1074" s="9">
        <v>4088.0</v>
      </c>
      <c r="E1074" s="9">
        <v>133.0</v>
      </c>
      <c r="F1074" s="14"/>
      <c r="G1074" s="15"/>
      <c r="H1074" s="15"/>
      <c r="I1074" s="14"/>
      <c r="P1074" s="14"/>
    </row>
    <row r="1075" ht="18.75" customHeight="1">
      <c r="A1075" s="7" t="s">
        <v>2746</v>
      </c>
      <c r="B1075" s="9">
        <v>16962.0</v>
      </c>
      <c r="C1075" s="9">
        <v>16761.0</v>
      </c>
      <c r="D1075" s="9">
        <v>4961.0</v>
      </c>
      <c r="E1075" s="9">
        <v>226.0</v>
      </c>
      <c r="F1075" s="14"/>
      <c r="G1075" s="15"/>
      <c r="H1075" s="15"/>
      <c r="I1075" s="14"/>
      <c r="P1075" s="14"/>
    </row>
    <row r="1076" ht="18.75" customHeight="1">
      <c r="A1076" s="7" t="s">
        <v>2746</v>
      </c>
      <c r="B1076" s="9">
        <v>10053.0</v>
      </c>
      <c r="C1076" s="9">
        <v>9949.0</v>
      </c>
      <c r="D1076" s="9">
        <v>2879.0</v>
      </c>
      <c r="E1076" s="9">
        <v>151.0</v>
      </c>
      <c r="F1076" s="14"/>
      <c r="G1076" s="15"/>
      <c r="H1076" s="15"/>
      <c r="I1076" s="14"/>
      <c r="P1076" s="14"/>
    </row>
    <row r="1077" ht="18.75" customHeight="1">
      <c r="A1077" s="7" t="s">
        <v>2746</v>
      </c>
      <c r="B1077" s="9">
        <v>5076.0</v>
      </c>
      <c r="C1077" s="9">
        <v>5029.0</v>
      </c>
      <c r="D1077" s="9">
        <v>1225.0</v>
      </c>
      <c r="E1077" s="9">
        <v>62.0</v>
      </c>
      <c r="F1077" s="14"/>
      <c r="G1077" s="15"/>
      <c r="H1077" s="15"/>
      <c r="I1077" s="14"/>
      <c r="P1077" s="14"/>
    </row>
    <row r="1078" ht="18.75" customHeight="1">
      <c r="A1078" s="7" t="s">
        <v>2747</v>
      </c>
      <c r="B1078" s="9">
        <v>24497.0</v>
      </c>
      <c r="C1078" s="9">
        <v>24060.0</v>
      </c>
      <c r="D1078" s="9">
        <v>9408.0</v>
      </c>
      <c r="E1078" s="9">
        <v>406.0</v>
      </c>
      <c r="F1078" s="14"/>
      <c r="G1078" s="15"/>
      <c r="H1078" s="15"/>
      <c r="I1078" s="14"/>
      <c r="P1078" s="14"/>
    </row>
    <row r="1079" ht="18.75" customHeight="1">
      <c r="A1079" s="7" t="s">
        <v>2748</v>
      </c>
      <c r="B1079" s="9">
        <v>17319.0</v>
      </c>
      <c r="C1079" s="9">
        <v>16964.0</v>
      </c>
      <c r="D1079" s="9">
        <v>6383.0</v>
      </c>
      <c r="E1079" s="9">
        <v>338.0</v>
      </c>
      <c r="F1079" s="14"/>
      <c r="G1079" s="15"/>
      <c r="H1079" s="15"/>
      <c r="I1079" s="14"/>
      <c r="P1079" s="14"/>
    </row>
    <row r="1080" ht="18.75" customHeight="1">
      <c r="A1080" s="7" t="s">
        <v>2749</v>
      </c>
      <c r="B1080" s="9">
        <v>59730.0</v>
      </c>
      <c r="C1080" s="9">
        <v>58941.0</v>
      </c>
      <c r="D1080" s="9">
        <v>22088.0</v>
      </c>
      <c r="E1080" s="9">
        <v>378.0</v>
      </c>
      <c r="F1080" s="14"/>
      <c r="G1080" s="15"/>
      <c r="H1080" s="15"/>
      <c r="I1080" s="14"/>
      <c r="P1080" s="14"/>
    </row>
    <row r="1081" ht="18.75" customHeight="1">
      <c r="A1081" s="7" t="s">
        <v>2750</v>
      </c>
      <c r="B1081" s="9">
        <v>42647.0</v>
      </c>
      <c r="C1081" s="9">
        <v>41751.0</v>
      </c>
      <c r="D1081" s="9">
        <v>12700.0</v>
      </c>
      <c r="E1081" s="9">
        <v>558.0</v>
      </c>
      <c r="F1081" s="14"/>
      <c r="G1081" s="15"/>
      <c r="H1081" s="15"/>
      <c r="I1081" s="14"/>
      <c r="P1081" s="14"/>
    </row>
    <row r="1082" ht="18.75" customHeight="1">
      <c r="A1082" s="7" t="s">
        <v>2751</v>
      </c>
      <c r="B1082" s="9">
        <v>10045.0</v>
      </c>
      <c r="C1082" s="9">
        <v>9835.0</v>
      </c>
      <c r="D1082" s="9">
        <v>3568.0</v>
      </c>
      <c r="E1082" s="9">
        <v>204.0</v>
      </c>
      <c r="F1082" s="14"/>
      <c r="G1082" s="15"/>
      <c r="H1082" s="15"/>
      <c r="I1082" s="14"/>
      <c r="P1082" s="14"/>
    </row>
    <row r="1083" ht="18.75" customHeight="1">
      <c r="A1083" s="7" t="s">
        <v>2752</v>
      </c>
      <c r="B1083" s="9">
        <v>96518.0</v>
      </c>
      <c r="C1083" s="9">
        <v>95770.0</v>
      </c>
      <c r="D1083" s="9">
        <v>42609.0</v>
      </c>
      <c r="E1083" s="9">
        <v>10992.0</v>
      </c>
      <c r="F1083" s="14"/>
      <c r="G1083" s="15"/>
      <c r="H1083" s="15"/>
      <c r="I1083" s="14"/>
      <c r="P1083" s="14"/>
    </row>
    <row r="1084" ht="18.75" customHeight="1">
      <c r="A1084" s="7" t="s">
        <v>2752</v>
      </c>
      <c r="B1084" s="9">
        <v>92292.0</v>
      </c>
      <c r="C1084" s="9">
        <v>91647.0</v>
      </c>
      <c r="D1084" s="9">
        <v>37349.0</v>
      </c>
      <c r="E1084" s="9">
        <v>9086.0</v>
      </c>
      <c r="F1084" s="14"/>
      <c r="G1084" s="15"/>
      <c r="H1084" s="15"/>
      <c r="I1084" s="14"/>
      <c r="P1084" s="14"/>
    </row>
    <row r="1085" ht="18.75" customHeight="1">
      <c r="A1085" s="7" t="s">
        <v>2753</v>
      </c>
      <c r="B1085" s="9">
        <v>14628.0</v>
      </c>
      <c r="C1085" s="9">
        <v>14429.0</v>
      </c>
      <c r="D1085" s="9">
        <v>7109.0</v>
      </c>
      <c r="E1085" s="9">
        <v>423.0</v>
      </c>
      <c r="F1085" s="14"/>
      <c r="G1085" s="15"/>
      <c r="H1085" s="15"/>
      <c r="I1085" s="14"/>
      <c r="P1085" s="14"/>
    </row>
    <row r="1086" ht="18.75" customHeight="1">
      <c r="A1086" s="7" t="s">
        <v>2754</v>
      </c>
      <c r="B1086" s="9">
        <v>53934.0</v>
      </c>
      <c r="C1086" s="9">
        <v>53498.0</v>
      </c>
      <c r="D1086" s="9">
        <v>31580.0</v>
      </c>
      <c r="E1086" s="9">
        <v>851.0</v>
      </c>
      <c r="F1086" s="14"/>
      <c r="G1086" s="15"/>
      <c r="H1086" s="15"/>
      <c r="I1086" s="14"/>
      <c r="P1086" s="14"/>
    </row>
    <row r="1087" ht="18.75" customHeight="1">
      <c r="A1087" s="7" t="s">
        <v>2755</v>
      </c>
      <c r="B1087" s="9">
        <v>81681.0</v>
      </c>
      <c r="C1087" s="9">
        <v>81220.0</v>
      </c>
      <c r="D1087" s="9">
        <v>40786.0</v>
      </c>
      <c r="E1087" s="9">
        <v>571.0</v>
      </c>
      <c r="F1087" s="14"/>
      <c r="G1087" s="15"/>
      <c r="H1087" s="15"/>
      <c r="I1087" s="14"/>
      <c r="P1087" s="14"/>
    </row>
    <row r="1088" ht="18.75" customHeight="1">
      <c r="A1088" s="7" t="s">
        <v>2756</v>
      </c>
      <c r="B1088" s="9">
        <v>3186.0</v>
      </c>
      <c r="C1088" s="9">
        <v>3178.0</v>
      </c>
      <c r="D1088" s="9">
        <v>2144.0</v>
      </c>
      <c r="E1088" s="9">
        <v>5.0</v>
      </c>
      <c r="F1088" s="14"/>
      <c r="G1088" s="15"/>
      <c r="H1088" s="15"/>
      <c r="I1088" s="14"/>
      <c r="P1088" s="14"/>
    </row>
    <row r="1089" ht="18.75" customHeight="1">
      <c r="A1089" s="7" t="s">
        <v>2757</v>
      </c>
      <c r="B1089" s="9">
        <v>7919.0</v>
      </c>
      <c r="C1089" s="9">
        <v>7905.0</v>
      </c>
      <c r="D1089" s="9">
        <v>5587.0</v>
      </c>
      <c r="E1089" s="9">
        <v>23.0</v>
      </c>
      <c r="F1089" s="14"/>
      <c r="G1089" s="15"/>
      <c r="H1089" s="15"/>
      <c r="I1089" s="14"/>
      <c r="P1089" s="14"/>
    </row>
    <row r="1090" ht="18.75" customHeight="1">
      <c r="A1090" s="7" t="s">
        <v>2758</v>
      </c>
      <c r="B1090" s="9">
        <v>9330.0</v>
      </c>
      <c r="C1090" s="9">
        <v>9309.0</v>
      </c>
      <c r="D1090" s="9">
        <v>7063.0</v>
      </c>
      <c r="E1090" s="9">
        <v>16.0</v>
      </c>
      <c r="F1090" s="14"/>
      <c r="G1090" s="15"/>
      <c r="H1090" s="15"/>
      <c r="I1090" s="14"/>
      <c r="P1090" s="14"/>
    </row>
    <row r="1091" ht="18.75" customHeight="1">
      <c r="A1091" s="7" t="s">
        <v>2759</v>
      </c>
      <c r="B1091" s="9">
        <v>90341.0</v>
      </c>
      <c r="C1091" s="9">
        <v>90152.0</v>
      </c>
      <c r="D1091" s="9">
        <v>60638.0</v>
      </c>
      <c r="E1091" s="9">
        <v>48.0</v>
      </c>
      <c r="F1091" s="14"/>
      <c r="G1091" s="15"/>
      <c r="H1091" s="15"/>
      <c r="I1091" s="14"/>
      <c r="P1091" s="14"/>
    </row>
    <row r="1092" ht="18.75" customHeight="1">
      <c r="A1092" s="7" t="s">
        <v>2478</v>
      </c>
      <c r="B1092" s="9">
        <v>20583.0</v>
      </c>
      <c r="C1092" s="9">
        <v>20319.0</v>
      </c>
      <c r="D1092" s="9">
        <v>12750.0</v>
      </c>
      <c r="E1092" s="9">
        <v>2477.0</v>
      </c>
      <c r="F1092" s="14"/>
      <c r="G1092" s="15"/>
      <c r="H1092" s="15"/>
      <c r="I1092" s="14"/>
      <c r="P1092" s="14"/>
    </row>
    <row r="1093" ht="18.75" customHeight="1">
      <c r="A1093" s="7" t="s">
        <v>2760</v>
      </c>
      <c r="B1093" s="9">
        <v>60925.0</v>
      </c>
      <c r="C1093" s="9">
        <v>60243.0</v>
      </c>
      <c r="D1093" s="9">
        <v>29890.0</v>
      </c>
      <c r="E1093" s="9">
        <v>663.0</v>
      </c>
      <c r="F1093" s="14"/>
      <c r="G1093" s="15"/>
      <c r="H1093" s="15"/>
      <c r="I1093" s="14"/>
      <c r="P1093" s="14"/>
    </row>
    <row r="1094" ht="18.75" customHeight="1">
      <c r="A1094" s="7" t="s">
        <v>2761</v>
      </c>
      <c r="B1094" s="9">
        <v>2870.0</v>
      </c>
      <c r="C1094" s="9">
        <v>2868.0</v>
      </c>
      <c r="D1094" s="9">
        <v>1931.0</v>
      </c>
      <c r="E1094" s="9">
        <v>3.0</v>
      </c>
      <c r="F1094" s="14"/>
      <c r="G1094" s="15"/>
      <c r="H1094" s="15"/>
      <c r="I1094" s="14"/>
      <c r="P1094" s="14"/>
    </row>
    <row r="1095" ht="18.75" customHeight="1">
      <c r="A1095" s="7" t="s">
        <v>2762</v>
      </c>
      <c r="B1095" s="9">
        <v>9332.0</v>
      </c>
      <c r="C1095" s="9">
        <v>9309.0</v>
      </c>
      <c r="D1095" s="9">
        <v>6566.0</v>
      </c>
      <c r="E1095" s="9">
        <v>144.0</v>
      </c>
      <c r="F1095" s="14"/>
      <c r="G1095" s="15"/>
      <c r="H1095" s="15"/>
      <c r="I1095" s="14"/>
      <c r="P1095" s="14"/>
    </row>
    <row r="1096" ht="18.75" customHeight="1">
      <c r="A1096" s="7" t="s">
        <v>2762</v>
      </c>
      <c r="B1096" s="9">
        <v>433.0</v>
      </c>
      <c r="C1096" s="9">
        <v>432.0</v>
      </c>
      <c r="D1096" s="9">
        <v>292.0</v>
      </c>
      <c r="E1096" s="9">
        <v>30.0</v>
      </c>
      <c r="F1096" s="14"/>
      <c r="G1096" s="15"/>
      <c r="H1096" s="15"/>
      <c r="I1096" s="14"/>
      <c r="P1096" s="14"/>
    </row>
    <row r="1097" ht="18.75" customHeight="1">
      <c r="A1097" s="7" t="s">
        <v>2763</v>
      </c>
      <c r="B1097" s="9">
        <v>38423.0</v>
      </c>
      <c r="C1097" s="9">
        <v>37772.0</v>
      </c>
      <c r="D1097" s="9">
        <v>12613.0</v>
      </c>
      <c r="E1097" s="9">
        <v>672.0</v>
      </c>
      <c r="F1097" s="14"/>
      <c r="G1097" s="15"/>
      <c r="H1097" s="15"/>
      <c r="I1097" s="14"/>
      <c r="P1097" s="14"/>
    </row>
    <row r="1098" ht="18.75" customHeight="1">
      <c r="A1098" s="7" t="s">
        <v>2764</v>
      </c>
      <c r="B1098" s="9">
        <v>134997.0</v>
      </c>
      <c r="C1098" s="9">
        <v>134694.0</v>
      </c>
      <c r="D1098" s="9">
        <v>108913.0</v>
      </c>
      <c r="E1098" s="9">
        <v>639.0</v>
      </c>
      <c r="F1098" s="14"/>
      <c r="G1098" s="15"/>
      <c r="H1098" s="15"/>
      <c r="I1098" s="14"/>
      <c r="P1098" s="14"/>
    </row>
    <row r="1099" ht="18.75" customHeight="1">
      <c r="A1099" s="7" t="s">
        <v>2765</v>
      </c>
      <c r="B1099" s="9">
        <v>44045.0</v>
      </c>
      <c r="C1099" s="9">
        <v>43903.0</v>
      </c>
      <c r="D1099" s="9">
        <v>26196.0</v>
      </c>
      <c r="E1099" s="9">
        <v>412.0</v>
      </c>
      <c r="F1099" s="14"/>
      <c r="G1099" s="15"/>
      <c r="H1099" s="15"/>
      <c r="I1099" s="14"/>
      <c r="P1099" s="14"/>
    </row>
    <row r="1100" ht="18.75" customHeight="1">
      <c r="A1100" s="7" t="s">
        <v>2765</v>
      </c>
      <c r="B1100" s="9">
        <v>35229.0</v>
      </c>
      <c r="C1100" s="9">
        <v>35115.0</v>
      </c>
      <c r="D1100" s="9">
        <v>23064.0</v>
      </c>
      <c r="E1100" s="9">
        <v>787.0</v>
      </c>
      <c r="F1100" s="14"/>
      <c r="G1100" s="15"/>
      <c r="H1100" s="15"/>
      <c r="I1100" s="14"/>
      <c r="P1100" s="14"/>
    </row>
    <row r="1101" ht="18.75" customHeight="1">
      <c r="A1101" s="7" t="s">
        <v>2766</v>
      </c>
      <c r="B1101" s="9">
        <v>205144.0</v>
      </c>
      <c r="C1101" s="9">
        <v>202064.0</v>
      </c>
      <c r="D1101" s="9">
        <v>51560.0</v>
      </c>
      <c r="E1101" s="9">
        <v>1109.0</v>
      </c>
      <c r="F1101" s="14"/>
      <c r="G1101" s="15"/>
      <c r="H1101" s="15"/>
      <c r="I1101" s="14"/>
      <c r="P1101" s="14"/>
    </row>
    <row r="1102" ht="18.75" customHeight="1">
      <c r="A1102" s="7" t="s">
        <v>2767</v>
      </c>
      <c r="B1102" s="9">
        <v>149954.0</v>
      </c>
      <c r="C1102" s="9">
        <v>148862.0</v>
      </c>
      <c r="D1102" s="9">
        <v>53309.0</v>
      </c>
      <c r="E1102" s="9">
        <v>136.0</v>
      </c>
      <c r="F1102" s="14"/>
      <c r="G1102" s="15"/>
      <c r="H1102" s="15"/>
      <c r="I1102" s="14"/>
      <c r="P1102" s="14"/>
    </row>
    <row r="1103" ht="18.75" customHeight="1">
      <c r="A1103" s="7" t="s">
        <v>2767</v>
      </c>
      <c r="B1103" s="9">
        <v>49818.0</v>
      </c>
      <c r="C1103" s="9">
        <v>49473.0</v>
      </c>
      <c r="D1103" s="9">
        <v>17258.0</v>
      </c>
      <c r="E1103" s="9">
        <v>41.0</v>
      </c>
      <c r="F1103" s="14"/>
      <c r="G1103" s="15"/>
      <c r="H1103" s="15"/>
      <c r="I1103" s="14"/>
      <c r="P1103" s="14"/>
    </row>
    <row r="1104" ht="18.75" customHeight="1">
      <c r="A1104" s="7" t="s">
        <v>2768</v>
      </c>
      <c r="B1104" s="9">
        <v>94182.0</v>
      </c>
      <c r="C1104" s="9">
        <v>93155.0</v>
      </c>
      <c r="D1104" s="9">
        <v>58165.0</v>
      </c>
      <c r="E1104" s="9">
        <v>762.0</v>
      </c>
      <c r="F1104" s="14"/>
      <c r="G1104" s="15"/>
      <c r="H1104" s="15"/>
      <c r="I1104" s="14"/>
      <c r="P1104" s="14"/>
    </row>
    <row r="1105" ht="18.75" customHeight="1">
      <c r="A1105" s="7" t="s">
        <v>2769</v>
      </c>
      <c r="B1105" s="9">
        <v>22754.0</v>
      </c>
      <c r="C1105" s="9">
        <v>22509.0</v>
      </c>
      <c r="D1105" s="9">
        <v>15596.0</v>
      </c>
      <c r="E1105" s="9">
        <v>2142.0</v>
      </c>
      <c r="F1105" s="14"/>
      <c r="G1105" s="15"/>
      <c r="H1105" s="15"/>
      <c r="I1105" s="14"/>
      <c r="P1105" s="14"/>
    </row>
    <row r="1106" ht="18.75" customHeight="1">
      <c r="A1106" s="7" t="s">
        <v>2770</v>
      </c>
      <c r="B1106" s="9">
        <v>105397.0</v>
      </c>
      <c r="C1106" s="9">
        <v>105165.0</v>
      </c>
      <c r="D1106" s="9">
        <v>65411.0</v>
      </c>
      <c r="E1106" s="9">
        <v>999.0</v>
      </c>
      <c r="F1106" s="14"/>
      <c r="G1106" s="15"/>
      <c r="H1106" s="15"/>
      <c r="I1106" s="14"/>
      <c r="P1106" s="14"/>
    </row>
    <row r="1107" ht="18.75" customHeight="1">
      <c r="A1107" s="7" t="s">
        <v>2771</v>
      </c>
      <c r="B1107" s="9">
        <v>36443.0</v>
      </c>
      <c r="C1107" s="9">
        <v>35842.0</v>
      </c>
      <c r="D1107" s="9">
        <v>15584.0</v>
      </c>
      <c r="E1107" s="9">
        <v>577.0</v>
      </c>
      <c r="F1107" s="14"/>
      <c r="G1107" s="15"/>
      <c r="H1107" s="15"/>
      <c r="I1107" s="14"/>
      <c r="P1107" s="14"/>
    </row>
    <row r="1108" ht="18.75" customHeight="1">
      <c r="A1108" s="7" t="s">
        <v>2772</v>
      </c>
      <c r="B1108" s="9">
        <v>70646.0</v>
      </c>
      <c r="C1108" s="9">
        <v>70327.0</v>
      </c>
      <c r="D1108" s="9">
        <v>47024.0</v>
      </c>
      <c r="E1108" s="9">
        <v>9713.0</v>
      </c>
      <c r="F1108" s="14"/>
      <c r="G1108" s="15"/>
      <c r="H1108" s="15"/>
      <c r="I1108" s="14"/>
      <c r="P1108" s="14"/>
    </row>
    <row r="1109" ht="18.75" customHeight="1">
      <c r="A1109" s="7" t="s">
        <v>2773</v>
      </c>
      <c r="B1109" s="9">
        <v>33997.0</v>
      </c>
      <c r="C1109" s="9">
        <v>33840.0</v>
      </c>
      <c r="D1109" s="9">
        <v>24332.0</v>
      </c>
      <c r="E1109" s="9">
        <v>1058.0</v>
      </c>
      <c r="F1109" s="14"/>
      <c r="G1109" s="15"/>
      <c r="H1109" s="15"/>
      <c r="I1109" s="14"/>
      <c r="P1109" s="14"/>
    </row>
    <row r="1110" ht="18.75" customHeight="1">
      <c r="A1110" s="7" t="s">
        <v>2774</v>
      </c>
      <c r="B1110" s="9">
        <v>36585.0</v>
      </c>
      <c r="C1110" s="9">
        <v>36563.0</v>
      </c>
      <c r="D1110" s="9">
        <v>31311.0</v>
      </c>
      <c r="E1110" s="9">
        <v>6204.0</v>
      </c>
      <c r="F1110" s="14"/>
      <c r="G1110" s="15"/>
      <c r="H1110" s="15"/>
      <c r="I1110" s="14"/>
      <c r="P1110" s="14"/>
    </row>
    <row r="1111" ht="18.75" customHeight="1">
      <c r="A1111" s="7" t="s">
        <v>2775</v>
      </c>
      <c r="B1111" s="9">
        <v>58487.0</v>
      </c>
      <c r="C1111" s="9">
        <v>57254.0</v>
      </c>
      <c r="D1111" s="9">
        <v>14948.0</v>
      </c>
      <c r="E1111" s="9">
        <v>1764.0</v>
      </c>
      <c r="F1111" s="14"/>
      <c r="G1111" s="15"/>
      <c r="H1111" s="15"/>
      <c r="I1111" s="14"/>
      <c r="P1111" s="14"/>
    </row>
    <row r="1112" ht="18.75" customHeight="1">
      <c r="A1112" s="7" t="s">
        <v>2776</v>
      </c>
      <c r="B1112" s="9">
        <v>13577.0</v>
      </c>
      <c r="C1112" s="9">
        <v>13456.0</v>
      </c>
      <c r="D1112" s="9">
        <v>5916.0</v>
      </c>
      <c r="E1112" s="9">
        <v>25.0</v>
      </c>
      <c r="F1112" s="14"/>
      <c r="G1112" s="15"/>
      <c r="H1112" s="15"/>
      <c r="I1112" s="14"/>
      <c r="P1112" s="14"/>
    </row>
    <row r="1113" ht="18.75" customHeight="1">
      <c r="A1113" s="7" t="s">
        <v>2777</v>
      </c>
      <c r="B1113" s="9">
        <v>22782.0</v>
      </c>
      <c r="C1113" s="9">
        <v>22740.0</v>
      </c>
      <c r="D1113" s="9">
        <v>9779.0</v>
      </c>
      <c r="E1113" s="9">
        <v>123.0</v>
      </c>
      <c r="F1113" s="14"/>
      <c r="G1113" s="15"/>
      <c r="H1113" s="15"/>
      <c r="I1113" s="14"/>
      <c r="P1113" s="14"/>
    </row>
    <row r="1114" ht="18.75" customHeight="1">
      <c r="A1114" s="7" t="s">
        <v>2778</v>
      </c>
      <c r="B1114" s="9">
        <v>9403.0</v>
      </c>
      <c r="C1114" s="9">
        <v>9391.0</v>
      </c>
      <c r="D1114" s="9">
        <v>6766.0</v>
      </c>
      <c r="E1114" s="9">
        <v>24.0</v>
      </c>
      <c r="F1114" s="14"/>
      <c r="G1114" s="15"/>
      <c r="H1114" s="15"/>
      <c r="I1114" s="14"/>
      <c r="P1114" s="14"/>
    </row>
    <row r="1115" ht="18.75" customHeight="1">
      <c r="A1115" s="7" t="s">
        <v>2779</v>
      </c>
      <c r="B1115" s="9">
        <v>3432.0</v>
      </c>
      <c r="C1115" s="9">
        <v>3428.0</v>
      </c>
      <c r="D1115" s="9">
        <v>2552.0</v>
      </c>
      <c r="E1115" s="9">
        <v>13.0</v>
      </c>
      <c r="F1115" s="14"/>
      <c r="G1115" s="15"/>
      <c r="H1115" s="15"/>
      <c r="I1115" s="14"/>
      <c r="P1115" s="14"/>
    </row>
    <row r="1116" ht="18.75" customHeight="1">
      <c r="A1116" s="7" t="s">
        <v>2780</v>
      </c>
      <c r="B1116" s="9">
        <v>2712.0</v>
      </c>
      <c r="C1116" s="9">
        <v>2699.0</v>
      </c>
      <c r="D1116" s="9">
        <v>1684.0</v>
      </c>
      <c r="E1116" s="9">
        <v>84.0</v>
      </c>
      <c r="F1116" s="14"/>
      <c r="G1116" s="15"/>
      <c r="H1116" s="15"/>
      <c r="I1116" s="14"/>
      <c r="P1116" s="14"/>
    </row>
    <row r="1117" ht="18.75" customHeight="1">
      <c r="A1117" s="7" t="s">
        <v>2781</v>
      </c>
      <c r="B1117" s="9">
        <v>1761.0</v>
      </c>
      <c r="C1117" s="9">
        <v>1761.0</v>
      </c>
      <c r="D1117" s="9">
        <v>1289.0</v>
      </c>
      <c r="E1117" s="9">
        <v>6.0</v>
      </c>
      <c r="F1117" s="14"/>
      <c r="G1117" s="15"/>
      <c r="H1117" s="15"/>
      <c r="I1117" s="14"/>
      <c r="P1117" s="14"/>
    </row>
    <row r="1118" ht="18.75" customHeight="1">
      <c r="A1118" s="7" t="s">
        <v>2782</v>
      </c>
      <c r="B1118" s="9">
        <v>4688.0</v>
      </c>
      <c r="C1118" s="9">
        <v>4680.0</v>
      </c>
      <c r="D1118" s="9">
        <v>3334.0</v>
      </c>
      <c r="E1118" s="9">
        <v>9.0</v>
      </c>
      <c r="F1118" s="14"/>
      <c r="G1118" s="15"/>
      <c r="H1118" s="15"/>
      <c r="I1118" s="14"/>
      <c r="P1118" s="14"/>
    </row>
    <row r="1119" ht="18.75" customHeight="1">
      <c r="A1119" s="7" t="s">
        <v>2783</v>
      </c>
      <c r="B1119" s="9">
        <v>3284.0</v>
      </c>
      <c r="C1119" s="9">
        <v>3272.0</v>
      </c>
      <c r="D1119" s="9">
        <v>2092.0</v>
      </c>
      <c r="E1119" s="9">
        <v>7.0</v>
      </c>
      <c r="F1119" s="14"/>
      <c r="G1119" s="15"/>
      <c r="H1119" s="15"/>
      <c r="I1119" s="14"/>
      <c r="P1119" s="14"/>
    </row>
    <row r="1120" ht="18.75" customHeight="1">
      <c r="A1120" s="7" t="s">
        <v>2784</v>
      </c>
      <c r="B1120" s="9">
        <v>3207.0</v>
      </c>
      <c r="C1120" s="9">
        <v>3201.0</v>
      </c>
      <c r="D1120" s="9">
        <v>2256.0</v>
      </c>
      <c r="E1120" s="9">
        <v>7.0</v>
      </c>
      <c r="F1120" s="14"/>
      <c r="G1120" s="15"/>
      <c r="H1120" s="15"/>
      <c r="I1120" s="14"/>
      <c r="P1120" s="14"/>
    </row>
    <row r="1121" ht="18.75" customHeight="1">
      <c r="A1121" s="7" t="s">
        <v>2785</v>
      </c>
      <c r="B1121" s="9">
        <v>2104.0</v>
      </c>
      <c r="C1121" s="9">
        <v>2101.0</v>
      </c>
      <c r="D1121" s="9">
        <v>1302.0</v>
      </c>
      <c r="E1121" s="9">
        <v>3.0</v>
      </c>
      <c r="F1121" s="14"/>
      <c r="G1121" s="15"/>
      <c r="H1121" s="15"/>
      <c r="I1121" s="14"/>
      <c r="P1121" s="14"/>
    </row>
    <row r="1122" ht="18.75" customHeight="1">
      <c r="A1122" s="7" t="s">
        <v>2786</v>
      </c>
      <c r="B1122" s="9">
        <v>1292.0</v>
      </c>
      <c r="C1122" s="9">
        <v>1292.0</v>
      </c>
      <c r="D1122" s="9">
        <v>1068.0</v>
      </c>
      <c r="E1122" s="9">
        <v>7.0</v>
      </c>
      <c r="F1122" s="14"/>
      <c r="G1122" s="15"/>
      <c r="H1122" s="15"/>
      <c r="I1122" s="14"/>
      <c r="P1122" s="14"/>
    </row>
    <row r="1123" ht="18.75" customHeight="1">
      <c r="A1123" s="7" t="s">
        <v>2787</v>
      </c>
      <c r="B1123" s="9">
        <v>13010.0</v>
      </c>
      <c r="C1123" s="9">
        <v>12987.0</v>
      </c>
      <c r="D1123" s="9">
        <v>8258.0</v>
      </c>
      <c r="E1123" s="9">
        <v>23.0</v>
      </c>
      <c r="F1123" s="14"/>
      <c r="G1123" s="15"/>
      <c r="H1123" s="15"/>
      <c r="I1123" s="14"/>
      <c r="P1123" s="14"/>
    </row>
    <row r="1124" ht="18.75" customHeight="1">
      <c r="A1124" s="7" t="s">
        <v>2788</v>
      </c>
      <c r="B1124" s="9">
        <v>185.0</v>
      </c>
      <c r="C1124" s="9">
        <v>184.0</v>
      </c>
      <c r="D1124" s="9">
        <v>104.0</v>
      </c>
      <c r="E1124" s="9">
        <v>0.0</v>
      </c>
      <c r="F1124" s="14"/>
      <c r="G1124" s="15"/>
      <c r="H1124" s="15"/>
      <c r="I1124" s="14"/>
      <c r="P1124" s="14"/>
    </row>
    <row r="1125" ht="18.75" customHeight="1">
      <c r="A1125" s="7" t="s">
        <v>2789</v>
      </c>
      <c r="B1125" s="9">
        <v>2419.0</v>
      </c>
      <c r="C1125" s="9">
        <v>2415.0</v>
      </c>
      <c r="D1125" s="9">
        <v>1637.0</v>
      </c>
      <c r="E1125" s="9">
        <v>6.0</v>
      </c>
      <c r="F1125" s="14"/>
      <c r="G1125" s="15"/>
      <c r="H1125" s="15"/>
      <c r="I1125" s="14"/>
      <c r="P1125" s="14"/>
    </row>
    <row r="1126" ht="18.75" customHeight="1">
      <c r="A1126" s="7" t="s">
        <v>2790</v>
      </c>
      <c r="B1126" s="9">
        <v>86604.0</v>
      </c>
      <c r="C1126" s="9">
        <v>86367.0</v>
      </c>
      <c r="D1126" s="9">
        <v>58247.0</v>
      </c>
      <c r="E1126" s="9">
        <v>7963.0</v>
      </c>
      <c r="F1126" s="14"/>
      <c r="G1126" s="15"/>
      <c r="H1126" s="15"/>
      <c r="I1126" s="14"/>
      <c r="P1126" s="14"/>
    </row>
    <row r="1127" ht="18.75" customHeight="1">
      <c r="A1127" s="7" t="s">
        <v>2790</v>
      </c>
      <c r="B1127" s="9">
        <v>78386.0</v>
      </c>
      <c r="C1127" s="9">
        <v>78118.0</v>
      </c>
      <c r="D1127" s="9">
        <v>54397.0</v>
      </c>
      <c r="E1127" s="9">
        <v>7924.0</v>
      </c>
      <c r="F1127" s="14"/>
      <c r="G1127" s="15"/>
      <c r="H1127" s="15"/>
      <c r="I1127" s="14"/>
      <c r="P1127" s="14"/>
    </row>
    <row r="1128" ht="18.75" customHeight="1">
      <c r="A1128" s="7" t="s">
        <v>2791</v>
      </c>
      <c r="B1128" s="9">
        <v>111987.0</v>
      </c>
      <c r="C1128" s="9">
        <v>111337.0</v>
      </c>
      <c r="D1128" s="9">
        <v>58048.0</v>
      </c>
      <c r="E1128" s="9">
        <v>1781.0</v>
      </c>
      <c r="F1128" s="14"/>
      <c r="G1128" s="15"/>
      <c r="H1128" s="15"/>
      <c r="I1128" s="14"/>
      <c r="P1128" s="14"/>
    </row>
    <row r="1129" ht="18.75" customHeight="1">
      <c r="A1129" s="7" t="s">
        <v>2792</v>
      </c>
      <c r="B1129" s="9">
        <v>1379.0</v>
      </c>
      <c r="C1129" s="9">
        <v>1376.0</v>
      </c>
      <c r="D1129" s="9">
        <v>1166.0</v>
      </c>
      <c r="E1129" s="9">
        <v>5.0</v>
      </c>
      <c r="F1129" s="14"/>
      <c r="G1129" s="15"/>
      <c r="H1129" s="15"/>
      <c r="I1129" s="14"/>
      <c r="P1129" s="14"/>
    </row>
    <row r="1130" ht="18.75" customHeight="1">
      <c r="A1130" s="7" t="s">
        <v>2793</v>
      </c>
      <c r="B1130" s="9">
        <v>84775.0</v>
      </c>
      <c r="C1130" s="9">
        <v>84558.0</v>
      </c>
      <c r="D1130" s="9">
        <v>58946.0</v>
      </c>
      <c r="E1130" s="9">
        <v>421.0</v>
      </c>
      <c r="F1130" s="14"/>
      <c r="G1130" s="15"/>
      <c r="H1130" s="15"/>
      <c r="I1130" s="14"/>
      <c r="P1130" s="14"/>
    </row>
    <row r="1131" ht="18.75" customHeight="1">
      <c r="A1131" s="7" t="s">
        <v>2794</v>
      </c>
      <c r="B1131" s="9">
        <v>92840.0</v>
      </c>
      <c r="C1131" s="9">
        <v>91979.0</v>
      </c>
      <c r="D1131" s="9">
        <v>53776.0</v>
      </c>
      <c r="E1131" s="9">
        <v>3271.0</v>
      </c>
      <c r="F1131" s="14"/>
      <c r="G1131" s="15"/>
      <c r="H1131" s="15"/>
      <c r="I1131" s="14"/>
      <c r="P1131" s="14"/>
    </row>
    <row r="1132" ht="18.75" customHeight="1">
      <c r="A1132" s="7" t="s">
        <v>2795</v>
      </c>
      <c r="B1132" s="9">
        <v>109851.0</v>
      </c>
      <c r="C1132" s="9">
        <v>109234.0</v>
      </c>
      <c r="D1132" s="9">
        <v>70699.0</v>
      </c>
      <c r="E1132" s="9">
        <v>3112.0</v>
      </c>
      <c r="F1132" s="14"/>
      <c r="G1132" s="15"/>
      <c r="H1132" s="15"/>
      <c r="I1132" s="14"/>
      <c r="P1132" s="14"/>
    </row>
    <row r="1133" ht="18.75" customHeight="1">
      <c r="A1133" s="7" t="s">
        <v>2796</v>
      </c>
      <c r="B1133" s="9">
        <v>113781.0</v>
      </c>
      <c r="C1133" s="9">
        <v>113286.0</v>
      </c>
      <c r="D1133" s="9">
        <v>60965.0</v>
      </c>
      <c r="E1133" s="9">
        <v>81.0</v>
      </c>
      <c r="F1133" s="14"/>
      <c r="G1133" s="15"/>
      <c r="H1133" s="15"/>
      <c r="I1133" s="14"/>
      <c r="P1133" s="14"/>
    </row>
    <row r="1134" ht="18.75" customHeight="1">
      <c r="A1134" s="7" t="s">
        <v>2797</v>
      </c>
      <c r="B1134" s="9">
        <v>23828.0</v>
      </c>
      <c r="C1134" s="9">
        <v>23696.0</v>
      </c>
      <c r="D1134" s="9">
        <v>13489.0</v>
      </c>
      <c r="E1134" s="9">
        <v>172.0</v>
      </c>
      <c r="F1134" s="14"/>
      <c r="G1134" s="15"/>
      <c r="H1134" s="15"/>
      <c r="I1134" s="14"/>
      <c r="P1134" s="14"/>
    </row>
    <row r="1135" ht="18.75" customHeight="1">
      <c r="A1135" s="7" t="s">
        <v>2798</v>
      </c>
      <c r="B1135" s="9">
        <v>120985.0</v>
      </c>
      <c r="C1135" s="9">
        <v>120591.0</v>
      </c>
      <c r="D1135" s="9">
        <v>93939.0</v>
      </c>
      <c r="E1135" s="9">
        <v>82.0</v>
      </c>
      <c r="F1135" s="14"/>
      <c r="G1135" s="15"/>
      <c r="H1135" s="15"/>
      <c r="I1135" s="14"/>
      <c r="P1135" s="14"/>
    </row>
    <row r="1136" ht="18.75" customHeight="1">
      <c r="A1136" s="7" t="s">
        <v>2799</v>
      </c>
      <c r="B1136" s="9">
        <v>59332.0</v>
      </c>
      <c r="C1136" s="9">
        <v>59205.0</v>
      </c>
      <c r="D1136" s="9">
        <v>40502.0</v>
      </c>
      <c r="E1136" s="9">
        <v>453.0</v>
      </c>
      <c r="F1136" s="14"/>
      <c r="G1136" s="15"/>
      <c r="H1136" s="15"/>
      <c r="I1136" s="14"/>
      <c r="P1136" s="14"/>
    </row>
    <row r="1137" ht="18.75" customHeight="1">
      <c r="A1137" s="7" t="s">
        <v>2800</v>
      </c>
      <c r="B1137" s="9">
        <v>81738.0</v>
      </c>
      <c r="C1137" s="9">
        <v>80892.0</v>
      </c>
      <c r="D1137" s="9">
        <v>44664.0</v>
      </c>
      <c r="E1137" s="9">
        <v>621.0</v>
      </c>
      <c r="F1137" s="14"/>
      <c r="G1137" s="15"/>
      <c r="H1137" s="15"/>
      <c r="I1137" s="14"/>
      <c r="P1137" s="14"/>
    </row>
    <row r="1138" ht="18.75" customHeight="1">
      <c r="A1138" s="7" t="s">
        <v>2801</v>
      </c>
      <c r="B1138" s="9">
        <v>54472.0</v>
      </c>
      <c r="C1138" s="9">
        <v>54438.0</v>
      </c>
      <c r="D1138" s="9">
        <v>40276.0</v>
      </c>
      <c r="E1138" s="9">
        <v>223.0</v>
      </c>
      <c r="F1138" s="14"/>
      <c r="G1138" s="15"/>
      <c r="H1138" s="15"/>
      <c r="I1138" s="14"/>
      <c r="P1138" s="14"/>
    </row>
    <row r="1139" ht="18.75" customHeight="1">
      <c r="A1139" s="7" t="s">
        <v>2801</v>
      </c>
      <c r="B1139" s="9">
        <v>7826.0</v>
      </c>
      <c r="C1139" s="9">
        <v>7809.0</v>
      </c>
      <c r="D1139" s="9">
        <v>5644.0</v>
      </c>
      <c r="E1139" s="9">
        <v>3.0</v>
      </c>
      <c r="F1139" s="14"/>
      <c r="G1139" s="15"/>
      <c r="H1139" s="15"/>
      <c r="I1139" s="14"/>
      <c r="P1139" s="14"/>
    </row>
    <row r="1140" ht="18.75" customHeight="1">
      <c r="A1140" s="7" t="s">
        <v>2802</v>
      </c>
      <c r="B1140" s="9">
        <v>109847.0</v>
      </c>
      <c r="C1140" s="9">
        <v>109223.0</v>
      </c>
      <c r="D1140" s="9">
        <v>57679.0</v>
      </c>
      <c r="E1140" s="9">
        <v>181.0</v>
      </c>
      <c r="F1140" s="14"/>
      <c r="G1140" s="15"/>
      <c r="H1140" s="15"/>
      <c r="I1140" s="14"/>
      <c r="P1140" s="14"/>
    </row>
    <row r="1141" ht="18.75" customHeight="1">
      <c r="A1141" s="7" t="s">
        <v>2803</v>
      </c>
      <c r="B1141" s="9">
        <v>142501.0</v>
      </c>
      <c r="C1141" s="9">
        <v>142161.0</v>
      </c>
      <c r="D1141" s="9">
        <v>103450.0</v>
      </c>
      <c r="E1141" s="9">
        <v>7077.0</v>
      </c>
      <c r="F1141" s="14"/>
      <c r="G1141" s="15"/>
      <c r="H1141" s="15"/>
      <c r="I1141" s="14"/>
      <c r="P1141" s="14"/>
    </row>
    <row r="1142" ht="18.75" customHeight="1">
      <c r="A1142" s="7" t="s">
        <v>2804</v>
      </c>
      <c r="B1142" s="9">
        <v>29710.0</v>
      </c>
      <c r="C1142" s="9">
        <v>29625.0</v>
      </c>
      <c r="D1142" s="9">
        <v>19449.0</v>
      </c>
      <c r="E1142" s="9">
        <v>492.0</v>
      </c>
      <c r="F1142" s="14"/>
      <c r="G1142" s="15"/>
      <c r="H1142" s="15"/>
      <c r="I1142" s="14"/>
      <c r="P1142" s="14"/>
    </row>
    <row r="1143" ht="18.75" customHeight="1">
      <c r="A1143" s="7" t="s">
        <v>2805</v>
      </c>
      <c r="B1143" s="9">
        <v>62585.0</v>
      </c>
      <c r="C1143" s="9">
        <v>62223.0</v>
      </c>
      <c r="D1143" s="9">
        <v>39754.0</v>
      </c>
      <c r="E1143" s="9">
        <v>959.0</v>
      </c>
      <c r="F1143" s="14"/>
      <c r="G1143" s="15"/>
      <c r="H1143" s="15"/>
      <c r="I1143" s="14"/>
      <c r="P1143" s="14"/>
    </row>
    <row r="1144" ht="18.75" customHeight="1">
      <c r="A1144" s="7" t="s">
        <v>2806</v>
      </c>
      <c r="B1144" s="9">
        <v>32009.0</v>
      </c>
      <c r="C1144" s="9">
        <v>31678.0</v>
      </c>
      <c r="D1144" s="9">
        <v>16773.0</v>
      </c>
      <c r="E1144" s="9">
        <v>294.0</v>
      </c>
      <c r="F1144" s="14"/>
      <c r="G1144" s="15"/>
      <c r="H1144" s="15"/>
      <c r="I1144" s="14"/>
      <c r="P1144" s="14"/>
    </row>
    <row r="1145" ht="18.75" customHeight="1">
      <c r="A1145" s="7" t="s">
        <v>2807</v>
      </c>
      <c r="B1145" s="9">
        <v>34260.0</v>
      </c>
      <c r="C1145" s="9">
        <v>34062.0</v>
      </c>
      <c r="D1145" s="9">
        <v>18934.0</v>
      </c>
      <c r="E1145" s="9">
        <v>423.0</v>
      </c>
      <c r="F1145" s="14"/>
      <c r="G1145" s="15"/>
      <c r="H1145" s="15"/>
      <c r="I1145" s="14"/>
      <c r="P1145" s="14"/>
    </row>
    <row r="1146" ht="18.75" customHeight="1">
      <c r="A1146" s="7" t="s">
        <v>2774</v>
      </c>
      <c r="B1146" s="9">
        <v>6187.0</v>
      </c>
      <c r="C1146" s="9">
        <v>6168.0</v>
      </c>
      <c r="D1146" s="9">
        <v>4543.0</v>
      </c>
      <c r="E1146" s="9">
        <v>700.0</v>
      </c>
      <c r="F1146" s="14"/>
      <c r="G1146" s="15"/>
      <c r="H1146" s="15"/>
      <c r="I1146" s="14"/>
      <c r="P1146" s="14"/>
    </row>
    <row r="1147" ht="18.75" customHeight="1">
      <c r="A1147" s="7" t="s">
        <v>2792</v>
      </c>
      <c r="B1147" s="9">
        <v>4565.0</v>
      </c>
      <c r="C1147" s="9">
        <v>4553.0</v>
      </c>
      <c r="D1147" s="9">
        <v>3102.0</v>
      </c>
      <c r="E1147" s="9">
        <v>9.0</v>
      </c>
      <c r="F1147" s="14"/>
      <c r="G1147" s="15"/>
      <c r="H1147" s="15"/>
      <c r="I1147" s="14"/>
      <c r="P1147" s="14"/>
    </row>
    <row r="1148" ht="18.75" customHeight="1">
      <c r="A1148" s="7" t="s">
        <v>2792</v>
      </c>
      <c r="B1148" s="9">
        <v>3572.0</v>
      </c>
      <c r="C1148" s="9">
        <v>3568.0</v>
      </c>
      <c r="D1148" s="9">
        <v>2524.0</v>
      </c>
      <c r="E1148" s="9">
        <v>9.0</v>
      </c>
      <c r="F1148" s="14"/>
      <c r="G1148" s="15"/>
      <c r="H1148" s="15"/>
      <c r="I1148" s="14"/>
      <c r="P1148" s="14"/>
    </row>
    <row r="1149" ht="18.75" customHeight="1">
      <c r="A1149" s="7" t="s">
        <v>2792</v>
      </c>
      <c r="B1149" s="9">
        <v>2340.0</v>
      </c>
      <c r="C1149" s="9">
        <v>2329.0</v>
      </c>
      <c r="D1149" s="9">
        <v>1534.0</v>
      </c>
      <c r="E1149" s="9">
        <v>4.0</v>
      </c>
      <c r="F1149" s="14"/>
      <c r="G1149" s="15"/>
      <c r="H1149" s="15"/>
      <c r="I1149" s="14"/>
      <c r="P1149" s="14"/>
    </row>
    <row r="1150" ht="18.75" customHeight="1">
      <c r="A1150" s="7" t="s">
        <v>2792</v>
      </c>
      <c r="B1150" s="9">
        <v>967.0</v>
      </c>
      <c r="C1150" s="9">
        <v>966.0</v>
      </c>
      <c r="D1150" s="9">
        <v>676.0</v>
      </c>
      <c r="E1150" s="9">
        <v>4.0</v>
      </c>
      <c r="F1150" s="14"/>
      <c r="G1150" s="15"/>
      <c r="H1150" s="15"/>
      <c r="I1150" s="14"/>
      <c r="P1150" s="14"/>
    </row>
    <row r="1151" ht="18.75" customHeight="1">
      <c r="A1151" s="7" t="s">
        <v>2792</v>
      </c>
      <c r="B1151" s="9">
        <v>815.0</v>
      </c>
      <c r="C1151" s="9">
        <v>815.0</v>
      </c>
      <c r="D1151" s="9">
        <v>636.0</v>
      </c>
      <c r="E1151" s="9">
        <v>2.0</v>
      </c>
      <c r="F1151" s="14"/>
      <c r="G1151" s="15"/>
      <c r="H1151" s="15"/>
      <c r="I1151" s="14"/>
      <c r="P1151" s="14"/>
    </row>
    <row r="1152" ht="18.75" customHeight="1">
      <c r="A1152" s="7" t="s">
        <v>2792</v>
      </c>
      <c r="B1152" s="9">
        <v>1335.0</v>
      </c>
      <c r="C1152" s="9">
        <v>1335.0</v>
      </c>
      <c r="D1152" s="9">
        <v>1021.0</v>
      </c>
      <c r="E1152" s="9">
        <v>7.0</v>
      </c>
      <c r="F1152" s="14"/>
      <c r="G1152" s="15"/>
      <c r="H1152" s="15"/>
      <c r="I1152" s="14"/>
      <c r="P1152" s="14"/>
    </row>
    <row r="1153" ht="18.75" customHeight="1">
      <c r="A1153" s="7" t="s">
        <v>2808</v>
      </c>
      <c r="B1153" s="9">
        <v>2475.0</v>
      </c>
      <c r="C1153" s="9">
        <v>2473.0</v>
      </c>
      <c r="D1153" s="9">
        <v>1798.0</v>
      </c>
      <c r="E1153" s="9">
        <v>6.0</v>
      </c>
      <c r="F1153" s="14"/>
      <c r="G1153" s="15"/>
      <c r="H1153" s="15"/>
      <c r="I1153" s="14"/>
      <c r="P1153" s="14"/>
    </row>
    <row r="1154" ht="18.75" customHeight="1">
      <c r="A1154" s="7" t="s">
        <v>2809</v>
      </c>
      <c r="B1154" s="9">
        <v>17426.0</v>
      </c>
      <c r="C1154" s="9">
        <v>17408.0</v>
      </c>
      <c r="D1154" s="9">
        <v>13317.0</v>
      </c>
      <c r="E1154" s="9">
        <v>47.0</v>
      </c>
      <c r="F1154" s="14"/>
      <c r="G1154" s="15"/>
      <c r="H1154" s="15"/>
      <c r="I1154" s="14"/>
      <c r="P1154" s="14"/>
    </row>
    <row r="1155" ht="18.75" customHeight="1">
      <c r="A1155" s="7" t="s">
        <v>2810</v>
      </c>
      <c r="B1155" s="9">
        <v>4489.0</v>
      </c>
      <c r="C1155" s="9">
        <v>4486.0</v>
      </c>
      <c r="D1155" s="9">
        <v>2987.0</v>
      </c>
      <c r="E1155" s="9">
        <v>9.0</v>
      </c>
      <c r="F1155" s="14"/>
      <c r="G1155" s="15"/>
      <c r="H1155" s="15"/>
      <c r="I1155" s="14"/>
      <c r="P1155" s="14"/>
    </row>
    <row r="1156" ht="18.75" customHeight="1">
      <c r="A1156" s="7" t="s">
        <v>2811</v>
      </c>
      <c r="B1156" s="9">
        <v>3326.0</v>
      </c>
      <c r="C1156" s="9">
        <v>3319.0</v>
      </c>
      <c r="D1156" s="9">
        <v>2266.0</v>
      </c>
      <c r="E1156" s="9">
        <v>8.0</v>
      </c>
      <c r="F1156" s="14"/>
      <c r="G1156" s="15"/>
      <c r="H1156" s="15"/>
      <c r="I1156" s="14"/>
      <c r="P1156" s="14"/>
    </row>
    <row r="1157" ht="18.75" customHeight="1">
      <c r="A1157" s="7" t="s">
        <v>2812</v>
      </c>
      <c r="B1157" s="9">
        <v>4006.0</v>
      </c>
      <c r="C1157" s="9">
        <v>3995.0</v>
      </c>
      <c r="D1157" s="9">
        <v>2597.0</v>
      </c>
      <c r="E1157" s="9">
        <v>7.0</v>
      </c>
      <c r="F1157" s="14"/>
      <c r="G1157" s="15"/>
      <c r="H1157" s="15"/>
      <c r="I1157" s="14"/>
      <c r="P1157" s="14"/>
    </row>
    <row r="1158" ht="18.75" customHeight="1">
      <c r="A1158" s="7" t="s">
        <v>2813</v>
      </c>
      <c r="B1158" s="9">
        <v>3834.0</v>
      </c>
      <c r="C1158" s="9">
        <v>3832.0</v>
      </c>
      <c r="D1158" s="9">
        <v>2573.0</v>
      </c>
      <c r="E1158" s="9">
        <v>8.0</v>
      </c>
      <c r="F1158" s="14"/>
      <c r="G1158" s="15"/>
      <c r="H1158" s="15"/>
      <c r="I1158" s="14"/>
      <c r="P1158" s="14"/>
    </row>
    <row r="1159" ht="18.75" customHeight="1">
      <c r="A1159" s="7" t="s">
        <v>2814</v>
      </c>
      <c r="B1159" s="9">
        <v>2640.0</v>
      </c>
      <c r="C1159" s="9">
        <v>2637.0</v>
      </c>
      <c r="D1159" s="9">
        <v>1697.0</v>
      </c>
      <c r="E1159" s="9">
        <v>6.0</v>
      </c>
      <c r="F1159" s="14"/>
      <c r="G1159" s="15"/>
      <c r="H1159" s="15"/>
      <c r="I1159" s="14"/>
      <c r="P1159" s="14"/>
    </row>
    <row r="1160" ht="18.75" customHeight="1">
      <c r="A1160" s="7" t="s">
        <v>2815</v>
      </c>
      <c r="B1160" s="9">
        <v>4002.0</v>
      </c>
      <c r="C1160" s="9">
        <v>3994.0</v>
      </c>
      <c r="D1160" s="9">
        <v>2484.0</v>
      </c>
      <c r="E1160" s="9">
        <v>8.0</v>
      </c>
      <c r="F1160" s="14"/>
      <c r="G1160" s="15"/>
      <c r="H1160" s="15"/>
      <c r="I1160" s="14"/>
      <c r="P1160" s="14"/>
    </row>
    <row r="1161" ht="18.75" customHeight="1">
      <c r="A1161" s="7" t="s">
        <v>2816</v>
      </c>
      <c r="B1161" s="9">
        <v>4821.0</v>
      </c>
      <c r="C1161" s="9">
        <v>4813.0</v>
      </c>
      <c r="D1161" s="9">
        <v>3398.0</v>
      </c>
      <c r="E1161" s="9">
        <v>8.0</v>
      </c>
      <c r="F1161" s="14"/>
      <c r="G1161" s="15"/>
      <c r="H1161" s="15"/>
      <c r="I1161" s="14"/>
      <c r="P1161" s="14"/>
    </row>
    <row r="1162" ht="18.75" customHeight="1">
      <c r="A1162" s="7" t="s">
        <v>2817</v>
      </c>
      <c r="B1162" s="9">
        <v>3541.0</v>
      </c>
      <c r="C1162" s="9">
        <v>3536.0</v>
      </c>
      <c r="D1162" s="9">
        <v>2489.0</v>
      </c>
      <c r="E1162" s="9">
        <v>8.0</v>
      </c>
      <c r="F1162" s="14"/>
      <c r="G1162" s="15"/>
      <c r="H1162" s="15"/>
      <c r="I1162" s="14"/>
      <c r="P1162" s="14"/>
    </row>
    <row r="1163" ht="18.75" customHeight="1">
      <c r="A1163" s="7" t="s">
        <v>2818</v>
      </c>
      <c r="B1163" s="9">
        <v>2803.0</v>
      </c>
      <c r="C1163" s="9">
        <v>2802.0</v>
      </c>
      <c r="D1163" s="9">
        <v>1965.0</v>
      </c>
      <c r="E1163" s="9">
        <v>11.0</v>
      </c>
      <c r="F1163" s="14"/>
      <c r="G1163" s="15"/>
      <c r="H1163" s="15"/>
      <c r="I1163" s="14"/>
      <c r="P1163" s="14"/>
    </row>
    <row r="1164" ht="18.75" customHeight="1">
      <c r="A1164" s="7" t="s">
        <v>2819</v>
      </c>
      <c r="B1164" s="9">
        <v>6232.0</v>
      </c>
      <c r="C1164" s="9">
        <v>6221.0</v>
      </c>
      <c r="D1164" s="9">
        <v>4041.0</v>
      </c>
      <c r="E1164" s="9">
        <v>16.0</v>
      </c>
      <c r="F1164" s="14"/>
      <c r="G1164" s="15"/>
      <c r="H1164" s="15"/>
      <c r="I1164" s="14"/>
      <c r="P1164" s="14"/>
    </row>
    <row r="1165" ht="18.75" customHeight="1">
      <c r="A1165" s="7" t="s">
        <v>2820</v>
      </c>
      <c r="B1165" s="9">
        <v>5911.0</v>
      </c>
      <c r="C1165" s="9">
        <v>5903.0</v>
      </c>
      <c r="D1165" s="9">
        <v>4507.0</v>
      </c>
      <c r="E1165" s="9">
        <v>15.0</v>
      </c>
      <c r="F1165" s="14"/>
      <c r="G1165" s="15"/>
      <c r="H1165" s="15"/>
      <c r="I1165" s="14"/>
      <c r="P1165" s="14"/>
    </row>
    <row r="1166" ht="18.75" customHeight="1">
      <c r="A1166" s="7" t="s">
        <v>2821</v>
      </c>
      <c r="B1166" s="9">
        <v>6382.0</v>
      </c>
      <c r="C1166" s="9">
        <v>6371.0</v>
      </c>
      <c r="D1166" s="9">
        <v>4558.0</v>
      </c>
      <c r="E1166" s="9">
        <v>14.0</v>
      </c>
      <c r="F1166" s="14"/>
      <c r="G1166" s="15"/>
      <c r="H1166" s="15"/>
      <c r="I1166" s="14"/>
      <c r="P1166" s="14"/>
    </row>
    <row r="1167" ht="18.75" customHeight="1">
      <c r="A1167" s="7" t="s">
        <v>2822</v>
      </c>
      <c r="B1167" s="9">
        <v>1369.0</v>
      </c>
      <c r="C1167" s="9">
        <v>1366.0</v>
      </c>
      <c r="D1167" s="9">
        <v>951.0</v>
      </c>
      <c r="E1167" s="9">
        <v>1.0</v>
      </c>
      <c r="F1167" s="14"/>
      <c r="G1167" s="15"/>
      <c r="H1167" s="15"/>
      <c r="I1167" s="14"/>
      <c r="P1167" s="14"/>
    </row>
    <row r="1168" ht="18.75" customHeight="1">
      <c r="A1168" s="7" t="s">
        <v>2823</v>
      </c>
      <c r="B1168" s="9">
        <v>1710.0</v>
      </c>
      <c r="C1168" s="9">
        <v>1708.0</v>
      </c>
      <c r="D1168" s="9">
        <v>1244.0</v>
      </c>
      <c r="E1168" s="9">
        <v>2.0</v>
      </c>
      <c r="F1168" s="14"/>
      <c r="G1168" s="15"/>
      <c r="H1168" s="15"/>
      <c r="I1168" s="14"/>
      <c r="P1168" s="14"/>
    </row>
    <row r="1169" ht="18.75" customHeight="1">
      <c r="A1169" s="7" t="s">
        <v>2824</v>
      </c>
      <c r="B1169" s="9">
        <v>2224.0</v>
      </c>
      <c r="C1169" s="9">
        <v>2221.0</v>
      </c>
      <c r="D1169" s="9">
        <v>1671.0</v>
      </c>
      <c r="E1169" s="9">
        <v>5.0</v>
      </c>
      <c r="F1169" s="14"/>
      <c r="G1169" s="15"/>
      <c r="H1169" s="15"/>
      <c r="I1169" s="14"/>
      <c r="P1169" s="14"/>
    </row>
    <row r="1170" ht="18.75" customHeight="1">
      <c r="A1170" s="7" t="s">
        <v>2825</v>
      </c>
      <c r="B1170" s="9">
        <v>3808.0</v>
      </c>
      <c r="C1170" s="9">
        <v>3804.0</v>
      </c>
      <c r="D1170" s="9">
        <v>2680.0</v>
      </c>
      <c r="E1170" s="9">
        <v>11.0</v>
      </c>
      <c r="F1170" s="14"/>
      <c r="G1170" s="15"/>
      <c r="H1170" s="15"/>
      <c r="I1170" s="14"/>
      <c r="P1170" s="14"/>
    </row>
    <row r="1171" ht="18.75" customHeight="1">
      <c r="A1171" s="7" t="s">
        <v>2826</v>
      </c>
      <c r="B1171" s="9">
        <v>1703.0</v>
      </c>
      <c r="C1171" s="9">
        <v>1698.0</v>
      </c>
      <c r="D1171" s="9">
        <v>1115.0</v>
      </c>
      <c r="E1171" s="9">
        <v>1.0</v>
      </c>
      <c r="F1171" s="14"/>
      <c r="G1171" s="15"/>
      <c r="H1171" s="15"/>
      <c r="I1171" s="14"/>
      <c r="P1171" s="14"/>
    </row>
    <row r="1172" ht="18.75" customHeight="1">
      <c r="A1172" s="7" t="s">
        <v>2827</v>
      </c>
      <c r="B1172" s="9">
        <v>3250.0</v>
      </c>
      <c r="C1172" s="9">
        <v>3242.0</v>
      </c>
      <c r="D1172" s="9">
        <v>2161.0</v>
      </c>
      <c r="E1172" s="9">
        <v>6.0</v>
      </c>
      <c r="F1172" s="14"/>
      <c r="G1172" s="15"/>
      <c r="H1172" s="15"/>
      <c r="I1172" s="14"/>
      <c r="P1172" s="14"/>
    </row>
    <row r="1173" ht="18.75" customHeight="1">
      <c r="A1173" s="7" t="s">
        <v>2828</v>
      </c>
      <c r="B1173" s="9">
        <v>1836.0</v>
      </c>
      <c r="C1173" s="9">
        <v>1836.0</v>
      </c>
      <c r="D1173" s="9">
        <v>1196.0</v>
      </c>
      <c r="E1173" s="9">
        <v>4.0</v>
      </c>
      <c r="F1173" s="14"/>
      <c r="G1173" s="15"/>
      <c r="H1173" s="15"/>
      <c r="I1173" s="14"/>
      <c r="P1173" s="14"/>
    </row>
    <row r="1174" ht="18.75" customHeight="1">
      <c r="A1174" s="7" t="s">
        <v>2829</v>
      </c>
      <c r="B1174" s="9">
        <v>8280.0</v>
      </c>
      <c r="C1174" s="9">
        <v>8271.0</v>
      </c>
      <c r="D1174" s="9">
        <v>5814.0</v>
      </c>
      <c r="E1174" s="9">
        <v>23.0</v>
      </c>
      <c r="F1174" s="14"/>
      <c r="G1174" s="15"/>
      <c r="H1174" s="15"/>
      <c r="I1174" s="14"/>
      <c r="P1174" s="14"/>
    </row>
    <row r="1175" ht="18.75" customHeight="1">
      <c r="A1175" s="7" t="s">
        <v>2830</v>
      </c>
      <c r="B1175" s="9">
        <v>2049.0</v>
      </c>
      <c r="C1175" s="9">
        <v>2049.0</v>
      </c>
      <c r="D1175" s="9">
        <v>1482.0</v>
      </c>
      <c r="E1175" s="9">
        <v>3.0</v>
      </c>
      <c r="F1175" s="14"/>
      <c r="G1175" s="15"/>
      <c r="H1175" s="15"/>
      <c r="I1175" s="14"/>
      <c r="P1175" s="14"/>
    </row>
    <row r="1176" ht="18.75" customHeight="1">
      <c r="A1176" s="7" t="s">
        <v>2831</v>
      </c>
      <c r="B1176" s="9">
        <v>6179.0</v>
      </c>
      <c r="C1176" s="9">
        <v>6167.0</v>
      </c>
      <c r="D1176" s="9">
        <v>3702.0</v>
      </c>
      <c r="E1176" s="9">
        <v>16.0</v>
      </c>
      <c r="F1176" s="14"/>
      <c r="G1176" s="15"/>
      <c r="H1176" s="15"/>
      <c r="I1176" s="14"/>
      <c r="P1176" s="14"/>
    </row>
    <row r="1177" ht="18.75" customHeight="1">
      <c r="A1177" s="7" t="s">
        <v>2832</v>
      </c>
      <c r="B1177" s="9">
        <v>5682.0</v>
      </c>
      <c r="C1177" s="9">
        <v>5671.0</v>
      </c>
      <c r="D1177" s="9">
        <v>3879.0</v>
      </c>
      <c r="E1177" s="9">
        <v>13.0</v>
      </c>
      <c r="F1177" s="14"/>
      <c r="G1177" s="15"/>
      <c r="H1177" s="15"/>
      <c r="I1177" s="14"/>
      <c r="P1177" s="14"/>
    </row>
    <row r="1178" ht="18.75" customHeight="1">
      <c r="A1178" s="7" t="s">
        <v>2833</v>
      </c>
      <c r="B1178" s="9">
        <v>4086.0</v>
      </c>
      <c r="C1178" s="9">
        <v>4077.0</v>
      </c>
      <c r="D1178" s="9">
        <v>2700.0</v>
      </c>
      <c r="E1178" s="9">
        <v>13.0</v>
      </c>
      <c r="F1178" s="14"/>
      <c r="G1178" s="15"/>
      <c r="H1178" s="15"/>
      <c r="I1178" s="14"/>
      <c r="P1178" s="14"/>
    </row>
    <row r="1179" ht="18.75" customHeight="1">
      <c r="A1179" s="7" t="s">
        <v>2834</v>
      </c>
      <c r="B1179" s="9">
        <v>4668.0</v>
      </c>
      <c r="C1179" s="9">
        <v>4658.0</v>
      </c>
      <c r="D1179" s="9">
        <v>3560.0</v>
      </c>
      <c r="E1179" s="9">
        <v>7.0</v>
      </c>
      <c r="F1179" s="14"/>
      <c r="G1179" s="15"/>
      <c r="H1179" s="15"/>
      <c r="I1179" s="14"/>
      <c r="P1179" s="14"/>
    </row>
    <row r="1180" ht="18.75" customHeight="1">
      <c r="A1180" s="7" t="s">
        <v>2835</v>
      </c>
      <c r="B1180" s="9">
        <v>4237.0</v>
      </c>
      <c r="C1180" s="9">
        <v>4231.0</v>
      </c>
      <c r="D1180" s="9">
        <v>3010.0</v>
      </c>
      <c r="E1180" s="9">
        <v>8.0</v>
      </c>
      <c r="F1180" s="14"/>
      <c r="G1180" s="15"/>
      <c r="H1180" s="15"/>
      <c r="I1180" s="14"/>
      <c r="P1180" s="14"/>
    </row>
    <row r="1181" ht="18.75" customHeight="1">
      <c r="A1181" s="7" t="s">
        <v>2836</v>
      </c>
      <c r="B1181" s="9">
        <v>4042.0</v>
      </c>
      <c r="C1181" s="9">
        <v>4042.0</v>
      </c>
      <c r="D1181" s="9">
        <v>2232.0</v>
      </c>
      <c r="E1181" s="9">
        <v>5.0</v>
      </c>
      <c r="F1181" s="14"/>
      <c r="G1181" s="15"/>
      <c r="H1181" s="15"/>
      <c r="I1181" s="14"/>
      <c r="P1181" s="14"/>
    </row>
    <row r="1182" ht="18.75" customHeight="1">
      <c r="A1182" s="7" t="s">
        <v>2837</v>
      </c>
      <c r="B1182" s="9">
        <v>7045.0</v>
      </c>
      <c r="C1182" s="9">
        <v>7034.0</v>
      </c>
      <c r="D1182" s="9">
        <v>4992.0</v>
      </c>
      <c r="E1182" s="9">
        <v>17.0</v>
      </c>
      <c r="F1182" s="14"/>
      <c r="G1182" s="15"/>
      <c r="H1182" s="15"/>
      <c r="I1182" s="14"/>
      <c r="P1182" s="14"/>
    </row>
    <row r="1183" ht="18.75" customHeight="1">
      <c r="A1183" s="7" t="s">
        <v>2838</v>
      </c>
      <c r="B1183" s="9">
        <v>3062.0</v>
      </c>
      <c r="C1183" s="9">
        <v>3056.0</v>
      </c>
      <c r="D1183" s="9">
        <v>2148.0</v>
      </c>
      <c r="E1183" s="9">
        <v>14.0</v>
      </c>
      <c r="F1183" s="14"/>
      <c r="G1183" s="15"/>
      <c r="H1183" s="15"/>
      <c r="I1183" s="14"/>
      <c r="P1183" s="14"/>
    </row>
    <row r="1184" ht="18.75" customHeight="1">
      <c r="A1184" s="7" t="s">
        <v>2839</v>
      </c>
      <c r="B1184" s="9">
        <v>11421.0</v>
      </c>
      <c r="C1184" s="9">
        <v>11221.0</v>
      </c>
      <c r="D1184" s="9">
        <v>4595.0</v>
      </c>
      <c r="E1184" s="9">
        <v>331.0</v>
      </c>
      <c r="F1184" s="14"/>
      <c r="G1184" s="15"/>
      <c r="H1184" s="15"/>
      <c r="I1184" s="14"/>
      <c r="P1184" s="14"/>
    </row>
    <row r="1185" ht="18.75" customHeight="1">
      <c r="A1185" s="7" t="s">
        <v>2840</v>
      </c>
      <c r="B1185" s="9">
        <v>1873.0</v>
      </c>
      <c r="C1185" s="9">
        <v>1873.0</v>
      </c>
      <c r="D1185" s="9">
        <v>1266.0</v>
      </c>
      <c r="E1185" s="9">
        <v>7.0</v>
      </c>
      <c r="F1185" s="14"/>
      <c r="G1185" s="15"/>
      <c r="H1185" s="15"/>
      <c r="I1185" s="14"/>
      <c r="P1185" s="14"/>
    </row>
    <row r="1186" ht="18.75" customHeight="1">
      <c r="A1186" s="7" t="s">
        <v>2841</v>
      </c>
      <c r="B1186" s="9">
        <v>11746.0</v>
      </c>
      <c r="C1186" s="9">
        <v>11725.0</v>
      </c>
      <c r="D1186" s="9">
        <v>8147.0</v>
      </c>
      <c r="E1186" s="9">
        <v>25.0</v>
      </c>
      <c r="F1186" s="14"/>
      <c r="G1186" s="15"/>
      <c r="H1186" s="15"/>
      <c r="I1186" s="14"/>
      <c r="P1186" s="14"/>
    </row>
    <row r="1187" ht="18.75" customHeight="1">
      <c r="A1187" s="7" t="s">
        <v>2841</v>
      </c>
      <c r="B1187" s="9">
        <v>435.0</v>
      </c>
      <c r="C1187" s="9">
        <v>433.0</v>
      </c>
      <c r="D1187" s="9">
        <v>260.0</v>
      </c>
      <c r="E1187" s="9">
        <v>0.0</v>
      </c>
      <c r="F1187" s="14"/>
      <c r="G1187" s="15"/>
      <c r="H1187" s="15"/>
      <c r="I1187" s="14"/>
      <c r="P1187" s="14"/>
    </row>
    <row r="1188" ht="18.75" customHeight="1">
      <c r="A1188" s="7" t="s">
        <v>2842</v>
      </c>
      <c r="B1188" s="9">
        <v>9718.0</v>
      </c>
      <c r="C1188" s="9">
        <v>9582.0</v>
      </c>
      <c r="D1188" s="9">
        <v>5449.0</v>
      </c>
      <c r="E1188" s="9">
        <v>435.0</v>
      </c>
      <c r="F1188" s="14"/>
      <c r="G1188" s="15"/>
      <c r="H1188" s="15"/>
      <c r="I1188" s="14"/>
      <c r="P1188" s="14"/>
    </row>
    <row r="1189" ht="18.75" customHeight="1">
      <c r="A1189" s="7" t="s">
        <v>2843</v>
      </c>
      <c r="B1189" s="9">
        <v>23328.0</v>
      </c>
      <c r="C1189" s="9">
        <v>23141.0</v>
      </c>
      <c r="D1189" s="9">
        <v>16194.0</v>
      </c>
      <c r="E1189" s="9">
        <v>480.0</v>
      </c>
      <c r="F1189" s="14"/>
      <c r="G1189" s="15"/>
      <c r="H1189" s="15"/>
      <c r="I1189" s="14"/>
      <c r="P1189" s="14"/>
    </row>
    <row r="1190" ht="18.75" customHeight="1">
      <c r="A1190" s="7" t="s">
        <v>2844</v>
      </c>
      <c r="B1190" s="9">
        <v>19248.0</v>
      </c>
      <c r="C1190" s="9">
        <v>19169.0</v>
      </c>
      <c r="D1190" s="9">
        <v>13670.0</v>
      </c>
      <c r="E1190" s="9">
        <v>188.0</v>
      </c>
      <c r="F1190" s="14"/>
      <c r="G1190" s="15"/>
      <c r="H1190" s="15"/>
      <c r="I1190" s="14"/>
      <c r="P1190" s="14"/>
    </row>
    <row r="1191" ht="18.75" customHeight="1">
      <c r="A1191" s="7" t="s">
        <v>2845</v>
      </c>
      <c r="B1191" s="9">
        <v>32963.0</v>
      </c>
      <c r="C1191" s="9">
        <v>32859.0</v>
      </c>
      <c r="D1191" s="9">
        <v>23472.0</v>
      </c>
      <c r="E1191" s="9">
        <v>505.0</v>
      </c>
      <c r="F1191" s="14"/>
      <c r="G1191" s="15"/>
      <c r="H1191" s="15"/>
      <c r="I1191" s="14"/>
      <c r="P1191" s="14"/>
    </row>
    <row r="1192" ht="18.75" customHeight="1">
      <c r="A1192" s="7" t="s">
        <v>2846</v>
      </c>
      <c r="B1192" s="9">
        <v>7919.0</v>
      </c>
      <c r="C1192" s="9">
        <v>7905.0</v>
      </c>
      <c r="D1192" s="9">
        <v>5306.0</v>
      </c>
      <c r="E1192" s="9">
        <v>16.0</v>
      </c>
      <c r="F1192" s="14"/>
      <c r="G1192" s="15"/>
      <c r="H1192" s="15"/>
      <c r="I1192" s="14"/>
      <c r="P1192" s="14"/>
    </row>
    <row r="1193" ht="18.75" customHeight="1">
      <c r="A1193" s="7" t="s">
        <v>2847</v>
      </c>
      <c r="B1193" s="9">
        <v>1962.0</v>
      </c>
      <c r="C1193" s="9">
        <v>1958.0</v>
      </c>
      <c r="D1193" s="9">
        <v>1399.0</v>
      </c>
      <c r="E1193" s="9">
        <v>6.0</v>
      </c>
      <c r="F1193" s="14"/>
      <c r="G1193" s="15"/>
      <c r="H1193" s="15"/>
      <c r="I1193" s="14"/>
      <c r="P1193" s="14"/>
    </row>
    <row r="1194" ht="18.75" customHeight="1">
      <c r="A1194" s="7" t="s">
        <v>2848</v>
      </c>
      <c r="B1194" s="9">
        <v>3043.0</v>
      </c>
      <c r="C1194" s="9">
        <v>3038.0</v>
      </c>
      <c r="D1194" s="9">
        <v>2054.0</v>
      </c>
      <c r="E1194" s="9">
        <v>7.0</v>
      </c>
      <c r="F1194" s="14"/>
      <c r="G1194" s="15"/>
      <c r="H1194" s="15"/>
      <c r="I1194" s="14"/>
      <c r="P1194" s="14"/>
    </row>
    <row r="1195" ht="18.75" customHeight="1">
      <c r="A1195" s="7" t="s">
        <v>2774</v>
      </c>
      <c r="B1195" s="9">
        <v>3479.0</v>
      </c>
      <c r="C1195" s="9">
        <v>3458.0</v>
      </c>
      <c r="D1195" s="9">
        <v>2288.0</v>
      </c>
      <c r="E1195" s="9">
        <v>190.0</v>
      </c>
      <c r="F1195" s="14"/>
      <c r="G1195" s="15"/>
      <c r="H1195" s="15"/>
      <c r="I1195" s="14"/>
      <c r="P1195" s="14"/>
    </row>
    <row r="1196" ht="18.75" customHeight="1">
      <c r="A1196" s="7" t="s">
        <v>2849</v>
      </c>
      <c r="B1196" s="9">
        <v>3752.0</v>
      </c>
      <c r="C1196" s="9">
        <v>3745.0</v>
      </c>
      <c r="D1196" s="9">
        <v>2133.0</v>
      </c>
      <c r="E1196" s="9">
        <v>5.0</v>
      </c>
      <c r="F1196" s="14"/>
      <c r="G1196" s="15"/>
      <c r="H1196" s="15"/>
      <c r="I1196" s="14"/>
      <c r="P1196" s="14"/>
    </row>
    <row r="1197" ht="18.75" customHeight="1">
      <c r="A1197" s="7" t="s">
        <v>2850</v>
      </c>
      <c r="B1197" s="9">
        <v>2416.0</v>
      </c>
      <c r="C1197" s="9">
        <v>2415.0</v>
      </c>
      <c r="D1197" s="9">
        <v>1770.0</v>
      </c>
      <c r="E1197" s="9">
        <v>6.0</v>
      </c>
      <c r="F1197" s="14"/>
      <c r="G1197" s="15"/>
      <c r="H1197" s="15"/>
      <c r="I1197" s="14"/>
      <c r="P1197" s="14"/>
    </row>
    <row r="1198" ht="18.75" customHeight="1">
      <c r="A1198" s="7" t="s">
        <v>2851</v>
      </c>
      <c r="B1198" s="9">
        <v>1675.0</v>
      </c>
      <c r="C1198" s="9">
        <v>1671.0</v>
      </c>
      <c r="D1198" s="9">
        <v>1058.0</v>
      </c>
      <c r="E1198" s="9">
        <v>2.0</v>
      </c>
      <c r="F1198" s="14"/>
      <c r="G1198" s="15"/>
      <c r="H1198" s="15"/>
      <c r="I1198" s="14"/>
      <c r="P1198" s="14"/>
    </row>
    <row r="1199" ht="18.75" customHeight="1">
      <c r="A1199" s="7" t="s">
        <v>2852</v>
      </c>
      <c r="B1199" s="9">
        <v>60627.0</v>
      </c>
      <c r="C1199" s="9">
        <v>60527.0</v>
      </c>
      <c r="D1199" s="9">
        <v>31245.0</v>
      </c>
      <c r="E1199" s="9">
        <v>362.0</v>
      </c>
      <c r="F1199" s="14"/>
      <c r="G1199" s="15"/>
      <c r="H1199" s="15"/>
      <c r="I1199" s="14"/>
      <c r="P1199" s="14"/>
    </row>
    <row r="1200" ht="18.75" customHeight="1">
      <c r="A1200" s="7" t="s">
        <v>2829</v>
      </c>
      <c r="B1200" s="9">
        <v>8280.0</v>
      </c>
      <c r="C1200" s="9">
        <v>8280.0</v>
      </c>
      <c r="D1200" s="9">
        <v>5612.0</v>
      </c>
      <c r="E1200" s="9">
        <v>23.0</v>
      </c>
      <c r="F1200" s="14"/>
      <c r="G1200" s="15"/>
      <c r="H1200" s="15"/>
      <c r="I1200" s="14"/>
      <c r="P1200" s="14"/>
    </row>
    <row r="1201" ht="18.75" customHeight="1">
      <c r="A1201" s="7" t="s">
        <v>2853</v>
      </c>
      <c r="B1201" s="9">
        <v>7340.0</v>
      </c>
      <c r="C1201" s="9">
        <v>7325.0</v>
      </c>
      <c r="D1201" s="9">
        <v>4648.0</v>
      </c>
      <c r="E1201" s="9">
        <v>12.0</v>
      </c>
      <c r="F1201" s="14"/>
      <c r="G1201" s="15"/>
      <c r="H1201" s="15"/>
      <c r="I1201" s="14"/>
      <c r="P1201" s="14"/>
    </row>
    <row r="1202" ht="18.75" customHeight="1">
      <c r="A1202" s="7" t="s">
        <v>2854</v>
      </c>
      <c r="B1202" s="9">
        <v>81691.0</v>
      </c>
      <c r="C1202" s="9">
        <v>81403.0</v>
      </c>
      <c r="D1202" s="9">
        <v>56601.0</v>
      </c>
      <c r="E1202" s="9">
        <v>52.0</v>
      </c>
      <c r="F1202" s="14"/>
      <c r="G1202" s="15"/>
      <c r="H1202" s="15"/>
      <c r="I1202" s="14"/>
      <c r="P1202" s="14"/>
    </row>
    <row r="1203" ht="18.75" customHeight="1">
      <c r="A1203" s="7" t="s">
        <v>2854</v>
      </c>
      <c r="B1203" s="9">
        <v>51602.0</v>
      </c>
      <c r="C1203" s="9">
        <v>51533.0</v>
      </c>
      <c r="D1203" s="9">
        <v>37460.0</v>
      </c>
      <c r="E1203" s="9">
        <v>55.0</v>
      </c>
      <c r="F1203" s="14"/>
      <c r="G1203" s="15"/>
      <c r="H1203" s="15"/>
      <c r="I1203" s="14"/>
      <c r="P1203" s="14"/>
    </row>
    <row r="1204" ht="18.75" customHeight="1">
      <c r="A1204" s="7" t="s">
        <v>2801</v>
      </c>
      <c r="B1204" s="9">
        <v>71595.0</v>
      </c>
      <c r="C1204" s="9">
        <v>70944.0</v>
      </c>
      <c r="D1204" s="9">
        <v>40254.0</v>
      </c>
      <c r="E1204" s="9">
        <v>104.0</v>
      </c>
      <c r="F1204" s="14"/>
      <c r="G1204" s="15"/>
      <c r="H1204" s="15"/>
      <c r="I1204" s="14"/>
      <c r="P1204" s="14"/>
    </row>
    <row r="1205" ht="18.75" customHeight="1">
      <c r="A1205" s="7" t="s">
        <v>2798</v>
      </c>
      <c r="B1205" s="9">
        <v>207047.0</v>
      </c>
      <c r="C1205" s="9">
        <v>205688.0</v>
      </c>
      <c r="D1205" s="9">
        <v>130994.0</v>
      </c>
      <c r="E1205" s="9">
        <v>123.0</v>
      </c>
      <c r="F1205" s="14"/>
      <c r="G1205" s="15"/>
      <c r="H1205" s="15"/>
      <c r="I1205" s="14"/>
      <c r="P1205" s="14"/>
    </row>
    <row r="1206" ht="18.75" customHeight="1">
      <c r="A1206" s="7" t="s">
        <v>2855</v>
      </c>
      <c r="B1206" s="9">
        <v>45723.0</v>
      </c>
      <c r="C1206" s="9">
        <v>45550.0</v>
      </c>
      <c r="D1206" s="9">
        <v>27634.0</v>
      </c>
      <c r="E1206" s="9">
        <v>57.0</v>
      </c>
      <c r="F1206" s="14"/>
      <c r="G1206" s="15"/>
      <c r="H1206" s="15"/>
      <c r="I1206" s="14"/>
      <c r="P1206" s="14"/>
    </row>
    <row r="1207" ht="18.75" customHeight="1">
      <c r="A1207" s="7" t="s">
        <v>2856</v>
      </c>
      <c r="B1207" s="9">
        <v>66.0</v>
      </c>
      <c r="C1207" s="9">
        <v>66.0</v>
      </c>
      <c r="D1207" s="9">
        <v>42.0</v>
      </c>
      <c r="E1207" s="9">
        <v>16.0</v>
      </c>
      <c r="F1207" s="14"/>
      <c r="G1207" s="15"/>
      <c r="H1207" s="15"/>
      <c r="I1207" s="14"/>
      <c r="P1207" s="14"/>
    </row>
    <row r="1208" ht="18.75" customHeight="1">
      <c r="A1208" s="7" t="s">
        <v>2857</v>
      </c>
      <c r="B1208" s="9">
        <v>631.0</v>
      </c>
      <c r="C1208" s="9">
        <v>628.0</v>
      </c>
      <c r="D1208" s="9">
        <v>223.0</v>
      </c>
      <c r="E1208" s="9">
        <v>5.0</v>
      </c>
      <c r="F1208" s="14"/>
      <c r="G1208" s="15"/>
      <c r="H1208" s="15"/>
      <c r="I1208" s="14"/>
      <c r="P1208" s="14"/>
    </row>
    <row r="1209" ht="18.75" customHeight="1">
      <c r="A1209" s="7" t="s">
        <v>2857</v>
      </c>
      <c r="B1209" s="9">
        <v>11472.0</v>
      </c>
      <c r="C1209" s="9">
        <v>10943.0</v>
      </c>
      <c r="D1209" s="9">
        <v>301.0</v>
      </c>
      <c r="E1209" s="9">
        <v>42.0</v>
      </c>
      <c r="F1209" s="14"/>
      <c r="G1209" s="15"/>
      <c r="H1209" s="15"/>
      <c r="I1209" s="14"/>
      <c r="P1209" s="14"/>
    </row>
    <row r="1210" ht="18.75" customHeight="1">
      <c r="A1210" s="7" t="s">
        <v>2776</v>
      </c>
      <c r="B1210" s="9">
        <v>170943.0</v>
      </c>
      <c r="C1210" s="9">
        <v>168229.0</v>
      </c>
      <c r="D1210" s="9">
        <v>54391.0</v>
      </c>
      <c r="E1210" s="9">
        <v>593.0</v>
      </c>
      <c r="F1210" s="14"/>
      <c r="G1210" s="15"/>
      <c r="H1210" s="15"/>
      <c r="I1210" s="14"/>
      <c r="P1210" s="14"/>
    </row>
    <row r="1211" ht="18.75" customHeight="1">
      <c r="A1211" s="7" t="s">
        <v>2858</v>
      </c>
      <c r="B1211" s="9">
        <v>143579.0</v>
      </c>
      <c r="C1211" s="9">
        <v>141533.0</v>
      </c>
      <c r="D1211" s="9">
        <v>62419.0</v>
      </c>
      <c r="E1211" s="9">
        <v>7088.0</v>
      </c>
      <c r="F1211" s="14"/>
      <c r="G1211" s="15"/>
      <c r="H1211" s="15"/>
      <c r="I1211" s="14"/>
      <c r="P1211" s="14"/>
    </row>
    <row r="1212" ht="18.75" customHeight="1">
      <c r="A1212" s="7" t="s">
        <v>2859</v>
      </c>
      <c r="B1212" s="9">
        <v>289888.0</v>
      </c>
      <c r="C1212" s="9">
        <v>285694.0</v>
      </c>
      <c r="D1212" s="9">
        <v>113037.0</v>
      </c>
      <c r="E1212" s="9">
        <v>160.0</v>
      </c>
      <c r="F1212" s="14"/>
      <c r="G1212" s="15"/>
      <c r="H1212" s="15"/>
      <c r="I1212" s="14"/>
      <c r="P1212" s="14"/>
    </row>
    <row r="1213" ht="18.75" customHeight="1">
      <c r="A1213" s="7" t="s">
        <v>2860</v>
      </c>
      <c r="B1213" s="9">
        <v>87562.0</v>
      </c>
      <c r="C1213" s="9">
        <v>85919.0</v>
      </c>
      <c r="D1213" s="9">
        <v>27289.0</v>
      </c>
      <c r="E1213" s="9">
        <v>730.0</v>
      </c>
      <c r="F1213" s="14"/>
      <c r="G1213" s="15"/>
      <c r="H1213" s="15"/>
      <c r="I1213" s="14"/>
      <c r="P1213" s="14"/>
    </row>
    <row r="1214" ht="18.75" customHeight="1">
      <c r="A1214" s="7" t="s">
        <v>2861</v>
      </c>
      <c r="B1214" s="9">
        <v>90774.0</v>
      </c>
      <c r="C1214" s="9">
        <v>89509.0</v>
      </c>
      <c r="D1214" s="9">
        <v>33793.0</v>
      </c>
      <c r="E1214" s="9">
        <v>356.0</v>
      </c>
      <c r="F1214" s="14"/>
      <c r="G1214" s="15"/>
      <c r="H1214" s="15"/>
      <c r="I1214" s="14"/>
      <c r="P1214" s="14"/>
    </row>
    <row r="1215" ht="18.75" customHeight="1">
      <c r="A1215" s="7" t="s">
        <v>2862</v>
      </c>
      <c r="B1215" s="9">
        <v>100587.0</v>
      </c>
      <c r="C1215" s="9">
        <v>99015.0</v>
      </c>
      <c r="D1215" s="9">
        <v>37040.0</v>
      </c>
      <c r="E1215" s="9">
        <v>564.0</v>
      </c>
      <c r="F1215" s="14"/>
      <c r="G1215" s="15"/>
      <c r="H1215" s="15"/>
      <c r="I1215" s="14"/>
      <c r="P1215" s="14"/>
    </row>
    <row r="1216" ht="18.75" customHeight="1">
      <c r="A1216" s="7" t="s">
        <v>2863</v>
      </c>
      <c r="B1216" s="9">
        <v>11392.0</v>
      </c>
      <c r="C1216" s="9">
        <v>11263.0</v>
      </c>
      <c r="D1216" s="9">
        <v>4858.0</v>
      </c>
      <c r="E1216" s="9">
        <v>47.0</v>
      </c>
      <c r="F1216" s="14"/>
      <c r="G1216" s="15"/>
      <c r="H1216" s="15"/>
      <c r="I1216" s="14"/>
      <c r="P1216" s="14"/>
    </row>
    <row r="1217" ht="18.75" customHeight="1">
      <c r="A1217" s="7" t="s">
        <v>2864</v>
      </c>
      <c r="B1217" s="9">
        <v>37798.0</v>
      </c>
      <c r="C1217" s="9">
        <v>36961.0</v>
      </c>
      <c r="D1217" s="9">
        <v>7298.0</v>
      </c>
      <c r="E1217" s="9">
        <v>210.0</v>
      </c>
      <c r="F1217" s="14"/>
      <c r="G1217" s="15"/>
      <c r="H1217" s="15"/>
      <c r="I1217" s="14"/>
      <c r="P1217" s="14"/>
    </row>
    <row r="1218" ht="18.75" customHeight="1">
      <c r="A1218" s="7" t="s">
        <v>2865</v>
      </c>
      <c r="B1218" s="9">
        <v>45656.0</v>
      </c>
      <c r="C1218" s="9">
        <v>45183.0</v>
      </c>
      <c r="D1218" s="9">
        <v>9787.0</v>
      </c>
      <c r="E1218" s="9">
        <v>1040.0</v>
      </c>
      <c r="F1218" s="14"/>
      <c r="G1218" s="15"/>
      <c r="H1218" s="15"/>
      <c r="I1218" s="14"/>
      <c r="P1218" s="14"/>
    </row>
    <row r="1219" ht="18.75" customHeight="1">
      <c r="A1219" s="7" t="s">
        <v>2866</v>
      </c>
      <c r="B1219" s="9">
        <v>19401.0</v>
      </c>
      <c r="C1219" s="9">
        <v>19057.0</v>
      </c>
      <c r="D1219" s="9">
        <v>4124.0</v>
      </c>
      <c r="E1219" s="9">
        <v>114.0</v>
      </c>
      <c r="F1219" s="14"/>
      <c r="G1219" s="15"/>
      <c r="H1219" s="15"/>
      <c r="I1219" s="14"/>
      <c r="P1219" s="14"/>
    </row>
    <row r="1220" ht="18.75" customHeight="1">
      <c r="A1220" s="7" t="s">
        <v>2867</v>
      </c>
      <c r="B1220" s="9">
        <v>19388.0</v>
      </c>
      <c r="C1220" s="9">
        <v>19042.0</v>
      </c>
      <c r="D1220" s="9">
        <v>3908.0</v>
      </c>
      <c r="E1220" s="9">
        <v>63.0</v>
      </c>
      <c r="F1220" s="14"/>
      <c r="G1220" s="15"/>
      <c r="H1220" s="15"/>
      <c r="I1220" s="14"/>
      <c r="P1220" s="14"/>
    </row>
    <row r="1221" ht="18.75" customHeight="1">
      <c r="A1221" s="7" t="s">
        <v>2868</v>
      </c>
      <c r="B1221" s="9">
        <v>10011.0</v>
      </c>
      <c r="C1221" s="9">
        <v>9849.0</v>
      </c>
      <c r="D1221" s="9">
        <v>1850.0</v>
      </c>
      <c r="E1221" s="9">
        <v>75.0</v>
      </c>
      <c r="F1221" s="14"/>
      <c r="G1221" s="15"/>
      <c r="H1221" s="15"/>
      <c r="I1221" s="14"/>
      <c r="P1221" s="14"/>
    </row>
    <row r="1222" ht="18.75" customHeight="1">
      <c r="A1222" s="7" t="s">
        <v>2869</v>
      </c>
      <c r="B1222" s="9">
        <v>6341.0</v>
      </c>
      <c r="C1222" s="9">
        <v>6200.0</v>
      </c>
      <c r="D1222" s="9">
        <v>1429.0</v>
      </c>
      <c r="E1222" s="9">
        <v>90.0</v>
      </c>
      <c r="F1222" s="14"/>
      <c r="G1222" s="15"/>
      <c r="H1222" s="15"/>
      <c r="I1222" s="14"/>
      <c r="P1222" s="14"/>
    </row>
    <row r="1223" ht="18.75" customHeight="1">
      <c r="A1223" s="7" t="s">
        <v>2855</v>
      </c>
      <c r="B1223" s="9">
        <v>72732.0</v>
      </c>
      <c r="C1223" s="9">
        <v>71609.0</v>
      </c>
      <c r="D1223" s="9">
        <v>26497.0</v>
      </c>
      <c r="E1223" s="9">
        <v>81.0</v>
      </c>
      <c r="F1223" s="14"/>
      <c r="G1223" s="15"/>
      <c r="H1223" s="15"/>
      <c r="I1223" s="14"/>
      <c r="P1223" s="14"/>
    </row>
    <row r="1224" ht="18.75" customHeight="1">
      <c r="A1224" s="7" t="s">
        <v>2870</v>
      </c>
      <c r="B1224" s="9">
        <v>53417.0</v>
      </c>
      <c r="C1224" s="9">
        <v>52342.0</v>
      </c>
      <c r="D1224" s="9">
        <v>9628.0</v>
      </c>
      <c r="E1224" s="9">
        <v>238.0</v>
      </c>
      <c r="F1224" s="14"/>
      <c r="G1224" s="15"/>
      <c r="H1224" s="15"/>
      <c r="I1224" s="14"/>
      <c r="P1224" s="14"/>
    </row>
    <row r="1225" ht="18.75" customHeight="1">
      <c r="A1225" s="7" t="s">
        <v>2778</v>
      </c>
      <c r="B1225" s="9">
        <v>30085.0</v>
      </c>
      <c r="C1225" s="9">
        <v>29552.0</v>
      </c>
      <c r="D1225" s="9">
        <v>9188.0</v>
      </c>
      <c r="E1225" s="9">
        <v>594.0</v>
      </c>
      <c r="F1225" s="14"/>
      <c r="G1225" s="15"/>
      <c r="H1225" s="15"/>
      <c r="I1225" s="14"/>
      <c r="P1225" s="14"/>
    </row>
    <row r="1226" ht="18.75" customHeight="1">
      <c r="A1226" s="7" t="s">
        <v>2871</v>
      </c>
      <c r="B1226" s="9">
        <v>20000.0</v>
      </c>
      <c r="C1226" s="9">
        <v>19930.0</v>
      </c>
      <c r="D1226" s="9">
        <v>16779.0</v>
      </c>
      <c r="E1226" s="9">
        <v>1400.0</v>
      </c>
      <c r="F1226" s="14"/>
      <c r="G1226" s="15"/>
      <c r="H1226" s="15"/>
      <c r="I1226" s="14"/>
      <c r="P1226" s="14"/>
    </row>
    <row r="1227" ht="18.75" customHeight="1">
      <c r="A1227" s="7" t="s">
        <v>2872</v>
      </c>
      <c r="B1227" s="9">
        <v>19569.0</v>
      </c>
      <c r="C1227" s="9">
        <v>19193.0</v>
      </c>
      <c r="D1227" s="9">
        <v>3985.0</v>
      </c>
      <c r="E1227" s="9">
        <v>122.0</v>
      </c>
      <c r="F1227" s="14"/>
      <c r="G1227" s="15"/>
      <c r="H1227" s="15"/>
      <c r="I1227" s="14"/>
      <c r="P1227" s="14"/>
    </row>
    <row r="1228" ht="18.75" customHeight="1">
      <c r="A1228" s="7" t="s">
        <v>2873</v>
      </c>
      <c r="B1228" s="9">
        <v>14465.0</v>
      </c>
      <c r="C1228" s="9">
        <v>14139.0</v>
      </c>
      <c r="D1228" s="9">
        <v>3011.0</v>
      </c>
      <c r="E1228" s="9">
        <v>113.0</v>
      </c>
      <c r="F1228" s="14"/>
      <c r="G1228" s="15"/>
      <c r="H1228" s="15"/>
      <c r="I1228" s="14"/>
      <c r="P1228" s="14"/>
    </row>
    <row r="1229" ht="18.75" customHeight="1">
      <c r="A1229" s="7" t="s">
        <v>2874</v>
      </c>
      <c r="B1229" s="9">
        <v>10011.0</v>
      </c>
      <c r="C1229" s="9">
        <v>9850.0</v>
      </c>
      <c r="D1229" s="9">
        <v>1777.0</v>
      </c>
      <c r="E1229" s="9">
        <v>71.0</v>
      </c>
      <c r="F1229" s="14"/>
      <c r="G1229" s="15"/>
      <c r="H1229" s="15"/>
      <c r="I1229" s="14"/>
      <c r="P1229" s="14"/>
    </row>
    <row r="1230" ht="18.75" customHeight="1">
      <c r="A1230" s="7" t="s">
        <v>2875</v>
      </c>
      <c r="B1230" s="9">
        <v>22190.0</v>
      </c>
      <c r="C1230" s="9">
        <v>21814.0</v>
      </c>
      <c r="D1230" s="9">
        <v>4799.0</v>
      </c>
      <c r="E1230" s="9">
        <v>106.0</v>
      </c>
      <c r="F1230" s="14"/>
      <c r="G1230" s="15"/>
      <c r="H1230" s="15"/>
      <c r="I1230" s="14"/>
      <c r="P1230" s="14"/>
    </row>
    <row r="1231" ht="18.75" customHeight="1">
      <c r="A1231" s="7" t="s">
        <v>2876</v>
      </c>
      <c r="B1231" s="9">
        <v>90885.0</v>
      </c>
      <c r="C1231" s="9">
        <v>89566.0</v>
      </c>
      <c r="D1231" s="9">
        <v>36848.0</v>
      </c>
      <c r="E1231" s="9">
        <v>772.0</v>
      </c>
      <c r="F1231" s="14"/>
      <c r="G1231" s="15"/>
      <c r="H1231" s="15"/>
      <c r="I1231" s="14"/>
      <c r="P1231" s="14"/>
    </row>
    <row r="1232" ht="18.75" customHeight="1">
      <c r="A1232" s="7" t="s">
        <v>2877</v>
      </c>
      <c r="B1232" s="9">
        <v>30.0</v>
      </c>
      <c r="C1232" s="9">
        <v>30.0</v>
      </c>
      <c r="D1232" s="9">
        <v>22.0</v>
      </c>
      <c r="E1232" s="9">
        <v>0.0</v>
      </c>
      <c r="F1232" s="14"/>
      <c r="G1232" s="15"/>
      <c r="H1232" s="15"/>
      <c r="I1232" s="14"/>
      <c r="P1232" s="14"/>
    </row>
    <row r="1233" ht="18.75" customHeight="1">
      <c r="A1233" s="7" t="s">
        <v>2878</v>
      </c>
      <c r="B1233" s="9">
        <v>32604.0</v>
      </c>
      <c r="C1233" s="9">
        <v>32197.0</v>
      </c>
      <c r="D1233" s="9">
        <v>10551.0</v>
      </c>
      <c r="E1233" s="9">
        <v>385.0</v>
      </c>
      <c r="F1233" s="14"/>
      <c r="G1233" s="15"/>
      <c r="H1233" s="15"/>
      <c r="I1233" s="14"/>
      <c r="P1233" s="14"/>
    </row>
    <row r="1234" ht="18.75" customHeight="1">
      <c r="A1234" s="7" t="s">
        <v>2879</v>
      </c>
      <c r="B1234" s="9">
        <v>118.0</v>
      </c>
      <c r="C1234" s="9">
        <v>117.0</v>
      </c>
      <c r="D1234" s="9">
        <v>40.0</v>
      </c>
      <c r="E1234" s="9">
        <v>1.0</v>
      </c>
      <c r="F1234" s="14"/>
      <c r="G1234" s="15"/>
      <c r="H1234" s="15"/>
      <c r="I1234" s="14"/>
      <c r="P1234" s="14"/>
    </row>
    <row r="1235" ht="18.75" customHeight="1">
      <c r="A1235" s="7" t="s">
        <v>2880</v>
      </c>
      <c r="B1235" s="9">
        <v>12776.0</v>
      </c>
      <c r="C1235" s="9">
        <v>12566.0</v>
      </c>
      <c r="D1235" s="9">
        <v>4827.0</v>
      </c>
      <c r="E1235" s="9">
        <v>201.0</v>
      </c>
      <c r="F1235" s="14"/>
      <c r="G1235" s="15"/>
      <c r="H1235" s="15"/>
      <c r="I1235" s="14"/>
      <c r="P1235" s="14"/>
    </row>
    <row r="1236" ht="18.75" customHeight="1">
      <c r="A1236" s="7" t="s">
        <v>2881</v>
      </c>
      <c r="B1236" s="9">
        <v>9375.0</v>
      </c>
      <c r="C1236" s="9">
        <v>9173.0</v>
      </c>
      <c r="D1236" s="9">
        <v>3517.0</v>
      </c>
      <c r="E1236" s="9">
        <v>144.0</v>
      </c>
      <c r="F1236" s="14"/>
      <c r="G1236" s="15"/>
      <c r="H1236" s="15"/>
      <c r="I1236" s="14"/>
      <c r="P1236" s="14"/>
    </row>
    <row r="1237" ht="18.75" customHeight="1">
      <c r="A1237" s="7" t="s">
        <v>2882</v>
      </c>
      <c r="B1237" s="9">
        <v>105.0</v>
      </c>
      <c r="C1237" s="9">
        <v>105.0</v>
      </c>
      <c r="D1237" s="9">
        <v>64.0</v>
      </c>
      <c r="E1237" s="9">
        <v>11.0</v>
      </c>
      <c r="F1237" s="14"/>
      <c r="G1237" s="15"/>
      <c r="H1237" s="15"/>
      <c r="I1237" s="14"/>
      <c r="P1237" s="14"/>
    </row>
    <row r="1238" ht="18.75" customHeight="1">
      <c r="A1238" s="7" t="s">
        <v>368</v>
      </c>
      <c r="B1238" s="9">
        <v>73.0</v>
      </c>
      <c r="C1238" s="9">
        <v>72.0</v>
      </c>
      <c r="D1238" s="9">
        <v>46.0</v>
      </c>
      <c r="E1238" s="9">
        <v>4.0</v>
      </c>
      <c r="F1238" s="14"/>
      <c r="G1238" s="15"/>
      <c r="H1238" s="15"/>
      <c r="I1238" s="14"/>
      <c r="P1238" s="14"/>
    </row>
    <row r="1239" ht="18.75" customHeight="1">
      <c r="A1239" s="7" t="s">
        <v>360</v>
      </c>
      <c r="B1239" s="9">
        <v>23621.0</v>
      </c>
      <c r="C1239" s="9">
        <v>23175.0</v>
      </c>
      <c r="D1239" s="9">
        <v>7431.0</v>
      </c>
      <c r="E1239" s="9">
        <v>57.0</v>
      </c>
      <c r="F1239" s="14"/>
      <c r="G1239" s="15"/>
      <c r="H1239" s="15"/>
      <c r="I1239" s="14"/>
      <c r="P1239" s="14"/>
    </row>
    <row r="1240" ht="18.75" customHeight="1">
      <c r="A1240" s="7" t="s">
        <v>2883</v>
      </c>
      <c r="B1240" s="9">
        <v>20022.0</v>
      </c>
      <c r="C1240" s="9">
        <v>19646.0</v>
      </c>
      <c r="D1240" s="9">
        <v>5236.0</v>
      </c>
      <c r="E1240" s="9">
        <v>33.0</v>
      </c>
      <c r="F1240" s="14"/>
      <c r="G1240" s="15"/>
      <c r="H1240" s="15"/>
      <c r="I1240" s="14"/>
      <c r="P1240" s="14"/>
    </row>
    <row r="1241" ht="18.75" customHeight="1">
      <c r="A1241" s="7" t="s">
        <v>366</v>
      </c>
      <c r="B1241" s="9">
        <v>246.0</v>
      </c>
      <c r="C1241" s="9">
        <v>240.0</v>
      </c>
      <c r="D1241" s="9">
        <v>80.0</v>
      </c>
      <c r="E1241" s="9">
        <v>5.0</v>
      </c>
      <c r="F1241" s="14"/>
      <c r="G1241" s="15"/>
      <c r="H1241" s="15"/>
      <c r="I1241" s="14"/>
      <c r="P1241" s="14"/>
    </row>
    <row r="1242" ht="18.75" customHeight="1">
      <c r="A1242" s="7" t="s">
        <v>368</v>
      </c>
      <c r="B1242" s="9">
        <v>165.0</v>
      </c>
      <c r="C1242" s="9">
        <v>164.0</v>
      </c>
      <c r="D1242" s="9">
        <v>71.0</v>
      </c>
      <c r="E1242" s="9">
        <v>9.0</v>
      </c>
      <c r="F1242" s="14"/>
      <c r="G1242" s="15"/>
      <c r="H1242" s="15"/>
      <c r="I1242" s="14"/>
      <c r="P1242" s="14"/>
    </row>
    <row r="1243" ht="18.75" customHeight="1">
      <c r="A1243" s="7" t="s">
        <v>2884</v>
      </c>
      <c r="B1243" s="9">
        <v>7375.0</v>
      </c>
      <c r="C1243" s="9">
        <v>7213.0</v>
      </c>
      <c r="D1243" s="9">
        <v>2732.0</v>
      </c>
      <c r="E1243" s="9">
        <v>148.0</v>
      </c>
      <c r="F1243" s="14"/>
      <c r="G1243" s="15"/>
      <c r="H1243" s="15"/>
      <c r="I1243" s="14"/>
      <c r="P1243" s="14"/>
    </row>
    <row r="1244" ht="18.75" customHeight="1">
      <c r="A1244" s="7" t="s">
        <v>356</v>
      </c>
      <c r="B1244" s="9">
        <v>69.0</v>
      </c>
      <c r="C1244" s="9">
        <v>68.0</v>
      </c>
      <c r="D1244" s="9">
        <v>23.0</v>
      </c>
      <c r="E1244" s="9">
        <v>2.0</v>
      </c>
      <c r="F1244" s="14"/>
      <c r="G1244" s="15"/>
      <c r="H1244" s="15"/>
      <c r="I1244" s="14"/>
      <c r="P1244" s="14"/>
    </row>
    <row r="1245" ht="18.75" customHeight="1">
      <c r="A1245" s="7" t="s">
        <v>374</v>
      </c>
      <c r="B1245" s="9">
        <v>1084.0</v>
      </c>
      <c r="C1245" s="9">
        <v>1059.0</v>
      </c>
      <c r="D1245" s="9">
        <v>389.0</v>
      </c>
      <c r="E1245" s="9">
        <v>9.0</v>
      </c>
      <c r="F1245" s="14"/>
      <c r="G1245" s="15"/>
      <c r="H1245" s="15"/>
      <c r="I1245" s="14"/>
      <c r="P1245" s="14"/>
    </row>
    <row r="1246" ht="18.75" customHeight="1">
      <c r="A1246" s="7" t="s">
        <v>374</v>
      </c>
      <c r="B1246" s="9">
        <v>4713.0</v>
      </c>
      <c r="C1246" s="9">
        <v>4631.0</v>
      </c>
      <c r="D1246" s="9">
        <v>1718.0</v>
      </c>
      <c r="E1246" s="9">
        <v>62.0</v>
      </c>
      <c r="F1246" s="14"/>
      <c r="G1246" s="15"/>
      <c r="H1246" s="15"/>
      <c r="I1246" s="14"/>
      <c r="P1246" s="14"/>
    </row>
    <row r="1247" ht="18.75" customHeight="1">
      <c r="A1247" s="7" t="s">
        <v>356</v>
      </c>
      <c r="B1247" s="9">
        <v>518.0</v>
      </c>
      <c r="C1247" s="9">
        <v>512.0</v>
      </c>
      <c r="D1247" s="9">
        <v>188.0</v>
      </c>
      <c r="E1247" s="9">
        <v>27.0</v>
      </c>
      <c r="F1247" s="14"/>
      <c r="G1247" s="15"/>
      <c r="H1247" s="15"/>
      <c r="I1247" s="14"/>
      <c r="P1247" s="14"/>
    </row>
    <row r="1248" ht="18.75" customHeight="1">
      <c r="A1248" s="7" t="s">
        <v>368</v>
      </c>
      <c r="B1248" s="9">
        <v>49.0</v>
      </c>
      <c r="C1248" s="9">
        <v>48.0</v>
      </c>
      <c r="D1248" s="9">
        <v>27.0</v>
      </c>
      <c r="E1248" s="9">
        <v>2.0</v>
      </c>
      <c r="F1248" s="14"/>
      <c r="G1248" s="15"/>
      <c r="H1248" s="15"/>
      <c r="I1248" s="14"/>
      <c r="P1248" s="14"/>
    </row>
    <row r="1249" ht="18.75" customHeight="1">
      <c r="A1249" s="7" t="s">
        <v>368</v>
      </c>
      <c r="B1249" s="9">
        <v>111.0</v>
      </c>
      <c r="C1249" s="9">
        <v>111.0</v>
      </c>
      <c r="D1249" s="9">
        <v>55.0</v>
      </c>
      <c r="E1249" s="9">
        <v>6.0</v>
      </c>
      <c r="F1249" s="14"/>
      <c r="G1249" s="15"/>
      <c r="H1249" s="15"/>
      <c r="I1249" s="14"/>
      <c r="P1249" s="14"/>
    </row>
    <row r="1250" ht="18.75" customHeight="1">
      <c r="A1250" s="7" t="s">
        <v>366</v>
      </c>
      <c r="B1250" s="9">
        <v>645.0</v>
      </c>
      <c r="C1250" s="9">
        <v>633.0</v>
      </c>
      <c r="D1250" s="9">
        <v>247.0</v>
      </c>
      <c r="E1250" s="9">
        <v>16.0</v>
      </c>
      <c r="F1250" s="14"/>
      <c r="G1250" s="15"/>
      <c r="H1250" s="15"/>
      <c r="I1250" s="14"/>
      <c r="P1250" s="14"/>
    </row>
    <row r="1251" ht="18.75" customHeight="1">
      <c r="A1251" s="7" t="s">
        <v>366</v>
      </c>
      <c r="B1251" s="9">
        <v>1500.0</v>
      </c>
      <c r="C1251" s="9">
        <v>1470.0</v>
      </c>
      <c r="D1251" s="9">
        <v>556.0</v>
      </c>
      <c r="E1251" s="9">
        <v>33.0</v>
      </c>
      <c r="F1251" s="14"/>
      <c r="G1251" s="15"/>
      <c r="H1251" s="15"/>
      <c r="I1251" s="14"/>
      <c r="P1251" s="14"/>
    </row>
    <row r="1252" ht="18.75" customHeight="1">
      <c r="A1252" s="7" t="s">
        <v>372</v>
      </c>
      <c r="B1252" s="9">
        <v>4157.0</v>
      </c>
      <c r="C1252" s="9">
        <v>4089.0</v>
      </c>
      <c r="D1252" s="9">
        <v>1472.0</v>
      </c>
      <c r="E1252" s="9">
        <v>77.0</v>
      </c>
      <c r="F1252" s="14"/>
      <c r="G1252" s="15"/>
      <c r="H1252" s="15"/>
      <c r="I1252" s="14"/>
      <c r="P1252" s="14"/>
    </row>
    <row r="1253" ht="18.75" customHeight="1">
      <c r="A1253" s="7" t="s">
        <v>374</v>
      </c>
      <c r="B1253" s="9">
        <v>2442.0</v>
      </c>
      <c r="C1253" s="9">
        <v>2397.0</v>
      </c>
      <c r="D1253" s="9">
        <v>777.0</v>
      </c>
      <c r="E1253" s="9">
        <v>23.0</v>
      </c>
      <c r="F1253" s="14"/>
      <c r="G1253" s="15"/>
      <c r="H1253" s="15"/>
      <c r="I1253" s="14"/>
      <c r="P1253" s="14"/>
    </row>
    <row r="1254" ht="18.75" customHeight="1">
      <c r="A1254" s="7" t="s">
        <v>360</v>
      </c>
      <c r="B1254" s="9">
        <v>24277.0</v>
      </c>
      <c r="C1254" s="9">
        <v>23799.0</v>
      </c>
      <c r="D1254" s="9">
        <v>6696.0</v>
      </c>
      <c r="E1254" s="9">
        <v>47.0</v>
      </c>
      <c r="F1254" s="14"/>
      <c r="G1254" s="15"/>
      <c r="H1254" s="15"/>
      <c r="I1254" s="14"/>
      <c r="P1254" s="14"/>
    </row>
    <row r="1255" ht="18.75" customHeight="1">
      <c r="A1255" s="7" t="s">
        <v>356</v>
      </c>
      <c r="B1255" s="9">
        <v>224.0</v>
      </c>
      <c r="C1255" s="9">
        <v>216.0</v>
      </c>
      <c r="D1255" s="9">
        <v>83.0</v>
      </c>
      <c r="E1255" s="9">
        <v>2.0</v>
      </c>
      <c r="F1255" s="14"/>
      <c r="G1255" s="15"/>
      <c r="H1255" s="15"/>
      <c r="I1255" s="14"/>
      <c r="P1255" s="14"/>
    </row>
    <row r="1256" ht="18.75" customHeight="1">
      <c r="A1256" s="7" t="s">
        <v>372</v>
      </c>
      <c r="B1256" s="9">
        <v>3502.0</v>
      </c>
      <c r="C1256" s="9">
        <v>3435.0</v>
      </c>
      <c r="D1256" s="9">
        <v>1093.0</v>
      </c>
      <c r="E1256" s="9">
        <v>57.0</v>
      </c>
      <c r="F1256" s="14"/>
      <c r="G1256" s="15"/>
      <c r="H1256" s="15"/>
      <c r="I1256" s="14"/>
      <c r="P1256" s="14"/>
    </row>
    <row r="1257" ht="18.75" customHeight="1">
      <c r="A1257" s="7" t="s">
        <v>2883</v>
      </c>
      <c r="B1257" s="9">
        <v>25778.0</v>
      </c>
      <c r="C1257" s="9">
        <v>25283.0</v>
      </c>
      <c r="D1257" s="9">
        <v>6561.0</v>
      </c>
      <c r="E1257" s="9">
        <v>37.0</v>
      </c>
      <c r="F1257" s="14"/>
      <c r="G1257" s="15"/>
      <c r="H1257" s="15"/>
      <c r="I1257" s="14"/>
      <c r="P1257" s="14"/>
    </row>
    <row r="1258" ht="18.75" customHeight="1">
      <c r="A1258" s="7" t="s">
        <v>370</v>
      </c>
      <c r="B1258" s="9">
        <v>864.0</v>
      </c>
      <c r="C1258" s="9">
        <v>850.0</v>
      </c>
      <c r="D1258" s="9">
        <v>346.0</v>
      </c>
      <c r="E1258" s="9">
        <v>15.0</v>
      </c>
      <c r="F1258" s="14"/>
      <c r="G1258" s="15"/>
      <c r="H1258" s="15"/>
      <c r="I1258" s="14"/>
      <c r="P1258" s="14"/>
    </row>
    <row r="1259" ht="18.75" customHeight="1">
      <c r="A1259" s="7" t="s">
        <v>374</v>
      </c>
      <c r="B1259" s="9">
        <v>4918.0</v>
      </c>
      <c r="C1259" s="9">
        <v>4825.0</v>
      </c>
      <c r="D1259" s="9">
        <v>1806.0</v>
      </c>
      <c r="E1259" s="9">
        <v>72.0</v>
      </c>
      <c r="F1259" s="14"/>
      <c r="G1259" s="15"/>
      <c r="H1259" s="15"/>
      <c r="I1259" s="14"/>
      <c r="P1259" s="14"/>
    </row>
    <row r="1260" ht="18.75" customHeight="1">
      <c r="A1260" s="7" t="s">
        <v>372</v>
      </c>
      <c r="B1260" s="9">
        <v>6044.0</v>
      </c>
      <c r="C1260" s="9">
        <v>5929.0</v>
      </c>
      <c r="D1260" s="9">
        <v>1870.0</v>
      </c>
      <c r="E1260" s="9">
        <v>94.0</v>
      </c>
      <c r="F1260" s="14"/>
      <c r="G1260" s="15"/>
      <c r="H1260" s="15"/>
      <c r="I1260" s="14"/>
      <c r="P1260" s="14"/>
    </row>
    <row r="1261" ht="18.75" customHeight="1">
      <c r="A1261" s="7" t="s">
        <v>2883</v>
      </c>
      <c r="B1261" s="9">
        <v>29510.0</v>
      </c>
      <c r="C1261" s="9">
        <v>29040.0</v>
      </c>
      <c r="D1261" s="9">
        <v>7844.0</v>
      </c>
      <c r="E1261" s="9">
        <v>49.0</v>
      </c>
      <c r="F1261" s="14"/>
      <c r="G1261" s="15"/>
      <c r="H1261" s="15"/>
      <c r="I1261" s="14"/>
      <c r="P1261" s="14"/>
    </row>
    <row r="1262" ht="18.75" customHeight="1">
      <c r="A1262" s="7" t="s">
        <v>370</v>
      </c>
      <c r="B1262" s="9">
        <v>838.0</v>
      </c>
      <c r="C1262" s="9">
        <v>825.0</v>
      </c>
      <c r="D1262" s="9">
        <v>340.0</v>
      </c>
      <c r="E1262" s="9">
        <v>8.0</v>
      </c>
      <c r="F1262" s="14"/>
      <c r="G1262" s="15"/>
      <c r="H1262" s="15"/>
      <c r="I1262" s="14"/>
      <c r="P1262" s="14"/>
    </row>
    <row r="1263" ht="18.75" customHeight="1">
      <c r="A1263" s="7" t="s">
        <v>370</v>
      </c>
      <c r="B1263" s="9">
        <v>31.0</v>
      </c>
      <c r="C1263" s="9">
        <v>30.0</v>
      </c>
      <c r="D1263" s="9">
        <v>18.0</v>
      </c>
      <c r="E1263" s="9">
        <v>1.0</v>
      </c>
      <c r="F1263" s="14"/>
      <c r="G1263" s="15"/>
      <c r="H1263" s="15"/>
      <c r="I1263" s="14"/>
      <c r="P1263" s="14"/>
    </row>
    <row r="1264" ht="18.75" customHeight="1">
      <c r="A1264" s="7" t="s">
        <v>360</v>
      </c>
      <c r="B1264" s="9">
        <v>19364.0</v>
      </c>
      <c r="C1264" s="9">
        <v>18990.0</v>
      </c>
      <c r="D1264" s="9">
        <v>5855.0</v>
      </c>
      <c r="E1264" s="9">
        <v>48.0</v>
      </c>
      <c r="F1264" s="14"/>
      <c r="G1264" s="15"/>
      <c r="H1264" s="15"/>
      <c r="I1264" s="14"/>
      <c r="P1264" s="14"/>
    </row>
    <row r="1265" ht="18.75" customHeight="1">
      <c r="A1265" s="7" t="s">
        <v>368</v>
      </c>
      <c r="B1265" s="9">
        <v>201.0</v>
      </c>
      <c r="C1265" s="9">
        <v>197.0</v>
      </c>
      <c r="D1265" s="9">
        <v>84.0</v>
      </c>
      <c r="E1265" s="9">
        <v>5.0</v>
      </c>
      <c r="F1265" s="14"/>
      <c r="G1265" s="15"/>
      <c r="H1265" s="15"/>
      <c r="I1265" s="14"/>
      <c r="P1265" s="14"/>
    </row>
    <row r="1266" ht="18.75" customHeight="1">
      <c r="A1266" s="7" t="s">
        <v>366</v>
      </c>
      <c r="B1266" s="9">
        <v>3533.0</v>
      </c>
      <c r="C1266" s="9">
        <v>3464.0</v>
      </c>
      <c r="D1266" s="9">
        <v>1367.0</v>
      </c>
      <c r="E1266" s="9">
        <v>90.0</v>
      </c>
      <c r="F1266" s="14"/>
      <c r="G1266" s="15"/>
      <c r="H1266" s="15"/>
      <c r="I1266" s="14"/>
      <c r="P1266" s="14"/>
    </row>
    <row r="1267" ht="18.75" customHeight="1">
      <c r="A1267" s="7" t="s">
        <v>374</v>
      </c>
      <c r="B1267" s="9">
        <v>4064.0</v>
      </c>
      <c r="C1267" s="9">
        <v>3987.0</v>
      </c>
      <c r="D1267" s="9">
        <v>1441.0</v>
      </c>
      <c r="E1267" s="9">
        <v>80.0</v>
      </c>
      <c r="F1267" s="14"/>
      <c r="G1267" s="15"/>
      <c r="H1267" s="15"/>
      <c r="I1267" s="14"/>
      <c r="P1267" s="14"/>
    </row>
    <row r="1268" ht="18.75" customHeight="1">
      <c r="A1268" s="7" t="s">
        <v>370</v>
      </c>
      <c r="B1268" s="9">
        <v>910.0</v>
      </c>
      <c r="C1268" s="9">
        <v>892.0</v>
      </c>
      <c r="D1268" s="9">
        <v>350.0</v>
      </c>
      <c r="E1268" s="9">
        <v>18.0</v>
      </c>
      <c r="F1268" s="14"/>
      <c r="G1268" s="15"/>
      <c r="H1268" s="15"/>
      <c r="I1268" s="14"/>
      <c r="P1268" s="14"/>
    </row>
    <row r="1269" ht="18.75" customHeight="1">
      <c r="A1269" s="7" t="s">
        <v>366</v>
      </c>
      <c r="B1269" s="9">
        <v>215.0</v>
      </c>
      <c r="C1269" s="9">
        <v>211.0</v>
      </c>
      <c r="D1269" s="9">
        <v>77.0</v>
      </c>
      <c r="E1269" s="9">
        <v>5.0</v>
      </c>
      <c r="F1269" s="14"/>
      <c r="G1269" s="15"/>
      <c r="H1269" s="15"/>
      <c r="I1269" s="14"/>
      <c r="P1269" s="14"/>
    </row>
    <row r="1270" ht="18.75" customHeight="1">
      <c r="A1270" s="7" t="s">
        <v>372</v>
      </c>
      <c r="B1270" s="9">
        <v>10636.0</v>
      </c>
      <c r="C1270" s="9">
        <v>10437.0</v>
      </c>
      <c r="D1270" s="9">
        <v>3432.0</v>
      </c>
      <c r="E1270" s="9">
        <v>192.0</v>
      </c>
      <c r="F1270" s="14"/>
      <c r="G1270" s="15"/>
      <c r="H1270" s="15"/>
      <c r="I1270" s="14"/>
      <c r="P1270" s="14"/>
    </row>
    <row r="1271" ht="18.75" customHeight="1">
      <c r="A1271" s="7" t="s">
        <v>366</v>
      </c>
      <c r="B1271" s="9">
        <v>3012.0</v>
      </c>
      <c r="C1271" s="9">
        <v>2945.0</v>
      </c>
      <c r="D1271" s="9">
        <v>1324.0</v>
      </c>
      <c r="E1271" s="9">
        <v>78.0</v>
      </c>
      <c r="F1271" s="14"/>
      <c r="G1271" s="15"/>
      <c r="H1271" s="15"/>
      <c r="I1271" s="14"/>
      <c r="P1271" s="14"/>
    </row>
    <row r="1272" ht="18.75" customHeight="1">
      <c r="A1272" s="7" t="s">
        <v>374</v>
      </c>
      <c r="B1272" s="9">
        <v>1082.0</v>
      </c>
      <c r="C1272" s="9">
        <v>1058.0</v>
      </c>
      <c r="D1272" s="9">
        <v>453.0</v>
      </c>
      <c r="E1272" s="9">
        <v>21.0</v>
      </c>
      <c r="F1272" s="14"/>
      <c r="G1272" s="15"/>
      <c r="H1272" s="15"/>
      <c r="I1272" s="14"/>
      <c r="P1272" s="14"/>
    </row>
    <row r="1273" ht="18.75" customHeight="1">
      <c r="A1273" s="7" t="s">
        <v>356</v>
      </c>
      <c r="B1273" s="9">
        <v>285.0</v>
      </c>
      <c r="C1273" s="9">
        <v>276.0</v>
      </c>
      <c r="D1273" s="9">
        <v>93.0</v>
      </c>
      <c r="E1273" s="9">
        <v>3.0</v>
      </c>
      <c r="F1273" s="14"/>
      <c r="G1273" s="15"/>
      <c r="H1273" s="15"/>
      <c r="I1273" s="14"/>
      <c r="P1273" s="14"/>
    </row>
    <row r="1274" ht="18.75" customHeight="1">
      <c r="A1274" s="7" t="s">
        <v>370</v>
      </c>
      <c r="B1274" s="9">
        <v>864.0</v>
      </c>
      <c r="C1274" s="9">
        <v>852.0</v>
      </c>
      <c r="D1274" s="9">
        <v>345.0</v>
      </c>
      <c r="E1274" s="9">
        <v>18.0</v>
      </c>
      <c r="F1274" s="14"/>
      <c r="G1274" s="15"/>
      <c r="H1274" s="15"/>
      <c r="I1274" s="14"/>
      <c r="P1274" s="14"/>
    </row>
    <row r="1275" ht="18.75" customHeight="1">
      <c r="A1275" s="7" t="s">
        <v>368</v>
      </c>
      <c r="B1275" s="9">
        <v>109.0</v>
      </c>
      <c r="C1275" s="9">
        <v>109.0</v>
      </c>
      <c r="D1275" s="9">
        <v>42.0</v>
      </c>
      <c r="E1275" s="9">
        <v>3.0</v>
      </c>
      <c r="F1275" s="14"/>
      <c r="G1275" s="15"/>
      <c r="H1275" s="15"/>
      <c r="I1275" s="14"/>
      <c r="P1275" s="14"/>
    </row>
    <row r="1276" ht="18.75" customHeight="1">
      <c r="A1276" s="7" t="s">
        <v>368</v>
      </c>
      <c r="B1276" s="9">
        <v>33.0</v>
      </c>
      <c r="C1276" s="9">
        <v>32.0</v>
      </c>
      <c r="D1276" s="9">
        <v>19.0</v>
      </c>
      <c r="E1276" s="9">
        <v>2.0</v>
      </c>
      <c r="F1276" s="14"/>
      <c r="G1276" s="15"/>
      <c r="H1276" s="15"/>
      <c r="I1276" s="14"/>
      <c r="P1276" s="14"/>
    </row>
    <row r="1277" ht="18.75" customHeight="1">
      <c r="A1277" s="7" t="s">
        <v>374</v>
      </c>
      <c r="B1277" s="9">
        <v>3216.0</v>
      </c>
      <c r="C1277" s="9">
        <v>3156.0</v>
      </c>
      <c r="D1277" s="9">
        <v>1293.0</v>
      </c>
      <c r="E1277" s="9">
        <v>49.0</v>
      </c>
      <c r="F1277" s="14"/>
      <c r="G1277" s="15"/>
      <c r="H1277" s="15"/>
      <c r="I1277" s="14"/>
      <c r="P1277" s="14"/>
    </row>
    <row r="1278" ht="18.75" customHeight="1">
      <c r="A1278" s="7" t="s">
        <v>374</v>
      </c>
      <c r="B1278" s="9">
        <v>1934.0</v>
      </c>
      <c r="C1278" s="9">
        <v>1892.0</v>
      </c>
      <c r="D1278" s="9">
        <v>646.0</v>
      </c>
      <c r="E1278" s="9">
        <v>19.0</v>
      </c>
      <c r="F1278" s="14"/>
      <c r="G1278" s="15"/>
      <c r="H1278" s="15"/>
      <c r="I1278" s="14"/>
      <c r="P1278" s="14"/>
    </row>
    <row r="1279" ht="18.75" customHeight="1">
      <c r="A1279" s="7" t="s">
        <v>2883</v>
      </c>
      <c r="B1279" s="9">
        <v>23542.0</v>
      </c>
      <c r="C1279" s="9">
        <v>23165.0</v>
      </c>
      <c r="D1279" s="9">
        <v>6525.0</v>
      </c>
      <c r="E1279" s="9">
        <v>44.0</v>
      </c>
      <c r="F1279" s="14"/>
      <c r="G1279" s="15"/>
      <c r="H1279" s="15"/>
      <c r="I1279" s="14"/>
      <c r="P1279" s="14"/>
    </row>
    <row r="1280" ht="18.75" customHeight="1">
      <c r="A1280" s="7" t="s">
        <v>366</v>
      </c>
      <c r="B1280" s="9">
        <v>874.0</v>
      </c>
      <c r="C1280" s="9">
        <v>855.0</v>
      </c>
      <c r="D1280" s="9">
        <v>337.0</v>
      </c>
      <c r="E1280" s="9">
        <v>23.0</v>
      </c>
      <c r="F1280" s="14"/>
      <c r="G1280" s="15"/>
      <c r="H1280" s="15"/>
      <c r="I1280" s="14"/>
      <c r="P1280" s="14"/>
    </row>
    <row r="1281" ht="18.75" customHeight="1">
      <c r="A1281" s="7" t="s">
        <v>366</v>
      </c>
      <c r="B1281" s="9">
        <v>962.0</v>
      </c>
      <c r="C1281" s="9">
        <v>942.0</v>
      </c>
      <c r="D1281" s="9">
        <v>301.0</v>
      </c>
      <c r="E1281" s="9">
        <v>15.0</v>
      </c>
      <c r="F1281" s="14"/>
      <c r="G1281" s="15"/>
      <c r="H1281" s="15"/>
      <c r="I1281" s="14"/>
      <c r="P1281" s="14"/>
    </row>
    <row r="1282" ht="18.75" customHeight="1">
      <c r="A1282" s="7" t="s">
        <v>360</v>
      </c>
      <c r="B1282" s="9">
        <v>30677.0</v>
      </c>
      <c r="C1282" s="9">
        <v>30087.0</v>
      </c>
      <c r="D1282" s="9">
        <v>8186.0</v>
      </c>
      <c r="E1282" s="9">
        <v>61.0</v>
      </c>
      <c r="F1282" s="14"/>
      <c r="G1282" s="15"/>
      <c r="H1282" s="15"/>
      <c r="I1282" s="14"/>
      <c r="P1282" s="14"/>
    </row>
    <row r="1283" ht="18.75" customHeight="1">
      <c r="A1283" s="7" t="s">
        <v>356</v>
      </c>
      <c r="B1283" s="9">
        <v>181.0</v>
      </c>
      <c r="C1283" s="9">
        <v>175.0</v>
      </c>
      <c r="D1283" s="9">
        <v>58.0</v>
      </c>
      <c r="E1283" s="9">
        <v>8.0</v>
      </c>
      <c r="F1283" s="14"/>
      <c r="G1283" s="15"/>
      <c r="H1283" s="15"/>
      <c r="I1283" s="14"/>
      <c r="P1283" s="14"/>
    </row>
    <row r="1284" ht="18.75" customHeight="1">
      <c r="A1284" s="7" t="s">
        <v>372</v>
      </c>
      <c r="B1284" s="9">
        <v>3472.0</v>
      </c>
      <c r="C1284" s="9">
        <v>3406.0</v>
      </c>
      <c r="D1284" s="9">
        <v>947.0</v>
      </c>
      <c r="E1284" s="9">
        <v>53.0</v>
      </c>
      <c r="F1284" s="14"/>
      <c r="G1284" s="15"/>
      <c r="H1284" s="15"/>
      <c r="I1284" s="14"/>
      <c r="P1284" s="14"/>
    </row>
    <row r="1285" ht="18.75" customHeight="1">
      <c r="A1285" s="7" t="s">
        <v>366</v>
      </c>
      <c r="B1285" s="9">
        <v>519.0</v>
      </c>
      <c r="C1285" s="9">
        <v>509.0</v>
      </c>
      <c r="D1285" s="9">
        <v>149.0</v>
      </c>
      <c r="E1285" s="9">
        <v>6.0</v>
      </c>
      <c r="F1285" s="14"/>
      <c r="G1285" s="15"/>
      <c r="H1285" s="15"/>
      <c r="I1285" s="14"/>
      <c r="P1285" s="14"/>
    </row>
    <row r="1286" ht="18.75" customHeight="1">
      <c r="A1286" s="7" t="s">
        <v>370</v>
      </c>
      <c r="B1286" s="9">
        <v>532.0</v>
      </c>
      <c r="C1286" s="9">
        <v>524.0</v>
      </c>
      <c r="D1286" s="9">
        <v>213.0</v>
      </c>
      <c r="E1286" s="9">
        <v>15.0</v>
      </c>
      <c r="F1286" s="14"/>
      <c r="G1286" s="15"/>
      <c r="H1286" s="15"/>
      <c r="I1286" s="14"/>
      <c r="P1286" s="14"/>
    </row>
    <row r="1287" ht="18.75" customHeight="1">
      <c r="A1287" s="7" t="s">
        <v>370</v>
      </c>
      <c r="B1287" s="9">
        <v>358.0</v>
      </c>
      <c r="C1287" s="9">
        <v>352.0</v>
      </c>
      <c r="D1287" s="9">
        <v>139.0</v>
      </c>
      <c r="E1287" s="9">
        <v>12.0</v>
      </c>
      <c r="F1287" s="14"/>
      <c r="G1287" s="15"/>
      <c r="H1287" s="15"/>
      <c r="I1287" s="14"/>
      <c r="P1287" s="14"/>
    </row>
    <row r="1288" ht="18.75" customHeight="1">
      <c r="A1288" s="7" t="s">
        <v>2885</v>
      </c>
      <c r="B1288" s="9">
        <v>94.0</v>
      </c>
      <c r="C1288" s="9">
        <v>94.0</v>
      </c>
      <c r="D1288" s="9">
        <v>68.0</v>
      </c>
      <c r="E1288" s="9">
        <v>0.0</v>
      </c>
      <c r="F1288" s="14"/>
      <c r="G1288" s="15"/>
      <c r="H1288" s="15"/>
      <c r="I1288" s="14"/>
      <c r="P1288" s="14"/>
    </row>
    <row r="1289" ht="18.75" customHeight="1">
      <c r="A1289" s="7" t="s">
        <v>2886</v>
      </c>
      <c r="B1289" s="9">
        <v>361.0</v>
      </c>
      <c r="C1289" s="9">
        <v>352.0</v>
      </c>
      <c r="D1289" s="9">
        <v>164.0</v>
      </c>
      <c r="E1289" s="9">
        <v>67.0</v>
      </c>
      <c r="F1289" s="14"/>
      <c r="G1289" s="15"/>
      <c r="H1289" s="15"/>
      <c r="I1289" s="14"/>
      <c r="P1289" s="14"/>
    </row>
    <row r="1290" ht="18.75" customHeight="1">
      <c r="A1290" s="7" t="s">
        <v>2887</v>
      </c>
      <c r="B1290" s="9">
        <v>362.0</v>
      </c>
      <c r="C1290" s="9">
        <v>355.0</v>
      </c>
      <c r="D1290" s="9">
        <v>174.0</v>
      </c>
      <c r="E1290" s="9">
        <v>58.0</v>
      </c>
      <c r="F1290" s="14"/>
      <c r="G1290" s="15"/>
      <c r="H1290" s="15"/>
      <c r="I1290" s="14"/>
      <c r="P1290" s="14"/>
    </row>
    <row r="1291" ht="18.75" customHeight="1">
      <c r="A1291" s="7" t="s">
        <v>2888</v>
      </c>
      <c r="B1291" s="9">
        <v>364.0</v>
      </c>
      <c r="C1291" s="9">
        <v>358.0</v>
      </c>
      <c r="D1291" s="9">
        <v>187.0</v>
      </c>
      <c r="E1291" s="9">
        <v>77.0</v>
      </c>
      <c r="F1291" s="14"/>
      <c r="G1291" s="15"/>
      <c r="H1291" s="15"/>
      <c r="I1291" s="14"/>
      <c r="P1291" s="14"/>
    </row>
    <row r="1292" ht="18.75" customHeight="1">
      <c r="A1292" s="7" t="s">
        <v>2889</v>
      </c>
      <c r="B1292" s="9">
        <v>349.0</v>
      </c>
      <c r="C1292" s="9">
        <v>340.0</v>
      </c>
      <c r="D1292" s="9">
        <v>160.0</v>
      </c>
      <c r="E1292" s="9">
        <v>60.0</v>
      </c>
      <c r="F1292" s="14"/>
      <c r="G1292" s="15"/>
      <c r="H1292" s="15"/>
      <c r="I1292" s="14"/>
      <c r="P1292" s="14"/>
    </row>
    <row r="1293" ht="18.75" customHeight="1">
      <c r="A1293" s="7" t="s">
        <v>2890</v>
      </c>
      <c r="B1293" s="9">
        <v>7183.0</v>
      </c>
      <c r="C1293" s="9">
        <v>7139.0</v>
      </c>
      <c r="D1293" s="9">
        <v>3231.0</v>
      </c>
      <c r="E1293" s="9">
        <v>278.0</v>
      </c>
      <c r="F1293" s="14"/>
      <c r="G1293" s="15"/>
      <c r="H1293" s="15"/>
      <c r="I1293" s="14"/>
      <c r="P1293" s="14"/>
    </row>
    <row r="1294" ht="18.75" customHeight="1">
      <c r="A1294" s="7" t="s">
        <v>2891</v>
      </c>
      <c r="B1294" s="9">
        <v>484.0</v>
      </c>
      <c r="C1294" s="9">
        <v>480.0</v>
      </c>
      <c r="D1294" s="9">
        <v>175.0</v>
      </c>
      <c r="E1294" s="9">
        <v>2.0</v>
      </c>
      <c r="F1294" s="14"/>
      <c r="G1294" s="15"/>
      <c r="H1294" s="15"/>
      <c r="I1294" s="14"/>
      <c r="P1294" s="14"/>
    </row>
    <row r="1295" ht="18.75" customHeight="1">
      <c r="A1295" s="7" t="s">
        <v>2892</v>
      </c>
      <c r="B1295" s="9">
        <v>19028.0</v>
      </c>
      <c r="C1295" s="9">
        <v>18937.0</v>
      </c>
      <c r="D1295" s="9">
        <v>8885.0</v>
      </c>
      <c r="E1295" s="9">
        <v>14.0</v>
      </c>
      <c r="F1295" s="14"/>
      <c r="G1295" s="15"/>
      <c r="H1295" s="15"/>
      <c r="I1295" s="14"/>
      <c r="P1295" s="14"/>
    </row>
    <row r="1296" ht="18.75" customHeight="1">
      <c r="A1296" s="7" t="s">
        <v>2893</v>
      </c>
      <c r="B1296" s="9">
        <v>151.0</v>
      </c>
      <c r="C1296" s="9">
        <v>150.0</v>
      </c>
      <c r="D1296" s="9">
        <v>82.0</v>
      </c>
      <c r="E1296" s="9">
        <v>3.0</v>
      </c>
      <c r="F1296" s="14"/>
      <c r="G1296" s="15"/>
      <c r="H1296" s="15"/>
      <c r="I1296" s="14"/>
      <c r="P1296" s="14"/>
    </row>
    <row r="1297" ht="18.75" customHeight="1">
      <c r="A1297" s="7" t="s">
        <v>2894</v>
      </c>
      <c r="B1297" s="9">
        <v>49.0</v>
      </c>
      <c r="C1297" s="9">
        <v>49.0</v>
      </c>
      <c r="D1297" s="9">
        <v>26.0</v>
      </c>
      <c r="E1297" s="9">
        <v>0.0</v>
      </c>
      <c r="F1297" s="14"/>
      <c r="G1297" s="15"/>
      <c r="H1297" s="15"/>
      <c r="I1297" s="14"/>
      <c r="P1297" s="14"/>
    </row>
    <row r="1298" ht="18.75" customHeight="1">
      <c r="A1298" s="7" t="s">
        <v>2895</v>
      </c>
      <c r="B1298" s="9">
        <v>1356.0</v>
      </c>
      <c r="C1298" s="9">
        <v>1352.0</v>
      </c>
      <c r="D1298" s="9">
        <v>1047.0</v>
      </c>
      <c r="E1298" s="9">
        <v>7.0</v>
      </c>
      <c r="F1298" s="14"/>
      <c r="G1298" s="15"/>
      <c r="H1298" s="15"/>
      <c r="I1298" s="14"/>
      <c r="P1298" s="14"/>
    </row>
    <row r="1299" ht="18.75" customHeight="1">
      <c r="A1299" s="7" t="s">
        <v>2896</v>
      </c>
      <c r="B1299" s="9">
        <v>1718.0</v>
      </c>
      <c r="C1299" s="9">
        <v>1712.0</v>
      </c>
      <c r="D1299" s="9">
        <v>660.0</v>
      </c>
      <c r="E1299" s="9">
        <v>106.0</v>
      </c>
      <c r="F1299" s="14"/>
      <c r="G1299" s="15"/>
      <c r="H1299" s="15"/>
      <c r="I1299" s="14"/>
      <c r="P1299" s="14"/>
    </row>
    <row r="1300" ht="18.75" customHeight="1">
      <c r="A1300" s="7" t="s">
        <v>2897</v>
      </c>
      <c r="B1300" s="9">
        <v>2429.0</v>
      </c>
      <c r="C1300" s="9">
        <v>2413.0</v>
      </c>
      <c r="D1300" s="9">
        <v>836.0</v>
      </c>
      <c r="E1300" s="9">
        <v>35.0</v>
      </c>
      <c r="F1300" s="14"/>
      <c r="G1300" s="15"/>
      <c r="H1300" s="15"/>
      <c r="I1300" s="14"/>
      <c r="P1300" s="14"/>
    </row>
    <row r="1301" ht="18.75" customHeight="1">
      <c r="A1301" s="7" t="s">
        <v>2898</v>
      </c>
      <c r="B1301" s="9">
        <v>106.0</v>
      </c>
      <c r="C1301" s="9">
        <v>106.0</v>
      </c>
      <c r="D1301" s="9">
        <v>77.0</v>
      </c>
      <c r="E1301" s="9">
        <v>27.0</v>
      </c>
      <c r="F1301" s="14"/>
      <c r="G1301" s="15"/>
      <c r="H1301" s="15"/>
      <c r="I1301" s="14"/>
      <c r="P1301" s="14"/>
    </row>
    <row r="1302" ht="18.75" customHeight="1">
      <c r="A1302" s="7" t="s">
        <v>2898</v>
      </c>
      <c r="B1302" s="9">
        <v>19.0</v>
      </c>
      <c r="C1302" s="9">
        <v>19.0</v>
      </c>
      <c r="D1302" s="9">
        <v>6.0</v>
      </c>
      <c r="E1302" s="9">
        <v>1.0</v>
      </c>
      <c r="F1302" s="14"/>
      <c r="G1302" s="15"/>
      <c r="H1302" s="15"/>
      <c r="I1302" s="14"/>
      <c r="P1302" s="14"/>
    </row>
    <row r="1303" ht="18.75" customHeight="1">
      <c r="A1303" s="7" t="s">
        <v>2899</v>
      </c>
      <c r="B1303" s="9">
        <v>348.0</v>
      </c>
      <c r="C1303" s="9">
        <v>336.0</v>
      </c>
      <c r="D1303" s="9">
        <v>157.0</v>
      </c>
      <c r="E1303" s="9">
        <v>53.0</v>
      </c>
      <c r="F1303" s="14"/>
      <c r="G1303" s="15"/>
      <c r="H1303" s="15"/>
      <c r="I1303" s="14"/>
      <c r="P1303" s="14"/>
    </row>
    <row r="1304" ht="18.75" customHeight="1">
      <c r="A1304" s="7" t="s">
        <v>2900</v>
      </c>
      <c r="B1304" s="9">
        <v>4975.0</v>
      </c>
      <c r="C1304" s="9">
        <v>4970.0</v>
      </c>
      <c r="D1304" s="9">
        <v>2001.0</v>
      </c>
      <c r="E1304" s="9">
        <v>100.0</v>
      </c>
      <c r="F1304" s="14"/>
      <c r="G1304" s="15"/>
      <c r="H1304" s="15"/>
      <c r="I1304" s="14"/>
      <c r="P1304" s="14"/>
    </row>
    <row r="1305" ht="18.75" customHeight="1">
      <c r="A1305" s="7" t="s">
        <v>2900</v>
      </c>
      <c r="B1305" s="9">
        <v>14550.0</v>
      </c>
      <c r="C1305" s="9">
        <v>14509.0</v>
      </c>
      <c r="D1305" s="9">
        <v>4272.0</v>
      </c>
      <c r="E1305" s="9">
        <v>172.0</v>
      </c>
      <c r="F1305" s="14"/>
      <c r="G1305" s="15"/>
      <c r="H1305" s="15"/>
      <c r="I1305" s="14"/>
      <c r="P1305" s="14"/>
    </row>
    <row r="1306" ht="18.75" customHeight="1">
      <c r="A1306" s="7" t="s">
        <v>2901</v>
      </c>
      <c r="B1306" s="9">
        <v>8395.0</v>
      </c>
      <c r="C1306" s="9">
        <v>8368.0</v>
      </c>
      <c r="D1306" s="9">
        <v>4696.0</v>
      </c>
      <c r="E1306" s="9">
        <v>1052.0</v>
      </c>
      <c r="F1306" s="14"/>
      <c r="G1306" s="15"/>
      <c r="H1306" s="15"/>
      <c r="I1306" s="14"/>
      <c r="P1306" s="14"/>
    </row>
    <row r="1307" ht="18.75" customHeight="1">
      <c r="A1307" s="7" t="s">
        <v>2901</v>
      </c>
      <c r="B1307" s="9">
        <v>33236.0</v>
      </c>
      <c r="C1307" s="9">
        <v>33173.0</v>
      </c>
      <c r="D1307" s="9">
        <v>22841.0</v>
      </c>
      <c r="E1307" s="9">
        <v>4885.0</v>
      </c>
      <c r="F1307" s="14"/>
      <c r="G1307" s="15"/>
      <c r="H1307" s="15"/>
      <c r="I1307" s="14"/>
      <c r="P1307" s="14"/>
    </row>
    <row r="1308" ht="18.75" customHeight="1">
      <c r="A1308" s="7" t="s">
        <v>2901</v>
      </c>
      <c r="B1308" s="9">
        <v>8668.0</v>
      </c>
      <c r="C1308" s="9">
        <v>8642.0</v>
      </c>
      <c r="D1308" s="9">
        <v>5469.0</v>
      </c>
      <c r="E1308" s="9">
        <v>1059.0</v>
      </c>
      <c r="F1308" s="14"/>
      <c r="G1308" s="15"/>
      <c r="H1308" s="15"/>
      <c r="I1308" s="14"/>
      <c r="P1308" s="14"/>
    </row>
    <row r="1309" ht="18.75" customHeight="1">
      <c r="A1309" s="7" t="s">
        <v>2901</v>
      </c>
      <c r="B1309" s="9">
        <v>31064.0</v>
      </c>
      <c r="C1309" s="9">
        <v>31009.0</v>
      </c>
      <c r="D1309" s="9">
        <v>21846.0</v>
      </c>
      <c r="E1309" s="9">
        <v>4622.0</v>
      </c>
      <c r="F1309" s="14"/>
      <c r="G1309" s="15"/>
      <c r="H1309" s="15"/>
      <c r="I1309" s="14"/>
      <c r="P1309" s="14"/>
    </row>
    <row r="1310" ht="18.75" customHeight="1">
      <c r="A1310" s="7" t="s">
        <v>2901</v>
      </c>
      <c r="B1310" s="9">
        <v>8323.0</v>
      </c>
      <c r="C1310" s="9">
        <v>8298.0</v>
      </c>
      <c r="D1310" s="9">
        <v>5219.0</v>
      </c>
      <c r="E1310" s="9">
        <v>986.0</v>
      </c>
      <c r="F1310" s="14"/>
      <c r="G1310" s="15"/>
      <c r="H1310" s="15"/>
      <c r="I1310" s="14"/>
      <c r="P1310" s="14"/>
    </row>
    <row r="1311" ht="18.75" customHeight="1">
      <c r="A1311" s="7" t="s">
        <v>2902</v>
      </c>
      <c r="B1311" s="9">
        <v>84.0</v>
      </c>
      <c r="C1311" s="9">
        <v>84.0</v>
      </c>
      <c r="D1311" s="9">
        <v>62.0</v>
      </c>
      <c r="E1311" s="9">
        <v>2.0</v>
      </c>
      <c r="F1311" s="14"/>
      <c r="G1311" s="15"/>
      <c r="H1311" s="15"/>
      <c r="I1311" s="14"/>
      <c r="P1311" s="14"/>
    </row>
    <row r="1312" ht="18.75" customHeight="1">
      <c r="A1312" s="7" t="s">
        <v>2902</v>
      </c>
      <c r="B1312" s="9">
        <v>78.0</v>
      </c>
      <c r="C1312" s="9">
        <v>78.0</v>
      </c>
      <c r="D1312" s="9">
        <v>61.0</v>
      </c>
      <c r="E1312" s="9">
        <v>3.0</v>
      </c>
      <c r="F1312" s="14"/>
      <c r="G1312" s="15"/>
      <c r="H1312" s="15"/>
      <c r="I1312" s="14"/>
      <c r="P1312" s="14"/>
    </row>
    <row r="1313" ht="18.75" customHeight="1">
      <c r="A1313" s="7" t="s">
        <v>2902</v>
      </c>
      <c r="B1313" s="9">
        <v>88.0</v>
      </c>
      <c r="C1313" s="9">
        <v>88.0</v>
      </c>
      <c r="D1313" s="9">
        <v>67.0</v>
      </c>
      <c r="E1313" s="9">
        <v>5.0</v>
      </c>
      <c r="F1313" s="14"/>
      <c r="G1313" s="15"/>
      <c r="H1313" s="15"/>
      <c r="I1313" s="14"/>
      <c r="P1313" s="14"/>
    </row>
    <row r="1314" ht="18.75" customHeight="1">
      <c r="A1314" s="7" t="s">
        <v>2902</v>
      </c>
      <c r="B1314" s="9">
        <v>84.0</v>
      </c>
      <c r="C1314" s="9">
        <v>84.0</v>
      </c>
      <c r="D1314" s="9">
        <v>69.0</v>
      </c>
      <c r="E1314" s="9">
        <v>1.0</v>
      </c>
      <c r="F1314" s="14"/>
      <c r="G1314" s="15"/>
      <c r="H1314" s="15"/>
      <c r="I1314" s="14"/>
      <c r="P1314" s="14"/>
    </row>
    <row r="1315" ht="18.75" customHeight="1">
      <c r="A1315" s="7" t="s">
        <v>2902</v>
      </c>
      <c r="B1315" s="9">
        <v>88.0</v>
      </c>
      <c r="C1315" s="9">
        <v>88.0</v>
      </c>
      <c r="D1315" s="9">
        <v>64.0</v>
      </c>
      <c r="E1315" s="9">
        <v>3.0</v>
      </c>
      <c r="F1315" s="14"/>
      <c r="G1315" s="15"/>
      <c r="H1315" s="15"/>
      <c r="I1315" s="14"/>
      <c r="P1315" s="14"/>
    </row>
    <row r="1316" ht="18.75" customHeight="1">
      <c r="A1316" s="7" t="s">
        <v>2902</v>
      </c>
      <c r="B1316" s="9">
        <v>84.0</v>
      </c>
      <c r="C1316" s="9">
        <v>84.0</v>
      </c>
      <c r="D1316" s="9">
        <v>63.0</v>
      </c>
      <c r="E1316" s="9">
        <v>0.0</v>
      </c>
      <c r="F1316" s="14"/>
      <c r="G1316" s="15"/>
      <c r="H1316" s="15"/>
      <c r="I1316" s="14"/>
      <c r="P1316" s="14"/>
    </row>
    <row r="1317" ht="18.75" customHeight="1">
      <c r="A1317" s="7" t="s">
        <v>2901</v>
      </c>
      <c r="B1317" s="9">
        <v>25339.0</v>
      </c>
      <c r="C1317" s="9">
        <v>25285.0</v>
      </c>
      <c r="D1317" s="9">
        <v>15231.0</v>
      </c>
      <c r="E1317" s="9">
        <v>3919.0</v>
      </c>
      <c r="F1317" s="14"/>
      <c r="G1317" s="15"/>
      <c r="H1317" s="15"/>
      <c r="I1317" s="14"/>
      <c r="P1317" s="14"/>
    </row>
    <row r="1318" ht="18.75" customHeight="1">
      <c r="A1318" s="7" t="s">
        <v>2901</v>
      </c>
      <c r="B1318" s="9">
        <v>7022.0</v>
      </c>
      <c r="C1318" s="9">
        <v>6999.0</v>
      </c>
      <c r="D1318" s="9">
        <v>3886.0</v>
      </c>
      <c r="E1318" s="9">
        <v>857.0</v>
      </c>
      <c r="F1318" s="14"/>
      <c r="G1318" s="15"/>
      <c r="H1318" s="15"/>
      <c r="I1318" s="14"/>
      <c r="P1318" s="14"/>
    </row>
    <row r="1319" ht="18.75" customHeight="1">
      <c r="A1319" s="7" t="s">
        <v>2901</v>
      </c>
      <c r="B1319" s="9">
        <v>25046.0</v>
      </c>
      <c r="C1319" s="9">
        <v>25013.0</v>
      </c>
      <c r="D1319" s="9">
        <v>17377.0</v>
      </c>
      <c r="E1319" s="9">
        <v>3910.0</v>
      </c>
      <c r="F1319" s="14"/>
      <c r="G1319" s="15"/>
      <c r="H1319" s="15"/>
      <c r="I1319" s="14"/>
      <c r="P1319" s="14"/>
    </row>
    <row r="1320" ht="18.75" customHeight="1">
      <c r="A1320" s="7" t="s">
        <v>2901</v>
      </c>
      <c r="B1320" s="9">
        <v>6938.0</v>
      </c>
      <c r="C1320" s="9">
        <v>6926.0</v>
      </c>
      <c r="D1320" s="9">
        <v>4004.0</v>
      </c>
      <c r="E1320" s="9">
        <v>846.0</v>
      </c>
      <c r="F1320" s="14"/>
      <c r="G1320" s="15"/>
      <c r="H1320" s="15"/>
      <c r="I1320" s="14"/>
      <c r="P1320" s="14"/>
    </row>
    <row r="1321" ht="18.75" customHeight="1">
      <c r="A1321" s="7" t="s">
        <v>2903</v>
      </c>
      <c r="B1321" s="9">
        <v>1748.0</v>
      </c>
      <c r="C1321" s="9">
        <v>1747.0</v>
      </c>
      <c r="D1321" s="9">
        <v>1351.0</v>
      </c>
      <c r="E1321" s="9">
        <v>946.0</v>
      </c>
      <c r="F1321" s="14"/>
      <c r="G1321" s="15"/>
      <c r="H1321" s="15"/>
      <c r="I1321" s="14"/>
      <c r="P1321" s="14"/>
    </row>
    <row r="1322" ht="18.75" customHeight="1">
      <c r="A1322" s="7" t="s">
        <v>2903</v>
      </c>
      <c r="B1322" s="9">
        <v>6259.0</v>
      </c>
      <c r="C1322" s="9">
        <v>6247.0</v>
      </c>
      <c r="D1322" s="9">
        <v>4539.0</v>
      </c>
      <c r="E1322" s="9">
        <v>3087.0</v>
      </c>
      <c r="F1322" s="14"/>
      <c r="G1322" s="15"/>
      <c r="H1322" s="15"/>
      <c r="I1322" s="14"/>
      <c r="P1322" s="14"/>
    </row>
    <row r="1323" ht="18.75" customHeight="1">
      <c r="A1323" s="7" t="s">
        <v>2904</v>
      </c>
      <c r="B1323" s="9">
        <v>2811.0</v>
      </c>
      <c r="C1323" s="9">
        <v>2775.0</v>
      </c>
      <c r="D1323" s="9">
        <v>1429.0</v>
      </c>
      <c r="E1323" s="9">
        <v>424.0</v>
      </c>
      <c r="F1323" s="14"/>
      <c r="G1323" s="15"/>
      <c r="H1323" s="15"/>
      <c r="I1323" s="14"/>
      <c r="P1323" s="14"/>
    </row>
    <row r="1324" ht="18.75" customHeight="1">
      <c r="A1324" s="7" t="s">
        <v>2904</v>
      </c>
      <c r="B1324" s="9">
        <v>3095.0</v>
      </c>
      <c r="C1324" s="9">
        <v>3043.0</v>
      </c>
      <c r="D1324" s="9">
        <v>1641.0</v>
      </c>
      <c r="E1324" s="9">
        <v>415.0</v>
      </c>
      <c r="F1324" s="14"/>
      <c r="G1324" s="15"/>
      <c r="H1324" s="15"/>
      <c r="I1324" s="14"/>
      <c r="P1324" s="14"/>
    </row>
    <row r="1325" ht="18.75" customHeight="1">
      <c r="A1325" s="7" t="s">
        <v>2904</v>
      </c>
      <c r="B1325" s="9">
        <v>5135.0</v>
      </c>
      <c r="C1325" s="9">
        <v>5014.0</v>
      </c>
      <c r="D1325" s="9">
        <v>1306.0</v>
      </c>
      <c r="E1325" s="9">
        <v>254.0</v>
      </c>
      <c r="F1325" s="14"/>
      <c r="G1325" s="15"/>
      <c r="H1325" s="15"/>
      <c r="I1325" s="14"/>
      <c r="P1325" s="14"/>
    </row>
    <row r="1326" ht="18.75" customHeight="1">
      <c r="A1326" s="7" t="s">
        <v>2904</v>
      </c>
      <c r="B1326" s="9">
        <v>67.0</v>
      </c>
      <c r="C1326" s="9">
        <v>65.0</v>
      </c>
      <c r="D1326" s="9">
        <v>20.0</v>
      </c>
      <c r="E1326" s="9">
        <v>3.0</v>
      </c>
      <c r="F1326" s="14"/>
      <c r="G1326" s="15"/>
      <c r="H1326" s="15"/>
      <c r="I1326" s="14"/>
      <c r="P1326" s="14"/>
    </row>
    <row r="1327" ht="18.75" customHeight="1">
      <c r="A1327" s="7" t="s">
        <v>2901</v>
      </c>
      <c r="B1327" s="9">
        <v>31535.0</v>
      </c>
      <c r="C1327" s="9">
        <v>31459.0</v>
      </c>
      <c r="D1327" s="9">
        <v>18145.0</v>
      </c>
      <c r="E1327" s="9">
        <v>2647.0</v>
      </c>
      <c r="F1327" s="14"/>
      <c r="G1327" s="15"/>
      <c r="H1327" s="15"/>
      <c r="I1327" s="14"/>
      <c r="P1327" s="14"/>
    </row>
    <row r="1328" ht="18.75" customHeight="1">
      <c r="A1328" s="7" t="s">
        <v>2901</v>
      </c>
      <c r="B1328" s="9">
        <v>33019.0</v>
      </c>
      <c r="C1328" s="9">
        <v>32930.0</v>
      </c>
      <c r="D1328" s="9">
        <v>19101.0</v>
      </c>
      <c r="E1328" s="9">
        <v>3079.0</v>
      </c>
      <c r="F1328" s="14"/>
      <c r="G1328" s="15"/>
      <c r="H1328" s="15"/>
      <c r="I1328" s="14"/>
      <c r="P1328" s="14"/>
    </row>
    <row r="1329" ht="18.75" customHeight="1">
      <c r="A1329" s="7" t="s">
        <v>366</v>
      </c>
      <c r="B1329" s="9">
        <v>2142.0</v>
      </c>
      <c r="C1329" s="9">
        <v>2103.0</v>
      </c>
      <c r="D1329" s="9">
        <v>675.0</v>
      </c>
      <c r="E1329" s="9">
        <v>34.0</v>
      </c>
      <c r="F1329" s="14"/>
      <c r="G1329" s="15"/>
      <c r="H1329" s="15"/>
      <c r="I1329" s="14"/>
      <c r="P1329" s="14"/>
    </row>
    <row r="1330" ht="18.75" customHeight="1">
      <c r="A1330" s="7" t="s">
        <v>368</v>
      </c>
      <c r="B1330" s="9">
        <v>172.0</v>
      </c>
      <c r="C1330" s="9">
        <v>168.0</v>
      </c>
      <c r="D1330" s="9">
        <v>65.0</v>
      </c>
      <c r="E1330" s="9">
        <v>5.0</v>
      </c>
      <c r="F1330" s="14"/>
      <c r="G1330" s="15"/>
      <c r="H1330" s="15"/>
      <c r="I1330" s="14"/>
      <c r="P1330" s="14"/>
    </row>
    <row r="1331" ht="18.75" customHeight="1">
      <c r="A1331" s="7" t="s">
        <v>366</v>
      </c>
      <c r="B1331" s="9">
        <v>1041.0</v>
      </c>
      <c r="C1331" s="9">
        <v>1025.0</v>
      </c>
      <c r="D1331" s="9">
        <v>357.0</v>
      </c>
      <c r="E1331" s="9">
        <v>14.0</v>
      </c>
      <c r="F1331" s="14"/>
      <c r="G1331" s="15"/>
      <c r="H1331" s="15"/>
      <c r="I1331" s="14"/>
      <c r="P1331" s="14"/>
    </row>
    <row r="1332" ht="18.75" customHeight="1">
      <c r="A1332" s="7" t="s">
        <v>368</v>
      </c>
      <c r="B1332" s="9">
        <v>98.0</v>
      </c>
      <c r="C1332" s="9">
        <v>96.0</v>
      </c>
      <c r="D1332" s="9">
        <v>42.0</v>
      </c>
      <c r="E1332" s="9">
        <v>1.0</v>
      </c>
      <c r="F1332" s="14"/>
      <c r="G1332" s="15"/>
      <c r="H1332" s="15"/>
      <c r="I1332" s="14"/>
      <c r="P1332" s="14"/>
    </row>
    <row r="1333" ht="18.75" customHeight="1">
      <c r="A1333" s="7" t="s">
        <v>360</v>
      </c>
      <c r="B1333" s="9">
        <v>19547.0</v>
      </c>
      <c r="C1333" s="9">
        <v>19167.0</v>
      </c>
      <c r="D1333" s="9">
        <v>5664.0</v>
      </c>
      <c r="E1333" s="9">
        <v>36.0</v>
      </c>
      <c r="F1333" s="14"/>
      <c r="G1333" s="15"/>
      <c r="H1333" s="15"/>
      <c r="I1333" s="14"/>
      <c r="P1333" s="14"/>
    </row>
    <row r="1334" ht="18.75" customHeight="1">
      <c r="A1334" s="7" t="s">
        <v>356</v>
      </c>
      <c r="B1334" s="9">
        <v>100.0</v>
      </c>
      <c r="C1334" s="9">
        <v>100.0</v>
      </c>
      <c r="D1334" s="9">
        <v>44.0</v>
      </c>
      <c r="E1334" s="9">
        <v>0.0</v>
      </c>
      <c r="F1334" s="14"/>
      <c r="G1334" s="15"/>
      <c r="H1334" s="15"/>
      <c r="I1334" s="14"/>
      <c r="P1334" s="14"/>
    </row>
    <row r="1335" ht="18.75" customHeight="1">
      <c r="A1335" s="7" t="s">
        <v>370</v>
      </c>
      <c r="B1335" s="9">
        <v>860.0</v>
      </c>
      <c r="C1335" s="9">
        <v>848.0</v>
      </c>
      <c r="D1335" s="9">
        <v>346.0</v>
      </c>
      <c r="E1335" s="9">
        <v>13.0</v>
      </c>
      <c r="F1335" s="14"/>
      <c r="G1335" s="15"/>
      <c r="H1335" s="15"/>
      <c r="I1335" s="14"/>
      <c r="P1335" s="14"/>
    </row>
    <row r="1336" ht="18.75" customHeight="1">
      <c r="A1336" s="7" t="s">
        <v>360</v>
      </c>
      <c r="B1336" s="9">
        <v>6730.0</v>
      </c>
      <c r="C1336" s="9">
        <v>6607.0</v>
      </c>
      <c r="D1336" s="9">
        <v>2097.0</v>
      </c>
      <c r="E1336" s="9">
        <v>18.0</v>
      </c>
      <c r="F1336" s="14"/>
      <c r="G1336" s="15"/>
      <c r="H1336" s="15"/>
      <c r="I1336" s="14"/>
      <c r="P1336" s="14"/>
    </row>
    <row r="1337" ht="18.75" customHeight="1">
      <c r="A1337" s="7" t="s">
        <v>372</v>
      </c>
      <c r="B1337" s="9">
        <v>12616.0</v>
      </c>
      <c r="C1337" s="9">
        <v>12388.0</v>
      </c>
      <c r="D1337" s="9">
        <v>3755.0</v>
      </c>
      <c r="E1337" s="9">
        <v>213.0</v>
      </c>
      <c r="F1337" s="14"/>
      <c r="G1337" s="15"/>
      <c r="H1337" s="15"/>
      <c r="I1337" s="14"/>
      <c r="P1337" s="14"/>
    </row>
    <row r="1338" ht="18.75" customHeight="1">
      <c r="A1338" s="7" t="s">
        <v>2883</v>
      </c>
      <c r="B1338" s="9">
        <v>14611.0</v>
      </c>
      <c r="C1338" s="9">
        <v>14379.0</v>
      </c>
      <c r="D1338" s="9">
        <v>3625.0</v>
      </c>
      <c r="E1338" s="9">
        <v>14.0</v>
      </c>
      <c r="F1338" s="14"/>
      <c r="G1338" s="15"/>
      <c r="H1338" s="15"/>
      <c r="I1338" s="14"/>
      <c r="P1338" s="14"/>
    </row>
    <row r="1339" ht="18.75" customHeight="1">
      <c r="A1339" s="7" t="s">
        <v>2883</v>
      </c>
      <c r="B1339" s="9">
        <v>23134.0</v>
      </c>
      <c r="C1339" s="9">
        <v>22727.0</v>
      </c>
      <c r="D1339" s="9">
        <v>6291.0</v>
      </c>
      <c r="E1339" s="9">
        <v>24.0</v>
      </c>
      <c r="F1339" s="14"/>
      <c r="G1339" s="15"/>
      <c r="H1339" s="15"/>
      <c r="I1339" s="14"/>
      <c r="P1339" s="14"/>
    </row>
    <row r="1340" ht="18.75" customHeight="1">
      <c r="A1340" s="7" t="s">
        <v>2883</v>
      </c>
      <c r="B1340" s="9">
        <v>18417.0</v>
      </c>
      <c r="C1340" s="9">
        <v>18076.0</v>
      </c>
      <c r="D1340" s="9">
        <v>4334.0</v>
      </c>
      <c r="E1340" s="9">
        <v>24.0</v>
      </c>
      <c r="F1340" s="14"/>
      <c r="G1340" s="15"/>
      <c r="H1340" s="15"/>
      <c r="I1340" s="14"/>
      <c r="P1340" s="14"/>
    </row>
    <row r="1341" ht="18.75" customHeight="1">
      <c r="A1341" s="7" t="s">
        <v>2883</v>
      </c>
      <c r="B1341" s="9">
        <v>20857.0</v>
      </c>
      <c r="C1341" s="9">
        <v>20463.0</v>
      </c>
      <c r="D1341" s="9">
        <v>5018.0</v>
      </c>
      <c r="E1341" s="9">
        <v>29.0</v>
      </c>
      <c r="F1341" s="14"/>
      <c r="G1341" s="15"/>
      <c r="H1341" s="15"/>
      <c r="I1341" s="14"/>
      <c r="P1341" s="14"/>
    </row>
    <row r="1342" ht="18.75" customHeight="1">
      <c r="A1342" s="7" t="s">
        <v>2883</v>
      </c>
      <c r="B1342" s="9">
        <v>19070.0</v>
      </c>
      <c r="C1342" s="9">
        <v>18747.0</v>
      </c>
      <c r="D1342" s="9">
        <v>4495.0</v>
      </c>
      <c r="E1342" s="9">
        <v>22.0</v>
      </c>
      <c r="F1342" s="14"/>
      <c r="G1342" s="15"/>
      <c r="H1342" s="15"/>
      <c r="I1342" s="14"/>
      <c r="P1342" s="14"/>
    </row>
    <row r="1343" ht="18.75" customHeight="1">
      <c r="A1343" s="7" t="s">
        <v>2883</v>
      </c>
      <c r="B1343" s="9">
        <v>13472.0</v>
      </c>
      <c r="C1343" s="9">
        <v>13218.0</v>
      </c>
      <c r="D1343" s="9">
        <v>2030.0</v>
      </c>
      <c r="E1343" s="9">
        <v>80.0</v>
      </c>
      <c r="F1343" s="14"/>
      <c r="G1343" s="15"/>
      <c r="H1343" s="15"/>
      <c r="I1343" s="14"/>
      <c r="P1343" s="14"/>
    </row>
    <row r="1344" ht="18.75" customHeight="1">
      <c r="A1344" s="7" t="s">
        <v>2883</v>
      </c>
      <c r="B1344" s="9">
        <v>18069.0</v>
      </c>
      <c r="C1344" s="9">
        <v>17727.0</v>
      </c>
      <c r="D1344" s="9">
        <v>4403.0</v>
      </c>
      <c r="E1344" s="9">
        <v>29.0</v>
      </c>
      <c r="F1344" s="14"/>
      <c r="G1344" s="15"/>
      <c r="H1344" s="15"/>
      <c r="I1344" s="14"/>
      <c r="P1344" s="14"/>
    </row>
    <row r="1345" ht="18.75" customHeight="1">
      <c r="A1345" s="7" t="s">
        <v>2883</v>
      </c>
      <c r="B1345" s="9">
        <v>13503.0</v>
      </c>
      <c r="C1345" s="9">
        <v>13260.0</v>
      </c>
      <c r="D1345" s="9">
        <v>3117.0</v>
      </c>
      <c r="E1345" s="9">
        <v>23.0</v>
      </c>
      <c r="F1345" s="14"/>
      <c r="G1345" s="15"/>
      <c r="H1345" s="15"/>
      <c r="I1345" s="14"/>
      <c r="P1345" s="14"/>
    </row>
    <row r="1346" ht="18.75" customHeight="1">
      <c r="A1346" s="7" t="s">
        <v>2883</v>
      </c>
      <c r="B1346" s="9">
        <v>22317.0</v>
      </c>
      <c r="C1346" s="9">
        <v>21917.0</v>
      </c>
      <c r="D1346" s="9">
        <v>6507.0</v>
      </c>
      <c r="E1346" s="9">
        <v>26.0</v>
      </c>
      <c r="F1346" s="14"/>
      <c r="G1346" s="15"/>
      <c r="H1346" s="15"/>
      <c r="I1346" s="14"/>
      <c r="P1346" s="14"/>
    </row>
    <row r="1347" ht="18.75" customHeight="1">
      <c r="A1347" s="7" t="s">
        <v>2883</v>
      </c>
      <c r="B1347" s="9">
        <v>19070.0</v>
      </c>
      <c r="C1347" s="9">
        <v>18733.0</v>
      </c>
      <c r="D1347" s="9">
        <v>4677.0</v>
      </c>
      <c r="E1347" s="9">
        <v>24.0</v>
      </c>
      <c r="F1347" s="14"/>
      <c r="G1347" s="15"/>
      <c r="H1347" s="15"/>
      <c r="I1347" s="14"/>
      <c r="P1347" s="14"/>
    </row>
    <row r="1348" ht="18.75" customHeight="1">
      <c r="A1348" s="7" t="s">
        <v>2842</v>
      </c>
      <c r="B1348" s="9">
        <v>14558.0</v>
      </c>
      <c r="C1348" s="9">
        <v>14510.0</v>
      </c>
      <c r="D1348" s="9">
        <v>4491.0</v>
      </c>
      <c r="E1348" s="9">
        <v>237.0</v>
      </c>
      <c r="F1348" s="14"/>
      <c r="G1348" s="15"/>
      <c r="H1348" s="15"/>
      <c r="I1348" s="14"/>
      <c r="P1348" s="14"/>
    </row>
    <row r="1349" ht="18.75" customHeight="1">
      <c r="A1349" s="7" t="s">
        <v>2905</v>
      </c>
      <c r="B1349" s="9">
        <v>2943.0</v>
      </c>
      <c r="C1349" s="9">
        <v>2938.0</v>
      </c>
      <c r="D1349" s="9">
        <v>932.0</v>
      </c>
      <c r="E1349" s="9">
        <v>14.0</v>
      </c>
      <c r="F1349" s="14"/>
      <c r="G1349" s="15"/>
      <c r="H1349" s="15"/>
      <c r="I1349" s="14"/>
      <c r="P1349" s="14"/>
    </row>
    <row r="1350" ht="18.75" customHeight="1">
      <c r="A1350" s="7" t="s">
        <v>2902</v>
      </c>
      <c r="B1350" s="9">
        <v>75.0</v>
      </c>
      <c r="C1350" s="9">
        <v>75.0</v>
      </c>
      <c r="D1350" s="9">
        <v>62.0</v>
      </c>
      <c r="E1350" s="9">
        <v>3.0</v>
      </c>
      <c r="F1350" s="14"/>
      <c r="G1350" s="15"/>
      <c r="H1350" s="15"/>
      <c r="I1350" s="14"/>
      <c r="P1350" s="14"/>
    </row>
    <row r="1351" ht="18.75" customHeight="1">
      <c r="A1351" s="7" t="s">
        <v>2906</v>
      </c>
      <c r="B1351" s="9">
        <v>3219.0</v>
      </c>
      <c r="C1351" s="9">
        <v>3174.0</v>
      </c>
      <c r="D1351" s="9">
        <v>1325.0</v>
      </c>
      <c r="E1351" s="9">
        <v>4.0</v>
      </c>
      <c r="F1351" s="14"/>
      <c r="G1351" s="15"/>
      <c r="H1351" s="15"/>
      <c r="I1351" s="14"/>
      <c r="P1351" s="14"/>
    </row>
    <row r="1352" ht="18.75" customHeight="1">
      <c r="A1352" s="7" t="s">
        <v>2907</v>
      </c>
      <c r="B1352" s="9">
        <v>3267.0</v>
      </c>
      <c r="C1352" s="9">
        <v>3220.0</v>
      </c>
      <c r="D1352" s="9">
        <v>1228.0</v>
      </c>
      <c r="E1352" s="9">
        <v>55.0</v>
      </c>
      <c r="F1352" s="14"/>
      <c r="G1352" s="15"/>
      <c r="H1352" s="15"/>
      <c r="I1352" s="14"/>
      <c r="P1352" s="14"/>
    </row>
    <row r="1353" ht="18.75" customHeight="1">
      <c r="A1353" s="7" t="s">
        <v>2908</v>
      </c>
      <c r="B1353" s="9">
        <v>486.0</v>
      </c>
      <c r="C1353" s="9">
        <v>480.0</v>
      </c>
      <c r="D1353" s="9">
        <v>211.0</v>
      </c>
      <c r="E1353" s="9">
        <v>2.0</v>
      </c>
      <c r="F1353" s="14"/>
      <c r="G1353" s="15"/>
      <c r="H1353" s="15"/>
      <c r="I1353" s="14"/>
      <c r="P1353" s="14"/>
    </row>
    <row r="1354" ht="18.75" customHeight="1">
      <c r="A1354" s="7" t="s">
        <v>2909</v>
      </c>
      <c r="B1354" s="9">
        <v>7517.0</v>
      </c>
      <c r="C1354" s="9">
        <v>7488.0</v>
      </c>
      <c r="D1354" s="9">
        <v>2912.0</v>
      </c>
      <c r="E1354" s="9">
        <v>39.0</v>
      </c>
      <c r="F1354" s="14"/>
      <c r="G1354" s="15"/>
      <c r="H1354" s="15"/>
      <c r="I1354" s="14"/>
      <c r="P1354" s="14"/>
    </row>
    <row r="1355" ht="18.75" customHeight="1">
      <c r="A1355" s="7" t="s">
        <v>2910</v>
      </c>
      <c r="B1355" s="9">
        <v>2480.0</v>
      </c>
      <c r="C1355" s="9">
        <v>2467.0</v>
      </c>
      <c r="D1355" s="9">
        <v>890.0</v>
      </c>
      <c r="E1355" s="9">
        <v>3.0</v>
      </c>
      <c r="F1355" s="14"/>
      <c r="G1355" s="15"/>
      <c r="H1355" s="15"/>
      <c r="I1355" s="14"/>
      <c r="P1355" s="14"/>
    </row>
    <row r="1356" ht="18.75" customHeight="1">
      <c r="A1356" s="7" t="s">
        <v>2911</v>
      </c>
      <c r="B1356" s="9">
        <v>973.0</v>
      </c>
      <c r="C1356" s="9">
        <v>967.0</v>
      </c>
      <c r="D1356" s="9">
        <v>506.0</v>
      </c>
      <c r="E1356" s="9">
        <v>2.0</v>
      </c>
      <c r="F1356" s="14"/>
      <c r="G1356" s="15"/>
      <c r="H1356" s="15"/>
      <c r="I1356" s="14"/>
      <c r="P1356" s="14"/>
    </row>
    <row r="1357" ht="18.75" customHeight="1">
      <c r="A1357" s="7" t="s">
        <v>2912</v>
      </c>
      <c r="B1357" s="9">
        <v>349.0</v>
      </c>
      <c r="C1357" s="9">
        <v>345.0</v>
      </c>
      <c r="D1357" s="9">
        <v>191.0</v>
      </c>
      <c r="E1357" s="9">
        <v>48.0</v>
      </c>
      <c r="F1357" s="14"/>
      <c r="G1357" s="15"/>
      <c r="H1357" s="15"/>
      <c r="I1357" s="14"/>
      <c r="P1357" s="14"/>
    </row>
    <row r="1358" ht="18.75" customHeight="1">
      <c r="A1358" s="7" t="s">
        <v>2913</v>
      </c>
      <c r="B1358" s="9">
        <v>7096.0</v>
      </c>
      <c r="C1358" s="9">
        <v>7061.0</v>
      </c>
      <c r="D1358" s="9">
        <v>3084.0</v>
      </c>
      <c r="E1358" s="9">
        <v>214.0</v>
      </c>
      <c r="F1358" s="14"/>
      <c r="G1358" s="15"/>
      <c r="H1358" s="15"/>
      <c r="I1358" s="14"/>
      <c r="P1358" s="14"/>
    </row>
    <row r="1359" ht="18.75" customHeight="1">
      <c r="A1359" s="7" t="s">
        <v>2914</v>
      </c>
      <c r="B1359" s="9">
        <v>988.0</v>
      </c>
      <c r="C1359" s="9">
        <v>983.0</v>
      </c>
      <c r="D1359" s="9">
        <v>480.0</v>
      </c>
      <c r="E1359" s="9">
        <v>3.0</v>
      </c>
      <c r="F1359" s="14"/>
      <c r="G1359" s="15"/>
      <c r="H1359" s="15"/>
      <c r="I1359" s="14"/>
      <c r="P1359" s="14"/>
    </row>
    <row r="1360" ht="18.75" customHeight="1">
      <c r="A1360" s="7" t="s">
        <v>2897</v>
      </c>
      <c r="B1360" s="9">
        <v>6498.0</v>
      </c>
      <c r="C1360" s="9">
        <v>6450.0</v>
      </c>
      <c r="D1360" s="9">
        <v>2293.0</v>
      </c>
      <c r="E1360" s="9">
        <v>170.0</v>
      </c>
      <c r="F1360" s="14"/>
      <c r="G1360" s="15"/>
      <c r="H1360" s="15"/>
      <c r="I1360" s="14"/>
      <c r="P1360" s="14"/>
    </row>
    <row r="1361" ht="18.75" customHeight="1">
      <c r="A1361" s="7" t="s">
        <v>2915</v>
      </c>
      <c r="B1361" s="9">
        <v>7087.0</v>
      </c>
      <c r="C1361" s="9">
        <v>7039.0</v>
      </c>
      <c r="D1361" s="9">
        <v>3124.0</v>
      </c>
      <c r="E1361" s="9">
        <v>185.0</v>
      </c>
      <c r="F1361" s="14"/>
      <c r="G1361" s="15"/>
      <c r="H1361" s="15"/>
      <c r="I1361" s="14"/>
      <c r="P1361" s="14"/>
    </row>
    <row r="1362" ht="18.75" customHeight="1">
      <c r="A1362" s="7" t="s">
        <v>2916</v>
      </c>
      <c r="B1362" s="9">
        <v>13610.0</v>
      </c>
      <c r="C1362" s="9">
        <v>13509.0</v>
      </c>
      <c r="D1362" s="9">
        <v>7354.0</v>
      </c>
      <c r="E1362" s="9">
        <v>8.0</v>
      </c>
      <c r="F1362" s="14"/>
      <c r="G1362" s="15"/>
      <c r="H1362" s="15"/>
      <c r="I1362" s="14"/>
      <c r="P1362" s="14"/>
    </row>
    <row r="1363" ht="18.75" customHeight="1">
      <c r="A1363" s="7" t="s">
        <v>2917</v>
      </c>
      <c r="B1363" s="9">
        <v>975.0</v>
      </c>
      <c r="C1363" s="9">
        <v>970.0</v>
      </c>
      <c r="D1363" s="9">
        <v>352.0</v>
      </c>
      <c r="E1363" s="9">
        <v>2.0</v>
      </c>
      <c r="F1363" s="14"/>
      <c r="G1363" s="15"/>
      <c r="H1363" s="15"/>
      <c r="I1363" s="14"/>
      <c r="P1363" s="14"/>
    </row>
    <row r="1364" ht="18.75" customHeight="1">
      <c r="A1364" s="7" t="s">
        <v>2918</v>
      </c>
      <c r="B1364" s="9">
        <v>464.0</v>
      </c>
      <c r="C1364" s="9">
        <v>462.0</v>
      </c>
      <c r="D1364" s="9">
        <v>190.0</v>
      </c>
      <c r="E1364" s="9">
        <v>42.0</v>
      </c>
      <c r="F1364" s="14"/>
      <c r="G1364" s="15"/>
      <c r="H1364" s="15"/>
      <c r="I1364" s="14"/>
      <c r="P1364" s="14"/>
    </row>
    <row r="1365" ht="18.75" customHeight="1">
      <c r="A1365" s="7" t="s">
        <v>2919</v>
      </c>
      <c r="B1365" s="9">
        <v>460.0</v>
      </c>
      <c r="C1365" s="9">
        <v>459.0</v>
      </c>
      <c r="D1365" s="9">
        <v>192.0</v>
      </c>
      <c r="E1365" s="9">
        <v>42.0</v>
      </c>
      <c r="F1365" s="14"/>
      <c r="G1365" s="15"/>
      <c r="H1365" s="15"/>
      <c r="I1365" s="14"/>
      <c r="P1365" s="14"/>
    </row>
    <row r="1366" ht="18.75" customHeight="1">
      <c r="A1366" s="7" t="s">
        <v>2920</v>
      </c>
      <c r="B1366" s="9">
        <v>523.0</v>
      </c>
      <c r="C1366" s="9">
        <v>518.0</v>
      </c>
      <c r="D1366" s="9">
        <v>147.0</v>
      </c>
      <c r="E1366" s="9">
        <v>5.0</v>
      </c>
      <c r="F1366" s="14"/>
      <c r="G1366" s="15"/>
      <c r="H1366" s="15"/>
      <c r="I1366" s="14"/>
      <c r="P1366" s="14"/>
    </row>
    <row r="1367" ht="18.75" customHeight="1">
      <c r="A1367" s="7" t="s">
        <v>2921</v>
      </c>
      <c r="B1367" s="9">
        <v>464.0</v>
      </c>
      <c r="C1367" s="9">
        <v>463.0</v>
      </c>
      <c r="D1367" s="9">
        <v>173.0</v>
      </c>
      <c r="E1367" s="9">
        <v>23.0</v>
      </c>
      <c r="F1367" s="14"/>
      <c r="G1367" s="15"/>
      <c r="H1367" s="15"/>
      <c r="I1367" s="14"/>
      <c r="P1367" s="14"/>
    </row>
    <row r="1368" ht="18.75" customHeight="1">
      <c r="A1368" s="7" t="s">
        <v>2922</v>
      </c>
      <c r="B1368" s="9">
        <v>21395.0</v>
      </c>
      <c r="C1368" s="9">
        <v>17394.0</v>
      </c>
      <c r="D1368" s="9">
        <v>4761.0</v>
      </c>
      <c r="E1368" s="9">
        <v>7.0</v>
      </c>
      <c r="F1368" s="14"/>
      <c r="G1368" s="15"/>
      <c r="H1368" s="15"/>
      <c r="I1368" s="14"/>
      <c r="P1368" s="14"/>
    </row>
    <row r="1369" ht="18.75" customHeight="1">
      <c r="A1369" s="7" t="s">
        <v>2923</v>
      </c>
      <c r="B1369" s="9">
        <v>357.0</v>
      </c>
      <c r="C1369" s="9">
        <v>345.0</v>
      </c>
      <c r="D1369" s="9">
        <v>178.0</v>
      </c>
      <c r="E1369" s="9">
        <v>70.0</v>
      </c>
      <c r="F1369" s="14"/>
      <c r="G1369" s="15"/>
      <c r="H1369" s="15"/>
      <c r="I1369" s="14"/>
      <c r="P1369" s="14"/>
    </row>
    <row r="1370" ht="18.75" customHeight="1">
      <c r="A1370" s="7" t="s">
        <v>2924</v>
      </c>
      <c r="B1370" s="9">
        <v>313.0</v>
      </c>
      <c r="C1370" s="9">
        <v>305.0</v>
      </c>
      <c r="D1370" s="9">
        <v>149.0</v>
      </c>
      <c r="E1370" s="9">
        <v>23.0</v>
      </c>
      <c r="F1370" s="14"/>
      <c r="G1370" s="15"/>
      <c r="H1370" s="15"/>
      <c r="I1370" s="14"/>
      <c r="P1370" s="14"/>
    </row>
    <row r="1371" ht="18.75" customHeight="1">
      <c r="A1371" s="7" t="s">
        <v>2925</v>
      </c>
      <c r="B1371" s="9">
        <v>347.0</v>
      </c>
      <c r="C1371" s="9">
        <v>337.0</v>
      </c>
      <c r="D1371" s="9">
        <v>152.0</v>
      </c>
      <c r="E1371" s="9">
        <v>63.0</v>
      </c>
      <c r="F1371" s="14"/>
      <c r="G1371" s="15"/>
      <c r="H1371" s="15"/>
      <c r="I1371" s="14"/>
      <c r="P1371" s="14"/>
    </row>
    <row r="1372" ht="18.75" customHeight="1">
      <c r="A1372" s="7" t="s">
        <v>2926</v>
      </c>
      <c r="B1372" s="9">
        <v>311.0</v>
      </c>
      <c r="C1372" s="9">
        <v>304.0</v>
      </c>
      <c r="D1372" s="9">
        <v>153.0</v>
      </c>
      <c r="E1372" s="9">
        <v>21.0</v>
      </c>
      <c r="F1372" s="14"/>
      <c r="G1372" s="15"/>
      <c r="H1372" s="15"/>
      <c r="I1372" s="14"/>
      <c r="P1372" s="14"/>
    </row>
    <row r="1373" ht="18.75" customHeight="1">
      <c r="A1373" s="7" t="s">
        <v>2927</v>
      </c>
      <c r="B1373" s="9">
        <v>200.0</v>
      </c>
      <c r="C1373" s="9">
        <v>192.0</v>
      </c>
      <c r="D1373" s="9">
        <v>106.0</v>
      </c>
      <c r="E1373" s="9">
        <v>11.0</v>
      </c>
      <c r="F1373" s="14"/>
      <c r="G1373" s="15"/>
      <c r="H1373" s="15"/>
      <c r="I1373" s="14"/>
      <c r="P1373" s="14"/>
    </row>
    <row r="1374" ht="18.75" customHeight="1">
      <c r="A1374" s="7" t="s">
        <v>2928</v>
      </c>
      <c r="B1374" s="9">
        <v>363.0</v>
      </c>
      <c r="C1374" s="9">
        <v>349.0</v>
      </c>
      <c r="D1374" s="9">
        <v>172.0</v>
      </c>
      <c r="E1374" s="9">
        <v>59.0</v>
      </c>
      <c r="F1374" s="14"/>
      <c r="G1374" s="15"/>
      <c r="H1374" s="15"/>
      <c r="I1374" s="14"/>
      <c r="P1374" s="14"/>
    </row>
    <row r="1375" ht="18.75" customHeight="1">
      <c r="A1375" s="7" t="s">
        <v>2929</v>
      </c>
      <c r="B1375" s="9">
        <v>361.0</v>
      </c>
      <c r="C1375" s="9">
        <v>352.0</v>
      </c>
      <c r="D1375" s="9">
        <v>166.0</v>
      </c>
      <c r="E1375" s="9">
        <v>65.0</v>
      </c>
      <c r="F1375" s="14"/>
      <c r="G1375" s="15"/>
      <c r="H1375" s="15"/>
      <c r="I1375" s="14"/>
      <c r="P1375" s="14"/>
    </row>
    <row r="1376" ht="18.75" customHeight="1">
      <c r="A1376" s="7" t="s">
        <v>2930</v>
      </c>
      <c r="B1376" s="9">
        <v>3152.0</v>
      </c>
      <c r="C1376" s="9">
        <v>3133.0</v>
      </c>
      <c r="D1376" s="9">
        <v>1255.0</v>
      </c>
      <c r="E1376" s="9">
        <v>190.0</v>
      </c>
      <c r="F1376" s="14"/>
      <c r="G1376" s="15"/>
      <c r="H1376" s="15"/>
      <c r="I1376" s="14"/>
      <c r="P1376" s="14"/>
    </row>
    <row r="1377" ht="18.75" customHeight="1">
      <c r="A1377" s="7" t="s">
        <v>2931</v>
      </c>
      <c r="B1377" s="9">
        <v>311.0</v>
      </c>
      <c r="C1377" s="9">
        <v>304.0</v>
      </c>
      <c r="D1377" s="9">
        <v>142.0</v>
      </c>
      <c r="E1377" s="9">
        <v>21.0</v>
      </c>
      <c r="F1377" s="14"/>
      <c r="G1377" s="15"/>
      <c r="H1377" s="15"/>
      <c r="I1377" s="14"/>
      <c r="P1377" s="14"/>
    </row>
    <row r="1378" ht="18.75" customHeight="1">
      <c r="A1378" s="7" t="s">
        <v>2932</v>
      </c>
      <c r="B1378" s="9">
        <v>321.0</v>
      </c>
      <c r="C1378" s="9">
        <v>316.0</v>
      </c>
      <c r="D1378" s="9">
        <v>144.0</v>
      </c>
      <c r="E1378" s="9">
        <v>19.0</v>
      </c>
      <c r="F1378" s="14"/>
      <c r="G1378" s="15"/>
      <c r="H1378" s="15"/>
      <c r="I1378" s="14"/>
      <c r="P1378" s="14"/>
    </row>
    <row r="1379" ht="18.75" customHeight="1">
      <c r="A1379" s="7" t="s">
        <v>2933</v>
      </c>
      <c r="B1379" s="9">
        <v>2754.0</v>
      </c>
      <c r="C1379" s="9">
        <v>2619.0</v>
      </c>
      <c r="D1379" s="9">
        <v>898.0</v>
      </c>
      <c r="E1379" s="9">
        <v>212.0</v>
      </c>
      <c r="F1379" s="14"/>
      <c r="G1379" s="15"/>
      <c r="H1379" s="15"/>
      <c r="I1379" s="14"/>
      <c r="P1379" s="14"/>
    </row>
    <row r="1380" ht="18.75" customHeight="1">
      <c r="A1380" s="7" t="s">
        <v>2934</v>
      </c>
      <c r="B1380" s="9">
        <v>15323.0</v>
      </c>
      <c r="C1380" s="9">
        <v>15244.0</v>
      </c>
      <c r="D1380" s="9">
        <v>1058.0</v>
      </c>
      <c r="E1380" s="9">
        <v>206.0</v>
      </c>
      <c r="F1380" s="14"/>
      <c r="G1380" s="15"/>
      <c r="H1380" s="15"/>
      <c r="I1380" s="14"/>
      <c r="P1380" s="14"/>
    </row>
    <row r="1381" ht="18.75" customHeight="1">
      <c r="A1381" s="7" t="s">
        <v>2935</v>
      </c>
      <c r="B1381" s="9">
        <v>5529.0</v>
      </c>
      <c r="C1381" s="9">
        <v>5495.0</v>
      </c>
      <c r="D1381" s="9">
        <v>1340.0</v>
      </c>
      <c r="E1381" s="9">
        <v>395.0</v>
      </c>
      <c r="F1381" s="14"/>
      <c r="G1381" s="15"/>
      <c r="H1381" s="15"/>
      <c r="I1381" s="14"/>
      <c r="P1381" s="14"/>
    </row>
    <row r="1382" ht="18.75" customHeight="1">
      <c r="A1382" s="7" t="s">
        <v>2936</v>
      </c>
      <c r="B1382" s="9">
        <v>282.0</v>
      </c>
      <c r="C1382" s="9">
        <v>270.0</v>
      </c>
      <c r="D1382" s="9">
        <v>131.0</v>
      </c>
      <c r="E1382" s="9">
        <v>20.0</v>
      </c>
      <c r="F1382" s="14"/>
      <c r="G1382" s="15"/>
      <c r="H1382" s="15"/>
      <c r="I1382" s="14"/>
      <c r="P1382" s="14"/>
    </row>
    <row r="1383" ht="18.75" customHeight="1">
      <c r="A1383" s="7" t="s">
        <v>2937</v>
      </c>
      <c r="B1383" s="9">
        <v>314.0</v>
      </c>
      <c r="C1383" s="9">
        <v>304.0</v>
      </c>
      <c r="D1383" s="9">
        <v>155.0</v>
      </c>
      <c r="E1383" s="9">
        <v>22.0</v>
      </c>
      <c r="F1383" s="14"/>
      <c r="G1383" s="15"/>
      <c r="H1383" s="15"/>
      <c r="I1383" s="14"/>
      <c r="P1383" s="14"/>
    </row>
    <row r="1384" ht="18.75" customHeight="1">
      <c r="A1384" s="7" t="s">
        <v>2938</v>
      </c>
      <c r="B1384" s="9">
        <v>364.0</v>
      </c>
      <c r="C1384" s="9">
        <v>352.0</v>
      </c>
      <c r="D1384" s="9">
        <v>170.0</v>
      </c>
      <c r="E1384" s="9">
        <v>69.0</v>
      </c>
      <c r="F1384" s="14"/>
      <c r="G1384" s="15"/>
      <c r="H1384" s="15"/>
      <c r="I1384" s="14"/>
      <c r="P1384" s="14"/>
    </row>
    <row r="1385" ht="18.75" customHeight="1">
      <c r="A1385" s="7" t="s">
        <v>2939</v>
      </c>
      <c r="B1385" s="9">
        <v>318.0</v>
      </c>
      <c r="C1385" s="9">
        <v>315.0</v>
      </c>
      <c r="D1385" s="9">
        <v>147.0</v>
      </c>
      <c r="E1385" s="9">
        <v>25.0</v>
      </c>
      <c r="F1385" s="14"/>
      <c r="G1385" s="15"/>
      <c r="H1385" s="15"/>
      <c r="I1385" s="14"/>
      <c r="P1385" s="14"/>
    </row>
    <row r="1386" ht="18.75" customHeight="1">
      <c r="A1386" s="7" t="s">
        <v>2940</v>
      </c>
      <c r="B1386" s="9">
        <v>294.0</v>
      </c>
      <c r="C1386" s="9">
        <v>290.0</v>
      </c>
      <c r="D1386" s="9">
        <v>130.0</v>
      </c>
      <c r="E1386" s="9">
        <v>19.0</v>
      </c>
      <c r="F1386" s="14"/>
      <c r="G1386" s="15"/>
      <c r="H1386" s="15"/>
      <c r="I1386" s="14"/>
      <c r="P1386" s="14"/>
    </row>
    <row r="1387" ht="18.75" customHeight="1">
      <c r="A1387" s="7" t="s">
        <v>2941</v>
      </c>
      <c r="B1387" s="9">
        <v>297.0</v>
      </c>
      <c r="C1387" s="9">
        <v>293.0</v>
      </c>
      <c r="D1387" s="9">
        <v>127.0</v>
      </c>
      <c r="E1387" s="9">
        <v>17.0</v>
      </c>
      <c r="F1387" s="14"/>
      <c r="G1387" s="15"/>
      <c r="H1387" s="15"/>
      <c r="I1387" s="14"/>
      <c r="P1387" s="14"/>
    </row>
    <row r="1388" ht="18.75" customHeight="1">
      <c r="A1388" s="7" t="s">
        <v>2942</v>
      </c>
      <c r="B1388" s="9">
        <v>946.0</v>
      </c>
      <c r="C1388" s="9">
        <v>908.0</v>
      </c>
      <c r="D1388" s="9">
        <v>434.0</v>
      </c>
      <c r="E1388" s="9">
        <v>76.0</v>
      </c>
      <c r="F1388" s="14"/>
      <c r="G1388" s="15"/>
      <c r="H1388" s="15"/>
      <c r="I1388" s="14"/>
      <c r="P1388" s="14"/>
    </row>
    <row r="1389" ht="18.75" customHeight="1">
      <c r="A1389" s="7" t="s">
        <v>2943</v>
      </c>
      <c r="B1389" s="9">
        <v>1206.0</v>
      </c>
      <c r="C1389" s="9">
        <v>1199.0</v>
      </c>
      <c r="D1389" s="9">
        <v>508.0</v>
      </c>
      <c r="E1389" s="9">
        <v>21.0</v>
      </c>
      <c r="F1389" s="14"/>
      <c r="G1389" s="15"/>
      <c r="H1389" s="15"/>
      <c r="I1389" s="14"/>
      <c r="P1389" s="14"/>
    </row>
    <row r="1390" ht="18.75" customHeight="1">
      <c r="A1390" s="7" t="s">
        <v>2944</v>
      </c>
      <c r="B1390" s="9">
        <v>1118.0</v>
      </c>
      <c r="C1390" s="9">
        <v>1108.0</v>
      </c>
      <c r="D1390" s="9">
        <v>553.0</v>
      </c>
      <c r="E1390" s="9">
        <v>51.0</v>
      </c>
      <c r="F1390" s="14"/>
      <c r="G1390" s="15"/>
      <c r="H1390" s="15"/>
      <c r="I1390" s="14"/>
      <c r="P1390" s="14"/>
    </row>
    <row r="1391" ht="18.75" customHeight="1">
      <c r="A1391" s="7" t="s">
        <v>2945</v>
      </c>
      <c r="B1391" s="9">
        <v>16317.0</v>
      </c>
      <c r="C1391" s="9">
        <v>16257.0</v>
      </c>
      <c r="D1391" s="9">
        <v>8458.0</v>
      </c>
      <c r="E1391" s="9">
        <v>216.0</v>
      </c>
      <c r="F1391" s="14"/>
      <c r="G1391" s="15"/>
      <c r="H1391" s="15"/>
      <c r="I1391" s="14"/>
      <c r="P1391" s="14"/>
    </row>
    <row r="1392" ht="18.75" customHeight="1">
      <c r="A1392" s="7" t="s">
        <v>2946</v>
      </c>
      <c r="B1392" s="9">
        <v>7224.0</v>
      </c>
      <c r="C1392" s="9">
        <v>7181.0</v>
      </c>
      <c r="D1392" s="9">
        <v>2638.0</v>
      </c>
      <c r="E1392" s="9">
        <v>17.0</v>
      </c>
      <c r="F1392" s="14"/>
      <c r="G1392" s="15"/>
      <c r="H1392" s="15"/>
      <c r="I1392" s="14"/>
      <c r="P1392" s="14"/>
    </row>
    <row r="1393" ht="18.75" customHeight="1">
      <c r="A1393" s="7" t="s">
        <v>2947</v>
      </c>
      <c r="B1393" s="9">
        <v>7230.0</v>
      </c>
      <c r="C1393" s="9">
        <v>7188.0</v>
      </c>
      <c r="D1393" s="9">
        <v>2639.0</v>
      </c>
      <c r="E1393" s="9">
        <v>4.0</v>
      </c>
      <c r="F1393" s="14"/>
      <c r="G1393" s="15"/>
      <c r="H1393" s="15"/>
      <c r="I1393" s="14"/>
      <c r="P1393" s="14"/>
    </row>
    <row r="1394" ht="18.75" customHeight="1">
      <c r="A1394" s="7" t="s">
        <v>2948</v>
      </c>
      <c r="B1394" s="9">
        <v>3570.0</v>
      </c>
      <c r="C1394" s="9">
        <v>3561.0</v>
      </c>
      <c r="D1394" s="9">
        <v>1223.0</v>
      </c>
      <c r="E1394" s="9">
        <v>7.0</v>
      </c>
      <c r="F1394" s="14"/>
      <c r="G1394" s="15"/>
      <c r="H1394" s="15"/>
      <c r="I1394" s="14"/>
      <c r="P1394" s="14"/>
    </row>
    <row r="1395" ht="18.75" customHeight="1">
      <c r="A1395" s="7" t="s">
        <v>2949</v>
      </c>
      <c r="B1395" s="9">
        <v>388.0</v>
      </c>
      <c r="C1395" s="9">
        <v>386.0</v>
      </c>
      <c r="D1395" s="9">
        <v>151.0</v>
      </c>
      <c r="E1395" s="9">
        <v>2.0</v>
      </c>
      <c r="F1395" s="14"/>
      <c r="G1395" s="15"/>
      <c r="H1395" s="15"/>
      <c r="I1395" s="14"/>
      <c r="P1395" s="14"/>
    </row>
    <row r="1396" ht="18.75" customHeight="1">
      <c r="A1396" s="7" t="s">
        <v>2950</v>
      </c>
      <c r="B1396" s="9">
        <v>499.0</v>
      </c>
      <c r="C1396" s="9">
        <v>496.0</v>
      </c>
      <c r="D1396" s="9">
        <v>177.0</v>
      </c>
      <c r="E1396" s="9">
        <v>16.0</v>
      </c>
      <c r="F1396" s="14"/>
      <c r="G1396" s="15"/>
      <c r="H1396" s="15"/>
      <c r="I1396" s="14"/>
      <c r="P1396" s="14"/>
    </row>
    <row r="1397" ht="18.75" customHeight="1">
      <c r="A1397" s="7" t="s">
        <v>2951</v>
      </c>
      <c r="B1397" s="9">
        <v>494.0</v>
      </c>
      <c r="C1397" s="9">
        <v>492.0</v>
      </c>
      <c r="D1397" s="9">
        <v>154.0</v>
      </c>
      <c r="E1397" s="9">
        <v>11.0</v>
      </c>
      <c r="F1397" s="14"/>
      <c r="G1397" s="15"/>
      <c r="H1397" s="15"/>
      <c r="I1397" s="14"/>
      <c r="P1397" s="14"/>
    </row>
    <row r="1398" ht="18.75" customHeight="1">
      <c r="A1398" s="7" t="s">
        <v>2952</v>
      </c>
      <c r="B1398" s="9">
        <v>497.0</v>
      </c>
      <c r="C1398" s="9">
        <v>492.0</v>
      </c>
      <c r="D1398" s="9">
        <v>211.0</v>
      </c>
      <c r="E1398" s="9">
        <v>2.0</v>
      </c>
      <c r="F1398" s="14"/>
      <c r="G1398" s="15"/>
      <c r="H1398" s="15"/>
      <c r="I1398" s="14"/>
      <c r="P1398" s="14"/>
    </row>
    <row r="1399" ht="18.75" customHeight="1">
      <c r="A1399" s="7" t="s">
        <v>2953</v>
      </c>
      <c r="B1399" s="9">
        <v>7099.0</v>
      </c>
      <c r="C1399" s="9">
        <v>7053.0</v>
      </c>
      <c r="D1399" s="9">
        <v>2023.0</v>
      </c>
      <c r="E1399" s="9">
        <v>4.0</v>
      </c>
      <c r="F1399" s="14"/>
      <c r="G1399" s="15"/>
      <c r="H1399" s="15"/>
      <c r="I1399" s="14"/>
      <c r="P1399" s="14"/>
    </row>
    <row r="1400" ht="18.75" customHeight="1">
      <c r="A1400" s="7" t="s">
        <v>2636</v>
      </c>
      <c r="B1400" s="9">
        <v>6352.0</v>
      </c>
      <c r="C1400" s="9">
        <v>6300.0</v>
      </c>
      <c r="D1400" s="9">
        <v>3210.0</v>
      </c>
      <c r="E1400" s="9">
        <v>1346.0</v>
      </c>
      <c r="F1400" s="14"/>
      <c r="G1400" s="15"/>
      <c r="H1400" s="15"/>
      <c r="I1400" s="14"/>
      <c r="P1400" s="14"/>
    </row>
    <row r="1401" ht="18.75" customHeight="1">
      <c r="A1401" s="7" t="s">
        <v>2636</v>
      </c>
      <c r="B1401" s="9">
        <v>4584.0</v>
      </c>
      <c r="C1401" s="9">
        <v>4530.0</v>
      </c>
      <c r="D1401" s="9">
        <v>2151.0</v>
      </c>
      <c r="E1401" s="9">
        <v>771.0</v>
      </c>
      <c r="F1401" s="14"/>
      <c r="G1401" s="15"/>
      <c r="H1401" s="15"/>
      <c r="I1401" s="14"/>
      <c r="P1401" s="14"/>
    </row>
    <row r="1402" ht="18.75" customHeight="1">
      <c r="A1402" s="7" t="s">
        <v>2954</v>
      </c>
      <c r="B1402" s="9">
        <v>1417.0</v>
      </c>
      <c r="C1402" s="9">
        <v>1397.0</v>
      </c>
      <c r="D1402" s="9">
        <v>828.0</v>
      </c>
      <c r="E1402" s="9">
        <v>28.0</v>
      </c>
      <c r="F1402" s="14"/>
      <c r="G1402" s="15"/>
      <c r="H1402" s="15"/>
      <c r="I1402" s="14"/>
      <c r="P1402" s="14"/>
    </row>
    <row r="1403" ht="18.75" customHeight="1">
      <c r="A1403" s="7" t="s">
        <v>2955</v>
      </c>
      <c r="B1403" s="9">
        <v>9.0</v>
      </c>
      <c r="C1403" s="9">
        <v>9.0</v>
      </c>
      <c r="D1403" s="9">
        <v>4.0</v>
      </c>
      <c r="E1403" s="9">
        <v>0.0</v>
      </c>
      <c r="F1403" s="14"/>
      <c r="G1403" s="15"/>
      <c r="H1403" s="15"/>
      <c r="I1403" s="14"/>
      <c r="P1403" s="14"/>
    </row>
    <row r="1404" ht="18.75" customHeight="1">
      <c r="A1404" s="7" t="s">
        <v>2956</v>
      </c>
      <c r="B1404" s="9">
        <v>53.0</v>
      </c>
      <c r="C1404" s="9">
        <v>40.0</v>
      </c>
      <c r="D1404" s="9">
        <v>19.0</v>
      </c>
      <c r="E1404" s="9">
        <v>1.0</v>
      </c>
      <c r="F1404" s="14"/>
      <c r="G1404" s="15"/>
      <c r="H1404" s="15"/>
      <c r="I1404" s="14"/>
      <c r="P1404" s="14"/>
    </row>
    <row r="1405" ht="18.75" customHeight="1">
      <c r="A1405" s="7" t="s">
        <v>2957</v>
      </c>
      <c r="B1405" s="9">
        <v>317.0</v>
      </c>
      <c r="C1405" s="9">
        <v>316.0</v>
      </c>
      <c r="D1405" s="9">
        <v>213.0</v>
      </c>
      <c r="E1405" s="9">
        <v>87.0</v>
      </c>
      <c r="F1405" s="14"/>
      <c r="G1405" s="15"/>
      <c r="H1405" s="15"/>
      <c r="I1405" s="14"/>
      <c r="P1405" s="14"/>
    </row>
    <row r="1406" ht="18.75" customHeight="1">
      <c r="A1406" s="7" t="s">
        <v>2957</v>
      </c>
      <c r="B1406" s="9">
        <v>62.0</v>
      </c>
      <c r="C1406" s="9">
        <v>62.0</v>
      </c>
      <c r="D1406" s="9">
        <v>34.0</v>
      </c>
      <c r="E1406" s="9">
        <v>5.0</v>
      </c>
      <c r="F1406" s="14"/>
      <c r="G1406" s="15"/>
      <c r="H1406" s="15"/>
      <c r="I1406" s="14"/>
      <c r="P1406" s="14"/>
    </row>
    <row r="1407" ht="18.75" customHeight="1">
      <c r="A1407" s="7" t="s">
        <v>2901</v>
      </c>
      <c r="B1407" s="9">
        <v>31548.0</v>
      </c>
      <c r="C1407" s="9">
        <v>31500.0</v>
      </c>
      <c r="D1407" s="9">
        <v>14631.0</v>
      </c>
      <c r="E1407" s="9">
        <v>3080.0</v>
      </c>
      <c r="F1407" s="14"/>
      <c r="G1407" s="15"/>
      <c r="H1407" s="15"/>
      <c r="I1407" s="14"/>
      <c r="P1407" s="14"/>
    </row>
    <row r="1408" ht="18.75" customHeight="1">
      <c r="A1408" s="7" t="s">
        <v>2901</v>
      </c>
      <c r="B1408" s="9">
        <v>8657.0</v>
      </c>
      <c r="C1408" s="9">
        <v>8611.0</v>
      </c>
      <c r="D1408" s="9">
        <v>3862.0</v>
      </c>
      <c r="E1408" s="9">
        <v>417.0</v>
      </c>
      <c r="F1408" s="14"/>
      <c r="G1408" s="15"/>
      <c r="H1408" s="15"/>
      <c r="I1408" s="14"/>
      <c r="P1408" s="14"/>
    </row>
    <row r="1409" ht="18.75" customHeight="1">
      <c r="A1409" s="7" t="s">
        <v>2901</v>
      </c>
      <c r="B1409" s="9">
        <v>8265.0</v>
      </c>
      <c r="C1409" s="9">
        <v>8234.0</v>
      </c>
      <c r="D1409" s="9">
        <v>3138.0</v>
      </c>
      <c r="E1409" s="9">
        <v>566.0</v>
      </c>
      <c r="F1409" s="14"/>
      <c r="G1409" s="15"/>
      <c r="H1409" s="15"/>
      <c r="I1409" s="14"/>
      <c r="P1409" s="14"/>
    </row>
    <row r="1410" ht="18.75" customHeight="1">
      <c r="A1410" s="7" t="s">
        <v>2901</v>
      </c>
      <c r="B1410" s="9">
        <v>30849.0</v>
      </c>
      <c r="C1410" s="9">
        <v>30803.0</v>
      </c>
      <c r="D1410" s="9">
        <v>13302.0</v>
      </c>
      <c r="E1410" s="9">
        <v>2866.0</v>
      </c>
      <c r="F1410" s="14"/>
      <c r="G1410" s="15"/>
      <c r="H1410" s="15"/>
      <c r="I1410" s="14"/>
      <c r="P1410" s="14"/>
    </row>
    <row r="1411" ht="18.75" customHeight="1">
      <c r="A1411" s="7" t="s">
        <v>2901</v>
      </c>
      <c r="B1411" s="9">
        <v>8244.0</v>
      </c>
      <c r="C1411" s="9">
        <v>8218.0</v>
      </c>
      <c r="D1411" s="9">
        <v>3134.0</v>
      </c>
      <c r="E1411" s="9">
        <v>539.0</v>
      </c>
      <c r="F1411" s="14"/>
      <c r="G1411" s="15"/>
      <c r="H1411" s="15"/>
      <c r="I1411" s="14"/>
      <c r="P1411" s="14"/>
    </row>
    <row r="1412" ht="18.75" customHeight="1">
      <c r="A1412" s="7" t="s">
        <v>2901</v>
      </c>
      <c r="B1412" s="9">
        <v>19834.0</v>
      </c>
      <c r="C1412" s="9">
        <v>19800.0</v>
      </c>
      <c r="D1412" s="9">
        <v>10161.0</v>
      </c>
      <c r="E1412" s="9">
        <v>2591.0</v>
      </c>
      <c r="F1412" s="14"/>
      <c r="G1412" s="15"/>
      <c r="H1412" s="15"/>
      <c r="I1412" s="14"/>
      <c r="P1412" s="14"/>
    </row>
    <row r="1413" ht="18.75" customHeight="1">
      <c r="A1413" s="7" t="s">
        <v>2901</v>
      </c>
      <c r="B1413" s="9">
        <v>4549.0</v>
      </c>
      <c r="C1413" s="9">
        <v>4544.0</v>
      </c>
      <c r="D1413" s="9">
        <v>2040.0</v>
      </c>
      <c r="E1413" s="9">
        <v>427.0</v>
      </c>
      <c r="F1413" s="14"/>
      <c r="G1413" s="15"/>
      <c r="H1413" s="15"/>
      <c r="I1413" s="14"/>
      <c r="P1413" s="14"/>
    </row>
    <row r="1414" ht="18.75" customHeight="1">
      <c r="A1414" s="7" t="s">
        <v>2901</v>
      </c>
      <c r="B1414" s="9">
        <v>31378.0</v>
      </c>
      <c r="C1414" s="9">
        <v>31338.0</v>
      </c>
      <c r="D1414" s="9">
        <v>15265.0</v>
      </c>
      <c r="E1414" s="9">
        <v>3274.0</v>
      </c>
      <c r="F1414" s="14"/>
      <c r="G1414" s="15"/>
      <c r="H1414" s="15"/>
      <c r="I1414" s="14"/>
      <c r="P1414" s="14"/>
    </row>
    <row r="1415" ht="18.75" customHeight="1">
      <c r="A1415" s="7" t="s">
        <v>2901</v>
      </c>
      <c r="B1415" s="9">
        <v>8258.0</v>
      </c>
      <c r="C1415" s="9">
        <v>8235.0</v>
      </c>
      <c r="D1415" s="9">
        <v>3238.0</v>
      </c>
      <c r="E1415" s="9">
        <v>665.0</v>
      </c>
      <c r="F1415" s="14"/>
      <c r="G1415" s="15"/>
      <c r="H1415" s="15"/>
      <c r="I1415" s="14"/>
      <c r="P1415" s="14"/>
    </row>
    <row r="1416" ht="18.75" customHeight="1">
      <c r="A1416" s="7" t="s">
        <v>2901</v>
      </c>
      <c r="B1416" s="9">
        <v>431.0</v>
      </c>
      <c r="C1416" s="9">
        <v>429.0</v>
      </c>
      <c r="D1416" s="9">
        <v>173.0</v>
      </c>
      <c r="E1416" s="9">
        <v>11.0</v>
      </c>
      <c r="F1416" s="14"/>
      <c r="G1416" s="15"/>
      <c r="H1416" s="15"/>
      <c r="I1416" s="14"/>
      <c r="P1416" s="14"/>
    </row>
    <row r="1417" ht="18.75" customHeight="1">
      <c r="A1417" s="7" t="s">
        <v>2958</v>
      </c>
      <c r="B1417" s="9">
        <v>14091.0</v>
      </c>
      <c r="C1417" s="9">
        <v>13679.0</v>
      </c>
      <c r="D1417" s="9">
        <v>3705.0</v>
      </c>
      <c r="E1417" s="9">
        <v>444.0</v>
      </c>
      <c r="F1417" s="14"/>
      <c r="G1417" s="15"/>
      <c r="H1417" s="15"/>
      <c r="I1417" s="14"/>
      <c r="P1417" s="14"/>
    </row>
    <row r="1418" ht="18.75" customHeight="1">
      <c r="A1418" s="7" t="s">
        <v>2842</v>
      </c>
      <c r="B1418" s="9">
        <v>4645.0</v>
      </c>
      <c r="C1418" s="9">
        <v>4536.0</v>
      </c>
      <c r="D1418" s="9">
        <v>1389.0</v>
      </c>
      <c r="E1418" s="9">
        <v>142.0</v>
      </c>
      <c r="F1418" s="14"/>
      <c r="G1418" s="15"/>
      <c r="H1418" s="15"/>
      <c r="I1418" s="14"/>
      <c r="P1418" s="14"/>
    </row>
    <row r="1419" ht="18.75" customHeight="1">
      <c r="A1419" s="7" t="s">
        <v>2959</v>
      </c>
      <c r="B1419" s="9">
        <v>67986.0</v>
      </c>
      <c r="C1419" s="9">
        <v>66753.0</v>
      </c>
      <c r="D1419" s="9">
        <v>16564.0</v>
      </c>
      <c r="E1419" s="9">
        <v>773.0</v>
      </c>
      <c r="F1419" s="14"/>
      <c r="G1419" s="15"/>
      <c r="H1419" s="15"/>
      <c r="I1419" s="14"/>
      <c r="P1419" s="14"/>
    </row>
    <row r="1420" ht="18.75" customHeight="1">
      <c r="A1420" s="7" t="s">
        <v>2960</v>
      </c>
      <c r="B1420" s="9">
        <v>1766.0</v>
      </c>
      <c r="C1420" s="9">
        <v>1756.0</v>
      </c>
      <c r="D1420" s="9">
        <v>1124.0</v>
      </c>
      <c r="E1420" s="9">
        <v>379.0</v>
      </c>
      <c r="F1420" s="14"/>
      <c r="G1420" s="15"/>
      <c r="H1420" s="15"/>
      <c r="I1420" s="14"/>
      <c r="P1420" s="14"/>
    </row>
    <row r="1421" ht="18.75" customHeight="1">
      <c r="A1421" s="7" t="s">
        <v>2960</v>
      </c>
      <c r="B1421" s="9">
        <v>382.0</v>
      </c>
      <c r="C1421" s="9">
        <v>380.0</v>
      </c>
      <c r="D1421" s="9">
        <v>215.0</v>
      </c>
      <c r="E1421" s="9">
        <v>31.0</v>
      </c>
      <c r="F1421" s="14"/>
      <c r="G1421" s="15"/>
      <c r="H1421" s="15"/>
      <c r="I1421" s="14"/>
      <c r="P1421" s="14"/>
    </row>
    <row r="1422" ht="18.75" customHeight="1">
      <c r="A1422" s="7" t="s">
        <v>2865</v>
      </c>
      <c r="B1422" s="9">
        <v>323.0</v>
      </c>
      <c r="C1422" s="9">
        <v>319.0</v>
      </c>
      <c r="D1422" s="9">
        <v>145.0</v>
      </c>
      <c r="E1422" s="9">
        <v>27.0</v>
      </c>
      <c r="F1422" s="14"/>
      <c r="G1422" s="15"/>
      <c r="H1422" s="15"/>
      <c r="I1422" s="14"/>
      <c r="P1422" s="14"/>
    </row>
    <row r="1423" ht="18.75" customHeight="1">
      <c r="A1423" s="7" t="s">
        <v>2959</v>
      </c>
      <c r="B1423" s="9">
        <v>372.0</v>
      </c>
      <c r="C1423" s="9">
        <v>371.0</v>
      </c>
      <c r="D1423" s="9">
        <v>147.0</v>
      </c>
      <c r="E1423" s="9">
        <v>22.0</v>
      </c>
      <c r="F1423" s="14"/>
      <c r="G1423" s="15"/>
      <c r="H1423" s="15"/>
      <c r="I1423" s="14"/>
      <c r="P1423" s="14"/>
    </row>
    <row r="1424" ht="18.75" customHeight="1">
      <c r="A1424" s="7" t="s">
        <v>2961</v>
      </c>
      <c r="B1424" s="9">
        <v>379.0</v>
      </c>
      <c r="C1424" s="9">
        <v>377.0</v>
      </c>
      <c r="D1424" s="9">
        <v>197.0</v>
      </c>
      <c r="E1424" s="9">
        <v>21.0</v>
      </c>
      <c r="F1424" s="14"/>
      <c r="G1424" s="15"/>
      <c r="H1424" s="15"/>
      <c r="I1424" s="14"/>
      <c r="P1424" s="14"/>
    </row>
    <row r="1425" ht="18.75" customHeight="1">
      <c r="A1425" s="7" t="s">
        <v>2962</v>
      </c>
      <c r="B1425" s="9">
        <v>82351.0</v>
      </c>
      <c r="C1425" s="9">
        <v>81365.0</v>
      </c>
      <c r="D1425" s="9">
        <v>24994.0</v>
      </c>
      <c r="E1425" s="9">
        <v>344.0</v>
      </c>
      <c r="F1425" s="14"/>
      <c r="G1425" s="15"/>
      <c r="H1425" s="15"/>
      <c r="I1425" s="14"/>
      <c r="P1425" s="14"/>
    </row>
    <row r="1426" ht="18.75" customHeight="1">
      <c r="A1426" s="7" t="s">
        <v>2963</v>
      </c>
      <c r="B1426" s="9">
        <v>3297.0</v>
      </c>
      <c r="C1426" s="9">
        <v>3213.0</v>
      </c>
      <c r="D1426" s="9">
        <v>756.0</v>
      </c>
      <c r="E1426" s="9">
        <v>5.0</v>
      </c>
      <c r="F1426" s="14"/>
      <c r="G1426" s="15"/>
      <c r="H1426" s="15"/>
      <c r="I1426" s="14"/>
      <c r="P1426" s="14"/>
    </row>
    <row r="1427" ht="18.75" customHeight="1">
      <c r="A1427" s="7" t="s">
        <v>2963</v>
      </c>
      <c r="B1427" s="9">
        <v>4328.0</v>
      </c>
      <c r="C1427" s="9">
        <v>4213.0</v>
      </c>
      <c r="D1427" s="9">
        <v>1180.0</v>
      </c>
      <c r="E1427" s="9">
        <v>5.0</v>
      </c>
      <c r="F1427" s="14"/>
      <c r="G1427" s="15"/>
      <c r="H1427" s="15"/>
      <c r="I1427" s="14"/>
      <c r="P1427" s="14"/>
    </row>
    <row r="1428" ht="18.75" customHeight="1">
      <c r="A1428" s="7" t="s">
        <v>2964</v>
      </c>
      <c r="B1428" s="9">
        <v>32066.0</v>
      </c>
      <c r="C1428" s="9">
        <v>31421.0</v>
      </c>
      <c r="D1428" s="9">
        <v>8833.0</v>
      </c>
      <c r="E1428" s="9">
        <v>166.0</v>
      </c>
      <c r="F1428" s="14"/>
      <c r="G1428" s="15"/>
      <c r="H1428" s="15"/>
      <c r="I1428" s="14"/>
      <c r="P1428" s="14"/>
    </row>
    <row r="1429" ht="18.75" customHeight="1">
      <c r="A1429" s="7" t="s">
        <v>2965</v>
      </c>
      <c r="B1429" s="9">
        <v>42339.0</v>
      </c>
      <c r="C1429" s="9">
        <v>41778.0</v>
      </c>
      <c r="D1429" s="9">
        <v>10747.0</v>
      </c>
      <c r="E1429" s="9">
        <v>350.0</v>
      </c>
      <c r="F1429" s="14"/>
      <c r="G1429" s="15"/>
      <c r="H1429" s="15"/>
      <c r="I1429" s="14"/>
      <c r="P1429" s="14"/>
    </row>
    <row r="1430" ht="18.75" customHeight="1">
      <c r="A1430" s="7" t="s">
        <v>2966</v>
      </c>
      <c r="B1430" s="9">
        <v>54038.0</v>
      </c>
      <c r="C1430" s="9">
        <v>53524.0</v>
      </c>
      <c r="D1430" s="9">
        <v>24872.0</v>
      </c>
      <c r="E1430" s="9">
        <v>404.0</v>
      </c>
      <c r="F1430" s="14"/>
      <c r="G1430" s="15"/>
      <c r="H1430" s="15"/>
      <c r="I1430" s="14"/>
      <c r="P1430" s="14"/>
    </row>
    <row r="1431" ht="18.75" customHeight="1">
      <c r="A1431" s="7" t="s">
        <v>2967</v>
      </c>
      <c r="B1431" s="9">
        <v>83097.0</v>
      </c>
      <c r="C1431" s="9">
        <v>82178.0</v>
      </c>
      <c r="D1431" s="9">
        <v>41391.0</v>
      </c>
      <c r="E1431" s="9">
        <v>625.0</v>
      </c>
      <c r="F1431" s="14"/>
      <c r="G1431" s="15"/>
      <c r="H1431" s="15"/>
      <c r="I1431" s="14"/>
      <c r="P1431" s="14"/>
    </row>
    <row r="1432" ht="18.75" customHeight="1">
      <c r="A1432" s="7" t="s">
        <v>2968</v>
      </c>
      <c r="B1432" s="9">
        <v>54088.0</v>
      </c>
      <c r="C1432" s="9">
        <v>54035.0</v>
      </c>
      <c r="D1432" s="9">
        <v>23634.0</v>
      </c>
      <c r="E1432" s="9">
        <v>351.0</v>
      </c>
      <c r="F1432" s="14"/>
      <c r="G1432" s="15"/>
      <c r="H1432" s="15"/>
      <c r="I1432" s="14"/>
      <c r="P1432" s="14"/>
    </row>
    <row r="1433" ht="18.75" customHeight="1">
      <c r="A1433" s="7" t="s">
        <v>2969</v>
      </c>
      <c r="B1433" s="9">
        <v>48891.0</v>
      </c>
      <c r="C1433" s="9">
        <v>48101.0</v>
      </c>
      <c r="D1433" s="9">
        <v>14421.0</v>
      </c>
      <c r="E1433" s="9">
        <v>414.0</v>
      </c>
      <c r="F1433" s="14"/>
      <c r="G1433" s="15"/>
      <c r="H1433" s="15"/>
      <c r="I1433" s="14"/>
      <c r="P1433" s="14"/>
    </row>
    <row r="1434" ht="18.75" customHeight="1">
      <c r="A1434" s="7" t="s">
        <v>2970</v>
      </c>
      <c r="B1434" s="9">
        <v>136328.0</v>
      </c>
      <c r="C1434" s="9">
        <v>133795.0</v>
      </c>
      <c r="D1434" s="9">
        <v>55704.0</v>
      </c>
      <c r="E1434" s="9">
        <v>2371.0</v>
      </c>
      <c r="F1434" s="14"/>
      <c r="G1434" s="15"/>
      <c r="H1434" s="15"/>
      <c r="I1434" s="14"/>
      <c r="P1434" s="14"/>
    </row>
    <row r="1435" ht="18.75" customHeight="1">
      <c r="A1435" s="7" t="s">
        <v>2971</v>
      </c>
      <c r="B1435" s="9">
        <v>55613.0</v>
      </c>
      <c r="C1435" s="9">
        <v>54581.0</v>
      </c>
      <c r="D1435" s="9">
        <v>15237.0</v>
      </c>
      <c r="E1435" s="9">
        <v>312.0</v>
      </c>
      <c r="F1435" s="14"/>
      <c r="G1435" s="15"/>
      <c r="H1435" s="15"/>
      <c r="I1435" s="14"/>
      <c r="P1435" s="14"/>
    </row>
    <row r="1436" ht="18.75" customHeight="1">
      <c r="A1436" s="7" t="s">
        <v>2972</v>
      </c>
      <c r="B1436" s="9">
        <v>55505.0</v>
      </c>
      <c r="C1436" s="9">
        <v>54447.0</v>
      </c>
      <c r="D1436" s="9">
        <v>15850.0</v>
      </c>
      <c r="E1436" s="9">
        <v>181.0</v>
      </c>
      <c r="F1436" s="14"/>
      <c r="G1436" s="15"/>
      <c r="H1436" s="15"/>
      <c r="I1436" s="14"/>
      <c r="P1436" s="14"/>
    </row>
    <row r="1437" ht="18.75" customHeight="1">
      <c r="A1437" s="7" t="s">
        <v>2965</v>
      </c>
      <c r="B1437" s="9">
        <v>14971.0</v>
      </c>
      <c r="C1437" s="9">
        <v>14762.0</v>
      </c>
      <c r="D1437" s="9">
        <v>3801.0</v>
      </c>
      <c r="E1437" s="9">
        <v>157.0</v>
      </c>
      <c r="F1437" s="14"/>
      <c r="G1437" s="15"/>
      <c r="H1437" s="15"/>
      <c r="I1437" s="14"/>
      <c r="P1437" s="14"/>
    </row>
    <row r="1438" ht="18.75" customHeight="1">
      <c r="A1438" s="7" t="s">
        <v>2973</v>
      </c>
      <c r="B1438" s="9">
        <v>44733.0</v>
      </c>
      <c r="C1438" s="9">
        <v>43823.0</v>
      </c>
      <c r="D1438" s="9">
        <v>12248.0</v>
      </c>
      <c r="E1438" s="9">
        <v>130.0</v>
      </c>
      <c r="F1438" s="14"/>
      <c r="G1438" s="15"/>
      <c r="H1438" s="15"/>
      <c r="I1438" s="14"/>
      <c r="P1438" s="14"/>
    </row>
    <row r="1439" ht="18.75" customHeight="1">
      <c r="A1439" s="7" t="s">
        <v>2974</v>
      </c>
      <c r="B1439" s="9">
        <v>53934.0</v>
      </c>
      <c r="C1439" s="9">
        <v>53498.0</v>
      </c>
      <c r="D1439" s="9">
        <v>31575.0</v>
      </c>
      <c r="E1439" s="9">
        <v>851.0</v>
      </c>
      <c r="F1439" s="14"/>
      <c r="G1439" s="15"/>
      <c r="H1439" s="15"/>
      <c r="I1439" s="14"/>
      <c r="P1439" s="14"/>
    </row>
    <row r="1440" ht="18.75" customHeight="1">
      <c r="A1440" s="7" t="s">
        <v>2975</v>
      </c>
      <c r="B1440" s="9">
        <v>72325.0</v>
      </c>
      <c r="C1440" s="9">
        <v>71061.0</v>
      </c>
      <c r="D1440" s="9">
        <v>12735.0</v>
      </c>
      <c r="E1440" s="9">
        <v>255.0</v>
      </c>
      <c r="F1440" s="14"/>
      <c r="G1440" s="15"/>
      <c r="H1440" s="15"/>
      <c r="I1440" s="14"/>
      <c r="P1440" s="14"/>
    </row>
    <row r="1441" ht="18.75" customHeight="1">
      <c r="A1441" s="7" t="s">
        <v>2976</v>
      </c>
      <c r="B1441" s="9">
        <v>10889.0</v>
      </c>
      <c r="C1441" s="9">
        <v>10648.0</v>
      </c>
      <c r="D1441" s="9">
        <v>1952.0</v>
      </c>
      <c r="E1441" s="9">
        <v>28.0</v>
      </c>
      <c r="F1441" s="14"/>
      <c r="G1441" s="15"/>
      <c r="H1441" s="15"/>
      <c r="I1441" s="14"/>
      <c r="P1441" s="14"/>
    </row>
    <row r="1442" ht="18.75" customHeight="1">
      <c r="A1442" s="7" t="s">
        <v>2977</v>
      </c>
      <c r="B1442" s="9">
        <v>77695.0</v>
      </c>
      <c r="C1442" s="9">
        <v>76158.0</v>
      </c>
      <c r="D1442" s="9">
        <v>14292.0</v>
      </c>
      <c r="E1442" s="9">
        <v>264.0</v>
      </c>
      <c r="F1442" s="14"/>
      <c r="G1442" s="15"/>
      <c r="H1442" s="15"/>
      <c r="I1442" s="14"/>
      <c r="P1442" s="14"/>
    </row>
    <row r="1443" ht="18.75" customHeight="1">
      <c r="A1443" s="7" t="s">
        <v>2978</v>
      </c>
      <c r="B1443" s="9">
        <v>34974.0</v>
      </c>
      <c r="C1443" s="9">
        <v>34211.0</v>
      </c>
      <c r="D1443" s="9">
        <v>6292.0</v>
      </c>
      <c r="E1443" s="9">
        <v>259.0</v>
      </c>
      <c r="F1443" s="14"/>
      <c r="G1443" s="15"/>
      <c r="H1443" s="15"/>
      <c r="I1443" s="14"/>
      <c r="P1443" s="14"/>
    </row>
    <row r="1444" ht="18.75" customHeight="1">
      <c r="A1444" s="7" t="s">
        <v>2979</v>
      </c>
      <c r="B1444" s="9">
        <v>17159.0</v>
      </c>
      <c r="C1444" s="9">
        <v>16943.0</v>
      </c>
      <c r="D1444" s="9">
        <v>6368.0</v>
      </c>
      <c r="E1444" s="9">
        <v>80.0</v>
      </c>
      <c r="F1444" s="14"/>
      <c r="G1444" s="15"/>
      <c r="H1444" s="15"/>
      <c r="I1444" s="14"/>
      <c r="P1444" s="14"/>
    </row>
    <row r="1445" ht="18.75" customHeight="1">
      <c r="A1445" s="7" t="s">
        <v>2980</v>
      </c>
      <c r="B1445" s="9">
        <v>22590.0</v>
      </c>
      <c r="C1445" s="9">
        <v>22115.0</v>
      </c>
      <c r="D1445" s="9">
        <v>3128.0</v>
      </c>
      <c r="E1445" s="9">
        <v>55.0</v>
      </c>
      <c r="F1445" s="14"/>
      <c r="G1445" s="15"/>
      <c r="H1445" s="15"/>
      <c r="I1445" s="14"/>
      <c r="P1445" s="14"/>
    </row>
    <row r="1446" ht="18.75" customHeight="1">
      <c r="A1446" s="7" t="s">
        <v>2981</v>
      </c>
      <c r="B1446" s="9">
        <v>203.0</v>
      </c>
      <c r="C1446" s="9">
        <v>203.0</v>
      </c>
      <c r="D1446" s="9">
        <v>145.0</v>
      </c>
      <c r="E1446" s="9">
        <v>2.0</v>
      </c>
      <c r="F1446" s="14"/>
      <c r="G1446" s="15"/>
      <c r="H1446" s="15"/>
      <c r="I1446" s="14"/>
      <c r="P1446" s="14"/>
    </row>
    <row r="1447" ht="18.75" customHeight="1">
      <c r="A1447" s="7" t="s">
        <v>2982</v>
      </c>
      <c r="B1447" s="9">
        <v>72696.0</v>
      </c>
      <c r="C1447" s="9">
        <v>70974.0</v>
      </c>
      <c r="D1447" s="9">
        <v>11691.0</v>
      </c>
      <c r="E1447" s="9">
        <v>244.0</v>
      </c>
      <c r="F1447" s="14"/>
      <c r="G1447" s="15"/>
      <c r="H1447" s="15"/>
      <c r="I1447" s="14"/>
      <c r="P1447" s="14"/>
    </row>
    <row r="1448" ht="18.75" customHeight="1">
      <c r="A1448" s="7" t="s">
        <v>2983</v>
      </c>
      <c r="B1448" s="9">
        <v>28599.0</v>
      </c>
      <c r="C1448" s="9">
        <v>27957.0</v>
      </c>
      <c r="D1448" s="9">
        <v>7915.0</v>
      </c>
      <c r="E1448" s="9">
        <v>1091.0</v>
      </c>
      <c r="F1448" s="14"/>
      <c r="G1448" s="15"/>
      <c r="H1448" s="15"/>
      <c r="I1448" s="14"/>
      <c r="P1448" s="14"/>
    </row>
    <row r="1449" ht="18.75" customHeight="1">
      <c r="A1449" s="7" t="s">
        <v>2759</v>
      </c>
      <c r="B1449" s="9">
        <v>108164.0</v>
      </c>
      <c r="C1449" s="9">
        <v>106166.0</v>
      </c>
      <c r="D1449" s="9">
        <v>29764.0</v>
      </c>
      <c r="E1449" s="9">
        <v>27.0</v>
      </c>
      <c r="F1449" s="14"/>
      <c r="G1449" s="15"/>
      <c r="H1449" s="15"/>
      <c r="I1449" s="14"/>
      <c r="P1449" s="14"/>
    </row>
    <row r="1450" ht="18.75" customHeight="1">
      <c r="A1450" s="7" t="s">
        <v>2984</v>
      </c>
      <c r="B1450" s="9">
        <v>47260.0</v>
      </c>
      <c r="C1450" s="9">
        <v>46543.0</v>
      </c>
      <c r="D1450" s="9">
        <v>22261.0</v>
      </c>
      <c r="E1450" s="9">
        <v>1176.0</v>
      </c>
      <c r="F1450" s="14"/>
      <c r="G1450" s="15"/>
      <c r="H1450" s="15"/>
      <c r="I1450" s="14"/>
      <c r="P1450" s="14"/>
    </row>
    <row r="1451" ht="18.75" customHeight="1">
      <c r="A1451" s="7" t="s">
        <v>2985</v>
      </c>
      <c r="B1451" s="9">
        <v>46667.0</v>
      </c>
      <c r="C1451" s="9">
        <v>40068.0</v>
      </c>
      <c r="D1451" s="9">
        <v>10267.0</v>
      </c>
      <c r="E1451" s="9">
        <v>245.0</v>
      </c>
      <c r="F1451" s="14"/>
      <c r="G1451" s="15"/>
      <c r="H1451" s="15"/>
      <c r="I1451" s="14"/>
      <c r="P1451" s="14"/>
    </row>
    <row r="1452" ht="18.75" customHeight="1">
      <c r="A1452" s="7" t="s">
        <v>2986</v>
      </c>
      <c r="B1452" s="9">
        <v>54.0</v>
      </c>
      <c r="C1452" s="9">
        <v>53.0</v>
      </c>
      <c r="D1452" s="9">
        <v>37.0</v>
      </c>
      <c r="E1452" s="9">
        <v>5.0</v>
      </c>
      <c r="F1452" s="14"/>
      <c r="G1452" s="15"/>
      <c r="H1452" s="15"/>
      <c r="I1452" s="14"/>
      <c r="P1452" s="14"/>
    </row>
    <row r="1453" ht="18.75" customHeight="1">
      <c r="A1453" s="7" t="s">
        <v>2901</v>
      </c>
      <c r="B1453" s="9">
        <v>24460.0</v>
      </c>
      <c r="C1453" s="9">
        <v>24428.0</v>
      </c>
      <c r="D1453" s="9">
        <v>13740.0</v>
      </c>
      <c r="E1453" s="9">
        <v>3167.0</v>
      </c>
      <c r="F1453" s="14"/>
      <c r="G1453" s="15"/>
      <c r="H1453" s="15"/>
      <c r="I1453" s="14"/>
      <c r="P1453" s="14"/>
    </row>
    <row r="1454" ht="18.75" customHeight="1">
      <c r="A1454" s="7" t="s">
        <v>2901</v>
      </c>
      <c r="B1454" s="9">
        <v>6656.0</v>
      </c>
      <c r="C1454" s="9">
        <v>6633.0</v>
      </c>
      <c r="D1454" s="9">
        <v>3598.0</v>
      </c>
      <c r="E1454" s="9">
        <v>750.0</v>
      </c>
      <c r="F1454" s="14"/>
      <c r="G1454" s="15"/>
      <c r="H1454" s="15"/>
      <c r="I1454" s="14"/>
      <c r="P1454" s="14"/>
    </row>
    <row r="1455" ht="18.75" customHeight="1">
      <c r="A1455" s="7" t="s">
        <v>2762</v>
      </c>
      <c r="B1455" s="9">
        <v>81.0</v>
      </c>
      <c r="C1455" s="9">
        <v>79.0</v>
      </c>
      <c r="D1455" s="9">
        <v>40.0</v>
      </c>
      <c r="E1455" s="9">
        <v>13.0</v>
      </c>
      <c r="F1455" s="14"/>
      <c r="G1455" s="15"/>
      <c r="H1455" s="15"/>
      <c r="I1455" s="14"/>
      <c r="P1455" s="14"/>
    </row>
    <row r="1456" ht="18.75" customHeight="1">
      <c r="A1456" s="7" t="s">
        <v>2883</v>
      </c>
      <c r="B1456" s="9">
        <v>6686.0</v>
      </c>
      <c r="C1456" s="9">
        <v>6559.0</v>
      </c>
      <c r="D1456" s="9">
        <v>1792.0</v>
      </c>
      <c r="E1456" s="9">
        <v>24.0</v>
      </c>
      <c r="F1456" s="14"/>
      <c r="G1456" s="15"/>
      <c r="H1456" s="15"/>
      <c r="I1456" s="14"/>
      <c r="P1456" s="14"/>
    </row>
    <row r="1457" ht="18.75" customHeight="1">
      <c r="A1457" s="7" t="s">
        <v>2883</v>
      </c>
      <c r="B1457" s="9">
        <v>23080.0</v>
      </c>
      <c r="C1457" s="9">
        <v>22669.0</v>
      </c>
      <c r="D1457" s="9">
        <v>6569.0</v>
      </c>
      <c r="E1457" s="9">
        <v>56.0</v>
      </c>
      <c r="F1457" s="14"/>
      <c r="G1457" s="15"/>
      <c r="H1457" s="15"/>
      <c r="I1457" s="14"/>
      <c r="P1457" s="14"/>
    </row>
    <row r="1458" ht="18.75" customHeight="1">
      <c r="A1458" s="7" t="s">
        <v>2883</v>
      </c>
      <c r="B1458" s="9">
        <v>15455.0</v>
      </c>
      <c r="C1458" s="9">
        <v>15188.0</v>
      </c>
      <c r="D1458" s="9">
        <v>4082.0</v>
      </c>
      <c r="E1458" s="9">
        <v>44.0</v>
      </c>
      <c r="F1458" s="14"/>
      <c r="G1458" s="15"/>
      <c r="H1458" s="15"/>
      <c r="I1458" s="14"/>
      <c r="P1458" s="14"/>
    </row>
    <row r="1459" ht="18.75" customHeight="1">
      <c r="A1459" s="7" t="s">
        <v>2274</v>
      </c>
      <c r="B1459" s="9">
        <v>15695.0</v>
      </c>
      <c r="C1459" s="9">
        <v>15356.0</v>
      </c>
      <c r="D1459" s="9">
        <v>4305.0</v>
      </c>
      <c r="E1459" s="9">
        <v>101.0</v>
      </c>
      <c r="F1459" s="14"/>
      <c r="G1459" s="15"/>
      <c r="H1459" s="15"/>
      <c r="I1459" s="14"/>
      <c r="P1459" s="14"/>
    </row>
    <row r="1460" ht="18.75" customHeight="1">
      <c r="A1460" s="7" t="s">
        <v>2274</v>
      </c>
      <c r="B1460" s="9">
        <v>11434.0</v>
      </c>
      <c r="C1460" s="9">
        <v>11294.0</v>
      </c>
      <c r="D1460" s="9">
        <v>3112.0</v>
      </c>
      <c r="E1460" s="9">
        <v>92.0</v>
      </c>
      <c r="F1460" s="14"/>
      <c r="G1460" s="15"/>
      <c r="H1460" s="15"/>
      <c r="I1460" s="14"/>
      <c r="P1460" s="14"/>
    </row>
    <row r="1461" ht="18.75" customHeight="1">
      <c r="A1461" s="7" t="s">
        <v>2883</v>
      </c>
      <c r="B1461" s="9">
        <v>1012.0</v>
      </c>
      <c r="C1461" s="9">
        <v>1004.0</v>
      </c>
      <c r="D1461" s="9">
        <v>353.0</v>
      </c>
      <c r="E1461" s="9">
        <v>2.0</v>
      </c>
      <c r="F1461" s="14"/>
      <c r="G1461" s="15"/>
      <c r="H1461" s="15"/>
      <c r="I1461" s="14"/>
      <c r="P1461" s="14"/>
    </row>
    <row r="1462" ht="18.75" customHeight="1">
      <c r="A1462" s="7" t="s">
        <v>2883</v>
      </c>
      <c r="B1462" s="9">
        <v>1590.0</v>
      </c>
      <c r="C1462" s="9">
        <v>1557.0</v>
      </c>
      <c r="D1462" s="9">
        <v>399.0</v>
      </c>
      <c r="E1462" s="9">
        <v>4.0</v>
      </c>
      <c r="F1462" s="14"/>
      <c r="G1462" s="15"/>
      <c r="H1462" s="15"/>
      <c r="I1462" s="14"/>
      <c r="P1462" s="14"/>
    </row>
    <row r="1463" ht="18.75" customHeight="1">
      <c r="A1463" s="7" t="s">
        <v>2883</v>
      </c>
      <c r="B1463" s="9">
        <v>5285.0</v>
      </c>
      <c r="C1463" s="9">
        <v>5204.0</v>
      </c>
      <c r="D1463" s="9">
        <v>1980.0</v>
      </c>
      <c r="E1463" s="9">
        <v>11.0</v>
      </c>
      <c r="F1463" s="14"/>
      <c r="G1463" s="15"/>
      <c r="H1463" s="15"/>
      <c r="I1463" s="14"/>
      <c r="P1463" s="14"/>
    </row>
    <row r="1464" ht="18.75" customHeight="1">
      <c r="A1464" s="7" t="s">
        <v>2274</v>
      </c>
      <c r="B1464" s="9">
        <v>19477.0</v>
      </c>
      <c r="C1464" s="9">
        <v>19265.0</v>
      </c>
      <c r="D1464" s="9">
        <v>5828.0</v>
      </c>
      <c r="E1464" s="9">
        <v>138.0</v>
      </c>
      <c r="F1464" s="14"/>
      <c r="G1464" s="15"/>
      <c r="H1464" s="15"/>
      <c r="I1464" s="14"/>
      <c r="P1464" s="14"/>
    </row>
    <row r="1465" ht="18.75" customHeight="1">
      <c r="A1465" s="7" t="s">
        <v>2274</v>
      </c>
      <c r="B1465" s="9">
        <v>20059.0</v>
      </c>
      <c r="C1465" s="9">
        <v>19818.0</v>
      </c>
      <c r="D1465" s="9">
        <v>6137.0</v>
      </c>
      <c r="E1465" s="9">
        <v>130.0</v>
      </c>
      <c r="F1465" s="14"/>
      <c r="G1465" s="15"/>
      <c r="H1465" s="15"/>
      <c r="I1465" s="14"/>
      <c r="P1465" s="14"/>
    </row>
    <row r="1466" ht="18.75" customHeight="1">
      <c r="A1466" s="7" t="s">
        <v>2274</v>
      </c>
      <c r="B1466" s="9">
        <v>18011.0</v>
      </c>
      <c r="C1466" s="9">
        <v>17702.0</v>
      </c>
      <c r="D1466" s="9">
        <v>5193.0</v>
      </c>
      <c r="E1466" s="9">
        <v>116.0</v>
      </c>
      <c r="F1466" s="14"/>
      <c r="G1466" s="15"/>
      <c r="H1466" s="15"/>
      <c r="I1466" s="14"/>
      <c r="P1466" s="14"/>
    </row>
    <row r="1467" ht="18.75" customHeight="1">
      <c r="A1467" s="7" t="s">
        <v>2883</v>
      </c>
      <c r="B1467" s="9">
        <v>4596.0</v>
      </c>
      <c r="C1467" s="9">
        <v>4520.0</v>
      </c>
      <c r="D1467" s="9">
        <v>1588.0</v>
      </c>
      <c r="E1467" s="9">
        <v>9.0</v>
      </c>
      <c r="F1467" s="14"/>
      <c r="G1467" s="15"/>
      <c r="H1467" s="15"/>
      <c r="I1467" s="14"/>
      <c r="P1467" s="14"/>
    </row>
    <row r="1468" ht="18.75" customHeight="1">
      <c r="A1468" s="7" t="s">
        <v>2274</v>
      </c>
      <c r="B1468" s="9">
        <v>17343.0</v>
      </c>
      <c r="C1468" s="9">
        <v>17005.0</v>
      </c>
      <c r="D1468" s="9">
        <v>4986.0</v>
      </c>
      <c r="E1468" s="9">
        <v>112.0</v>
      </c>
      <c r="F1468" s="14"/>
      <c r="G1468" s="15"/>
      <c r="H1468" s="15"/>
      <c r="I1468" s="14"/>
      <c r="P1468" s="14"/>
    </row>
    <row r="1469" ht="18.75" customHeight="1">
      <c r="A1469" s="7" t="s">
        <v>2883</v>
      </c>
      <c r="B1469" s="9">
        <v>15564.0</v>
      </c>
      <c r="C1469" s="9">
        <v>15394.0</v>
      </c>
      <c r="D1469" s="9">
        <v>4294.0</v>
      </c>
      <c r="E1469" s="9">
        <v>68.0</v>
      </c>
      <c r="F1469" s="14"/>
      <c r="G1469" s="15"/>
      <c r="H1469" s="15"/>
      <c r="I1469" s="14"/>
      <c r="P1469" s="14"/>
    </row>
    <row r="1470" ht="18.75" customHeight="1">
      <c r="A1470" s="7" t="s">
        <v>2883</v>
      </c>
      <c r="B1470" s="9">
        <v>2858.0</v>
      </c>
      <c r="C1470" s="9">
        <v>2835.0</v>
      </c>
      <c r="D1470" s="9">
        <v>960.0</v>
      </c>
      <c r="E1470" s="9">
        <v>7.0</v>
      </c>
      <c r="F1470" s="14"/>
      <c r="G1470" s="15"/>
      <c r="H1470" s="15"/>
      <c r="I1470" s="14"/>
      <c r="P1470" s="14"/>
    </row>
    <row r="1471" ht="18.75" customHeight="1">
      <c r="A1471" s="7" t="s">
        <v>2274</v>
      </c>
      <c r="B1471" s="9">
        <v>23407.0</v>
      </c>
      <c r="C1471" s="9">
        <v>22997.0</v>
      </c>
      <c r="D1471" s="9">
        <v>6723.0</v>
      </c>
      <c r="E1471" s="9">
        <v>167.0</v>
      </c>
      <c r="F1471" s="14"/>
      <c r="G1471" s="15"/>
      <c r="H1471" s="15"/>
      <c r="I1471" s="14"/>
      <c r="P1471" s="14"/>
    </row>
    <row r="1472" ht="18.75" customHeight="1">
      <c r="A1472" s="7" t="s">
        <v>2274</v>
      </c>
      <c r="B1472" s="9">
        <v>21778.0</v>
      </c>
      <c r="C1472" s="9">
        <v>21550.0</v>
      </c>
      <c r="D1472" s="9">
        <v>6085.0</v>
      </c>
      <c r="E1472" s="9">
        <v>125.0</v>
      </c>
      <c r="F1472" s="14"/>
      <c r="G1472" s="15"/>
      <c r="H1472" s="15"/>
      <c r="I1472" s="14"/>
      <c r="P1472" s="14"/>
    </row>
    <row r="1473" ht="18.75" customHeight="1">
      <c r="A1473" s="7" t="s">
        <v>2883</v>
      </c>
      <c r="B1473" s="9">
        <v>2384.0</v>
      </c>
      <c r="C1473" s="9">
        <v>2345.0</v>
      </c>
      <c r="D1473" s="9">
        <v>827.0</v>
      </c>
      <c r="E1473" s="9">
        <v>5.0</v>
      </c>
      <c r="F1473" s="14"/>
      <c r="G1473" s="15"/>
      <c r="H1473" s="15"/>
      <c r="I1473" s="14"/>
      <c r="P1473" s="14"/>
    </row>
    <row r="1474" ht="18.75" customHeight="1">
      <c r="A1474" s="7" t="s">
        <v>2274</v>
      </c>
      <c r="B1474" s="9">
        <v>18875.0</v>
      </c>
      <c r="C1474" s="9">
        <v>18509.0</v>
      </c>
      <c r="D1474" s="9">
        <v>5262.0</v>
      </c>
      <c r="E1474" s="9">
        <v>153.0</v>
      </c>
      <c r="F1474" s="14"/>
      <c r="G1474" s="15"/>
      <c r="H1474" s="15"/>
      <c r="I1474" s="14"/>
      <c r="P1474" s="14"/>
    </row>
    <row r="1475" ht="18.75" customHeight="1">
      <c r="A1475" s="7" t="s">
        <v>2883</v>
      </c>
      <c r="B1475" s="9">
        <v>12819.0</v>
      </c>
      <c r="C1475" s="9">
        <v>12605.0</v>
      </c>
      <c r="D1475" s="9">
        <v>3001.0</v>
      </c>
      <c r="E1475" s="9">
        <v>50.0</v>
      </c>
      <c r="F1475" s="14"/>
      <c r="G1475" s="15"/>
      <c r="H1475" s="15"/>
      <c r="I1475" s="14"/>
      <c r="P1475" s="14"/>
    </row>
    <row r="1476" ht="18.75" customHeight="1">
      <c r="A1476" s="7" t="s">
        <v>2883</v>
      </c>
      <c r="B1476" s="9">
        <v>2381.0</v>
      </c>
      <c r="C1476" s="9">
        <v>2333.0</v>
      </c>
      <c r="D1476" s="9">
        <v>715.0</v>
      </c>
      <c r="E1476" s="9">
        <v>6.0</v>
      </c>
      <c r="F1476" s="14"/>
      <c r="G1476" s="15"/>
      <c r="H1476" s="15"/>
      <c r="I1476" s="14"/>
      <c r="P1476" s="14"/>
    </row>
    <row r="1477" ht="18.75" customHeight="1">
      <c r="A1477" s="7" t="s">
        <v>2274</v>
      </c>
      <c r="B1477" s="9">
        <v>17703.0</v>
      </c>
      <c r="C1477" s="9">
        <v>17397.0</v>
      </c>
      <c r="D1477" s="9">
        <v>4811.0</v>
      </c>
      <c r="E1477" s="9">
        <v>154.0</v>
      </c>
      <c r="F1477" s="14"/>
      <c r="G1477" s="15"/>
      <c r="H1477" s="15"/>
      <c r="I1477" s="14"/>
      <c r="P1477" s="14"/>
    </row>
    <row r="1478" ht="18.75" customHeight="1">
      <c r="A1478" s="7" t="s">
        <v>2274</v>
      </c>
      <c r="B1478" s="9">
        <v>17934.0</v>
      </c>
      <c r="C1478" s="9">
        <v>17738.0</v>
      </c>
      <c r="D1478" s="9">
        <v>5005.0</v>
      </c>
      <c r="E1478" s="9">
        <v>165.0</v>
      </c>
      <c r="F1478" s="14"/>
      <c r="G1478" s="15"/>
      <c r="H1478" s="15"/>
      <c r="I1478" s="14"/>
      <c r="P1478" s="14"/>
    </row>
    <row r="1479" ht="18.75" customHeight="1">
      <c r="A1479" s="7" t="s">
        <v>2883</v>
      </c>
      <c r="B1479" s="9">
        <v>80271.0</v>
      </c>
      <c r="C1479" s="9">
        <v>78801.0</v>
      </c>
      <c r="D1479" s="9">
        <v>23167.0</v>
      </c>
      <c r="E1479" s="9">
        <v>154.0</v>
      </c>
      <c r="F1479" s="14"/>
      <c r="G1479" s="15"/>
      <c r="H1479" s="15"/>
      <c r="I1479" s="14"/>
      <c r="P1479" s="14"/>
    </row>
    <row r="1480" ht="18.75" customHeight="1">
      <c r="A1480" s="7" t="s">
        <v>2274</v>
      </c>
      <c r="B1480" s="9">
        <v>19738.0</v>
      </c>
      <c r="C1480" s="9">
        <v>19394.0</v>
      </c>
      <c r="D1480" s="9">
        <v>5607.0</v>
      </c>
      <c r="E1480" s="9">
        <v>193.0</v>
      </c>
      <c r="F1480" s="14"/>
      <c r="G1480" s="15"/>
      <c r="H1480" s="15"/>
      <c r="I1480" s="14"/>
      <c r="P1480" s="14"/>
    </row>
    <row r="1481" ht="18.75" customHeight="1">
      <c r="A1481" s="7" t="s">
        <v>2883</v>
      </c>
      <c r="B1481" s="9">
        <v>8743.0</v>
      </c>
      <c r="C1481" s="9">
        <v>8543.0</v>
      </c>
      <c r="D1481" s="9">
        <v>2276.0</v>
      </c>
      <c r="E1481" s="9">
        <v>47.0</v>
      </c>
      <c r="F1481" s="14"/>
      <c r="G1481" s="15"/>
      <c r="H1481" s="15"/>
      <c r="I1481" s="14"/>
      <c r="P1481" s="14"/>
    </row>
    <row r="1482" ht="18.75" customHeight="1">
      <c r="A1482" s="7" t="s">
        <v>2883</v>
      </c>
      <c r="B1482" s="9">
        <v>3515.0</v>
      </c>
      <c r="C1482" s="9">
        <v>3472.0</v>
      </c>
      <c r="D1482" s="9">
        <v>1299.0</v>
      </c>
      <c r="E1482" s="9">
        <v>9.0</v>
      </c>
      <c r="F1482" s="14"/>
      <c r="G1482" s="15"/>
      <c r="H1482" s="15"/>
      <c r="I1482" s="14"/>
      <c r="P1482" s="14"/>
    </row>
    <row r="1483" ht="18.75" customHeight="1">
      <c r="A1483" s="7" t="s">
        <v>2274</v>
      </c>
      <c r="B1483" s="9">
        <v>6508.0</v>
      </c>
      <c r="C1483" s="9">
        <v>6426.0</v>
      </c>
      <c r="D1483" s="9">
        <v>1769.0</v>
      </c>
      <c r="E1483" s="9">
        <v>56.0</v>
      </c>
      <c r="F1483" s="14"/>
      <c r="G1483" s="15"/>
      <c r="H1483" s="15"/>
      <c r="I1483" s="14"/>
      <c r="P1483" s="14"/>
    </row>
    <row r="1484" ht="18.75" customHeight="1">
      <c r="A1484" s="7" t="s">
        <v>2274</v>
      </c>
      <c r="B1484" s="9">
        <v>18511.0</v>
      </c>
      <c r="C1484" s="9">
        <v>18156.0</v>
      </c>
      <c r="D1484" s="9">
        <v>5100.0</v>
      </c>
      <c r="E1484" s="9">
        <v>145.0</v>
      </c>
      <c r="F1484" s="14"/>
      <c r="G1484" s="15"/>
      <c r="H1484" s="15"/>
      <c r="I1484" s="14"/>
      <c r="P1484" s="14"/>
    </row>
    <row r="1485" ht="18.75" customHeight="1">
      <c r="A1485" s="7" t="s">
        <v>2274</v>
      </c>
      <c r="B1485" s="9">
        <v>19955.0</v>
      </c>
      <c r="C1485" s="9">
        <v>19568.0</v>
      </c>
      <c r="D1485" s="9">
        <v>5533.0</v>
      </c>
      <c r="E1485" s="9">
        <v>141.0</v>
      </c>
      <c r="F1485" s="14"/>
      <c r="G1485" s="15"/>
      <c r="H1485" s="15"/>
      <c r="I1485" s="14"/>
      <c r="P1485" s="14"/>
    </row>
    <row r="1486" ht="18.75" customHeight="1">
      <c r="A1486" s="7" t="s">
        <v>2274</v>
      </c>
      <c r="B1486" s="9">
        <v>121.0</v>
      </c>
      <c r="C1486" s="9">
        <v>105.0</v>
      </c>
      <c r="D1486" s="9">
        <v>29.0</v>
      </c>
      <c r="E1486" s="9">
        <v>2.0</v>
      </c>
      <c r="F1486" s="14"/>
      <c r="G1486" s="15"/>
      <c r="H1486" s="15"/>
      <c r="I1486" s="14"/>
      <c r="P1486" s="14"/>
    </row>
    <row r="1487" ht="18.75" customHeight="1">
      <c r="A1487" s="7" t="s">
        <v>2762</v>
      </c>
      <c r="B1487" s="9">
        <v>36911.0</v>
      </c>
      <c r="C1487" s="9">
        <v>36100.0</v>
      </c>
      <c r="D1487" s="9">
        <v>10750.0</v>
      </c>
      <c r="E1487" s="9">
        <v>670.0</v>
      </c>
      <c r="F1487" s="14"/>
      <c r="G1487" s="15"/>
      <c r="H1487" s="15"/>
      <c r="I1487" s="14"/>
      <c r="P1487" s="14"/>
    </row>
    <row r="1488" ht="18.75" customHeight="1">
      <c r="A1488" s="7" t="s">
        <v>2987</v>
      </c>
      <c r="B1488" s="9">
        <v>231.0</v>
      </c>
      <c r="C1488" s="9">
        <v>229.0</v>
      </c>
      <c r="D1488" s="9">
        <v>102.0</v>
      </c>
      <c r="E1488" s="9">
        <v>2.0</v>
      </c>
      <c r="F1488" s="14"/>
      <c r="G1488" s="15"/>
      <c r="H1488" s="15"/>
      <c r="I1488" s="14"/>
      <c r="P1488" s="14"/>
    </row>
    <row r="1489" ht="18.75" customHeight="1">
      <c r="A1489" s="7" t="s">
        <v>2988</v>
      </c>
      <c r="B1489" s="9">
        <v>7239.0</v>
      </c>
      <c r="C1489" s="9">
        <v>7201.0</v>
      </c>
      <c r="D1489" s="9">
        <v>3187.0</v>
      </c>
      <c r="E1489" s="9">
        <v>10.0</v>
      </c>
      <c r="F1489" s="14"/>
      <c r="G1489" s="15"/>
      <c r="H1489" s="15"/>
      <c r="I1489" s="14"/>
      <c r="P1489" s="14"/>
    </row>
    <row r="1490" ht="18.75" customHeight="1">
      <c r="A1490" s="7" t="s">
        <v>2989</v>
      </c>
      <c r="B1490" s="9">
        <v>16313.0</v>
      </c>
      <c r="C1490" s="9">
        <v>16269.0</v>
      </c>
      <c r="D1490" s="9">
        <v>7796.0</v>
      </c>
      <c r="E1490" s="9">
        <v>17.0</v>
      </c>
      <c r="F1490" s="14"/>
      <c r="G1490" s="15"/>
      <c r="H1490" s="15"/>
      <c r="I1490" s="14"/>
      <c r="P1490" s="14"/>
    </row>
    <row r="1491" ht="18.75" customHeight="1">
      <c r="A1491" s="7" t="s">
        <v>2990</v>
      </c>
      <c r="B1491" s="9">
        <v>7271.0</v>
      </c>
      <c r="C1491" s="9">
        <v>7248.0</v>
      </c>
      <c r="D1491" s="9">
        <v>3371.0</v>
      </c>
      <c r="E1491" s="9">
        <v>7.0</v>
      </c>
      <c r="F1491" s="14"/>
      <c r="G1491" s="15"/>
      <c r="H1491" s="15"/>
      <c r="I1491" s="14"/>
      <c r="P1491" s="14"/>
    </row>
    <row r="1492" ht="18.75" customHeight="1">
      <c r="A1492" s="7" t="s">
        <v>2991</v>
      </c>
      <c r="B1492" s="9">
        <v>741.0</v>
      </c>
      <c r="C1492" s="9">
        <v>736.0</v>
      </c>
      <c r="D1492" s="9">
        <v>424.0</v>
      </c>
      <c r="E1492" s="9">
        <v>199.0</v>
      </c>
      <c r="F1492" s="14"/>
      <c r="G1492" s="15"/>
      <c r="H1492" s="15"/>
      <c r="I1492" s="14"/>
      <c r="P1492" s="14"/>
    </row>
    <row r="1493" ht="18.75" customHeight="1">
      <c r="A1493" s="7" t="s">
        <v>2992</v>
      </c>
      <c r="B1493" s="9">
        <v>32715.0</v>
      </c>
      <c r="C1493" s="9">
        <v>31942.0</v>
      </c>
      <c r="D1493" s="9">
        <v>6570.0</v>
      </c>
      <c r="E1493" s="9">
        <v>448.0</v>
      </c>
      <c r="F1493" s="14"/>
      <c r="G1493" s="15"/>
      <c r="H1493" s="15"/>
      <c r="I1493" s="14"/>
      <c r="P1493" s="14"/>
    </row>
    <row r="1494" ht="18.75" customHeight="1">
      <c r="A1494" s="7" t="s">
        <v>2792</v>
      </c>
      <c r="B1494" s="9">
        <v>19829.0</v>
      </c>
      <c r="C1494" s="9">
        <v>19754.0</v>
      </c>
      <c r="D1494" s="9">
        <v>15186.0</v>
      </c>
      <c r="E1494" s="9">
        <v>200.0</v>
      </c>
      <c r="F1494" s="14"/>
      <c r="G1494" s="15"/>
      <c r="H1494" s="15"/>
      <c r="I1494" s="14"/>
      <c r="P1494" s="14"/>
    </row>
    <row r="1495" ht="18.75" customHeight="1">
      <c r="A1495" s="7" t="s">
        <v>2993</v>
      </c>
      <c r="B1495" s="9">
        <v>23135.0</v>
      </c>
      <c r="C1495" s="9">
        <v>22497.0</v>
      </c>
      <c r="D1495" s="9">
        <v>4811.0</v>
      </c>
      <c r="E1495" s="9">
        <v>206.0</v>
      </c>
      <c r="F1495" s="14"/>
      <c r="G1495" s="15"/>
      <c r="H1495" s="15"/>
      <c r="I1495" s="14"/>
      <c r="P1495" s="14"/>
    </row>
    <row r="1496" ht="18.75" customHeight="1">
      <c r="A1496" s="7" t="s">
        <v>2994</v>
      </c>
      <c r="B1496" s="9">
        <v>60922.0</v>
      </c>
      <c r="C1496" s="9">
        <v>59757.0</v>
      </c>
      <c r="D1496" s="9">
        <v>16920.0</v>
      </c>
      <c r="E1496" s="9">
        <v>355.0</v>
      </c>
      <c r="F1496" s="14"/>
      <c r="G1496" s="15"/>
      <c r="H1496" s="15"/>
      <c r="I1496" s="14"/>
      <c r="P1496" s="14"/>
    </row>
    <row r="1497" ht="18.75" customHeight="1">
      <c r="A1497" s="7" t="s">
        <v>2995</v>
      </c>
      <c r="B1497" s="9">
        <v>36083.0</v>
      </c>
      <c r="C1497" s="9">
        <v>35155.0</v>
      </c>
      <c r="D1497" s="9">
        <v>10288.0</v>
      </c>
      <c r="E1497" s="9">
        <v>223.0</v>
      </c>
      <c r="F1497" s="14"/>
      <c r="G1497" s="15"/>
      <c r="H1497" s="15"/>
      <c r="I1497" s="14"/>
      <c r="P1497" s="14"/>
    </row>
    <row r="1498" ht="18.75" customHeight="1">
      <c r="A1498" s="7" t="s">
        <v>2769</v>
      </c>
      <c r="B1498" s="9">
        <v>7673.0</v>
      </c>
      <c r="C1498" s="9">
        <v>7623.0</v>
      </c>
      <c r="D1498" s="9">
        <v>4957.0</v>
      </c>
      <c r="E1498" s="9">
        <v>692.0</v>
      </c>
      <c r="F1498" s="14"/>
      <c r="G1498" s="15"/>
      <c r="H1498" s="15"/>
      <c r="I1498" s="14"/>
      <c r="P1498" s="14"/>
    </row>
    <row r="1499" ht="18.75" customHeight="1">
      <c r="A1499" s="7" t="s">
        <v>2767</v>
      </c>
      <c r="B1499" s="9">
        <v>55952.0</v>
      </c>
      <c r="C1499" s="9">
        <v>54859.0</v>
      </c>
      <c r="D1499" s="9">
        <v>16322.0</v>
      </c>
      <c r="E1499" s="9">
        <v>630.0</v>
      </c>
      <c r="F1499" s="14"/>
      <c r="G1499" s="15"/>
      <c r="H1499" s="15"/>
      <c r="I1499" s="14"/>
      <c r="P1499" s="14"/>
    </row>
    <row r="1500" ht="18.75" customHeight="1">
      <c r="A1500" s="7" t="s">
        <v>2996</v>
      </c>
      <c r="B1500" s="9">
        <v>31293.0</v>
      </c>
      <c r="C1500" s="9">
        <v>30849.0</v>
      </c>
      <c r="D1500" s="9">
        <v>14629.0</v>
      </c>
      <c r="E1500" s="9">
        <v>485.0</v>
      </c>
      <c r="F1500" s="14"/>
      <c r="G1500" s="15"/>
      <c r="H1500" s="15"/>
      <c r="I1500" s="14"/>
      <c r="P1500" s="14"/>
    </row>
    <row r="1501" ht="18.75" customHeight="1">
      <c r="A1501" s="7" t="s">
        <v>2997</v>
      </c>
      <c r="B1501" s="9">
        <v>6223.0</v>
      </c>
      <c r="C1501" s="9">
        <v>6075.0</v>
      </c>
      <c r="D1501" s="9">
        <v>1574.0</v>
      </c>
      <c r="E1501" s="9">
        <v>131.0</v>
      </c>
      <c r="F1501" s="14"/>
      <c r="G1501" s="15"/>
      <c r="H1501" s="15"/>
      <c r="I1501" s="14"/>
      <c r="P1501" s="14"/>
    </row>
    <row r="1502" ht="18.75" customHeight="1">
      <c r="A1502" s="7" t="s">
        <v>2998</v>
      </c>
      <c r="B1502" s="9">
        <v>62894.0</v>
      </c>
      <c r="C1502" s="9">
        <v>61730.0</v>
      </c>
      <c r="D1502" s="9">
        <v>23387.0</v>
      </c>
      <c r="E1502" s="9">
        <v>2263.0</v>
      </c>
      <c r="F1502" s="14"/>
      <c r="G1502" s="15"/>
      <c r="H1502" s="15"/>
      <c r="I1502" s="14"/>
      <c r="P1502" s="14"/>
    </row>
    <row r="1503" ht="18.75" customHeight="1">
      <c r="A1503" s="7" t="s">
        <v>2999</v>
      </c>
      <c r="B1503" s="9">
        <v>6040.0</v>
      </c>
      <c r="C1503" s="9">
        <v>5883.0</v>
      </c>
      <c r="D1503" s="9">
        <v>1451.0</v>
      </c>
      <c r="E1503" s="9">
        <v>78.0</v>
      </c>
      <c r="F1503" s="14"/>
      <c r="G1503" s="15"/>
      <c r="H1503" s="15"/>
      <c r="I1503" s="14"/>
      <c r="P1503" s="14"/>
    </row>
    <row r="1504" ht="18.75" customHeight="1">
      <c r="A1504" s="7" t="s">
        <v>3000</v>
      </c>
      <c r="B1504" s="9">
        <v>12860.0</v>
      </c>
      <c r="C1504" s="9">
        <v>12587.0</v>
      </c>
      <c r="D1504" s="9">
        <v>4265.0</v>
      </c>
      <c r="E1504" s="9">
        <v>176.0</v>
      </c>
      <c r="F1504" s="14"/>
      <c r="G1504" s="15"/>
      <c r="H1504" s="15"/>
      <c r="I1504" s="14"/>
      <c r="P1504" s="14"/>
    </row>
    <row r="1505" ht="18.75" customHeight="1">
      <c r="A1505" s="7" t="s">
        <v>2857</v>
      </c>
      <c r="B1505" s="9">
        <v>73452.0</v>
      </c>
      <c r="C1505" s="9">
        <v>72118.0</v>
      </c>
      <c r="D1505" s="9">
        <v>23114.0</v>
      </c>
      <c r="E1505" s="9">
        <v>745.0</v>
      </c>
      <c r="F1505" s="14"/>
      <c r="G1505" s="15"/>
      <c r="H1505" s="15"/>
      <c r="I1505" s="14"/>
      <c r="P1505" s="14"/>
    </row>
    <row r="1506" ht="18.75" customHeight="1">
      <c r="A1506" s="7" t="s">
        <v>2857</v>
      </c>
      <c r="B1506" s="9">
        <v>61259.0</v>
      </c>
      <c r="C1506" s="9">
        <v>60037.0</v>
      </c>
      <c r="D1506" s="9">
        <v>19760.0</v>
      </c>
      <c r="E1506" s="9">
        <v>551.0</v>
      </c>
      <c r="F1506" s="14"/>
      <c r="G1506" s="15"/>
      <c r="H1506" s="15"/>
      <c r="I1506" s="14"/>
      <c r="P1506" s="14"/>
    </row>
    <row r="1507" ht="18.75" customHeight="1">
      <c r="A1507" s="7" t="s">
        <v>3001</v>
      </c>
      <c r="B1507" s="9">
        <v>21903.0</v>
      </c>
      <c r="C1507" s="9">
        <v>21437.0</v>
      </c>
      <c r="D1507" s="9">
        <v>6428.0</v>
      </c>
      <c r="E1507" s="9">
        <v>224.0</v>
      </c>
      <c r="F1507" s="14"/>
      <c r="G1507" s="15"/>
      <c r="H1507" s="15"/>
      <c r="I1507" s="14"/>
      <c r="P1507" s="14"/>
    </row>
    <row r="1508" ht="18.75" customHeight="1">
      <c r="A1508" s="7" t="s">
        <v>3002</v>
      </c>
      <c r="B1508" s="9">
        <v>23574.0</v>
      </c>
      <c r="C1508" s="9">
        <v>23129.0</v>
      </c>
      <c r="D1508" s="9">
        <v>10640.0</v>
      </c>
      <c r="E1508" s="9">
        <v>304.0</v>
      </c>
      <c r="F1508" s="14"/>
      <c r="G1508" s="15"/>
      <c r="H1508" s="15"/>
      <c r="I1508" s="14"/>
      <c r="P1508" s="14"/>
    </row>
    <row r="1509" ht="18.75" customHeight="1">
      <c r="A1509" s="7" t="s">
        <v>3003</v>
      </c>
      <c r="B1509" s="9">
        <v>15929.0</v>
      </c>
      <c r="C1509" s="9">
        <v>15638.0</v>
      </c>
      <c r="D1509" s="9">
        <v>5417.0</v>
      </c>
      <c r="E1509" s="9">
        <v>213.0</v>
      </c>
      <c r="F1509" s="14"/>
      <c r="G1509" s="15"/>
      <c r="H1509" s="15"/>
      <c r="I1509" s="14"/>
      <c r="P1509" s="14"/>
    </row>
    <row r="1510" ht="18.75" customHeight="1">
      <c r="A1510" s="7" t="s">
        <v>3004</v>
      </c>
      <c r="B1510" s="9">
        <v>20441.0</v>
      </c>
      <c r="C1510" s="9">
        <v>20065.0</v>
      </c>
      <c r="D1510" s="9">
        <v>8127.0</v>
      </c>
      <c r="E1510" s="9">
        <v>290.0</v>
      </c>
      <c r="F1510" s="14"/>
      <c r="G1510" s="15"/>
      <c r="H1510" s="15"/>
      <c r="I1510" s="14"/>
      <c r="P1510" s="14"/>
    </row>
    <row r="1511" ht="18.75" customHeight="1">
      <c r="A1511" s="7" t="s">
        <v>3005</v>
      </c>
      <c r="B1511" s="9">
        <v>26154.0</v>
      </c>
      <c r="C1511" s="9">
        <v>25711.0</v>
      </c>
      <c r="D1511" s="9">
        <v>10300.0</v>
      </c>
      <c r="E1511" s="9">
        <v>451.0</v>
      </c>
      <c r="F1511" s="14"/>
      <c r="G1511" s="15"/>
      <c r="H1511" s="15"/>
      <c r="I1511" s="14"/>
      <c r="P1511" s="14"/>
    </row>
    <row r="1512" ht="18.75" customHeight="1">
      <c r="A1512" s="7" t="s">
        <v>3006</v>
      </c>
      <c r="B1512" s="9">
        <v>14576.0</v>
      </c>
      <c r="C1512" s="9">
        <v>14352.0</v>
      </c>
      <c r="D1512" s="9">
        <v>6193.0</v>
      </c>
      <c r="E1512" s="9">
        <v>281.0</v>
      </c>
      <c r="F1512" s="14"/>
      <c r="G1512" s="15"/>
      <c r="H1512" s="15"/>
      <c r="I1512" s="14"/>
      <c r="P1512" s="14"/>
    </row>
    <row r="1513" ht="18.75" customHeight="1">
      <c r="A1513" s="7" t="s">
        <v>3007</v>
      </c>
      <c r="B1513" s="9">
        <v>21984.0</v>
      </c>
      <c r="C1513" s="9">
        <v>21531.0</v>
      </c>
      <c r="D1513" s="9">
        <v>6944.0</v>
      </c>
      <c r="E1513" s="9">
        <v>238.0</v>
      </c>
      <c r="F1513" s="14"/>
      <c r="G1513" s="15"/>
      <c r="H1513" s="15"/>
      <c r="I1513" s="14"/>
      <c r="P1513" s="14"/>
    </row>
    <row r="1514" ht="18.75" customHeight="1">
      <c r="A1514" s="7" t="s">
        <v>3008</v>
      </c>
      <c r="B1514" s="9">
        <v>24724.0</v>
      </c>
      <c r="C1514" s="9">
        <v>24335.0</v>
      </c>
      <c r="D1514" s="9">
        <v>11528.0</v>
      </c>
      <c r="E1514" s="9">
        <v>442.0</v>
      </c>
      <c r="F1514" s="14"/>
      <c r="G1514" s="15"/>
      <c r="H1514" s="15"/>
      <c r="I1514" s="14"/>
      <c r="P1514" s="14"/>
    </row>
    <row r="1515" ht="18.75" customHeight="1">
      <c r="A1515" s="7" t="s">
        <v>3009</v>
      </c>
      <c r="B1515" s="9">
        <v>26930.0</v>
      </c>
      <c r="C1515" s="9">
        <v>26459.0</v>
      </c>
      <c r="D1515" s="9">
        <v>12248.0</v>
      </c>
      <c r="E1515" s="9">
        <v>649.0</v>
      </c>
      <c r="F1515" s="14"/>
      <c r="G1515" s="15"/>
      <c r="H1515" s="15"/>
      <c r="I1515" s="14"/>
      <c r="P1515" s="14"/>
    </row>
    <row r="1516" ht="18.75" customHeight="1">
      <c r="A1516" s="7" t="s">
        <v>3010</v>
      </c>
      <c r="B1516" s="9">
        <v>56448.0</v>
      </c>
      <c r="C1516" s="9">
        <v>55849.0</v>
      </c>
      <c r="D1516" s="9">
        <v>24700.0</v>
      </c>
      <c r="E1516" s="9">
        <v>391.0</v>
      </c>
      <c r="F1516" s="14"/>
      <c r="G1516" s="15"/>
      <c r="H1516" s="15"/>
      <c r="I1516" s="14"/>
      <c r="P1516" s="14"/>
    </row>
    <row r="1517" ht="18.75" customHeight="1">
      <c r="A1517" s="7" t="s">
        <v>3011</v>
      </c>
      <c r="B1517" s="9">
        <v>69668.0</v>
      </c>
      <c r="C1517" s="9">
        <v>68551.0</v>
      </c>
      <c r="D1517" s="9">
        <v>26429.0</v>
      </c>
      <c r="E1517" s="9">
        <v>525.0</v>
      </c>
      <c r="F1517" s="14"/>
      <c r="G1517" s="15"/>
      <c r="H1517" s="15"/>
      <c r="I1517" s="14"/>
      <c r="P1517" s="14"/>
    </row>
    <row r="1518" ht="18.75" customHeight="1">
      <c r="A1518" s="7" t="s">
        <v>385</v>
      </c>
      <c r="B1518" s="9">
        <v>12610.0</v>
      </c>
      <c r="C1518" s="9">
        <v>12351.0</v>
      </c>
      <c r="D1518" s="9">
        <v>3788.0</v>
      </c>
      <c r="E1518" s="9">
        <v>161.0</v>
      </c>
      <c r="F1518" s="14"/>
      <c r="G1518" s="15"/>
      <c r="H1518" s="15"/>
      <c r="I1518" s="14"/>
      <c r="P1518" s="14"/>
    </row>
    <row r="1519" ht="18.75" customHeight="1">
      <c r="A1519" s="7" t="s">
        <v>385</v>
      </c>
      <c r="B1519" s="9">
        <v>15948.0</v>
      </c>
      <c r="C1519" s="9">
        <v>15651.0</v>
      </c>
      <c r="D1519" s="9">
        <v>5814.0</v>
      </c>
      <c r="E1519" s="9">
        <v>194.0</v>
      </c>
      <c r="F1519" s="14"/>
      <c r="G1519" s="15"/>
      <c r="H1519" s="15"/>
      <c r="I1519" s="14"/>
      <c r="P1519" s="14"/>
    </row>
    <row r="1520" ht="18.75" customHeight="1">
      <c r="A1520" s="7" t="s">
        <v>385</v>
      </c>
      <c r="B1520" s="9">
        <v>19831.0</v>
      </c>
      <c r="C1520" s="9">
        <v>19448.0</v>
      </c>
      <c r="D1520" s="9">
        <v>6944.0</v>
      </c>
      <c r="E1520" s="9">
        <v>394.0</v>
      </c>
      <c r="F1520" s="14"/>
      <c r="G1520" s="15"/>
      <c r="H1520" s="15"/>
      <c r="I1520" s="14"/>
      <c r="P1520" s="14"/>
    </row>
    <row r="1521" ht="18.75" customHeight="1">
      <c r="A1521" s="7" t="s">
        <v>385</v>
      </c>
      <c r="B1521" s="9">
        <v>16228.0</v>
      </c>
      <c r="C1521" s="9">
        <v>15930.0</v>
      </c>
      <c r="D1521" s="9">
        <v>5190.0</v>
      </c>
      <c r="E1521" s="9">
        <v>211.0</v>
      </c>
      <c r="F1521" s="14"/>
      <c r="G1521" s="15"/>
      <c r="H1521" s="15"/>
      <c r="I1521" s="14"/>
      <c r="P1521" s="14"/>
    </row>
    <row r="1522" ht="18.75" customHeight="1">
      <c r="A1522" s="7" t="s">
        <v>385</v>
      </c>
      <c r="B1522" s="9">
        <v>29709.0</v>
      </c>
      <c r="C1522" s="9">
        <v>29073.0</v>
      </c>
      <c r="D1522" s="9">
        <v>8547.0</v>
      </c>
      <c r="E1522" s="9">
        <v>225.0</v>
      </c>
      <c r="F1522" s="14"/>
      <c r="G1522" s="15"/>
      <c r="H1522" s="15"/>
      <c r="I1522" s="14"/>
      <c r="P1522" s="14"/>
    </row>
    <row r="1523" ht="18.75" customHeight="1">
      <c r="A1523" s="7" t="s">
        <v>2856</v>
      </c>
      <c r="B1523" s="9">
        <v>35136.0</v>
      </c>
      <c r="C1523" s="9">
        <v>34543.0</v>
      </c>
      <c r="D1523" s="9">
        <v>10612.0</v>
      </c>
      <c r="E1523" s="9">
        <v>242.0</v>
      </c>
      <c r="F1523" s="14"/>
      <c r="G1523" s="15"/>
      <c r="H1523" s="15"/>
      <c r="I1523" s="14"/>
      <c r="P1523" s="14"/>
    </row>
    <row r="1524" ht="18.75" customHeight="1">
      <c r="A1524" s="7" t="s">
        <v>3012</v>
      </c>
      <c r="B1524" s="9">
        <v>5812.0</v>
      </c>
      <c r="C1524" s="9">
        <v>5659.0</v>
      </c>
      <c r="D1524" s="9">
        <v>1553.0</v>
      </c>
      <c r="E1524" s="9">
        <v>134.0</v>
      </c>
      <c r="F1524" s="14"/>
      <c r="G1524" s="15"/>
      <c r="H1524" s="15"/>
      <c r="I1524" s="14"/>
      <c r="P1524" s="14"/>
    </row>
    <row r="1525" ht="18.75" customHeight="1">
      <c r="A1525" s="7" t="s">
        <v>3013</v>
      </c>
      <c r="B1525" s="9">
        <v>20371.0</v>
      </c>
      <c r="C1525" s="9">
        <v>20006.0</v>
      </c>
      <c r="D1525" s="9">
        <v>8534.0</v>
      </c>
      <c r="E1525" s="9">
        <v>319.0</v>
      </c>
      <c r="F1525" s="14"/>
      <c r="G1525" s="15"/>
      <c r="H1525" s="15"/>
      <c r="I1525" s="14"/>
      <c r="P1525" s="14"/>
    </row>
    <row r="1526" ht="18.75" customHeight="1">
      <c r="A1526" s="7" t="s">
        <v>3014</v>
      </c>
      <c r="B1526" s="9">
        <v>28190.0</v>
      </c>
      <c r="C1526" s="9">
        <v>27766.0</v>
      </c>
      <c r="D1526" s="9">
        <v>11651.0</v>
      </c>
      <c r="E1526" s="9">
        <v>367.0</v>
      </c>
      <c r="F1526" s="14"/>
      <c r="G1526" s="15"/>
      <c r="H1526" s="15"/>
      <c r="I1526" s="14"/>
      <c r="P1526" s="14"/>
    </row>
    <row r="1527" ht="18.75" customHeight="1">
      <c r="A1527" s="7" t="s">
        <v>3015</v>
      </c>
      <c r="B1527" s="9">
        <v>15921.0</v>
      </c>
      <c r="C1527" s="9">
        <v>15696.0</v>
      </c>
      <c r="D1527" s="9">
        <v>6013.0</v>
      </c>
      <c r="E1527" s="9">
        <v>300.0</v>
      </c>
      <c r="F1527" s="14"/>
      <c r="G1527" s="15"/>
      <c r="H1527" s="15"/>
      <c r="I1527" s="14"/>
      <c r="P1527" s="14"/>
    </row>
    <row r="1528" ht="18.75" customHeight="1">
      <c r="A1528" s="7" t="s">
        <v>3016</v>
      </c>
      <c r="B1528" s="9">
        <v>4313.0</v>
      </c>
      <c r="C1528" s="9">
        <v>4213.0</v>
      </c>
      <c r="D1528" s="9">
        <v>1391.0</v>
      </c>
      <c r="E1528" s="9">
        <v>100.0</v>
      </c>
      <c r="F1528" s="14"/>
      <c r="G1528" s="15"/>
      <c r="H1528" s="15"/>
      <c r="I1528" s="14"/>
      <c r="P1528" s="14"/>
    </row>
    <row r="1529" ht="18.75" customHeight="1">
      <c r="A1529" s="7" t="s">
        <v>3017</v>
      </c>
      <c r="B1529" s="9">
        <v>26303.0</v>
      </c>
      <c r="C1529" s="9">
        <v>25821.0</v>
      </c>
      <c r="D1529" s="9">
        <v>9492.0</v>
      </c>
      <c r="E1529" s="9">
        <v>454.0</v>
      </c>
      <c r="F1529" s="14"/>
      <c r="G1529" s="15"/>
      <c r="H1529" s="15"/>
      <c r="I1529" s="14"/>
      <c r="P1529" s="14"/>
    </row>
    <row r="1530" ht="18.75" customHeight="1">
      <c r="A1530" s="7" t="s">
        <v>3018</v>
      </c>
      <c r="B1530" s="9">
        <v>12959.0</v>
      </c>
      <c r="C1530" s="9">
        <v>12755.0</v>
      </c>
      <c r="D1530" s="9">
        <v>4807.0</v>
      </c>
      <c r="E1530" s="9">
        <v>272.0</v>
      </c>
      <c r="F1530" s="14"/>
      <c r="G1530" s="15"/>
      <c r="H1530" s="15"/>
      <c r="I1530" s="14"/>
      <c r="P1530" s="14"/>
    </row>
    <row r="1531" ht="18.75" customHeight="1">
      <c r="A1531" s="7" t="s">
        <v>3019</v>
      </c>
      <c r="B1531" s="9">
        <v>6570.0</v>
      </c>
      <c r="C1531" s="9">
        <v>6456.0</v>
      </c>
      <c r="D1531" s="9">
        <v>2440.0</v>
      </c>
      <c r="E1531" s="9">
        <v>123.0</v>
      </c>
      <c r="F1531" s="14"/>
      <c r="G1531" s="15"/>
      <c r="H1531" s="15"/>
      <c r="I1531" s="14"/>
      <c r="P1531" s="14"/>
    </row>
    <row r="1532" ht="18.75" customHeight="1">
      <c r="A1532" s="7" t="s">
        <v>3020</v>
      </c>
      <c r="B1532" s="9">
        <v>11908.0</v>
      </c>
      <c r="C1532" s="9">
        <v>11674.0</v>
      </c>
      <c r="D1532" s="9">
        <v>4183.0</v>
      </c>
      <c r="E1532" s="9">
        <v>241.0</v>
      </c>
      <c r="F1532" s="14"/>
      <c r="G1532" s="15"/>
      <c r="H1532" s="15"/>
      <c r="I1532" s="14"/>
      <c r="P1532" s="14"/>
    </row>
    <row r="1533" ht="18.75" customHeight="1">
      <c r="A1533" s="7" t="s">
        <v>3021</v>
      </c>
      <c r="B1533" s="9">
        <v>12927.0</v>
      </c>
      <c r="C1533" s="9">
        <v>12694.0</v>
      </c>
      <c r="D1533" s="9">
        <v>4871.0</v>
      </c>
      <c r="E1533" s="9">
        <v>260.0</v>
      </c>
      <c r="F1533" s="14"/>
      <c r="G1533" s="15"/>
      <c r="H1533" s="15"/>
      <c r="I1533" s="14"/>
      <c r="P1533" s="14"/>
    </row>
    <row r="1534" ht="18.75" customHeight="1">
      <c r="A1534" s="7" t="s">
        <v>3022</v>
      </c>
      <c r="B1534" s="9">
        <v>9156.0</v>
      </c>
      <c r="C1534" s="9">
        <v>8926.0</v>
      </c>
      <c r="D1534" s="9">
        <v>2621.0</v>
      </c>
      <c r="E1534" s="9">
        <v>89.0</v>
      </c>
      <c r="F1534" s="14"/>
      <c r="G1534" s="15"/>
      <c r="H1534" s="15"/>
      <c r="I1534" s="14"/>
      <c r="P1534" s="14"/>
    </row>
    <row r="1535" ht="18.75" customHeight="1">
      <c r="A1535" s="7" t="s">
        <v>3023</v>
      </c>
      <c r="B1535" s="9">
        <v>7965.0</v>
      </c>
      <c r="C1535" s="9">
        <v>7816.0</v>
      </c>
      <c r="D1535" s="9">
        <v>2630.0</v>
      </c>
      <c r="E1535" s="9">
        <v>143.0</v>
      </c>
      <c r="F1535" s="14"/>
      <c r="G1535" s="15"/>
      <c r="H1535" s="15"/>
      <c r="I1535" s="14"/>
      <c r="P1535" s="14"/>
    </row>
    <row r="1536" ht="18.75" customHeight="1">
      <c r="A1536" s="7" t="s">
        <v>2857</v>
      </c>
      <c r="B1536" s="9">
        <v>29040.0</v>
      </c>
      <c r="C1536" s="9">
        <v>28817.0</v>
      </c>
      <c r="D1536" s="9">
        <v>12390.0</v>
      </c>
      <c r="E1536" s="9">
        <v>385.0</v>
      </c>
      <c r="F1536" s="14"/>
      <c r="G1536" s="15"/>
      <c r="H1536" s="15"/>
      <c r="I1536" s="14"/>
      <c r="P1536" s="14"/>
    </row>
    <row r="1537" ht="18.75" customHeight="1">
      <c r="A1537" s="7" t="s">
        <v>3024</v>
      </c>
      <c r="B1537" s="9">
        <v>17663.0</v>
      </c>
      <c r="C1537" s="9">
        <v>17320.0</v>
      </c>
      <c r="D1537" s="9">
        <v>6917.0</v>
      </c>
      <c r="E1537" s="9">
        <v>311.0</v>
      </c>
      <c r="F1537" s="14"/>
      <c r="G1537" s="15"/>
      <c r="H1537" s="15"/>
      <c r="I1537" s="14"/>
      <c r="P1537" s="14"/>
    </row>
    <row r="1538" ht="18.75" customHeight="1">
      <c r="A1538" s="7" t="s">
        <v>2857</v>
      </c>
      <c r="B1538" s="9">
        <v>41916.0</v>
      </c>
      <c r="C1538" s="9">
        <v>41113.0</v>
      </c>
      <c r="D1538" s="9">
        <v>15469.0</v>
      </c>
      <c r="E1538" s="9">
        <v>336.0</v>
      </c>
      <c r="F1538" s="14"/>
      <c r="G1538" s="15"/>
      <c r="H1538" s="15"/>
      <c r="I1538" s="14"/>
      <c r="P1538" s="14"/>
    </row>
    <row r="1539" ht="18.75" customHeight="1">
      <c r="A1539" s="7" t="s">
        <v>3025</v>
      </c>
      <c r="B1539" s="9">
        <v>53823.0</v>
      </c>
      <c r="C1539" s="9">
        <v>52784.0</v>
      </c>
      <c r="D1539" s="9">
        <v>21028.0</v>
      </c>
      <c r="E1539" s="9">
        <v>360.0</v>
      </c>
      <c r="F1539" s="14"/>
      <c r="G1539" s="15"/>
      <c r="H1539" s="15"/>
      <c r="I1539" s="14"/>
      <c r="P1539" s="14"/>
    </row>
    <row r="1540" ht="18.75" customHeight="1">
      <c r="A1540" s="7" t="s">
        <v>3026</v>
      </c>
      <c r="B1540" s="9">
        <v>76657.0</v>
      </c>
      <c r="C1540" s="9">
        <v>75141.0</v>
      </c>
      <c r="D1540" s="9">
        <v>23843.0</v>
      </c>
      <c r="E1540" s="9">
        <v>1464.0</v>
      </c>
      <c r="F1540" s="14"/>
      <c r="G1540" s="15"/>
      <c r="H1540" s="15"/>
      <c r="I1540" s="14"/>
      <c r="P1540" s="14"/>
    </row>
    <row r="1541" ht="18.75" customHeight="1">
      <c r="A1541" s="7" t="s">
        <v>3027</v>
      </c>
      <c r="B1541" s="9">
        <v>15538.0</v>
      </c>
      <c r="C1541" s="9">
        <v>15238.0</v>
      </c>
      <c r="D1541" s="9">
        <v>5117.0</v>
      </c>
      <c r="E1541" s="9">
        <v>193.0</v>
      </c>
      <c r="F1541" s="14"/>
      <c r="G1541" s="15"/>
      <c r="H1541" s="15"/>
      <c r="I1541" s="14"/>
      <c r="P1541" s="14"/>
    </row>
    <row r="1542" ht="18.75" customHeight="1">
      <c r="A1542" s="7" t="s">
        <v>3028</v>
      </c>
      <c r="B1542" s="9">
        <v>82731.0</v>
      </c>
      <c r="C1542" s="9">
        <v>81565.0</v>
      </c>
      <c r="D1542" s="9">
        <v>32311.0</v>
      </c>
      <c r="E1542" s="9">
        <v>425.0</v>
      </c>
      <c r="F1542" s="14"/>
      <c r="G1542" s="15"/>
      <c r="H1542" s="15"/>
      <c r="I1542" s="14"/>
      <c r="P1542" s="14"/>
    </row>
    <row r="1543" ht="18.75" customHeight="1">
      <c r="A1543" s="7" t="s">
        <v>3029</v>
      </c>
      <c r="B1543" s="9">
        <v>84470.0</v>
      </c>
      <c r="C1543" s="9">
        <v>83723.0</v>
      </c>
      <c r="D1543" s="9">
        <v>43256.0</v>
      </c>
      <c r="E1543" s="9">
        <v>248.0</v>
      </c>
      <c r="F1543" s="14"/>
      <c r="G1543" s="15"/>
      <c r="H1543" s="15"/>
      <c r="I1543" s="14"/>
      <c r="P1543" s="14"/>
    </row>
    <row r="1544" ht="18.75" customHeight="1">
      <c r="A1544" s="7" t="s">
        <v>3030</v>
      </c>
      <c r="B1544" s="9">
        <v>15632.0</v>
      </c>
      <c r="C1544" s="9">
        <v>15346.0</v>
      </c>
      <c r="D1544" s="9">
        <v>570.0</v>
      </c>
      <c r="E1544" s="9">
        <v>313.0</v>
      </c>
      <c r="F1544" s="14"/>
      <c r="G1544" s="15"/>
      <c r="H1544" s="15"/>
      <c r="I1544" s="14"/>
      <c r="P1544" s="14"/>
    </row>
    <row r="1545" ht="18.75" customHeight="1">
      <c r="A1545" s="7" t="s">
        <v>3031</v>
      </c>
      <c r="B1545" s="9">
        <v>58263.0</v>
      </c>
      <c r="C1545" s="9">
        <v>57363.0</v>
      </c>
      <c r="D1545" s="9">
        <v>24794.0</v>
      </c>
      <c r="E1545" s="9">
        <v>455.0</v>
      </c>
      <c r="F1545" s="14"/>
      <c r="G1545" s="15"/>
      <c r="H1545" s="15"/>
      <c r="I1545" s="14"/>
      <c r="P1545" s="14"/>
    </row>
    <row r="1546" ht="18.75" customHeight="1">
      <c r="A1546" s="7" t="s">
        <v>3032</v>
      </c>
      <c r="B1546" s="9">
        <v>9410.0</v>
      </c>
      <c r="C1546" s="9">
        <v>9214.0</v>
      </c>
      <c r="D1546" s="9">
        <v>3482.0</v>
      </c>
      <c r="E1546" s="9">
        <v>114.0</v>
      </c>
      <c r="F1546" s="14"/>
      <c r="G1546" s="15"/>
      <c r="H1546" s="15"/>
      <c r="I1546" s="14"/>
      <c r="P1546" s="14"/>
    </row>
    <row r="1547" ht="18.75" customHeight="1">
      <c r="A1547" s="7" t="s">
        <v>3033</v>
      </c>
      <c r="B1547" s="9">
        <v>13636.0</v>
      </c>
      <c r="C1547" s="9">
        <v>13364.0</v>
      </c>
      <c r="D1547" s="9">
        <v>4534.0</v>
      </c>
      <c r="E1547" s="9">
        <v>200.0</v>
      </c>
      <c r="F1547" s="14"/>
      <c r="G1547" s="15"/>
      <c r="H1547" s="15"/>
      <c r="I1547" s="14"/>
      <c r="P1547" s="14"/>
    </row>
    <row r="1548" ht="18.75" customHeight="1">
      <c r="A1548" s="7" t="s">
        <v>3034</v>
      </c>
      <c r="B1548" s="9">
        <v>10331.0</v>
      </c>
      <c r="C1548" s="9">
        <v>10141.0</v>
      </c>
      <c r="D1548" s="9">
        <v>3289.0</v>
      </c>
      <c r="E1548" s="9">
        <v>160.0</v>
      </c>
      <c r="F1548" s="14"/>
      <c r="G1548" s="15"/>
      <c r="H1548" s="15"/>
      <c r="I1548" s="14"/>
      <c r="P1548" s="14"/>
    </row>
    <row r="1549" ht="18.75" customHeight="1">
      <c r="A1549" s="7" t="s">
        <v>2504</v>
      </c>
      <c r="B1549" s="9">
        <v>8716.0</v>
      </c>
      <c r="C1549" s="9">
        <v>8531.0</v>
      </c>
      <c r="D1549" s="9">
        <v>2569.0</v>
      </c>
      <c r="E1549" s="9">
        <v>139.0</v>
      </c>
      <c r="F1549" s="14"/>
      <c r="G1549" s="15"/>
      <c r="H1549" s="15"/>
      <c r="I1549" s="14"/>
      <c r="P1549" s="14"/>
    </row>
    <row r="1550" ht="18.75" customHeight="1">
      <c r="A1550" s="7" t="s">
        <v>2504</v>
      </c>
      <c r="B1550" s="9">
        <v>14535.0</v>
      </c>
      <c r="C1550" s="9">
        <v>14409.0</v>
      </c>
      <c r="D1550" s="9">
        <v>5397.0</v>
      </c>
      <c r="E1550" s="9">
        <v>285.0</v>
      </c>
      <c r="F1550" s="14"/>
      <c r="G1550" s="15"/>
      <c r="H1550" s="15"/>
      <c r="I1550" s="14"/>
      <c r="P1550" s="14"/>
    </row>
    <row r="1551" ht="18.75" customHeight="1">
      <c r="A1551" s="7" t="s">
        <v>2970</v>
      </c>
      <c r="B1551" s="9">
        <v>33201.0</v>
      </c>
      <c r="C1551" s="9">
        <v>32589.0</v>
      </c>
      <c r="D1551" s="9">
        <v>14650.0</v>
      </c>
      <c r="E1551" s="9">
        <v>570.0</v>
      </c>
      <c r="F1551" s="14"/>
      <c r="G1551" s="15"/>
      <c r="H1551" s="15"/>
      <c r="I1551" s="14"/>
      <c r="P1551" s="14"/>
    </row>
    <row r="1552" ht="18.75" customHeight="1">
      <c r="A1552" s="7" t="s">
        <v>3035</v>
      </c>
      <c r="B1552" s="9">
        <v>8200.0</v>
      </c>
      <c r="C1552" s="9">
        <v>8029.0</v>
      </c>
      <c r="D1552" s="9">
        <v>2380.0</v>
      </c>
      <c r="E1552" s="9">
        <v>102.0</v>
      </c>
      <c r="F1552" s="14"/>
      <c r="G1552" s="15"/>
      <c r="H1552" s="15"/>
      <c r="I1552" s="14"/>
      <c r="P1552" s="14"/>
    </row>
    <row r="1553" ht="18.75" customHeight="1">
      <c r="A1553" s="7" t="s">
        <v>3036</v>
      </c>
      <c r="B1553" s="9">
        <v>75550.0</v>
      </c>
      <c r="C1553" s="9">
        <v>74775.0</v>
      </c>
      <c r="D1553" s="9">
        <v>41299.0</v>
      </c>
      <c r="E1553" s="9">
        <v>418.0</v>
      </c>
      <c r="F1553" s="14"/>
      <c r="G1553" s="15"/>
      <c r="H1553" s="15"/>
      <c r="I1553" s="14"/>
      <c r="P1553" s="14"/>
    </row>
    <row r="1554" ht="18.75" customHeight="1">
      <c r="A1554" s="7" t="s">
        <v>3037</v>
      </c>
      <c r="B1554" s="9">
        <v>66439.0</v>
      </c>
      <c r="C1554" s="9">
        <v>65790.0</v>
      </c>
      <c r="D1554" s="9">
        <v>33687.0</v>
      </c>
      <c r="E1554" s="9">
        <v>517.0</v>
      </c>
      <c r="F1554" s="14"/>
      <c r="G1554" s="15"/>
      <c r="H1554" s="15"/>
      <c r="I1554" s="14"/>
      <c r="P1554" s="14"/>
    </row>
    <row r="1555" ht="18.75" customHeight="1">
      <c r="A1555" s="7" t="s">
        <v>3037</v>
      </c>
      <c r="B1555" s="9">
        <v>66364.0</v>
      </c>
      <c r="C1555" s="9">
        <v>65681.0</v>
      </c>
      <c r="D1555" s="9">
        <v>31259.0</v>
      </c>
      <c r="E1555" s="9">
        <v>576.0</v>
      </c>
      <c r="F1555" s="14"/>
      <c r="G1555" s="15"/>
      <c r="H1555" s="15"/>
      <c r="I1555" s="14"/>
      <c r="P1555" s="14"/>
    </row>
    <row r="1556" ht="18.75" customHeight="1">
      <c r="A1556" s="7" t="s">
        <v>2504</v>
      </c>
      <c r="B1556" s="9">
        <v>12495.0</v>
      </c>
      <c r="C1556" s="9">
        <v>12306.0</v>
      </c>
      <c r="D1556" s="9">
        <v>5572.0</v>
      </c>
      <c r="E1556" s="9">
        <v>123.0</v>
      </c>
      <c r="F1556" s="14"/>
      <c r="G1556" s="15"/>
      <c r="H1556" s="15"/>
      <c r="I1556" s="14"/>
      <c r="P1556" s="14"/>
    </row>
    <row r="1557" ht="18.75" customHeight="1">
      <c r="A1557" s="7" t="s">
        <v>2504</v>
      </c>
      <c r="B1557" s="9">
        <v>24572.0</v>
      </c>
      <c r="C1557" s="9">
        <v>24104.0</v>
      </c>
      <c r="D1557" s="9">
        <v>9649.0</v>
      </c>
      <c r="E1557" s="9">
        <v>398.0</v>
      </c>
      <c r="F1557" s="14"/>
      <c r="G1557" s="15"/>
      <c r="H1557" s="15"/>
      <c r="I1557" s="14"/>
      <c r="P1557" s="14"/>
    </row>
    <row r="1558" ht="18.75" customHeight="1">
      <c r="A1558" s="7" t="s">
        <v>2504</v>
      </c>
      <c r="B1558" s="9">
        <v>29077.0</v>
      </c>
      <c r="C1558" s="9">
        <v>28574.0</v>
      </c>
      <c r="D1558" s="9">
        <v>11462.0</v>
      </c>
      <c r="E1558" s="9">
        <v>509.0</v>
      </c>
      <c r="F1558" s="14"/>
      <c r="G1558" s="15"/>
      <c r="H1558" s="15"/>
      <c r="I1558" s="14"/>
      <c r="P1558" s="14"/>
    </row>
    <row r="1559" ht="18.75" customHeight="1">
      <c r="A1559" s="7" t="s">
        <v>3038</v>
      </c>
      <c r="B1559" s="9">
        <v>21363.0</v>
      </c>
      <c r="C1559" s="9">
        <v>20988.0</v>
      </c>
      <c r="D1559" s="9">
        <v>6262.0</v>
      </c>
      <c r="E1559" s="9">
        <v>371.0</v>
      </c>
      <c r="F1559" s="14"/>
      <c r="G1559" s="15"/>
      <c r="H1559" s="15"/>
      <c r="I1559" s="14"/>
      <c r="P1559" s="14"/>
    </row>
    <row r="1560" ht="18.75" customHeight="1">
      <c r="A1560" s="7" t="s">
        <v>3038</v>
      </c>
      <c r="B1560" s="9">
        <v>24207.0</v>
      </c>
      <c r="C1560" s="9">
        <v>24084.0</v>
      </c>
      <c r="D1560" s="9">
        <v>14776.0</v>
      </c>
      <c r="E1560" s="9">
        <v>899.0</v>
      </c>
      <c r="F1560" s="14"/>
      <c r="G1560" s="15"/>
      <c r="H1560" s="15"/>
      <c r="I1560" s="14"/>
      <c r="P1560" s="14"/>
    </row>
    <row r="1561" ht="18.75" customHeight="1">
      <c r="A1561" s="7" t="s">
        <v>3038</v>
      </c>
      <c r="B1561" s="9">
        <v>17184.0</v>
      </c>
      <c r="C1561" s="9">
        <v>16914.0</v>
      </c>
      <c r="D1561" s="9">
        <v>5563.0</v>
      </c>
      <c r="E1561" s="9">
        <v>216.0</v>
      </c>
      <c r="F1561" s="14"/>
      <c r="G1561" s="15"/>
      <c r="H1561" s="15"/>
      <c r="I1561" s="14"/>
      <c r="P1561" s="14"/>
    </row>
    <row r="1562" ht="18.75" customHeight="1">
      <c r="A1562" s="7" t="s">
        <v>3039</v>
      </c>
      <c r="B1562" s="9">
        <v>88054.0</v>
      </c>
      <c r="C1562" s="9">
        <v>87093.0</v>
      </c>
      <c r="D1562" s="9">
        <v>46258.0</v>
      </c>
      <c r="E1562" s="9">
        <v>559.0</v>
      </c>
      <c r="F1562" s="14"/>
      <c r="G1562" s="15"/>
      <c r="H1562" s="15"/>
      <c r="I1562" s="14"/>
      <c r="P1562" s="14"/>
    </row>
    <row r="1563" ht="18.75" customHeight="1">
      <c r="A1563" s="7" t="s">
        <v>3040</v>
      </c>
      <c r="B1563" s="9">
        <v>25957.0</v>
      </c>
      <c r="C1563" s="9">
        <v>25556.0</v>
      </c>
      <c r="D1563" s="9">
        <v>10004.0</v>
      </c>
      <c r="E1563" s="9">
        <v>389.0</v>
      </c>
      <c r="F1563" s="14"/>
      <c r="G1563" s="15"/>
      <c r="H1563" s="15"/>
      <c r="I1563" s="14"/>
      <c r="P1563" s="14"/>
    </row>
    <row r="1564" ht="18.75" customHeight="1">
      <c r="A1564" s="7" t="s">
        <v>3041</v>
      </c>
      <c r="B1564" s="9">
        <v>60674.0</v>
      </c>
      <c r="C1564" s="9">
        <v>59567.0</v>
      </c>
      <c r="D1564" s="9">
        <v>21696.0</v>
      </c>
      <c r="E1564" s="9">
        <v>671.0</v>
      </c>
      <c r="F1564" s="14"/>
      <c r="G1564" s="15"/>
      <c r="H1564" s="15"/>
      <c r="I1564" s="14"/>
      <c r="P1564" s="14"/>
    </row>
    <row r="1565" ht="18.75" customHeight="1">
      <c r="A1565" s="7" t="s">
        <v>3042</v>
      </c>
      <c r="B1565" s="9">
        <v>132943.0</v>
      </c>
      <c r="C1565" s="9">
        <v>130359.0</v>
      </c>
      <c r="D1565" s="9">
        <v>52433.0</v>
      </c>
      <c r="E1565" s="9">
        <v>1017.0</v>
      </c>
      <c r="F1565" s="14"/>
      <c r="G1565" s="15"/>
      <c r="H1565" s="15"/>
      <c r="I1565" s="14"/>
      <c r="P1565" s="14"/>
    </row>
    <row r="1566" ht="18.75" customHeight="1">
      <c r="A1566" s="7" t="s">
        <v>3043</v>
      </c>
      <c r="B1566" s="9">
        <v>36602.0</v>
      </c>
      <c r="C1566" s="9">
        <v>35893.0</v>
      </c>
      <c r="D1566" s="9">
        <v>8915.0</v>
      </c>
      <c r="E1566" s="9">
        <v>215.0</v>
      </c>
      <c r="F1566" s="14"/>
      <c r="G1566" s="15"/>
      <c r="H1566" s="15"/>
      <c r="I1566" s="14"/>
      <c r="P1566" s="14"/>
    </row>
    <row r="1567" ht="18.75" customHeight="1">
      <c r="A1567" s="7" t="s">
        <v>3044</v>
      </c>
      <c r="B1567" s="9">
        <v>79928.0</v>
      </c>
      <c r="C1567" s="9">
        <v>76670.0</v>
      </c>
      <c r="D1567" s="9">
        <v>28938.0</v>
      </c>
      <c r="E1567" s="9">
        <v>3275.0</v>
      </c>
      <c r="F1567" s="14"/>
      <c r="G1567" s="15"/>
      <c r="H1567" s="15"/>
      <c r="I1567" s="14"/>
      <c r="P1567" s="14"/>
    </row>
    <row r="1568" ht="18.75" customHeight="1">
      <c r="A1568" s="7" t="s">
        <v>3045</v>
      </c>
      <c r="B1568" s="9">
        <v>29643.0</v>
      </c>
      <c r="C1568" s="9">
        <v>29094.0</v>
      </c>
      <c r="D1568" s="9">
        <v>9430.0</v>
      </c>
      <c r="E1568" s="9">
        <v>89.0</v>
      </c>
      <c r="F1568" s="14"/>
      <c r="G1568" s="15"/>
      <c r="H1568" s="15"/>
      <c r="I1568" s="14"/>
      <c r="P1568" s="14"/>
    </row>
    <row r="1569" ht="18.75" customHeight="1">
      <c r="A1569" s="7" t="s">
        <v>3046</v>
      </c>
      <c r="B1569" s="9">
        <v>33325.0</v>
      </c>
      <c r="C1569" s="9">
        <v>32811.0</v>
      </c>
      <c r="D1569" s="9">
        <v>12680.0</v>
      </c>
      <c r="E1569" s="9">
        <v>844.0</v>
      </c>
      <c r="F1569" s="14"/>
      <c r="G1569" s="15"/>
      <c r="H1569" s="15"/>
      <c r="I1569" s="14"/>
      <c r="P1569" s="14"/>
    </row>
    <row r="1570" ht="18.75" customHeight="1">
      <c r="A1570" s="7" t="s">
        <v>3047</v>
      </c>
      <c r="B1570" s="9">
        <v>52632.0</v>
      </c>
      <c r="C1570" s="9">
        <v>51915.0</v>
      </c>
      <c r="D1570" s="9">
        <v>24990.0</v>
      </c>
      <c r="E1570" s="9">
        <v>299.0</v>
      </c>
      <c r="F1570" s="14"/>
      <c r="G1570" s="15"/>
      <c r="H1570" s="15"/>
      <c r="I1570" s="14"/>
      <c r="P1570" s="14"/>
    </row>
    <row r="1571" ht="18.75" customHeight="1">
      <c r="A1571" s="7" t="s">
        <v>3048</v>
      </c>
      <c r="B1571" s="9">
        <v>34764.0</v>
      </c>
      <c r="C1571" s="9">
        <v>34131.0</v>
      </c>
      <c r="D1571" s="9">
        <v>9333.0</v>
      </c>
      <c r="E1571" s="9">
        <v>326.0</v>
      </c>
      <c r="F1571" s="14"/>
      <c r="G1571" s="15"/>
      <c r="H1571" s="15"/>
      <c r="I1571" s="14"/>
      <c r="P1571" s="14"/>
    </row>
    <row r="1572" ht="18.75" customHeight="1">
      <c r="A1572" s="7" t="s">
        <v>3049</v>
      </c>
      <c r="B1572" s="9">
        <v>31658.0</v>
      </c>
      <c r="C1572" s="9">
        <v>31118.0</v>
      </c>
      <c r="D1572" s="9">
        <v>10618.0</v>
      </c>
      <c r="E1572" s="9">
        <v>91.0</v>
      </c>
      <c r="F1572" s="14"/>
      <c r="G1572" s="15"/>
      <c r="H1572" s="15"/>
      <c r="I1572" s="14"/>
      <c r="P1572" s="14"/>
    </row>
    <row r="1573" ht="18.75" customHeight="1">
      <c r="A1573" s="7" t="s">
        <v>3050</v>
      </c>
      <c r="B1573" s="9">
        <v>20908.0</v>
      </c>
      <c r="C1573" s="9">
        <v>20481.0</v>
      </c>
      <c r="D1573" s="9">
        <v>7141.0</v>
      </c>
      <c r="E1573" s="9">
        <v>35.0</v>
      </c>
      <c r="F1573" s="14"/>
      <c r="G1573" s="15"/>
      <c r="H1573" s="15"/>
      <c r="I1573" s="14"/>
      <c r="P1573" s="14"/>
    </row>
    <row r="1574" ht="18.75" customHeight="1">
      <c r="A1574" s="7" t="s">
        <v>3051</v>
      </c>
      <c r="B1574" s="9">
        <v>18223.0</v>
      </c>
      <c r="C1574" s="9">
        <v>17948.0</v>
      </c>
      <c r="D1574" s="9">
        <v>7093.0</v>
      </c>
      <c r="E1574" s="9">
        <v>212.0</v>
      </c>
      <c r="F1574" s="14"/>
      <c r="G1574" s="15"/>
      <c r="H1574" s="15"/>
      <c r="I1574" s="14"/>
      <c r="P1574" s="14"/>
    </row>
    <row r="1575" ht="18.75" customHeight="1">
      <c r="A1575" s="7" t="s">
        <v>3052</v>
      </c>
      <c r="B1575" s="9">
        <v>30122.0</v>
      </c>
      <c r="C1575" s="9">
        <v>29507.0</v>
      </c>
      <c r="D1575" s="9">
        <v>7897.0</v>
      </c>
      <c r="E1575" s="9">
        <v>21.0</v>
      </c>
      <c r="F1575" s="14"/>
      <c r="G1575" s="15"/>
      <c r="H1575" s="15"/>
      <c r="I1575" s="14"/>
      <c r="P1575" s="14"/>
    </row>
    <row r="1576" ht="18.75" customHeight="1">
      <c r="A1576" s="7" t="s">
        <v>3053</v>
      </c>
      <c r="B1576" s="9">
        <v>41854.0</v>
      </c>
      <c r="C1576" s="9">
        <v>41431.0</v>
      </c>
      <c r="D1576" s="9">
        <v>15845.0</v>
      </c>
      <c r="E1576" s="9">
        <v>510.0</v>
      </c>
      <c r="F1576" s="14"/>
      <c r="G1576" s="15"/>
      <c r="H1576" s="15"/>
      <c r="I1576" s="14"/>
      <c r="P1576" s="14"/>
    </row>
    <row r="1577" ht="18.75" customHeight="1">
      <c r="A1577" s="7" t="s">
        <v>3054</v>
      </c>
      <c r="B1577" s="9">
        <v>65221.0</v>
      </c>
      <c r="C1577" s="9">
        <v>63900.0</v>
      </c>
      <c r="D1577" s="9">
        <v>13222.0</v>
      </c>
      <c r="E1577" s="9">
        <v>919.0</v>
      </c>
      <c r="F1577" s="14"/>
      <c r="G1577" s="15"/>
      <c r="H1577" s="15"/>
      <c r="I1577" s="14"/>
      <c r="P1577" s="14"/>
    </row>
    <row r="1578" ht="18.75" customHeight="1">
      <c r="A1578" s="7" t="s">
        <v>3044</v>
      </c>
      <c r="B1578" s="9">
        <v>84980.0</v>
      </c>
      <c r="C1578" s="9">
        <v>83238.0</v>
      </c>
      <c r="D1578" s="9">
        <v>28555.0</v>
      </c>
      <c r="E1578" s="9">
        <v>3339.0</v>
      </c>
      <c r="F1578" s="14"/>
      <c r="G1578" s="15"/>
      <c r="H1578" s="15"/>
      <c r="I1578" s="14"/>
      <c r="P1578" s="14"/>
    </row>
    <row r="1579" ht="18.75" customHeight="1">
      <c r="A1579" s="7" t="s">
        <v>3055</v>
      </c>
      <c r="B1579" s="9">
        <v>43112.0</v>
      </c>
      <c r="C1579" s="9">
        <v>42299.0</v>
      </c>
      <c r="D1579" s="9">
        <v>14026.0</v>
      </c>
      <c r="E1579" s="9">
        <v>1128.0</v>
      </c>
      <c r="F1579" s="14"/>
      <c r="G1579" s="15"/>
      <c r="H1579" s="15"/>
      <c r="I1579" s="14"/>
      <c r="P1579" s="14"/>
    </row>
    <row r="1580" ht="18.75" customHeight="1">
      <c r="A1580" s="7" t="s">
        <v>3056</v>
      </c>
      <c r="B1580" s="9">
        <v>57529.0</v>
      </c>
      <c r="C1580" s="9">
        <v>56487.0</v>
      </c>
      <c r="D1580" s="9">
        <v>20170.0</v>
      </c>
      <c r="E1580" s="9">
        <v>161.0</v>
      </c>
      <c r="F1580" s="14"/>
      <c r="G1580" s="15"/>
      <c r="H1580" s="15"/>
      <c r="I1580" s="14"/>
      <c r="P1580" s="14"/>
    </row>
    <row r="1581" ht="18.75" customHeight="1">
      <c r="A1581" s="7" t="s">
        <v>3057</v>
      </c>
      <c r="B1581" s="9">
        <v>72702.0</v>
      </c>
      <c r="C1581" s="9">
        <v>70827.0</v>
      </c>
      <c r="D1581" s="9">
        <v>28128.0</v>
      </c>
      <c r="E1581" s="9">
        <v>702.0</v>
      </c>
      <c r="F1581" s="14"/>
      <c r="G1581" s="15"/>
      <c r="H1581" s="15"/>
      <c r="I1581" s="14"/>
      <c r="P1581" s="14"/>
    </row>
    <row r="1582" ht="18.75" customHeight="1">
      <c r="A1582" s="7" t="s">
        <v>3058</v>
      </c>
      <c r="B1582" s="9">
        <v>42087.0</v>
      </c>
      <c r="C1582" s="9">
        <v>41281.0</v>
      </c>
      <c r="D1582" s="9">
        <v>15092.0</v>
      </c>
      <c r="E1582" s="9">
        <v>919.0</v>
      </c>
      <c r="F1582" s="14"/>
      <c r="G1582" s="15"/>
      <c r="H1582" s="15"/>
      <c r="I1582" s="14"/>
      <c r="P1582" s="14"/>
    </row>
    <row r="1583" ht="18.75" customHeight="1">
      <c r="A1583" s="7" t="s">
        <v>3059</v>
      </c>
      <c r="B1583" s="9">
        <v>76558.0</v>
      </c>
      <c r="C1583" s="9">
        <v>75659.0</v>
      </c>
      <c r="D1583" s="9">
        <v>16625.0</v>
      </c>
      <c r="E1583" s="9">
        <v>1648.0</v>
      </c>
      <c r="F1583" s="14"/>
      <c r="G1583" s="15"/>
      <c r="H1583" s="15"/>
      <c r="I1583" s="14"/>
      <c r="P1583" s="14"/>
    </row>
    <row r="1584" ht="18.75" customHeight="1">
      <c r="A1584" s="7" t="s">
        <v>3060</v>
      </c>
      <c r="B1584" s="9">
        <v>47826.0</v>
      </c>
      <c r="C1584" s="9">
        <v>47046.0</v>
      </c>
      <c r="D1584" s="9">
        <v>14053.0</v>
      </c>
      <c r="E1584" s="9">
        <v>51.0</v>
      </c>
      <c r="F1584" s="14"/>
      <c r="G1584" s="15"/>
      <c r="H1584" s="15"/>
      <c r="I1584" s="14"/>
      <c r="P1584" s="14"/>
    </row>
    <row r="1585" ht="18.75" customHeight="1">
      <c r="A1585" s="7" t="s">
        <v>3061</v>
      </c>
      <c r="B1585" s="9">
        <v>78485.0</v>
      </c>
      <c r="C1585" s="9">
        <v>77138.0</v>
      </c>
      <c r="D1585" s="9">
        <v>18765.0</v>
      </c>
      <c r="E1585" s="9">
        <v>78.0</v>
      </c>
      <c r="F1585" s="14"/>
      <c r="G1585" s="15"/>
      <c r="H1585" s="15"/>
      <c r="I1585" s="14"/>
      <c r="P1585" s="14"/>
    </row>
    <row r="1586" ht="18.75" customHeight="1">
      <c r="A1586" s="7" t="s">
        <v>2963</v>
      </c>
      <c r="B1586" s="9">
        <v>13645.0</v>
      </c>
      <c r="C1586" s="9">
        <v>13406.0</v>
      </c>
      <c r="D1586" s="9">
        <v>3861.0</v>
      </c>
      <c r="E1586" s="9">
        <v>145.0</v>
      </c>
      <c r="F1586" s="14"/>
      <c r="G1586" s="15"/>
      <c r="H1586" s="15"/>
      <c r="I1586" s="14"/>
      <c r="P1586" s="14"/>
    </row>
    <row r="1587" ht="18.75" customHeight="1">
      <c r="A1587" s="7" t="s">
        <v>2963</v>
      </c>
      <c r="B1587" s="9">
        <v>3569.0</v>
      </c>
      <c r="C1587" s="9">
        <v>3492.0</v>
      </c>
      <c r="D1587" s="9">
        <v>939.0</v>
      </c>
      <c r="E1587" s="9">
        <v>68.0</v>
      </c>
      <c r="F1587" s="14"/>
      <c r="G1587" s="15"/>
      <c r="H1587" s="15"/>
      <c r="I1587" s="14"/>
      <c r="P1587" s="14"/>
    </row>
    <row r="1588" ht="18.75" customHeight="1">
      <c r="A1588" s="7" t="s">
        <v>2963</v>
      </c>
      <c r="B1588" s="9">
        <v>2802.0</v>
      </c>
      <c r="C1588" s="9">
        <v>2734.0</v>
      </c>
      <c r="D1588" s="9">
        <v>694.0</v>
      </c>
      <c r="E1588" s="9">
        <v>40.0</v>
      </c>
      <c r="F1588" s="14"/>
      <c r="G1588" s="15"/>
      <c r="H1588" s="15"/>
      <c r="I1588" s="14"/>
      <c r="P1588" s="14"/>
    </row>
    <row r="1589" ht="18.75" customHeight="1">
      <c r="A1589" s="7" t="s">
        <v>2963</v>
      </c>
      <c r="B1589" s="9">
        <v>5482.0</v>
      </c>
      <c r="C1589" s="9">
        <v>5372.0</v>
      </c>
      <c r="D1589" s="9">
        <v>1826.0</v>
      </c>
      <c r="E1589" s="9">
        <v>123.0</v>
      </c>
      <c r="F1589" s="14"/>
      <c r="G1589" s="15"/>
      <c r="H1589" s="15"/>
      <c r="I1589" s="14"/>
      <c r="P1589" s="14"/>
    </row>
    <row r="1590" ht="18.75" customHeight="1">
      <c r="A1590" s="7" t="s">
        <v>3054</v>
      </c>
      <c r="B1590" s="9">
        <v>33371.0</v>
      </c>
      <c r="C1590" s="9">
        <v>32906.0</v>
      </c>
      <c r="D1590" s="9">
        <v>15662.0</v>
      </c>
      <c r="E1590" s="9">
        <v>875.0</v>
      </c>
      <c r="F1590" s="14"/>
      <c r="G1590" s="15"/>
      <c r="H1590" s="15"/>
      <c r="I1590" s="14"/>
      <c r="P1590" s="14"/>
    </row>
    <row r="1591" ht="18.75" customHeight="1">
      <c r="A1591" s="7" t="s">
        <v>3054</v>
      </c>
      <c r="B1591" s="9">
        <v>65221.0</v>
      </c>
      <c r="C1591" s="9">
        <v>63908.0</v>
      </c>
      <c r="D1591" s="9">
        <v>12371.0</v>
      </c>
      <c r="E1591" s="9">
        <v>859.0</v>
      </c>
      <c r="F1591" s="14"/>
      <c r="G1591" s="15"/>
      <c r="H1591" s="15"/>
      <c r="I1591" s="14"/>
      <c r="P1591" s="14"/>
    </row>
    <row r="1592" ht="18.75" customHeight="1">
      <c r="A1592" s="7" t="s">
        <v>2741</v>
      </c>
      <c r="B1592" s="9">
        <v>17863.0</v>
      </c>
      <c r="C1592" s="9">
        <v>17436.0</v>
      </c>
      <c r="D1592" s="9">
        <v>4429.0</v>
      </c>
      <c r="E1592" s="9">
        <v>57.0</v>
      </c>
      <c r="F1592" s="14"/>
      <c r="G1592" s="15"/>
      <c r="H1592" s="15"/>
      <c r="I1592" s="14"/>
      <c r="P1592" s="14"/>
    </row>
    <row r="1593" ht="18.75" customHeight="1">
      <c r="A1593" s="7" t="s">
        <v>2806</v>
      </c>
      <c r="B1593" s="9">
        <v>59.0</v>
      </c>
      <c r="C1593" s="9">
        <v>58.0</v>
      </c>
      <c r="D1593" s="9">
        <v>31.0</v>
      </c>
      <c r="E1593" s="9">
        <v>3.0</v>
      </c>
      <c r="F1593" s="14"/>
      <c r="G1593" s="15"/>
      <c r="H1593" s="15"/>
      <c r="I1593" s="14"/>
      <c r="P1593" s="14"/>
    </row>
    <row r="1594" ht="18.75" customHeight="1">
      <c r="A1594" s="7" t="s">
        <v>2806</v>
      </c>
      <c r="B1594" s="9">
        <v>9391.0</v>
      </c>
      <c r="C1594" s="9">
        <v>9201.0</v>
      </c>
      <c r="D1594" s="9">
        <v>2806.0</v>
      </c>
      <c r="E1594" s="9">
        <v>28.0</v>
      </c>
      <c r="F1594" s="14"/>
      <c r="G1594" s="15"/>
      <c r="H1594" s="15"/>
      <c r="I1594" s="14"/>
      <c r="P1594" s="14"/>
    </row>
    <row r="1595" ht="18.75" customHeight="1">
      <c r="A1595" s="7" t="s">
        <v>2806</v>
      </c>
      <c r="B1595" s="9">
        <v>11184.0</v>
      </c>
      <c r="C1595" s="9">
        <v>10962.0</v>
      </c>
      <c r="D1595" s="9">
        <v>4102.0</v>
      </c>
      <c r="E1595" s="9">
        <v>33.0</v>
      </c>
      <c r="F1595" s="14"/>
      <c r="G1595" s="15"/>
      <c r="H1595" s="15"/>
      <c r="I1595" s="14"/>
      <c r="P1595" s="14"/>
    </row>
    <row r="1596" ht="18.75" customHeight="1">
      <c r="A1596" s="7" t="s">
        <v>2806</v>
      </c>
      <c r="B1596" s="9">
        <v>2567.0</v>
      </c>
      <c r="C1596" s="9">
        <v>2513.0</v>
      </c>
      <c r="D1596" s="9">
        <v>673.0</v>
      </c>
      <c r="E1596" s="9">
        <v>14.0</v>
      </c>
      <c r="F1596" s="14"/>
      <c r="G1596" s="15"/>
      <c r="H1596" s="15"/>
      <c r="I1596" s="14"/>
      <c r="P1596" s="14"/>
    </row>
    <row r="1597" ht="18.75" customHeight="1">
      <c r="A1597" s="7" t="s">
        <v>2806</v>
      </c>
      <c r="B1597" s="9">
        <v>2304.0</v>
      </c>
      <c r="C1597" s="9">
        <v>2264.0</v>
      </c>
      <c r="D1597" s="9">
        <v>550.0</v>
      </c>
      <c r="E1597" s="9">
        <v>14.0</v>
      </c>
      <c r="F1597" s="14"/>
      <c r="G1597" s="15"/>
      <c r="H1597" s="15"/>
      <c r="I1597" s="14"/>
      <c r="P1597" s="14"/>
    </row>
    <row r="1598" ht="18.75" customHeight="1">
      <c r="A1598" s="7" t="s">
        <v>2806</v>
      </c>
      <c r="B1598" s="9">
        <v>5287.0</v>
      </c>
      <c r="C1598" s="9">
        <v>5202.0</v>
      </c>
      <c r="D1598" s="9">
        <v>1963.0</v>
      </c>
      <c r="E1598" s="9">
        <v>13.0</v>
      </c>
      <c r="F1598" s="14"/>
      <c r="G1598" s="15"/>
      <c r="H1598" s="15"/>
      <c r="I1598" s="14"/>
      <c r="P1598" s="14"/>
    </row>
    <row r="1599" ht="18.75" customHeight="1">
      <c r="A1599" s="7" t="s">
        <v>2806</v>
      </c>
      <c r="B1599" s="9">
        <v>3851.0</v>
      </c>
      <c r="C1599" s="9">
        <v>3764.0</v>
      </c>
      <c r="D1599" s="9">
        <v>1107.0</v>
      </c>
      <c r="E1599" s="9">
        <v>27.0</v>
      </c>
      <c r="F1599" s="14"/>
      <c r="G1599" s="15"/>
      <c r="H1599" s="15"/>
      <c r="I1599" s="14"/>
      <c r="P1599" s="14"/>
    </row>
    <row r="1600" ht="18.75" customHeight="1">
      <c r="A1600" s="7" t="s">
        <v>2806</v>
      </c>
      <c r="B1600" s="9">
        <v>11922.0</v>
      </c>
      <c r="C1600" s="9">
        <v>11706.0</v>
      </c>
      <c r="D1600" s="9">
        <v>3572.0</v>
      </c>
      <c r="E1600" s="9">
        <v>35.0</v>
      </c>
      <c r="F1600" s="14"/>
      <c r="G1600" s="15"/>
      <c r="H1600" s="15"/>
      <c r="I1600" s="14"/>
      <c r="P1600" s="14"/>
    </row>
    <row r="1601" ht="18.75" customHeight="1">
      <c r="A1601" s="7" t="s">
        <v>2806</v>
      </c>
      <c r="B1601" s="9">
        <v>2545.0</v>
      </c>
      <c r="C1601" s="9">
        <v>2497.0</v>
      </c>
      <c r="D1601" s="9">
        <v>801.0</v>
      </c>
      <c r="E1601" s="9">
        <v>9.0</v>
      </c>
      <c r="F1601" s="14"/>
      <c r="G1601" s="15"/>
      <c r="H1601" s="15"/>
      <c r="I1601" s="14"/>
      <c r="P1601" s="14"/>
    </row>
    <row r="1602" ht="18.75" customHeight="1">
      <c r="A1602" s="7" t="s">
        <v>2806</v>
      </c>
      <c r="B1602" s="9">
        <v>3675.0</v>
      </c>
      <c r="C1602" s="9">
        <v>3616.0</v>
      </c>
      <c r="D1602" s="9">
        <v>1133.0</v>
      </c>
      <c r="E1602" s="9">
        <v>18.0</v>
      </c>
      <c r="F1602" s="14"/>
      <c r="G1602" s="15"/>
      <c r="H1602" s="15"/>
      <c r="I1602" s="14"/>
      <c r="P1602" s="14"/>
    </row>
    <row r="1603" ht="18.75" customHeight="1">
      <c r="A1603" s="7" t="s">
        <v>2806</v>
      </c>
      <c r="B1603" s="9">
        <v>3628.0</v>
      </c>
      <c r="C1603" s="9">
        <v>3549.0</v>
      </c>
      <c r="D1603" s="9">
        <v>767.0</v>
      </c>
      <c r="E1603" s="9">
        <v>9.0</v>
      </c>
      <c r="F1603" s="14"/>
      <c r="G1603" s="15"/>
      <c r="H1603" s="15"/>
      <c r="I1603" s="14"/>
      <c r="P1603" s="14"/>
    </row>
    <row r="1604" ht="18.75" customHeight="1">
      <c r="A1604" s="7" t="s">
        <v>2806</v>
      </c>
      <c r="B1604" s="9">
        <v>2345.0</v>
      </c>
      <c r="C1604" s="9">
        <v>2288.0</v>
      </c>
      <c r="D1604" s="9">
        <v>480.0</v>
      </c>
      <c r="E1604" s="9">
        <v>6.0</v>
      </c>
      <c r="F1604" s="14"/>
      <c r="G1604" s="15"/>
      <c r="H1604" s="15"/>
      <c r="I1604" s="14"/>
      <c r="P1604" s="14"/>
    </row>
    <row r="1605" ht="18.75" customHeight="1">
      <c r="A1605" s="7" t="s">
        <v>2806</v>
      </c>
      <c r="B1605" s="9">
        <v>3971.0</v>
      </c>
      <c r="C1605" s="9">
        <v>3896.0</v>
      </c>
      <c r="D1605" s="9">
        <v>1127.0</v>
      </c>
      <c r="E1605" s="9">
        <v>11.0</v>
      </c>
      <c r="F1605" s="14"/>
      <c r="G1605" s="15"/>
      <c r="H1605" s="15"/>
      <c r="I1605" s="14"/>
      <c r="P1605" s="14"/>
    </row>
    <row r="1606" ht="18.75" customHeight="1">
      <c r="A1606" s="7" t="s">
        <v>2806</v>
      </c>
      <c r="B1606" s="9">
        <v>4633.0</v>
      </c>
      <c r="C1606" s="9">
        <v>4533.0</v>
      </c>
      <c r="D1606" s="9">
        <v>1347.0</v>
      </c>
      <c r="E1606" s="9">
        <v>27.0</v>
      </c>
      <c r="F1606" s="14"/>
      <c r="G1606" s="15"/>
      <c r="H1606" s="15"/>
      <c r="I1606" s="14"/>
      <c r="P1606" s="14"/>
    </row>
    <row r="1607" ht="18.75" customHeight="1">
      <c r="A1607" s="7" t="s">
        <v>2806</v>
      </c>
      <c r="B1607" s="9">
        <v>4596.0</v>
      </c>
      <c r="C1607" s="9">
        <v>4513.0</v>
      </c>
      <c r="D1607" s="9">
        <v>1289.0</v>
      </c>
      <c r="E1607" s="9">
        <v>19.0</v>
      </c>
      <c r="F1607" s="14"/>
      <c r="G1607" s="15"/>
      <c r="H1607" s="15"/>
      <c r="I1607" s="14"/>
      <c r="P1607" s="14"/>
    </row>
    <row r="1608" ht="18.75" customHeight="1">
      <c r="A1608" s="7" t="s">
        <v>2806</v>
      </c>
      <c r="B1608" s="9">
        <v>871.0</v>
      </c>
      <c r="C1608" s="9">
        <v>851.0</v>
      </c>
      <c r="D1608" s="9">
        <v>343.0</v>
      </c>
      <c r="E1608" s="9">
        <v>7.0</v>
      </c>
      <c r="F1608" s="14"/>
      <c r="G1608" s="15"/>
      <c r="H1608" s="15"/>
      <c r="I1608" s="14"/>
      <c r="P1608" s="14"/>
    </row>
    <row r="1609" ht="18.75" customHeight="1">
      <c r="A1609" s="7" t="s">
        <v>3062</v>
      </c>
      <c r="B1609" s="9">
        <v>109974.0</v>
      </c>
      <c r="C1609" s="9">
        <v>107923.0</v>
      </c>
      <c r="D1609" s="9">
        <v>36899.0</v>
      </c>
      <c r="E1609" s="9">
        <v>2231.0</v>
      </c>
      <c r="F1609" s="14"/>
      <c r="G1609" s="15"/>
      <c r="H1609" s="15"/>
      <c r="I1609" s="14"/>
      <c r="P1609" s="14"/>
    </row>
    <row r="1610" ht="18.75" customHeight="1">
      <c r="A1610" s="7" t="s">
        <v>3063</v>
      </c>
      <c r="B1610" s="9">
        <v>34028.0</v>
      </c>
      <c r="C1610" s="9">
        <v>33463.0</v>
      </c>
      <c r="D1610" s="9">
        <v>9190.0</v>
      </c>
      <c r="E1610" s="9">
        <v>249.0</v>
      </c>
      <c r="F1610" s="14"/>
      <c r="G1610" s="15"/>
      <c r="H1610" s="15"/>
      <c r="I1610" s="14"/>
      <c r="P1610" s="14"/>
    </row>
    <row r="1611" ht="18.75" customHeight="1">
      <c r="A1611" s="7" t="s">
        <v>3064</v>
      </c>
      <c r="B1611" s="9">
        <v>7235.0</v>
      </c>
      <c r="C1611" s="9">
        <v>7102.0</v>
      </c>
      <c r="D1611" s="9">
        <v>2756.0</v>
      </c>
      <c r="E1611" s="9">
        <v>173.0</v>
      </c>
      <c r="F1611" s="14"/>
      <c r="G1611" s="15"/>
      <c r="H1611" s="15"/>
      <c r="I1611" s="14"/>
      <c r="P1611" s="14"/>
    </row>
    <row r="1612" ht="18.75" customHeight="1">
      <c r="A1612" s="7" t="s">
        <v>3065</v>
      </c>
      <c r="B1612" s="9">
        <v>137584.0</v>
      </c>
      <c r="C1612" s="9">
        <v>134988.0</v>
      </c>
      <c r="D1612" s="9">
        <v>28248.0</v>
      </c>
      <c r="E1612" s="9">
        <v>94.0</v>
      </c>
      <c r="F1612" s="14"/>
      <c r="G1612" s="15"/>
      <c r="H1612" s="15"/>
      <c r="I1612" s="14"/>
      <c r="P1612" s="14"/>
    </row>
    <row r="1613" ht="18.75" customHeight="1">
      <c r="A1613" s="7" t="s">
        <v>3066</v>
      </c>
      <c r="B1613" s="9">
        <v>3145.0</v>
      </c>
      <c r="C1613" s="9">
        <v>3072.0</v>
      </c>
      <c r="D1613" s="9">
        <v>1172.0</v>
      </c>
      <c r="E1613" s="9">
        <v>65.0</v>
      </c>
      <c r="F1613" s="14"/>
      <c r="G1613" s="15"/>
      <c r="H1613" s="15"/>
      <c r="I1613" s="14"/>
      <c r="P1613" s="14"/>
    </row>
    <row r="1614" ht="18.75" customHeight="1">
      <c r="A1614" s="7" t="s">
        <v>3067</v>
      </c>
      <c r="B1614" s="9">
        <v>52292.0</v>
      </c>
      <c r="C1614" s="9">
        <v>51264.0</v>
      </c>
      <c r="D1614" s="9">
        <v>17925.0</v>
      </c>
      <c r="E1614" s="9">
        <v>690.0</v>
      </c>
      <c r="F1614" s="14"/>
      <c r="G1614" s="15"/>
      <c r="H1614" s="15"/>
      <c r="I1614" s="14"/>
      <c r="P1614" s="14"/>
    </row>
    <row r="1615" ht="18.75" customHeight="1">
      <c r="A1615" s="7" t="s">
        <v>3067</v>
      </c>
      <c r="B1615" s="9">
        <v>12679.0</v>
      </c>
      <c r="C1615" s="9">
        <v>12442.0</v>
      </c>
      <c r="D1615" s="9">
        <v>4656.0</v>
      </c>
      <c r="E1615" s="9">
        <v>181.0</v>
      </c>
      <c r="F1615" s="14"/>
      <c r="G1615" s="15"/>
      <c r="H1615" s="15"/>
      <c r="I1615" s="14"/>
      <c r="P1615" s="14"/>
    </row>
    <row r="1616" ht="18.75" customHeight="1">
      <c r="A1616" s="7" t="s">
        <v>3067</v>
      </c>
      <c r="B1616" s="9">
        <v>4924.0</v>
      </c>
      <c r="C1616" s="9">
        <v>4846.0</v>
      </c>
      <c r="D1616" s="9">
        <v>1866.0</v>
      </c>
      <c r="E1616" s="9">
        <v>28.0</v>
      </c>
      <c r="F1616" s="14"/>
      <c r="G1616" s="15"/>
      <c r="H1616" s="15"/>
      <c r="I1616" s="14"/>
      <c r="P1616" s="14"/>
    </row>
    <row r="1617" ht="18.75" customHeight="1">
      <c r="A1617" s="7" t="s">
        <v>3068</v>
      </c>
      <c r="B1617" s="9">
        <v>3744.0</v>
      </c>
      <c r="C1617" s="9">
        <v>3689.0</v>
      </c>
      <c r="D1617" s="9">
        <v>1714.0</v>
      </c>
      <c r="E1617" s="9">
        <v>57.0</v>
      </c>
      <c r="F1617" s="14"/>
      <c r="G1617" s="15"/>
      <c r="H1617" s="15"/>
      <c r="I1617" s="14"/>
      <c r="P1617" s="14"/>
    </row>
    <row r="1618" ht="18.75" customHeight="1">
      <c r="A1618" s="7" t="s">
        <v>3044</v>
      </c>
      <c r="B1618" s="9">
        <v>97842.0</v>
      </c>
      <c r="C1618" s="9">
        <v>95936.0</v>
      </c>
      <c r="D1618" s="9">
        <v>29710.0</v>
      </c>
      <c r="E1618" s="9">
        <v>2396.0</v>
      </c>
      <c r="F1618" s="14"/>
      <c r="G1618" s="15"/>
      <c r="H1618" s="15"/>
      <c r="I1618" s="14"/>
      <c r="P1618" s="14"/>
    </row>
    <row r="1619" ht="18.75" customHeight="1">
      <c r="A1619" s="7" t="s">
        <v>3069</v>
      </c>
      <c r="B1619" s="9">
        <v>1913.0</v>
      </c>
      <c r="C1619" s="9">
        <v>1873.0</v>
      </c>
      <c r="D1619" s="9">
        <v>472.0</v>
      </c>
      <c r="E1619" s="9">
        <v>24.0</v>
      </c>
      <c r="F1619" s="14"/>
      <c r="G1619" s="15"/>
      <c r="H1619" s="15"/>
      <c r="I1619" s="14"/>
      <c r="P1619" s="14"/>
    </row>
    <row r="1620" ht="18.75" customHeight="1">
      <c r="A1620" s="7" t="s">
        <v>3069</v>
      </c>
      <c r="B1620" s="9">
        <v>1942.0</v>
      </c>
      <c r="C1620" s="9">
        <v>1906.0</v>
      </c>
      <c r="D1620" s="9">
        <v>603.0</v>
      </c>
      <c r="E1620" s="9">
        <v>7.0</v>
      </c>
      <c r="F1620" s="14"/>
      <c r="G1620" s="15"/>
      <c r="H1620" s="15"/>
      <c r="I1620" s="14"/>
      <c r="P1620" s="14"/>
    </row>
    <row r="1621" ht="18.75" customHeight="1">
      <c r="A1621" s="7" t="s">
        <v>3070</v>
      </c>
      <c r="B1621" s="9">
        <v>15291.0</v>
      </c>
      <c r="C1621" s="9">
        <v>15004.0</v>
      </c>
      <c r="D1621" s="9">
        <v>6081.0</v>
      </c>
      <c r="E1621" s="9">
        <v>360.0</v>
      </c>
      <c r="F1621" s="14"/>
      <c r="G1621" s="15"/>
      <c r="H1621" s="15"/>
      <c r="I1621" s="14"/>
      <c r="P1621" s="14"/>
    </row>
    <row r="1622" ht="18.75" customHeight="1">
      <c r="A1622" s="7" t="s">
        <v>3067</v>
      </c>
      <c r="B1622" s="9">
        <v>1642.0</v>
      </c>
      <c r="C1622" s="9">
        <v>1604.0</v>
      </c>
      <c r="D1622" s="9">
        <v>438.0</v>
      </c>
      <c r="E1622" s="9">
        <v>8.0</v>
      </c>
      <c r="F1622" s="14"/>
      <c r="G1622" s="15"/>
      <c r="H1622" s="15"/>
      <c r="I1622" s="14"/>
      <c r="P1622" s="14"/>
    </row>
    <row r="1623" ht="18.75" customHeight="1">
      <c r="A1623" s="7" t="s">
        <v>3067</v>
      </c>
      <c r="B1623" s="9">
        <v>3391.0</v>
      </c>
      <c r="C1623" s="9">
        <v>3333.0</v>
      </c>
      <c r="D1623" s="9">
        <v>1211.0</v>
      </c>
      <c r="E1623" s="9">
        <v>76.0</v>
      </c>
      <c r="F1623" s="14"/>
      <c r="G1623" s="15"/>
      <c r="H1623" s="15"/>
      <c r="I1623" s="14"/>
      <c r="P1623" s="14"/>
    </row>
    <row r="1624" ht="18.75" customHeight="1">
      <c r="A1624" s="7" t="s">
        <v>3067</v>
      </c>
      <c r="B1624" s="9">
        <v>1305.0</v>
      </c>
      <c r="C1624" s="9">
        <v>1286.0</v>
      </c>
      <c r="D1624" s="9">
        <v>428.0</v>
      </c>
      <c r="E1624" s="9">
        <v>30.0</v>
      </c>
      <c r="F1624" s="14"/>
      <c r="G1624" s="15"/>
      <c r="H1624" s="15"/>
      <c r="I1624" s="14"/>
      <c r="P1624" s="14"/>
    </row>
    <row r="1625" ht="18.75" customHeight="1">
      <c r="A1625" s="7" t="s">
        <v>3071</v>
      </c>
      <c r="B1625" s="9">
        <v>92136.0</v>
      </c>
      <c r="C1625" s="9">
        <v>90704.0</v>
      </c>
      <c r="D1625" s="9">
        <v>36669.0</v>
      </c>
      <c r="E1625" s="9">
        <v>3519.0</v>
      </c>
      <c r="F1625" s="14"/>
      <c r="G1625" s="15"/>
      <c r="H1625" s="15"/>
      <c r="I1625" s="14"/>
      <c r="P1625" s="14"/>
    </row>
    <row r="1626" ht="18.75" customHeight="1">
      <c r="A1626" s="7" t="s">
        <v>3072</v>
      </c>
      <c r="B1626" s="9">
        <v>96217.0</v>
      </c>
      <c r="C1626" s="9">
        <v>95209.0</v>
      </c>
      <c r="D1626" s="9">
        <v>19553.0</v>
      </c>
      <c r="E1626" s="9">
        <v>72.0</v>
      </c>
      <c r="F1626" s="14"/>
      <c r="G1626" s="15"/>
      <c r="H1626" s="15"/>
      <c r="I1626" s="14"/>
      <c r="P1626" s="14"/>
    </row>
    <row r="1627" ht="18.75" customHeight="1">
      <c r="A1627" s="7" t="s">
        <v>3072</v>
      </c>
      <c r="B1627" s="9">
        <v>65042.0</v>
      </c>
      <c r="C1627" s="9">
        <v>64289.0</v>
      </c>
      <c r="D1627" s="9">
        <v>12915.0</v>
      </c>
      <c r="E1627" s="9">
        <v>43.0</v>
      </c>
      <c r="F1627" s="14"/>
      <c r="G1627" s="15"/>
      <c r="H1627" s="15"/>
      <c r="I1627" s="14"/>
      <c r="P1627" s="14"/>
    </row>
    <row r="1628" ht="18.75" customHeight="1">
      <c r="A1628" s="7" t="s">
        <v>3044</v>
      </c>
      <c r="B1628" s="9">
        <v>88037.0</v>
      </c>
      <c r="C1628" s="9">
        <v>86323.0</v>
      </c>
      <c r="D1628" s="9">
        <v>31292.0</v>
      </c>
      <c r="E1628" s="9">
        <v>2334.0</v>
      </c>
      <c r="F1628" s="14"/>
      <c r="G1628" s="15"/>
      <c r="H1628" s="15"/>
      <c r="I1628" s="14"/>
      <c r="P1628" s="14"/>
    </row>
    <row r="1629" ht="18.75" customHeight="1">
      <c r="A1629" s="7" t="s">
        <v>3073</v>
      </c>
      <c r="B1629" s="9">
        <v>23161.0</v>
      </c>
      <c r="C1629" s="9">
        <v>22741.0</v>
      </c>
      <c r="D1629" s="9">
        <v>9886.0</v>
      </c>
      <c r="E1629" s="9">
        <v>352.0</v>
      </c>
      <c r="F1629" s="14"/>
      <c r="G1629" s="15"/>
      <c r="H1629" s="15"/>
      <c r="I1629" s="14"/>
      <c r="P1629" s="14"/>
    </row>
    <row r="1630" ht="18.75" customHeight="1">
      <c r="A1630" s="7" t="s">
        <v>3074</v>
      </c>
      <c r="B1630" s="9">
        <v>13723.0</v>
      </c>
      <c r="C1630" s="9">
        <v>13501.0</v>
      </c>
      <c r="D1630" s="9">
        <v>4624.0</v>
      </c>
      <c r="E1630" s="9">
        <v>230.0</v>
      </c>
      <c r="F1630" s="14"/>
      <c r="G1630" s="15"/>
      <c r="H1630" s="15"/>
      <c r="I1630" s="14"/>
      <c r="P1630" s="14"/>
    </row>
    <row r="1631" ht="18.75" customHeight="1">
      <c r="A1631" s="7" t="s">
        <v>3075</v>
      </c>
      <c r="B1631" s="9">
        <v>42727.0</v>
      </c>
      <c r="C1631" s="9">
        <v>41836.0</v>
      </c>
      <c r="D1631" s="9">
        <v>13359.0</v>
      </c>
      <c r="E1631" s="9">
        <v>1427.0</v>
      </c>
      <c r="F1631" s="14"/>
      <c r="G1631" s="15"/>
      <c r="H1631" s="15"/>
      <c r="I1631" s="14"/>
      <c r="P1631" s="14"/>
    </row>
    <row r="1632" ht="18.75" customHeight="1">
      <c r="A1632" s="7" t="s">
        <v>2764</v>
      </c>
      <c r="B1632" s="9">
        <v>69333.0</v>
      </c>
      <c r="C1632" s="9">
        <v>68081.0</v>
      </c>
      <c r="D1632" s="9">
        <v>15930.0</v>
      </c>
      <c r="E1632" s="9">
        <v>212.0</v>
      </c>
      <c r="F1632" s="14"/>
      <c r="G1632" s="15"/>
      <c r="H1632" s="15"/>
      <c r="I1632" s="14"/>
      <c r="P1632" s="14"/>
    </row>
    <row r="1633" ht="18.75" customHeight="1">
      <c r="A1633" s="7" t="s">
        <v>3038</v>
      </c>
      <c r="B1633" s="9">
        <v>29643.0</v>
      </c>
      <c r="C1633" s="9">
        <v>29138.0</v>
      </c>
      <c r="D1633" s="9">
        <v>11075.0</v>
      </c>
      <c r="E1633" s="9">
        <v>386.0</v>
      </c>
      <c r="F1633" s="14"/>
      <c r="G1633" s="15"/>
      <c r="H1633" s="15"/>
      <c r="I1633" s="14"/>
      <c r="P1633" s="14"/>
    </row>
    <row r="1634" ht="18.75" customHeight="1">
      <c r="A1634" s="7" t="s">
        <v>3038</v>
      </c>
      <c r="B1634" s="9">
        <v>15376.0</v>
      </c>
      <c r="C1634" s="9">
        <v>15080.0</v>
      </c>
      <c r="D1634" s="9">
        <v>5503.0</v>
      </c>
      <c r="E1634" s="9">
        <v>327.0</v>
      </c>
      <c r="F1634" s="14"/>
      <c r="G1634" s="15"/>
      <c r="H1634" s="15"/>
      <c r="I1634" s="14"/>
      <c r="P1634" s="14"/>
    </row>
    <row r="1635" ht="18.75" customHeight="1">
      <c r="A1635" s="7" t="s">
        <v>3038</v>
      </c>
      <c r="B1635" s="9">
        <v>14598.0</v>
      </c>
      <c r="C1635" s="9">
        <v>14341.0</v>
      </c>
      <c r="D1635" s="9">
        <v>4557.0</v>
      </c>
      <c r="E1635" s="9">
        <v>282.0</v>
      </c>
      <c r="F1635" s="14"/>
      <c r="G1635" s="15"/>
      <c r="H1635" s="15"/>
      <c r="I1635" s="14"/>
      <c r="P1635" s="14"/>
    </row>
    <row r="1636" ht="18.75" customHeight="1">
      <c r="A1636" s="7" t="s">
        <v>3038</v>
      </c>
      <c r="B1636" s="9">
        <v>14925.0</v>
      </c>
      <c r="C1636" s="9">
        <v>14650.0</v>
      </c>
      <c r="D1636" s="9">
        <v>4713.0</v>
      </c>
      <c r="E1636" s="9">
        <v>243.0</v>
      </c>
      <c r="F1636" s="14"/>
      <c r="G1636" s="15"/>
      <c r="H1636" s="15"/>
      <c r="I1636" s="14"/>
      <c r="P1636" s="14"/>
    </row>
    <row r="1637" ht="18.75" customHeight="1">
      <c r="A1637" s="7" t="s">
        <v>3038</v>
      </c>
      <c r="B1637" s="9">
        <v>7703.0</v>
      </c>
      <c r="C1637" s="9">
        <v>7569.0</v>
      </c>
      <c r="D1637" s="9">
        <v>2412.0</v>
      </c>
      <c r="E1637" s="9">
        <v>99.0</v>
      </c>
      <c r="F1637" s="14"/>
      <c r="G1637" s="15"/>
      <c r="H1637" s="15"/>
      <c r="I1637" s="14"/>
      <c r="P1637" s="14"/>
    </row>
    <row r="1638" ht="18.75" customHeight="1">
      <c r="A1638" s="7" t="s">
        <v>3038</v>
      </c>
      <c r="B1638" s="9">
        <v>19385.0</v>
      </c>
      <c r="C1638" s="9">
        <v>19018.0</v>
      </c>
      <c r="D1638" s="9">
        <v>6869.0</v>
      </c>
      <c r="E1638" s="9">
        <v>424.0</v>
      </c>
      <c r="F1638" s="14"/>
      <c r="G1638" s="15"/>
      <c r="H1638" s="15"/>
      <c r="I1638" s="14"/>
      <c r="P1638" s="14"/>
    </row>
    <row r="1639" ht="18.75" customHeight="1">
      <c r="A1639" s="7" t="s">
        <v>3038</v>
      </c>
      <c r="B1639" s="9">
        <v>15220.0</v>
      </c>
      <c r="C1639" s="9">
        <v>14938.0</v>
      </c>
      <c r="D1639" s="9">
        <v>4951.0</v>
      </c>
      <c r="E1639" s="9">
        <v>274.0</v>
      </c>
      <c r="F1639" s="14"/>
      <c r="G1639" s="15"/>
      <c r="H1639" s="15"/>
      <c r="I1639" s="14"/>
      <c r="P1639" s="14"/>
    </row>
    <row r="1640" ht="18.75" customHeight="1">
      <c r="A1640" s="7" t="s">
        <v>3038</v>
      </c>
      <c r="B1640" s="9">
        <v>30002.0</v>
      </c>
      <c r="C1640" s="9">
        <v>29492.0</v>
      </c>
      <c r="D1640" s="9">
        <v>11073.0</v>
      </c>
      <c r="E1640" s="9">
        <v>491.0</v>
      </c>
      <c r="F1640" s="14"/>
      <c r="G1640" s="15"/>
      <c r="H1640" s="15"/>
      <c r="I1640" s="14"/>
      <c r="P1640" s="14"/>
    </row>
    <row r="1641" ht="18.75" customHeight="1">
      <c r="A1641" s="7" t="s">
        <v>3038</v>
      </c>
      <c r="B1641" s="9">
        <v>20482.0</v>
      </c>
      <c r="C1641" s="9">
        <v>20095.0</v>
      </c>
      <c r="D1641" s="9">
        <v>6301.0</v>
      </c>
      <c r="E1641" s="9">
        <v>293.0</v>
      </c>
      <c r="F1641" s="14"/>
      <c r="G1641" s="15"/>
      <c r="H1641" s="15"/>
      <c r="I1641" s="14"/>
      <c r="P1641" s="14"/>
    </row>
    <row r="1642" ht="18.75" customHeight="1">
      <c r="A1642" s="7" t="s">
        <v>3076</v>
      </c>
      <c r="B1642" s="9">
        <v>52.0</v>
      </c>
      <c r="C1642" s="9">
        <v>52.0</v>
      </c>
      <c r="D1642" s="9">
        <v>31.0</v>
      </c>
      <c r="E1642" s="9">
        <v>10.0</v>
      </c>
      <c r="F1642" s="14"/>
      <c r="G1642" s="15"/>
      <c r="H1642" s="15"/>
      <c r="I1642" s="14"/>
      <c r="P1642" s="14"/>
    </row>
    <row r="1643" ht="18.75" customHeight="1">
      <c r="A1643" s="7" t="s">
        <v>3038</v>
      </c>
      <c r="B1643" s="9">
        <v>7480.0</v>
      </c>
      <c r="C1643" s="9">
        <v>7360.0</v>
      </c>
      <c r="D1643" s="9">
        <v>2520.0</v>
      </c>
      <c r="E1643" s="9">
        <v>149.0</v>
      </c>
      <c r="F1643" s="14"/>
      <c r="G1643" s="15"/>
      <c r="H1643" s="15"/>
      <c r="I1643" s="14"/>
      <c r="P1643" s="14"/>
    </row>
    <row r="1644" ht="18.75" customHeight="1">
      <c r="A1644" s="7" t="s">
        <v>3038</v>
      </c>
      <c r="B1644" s="9">
        <v>8473.0</v>
      </c>
      <c r="C1644" s="9">
        <v>8338.0</v>
      </c>
      <c r="D1644" s="9">
        <v>2947.0</v>
      </c>
      <c r="E1644" s="9">
        <v>200.0</v>
      </c>
      <c r="F1644" s="14"/>
      <c r="G1644" s="15"/>
      <c r="H1644" s="15"/>
      <c r="I1644" s="14"/>
      <c r="P1644" s="14"/>
    </row>
    <row r="1645" ht="18.75" customHeight="1">
      <c r="A1645" s="7" t="s">
        <v>2358</v>
      </c>
      <c r="B1645" s="9">
        <v>17639.0</v>
      </c>
      <c r="C1645" s="9">
        <v>17296.0</v>
      </c>
      <c r="D1645" s="9">
        <v>5378.0</v>
      </c>
      <c r="E1645" s="9">
        <v>266.0</v>
      </c>
      <c r="F1645" s="14"/>
      <c r="G1645" s="15"/>
      <c r="H1645" s="15"/>
      <c r="I1645" s="14"/>
      <c r="P1645" s="14"/>
    </row>
    <row r="1646" ht="18.75" customHeight="1">
      <c r="A1646" s="7" t="s">
        <v>3077</v>
      </c>
      <c r="B1646" s="9">
        <v>182.0</v>
      </c>
      <c r="C1646" s="9">
        <v>182.0</v>
      </c>
      <c r="D1646" s="9">
        <v>163.0</v>
      </c>
      <c r="E1646" s="9">
        <v>88.0</v>
      </c>
      <c r="F1646" s="14"/>
      <c r="G1646" s="15"/>
      <c r="H1646" s="15"/>
      <c r="I1646" s="14"/>
      <c r="P1646" s="14"/>
    </row>
    <row r="1647" ht="18.75" customHeight="1">
      <c r="A1647" s="7" t="s">
        <v>3078</v>
      </c>
      <c r="B1647" s="9">
        <v>54.0</v>
      </c>
      <c r="C1647" s="9">
        <v>54.0</v>
      </c>
      <c r="D1647" s="9">
        <v>22.0</v>
      </c>
      <c r="E1647" s="9">
        <v>3.0</v>
      </c>
      <c r="F1647" s="14"/>
      <c r="G1647" s="15"/>
      <c r="H1647" s="15"/>
      <c r="I1647" s="14"/>
      <c r="P1647" s="14"/>
    </row>
    <row r="1648" ht="18.75" customHeight="1">
      <c r="A1648" s="7" t="s">
        <v>3079</v>
      </c>
      <c r="B1648" s="9">
        <v>10511.0</v>
      </c>
      <c r="C1648" s="9">
        <v>10322.0</v>
      </c>
      <c r="D1648" s="9">
        <v>3644.0</v>
      </c>
      <c r="E1648" s="9">
        <v>217.0</v>
      </c>
      <c r="F1648" s="14"/>
      <c r="G1648" s="15"/>
      <c r="H1648" s="15"/>
      <c r="I1648" s="14"/>
      <c r="P1648" s="14"/>
    </row>
    <row r="1649" ht="18.75" customHeight="1">
      <c r="A1649" s="7" t="s">
        <v>3080</v>
      </c>
      <c r="B1649" s="9">
        <v>14131.0</v>
      </c>
      <c r="C1649" s="9">
        <v>13883.0</v>
      </c>
      <c r="D1649" s="9">
        <v>5502.0</v>
      </c>
      <c r="E1649" s="9">
        <v>266.0</v>
      </c>
      <c r="F1649" s="14"/>
      <c r="G1649" s="15"/>
      <c r="H1649" s="15"/>
      <c r="I1649" s="14"/>
      <c r="P1649" s="14"/>
    </row>
    <row r="1650" ht="18.75" customHeight="1">
      <c r="A1650" s="7" t="s">
        <v>3081</v>
      </c>
      <c r="B1650" s="9">
        <v>15062.0</v>
      </c>
      <c r="C1650" s="9">
        <v>14793.0</v>
      </c>
      <c r="D1650" s="9">
        <v>4693.0</v>
      </c>
      <c r="E1650" s="9">
        <v>275.0</v>
      </c>
      <c r="F1650" s="14"/>
      <c r="G1650" s="15"/>
      <c r="H1650" s="15"/>
      <c r="I1650" s="14"/>
      <c r="P1650" s="14"/>
    </row>
    <row r="1651" ht="18.75" customHeight="1">
      <c r="A1651" s="7" t="s">
        <v>2504</v>
      </c>
      <c r="B1651" s="9">
        <v>2495.0</v>
      </c>
      <c r="C1651" s="9">
        <v>2423.0</v>
      </c>
      <c r="D1651" s="9">
        <v>579.0</v>
      </c>
      <c r="E1651" s="9">
        <v>20.0</v>
      </c>
      <c r="F1651" s="14"/>
      <c r="G1651" s="15"/>
      <c r="H1651" s="15"/>
      <c r="I1651" s="14"/>
      <c r="P1651" s="14"/>
    </row>
    <row r="1652" ht="18.75" customHeight="1">
      <c r="A1652" s="7" t="s">
        <v>2504</v>
      </c>
      <c r="B1652" s="9">
        <v>10138.0</v>
      </c>
      <c r="C1652" s="9">
        <v>10014.0</v>
      </c>
      <c r="D1652" s="9">
        <v>3623.0</v>
      </c>
      <c r="E1652" s="9">
        <v>162.0</v>
      </c>
      <c r="F1652" s="14"/>
      <c r="G1652" s="15"/>
      <c r="H1652" s="15"/>
      <c r="I1652" s="14"/>
      <c r="P1652" s="14"/>
    </row>
    <row r="1653" ht="18.75" customHeight="1">
      <c r="A1653" s="7" t="s">
        <v>2504</v>
      </c>
      <c r="B1653" s="9">
        <v>14325.0</v>
      </c>
      <c r="C1653" s="9">
        <v>14184.0</v>
      </c>
      <c r="D1653" s="9">
        <v>4874.0</v>
      </c>
      <c r="E1653" s="9">
        <v>175.0</v>
      </c>
      <c r="F1653" s="14"/>
      <c r="G1653" s="15"/>
      <c r="H1653" s="15"/>
      <c r="I1653" s="14"/>
      <c r="P1653" s="14"/>
    </row>
    <row r="1654" ht="18.75" customHeight="1">
      <c r="A1654" s="7" t="s">
        <v>3082</v>
      </c>
      <c r="B1654" s="9">
        <v>1313.0</v>
      </c>
      <c r="C1654" s="9">
        <v>1261.0</v>
      </c>
      <c r="D1654" s="9">
        <v>289.0</v>
      </c>
      <c r="E1654" s="9">
        <v>16.0</v>
      </c>
      <c r="F1654" s="14"/>
      <c r="G1654" s="15"/>
      <c r="H1654" s="15"/>
      <c r="I1654" s="14"/>
      <c r="P1654" s="14"/>
    </row>
    <row r="1655" ht="18.75" customHeight="1">
      <c r="A1655" s="7" t="s">
        <v>3083</v>
      </c>
      <c r="B1655" s="9">
        <v>21614.0</v>
      </c>
      <c r="C1655" s="9">
        <v>21176.0</v>
      </c>
      <c r="D1655" s="9">
        <v>6968.0</v>
      </c>
      <c r="E1655" s="9">
        <v>251.0</v>
      </c>
      <c r="F1655" s="14"/>
      <c r="G1655" s="15"/>
      <c r="H1655" s="15"/>
      <c r="I1655" s="14"/>
      <c r="P1655" s="14"/>
    </row>
    <row r="1656" ht="18.75" customHeight="1">
      <c r="A1656" s="7" t="s">
        <v>3084</v>
      </c>
      <c r="B1656" s="9">
        <v>10344.0</v>
      </c>
      <c r="C1656" s="9">
        <v>10122.0</v>
      </c>
      <c r="D1656" s="9">
        <v>3055.0</v>
      </c>
      <c r="E1656" s="9">
        <v>144.0</v>
      </c>
      <c r="F1656" s="14"/>
      <c r="G1656" s="15"/>
      <c r="H1656" s="15"/>
      <c r="I1656" s="14"/>
      <c r="P1656" s="14"/>
    </row>
    <row r="1657" ht="18.75" customHeight="1">
      <c r="A1657" s="7" t="s">
        <v>3085</v>
      </c>
      <c r="B1657" s="9">
        <v>16812.0</v>
      </c>
      <c r="C1657" s="9">
        <v>16582.0</v>
      </c>
      <c r="D1657" s="9">
        <v>3917.0</v>
      </c>
      <c r="E1657" s="9">
        <v>81.0</v>
      </c>
      <c r="F1657" s="14"/>
      <c r="G1657" s="15"/>
      <c r="H1657" s="15"/>
      <c r="I1657" s="14"/>
      <c r="P1657" s="14"/>
    </row>
    <row r="1658" ht="18.75" customHeight="1">
      <c r="A1658" s="7" t="s">
        <v>3086</v>
      </c>
      <c r="B1658" s="9">
        <v>10069.0</v>
      </c>
      <c r="C1658" s="9">
        <v>9960.0</v>
      </c>
      <c r="D1658" s="9">
        <v>3540.0</v>
      </c>
      <c r="E1658" s="9">
        <v>196.0</v>
      </c>
      <c r="F1658" s="14"/>
      <c r="G1658" s="15"/>
      <c r="H1658" s="15"/>
      <c r="I1658" s="14"/>
      <c r="P1658" s="14"/>
    </row>
    <row r="1659" ht="18.75" customHeight="1">
      <c r="A1659" s="7" t="s">
        <v>2857</v>
      </c>
      <c r="B1659" s="9">
        <v>61758.0</v>
      </c>
      <c r="C1659" s="9">
        <v>60620.0</v>
      </c>
      <c r="D1659" s="9">
        <v>19526.0</v>
      </c>
      <c r="E1659" s="9">
        <v>671.0</v>
      </c>
      <c r="F1659" s="14"/>
      <c r="G1659" s="15"/>
      <c r="H1659" s="15"/>
      <c r="I1659" s="14"/>
      <c r="P1659" s="14"/>
    </row>
    <row r="1660" ht="18.75" customHeight="1">
      <c r="A1660" s="7" t="s">
        <v>3087</v>
      </c>
      <c r="B1660" s="9">
        <v>22788.0</v>
      </c>
      <c r="C1660" s="9">
        <v>22353.0</v>
      </c>
      <c r="D1660" s="9">
        <v>8598.0</v>
      </c>
      <c r="E1660" s="9">
        <v>352.0</v>
      </c>
      <c r="F1660" s="14"/>
      <c r="G1660" s="15"/>
      <c r="H1660" s="15"/>
      <c r="I1660" s="14"/>
      <c r="P1660" s="14"/>
    </row>
    <row r="1661" ht="18.75" customHeight="1">
      <c r="A1661" s="7" t="s">
        <v>3088</v>
      </c>
      <c r="B1661" s="9">
        <v>15718.0</v>
      </c>
      <c r="C1661" s="9">
        <v>15462.0</v>
      </c>
      <c r="D1661" s="9">
        <v>6061.0</v>
      </c>
      <c r="E1661" s="9">
        <v>245.0</v>
      </c>
      <c r="F1661" s="14"/>
      <c r="G1661" s="15"/>
      <c r="H1661" s="15"/>
      <c r="I1661" s="14"/>
      <c r="P1661" s="14"/>
    </row>
    <row r="1662" ht="18.75" customHeight="1">
      <c r="A1662" s="7" t="s">
        <v>3089</v>
      </c>
      <c r="B1662" s="9">
        <v>18458.0</v>
      </c>
      <c r="C1662" s="9">
        <v>18163.0</v>
      </c>
      <c r="D1662" s="9">
        <v>9055.0</v>
      </c>
      <c r="E1662" s="9">
        <v>804.0</v>
      </c>
      <c r="F1662" s="14"/>
      <c r="G1662" s="15"/>
      <c r="H1662" s="15"/>
      <c r="I1662" s="14"/>
      <c r="P1662" s="14"/>
    </row>
    <row r="1663" ht="18.75" customHeight="1">
      <c r="A1663" s="7" t="s">
        <v>3090</v>
      </c>
      <c r="B1663" s="9">
        <v>25150.0</v>
      </c>
      <c r="C1663" s="9">
        <v>24664.0</v>
      </c>
      <c r="D1663" s="9">
        <v>8466.0</v>
      </c>
      <c r="E1663" s="9">
        <v>944.0</v>
      </c>
      <c r="F1663" s="14"/>
      <c r="G1663" s="15"/>
      <c r="H1663" s="15"/>
      <c r="I1663" s="14"/>
      <c r="P1663" s="14"/>
    </row>
    <row r="1664" ht="18.75" customHeight="1">
      <c r="A1664" s="7" t="s">
        <v>3091</v>
      </c>
      <c r="B1664" s="9">
        <v>9849.0</v>
      </c>
      <c r="C1664" s="9">
        <v>9618.0</v>
      </c>
      <c r="D1664" s="9">
        <v>2516.0</v>
      </c>
      <c r="E1664" s="9">
        <v>8.0</v>
      </c>
      <c r="F1664" s="14"/>
      <c r="G1664" s="15"/>
      <c r="H1664" s="15"/>
      <c r="I1664" s="14"/>
      <c r="P1664" s="14"/>
    </row>
    <row r="1665" ht="18.75" customHeight="1">
      <c r="A1665" s="7" t="s">
        <v>3092</v>
      </c>
      <c r="B1665" s="9">
        <v>61609.0</v>
      </c>
      <c r="C1665" s="9">
        <v>60603.0</v>
      </c>
      <c r="D1665" s="9">
        <v>18619.0</v>
      </c>
      <c r="E1665" s="9">
        <v>57.0</v>
      </c>
      <c r="F1665" s="14"/>
      <c r="G1665" s="15"/>
      <c r="H1665" s="15"/>
      <c r="I1665" s="14"/>
      <c r="P1665" s="14"/>
    </row>
    <row r="1666" ht="18.75" customHeight="1">
      <c r="A1666" s="7" t="s">
        <v>3093</v>
      </c>
      <c r="B1666" s="9">
        <v>1785.0</v>
      </c>
      <c r="C1666" s="9">
        <v>1751.0</v>
      </c>
      <c r="D1666" s="9">
        <v>465.0</v>
      </c>
      <c r="E1666" s="9">
        <v>16.0</v>
      </c>
      <c r="F1666" s="14"/>
      <c r="G1666" s="15"/>
      <c r="H1666" s="15"/>
      <c r="I1666" s="14"/>
      <c r="P1666" s="14"/>
    </row>
    <row r="1667" ht="18.75" customHeight="1">
      <c r="A1667" s="7" t="s">
        <v>3094</v>
      </c>
      <c r="B1667" s="9">
        <v>7510.0</v>
      </c>
      <c r="C1667" s="9">
        <v>7363.0</v>
      </c>
      <c r="D1667" s="9">
        <v>2879.0</v>
      </c>
      <c r="E1667" s="9">
        <v>44.0</v>
      </c>
      <c r="F1667" s="14"/>
      <c r="G1667" s="15"/>
      <c r="H1667" s="15"/>
      <c r="I1667" s="14"/>
      <c r="P1667" s="14"/>
    </row>
    <row r="1668" ht="18.75" customHeight="1">
      <c r="A1668" s="7" t="s">
        <v>3094</v>
      </c>
      <c r="B1668" s="9">
        <v>3583.0</v>
      </c>
      <c r="C1668" s="9">
        <v>3510.0</v>
      </c>
      <c r="D1668" s="9">
        <v>1377.0</v>
      </c>
      <c r="E1668" s="9">
        <v>27.0</v>
      </c>
      <c r="F1668" s="14"/>
      <c r="G1668" s="15"/>
      <c r="H1668" s="15"/>
      <c r="I1668" s="14"/>
      <c r="P1668" s="14"/>
    </row>
    <row r="1669" ht="18.75" customHeight="1">
      <c r="A1669" s="7" t="s">
        <v>3094</v>
      </c>
      <c r="B1669" s="9">
        <v>4449.0</v>
      </c>
      <c r="C1669" s="9">
        <v>4345.0</v>
      </c>
      <c r="D1669" s="9">
        <v>1646.0</v>
      </c>
      <c r="E1669" s="9">
        <v>20.0</v>
      </c>
      <c r="F1669" s="14"/>
      <c r="G1669" s="15"/>
      <c r="H1669" s="15"/>
      <c r="I1669" s="14"/>
      <c r="P1669" s="14"/>
    </row>
    <row r="1670" ht="18.75" customHeight="1">
      <c r="A1670" s="7" t="s">
        <v>3094</v>
      </c>
      <c r="B1670" s="9">
        <v>22444.0</v>
      </c>
      <c r="C1670" s="9">
        <v>22056.0</v>
      </c>
      <c r="D1670" s="9">
        <v>9368.0</v>
      </c>
      <c r="E1670" s="9">
        <v>166.0</v>
      </c>
      <c r="F1670" s="14"/>
      <c r="G1670" s="15"/>
      <c r="H1670" s="15"/>
      <c r="I1670" s="14"/>
      <c r="P1670" s="14"/>
    </row>
    <row r="1671" ht="18.75" customHeight="1">
      <c r="A1671" s="7" t="s">
        <v>3094</v>
      </c>
      <c r="B1671" s="9">
        <v>982.0</v>
      </c>
      <c r="C1671" s="9">
        <v>958.0</v>
      </c>
      <c r="D1671" s="9">
        <v>316.0</v>
      </c>
      <c r="E1671" s="9">
        <v>3.0</v>
      </c>
      <c r="F1671" s="14"/>
      <c r="G1671" s="15"/>
      <c r="H1671" s="15"/>
      <c r="I1671" s="14"/>
      <c r="P1671" s="14"/>
    </row>
    <row r="1672" ht="18.75" customHeight="1">
      <c r="A1672" s="7" t="s">
        <v>3094</v>
      </c>
      <c r="B1672" s="9">
        <v>2046.0</v>
      </c>
      <c r="C1672" s="9">
        <v>2001.0</v>
      </c>
      <c r="D1672" s="9">
        <v>556.0</v>
      </c>
      <c r="E1672" s="9">
        <v>9.0</v>
      </c>
      <c r="F1672" s="14"/>
      <c r="G1672" s="15"/>
      <c r="H1672" s="15"/>
      <c r="I1672" s="14"/>
      <c r="P1672" s="14"/>
    </row>
    <row r="1673" ht="18.75" customHeight="1">
      <c r="A1673" s="7" t="s">
        <v>3094</v>
      </c>
      <c r="B1673" s="9">
        <v>123.0</v>
      </c>
      <c r="C1673" s="9">
        <v>123.0</v>
      </c>
      <c r="D1673" s="9">
        <v>37.0</v>
      </c>
      <c r="E1673" s="9">
        <v>1.0</v>
      </c>
      <c r="F1673" s="14"/>
      <c r="G1673" s="15"/>
      <c r="H1673" s="15"/>
      <c r="I1673" s="14"/>
      <c r="P1673" s="14"/>
    </row>
    <row r="1674" ht="18.75" customHeight="1">
      <c r="A1674" s="7" t="s">
        <v>3094</v>
      </c>
      <c r="B1674" s="9">
        <v>1141.0</v>
      </c>
      <c r="C1674" s="9">
        <v>1123.0</v>
      </c>
      <c r="D1674" s="9">
        <v>395.0</v>
      </c>
      <c r="E1674" s="9">
        <v>8.0</v>
      </c>
      <c r="F1674" s="14"/>
      <c r="G1674" s="15"/>
      <c r="H1674" s="15"/>
      <c r="I1674" s="14"/>
      <c r="P1674" s="14"/>
    </row>
    <row r="1675" ht="18.75" customHeight="1">
      <c r="A1675" s="7" t="s">
        <v>3094</v>
      </c>
      <c r="B1675" s="9">
        <v>4709.0</v>
      </c>
      <c r="C1675" s="9">
        <v>4639.0</v>
      </c>
      <c r="D1675" s="9">
        <v>1482.0</v>
      </c>
      <c r="E1675" s="9">
        <v>21.0</v>
      </c>
      <c r="F1675" s="14"/>
      <c r="G1675" s="15"/>
      <c r="H1675" s="15"/>
      <c r="I1675" s="14"/>
      <c r="P1675" s="14"/>
    </row>
    <row r="1676" ht="18.75" customHeight="1">
      <c r="A1676" s="7" t="s">
        <v>3094</v>
      </c>
      <c r="B1676" s="9">
        <v>1631.0</v>
      </c>
      <c r="C1676" s="9">
        <v>1593.0</v>
      </c>
      <c r="D1676" s="9">
        <v>479.0</v>
      </c>
      <c r="E1676" s="9">
        <v>5.0</v>
      </c>
      <c r="F1676" s="14"/>
      <c r="G1676" s="15"/>
      <c r="H1676" s="15"/>
      <c r="I1676" s="14"/>
      <c r="P1676" s="14"/>
    </row>
    <row r="1677" ht="18.75" customHeight="1">
      <c r="A1677" s="7" t="s">
        <v>3094</v>
      </c>
      <c r="B1677" s="9">
        <v>1341.0</v>
      </c>
      <c r="C1677" s="9">
        <v>1312.0</v>
      </c>
      <c r="D1677" s="9">
        <v>390.0</v>
      </c>
      <c r="E1677" s="9">
        <v>10.0</v>
      </c>
      <c r="F1677" s="14"/>
      <c r="G1677" s="15"/>
      <c r="H1677" s="15"/>
      <c r="I1677" s="14"/>
      <c r="P1677" s="14"/>
    </row>
    <row r="1678" ht="18.75" customHeight="1">
      <c r="A1678" s="7" t="s">
        <v>3094</v>
      </c>
      <c r="B1678" s="9">
        <v>4184.0</v>
      </c>
      <c r="C1678" s="9">
        <v>4110.0</v>
      </c>
      <c r="D1678" s="9">
        <v>1405.0</v>
      </c>
      <c r="E1678" s="9">
        <v>19.0</v>
      </c>
      <c r="F1678" s="14"/>
      <c r="G1678" s="15"/>
      <c r="H1678" s="15"/>
      <c r="I1678" s="14"/>
      <c r="P1678" s="14"/>
    </row>
    <row r="1679" ht="18.75" customHeight="1">
      <c r="A1679" s="7" t="s">
        <v>3094</v>
      </c>
      <c r="B1679" s="9">
        <v>1976.0</v>
      </c>
      <c r="C1679" s="9">
        <v>1947.0</v>
      </c>
      <c r="D1679" s="9">
        <v>585.0</v>
      </c>
      <c r="E1679" s="9">
        <v>15.0</v>
      </c>
      <c r="F1679" s="14"/>
      <c r="G1679" s="15"/>
      <c r="H1679" s="15"/>
      <c r="I1679" s="14"/>
      <c r="P1679" s="14"/>
    </row>
    <row r="1680" ht="18.75" customHeight="1">
      <c r="A1680" s="7" t="s">
        <v>3094</v>
      </c>
      <c r="B1680" s="9">
        <v>4951.0</v>
      </c>
      <c r="C1680" s="9">
        <v>4840.0</v>
      </c>
      <c r="D1680" s="9">
        <v>1626.0</v>
      </c>
      <c r="E1680" s="9">
        <v>19.0</v>
      </c>
      <c r="F1680" s="14"/>
      <c r="G1680" s="15"/>
      <c r="H1680" s="15"/>
      <c r="I1680" s="14"/>
      <c r="P1680" s="14"/>
    </row>
    <row r="1681" ht="18.75" customHeight="1">
      <c r="A1681" s="7" t="s">
        <v>3094</v>
      </c>
      <c r="B1681" s="9">
        <v>14808.0</v>
      </c>
      <c r="C1681" s="9">
        <v>14561.0</v>
      </c>
      <c r="D1681" s="9">
        <v>4599.0</v>
      </c>
      <c r="E1681" s="9">
        <v>100.0</v>
      </c>
      <c r="F1681" s="14"/>
      <c r="G1681" s="15"/>
      <c r="H1681" s="15"/>
      <c r="I1681" s="14"/>
      <c r="P1681" s="14"/>
    </row>
    <row r="1682" ht="18.75" customHeight="1">
      <c r="A1682" s="7" t="s">
        <v>3094</v>
      </c>
      <c r="B1682" s="9">
        <v>2358.0</v>
      </c>
      <c r="C1682" s="9">
        <v>2319.0</v>
      </c>
      <c r="D1682" s="9">
        <v>636.0</v>
      </c>
      <c r="E1682" s="9">
        <v>9.0</v>
      </c>
      <c r="F1682" s="14"/>
      <c r="G1682" s="15"/>
      <c r="H1682" s="15"/>
      <c r="I1682" s="14"/>
      <c r="P1682" s="14"/>
    </row>
    <row r="1683" ht="18.75" customHeight="1">
      <c r="A1683" s="7" t="s">
        <v>3094</v>
      </c>
      <c r="B1683" s="9">
        <v>1637.0</v>
      </c>
      <c r="C1683" s="9">
        <v>1604.0</v>
      </c>
      <c r="D1683" s="9">
        <v>473.0</v>
      </c>
      <c r="E1683" s="9">
        <v>6.0</v>
      </c>
      <c r="F1683" s="14"/>
      <c r="G1683" s="15"/>
      <c r="H1683" s="15"/>
      <c r="I1683" s="14"/>
      <c r="P1683" s="14"/>
    </row>
    <row r="1684" ht="18.75" customHeight="1">
      <c r="A1684" s="7" t="s">
        <v>3094</v>
      </c>
      <c r="B1684" s="9">
        <v>11489.0</v>
      </c>
      <c r="C1684" s="9">
        <v>11311.0</v>
      </c>
      <c r="D1684" s="9">
        <v>4313.0</v>
      </c>
      <c r="E1684" s="9">
        <v>74.0</v>
      </c>
      <c r="F1684" s="14"/>
      <c r="G1684" s="15"/>
      <c r="H1684" s="15"/>
      <c r="I1684" s="14"/>
      <c r="P1684" s="14"/>
    </row>
    <row r="1685" ht="18.75" customHeight="1">
      <c r="A1685" s="7" t="s">
        <v>3094</v>
      </c>
      <c r="B1685" s="9">
        <v>3493.0</v>
      </c>
      <c r="C1685" s="9">
        <v>3413.0</v>
      </c>
      <c r="D1685" s="9">
        <v>936.0</v>
      </c>
      <c r="E1685" s="9">
        <v>15.0</v>
      </c>
      <c r="F1685" s="14"/>
      <c r="G1685" s="15"/>
      <c r="H1685" s="15"/>
      <c r="I1685" s="14"/>
      <c r="P1685" s="14"/>
    </row>
    <row r="1686" ht="18.75" customHeight="1">
      <c r="A1686" s="7" t="s">
        <v>3094</v>
      </c>
      <c r="B1686" s="9">
        <v>3643.0</v>
      </c>
      <c r="C1686" s="9">
        <v>3581.0</v>
      </c>
      <c r="D1686" s="9">
        <v>1112.0</v>
      </c>
      <c r="E1686" s="9">
        <v>24.0</v>
      </c>
      <c r="F1686" s="14"/>
      <c r="G1686" s="15"/>
      <c r="H1686" s="15"/>
      <c r="I1686" s="14"/>
      <c r="P1686" s="14"/>
    </row>
    <row r="1687" ht="18.75" customHeight="1">
      <c r="A1687" s="7" t="s">
        <v>3095</v>
      </c>
      <c r="B1687" s="9">
        <v>1699.0</v>
      </c>
      <c r="C1687" s="9">
        <v>1699.0</v>
      </c>
      <c r="D1687" s="9">
        <v>837.0</v>
      </c>
      <c r="E1687" s="9">
        <v>189.0</v>
      </c>
      <c r="F1687" s="14"/>
      <c r="G1687" s="15"/>
      <c r="H1687" s="15"/>
      <c r="I1687" s="14"/>
      <c r="P1687" s="14"/>
    </row>
    <row r="1688" ht="18.75" customHeight="1">
      <c r="A1688" s="7" t="s">
        <v>3096</v>
      </c>
      <c r="B1688" s="9">
        <v>713.0</v>
      </c>
      <c r="C1688" s="9">
        <v>696.0</v>
      </c>
      <c r="D1688" s="9">
        <v>254.0</v>
      </c>
      <c r="E1688" s="9">
        <v>9.0</v>
      </c>
      <c r="F1688" s="14"/>
      <c r="G1688" s="15"/>
      <c r="H1688" s="15"/>
      <c r="I1688" s="14"/>
      <c r="P1688" s="14"/>
    </row>
    <row r="1689" ht="18.75" customHeight="1">
      <c r="A1689" s="7" t="s">
        <v>3097</v>
      </c>
      <c r="B1689" s="9">
        <v>25656.0</v>
      </c>
      <c r="C1689" s="9">
        <v>25214.0</v>
      </c>
      <c r="D1689" s="9">
        <v>7806.0</v>
      </c>
      <c r="E1689" s="9">
        <v>215.0</v>
      </c>
      <c r="F1689" s="14"/>
      <c r="G1689" s="15"/>
      <c r="H1689" s="15"/>
      <c r="I1689" s="14"/>
      <c r="P1689" s="14"/>
    </row>
    <row r="1690" ht="18.75" customHeight="1">
      <c r="A1690" s="7" t="s">
        <v>3097</v>
      </c>
      <c r="B1690" s="9">
        <v>14174.0</v>
      </c>
      <c r="C1690" s="9">
        <v>13922.0</v>
      </c>
      <c r="D1690" s="9">
        <v>4505.0</v>
      </c>
      <c r="E1690" s="9">
        <v>220.0</v>
      </c>
      <c r="F1690" s="14"/>
      <c r="G1690" s="15"/>
      <c r="H1690" s="15"/>
      <c r="I1690" s="14"/>
      <c r="P1690" s="14"/>
    </row>
    <row r="1691" ht="18.75" customHeight="1">
      <c r="A1691" s="7" t="s">
        <v>3097</v>
      </c>
      <c r="B1691" s="9">
        <v>67165.0</v>
      </c>
      <c r="C1691" s="9">
        <v>65999.0</v>
      </c>
      <c r="D1691" s="9">
        <v>21575.0</v>
      </c>
      <c r="E1691" s="9">
        <v>878.0</v>
      </c>
      <c r="F1691" s="14"/>
      <c r="G1691" s="15"/>
      <c r="H1691" s="15"/>
      <c r="I1691" s="14"/>
      <c r="P1691" s="14"/>
    </row>
    <row r="1692" ht="18.75" customHeight="1">
      <c r="A1692" s="7" t="s">
        <v>3097</v>
      </c>
      <c r="B1692" s="9">
        <v>58008.0</v>
      </c>
      <c r="C1692" s="9">
        <v>56982.0</v>
      </c>
      <c r="D1692" s="9">
        <v>20170.0</v>
      </c>
      <c r="E1692" s="9">
        <v>640.0</v>
      </c>
      <c r="F1692" s="14"/>
      <c r="G1692" s="15"/>
      <c r="H1692" s="15"/>
      <c r="I1692" s="14"/>
      <c r="P1692" s="14"/>
    </row>
    <row r="1693" ht="18.75" customHeight="1">
      <c r="A1693" s="7" t="s">
        <v>3098</v>
      </c>
      <c r="B1693" s="9">
        <v>614.0</v>
      </c>
      <c r="C1693" s="9">
        <v>581.0</v>
      </c>
      <c r="D1693" s="9">
        <v>189.0</v>
      </c>
      <c r="E1693" s="9">
        <v>20.0</v>
      </c>
      <c r="F1693" s="14"/>
      <c r="G1693" s="15"/>
      <c r="H1693" s="15"/>
      <c r="I1693" s="14"/>
      <c r="P1693" s="14"/>
    </row>
    <row r="1694" ht="18.75" customHeight="1">
      <c r="A1694" s="7" t="s">
        <v>3099</v>
      </c>
      <c r="B1694" s="9">
        <v>3406.0</v>
      </c>
      <c r="C1694" s="9">
        <v>3333.0</v>
      </c>
      <c r="D1694" s="9">
        <v>988.0</v>
      </c>
      <c r="E1694" s="9">
        <v>61.0</v>
      </c>
      <c r="F1694" s="14"/>
      <c r="G1694" s="15"/>
      <c r="H1694" s="15"/>
      <c r="I1694" s="14"/>
      <c r="P1694" s="14"/>
    </row>
    <row r="1695" ht="18.75" customHeight="1">
      <c r="A1695" s="7" t="s">
        <v>3100</v>
      </c>
      <c r="B1695" s="9">
        <v>2315.0</v>
      </c>
      <c r="C1695" s="9">
        <v>2270.0</v>
      </c>
      <c r="D1695" s="9">
        <v>836.0</v>
      </c>
      <c r="E1695" s="9">
        <v>48.0</v>
      </c>
      <c r="F1695" s="14"/>
      <c r="G1695" s="15"/>
      <c r="H1695" s="15"/>
      <c r="I1695" s="14"/>
      <c r="P1695" s="14"/>
    </row>
    <row r="1696" ht="18.75" customHeight="1">
      <c r="A1696" s="7" t="s">
        <v>3101</v>
      </c>
      <c r="B1696" s="9">
        <v>2947.0</v>
      </c>
      <c r="C1696" s="9">
        <v>2902.0</v>
      </c>
      <c r="D1696" s="9">
        <v>1112.0</v>
      </c>
      <c r="E1696" s="9">
        <v>111.0</v>
      </c>
      <c r="F1696" s="14"/>
      <c r="G1696" s="15"/>
      <c r="H1696" s="15"/>
      <c r="I1696" s="14"/>
      <c r="P1696" s="14"/>
    </row>
    <row r="1697" ht="18.75" customHeight="1">
      <c r="A1697" s="7" t="s">
        <v>3102</v>
      </c>
      <c r="B1697" s="9">
        <v>3162.0</v>
      </c>
      <c r="C1697" s="9">
        <v>3100.0</v>
      </c>
      <c r="D1697" s="9">
        <v>1153.0</v>
      </c>
      <c r="E1697" s="9">
        <v>68.0</v>
      </c>
      <c r="F1697" s="14"/>
      <c r="G1697" s="15"/>
      <c r="H1697" s="15"/>
      <c r="I1697" s="14"/>
      <c r="P1697" s="14"/>
    </row>
    <row r="1698" ht="18.75" customHeight="1">
      <c r="A1698" s="7" t="s">
        <v>3103</v>
      </c>
      <c r="B1698" s="9">
        <v>10151.0</v>
      </c>
      <c r="C1698" s="9">
        <v>9944.0</v>
      </c>
      <c r="D1698" s="9">
        <v>4400.0</v>
      </c>
      <c r="E1698" s="9">
        <v>308.0</v>
      </c>
      <c r="F1698" s="14"/>
      <c r="G1698" s="15"/>
      <c r="H1698" s="15"/>
      <c r="I1698" s="14"/>
      <c r="P1698" s="14"/>
    </row>
    <row r="1699" ht="18.75" customHeight="1">
      <c r="A1699" s="7" t="s">
        <v>3104</v>
      </c>
      <c r="B1699" s="9">
        <v>750.0</v>
      </c>
      <c r="C1699" s="9">
        <v>733.0</v>
      </c>
      <c r="D1699" s="9">
        <v>254.0</v>
      </c>
      <c r="E1699" s="9">
        <v>15.0</v>
      </c>
      <c r="F1699" s="14"/>
      <c r="G1699" s="15"/>
      <c r="H1699" s="15"/>
      <c r="I1699" s="14"/>
      <c r="P1699" s="14"/>
    </row>
    <row r="1700" ht="18.75" customHeight="1">
      <c r="A1700" s="7" t="s">
        <v>3105</v>
      </c>
      <c r="B1700" s="9">
        <v>2612.0</v>
      </c>
      <c r="C1700" s="9">
        <v>2556.0</v>
      </c>
      <c r="D1700" s="9">
        <v>1032.0</v>
      </c>
      <c r="E1700" s="9">
        <v>123.0</v>
      </c>
      <c r="F1700" s="14"/>
      <c r="G1700" s="15"/>
      <c r="H1700" s="15"/>
      <c r="I1700" s="14"/>
      <c r="P1700" s="14"/>
    </row>
    <row r="1701" ht="18.75" customHeight="1">
      <c r="A1701" s="7" t="s">
        <v>3106</v>
      </c>
      <c r="B1701" s="9">
        <v>4172.0</v>
      </c>
      <c r="C1701" s="9">
        <v>4090.0</v>
      </c>
      <c r="D1701" s="9">
        <v>1915.0</v>
      </c>
      <c r="E1701" s="9">
        <v>41.0</v>
      </c>
      <c r="F1701" s="14"/>
      <c r="G1701" s="15"/>
      <c r="H1701" s="15"/>
      <c r="I1701" s="14"/>
      <c r="P1701" s="14"/>
    </row>
    <row r="1702" ht="18.75" customHeight="1">
      <c r="A1702" s="7" t="s">
        <v>381</v>
      </c>
      <c r="B1702" s="9">
        <v>31.0</v>
      </c>
      <c r="C1702" s="9">
        <v>30.0</v>
      </c>
      <c r="D1702" s="9">
        <v>13.0</v>
      </c>
      <c r="E1702" s="9">
        <v>2.0</v>
      </c>
      <c r="F1702" s="14"/>
      <c r="G1702" s="15"/>
      <c r="H1702" s="15"/>
      <c r="I1702" s="14"/>
      <c r="P1702" s="14"/>
    </row>
    <row r="1703" ht="18.75" customHeight="1">
      <c r="A1703" s="7" t="s">
        <v>3107</v>
      </c>
      <c r="B1703" s="9">
        <v>78642.0</v>
      </c>
      <c r="C1703" s="9">
        <v>77851.0</v>
      </c>
      <c r="D1703" s="9">
        <v>33283.0</v>
      </c>
      <c r="E1703" s="9">
        <v>301.0</v>
      </c>
      <c r="F1703" s="14"/>
      <c r="G1703" s="15"/>
      <c r="H1703" s="15"/>
      <c r="I1703" s="14"/>
      <c r="P1703" s="14"/>
    </row>
    <row r="1704" ht="18.75" customHeight="1">
      <c r="A1704" s="7" t="s">
        <v>3108</v>
      </c>
      <c r="B1704" s="9">
        <v>84509.0</v>
      </c>
      <c r="C1704" s="9">
        <v>83063.0</v>
      </c>
      <c r="D1704" s="9">
        <v>28550.0</v>
      </c>
      <c r="E1704" s="9">
        <v>730.0</v>
      </c>
      <c r="F1704" s="14"/>
      <c r="G1704" s="15"/>
      <c r="H1704" s="15"/>
      <c r="I1704" s="14"/>
      <c r="P1704" s="14"/>
    </row>
    <row r="1705" ht="18.75" customHeight="1">
      <c r="A1705" s="7" t="s">
        <v>3109</v>
      </c>
      <c r="B1705" s="9">
        <v>80772.0</v>
      </c>
      <c r="C1705" s="9">
        <v>78998.0</v>
      </c>
      <c r="D1705" s="9">
        <v>24817.0</v>
      </c>
      <c r="E1705" s="9">
        <v>2157.0</v>
      </c>
      <c r="F1705" s="14"/>
      <c r="G1705" s="15"/>
      <c r="H1705" s="15"/>
      <c r="I1705" s="14"/>
      <c r="P1705" s="14"/>
    </row>
    <row r="1706" ht="18.75" customHeight="1">
      <c r="A1706" s="7" t="s">
        <v>3110</v>
      </c>
      <c r="B1706" s="9">
        <v>57261.0</v>
      </c>
      <c r="C1706" s="9">
        <v>56239.0</v>
      </c>
      <c r="D1706" s="9">
        <v>19296.0</v>
      </c>
      <c r="E1706" s="9">
        <v>1151.0</v>
      </c>
      <c r="F1706" s="14"/>
      <c r="G1706" s="15"/>
      <c r="H1706" s="15"/>
      <c r="I1706" s="14"/>
      <c r="P1706" s="14"/>
    </row>
    <row r="1707" ht="18.75" customHeight="1">
      <c r="A1707" s="7" t="s">
        <v>2857</v>
      </c>
      <c r="B1707" s="9">
        <v>41427.0</v>
      </c>
      <c r="C1707" s="9">
        <v>40551.0</v>
      </c>
      <c r="D1707" s="9">
        <v>13289.0</v>
      </c>
      <c r="E1707" s="9">
        <v>441.0</v>
      </c>
      <c r="F1707" s="14"/>
      <c r="G1707" s="15"/>
      <c r="H1707" s="15"/>
      <c r="I1707" s="14"/>
      <c r="P1707" s="14"/>
    </row>
    <row r="1708" ht="18.75" customHeight="1">
      <c r="A1708" s="7" t="s">
        <v>3111</v>
      </c>
      <c r="B1708" s="9">
        <v>42260.0</v>
      </c>
      <c r="C1708" s="9">
        <v>41474.0</v>
      </c>
      <c r="D1708" s="9">
        <v>14197.0</v>
      </c>
      <c r="E1708" s="9">
        <v>838.0</v>
      </c>
      <c r="F1708" s="14"/>
      <c r="G1708" s="15"/>
      <c r="H1708" s="15"/>
      <c r="I1708" s="14"/>
      <c r="P1708" s="14"/>
    </row>
    <row r="1709" ht="18.75" customHeight="1">
      <c r="A1709" s="7" t="s">
        <v>3112</v>
      </c>
      <c r="B1709" s="9">
        <v>50107.0</v>
      </c>
      <c r="C1709" s="9">
        <v>49258.0</v>
      </c>
      <c r="D1709" s="9">
        <v>15958.0</v>
      </c>
      <c r="E1709" s="9">
        <v>822.0</v>
      </c>
      <c r="F1709" s="14"/>
      <c r="G1709" s="15"/>
      <c r="H1709" s="15"/>
      <c r="I1709" s="14"/>
      <c r="P1709" s="14"/>
    </row>
    <row r="1710" ht="18.75" customHeight="1">
      <c r="A1710" s="7" t="s">
        <v>3113</v>
      </c>
      <c r="B1710" s="9">
        <v>35900.0</v>
      </c>
      <c r="C1710" s="9">
        <v>35324.0</v>
      </c>
      <c r="D1710" s="9">
        <v>14265.0</v>
      </c>
      <c r="E1710" s="9">
        <v>972.0</v>
      </c>
      <c r="F1710" s="14"/>
      <c r="G1710" s="15"/>
      <c r="H1710" s="15"/>
      <c r="I1710" s="14"/>
      <c r="P1710" s="14"/>
    </row>
    <row r="1711" ht="18.75" customHeight="1">
      <c r="A1711" s="7" t="s">
        <v>3114</v>
      </c>
      <c r="B1711" s="9">
        <v>88666.0</v>
      </c>
      <c r="C1711" s="9">
        <v>86928.0</v>
      </c>
      <c r="D1711" s="9">
        <v>28073.0</v>
      </c>
      <c r="E1711" s="9">
        <v>828.0</v>
      </c>
      <c r="F1711" s="14"/>
      <c r="G1711" s="15"/>
      <c r="H1711" s="15"/>
      <c r="I1711" s="14"/>
      <c r="P1711" s="14"/>
    </row>
    <row r="1712" ht="18.75" customHeight="1">
      <c r="A1712" s="7" t="s">
        <v>3114</v>
      </c>
      <c r="B1712" s="9">
        <v>77648.0</v>
      </c>
      <c r="C1712" s="9">
        <v>76130.0</v>
      </c>
      <c r="D1712" s="9">
        <v>31403.0</v>
      </c>
      <c r="E1712" s="9">
        <v>596.0</v>
      </c>
      <c r="F1712" s="14"/>
      <c r="G1712" s="15"/>
      <c r="H1712" s="15"/>
      <c r="I1712" s="14"/>
      <c r="P1712" s="14"/>
    </row>
    <row r="1713" ht="18.75" customHeight="1">
      <c r="A1713" s="7" t="s">
        <v>3115</v>
      </c>
      <c r="B1713" s="9">
        <v>6403.0</v>
      </c>
      <c r="C1713" s="9">
        <v>6296.0</v>
      </c>
      <c r="D1713" s="9">
        <v>3331.0</v>
      </c>
      <c r="E1713" s="9">
        <v>77.0</v>
      </c>
      <c r="F1713" s="14"/>
      <c r="G1713" s="15"/>
      <c r="H1713" s="15"/>
      <c r="I1713" s="14"/>
      <c r="P1713" s="14"/>
    </row>
    <row r="1714" ht="18.75" customHeight="1">
      <c r="A1714" s="7" t="s">
        <v>3116</v>
      </c>
      <c r="B1714" s="9">
        <v>24572.0</v>
      </c>
      <c r="C1714" s="9">
        <v>24041.0</v>
      </c>
      <c r="D1714" s="9">
        <v>7989.0</v>
      </c>
      <c r="E1714" s="9">
        <v>359.0</v>
      </c>
      <c r="F1714" s="14"/>
      <c r="G1714" s="15"/>
      <c r="H1714" s="15"/>
      <c r="I1714" s="14"/>
      <c r="P1714" s="14"/>
    </row>
    <row r="1715" ht="18.75" customHeight="1">
      <c r="A1715" s="7" t="s">
        <v>3117</v>
      </c>
      <c r="B1715" s="9">
        <v>11462.0</v>
      </c>
      <c r="C1715" s="9">
        <v>11247.0</v>
      </c>
      <c r="D1715" s="9">
        <v>4234.0</v>
      </c>
      <c r="E1715" s="9">
        <v>224.0</v>
      </c>
      <c r="F1715" s="14"/>
      <c r="G1715" s="15"/>
      <c r="H1715" s="15"/>
      <c r="I1715" s="14"/>
      <c r="P1715" s="14"/>
    </row>
    <row r="1716" ht="18.75" customHeight="1">
      <c r="A1716" s="7" t="s">
        <v>3118</v>
      </c>
      <c r="B1716" s="9">
        <v>32079.0</v>
      </c>
      <c r="C1716" s="9">
        <v>31462.0</v>
      </c>
      <c r="D1716" s="9">
        <v>13693.0</v>
      </c>
      <c r="E1716" s="9">
        <v>348.0</v>
      </c>
      <c r="F1716" s="14"/>
      <c r="G1716" s="15"/>
      <c r="H1716" s="15"/>
      <c r="I1716" s="14"/>
      <c r="P1716" s="14"/>
    </row>
    <row r="1717" ht="18.75" customHeight="1">
      <c r="A1717" s="7" t="s">
        <v>3119</v>
      </c>
      <c r="B1717" s="9">
        <v>49881.0</v>
      </c>
      <c r="C1717" s="9">
        <v>48766.0</v>
      </c>
      <c r="D1717" s="9">
        <v>9757.0</v>
      </c>
      <c r="E1717" s="9">
        <v>417.0</v>
      </c>
      <c r="F1717" s="14"/>
      <c r="G1717" s="15"/>
      <c r="H1717" s="15"/>
      <c r="I1717" s="14"/>
      <c r="P1717" s="14"/>
    </row>
    <row r="1718" ht="18.75" customHeight="1">
      <c r="A1718" s="7" t="s">
        <v>3120</v>
      </c>
      <c r="B1718" s="9">
        <v>53526.0</v>
      </c>
      <c r="C1718" s="9">
        <v>52539.0</v>
      </c>
      <c r="D1718" s="9">
        <v>14375.0</v>
      </c>
      <c r="E1718" s="9">
        <v>204.0</v>
      </c>
      <c r="F1718" s="14"/>
      <c r="G1718" s="15"/>
      <c r="H1718" s="15"/>
      <c r="I1718" s="14"/>
      <c r="P1718" s="14"/>
    </row>
    <row r="1719" ht="18.75" customHeight="1">
      <c r="A1719" s="7" t="s">
        <v>3121</v>
      </c>
      <c r="B1719" s="9">
        <v>36530.0</v>
      </c>
      <c r="C1719" s="9">
        <v>35853.0</v>
      </c>
      <c r="D1719" s="9">
        <v>10102.0</v>
      </c>
      <c r="E1719" s="9">
        <v>53.0</v>
      </c>
      <c r="F1719" s="14"/>
      <c r="G1719" s="15"/>
      <c r="H1719" s="15"/>
      <c r="I1719" s="14"/>
      <c r="P1719" s="14"/>
    </row>
    <row r="1720" ht="18.75" customHeight="1">
      <c r="A1720" s="7" t="s">
        <v>3122</v>
      </c>
      <c r="B1720" s="9">
        <v>9500.0</v>
      </c>
      <c r="C1720" s="9">
        <v>9359.0</v>
      </c>
      <c r="D1720" s="9">
        <v>3744.0</v>
      </c>
      <c r="E1720" s="9">
        <v>206.0</v>
      </c>
      <c r="F1720" s="14"/>
      <c r="G1720" s="15"/>
      <c r="H1720" s="15"/>
      <c r="I1720" s="14"/>
      <c r="P1720" s="14"/>
    </row>
    <row r="1721" ht="18.75" customHeight="1">
      <c r="A1721" s="7" t="s">
        <v>3123</v>
      </c>
      <c r="B1721" s="9">
        <v>12851.0</v>
      </c>
      <c r="C1721" s="9">
        <v>12594.0</v>
      </c>
      <c r="D1721" s="9">
        <v>4927.0</v>
      </c>
      <c r="E1721" s="9">
        <v>227.0</v>
      </c>
      <c r="F1721" s="14"/>
      <c r="G1721" s="15"/>
      <c r="H1721" s="15"/>
      <c r="I1721" s="14"/>
      <c r="P1721" s="14"/>
    </row>
    <row r="1722" ht="18.75" customHeight="1">
      <c r="A1722" s="7" t="s">
        <v>3124</v>
      </c>
      <c r="B1722" s="9">
        <v>14010.0</v>
      </c>
      <c r="C1722" s="9">
        <v>13786.0</v>
      </c>
      <c r="D1722" s="9">
        <v>5385.0</v>
      </c>
      <c r="E1722" s="9">
        <v>256.0</v>
      </c>
      <c r="F1722" s="14"/>
      <c r="G1722" s="15"/>
      <c r="H1722" s="15"/>
      <c r="I1722" s="14"/>
      <c r="P1722" s="14"/>
    </row>
    <row r="1723" ht="18.75" customHeight="1">
      <c r="A1723" s="7" t="s">
        <v>3125</v>
      </c>
      <c r="B1723" s="9">
        <v>27781.0</v>
      </c>
      <c r="C1723" s="9">
        <v>27335.0</v>
      </c>
      <c r="D1723" s="9">
        <v>10520.0</v>
      </c>
      <c r="E1723" s="9">
        <v>394.0</v>
      </c>
      <c r="F1723" s="14"/>
      <c r="G1723" s="15"/>
      <c r="H1723" s="15"/>
      <c r="I1723" s="14"/>
      <c r="P1723" s="14"/>
    </row>
    <row r="1724" ht="18.75" customHeight="1">
      <c r="A1724" s="7" t="s">
        <v>3126</v>
      </c>
      <c r="B1724" s="9">
        <v>107606.0</v>
      </c>
      <c r="C1724" s="9">
        <v>105229.0</v>
      </c>
      <c r="D1724" s="9">
        <v>36209.0</v>
      </c>
      <c r="E1724" s="9">
        <v>6008.0</v>
      </c>
      <c r="F1724" s="14"/>
      <c r="G1724" s="15"/>
      <c r="H1724" s="15"/>
      <c r="I1724" s="14"/>
      <c r="P1724" s="14"/>
    </row>
    <row r="1725" ht="18.75" customHeight="1">
      <c r="A1725" s="7" t="s">
        <v>3127</v>
      </c>
      <c r="B1725" s="9">
        <v>100010.0</v>
      </c>
      <c r="C1725" s="9">
        <v>98027.0</v>
      </c>
      <c r="D1725" s="9">
        <v>31776.0</v>
      </c>
      <c r="E1725" s="9">
        <v>1386.0</v>
      </c>
      <c r="F1725" s="14"/>
      <c r="G1725" s="15"/>
      <c r="H1725" s="15"/>
      <c r="I1725" s="14"/>
      <c r="P1725" s="14"/>
    </row>
    <row r="1726" ht="18.75" customHeight="1">
      <c r="A1726" s="7" t="s">
        <v>3128</v>
      </c>
      <c r="B1726" s="9">
        <v>22937.0</v>
      </c>
      <c r="C1726" s="9">
        <v>22438.0</v>
      </c>
      <c r="D1726" s="9">
        <v>7138.0</v>
      </c>
      <c r="E1726" s="9">
        <v>257.0</v>
      </c>
      <c r="F1726" s="14"/>
      <c r="G1726" s="15"/>
      <c r="H1726" s="15"/>
      <c r="I1726" s="14"/>
      <c r="P1726" s="14"/>
    </row>
    <row r="1727" ht="18.75" customHeight="1">
      <c r="A1727" s="7" t="s">
        <v>3129</v>
      </c>
      <c r="B1727" s="9">
        <v>106081.0</v>
      </c>
      <c r="C1727" s="9">
        <v>104531.0</v>
      </c>
      <c r="D1727" s="9">
        <v>47885.0</v>
      </c>
      <c r="E1727" s="9">
        <v>1115.0</v>
      </c>
      <c r="F1727" s="14"/>
      <c r="G1727" s="15"/>
      <c r="H1727" s="15"/>
      <c r="I1727" s="14"/>
      <c r="P1727" s="14"/>
    </row>
    <row r="1728" ht="18.75" customHeight="1">
      <c r="A1728" s="7" t="s">
        <v>3130</v>
      </c>
      <c r="B1728" s="9">
        <v>40160.0</v>
      </c>
      <c r="C1728" s="9">
        <v>39712.0</v>
      </c>
      <c r="D1728" s="9">
        <v>16642.0</v>
      </c>
      <c r="E1728" s="9">
        <v>181.0</v>
      </c>
      <c r="F1728" s="14"/>
      <c r="G1728" s="15"/>
      <c r="H1728" s="15"/>
      <c r="I1728" s="14"/>
      <c r="P1728" s="14"/>
    </row>
    <row r="1729" ht="18.75" customHeight="1">
      <c r="A1729" s="7" t="s">
        <v>2857</v>
      </c>
      <c r="B1729" s="9">
        <v>71094.0</v>
      </c>
      <c r="C1729" s="9">
        <v>69650.0</v>
      </c>
      <c r="D1729" s="9">
        <v>23577.0</v>
      </c>
      <c r="E1729" s="9">
        <v>702.0</v>
      </c>
      <c r="F1729" s="14"/>
      <c r="G1729" s="15"/>
      <c r="H1729" s="15"/>
      <c r="I1729" s="14"/>
      <c r="P1729" s="14"/>
    </row>
    <row r="1730" ht="18.75" customHeight="1">
      <c r="A1730" s="7" t="s">
        <v>2902</v>
      </c>
      <c r="B1730" s="9">
        <v>69092.0</v>
      </c>
      <c r="C1730" s="9">
        <v>68152.0</v>
      </c>
      <c r="D1730" s="9">
        <v>25046.0</v>
      </c>
      <c r="E1730" s="9">
        <v>2261.0</v>
      </c>
      <c r="F1730" s="14"/>
      <c r="G1730" s="15"/>
      <c r="H1730" s="15"/>
      <c r="I1730" s="14"/>
      <c r="P1730" s="14"/>
    </row>
    <row r="1731" ht="18.75" customHeight="1">
      <c r="A1731" s="7" t="s">
        <v>3131</v>
      </c>
      <c r="B1731" s="9">
        <v>49216.0</v>
      </c>
      <c r="C1731" s="9">
        <v>48760.0</v>
      </c>
      <c r="D1731" s="9">
        <v>18551.0</v>
      </c>
      <c r="E1731" s="9">
        <v>1000.0</v>
      </c>
      <c r="F1731" s="14"/>
      <c r="G1731" s="15"/>
      <c r="H1731" s="15"/>
      <c r="I1731" s="14"/>
      <c r="P1731" s="14"/>
    </row>
    <row r="1732" ht="18.75" customHeight="1">
      <c r="A1732" s="7" t="s">
        <v>3132</v>
      </c>
      <c r="B1732" s="9">
        <v>19443.0</v>
      </c>
      <c r="C1732" s="9">
        <v>19168.0</v>
      </c>
      <c r="D1732" s="9">
        <v>6230.0</v>
      </c>
      <c r="E1732" s="9">
        <v>4.0</v>
      </c>
      <c r="F1732" s="14"/>
      <c r="G1732" s="15"/>
      <c r="H1732" s="15"/>
      <c r="I1732" s="14"/>
      <c r="P1732" s="14"/>
    </row>
    <row r="1733" ht="18.75" customHeight="1">
      <c r="A1733" s="7" t="s">
        <v>3133</v>
      </c>
      <c r="B1733" s="9">
        <v>112110.0</v>
      </c>
      <c r="C1733" s="9">
        <v>111154.0</v>
      </c>
      <c r="D1733" s="9">
        <v>34139.0</v>
      </c>
      <c r="E1733" s="9">
        <v>93.0</v>
      </c>
      <c r="F1733" s="14"/>
      <c r="G1733" s="15"/>
      <c r="H1733" s="15"/>
      <c r="I1733" s="14"/>
      <c r="P1733" s="14"/>
    </row>
    <row r="1734" ht="18.75" customHeight="1">
      <c r="A1734" s="7" t="s">
        <v>3134</v>
      </c>
      <c r="B1734" s="9">
        <v>140792.0</v>
      </c>
      <c r="C1734" s="9">
        <v>139333.0</v>
      </c>
      <c r="D1734" s="9">
        <v>39919.0</v>
      </c>
      <c r="E1734" s="9">
        <v>127.0</v>
      </c>
      <c r="F1734" s="14"/>
      <c r="G1734" s="15"/>
      <c r="H1734" s="15"/>
      <c r="I1734" s="14"/>
      <c r="P1734" s="14"/>
    </row>
    <row r="1735" ht="18.75" customHeight="1">
      <c r="A1735" s="7" t="s">
        <v>3135</v>
      </c>
      <c r="B1735" s="9">
        <v>8907.0</v>
      </c>
      <c r="C1735" s="9">
        <v>8761.0</v>
      </c>
      <c r="D1735" s="9">
        <v>3696.0</v>
      </c>
      <c r="E1735" s="9">
        <v>16.0</v>
      </c>
      <c r="F1735" s="14"/>
      <c r="G1735" s="15"/>
      <c r="H1735" s="15"/>
      <c r="I1735" s="14"/>
      <c r="P1735" s="14"/>
    </row>
    <row r="1736" ht="18.75" customHeight="1">
      <c r="A1736" s="7" t="s">
        <v>3136</v>
      </c>
      <c r="B1736" s="9">
        <v>13295.0</v>
      </c>
      <c r="C1736" s="9">
        <v>13054.0</v>
      </c>
      <c r="D1736" s="9">
        <v>5295.0</v>
      </c>
      <c r="E1736" s="9">
        <v>869.0</v>
      </c>
      <c r="F1736" s="14"/>
      <c r="G1736" s="15"/>
      <c r="H1736" s="15"/>
      <c r="I1736" s="14"/>
      <c r="P1736" s="14"/>
    </row>
    <row r="1737" ht="18.75" customHeight="1">
      <c r="A1737" s="7" t="s">
        <v>3136</v>
      </c>
      <c r="B1737" s="9">
        <v>26784.0</v>
      </c>
      <c r="C1737" s="9">
        <v>26317.0</v>
      </c>
      <c r="D1737" s="9">
        <v>11971.0</v>
      </c>
      <c r="E1737" s="9">
        <v>997.0</v>
      </c>
      <c r="F1737" s="14"/>
      <c r="G1737" s="15"/>
      <c r="H1737" s="15"/>
      <c r="I1737" s="14"/>
      <c r="P1737" s="14"/>
    </row>
    <row r="1738" ht="18.75" customHeight="1">
      <c r="A1738" s="7" t="s">
        <v>3137</v>
      </c>
      <c r="B1738" s="9">
        <v>11239.0</v>
      </c>
      <c r="C1738" s="9">
        <v>11037.0</v>
      </c>
      <c r="D1738" s="9">
        <v>3268.0</v>
      </c>
      <c r="E1738" s="9">
        <v>136.0</v>
      </c>
      <c r="F1738" s="14"/>
      <c r="G1738" s="15"/>
      <c r="H1738" s="15"/>
      <c r="I1738" s="14"/>
      <c r="P1738" s="14"/>
    </row>
    <row r="1739" ht="18.75" customHeight="1">
      <c r="A1739" s="7" t="s">
        <v>3072</v>
      </c>
      <c r="B1739" s="9">
        <v>100443.0</v>
      </c>
      <c r="C1739" s="9">
        <v>99105.0</v>
      </c>
      <c r="D1739" s="9">
        <v>17169.0</v>
      </c>
      <c r="E1739" s="9">
        <v>77.0</v>
      </c>
      <c r="F1739" s="14"/>
      <c r="G1739" s="15"/>
      <c r="H1739" s="15"/>
      <c r="I1739" s="14"/>
      <c r="P1739" s="14"/>
    </row>
    <row r="1740" ht="18.75" customHeight="1">
      <c r="A1740" s="7" t="s">
        <v>3072</v>
      </c>
      <c r="B1740" s="9">
        <v>71990.0</v>
      </c>
      <c r="C1740" s="9">
        <v>71111.0</v>
      </c>
      <c r="D1740" s="9">
        <v>23115.0</v>
      </c>
      <c r="E1740" s="9">
        <v>2309.0</v>
      </c>
      <c r="F1740" s="14"/>
      <c r="G1740" s="15"/>
      <c r="H1740" s="15"/>
      <c r="I1740" s="14"/>
      <c r="P1740" s="14"/>
    </row>
    <row r="1741" ht="18.75" customHeight="1">
      <c r="A1741" s="7" t="s">
        <v>3138</v>
      </c>
      <c r="B1741" s="9">
        <v>105664.0</v>
      </c>
      <c r="C1741" s="9">
        <v>104053.0</v>
      </c>
      <c r="D1741" s="9">
        <v>46507.0</v>
      </c>
      <c r="E1741" s="9">
        <v>385.0</v>
      </c>
      <c r="F1741" s="14"/>
      <c r="G1741" s="15"/>
      <c r="H1741" s="15"/>
      <c r="I1741" s="14"/>
      <c r="P1741" s="14"/>
    </row>
    <row r="1742" ht="18.75" customHeight="1">
      <c r="A1742" s="7" t="s">
        <v>3139</v>
      </c>
      <c r="B1742" s="9">
        <v>104136.0</v>
      </c>
      <c r="C1742" s="9">
        <v>102580.0</v>
      </c>
      <c r="D1742" s="9">
        <v>43958.0</v>
      </c>
      <c r="E1742" s="9">
        <v>399.0</v>
      </c>
      <c r="F1742" s="14"/>
      <c r="G1742" s="15"/>
      <c r="H1742" s="15"/>
      <c r="I1742" s="14"/>
      <c r="P1742" s="14"/>
    </row>
    <row r="1743" ht="18.75" customHeight="1">
      <c r="A1743" s="7" t="s">
        <v>3140</v>
      </c>
      <c r="B1743" s="9">
        <v>73334.0</v>
      </c>
      <c r="C1743" s="9">
        <v>72699.0</v>
      </c>
      <c r="D1743" s="9">
        <v>42988.0</v>
      </c>
      <c r="E1743" s="9">
        <v>353.0</v>
      </c>
      <c r="F1743" s="14"/>
      <c r="G1743" s="15"/>
      <c r="H1743" s="15"/>
      <c r="I1743" s="14"/>
      <c r="P1743" s="14"/>
    </row>
    <row r="1744" ht="18.75" customHeight="1">
      <c r="A1744" s="7" t="s">
        <v>3141</v>
      </c>
      <c r="B1744" s="9">
        <v>49690.0</v>
      </c>
      <c r="C1744" s="9">
        <v>48713.0</v>
      </c>
      <c r="D1744" s="9">
        <v>16774.0</v>
      </c>
      <c r="E1744" s="9">
        <v>398.0</v>
      </c>
      <c r="F1744" s="14"/>
      <c r="G1744" s="15"/>
      <c r="H1744" s="15"/>
      <c r="I1744" s="14"/>
      <c r="P1744" s="14"/>
    </row>
    <row r="1745" ht="18.75" customHeight="1">
      <c r="A1745" s="7" t="s">
        <v>3142</v>
      </c>
      <c r="B1745" s="9">
        <v>41428.0</v>
      </c>
      <c r="C1745" s="9">
        <v>40541.0</v>
      </c>
      <c r="D1745" s="9">
        <v>10720.0</v>
      </c>
      <c r="E1745" s="9">
        <v>360.0</v>
      </c>
      <c r="F1745" s="14"/>
      <c r="G1745" s="15"/>
      <c r="H1745" s="15"/>
      <c r="I1745" s="14"/>
      <c r="P1745" s="14"/>
    </row>
    <row r="1746" ht="18.75" customHeight="1">
      <c r="A1746" s="7" t="s">
        <v>3143</v>
      </c>
      <c r="B1746" s="9">
        <v>41649.0</v>
      </c>
      <c r="C1746" s="9">
        <v>40816.0</v>
      </c>
      <c r="D1746" s="9">
        <v>10718.0</v>
      </c>
      <c r="E1746" s="9">
        <v>261.0</v>
      </c>
      <c r="F1746" s="14"/>
      <c r="G1746" s="15"/>
      <c r="H1746" s="15"/>
      <c r="I1746" s="14"/>
      <c r="P1746" s="14"/>
    </row>
    <row r="1747" ht="18.75" customHeight="1">
      <c r="A1747" s="7" t="s">
        <v>3144</v>
      </c>
      <c r="B1747" s="9">
        <v>32007.0</v>
      </c>
      <c r="C1747" s="9">
        <v>31404.0</v>
      </c>
      <c r="D1747" s="9">
        <v>9666.0</v>
      </c>
      <c r="E1747" s="9">
        <v>261.0</v>
      </c>
      <c r="F1747" s="14"/>
      <c r="G1747" s="15"/>
      <c r="H1747" s="15"/>
      <c r="I1747" s="14"/>
      <c r="P1747" s="14"/>
    </row>
    <row r="1748" ht="18.75" customHeight="1">
      <c r="A1748" s="7" t="s">
        <v>3145</v>
      </c>
      <c r="B1748" s="9">
        <v>32033.0</v>
      </c>
      <c r="C1748" s="9">
        <v>31418.0</v>
      </c>
      <c r="D1748" s="9">
        <v>9888.0</v>
      </c>
      <c r="E1748" s="9">
        <v>283.0</v>
      </c>
      <c r="F1748" s="14"/>
      <c r="G1748" s="15"/>
      <c r="H1748" s="15"/>
      <c r="I1748" s="14"/>
      <c r="P1748" s="14"/>
    </row>
    <row r="1749" ht="18.75" customHeight="1">
      <c r="A1749" s="7" t="s">
        <v>3146</v>
      </c>
      <c r="B1749" s="9">
        <v>37533.0</v>
      </c>
      <c r="C1749" s="9">
        <v>36886.0</v>
      </c>
      <c r="D1749" s="9">
        <v>11519.0</v>
      </c>
      <c r="E1749" s="9">
        <v>177.0</v>
      </c>
      <c r="F1749" s="14"/>
      <c r="G1749" s="15"/>
      <c r="H1749" s="15"/>
      <c r="I1749" s="14"/>
      <c r="P1749" s="14"/>
    </row>
    <row r="1750" ht="18.75" customHeight="1">
      <c r="A1750" s="7" t="s">
        <v>3147</v>
      </c>
      <c r="B1750" s="9">
        <v>28486.0</v>
      </c>
      <c r="C1750" s="9">
        <v>28000.0</v>
      </c>
      <c r="D1750" s="9">
        <v>10434.0</v>
      </c>
      <c r="E1750" s="9">
        <v>246.0</v>
      </c>
      <c r="F1750" s="14"/>
      <c r="G1750" s="15"/>
      <c r="H1750" s="15"/>
      <c r="I1750" s="14"/>
      <c r="P1750" s="14"/>
    </row>
    <row r="1751" ht="18.75" customHeight="1">
      <c r="A1751" s="7" t="s">
        <v>3148</v>
      </c>
      <c r="B1751" s="9">
        <v>85321.0</v>
      </c>
      <c r="C1751" s="9">
        <v>84408.0</v>
      </c>
      <c r="D1751" s="9">
        <v>44812.0</v>
      </c>
      <c r="E1751" s="9">
        <v>860.0</v>
      </c>
      <c r="F1751" s="14"/>
      <c r="G1751" s="15"/>
      <c r="H1751" s="15"/>
      <c r="I1751" s="14"/>
      <c r="P1751" s="14"/>
    </row>
    <row r="1752" ht="18.75" customHeight="1">
      <c r="A1752" s="7" t="s">
        <v>3149</v>
      </c>
      <c r="B1752" s="9">
        <v>57820.0</v>
      </c>
      <c r="C1752" s="9">
        <v>57117.0</v>
      </c>
      <c r="D1752" s="9">
        <v>26077.0</v>
      </c>
      <c r="E1752" s="9">
        <v>343.0</v>
      </c>
      <c r="F1752" s="14"/>
      <c r="G1752" s="15"/>
      <c r="H1752" s="15"/>
      <c r="I1752" s="14"/>
      <c r="P1752" s="14"/>
    </row>
    <row r="1753" ht="18.75" customHeight="1">
      <c r="A1753" s="7" t="s">
        <v>3150</v>
      </c>
      <c r="B1753" s="9">
        <v>70908.0</v>
      </c>
      <c r="C1753" s="9">
        <v>69806.0</v>
      </c>
      <c r="D1753" s="9">
        <v>30314.0</v>
      </c>
      <c r="E1753" s="9">
        <v>675.0</v>
      </c>
      <c r="F1753" s="14"/>
      <c r="G1753" s="15"/>
      <c r="H1753" s="15"/>
      <c r="I1753" s="14"/>
      <c r="P1753" s="14"/>
    </row>
    <row r="1754" ht="18.75" customHeight="1">
      <c r="A1754" s="7" t="s">
        <v>2863</v>
      </c>
      <c r="B1754" s="9">
        <v>13227.0</v>
      </c>
      <c r="C1754" s="9">
        <v>13030.0</v>
      </c>
      <c r="D1754" s="9">
        <v>5418.0</v>
      </c>
      <c r="E1754" s="9">
        <v>55.0</v>
      </c>
      <c r="F1754" s="14"/>
      <c r="G1754" s="15"/>
      <c r="H1754" s="15"/>
      <c r="I1754" s="14"/>
      <c r="P1754" s="14"/>
    </row>
    <row r="1755" ht="18.75" customHeight="1">
      <c r="A1755" s="7" t="s">
        <v>2863</v>
      </c>
      <c r="B1755" s="9">
        <v>13191.0</v>
      </c>
      <c r="C1755" s="9">
        <v>12995.0</v>
      </c>
      <c r="D1755" s="9">
        <v>4835.0</v>
      </c>
      <c r="E1755" s="9">
        <v>6.0</v>
      </c>
      <c r="F1755" s="14"/>
      <c r="G1755" s="15"/>
      <c r="H1755" s="15"/>
      <c r="I1755" s="14"/>
      <c r="P1755" s="14"/>
    </row>
    <row r="1756" ht="18.75" customHeight="1">
      <c r="A1756" s="7" t="s">
        <v>3151</v>
      </c>
      <c r="B1756" s="9">
        <v>97394.0</v>
      </c>
      <c r="C1756" s="9">
        <v>95996.0</v>
      </c>
      <c r="D1756" s="9">
        <v>45047.0</v>
      </c>
      <c r="E1756" s="9">
        <v>757.0</v>
      </c>
      <c r="F1756" s="14"/>
      <c r="G1756" s="15"/>
      <c r="H1756" s="15"/>
      <c r="I1756" s="14"/>
      <c r="P1756" s="14"/>
    </row>
    <row r="1757" ht="18.75" customHeight="1">
      <c r="A1757" s="7" t="s">
        <v>3152</v>
      </c>
      <c r="B1757" s="9">
        <v>59194.0</v>
      </c>
      <c r="C1757" s="9">
        <v>58013.0</v>
      </c>
      <c r="D1757" s="9">
        <v>17540.0</v>
      </c>
      <c r="E1757" s="9">
        <v>402.0</v>
      </c>
      <c r="F1757" s="14"/>
      <c r="G1757" s="15"/>
      <c r="H1757" s="15"/>
      <c r="I1757" s="14"/>
      <c r="P1757" s="14"/>
    </row>
    <row r="1758" ht="18.75" customHeight="1">
      <c r="A1758" s="7" t="s">
        <v>3153</v>
      </c>
      <c r="B1758" s="9">
        <v>147038.0</v>
      </c>
      <c r="C1758" s="9">
        <v>144378.0</v>
      </c>
      <c r="D1758" s="9">
        <v>63465.0</v>
      </c>
      <c r="E1758" s="9">
        <v>1265.0</v>
      </c>
      <c r="F1758" s="14"/>
      <c r="G1758" s="15"/>
      <c r="H1758" s="15"/>
      <c r="I1758" s="14"/>
      <c r="P1758" s="14"/>
    </row>
    <row r="1759" ht="18.75" customHeight="1">
      <c r="A1759" s="7" t="s">
        <v>3154</v>
      </c>
      <c r="B1759" s="9">
        <v>162981.0</v>
      </c>
      <c r="C1759" s="9">
        <v>160286.0</v>
      </c>
      <c r="D1759" s="9">
        <v>64624.0</v>
      </c>
      <c r="E1759" s="9">
        <v>2911.0</v>
      </c>
      <c r="F1759" s="14"/>
      <c r="G1759" s="15"/>
      <c r="H1759" s="15"/>
      <c r="I1759" s="14"/>
      <c r="P1759" s="14"/>
    </row>
    <row r="1760" ht="18.75" customHeight="1">
      <c r="A1760" s="7" t="s">
        <v>3155</v>
      </c>
      <c r="B1760" s="9">
        <v>87489.0</v>
      </c>
      <c r="C1760" s="9">
        <v>85821.0</v>
      </c>
      <c r="D1760" s="9">
        <v>27220.0</v>
      </c>
      <c r="E1760" s="9">
        <v>1282.0</v>
      </c>
      <c r="F1760" s="14"/>
      <c r="G1760" s="15"/>
      <c r="H1760" s="15"/>
      <c r="I1760" s="14"/>
      <c r="P1760" s="14"/>
    </row>
    <row r="1761" ht="18.75" customHeight="1">
      <c r="A1761" s="7" t="s">
        <v>3156</v>
      </c>
      <c r="B1761" s="9">
        <v>34893.0</v>
      </c>
      <c r="C1761" s="9">
        <v>34173.0</v>
      </c>
      <c r="D1761" s="9">
        <v>9856.0</v>
      </c>
      <c r="E1761" s="9">
        <v>168.0</v>
      </c>
      <c r="F1761" s="14"/>
      <c r="G1761" s="15"/>
      <c r="H1761" s="15"/>
      <c r="I1761" s="14"/>
      <c r="P1761" s="14"/>
    </row>
    <row r="1762" ht="18.75" customHeight="1">
      <c r="A1762" s="7" t="s">
        <v>3157</v>
      </c>
      <c r="B1762" s="9">
        <v>20114.0</v>
      </c>
      <c r="C1762" s="9">
        <v>19745.0</v>
      </c>
      <c r="D1762" s="9">
        <v>8515.0</v>
      </c>
      <c r="E1762" s="9">
        <v>309.0</v>
      </c>
      <c r="F1762" s="14"/>
      <c r="G1762" s="15"/>
      <c r="H1762" s="15"/>
      <c r="I1762" s="14"/>
      <c r="P1762" s="14"/>
    </row>
    <row r="1763" ht="18.75" customHeight="1">
      <c r="A1763" s="7" t="s">
        <v>2963</v>
      </c>
      <c r="B1763" s="9">
        <v>2405.0</v>
      </c>
      <c r="C1763" s="9">
        <v>2348.0</v>
      </c>
      <c r="D1763" s="9">
        <v>679.0</v>
      </c>
      <c r="E1763" s="9">
        <v>46.0</v>
      </c>
      <c r="F1763" s="14"/>
      <c r="G1763" s="15"/>
      <c r="H1763" s="15"/>
      <c r="I1763" s="14"/>
      <c r="P1763" s="14"/>
    </row>
    <row r="1764" ht="18.75" customHeight="1">
      <c r="A1764" s="7" t="s">
        <v>3158</v>
      </c>
      <c r="B1764" s="9">
        <v>64054.0</v>
      </c>
      <c r="C1764" s="9">
        <v>63445.0</v>
      </c>
      <c r="D1764" s="9">
        <v>27232.0</v>
      </c>
      <c r="E1764" s="9">
        <v>218.0</v>
      </c>
      <c r="F1764" s="14"/>
      <c r="G1764" s="15"/>
      <c r="H1764" s="15"/>
      <c r="I1764" s="14"/>
      <c r="P1764" s="14"/>
    </row>
    <row r="1765" ht="18.75" customHeight="1">
      <c r="A1765" s="7" t="s">
        <v>3159</v>
      </c>
      <c r="B1765" s="9">
        <v>52156.0</v>
      </c>
      <c r="C1765" s="9">
        <v>51082.0</v>
      </c>
      <c r="D1765" s="9">
        <v>16671.0</v>
      </c>
      <c r="E1765" s="9">
        <v>1689.0</v>
      </c>
      <c r="F1765" s="14"/>
      <c r="G1765" s="15"/>
      <c r="H1765" s="15"/>
      <c r="I1765" s="14"/>
      <c r="P1765" s="14"/>
    </row>
    <row r="1766" ht="18.75" customHeight="1">
      <c r="A1766" s="7" t="s">
        <v>3160</v>
      </c>
      <c r="B1766" s="9">
        <v>136557.0</v>
      </c>
      <c r="C1766" s="9">
        <v>133931.0</v>
      </c>
      <c r="D1766" s="9">
        <v>46991.0</v>
      </c>
      <c r="E1766" s="9">
        <v>622.0</v>
      </c>
      <c r="F1766" s="14"/>
      <c r="G1766" s="15"/>
      <c r="H1766" s="15"/>
      <c r="I1766" s="14"/>
      <c r="P1766" s="14"/>
    </row>
    <row r="1767" ht="18.75" customHeight="1">
      <c r="A1767" s="7" t="s">
        <v>3161</v>
      </c>
      <c r="B1767" s="9">
        <v>154419.0</v>
      </c>
      <c r="C1767" s="9">
        <v>153119.0</v>
      </c>
      <c r="D1767" s="9">
        <v>40744.0</v>
      </c>
      <c r="E1767" s="9">
        <v>138.0</v>
      </c>
      <c r="F1767" s="14"/>
      <c r="G1767" s="15"/>
      <c r="H1767" s="15"/>
      <c r="I1767" s="14"/>
      <c r="P1767" s="14"/>
    </row>
    <row r="1768" ht="18.75" customHeight="1">
      <c r="A1768" s="7" t="s">
        <v>3162</v>
      </c>
      <c r="B1768" s="9">
        <v>76.0</v>
      </c>
      <c r="C1768" s="9">
        <v>76.0</v>
      </c>
      <c r="D1768" s="9">
        <v>45.0</v>
      </c>
      <c r="E1768" s="9">
        <v>12.0</v>
      </c>
      <c r="F1768" s="14"/>
      <c r="G1768" s="15"/>
      <c r="H1768" s="15"/>
      <c r="I1768" s="14"/>
      <c r="P1768" s="14"/>
    </row>
    <row r="1769" ht="18.75" customHeight="1">
      <c r="A1769" s="7" t="s">
        <v>3163</v>
      </c>
      <c r="B1769" s="9">
        <v>28884.0</v>
      </c>
      <c r="C1769" s="9">
        <v>28271.0</v>
      </c>
      <c r="D1769" s="9">
        <v>6194.0</v>
      </c>
      <c r="E1769" s="9">
        <v>91.0</v>
      </c>
      <c r="F1769" s="14"/>
      <c r="G1769" s="15"/>
      <c r="H1769" s="15"/>
      <c r="I1769" s="14"/>
      <c r="P1769" s="14"/>
    </row>
    <row r="1770" ht="18.75" customHeight="1">
      <c r="A1770" s="7" t="s">
        <v>3164</v>
      </c>
      <c r="B1770" s="9">
        <v>81.0</v>
      </c>
      <c r="C1770" s="9">
        <v>81.0</v>
      </c>
      <c r="D1770" s="9">
        <v>46.0</v>
      </c>
      <c r="E1770" s="9">
        <v>1.0</v>
      </c>
      <c r="F1770" s="14"/>
      <c r="G1770" s="15"/>
      <c r="H1770" s="15"/>
      <c r="I1770" s="14"/>
      <c r="P1770" s="14"/>
    </row>
    <row r="1771" ht="18.75" customHeight="1">
      <c r="A1771" s="7" t="s">
        <v>2775</v>
      </c>
      <c r="B1771" s="9">
        <v>667.0</v>
      </c>
      <c r="C1771" s="9">
        <v>650.0</v>
      </c>
      <c r="D1771" s="9">
        <v>210.0</v>
      </c>
      <c r="E1771" s="9">
        <v>87.0</v>
      </c>
      <c r="F1771" s="14"/>
      <c r="G1771" s="15"/>
      <c r="H1771" s="15"/>
      <c r="I1771" s="14"/>
      <c r="P1771" s="14"/>
    </row>
    <row r="1772" ht="18.75" customHeight="1">
      <c r="A1772" s="7" t="s">
        <v>3165</v>
      </c>
      <c r="B1772" s="9">
        <v>63008.0</v>
      </c>
      <c r="C1772" s="9">
        <v>62441.0</v>
      </c>
      <c r="D1772" s="9">
        <v>32665.0</v>
      </c>
      <c r="E1772" s="9">
        <v>7839.0</v>
      </c>
      <c r="F1772" s="14"/>
      <c r="G1772" s="15"/>
      <c r="H1772" s="15"/>
      <c r="I1772" s="14"/>
      <c r="P1772" s="14"/>
    </row>
    <row r="1773" ht="18.75" customHeight="1">
      <c r="A1773" s="7" t="s">
        <v>3166</v>
      </c>
      <c r="B1773" s="9">
        <v>4116.0</v>
      </c>
      <c r="C1773" s="9">
        <v>4020.0</v>
      </c>
      <c r="D1773" s="9">
        <v>1656.0</v>
      </c>
      <c r="E1773" s="9">
        <v>630.0</v>
      </c>
      <c r="F1773" s="14"/>
      <c r="G1773" s="15"/>
      <c r="H1773" s="15"/>
      <c r="I1773" s="14"/>
      <c r="P1773" s="14"/>
    </row>
    <row r="1774" ht="18.75" customHeight="1">
      <c r="A1774" s="7" t="s">
        <v>3167</v>
      </c>
      <c r="B1774" s="9">
        <v>21578.0</v>
      </c>
      <c r="C1774" s="9">
        <v>21533.0</v>
      </c>
      <c r="D1774" s="9">
        <v>13055.0</v>
      </c>
      <c r="E1774" s="9">
        <v>92.0</v>
      </c>
      <c r="F1774" s="14"/>
      <c r="G1774" s="15"/>
      <c r="H1774" s="15"/>
      <c r="I1774" s="14"/>
      <c r="P1774" s="14"/>
    </row>
    <row r="1775" ht="18.75" customHeight="1">
      <c r="A1775" s="7" t="s">
        <v>3168</v>
      </c>
      <c r="B1775" s="9">
        <v>464.0</v>
      </c>
      <c r="C1775" s="9">
        <v>463.0</v>
      </c>
      <c r="D1775" s="9">
        <v>287.0</v>
      </c>
      <c r="E1775" s="9">
        <v>5.0</v>
      </c>
      <c r="F1775" s="14"/>
      <c r="G1775" s="15"/>
      <c r="H1775" s="15"/>
      <c r="I1775" s="14"/>
      <c r="P1775" s="14"/>
    </row>
    <row r="1776" ht="18.75" customHeight="1">
      <c r="A1776" s="7" t="s">
        <v>2793</v>
      </c>
      <c r="B1776" s="9">
        <v>7042.0</v>
      </c>
      <c r="C1776" s="9">
        <v>7014.0</v>
      </c>
      <c r="D1776" s="9">
        <v>2882.0</v>
      </c>
      <c r="E1776" s="9">
        <v>84.0</v>
      </c>
      <c r="F1776" s="14"/>
      <c r="G1776" s="15"/>
      <c r="H1776" s="15"/>
      <c r="I1776" s="14"/>
      <c r="P1776" s="14"/>
    </row>
    <row r="1777" ht="18.75" customHeight="1">
      <c r="A1777" s="7" t="s">
        <v>3169</v>
      </c>
      <c r="B1777" s="9">
        <v>563.0</v>
      </c>
      <c r="C1777" s="9">
        <v>556.0</v>
      </c>
      <c r="D1777" s="9">
        <v>293.0</v>
      </c>
      <c r="E1777" s="9">
        <v>9.0</v>
      </c>
      <c r="F1777" s="14"/>
      <c r="G1777" s="15"/>
      <c r="H1777" s="15"/>
      <c r="I1777" s="14"/>
      <c r="P1777" s="14"/>
    </row>
    <row r="1778" ht="18.75" customHeight="1">
      <c r="A1778" s="7" t="s">
        <v>3170</v>
      </c>
      <c r="B1778" s="9">
        <v>249.0</v>
      </c>
      <c r="C1778" s="9">
        <v>249.0</v>
      </c>
      <c r="D1778" s="9">
        <v>124.0</v>
      </c>
      <c r="E1778" s="9">
        <v>20.0</v>
      </c>
      <c r="F1778" s="14"/>
      <c r="G1778" s="15"/>
      <c r="H1778" s="15"/>
      <c r="I1778" s="14"/>
      <c r="P1778" s="14"/>
    </row>
    <row r="1779" ht="18.75" customHeight="1">
      <c r="A1779" s="7" t="s">
        <v>3171</v>
      </c>
      <c r="B1779" s="9">
        <v>181.0</v>
      </c>
      <c r="C1779" s="9">
        <v>181.0</v>
      </c>
      <c r="D1779" s="9">
        <v>142.0</v>
      </c>
      <c r="E1779" s="9">
        <v>2.0</v>
      </c>
      <c r="F1779" s="14"/>
      <c r="G1779" s="15"/>
      <c r="H1779" s="15"/>
      <c r="I1779" s="14"/>
      <c r="P1779" s="14"/>
    </row>
    <row r="1780" ht="18.75" customHeight="1">
      <c r="A1780" s="7" t="s">
        <v>2869</v>
      </c>
      <c r="B1780" s="9">
        <v>1498.0</v>
      </c>
      <c r="C1780" s="9">
        <v>1494.0</v>
      </c>
      <c r="D1780" s="9">
        <v>1000.0</v>
      </c>
      <c r="E1780" s="9">
        <v>1.0</v>
      </c>
      <c r="F1780" s="14"/>
      <c r="G1780" s="15"/>
      <c r="H1780" s="15"/>
      <c r="I1780" s="14"/>
      <c r="P1780" s="14"/>
    </row>
    <row r="1781" ht="18.75" customHeight="1">
      <c r="A1781" s="7" t="s">
        <v>2869</v>
      </c>
      <c r="B1781" s="9">
        <v>82.0</v>
      </c>
      <c r="C1781" s="9">
        <v>82.0</v>
      </c>
      <c r="D1781" s="9">
        <v>35.0</v>
      </c>
      <c r="E1781" s="9">
        <v>1.0</v>
      </c>
      <c r="F1781" s="14"/>
      <c r="G1781" s="15"/>
      <c r="H1781" s="15"/>
      <c r="I1781" s="14"/>
      <c r="P1781" s="14"/>
    </row>
    <row r="1782" ht="18.75" customHeight="1">
      <c r="A1782" s="7" t="s">
        <v>3172</v>
      </c>
      <c r="B1782" s="9">
        <v>61.0</v>
      </c>
      <c r="C1782" s="9">
        <v>61.0</v>
      </c>
      <c r="D1782" s="9">
        <v>38.0</v>
      </c>
      <c r="E1782" s="9">
        <v>1.0</v>
      </c>
      <c r="F1782" s="14"/>
      <c r="G1782" s="15"/>
      <c r="H1782" s="15"/>
      <c r="I1782" s="14"/>
      <c r="P1782" s="14"/>
    </row>
    <row r="1783" ht="18.75" customHeight="1">
      <c r="A1783" s="7" t="s">
        <v>3173</v>
      </c>
      <c r="B1783" s="9">
        <v>94.0</v>
      </c>
      <c r="C1783" s="9">
        <v>92.0</v>
      </c>
      <c r="D1783" s="9">
        <v>60.0</v>
      </c>
      <c r="E1783" s="9">
        <v>4.0</v>
      </c>
      <c r="F1783" s="14"/>
      <c r="G1783" s="15"/>
      <c r="H1783" s="15"/>
      <c r="I1783" s="14"/>
      <c r="P1783" s="14"/>
    </row>
    <row r="1784" ht="18.75" customHeight="1">
      <c r="A1784" s="7" t="s">
        <v>3174</v>
      </c>
      <c r="B1784" s="9">
        <v>121.0</v>
      </c>
      <c r="C1784" s="9">
        <v>121.0</v>
      </c>
      <c r="D1784" s="9">
        <v>77.0</v>
      </c>
      <c r="E1784" s="9">
        <v>8.0</v>
      </c>
      <c r="F1784" s="14"/>
      <c r="G1784" s="15"/>
      <c r="H1784" s="15"/>
      <c r="I1784" s="14"/>
      <c r="P1784" s="14"/>
    </row>
    <row r="1785" ht="18.75" customHeight="1">
      <c r="A1785" s="7" t="s">
        <v>3175</v>
      </c>
      <c r="B1785" s="9">
        <v>70.0</v>
      </c>
      <c r="C1785" s="9">
        <v>70.0</v>
      </c>
      <c r="D1785" s="9">
        <v>41.0</v>
      </c>
      <c r="E1785" s="9">
        <v>1.0</v>
      </c>
      <c r="F1785" s="14"/>
      <c r="G1785" s="15"/>
      <c r="H1785" s="15"/>
      <c r="I1785" s="14"/>
      <c r="P1785" s="14"/>
    </row>
    <row r="1786" ht="18.75" customHeight="1">
      <c r="A1786" s="7" t="s">
        <v>3176</v>
      </c>
      <c r="B1786" s="9">
        <v>94.0</v>
      </c>
      <c r="C1786" s="9">
        <v>94.0</v>
      </c>
      <c r="D1786" s="9">
        <v>58.0</v>
      </c>
      <c r="E1786" s="9">
        <v>0.0</v>
      </c>
      <c r="F1786" s="14"/>
      <c r="G1786" s="15"/>
      <c r="H1786" s="15"/>
      <c r="I1786" s="14"/>
      <c r="P1786" s="14"/>
    </row>
    <row r="1787" ht="18.75" customHeight="1">
      <c r="A1787" s="7" t="s">
        <v>3177</v>
      </c>
      <c r="B1787" s="9">
        <v>45.0</v>
      </c>
      <c r="C1787" s="9">
        <v>43.0</v>
      </c>
      <c r="D1787" s="9">
        <v>19.0</v>
      </c>
      <c r="E1787" s="9">
        <v>1.0</v>
      </c>
      <c r="F1787" s="14"/>
      <c r="G1787" s="15"/>
      <c r="H1787" s="15"/>
      <c r="I1787" s="14"/>
      <c r="P1787" s="14"/>
    </row>
    <row r="1788" ht="18.75" customHeight="1">
      <c r="A1788" s="7" t="s">
        <v>3178</v>
      </c>
      <c r="B1788" s="9">
        <v>75.0</v>
      </c>
      <c r="C1788" s="9">
        <v>75.0</v>
      </c>
      <c r="D1788" s="9">
        <v>36.0</v>
      </c>
      <c r="E1788" s="9">
        <v>3.0</v>
      </c>
      <c r="F1788" s="14"/>
      <c r="G1788" s="15"/>
      <c r="H1788" s="15"/>
      <c r="I1788" s="14"/>
      <c r="P1788" s="14"/>
    </row>
    <row r="1789" ht="18.75" customHeight="1">
      <c r="A1789" s="7" t="s">
        <v>3179</v>
      </c>
      <c r="B1789" s="9">
        <v>85.0</v>
      </c>
      <c r="C1789" s="9">
        <v>84.0</v>
      </c>
      <c r="D1789" s="9">
        <v>48.0</v>
      </c>
      <c r="E1789" s="9">
        <v>1.0</v>
      </c>
      <c r="F1789" s="14"/>
      <c r="G1789" s="15"/>
      <c r="H1789" s="15"/>
      <c r="I1789" s="14"/>
      <c r="P1789" s="14"/>
    </row>
    <row r="1790" ht="18.75" customHeight="1">
      <c r="A1790" s="7" t="s">
        <v>3180</v>
      </c>
      <c r="B1790" s="9">
        <v>62.0</v>
      </c>
      <c r="C1790" s="9">
        <v>60.0</v>
      </c>
      <c r="D1790" s="9">
        <v>35.0</v>
      </c>
      <c r="E1790" s="9">
        <v>2.0</v>
      </c>
      <c r="F1790" s="14"/>
      <c r="G1790" s="15"/>
      <c r="H1790" s="15"/>
      <c r="I1790" s="14"/>
      <c r="P1790" s="14"/>
    </row>
    <row r="1791" ht="18.75" customHeight="1">
      <c r="A1791" s="7" t="s">
        <v>3181</v>
      </c>
      <c r="B1791" s="9">
        <v>33.0</v>
      </c>
      <c r="C1791" s="9">
        <v>32.0</v>
      </c>
      <c r="D1791" s="9">
        <v>18.0</v>
      </c>
      <c r="E1791" s="9">
        <v>1.0</v>
      </c>
      <c r="F1791" s="14"/>
      <c r="G1791" s="15"/>
      <c r="H1791" s="15"/>
      <c r="I1791" s="14"/>
      <c r="P1791" s="14"/>
    </row>
    <row r="1792" ht="18.75" customHeight="1">
      <c r="A1792" s="7" t="s">
        <v>3182</v>
      </c>
      <c r="B1792" s="9">
        <v>46.0</v>
      </c>
      <c r="C1792" s="9">
        <v>45.0</v>
      </c>
      <c r="D1792" s="9">
        <v>27.0</v>
      </c>
      <c r="E1792" s="9">
        <v>2.0</v>
      </c>
      <c r="F1792" s="14"/>
      <c r="G1792" s="15"/>
      <c r="H1792" s="15"/>
      <c r="I1792" s="14"/>
      <c r="P1792" s="14"/>
    </row>
    <row r="1793" ht="18.75" customHeight="1">
      <c r="A1793" s="7" t="s">
        <v>2853</v>
      </c>
      <c r="B1793" s="9">
        <v>334.0</v>
      </c>
      <c r="C1793" s="9">
        <v>333.0</v>
      </c>
      <c r="D1793" s="9">
        <v>184.0</v>
      </c>
      <c r="E1793" s="9">
        <v>0.0</v>
      </c>
      <c r="F1793" s="14"/>
      <c r="G1793" s="15"/>
      <c r="H1793" s="15"/>
      <c r="I1793" s="14"/>
      <c r="P1793" s="14"/>
    </row>
    <row r="1794" ht="18.75" customHeight="1">
      <c r="A1794" s="7" t="s">
        <v>3182</v>
      </c>
      <c r="B1794" s="9">
        <v>46.0</v>
      </c>
      <c r="C1794" s="9">
        <v>45.0</v>
      </c>
      <c r="D1794" s="9">
        <v>22.0</v>
      </c>
      <c r="E1794" s="9">
        <v>1.0</v>
      </c>
      <c r="F1794" s="14"/>
      <c r="G1794" s="15"/>
      <c r="H1794" s="15"/>
      <c r="I1794" s="14"/>
      <c r="P1794" s="14"/>
    </row>
    <row r="1795" ht="18.75" customHeight="1">
      <c r="A1795" s="7" t="s">
        <v>3183</v>
      </c>
      <c r="B1795" s="9">
        <v>37.0</v>
      </c>
      <c r="C1795" s="9">
        <v>37.0</v>
      </c>
      <c r="D1795" s="9">
        <v>17.0</v>
      </c>
      <c r="E1795" s="9">
        <v>1.0</v>
      </c>
      <c r="F1795" s="14"/>
      <c r="G1795" s="15"/>
      <c r="H1795" s="15"/>
      <c r="I1795" s="14"/>
      <c r="P1795" s="14"/>
    </row>
    <row r="1796" ht="18.75" customHeight="1">
      <c r="A1796" s="7" t="s">
        <v>3184</v>
      </c>
      <c r="B1796" s="9">
        <v>66.0</v>
      </c>
      <c r="C1796" s="9">
        <v>66.0</v>
      </c>
      <c r="D1796" s="9">
        <v>41.0</v>
      </c>
      <c r="E1796" s="9">
        <v>1.0</v>
      </c>
      <c r="F1796" s="14"/>
      <c r="G1796" s="15"/>
      <c r="H1796" s="15"/>
      <c r="I1796" s="14"/>
      <c r="P1796" s="14"/>
    </row>
    <row r="1797" ht="18.75" customHeight="1">
      <c r="A1797" s="7" t="s">
        <v>3185</v>
      </c>
      <c r="B1797" s="9">
        <v>67.0</v>
      </c>
      <c r="C1797" s="9">
        <v>67.0</v>
      </c>
      <c r="D1797" s="9">
        <v>51.0</v>
      </c>
      <c r="E1797" s="9">
        <v>1.0</v>
      </c>
      <c r="F1797" s="14"/>
      <c r="G1797" s="15"/>
      <c r="H1797" s="15"/>
      <c r="I1797" s="14"/>
      <c r="P1797" s="14"/>
    </row>
    <row r="1798" ht="18.75" customHeight="1">
      <c r="A1798" s="7" t="s">
        <v>3186</v>
      </c>
      <c r="B1798" s="9">
        <v>100.0</v>
      </c>
      <c r="C1798" s="9">
        <v>100.0</v>
      </c>
      <c r="D1798" s="9">
        <v>68.0</v>
      </c>
      <c r="E1798" s="9">
        <v>4.0</v>
      </c>
      <c r="F1798" s="14"/>
      <c r="G1798" s="15"/>
      <c r="H1798" s="15"/>
      <c r="I1798" s="14"/>
      <c r="P1798" s="14"/>
    </row>
    <row r="1799" ht="18.75" customHeight="1">
      <c r="A1799" s="7" t="s">
        <v>3187</v>
      </c>
      <c r="B1799" s="9">
        <v>125.0</v>
      </c>
      <c r="C1799" s="9">
        <v>125.0</v>
      </c>
      <c r="D1799" s="9">
        <v>87.0</v>
      </c>
      <c r="E1799" s="9">
        <v>3.0</v>
      </c>
      <c r="F1799" s="14"/>
      <c r="G1799" s="15"/>
      <c r="H1799" s="15"/>
      <c r="I1799" s="14"/>
      <c r="P1799" s="14"/>
    </row>
    <row r="1800" ht="18.75" customHeight="1">
      <c r="A1800" s="7" t="s">
        <v>3188</v>
      </c>
      <c r="B1800" s="9">
        <v>90.0</v>
      </c>
      <c r="C1800" s="9">
        <v>88.0</v>
      </c>
      <c r="D1800" s="9">
        <v>56.0</v>
      </c>
      <c r="E1800" s="9">
        <v>2.0</v>
      </c>
      <c r="F1800" s="14"/>
      <c r="G1800" s="15"/>
      <c r="H1800" s="15"/>
      <c r="I1800" s="14"/>
      <c r="P1800" s="14"/>
    </row>
    <row r="1801" ht="18.75" customHeight="1">
      <c r="A1801" s="7" t="s">
        <v>3184</v>
      </c>
      <c r="B1801" s="9">
        <v>66.0</v>
      </c>
      <c r="C1801" s="9">
        <v>66.0</v>
      </c>
      <c r="D1801" s="9">
        <v>30.0</v>
      </c>
      <c r="E1801" s="9">
        <v>1.0</v>
      </c>
      <c r="F1801" s="14"/>
      <c r="G1801" s="15"/>
      <c r="H1801" s="15"/>
      <c r="I1801" s="14"/>
      <c r="P1801" s="14"/>
    </row>
    <row r="1802" ht="18.75" customHeight="1">
      <c r="A1802" s="7" t="s">
        <v>3185</v>
      </c>
      <c r="B1802" s="9">
        <v>67.0</v>
      </c>
      <c r="C1802" s="9">
        <v>67.0</v>
      </c>
      <c r="D1802" s="9">
        <v>46.0</v>
      </c>
      <c r="E1802" s="9">
        <v>1.0</v>
      </c>
      <c r="F1802" s="14"/>
      <c r="G1802" s="15"/>
      <c r="H1802" s="15"/>
      <c r="I1802" s="14"/>
      <c r="P1802" s="14"/>
    </row>
    <row r="1803" ht="18.75" customHeight="1">
      <c r="A1803" s="7" t="s">
        <v>3187</v>
      </c>
      <c r="B1803" s="9">
        <v>125.0</v>
      </c>
      <c r="C1803" s="9">
        <v>124.0</v>
      </c>
      <c r="D1803" s="9">
        <v>70.0</v>
      </c>
      <c r="E1803" s="9">
        <v>1.0</v>
      </c>
      <c r="F1803" s="14"/>
      <c r="G1803" s="15"/>
      <c r="H1803" s="15"/>
      <c r="I1803" s="14"/>
      <c r="P1803" s="14"/>
    </row>
    <row r="1804" ht="18.75" customHeight="1">
      <c r="A1804" s="7" t="s">
        <v>2822</v>
      </c>
      <c r="B1804" s="9">
        <v>95.0</v>
      </c>
      <c r="C1804" s="9">
        <v>94.0</v>
      </c>
      <c r="D1804" s="9">
        <v>45.0</v>
      </c>
      <c r="E1804" s="9">
        <v>1.0</v>
      </c>
      <c r="F1804" s="14"/>
      <c r="G1804" s="15"/>
      <c r="H1804" s="15"/>
      <c r="I1804" s="14"/>
      <c r="P1804" s="14"/>
    </row>
    <row r="1805" ht="18.75" customHeight="1">
      <c r="A1805" s="7" t="s">
        <v>3189</v>
      </c>
      <c r="B1805" s="9">
        <v>146.0</v>
      </c>
      <c r="C1805" s="9">
        <v>146.0</v>
      </c>
      <c r="D1805" s="9">
        <v>86.0</v>
      </c>
      <c r="E1805" s="9">
        <v>2.0</v>
      </c>
      <c r="F1805" s="14"/>
      <c r="G1805" s="15"/>
      <c r="H1805" s="15"/>
      <c r="I1805" s="14"/>
      <c r="P1805" s="14"/>
    </row>
    <row r="1806" ht="18.75" customHeight="1">
      <c r="A1806" s="7" t="s">
        <v>2788</v>
      </c>
      <c r="B1806" s="9">
        <v>3386.0</v>
      </c>
      <c r="C1806" s="9">
        <v>3380.0</v>
      </c>
      <c r="D1806" s="9">
        <v>2290.0</v>
      </c>
      <c r="E1806" s="9">
        <v>6.0</v>
      </c>
      <c r="F1806" s="14"/>
      <c r="G1806" s="15"/>
      <c r="H1806" s="15"/>
      <c r="I1806" s="14"/>
      <c r="P1806" s="14"/>
    </row>
    <row r="1807" ht="18.75" customHeight="1">
      <c r="A1807" s="7" t="s">
        <v>3190</v>
      </c>
      <c r="B1807" s="9">
        <v>81.0</v>
      </c>
      <c r="C1807" s="9">
        <v>82.0</v>
      </c>
      <c r="D1807" s="9">
        <v>47.0</v>
      </c>
      <c r="E1807" s="9">
        <v>2.0</v>
      </c>
      <c r="F1807" s="14"/>
      <c r="G1807" s="15"/>
      <c r="H1807" s="15"/>
      <c r="I1807" s="14"/>
      <c r="P1807" s="14"/>
    </row>
    <row r="1808" ht="18.75" customHeight="1">
      <c r="A1808" s="7" t="s">
        <v>3191</v>
      </c>
      <c r="B1808" s="9">
        <v>2334.0</v>
      </c>
      <c r="C1808" s="9">
        <v>2325.0</v>
      </c>
      <c r="D1808" s="9">
        <v>1775.0</v>
      </c>
      <c r="E1808" s="9">
        <v>16.0</v>
      </c>
      <c r="F1808" s="14"/>
      <c r="G1808" s="15"/>
      <c r="H1808" s="15"/>
      <c r="I1808" s="14"/>
      <c r="P1808" s="14"/>
    </row>
    <row r="1809" ht="18.75" customHeight="1">
      <c r="A1809" s="7" t="s">
        <v>3192</v>
      </c>
      <c r="B1809" s="9">
        <v>1240.0</v>
      </c>
      <c r="C1809" s="9">
        <v>1239.0</v>
      </c>
      <c r="D1809" s="9">
        <v>938.0</v>
      </c>
      <c r="E1809" s="9">
        <v>6.0</v>
      </c>
      <c r="F1809" s="14"/>
      <c r="G1809" s="15"/>
      <c r="H1809" s="15"/>
      <c r="I1809" s="14"/>
      <c r="P1809" s="14"/>
    </row>
    <row r="1810" ht="18.75" customHeight="1">
      <c r="A1810" s="7" t="s">
        <v>2846</v>
      </c>
      <c r="B1810" s="9">
        <v>320.0</v>
      </c>
      <c r="C1810" s="9">
        <v>320.0</v>
      </c>
      <c r="D1810" s="9">
        <v>200.0</v>
      </c>
      <c r="E1810" s="9">
        <v>1.0</v>
      </c>
      <c r="F1810" s="14"/>
      <c r="G1810" s="15"/>
      <c r="H1810" s="15"/>
      <c r="I1810" s="14"/>
      <c r="P1810" s="14"/>
    </row>
    <row r="1811" ht="18.75" customHeight="1">
      <c r="A1811" s="7" t="s">
        <v>2808</v>
      </c>
      <c r="B1811" s="9">
        <v>196.0</v>
      </c>
      <c r="C1811" s="9">
        <v>195.0</v>
      </c>
      <c r="D1811" s="9">
        <v>123.0</v>
      </c>
      <c r="E1811" s="9">
        <v>2.0</v>
      </c>
      <c r="F1811" s="14"/>
      <c r="G1811" s="15"/>
      <c r="H1811" s="15"/>
      <c r="I1811" s="14"/>
      <c r="P1811" s="14"/>
    </row>
    <row r="1812" ht="18.75" customHeight="1">
      <c r="A1812" s="7" t="s">
        <v>3193</v>
      </c>
      <c r="B1812" s="9">
        <v>89.0</v>
      </c>
      <c r="C1812" s="9">
        <v>89.0</v>
      </c>
      <c r="D1812" s="9">
        <v>53.0</v>
      </c>
      <c r="E1812" s="9">
        <v>2.0</v>
      </c>
      <c r="F1812" s="14"/>
      <c r="G1812" s="15"/>
      <c r="H1812" s="15"/>
      <c r="I1812" s="14"/>
      <c r="P1812" s="14"/>
    </row>
    <row r="1813" ht="18.75" customHeight="1">
      <c r="A1813" s="7" t="s">
        <v>3194</v>
      </c>
      <c r="B1813" s="9">
        <v>97.0</v>
      </c>
      <c r="C1813" s="9">
        <v>96.0</v>
      </c>
      <c r="D1813" s="9">
        <v>48.0</v>
      </c>
      <c r="E1813" s="9">
        <v>2.0</v>
      </c>
      <c r="F1813" s="14"/>
      <c r="G1813" s="15"/>
      <c r="H1813" s="15"/>
      <c r="I1813" s="14"/>
      <c r="P1813" s="14"/>
    </row>
    <row r="1814" ht="18.75" customHeight="1">
      <c r="A1814" s="7" t="s">
        <v>3195</v>
      </c>
      <c r="B1814" s="9">
        <v>76.0</v>
      </c>
      <c r="C1814" s="9">
        <v>75.0</v>
      </c>
      <c r="D1814" s="9">
        <v>49.0</v>
      </c>
      <c r="E1814" s="9">
        <v>3.0</v>
      </c>
      <c r="F1814" s="14"/>
      <c r="G1814" s="15"/>
      <c r="H1814" s="15"/>
      <c r="I1814" s="14"/>
      <c r="P1814" s="14"/>
    </row>
    <row r="1815" ht="18.75" customHeight="1">
      <c r="A1815" s="7" t="s">
        <v>3196</v>
      </c>
      <c r="B1815" s="9">
        <v>50.0</v>
      </c>
      <c r="C1815" s="9">
        <v>48.0</v>
      </c>
      <c r="D1815" s="9">
        <v>26.0</v>
      </c>
      <c r="E1815" s="9">
        <v>2.0</v>
      </c>
      <c r="F1815" s="14"/>
      <c r="G1815" s="15"/>
      <c r="H1815" s="15"/>
      <c r="I1815" s="14"/>
      <c r="P1815" s="14"/>
    </row>
    <row r="1816" ht="18.75" customHeight="1">
      <c r="A1816" s="7" t="s">
        <v>3197</v>
      </c>
      <c r="B1816" s="9">
        <v>108.0</v>
      </c>
      <c r="C1816" s="9">
        <v>107.0</v>
      </c>
      <c r="D1816" s="9">
        <v>62.0</v>
      </c>
      <c r="E1816" s="9">
        <v>3.0</v>
      </c>
      <c r="F1816" s="14"/>
      <c r="G1816" s="15"/>
      <c r="H1816" s="15"/>
      <c r="I1816" s="14"/>
      <c r="P1816" s="14"/>
    </row>
    <row r="1817" ht="18.75" customHeight="1">
      <c r="A1817" s="7" t="s">
        <v>3196</v>
      </c>
      <c r="B1817" s="9">
        <v>50.0</v>
      </c>
      <c r="C1817" s="9">
        <v>48.0</v>
      </c>
      <c r="D1817" s="9">
        <v>29.0</v>
      </c>
      <c r="E1817" s="9">
        <v>2.0</v>
      </c>
      <c r="F1817" s="14"/>
      <c r="G1817" s="15"/>
      <c r="H1817" s="15"/>
      <c r="I1817" s="14"/>
      <c r="P1817" s="14"/>
    </row>
    <row r="1818" ht="18.75" customHeight="1">
      <c r="A1818" s="7" t="s">
        <v>3198</v>
      </c>
      <c r="B1818" s="9">
        <v>122.0</v>
      </c>
      <c r="C1818" s="9">
        <v>120.0</v>
      </c>
      <c r="D1818" s="9">
        <v>68.0</v>
      </c>
      <c r="E1818" s="9">
        <v>2.0</v>
      </c>
      <c r="F1818" s="14"/>
      <c r="G1818" s="15"/>
      <c r="H1818" s="15"/>
      <c r="I1818" s="14"/>
      <c r="P1818" s="14"/>
    </row>
    <row r="1819" ht="18.75" customHeight="1">
      <c r="A1819" s="7" t="s">
        <v>3198</v>
      </c>
      <c r="B1819" s="9">
        <v>122.0</v>
      </c>
      <c r="C1819" s="9">
        <v>120.0</v>
      </c>
      <c r="D1819" s="9">
        <v>67.0</v>
      </c>
      <c r="E1819" s="9">
        <v>4.0</v>
      </c>
      <c r="F1819" s="14"/>
      <c r="G1819" s="15"/>
      <c r="H1819" s="15"/>
      <c r="I1819" s="14"/>
      <c r="P1819" s="14"/>
    </row>
    <row r="1820" ht="18.75" customHeight="1">
      <c r="A1820" s="7" t="s">
        <v>3199</v>
      </c>
      <c r="B1820" s="9">
        <v>61.0</v>
      </c>
      <c r="C1820" s="9">
        <v>60.0</v>
      </c>
      <c r="D1820" s="9">
        <v>31.0</v>
      </c>
      <c r="E1820" s="9">
        <v>1.0</v>
      </c>
      <c r="F1820" s="14"/>
      <c r="G1820" s="15"/>
      <c r="H1820" s="15"/>
      <c r="I1820" s="14"/>
      <c r="P1820" s="14"/>
    </row>
    <row r="1821" ht="18.75" customHeight="1">
      <c r="A1821" s="7" t="s">
        <v>2817</v>
      </c>
      <c r="B1821" s="9">
        <v>204.0</v>
      </c>
      <c r="C1821" s="9">
        <v>204.0</v>
      </c>
      <c r="D1821" s="9">
        <v>128.0</v>
      </c>
      <c r="E1821" s="9">
        <v>3.0</v>
      </c>
      <c r="F1821" s="14"/>
      <c r="G1821" s="15"/>
      <c r="H1821" s="15"/>
      <c r="I1821" s="14"/>
      <c r="P1821" s="14"/>
    </row>
    <row r="1822" ht="18.75" customHeight="1">
      <c r="A1822" s="7" t="s">
        <v>3200</v>
      </c>
      <c r="B1822" s="9">
        <v>156.0</v>
      </c>
      <c r="C1822" s="9">
        <v>155.0</v>
      </c>
      <c r="D1822" s="9">
        <v>104.0</v>
      </c>
      <c r="E1822" s="9">
        <v>3.0</v>
      </c>
      <c r="F1822" s="14"/>
      <c r="G1822" s="15"/>
      <c r="H1822" s="15"/>
      <c r="I1822" s="14"/>
      <c r="P1822" s="14"/>
    </row>
    <row r="1823" ht="18.75" customHeight="1">
      <c r="A1823" s="7" t="s">
        <v>3201</v>
      </c>
      <c r="B1823" s="9">
        <v>66.0</v>
      </c>
      <c r="C1823" s="9">
        <v>65.0</v>
      </c>
      <c r="D1823" s="9">
        <v>31.0</v>
      </c>
      <c r="E1823" s="9">
        <v>2.0</v>
      </c>
      <c r="F1823" s="14"/>
      <c r="G1823" s="15"/>
      <c r="H1823" s="15"/>
      <c r="I1823" s="14"/>
      <c r="P1823" s="14"/>
    </row>
    <row r="1824" ht="18.75" customHeight="1">
      <c r="A1824" s="7" t="s">
        <v>2786</v>
      </c>
      <c r="B1824" s="9">
        <v>129.0</v>
      </c>
      <c r="C1824" s="9">
        <v>129.0</v>
      </c>
      <c r="D1824" s="9">
        <v>87.0</v>
      </c>
      <c r="E1824" s="9">
        <v>0.0</v>
      </c>
      <c r="F1824" s="14"/>
      <c r="G1824" s="15"/>
      <c r="H1824" s="15"/>
      <c r="I1824" s="14"/>
      <c r="P1824" s="14"/>
    </row>
    <row r="1825" ht="18.75" customHeight="1">
      <c r="A1825" s="7" t="s">
        <v>3200</v>
      </c>
      <c r="B1825" s="9">
        <v>156.0</v>
      </c>
      <c r="C1825" s="9">
        <v>155.0</v>
      </c>
      <c r="D1825" s="9">
        <v>90.0</v>
      </c>
      <c r="E1825" s="9">
        <v>2.0</v>
      </c>
      <c r="F1825" s="14"/>
      <c r="G1825" s="15"/>
      <c r="H1825" s="15"/>
      <c r="I1825" s="14"/>
      <c r="P1825" s="14"/>
    </row>
    <row r="1826" ht="18.75" customHeight="1">
      <c r="A1826" s="7" t="s">
        <v>2835</v>
      </c>
      <c r="B1826" s="9">
        <v>210.0</v>
      </c>
      <c r="C1826" s="9">
        <v>208.0</v>
      </c>
      <c r="D1826" s="9">
        <v>126.0</v>
      </c>
      <c r="E1826" s="9">
        <v>0.0</v>
      </c>
      <c r="F1826" s="14"/>
      <c r="G1826" s="15"/>
      <c r="H1826" s="15"/>
      <c r="I1826" s="14"/>
      <c r="P1826" s="14"/>
    </row>
    <row r="1827" ht="18.75" customHeight="1">
      <c r="A1827" s="7" t="s">
        <v>3202</v>
      </c>
      <c r="B1827" s="9">
        <v>175.0</v>
      </c>
      <c r="C1827" s="9">
        <v>174.0</v>
      </c>
      <c r="D1827" s="9">
        <v>102.0</v>
      </c>
      <c r="E1827" s="9">
        <v>4.0</v>
      </c>
      <c r="F1827" s="14"/>
      <c r="G1827" s="15"/>
      <c r="H1827" s="15"/>
      <c r="I1827" s="14"/>
      <c r="P1827" s="14"/>
    </row>
    <row r="1828" ht="18.75" customHeight="1">
      <c r="A1828" s="7" t="s">
        <v>3203</v>
      </c>
      <c r="B1828" s="9">
        <v>154.0</v>
      </c>
      <c r="C1828" s="9">
        <v>153.0</v>
      </c>
      <c r="D1828" s="9">
        <v>113.0</v>
      </c>
      <c r="E1828" s="9">
        <v>2.0</v>
      </c>
      <c r="F1828" s="14"/>
      <c r="G1828" s="15"/>
      <c r="H1828" s="15"/>
      <c r="I1828" s="14"/>
      <c r="P1828" s="14"/>
    </row>
    <row r="1829" ht="18.75" customHeight="1">
      <c r="A1829" s="7" t="s">
        <v>3204</v>
      </c>
      <c r="B1829" s="9">
        <v>90.0</v>
      </c>
      <c r="C1829" s="9">
        <v>89.0</v>
      </c>
      <c r="D1829" s="9">
        <v>57.0</v>
      </c>
      <c r="E1829" s="9">
        <v>2.0</v>
      </c>
      <c r="F1829" s="14"/>
      <c r="G1829" s="15"/>
      <c r="H1829" s="15"/>
      <c r="I1829" s="14"/>
      <c r="P1829" s="14"/>
    </row>
    <row r="1830" ht="18.75" customHeight="1">
      <c r="A1830" s="7" t="s">
        <v>3205</v>
      </c>
      <c r="B1830" s="9">
        <v>129.0</v>
      </c>
      <c r="C1830" s="9">
        <v>129.0</v>
      </c>
      <c r="D1830" s="9">
        <v>90.0</v>
      </c>
      <c r="E1830" s="9">
        <v>0.0</v>
      </c>
      <c r="F1830" s="14"/>
      <c r="G1830" s="15"/>
      <c r="H1830" s="15"/>
      <c r="I1830" s="14"/>
      <c r="P1830" s="14"/>
    </row>
    <row r="1831" ht="18.75" customHeight="1">
      <c r="A1831" s="7" t="s">
        <v>3206</v>
      </c>
      <c r="B1831" s="9">
        <v>116.0</v>
      </c>
      <c r="C1831" s="9">
        <v>113.0</v>
      </c>
      <c r="D1831" s="9">
        <v>62.0</v>
      </c>
      <c r="E1831" s="9">
        <v>3.0</v>
      </c>
      <c r="F1831" s="14"/>
      <c r="G1831" s="15"/>
      <c r="H1831" s="15"/>
      <c r="I1831" s="14"/>
      <c r="P1831" s="14"/>
    </row>
    <row r="1832" ht="18.75" customHeight="1">
      <c r="A1832" s="7" t="s">
        <v>3207</v>
      </c>
      <c r="B1832" s="9">
        <v>109.0</v>
      </c>
      <c r="C1832" s="9">
        <v>108.0</v>
      </c>
      <c r="D1832" s="9">
        <v>72.0</v>
      </c>
      <c r="E1832" s="9">
        <v>2.0</v>
      </c>
      <c r="F1832" s="14"/>
      <c r="G1832" s="15"/>
      <c r="H1832" s="15"/>
      <c r="I1832" s="14"/>
      <c r="P1832" s="14"/>
    </row>
    <row r="1833" ht="18.75" customHeight="1">
      <c r="A1833" s="7" t="s">
        <v>2819</v>
      </c>
      <c r="B1833" s="9">
        <v>240.0</v>
      </c>
      <c r="C1833" s="9">
        <v>240.0</v>
      </c>
      <c r="D1833" s="9">
        <v>166.0</v>
      </c>
      <c r="E1833" s="9">
        <v>3.0</v>
      </c>
      <c r="F1833" s="14"/>
      <c r="G1833" s="15"/>
      <c r="H1833" s="15"/>
      <c r="I1833" s="14"/>
      <c r="P1833" s="14"/>
    </row>
    <row r="1834" ht="18.75" customHeight="1">
      <c r="A1834" s="7" t="s">
        <v>3208</v>
      </c>
      <c r="B1834" s="9">
        <v>83.0</v>
      </c>
      <c r="C1834" s="9">
        <v>80.0</v>
      </c>
      <c r="D1834" s="9">
        <v>50.0</v>
      </c>
      <c r="E1834" s="9">
        <v>1.0</v>
      </c>
      <c r="F1834" s="14"/>
      <c r="G1834" s="15"/>
      <c r="H1834" s="15"/>
      <c r="I1834" s="14"/>
      <c r="P1834" s="14"/>
    </row>
    <row r="1835" ht="18.75" customHeight="1">
      <c r="A1835" s="7" t="s">
        <v>3205</v>
      </c>
      <c r="B1835" s="9">
        <v>130.0</v>
      </c>
      <c r="C1835" s="9">
        <v>130.0</v>
      </c>
      <c r="D1835" s="9">
        <v>87.0</v>
      </c>
      <c r="E1835" s="9">
        <v>2.0</v>
      </c>
      <c r="F1835" s="14"/>
      <c r="G1835" s="15"/>
      <c r="H1835" s="15"/>
      <c r="I1835" s="14"/>
      <c r="P1835" s="14"/>
    </row>
    <row r="1836" ht="18.75" customHeight="1">
      <c r="A1836" s="7" t="s">
        <v>3209</v>
      </c>
      <c r="B1836" s="9">
        <v>55.0</v>
      </c>
      <c r="C1836" s="9">
        <v>55.0</v>
      </c>
      <c r="D1836" s="9">
        <v>27.0</v>
      </c>
      <c r="E1836" s="9">
        <v>1.0</v>
      </c>
      <c r="F1836" s="14"/>
      <c r="G1836" s="15"/>
      <c r="H1836" s="15"/>
      <c r="I1836" s="14"/>
      <c r="P1836" s="14"/>
    </row>
    <row r="1837" ht="18.75" customHeight="1">
      <c r="A1837" s="7" t="s">
        <v>2820</v>
      </c>
      <c r="B1837" s="9">
        <v>220.0</v>
      </c>
      <c r="C1837" s="9">
        <v>220.0</v>
      </c>
      <c r="D1837" s="9">
        <v>155.0</v>
      </c>
      <c r="E1837" s="9">
        <v>5.0</v>
      </c>
      <c r="F1837" s="14"/>
      <c r="G1837" s="15"/>
      <c r="H1837" s="15"/>
      <c r="I1837" s="14"/>
      <c r="P1837" s="14"/>
    </row>
    <row r="1838" ht="18.75" customHeight="1">
      <c r="A1838" s="7" t="s">
        <v>3206</v>
      </c>
      <c r="B1838" s="9">
        <v>59.0</v>
      </c>
      <c r="C1838" s="9">
        <v>59.0</v>
      </c>
      <c r="D1838" s="9">
        <v>31.0</v>
      </c>
      <c r="E1838" s="9">
        <v>4.0</v>
      </c>
      <c r="F1838" s="14"/>
      <c r="G1838" s="15"/>
      <c r="H1838" s="15"/>
      <c r="I1838" s="14"/>
      <c r="P1838" s="14"/>
    </row>
    <row r="1839" ht="18.75" customHeight="1">
      <c r="A1839" s="7" t="s">
        <v>3175</v>
      </c>
      <c r="B1839" s="9">
        <v>70.0</v>
      </c>
      <c r="C1839" s="9">
        <v>70.0</v>
      </c>
      <c r="D1839" s="9">
        <v>46.0</v>
      </c>
      <c r="E1839" s="9">
        <v>1.0</v>
      </c>
      <c r="F1839" s="14"/>
      <c r="G1839" s="15"/>
      <c r="H1839" s="15"/>
      <c r="I1839" s="14"/>
      <c r="P1839" s="14"/>
    </row>
    <row r="1840" ht="18.75" customHeight="1">
      <c r="A1840" s="7" t="s">
        <v>3210</v>
      </c>
      <c r="B1840" s="9">
        <v>148.0</v>
      </c>
      <c r="C1840" s="9">
        <v>146.0</v>
      </c>
      <c r="D1840" s="9">
        <v>82.0</v>
      </c>
      <c r="E1840" s="9">
        <v>2.0</v>
      </c>
      <c r="F1840" s="14"/>
      <c r="G1840" s="15"/>
      <c r="H1840" s="15"/>
      <c r="I1840" s="14"/>
      <c r="P1840" s="14"/>
    </row>
    <row r="1841" ht="18.75" customHeight="1">
      <c r="A1841" s="7" t="s">
        <v>3177</v>
      </c>
      <c r="B1841" s="9">
        <v>44.0</v>
      </c>
      <c r="C1841" s="9">
        <v>44.0</v>
      </c>
      <c r="D1841" s="9">
        <v>23.0</v>
      </c>
      <c r="E1841" s="9">
        <v>1.0</v>
      </c>
      <c r="F1841" s="14"/>
      <c r="G1841" s="15"/>
      <c r="H1841" s="15"/>
      <c r="I1841" s="14"/>
      <c r="P1841" s="14"/>
    </row>
    <row r="1842" ht="18.75" customHeight="1">
      <c r="A1842" s="7" t="s">
        <v>3207</v>
      </c>
      <c r="B1842" s="9">
        <v>106.0</v>
      </c>
      <c r="C1842" s="9">
        <v>106.0</v>
      </c>
      <c r="D1842" s="9">
        <v>53.0</v>
      </c>
      <c r="E1842" s="9">
        <v>4.0</v>
      </c>
      <c r="F1842" s="14"/>
      <c r="G1842" s="15"/>
      <c r="H1842" s="15"/>
      <c r="I1842" s="14"/>
      <c r="P1842" s="14"/>
    </row>
    <row r="1843" ht="18.75" customHeight="1">
      <c r="A1843" s="7" t="s">
        <v>3208</v>
      </c>
      <c r="B1843" s="9">
        <v>59.0</v>
      </c>
      <c r="C1843" s="9">
        <v>59.0</v>
      </c>
      <c r="D1843" s="9">
        <v>29.0</v>
      </c>
      <c r="E1843" s="9">
        <v>2.0</v>
      </c>
      <c r="F1843" s="14"/>
      <c r="G1843" s="15"/>
      <c r="H1843" s="15"/>
      <c r="I1843" s="14"/>
      <c r="P1843" s="14"/>
    </row>
    <row r="1844" ht="18.75" customHeight="1">
      <c r="A1844" s="7" t="s">
        <v>3211</v>
      </c>
      <c r="B1844" s="9">
        <v>55.0</v>
      </c>
      <c r="C1844" s="9">
        <v>54.0</v>
      </c>
      <c r="D1844" s="9">
        <v>29.0</v>
      </c>
      <c r="E1844" s="9">
        <v>3.0</v>
      </c>
      <c r="F1844" s="14"/>
      <c r="G1844" s="15"/>
      <c r="H1844" s="15"/>
      <c r="I1844" s="14"/>
      <c r="P1844" s="14"/>
    </row>
    <row r="1845" ht="18.75" customHeight="1">
      <c r="A1845" s="7" t="s">
        <v>2819</v>
      </c>
      <c r="B1845" s="9">
        <v>229.0</v>
      </c>
      <c r="C1845" s="9">
        <v>228.0</v>
      </c>
      <c r="D1845" s="9">
        <v>122.0</v>
      </c>
      <c r="E1845" s="9">
        <v>2.0</v>
      </c>
      <c r="F1845" s="14"/>
      <c r="G1845" s="15"/>
      <c r="H1845" s="15"/>
      <c r="I1845" s="14"/>
      <c r="P1845" s="14"/>
    </row>
    <row r="1846" ht="18.75" customHeight="1">
      <c r="A1846" s="7" t="s">
        <v>2809</v>
      </c>
      <c r="B1846" s="9">
        <v>538.0</v>
      </c>
      <c r="C1846" s="9">
        <v>537.0</v>
      </c>
      <c r="D1846" s="9">
        <v>378.0</v>
      </c>
      <c r="E1846" s="9">
        <v>4.0</v>
      </c>
      <c r="F1846" s="14"/>
      <c r="G1846" s="15"/>
      <c r="H1846" s="15"/>
      <c r="I1846" s="14"/>
      <c r="P1846" s="14"/>
    </row>
    <row r="1847" ht="18.75" customHeight="1">
      <c r="A1847" s="7" t="s">
        <v>3212</v>
      </c>
      <c r="B1847" s="9">
        <v>56.0</v>
      </c>
      <c r="C1847" s="9">
        <v>56.0</v>
      </c>
      <c r="D1847" s="9">
        <v>39.0</v>
      </c>
      <c r="E1847" s="9">
        <v>1.0</v>
      </c>
      <c r="F1847" s="14"/>
      <c r="G1847" s="15"/>
      <c r="H1847" s="15"/>
      <c r="I1847" s="14"/>
      <c r="P1847" s="14"/>
    </row>
    <row r="1848" ht="18.75" customHeight="1">
      <c r="A1848" s="7" t="s">
        <v>3211</v>
      </c>
      <c r="B1848" s="9">
        <v>56.0</v>
      </c>
      <c r="C1848" s="9">
        <v>55.0</v>
      </c>
      <c r="D1848" s="9">
        <v>28.0</v>
      </c>
      <c r="E1848" s="9">
        <v>1.0</v>
      </c>
      <c r="F1848" s="14"/>
      <c r="G1848" s="15"/>
      <c r="H1848" s="15"/>
      <c r="I1848" s="14"/>
      <c r="P1848" s="14"/>
    </row>
    <row r="1849" ht="18.75" customHeight="1">
      <c r="A1849" s="7" t="s">
        <v>2820</v>
      </c>
      <c r="B1849" s="9">
        <v>209.0</v>
      </c>
      <c r="C1849" s="9">
        <v>209.0</v>
      </c>
      <c r="D1849" s="9">
        <v>131.0</v>
      </c>
      <c r="E1849" s="9">
        <v>2.0</v>
      </c>
      <c r="F1849" s="14"/>
      <c r="G1849" s="15"/>
      <c r="H1849" s="15"/>
      <c r="I1849" s="14"/>
      <c r="P1849" s="14"/>
    </row>
    <row r="1850" ht="18.75" customHeight="1">
      <c r="A1850" s="7" t="s">
        <v>2779</v>
      </c>
      <c r="B1850" s="9">
        <v>170.0</v>
      </c>
      <c r="C1850" s="9">
        <v>168.0</v>
      </c>
      <c r="D1850" s="9">
        <v>115.0</v>
      </c>
      <c r="E1850" s="9">
        <v>3.0</v>
      </c>
      <c r="F1850" s="14"/>
      <c r="G1850" s="15"/>
      <c r="H1850" s="15"/>
      <c r="I1850" s="14"/>
      <c r="P1850" s="14"/>
    </row>
    <row r="1851" ht="18.75" customHeight="1">
      <c r="A1851" s="7" t="s">
        <v>3213</v>
      </c>
      <c r="B1851" s="9">
        <v>52.0</v>
      </c>
      <c r="C1851" s="9">
        <v>52.0</v>
      </c>
      <c r="D1851" s="9">
        <v>33.0</v>
      </c>
      <c r="E1851" s="9">
        <v>0.0</v>
      </c>
      <c r="F1851" s="14"/>
      <c r="G1851" s="15"/>
      <c r="H1851" s="15"/>
      <c r="I1851" s="14"/>
      <c r="P1851" s="14"/>
    </row>
    <row r="1852" ht="18.75" customHeight="1">
      <c r="A1852" s="7" t="s">
        <v>3214</v>
      </c>
      <c r="B1852" s="9">
        <v>27.0</v>
      </c>
      <c r="C1852" s="9">
        <v>27.0</v>
      </c>
      <c r="D1852" s="9">
        <v>13.0</v>
      </c>
      <c r="E1852" s="9">
        <v>0.0</v>
      </c>
      <c r="F1852" s="14"/>
      <c r="G1852" s="15"/>
      <c r="H1852" s="15"/>
      <c r="I1852" s="14"/>
      <c r="P1852" s="14"/>
    </row>
    <row r="1853" ht="18.75" customHeight="1">
      <c r="A1853" s="7" t="s">
        <v>2828</v>
      </c>
      <c r="B1853" s="9">
        <v>117.0</v>
      </c>
      <c r="C1853" s="9">
        <v>117.0</v>
      </c>
      <c r="D1853" s="9">
        <v>88.0</v>
      </c>
      <c r="E1853" s="9">
        <v>1.0</v>
      </c>
      <c r="F1853" s="14"/>
      <c r="G1853" s="15"/>
      <c r="H1853" s="15"/>
      <c r="I1853" s="14"/>
      <c r="P1853" s="14"/>
    </row>
    <row r="1854" ht="18.75" customHeight="1">
      <c r="A1854" s="7" t="s">
        <v>3179</v>
      </c>
      <c r="B1854" s="9">
        <v>94.0</v>
      </c>
      <c r="C1854" s="9">
        <v>93.0</v>
      </c>
      <c r="D1854" s="9">
        <v>60.0</v>
      </c>
      <c r="E1854" s="9">
        <v>0.0</v>
      </c>
      <c r="F1854" s="14"/>
      <c r="G1854" s="15"/>
      <c r="H1854" s="15"/>
      <c r="I1854" s="14"/>
      <c r="P1854" s="14"/>
    </row>
    <row r="1855" ht="18.75" customHeight="1">
      <c r="A1855" s="7" t="s">
        <v>2809</v>
      </c>
      <c r="B1855" s="9">
        <v>603.0</v>
      </c>
      <c r="C1855" s="9">
        <v>603.0</v>
      </c>
      <c r="D1855" s="9">
        <v>402.0</v>
      </c>
      <c r="E1855" s="9">
        <v>5.0</v>
      </c>
      <c r="F1855" s="14"/>
      <c r="G1855" s="15"/>
      <c r="H1855" s="15"/>
      <c r="I1855" s="14"/>
      <c r="P1855" s="14"/>
    </row>
    <row r="1856" ht="18.75" customHeight="1">
      <c r="A1856" s="7" t="s">
        <v>2780</v>
      </c>
      <c r="B1856" s="9">
        <v>251.0</v>
      </c>
      <c r="C1856" s="9">
        <v>251.0</v>
      </c>
      <c r="D1856" s="9">
        <v>177.0</v>
      </c>
      <c r="E1856" s="9">
        <v>1.0</v>
      </c>
      <c r="F1856" s="14"/>
      <c r="G1856" s="15"/>
      <c r="H1856" s="15"/>
      <c r="I1856" s="14"/>
      <c r="P1856" s="14"/>
    </row>
    <row r="1857" ht="18.75" customHeight="1">
      <c r="A1857" s="7" t="s">
        <v>3215</v>
      </c>
      <c r="B1857" s="9">
        <v>45.0</v>
      </c>
      <c r="C1857" s="9">
        <v>43.0</v>
      </c>
      <c r="D1857" s="9">
        <v>19.0</v>
      </c>
      <c r="E1857" s="9">
        <v>1.0</v>
      </c>
      <c r="F1857" s="14"/>
      <c r="G1857" s="15"/>
      <c r="H1857" s="15"/>
      <c r="I1857" s="14"/>
      <c r="P1857" s="14"/>
    </row>
    <row r="1858" ht="18.75" customHeight="1">
      <c r="A1858" s="7" t="s">
        <v>3216</v>
      </c>
      <c r="B1858" s="9">
        <v>66.0</v>
      </c>
      <c r="C1858" s="9">
        <v>65.0</v>
      </c>
      <c r="D1858" s="9">
        <v>42.0</v>
      </c>
      <c r="E1858" s="9">
        <v>1.0</v>
      </c>
      <c r="F1858" s="14"/>
      <c r="G1858" s="15"/>
      <c r="H1858" s="15"/>
      <c r="I1858" s="14"/>
      <c r="P1858" s="14"/>
    </row>
    <row r="1859" ht="18.75" customHeight="1">
      <c r="A1859" s="7" t="s">
        <v>3213</v>
      </c>
      <c r="B1859" s="9">
        <v>52.0</v>
      </c>
      <c r="C1859" s="9">
        <v>52.0</v>
      </c>
      <c r="D1859" s="9">
        <v>30.0</v>
      </c>
      <c r="E1859" s="9">
        <v>1.0</v>
      </c>
      <c r="F1859" s="14"/>
      <c r="G1859" s="15"/>
      <c r="H1859" s="15"/>
      <c r="I1859" s="14"/>
      <c r="P1859" s="14"/>
    </row>
    <row r="1860" ht="18.75" customHeight="1">
      <c r="A1860" s="7" t="s">
        <v>3217</v>
      </c>
      <c r="B1860" s="9">
        <v>117.0</v>
      </c>
      <c r="C1860" s="9">
        <v>116.0</v>
      </c>
      <c r="D1860" s="9">
        <v>77.0</v>
      </c>
      <c r="E1860" s="9">
        <v>1.0</v>
      </c>
      <c r="F1860" s="14"/>
      <c r="G1860" s="15"/>
      <c r="H1860" s="15"/>
      <c r="I1860" s="14"/>
      <c r="P1860" s="14"/>
    </row>
    <row r="1861" ht="18.75" customHeight="1">
      <c r="A1861" s="7" t="s">
        <v>2810</v>
      </c>
      <c r="B1861" s="9">
        <v>230.0</v>
      </c>
      <c r="C1861" s="9">
        <v>227.0</v>
      </c>
      <c r="D1861" s="9">
        <v>151.0</v>
      </c>
      <c r="E1861" s="9">
        <v>2.0</v>
      </c>
      <c r="F1861" s="14"/>
      <c r="G1861" s="15"/>
      <c r="H1861" s="15"/>
      <c r="I1861" s="14"/>
      <c r="P1861" s="14"/>
    </row>
    <row r="1862" ht="18.75" customHeight="1">
      <c r="A1862" s="7" t="s">
        <v>3218</v>
      </c>
      <c r="B1862" s="9">
        <v>40.0</v>
      </c>
      <c r="C1862" s="9">
        <v>40.0</v>
      </c>
      <c r="D1862" s="9">
        <v>27.0</v>
      </c>
      <c r="E1862" s="9">
        <v>0.0</v>
      </c>
      <c r="F1862" s="14"/>
      <c r="G1862" s="15"/>
      <c r="H1862" s="15"/>
      <c r="I1862" s="14"/>
      <c r="P1862" s="14"/>
    </row>
    <row r="1863" ht="18.75" customHeight="1">
      <c r="A1863" s="7" t="s">
        <v>3219</v>
      </c>
      <c r="B1863" s="9">
        <v>72.0</v>
      </c>
      <c r="C1863" s="9">
        <v>71.0</v>
      </c>
      <c r="D1863" s="9">
        <v>41.0</v>
      </c>
      <c r="E1863" s="9">
        <v>2.0</v>
      </c>
      <c r="F1863" s="14"/>
      <c r="G1863" s="15"/>
      <c r="H1863" s="15"/>
      <c r="I1863" s="14"/>
      <c r="P1863" s="14"/>
    </row>
    <row r="1864" ht="18.75" customHeight="1">
      <c r="A1864" s="7" t="s">
        <v>3215</v>
      </c>
      <c r="B1864" s="9">
        <v>62.0</v>
      </c>
      <c r="C1864" s="9">
        <v>61.0</v>
      </c>
      <c r="D1864" s="9">
        <v>27.0</v>
      </c>
      <c r="E1864" s="9">
        <v>2.0</v>
      </c>
      <c r="F1864" s="14"/>
      <c r="G1864" s="15"/>
      <c r="H1864" s="15"/>
      <c r="I1864" s="14"/>
      <c r="P1864" s="14"/>
    </row>
    <row r="1865" ht="18.75" customHeight="1">
      <c r="A1865" s="7" t="s">
        <v>3220</v>
      </c>
      <c r="B1865" s="9">
        <v>444.0</v>
      </c>
      <c r="C1865" s="9">
        <v>444.0</v>
      </c>
      <c r="D1865" s="9">
        <v>305.0</v>
      </c>
      <c r="E1865" s="9">
        <v>2.0</v>
      </c>
      <c r="F1865" s="14"/>
      <c r="G1865" s="15"/>
      <c r="H1865" s="15"/>
      <c r="I1865" s="14"/>
      <c r="P1865" s="14"/>
    </row>
    <row r="1866" ht="18.75" customHeight="1">
      <c r="A1866" s="7" t="s">
        <v>3221</v>
      </c>
      <c r="B1866" s="9">
        <v>95.0</v>
      </c>
      <c r="C1866" s="9">
        <v>94.0</v>
      </c>
      <c r="D1866" s="9">
        <v>59.0</v>
      </c>
      <c r="E1866" s="9">
        <v>1.0</v>
      </c>
      <c r="F1866" s="14"/>
      <c r="G1866" s="15"/>
      <c r="H1866" s="15"/>
      <c r="I1866" s="14"/>
      <c r="P1866" s="14"/>
    </row>
    <row r="1867" ht="18.75" customHeight="1">
      <c r="A1867" s="7" t="s">
        <v>3222</v>
      </c>
      <c r="B1867" s="9">
        <v>60.0</v>
      </c>
      <c r="C1867" s="9">
        <v>60.0</v>
      </c>
      <c r="D1867" s="9">
        <v>34.0</v>
      </c>
      <c r="E1867" s="9">
        <v>0.0</v>
      </c>
      <c r="F1867" s="14"/>
      <c r="G1867" s="15"/>
      <c r="H1867" s="15"/>
      <c r="I1867" s="14"/>
      <c r="P1867" s="14"/>
    </row>
    <row r="1868" ht="18.75" customHeight="1">
      <c r="A1868" s="7" t="s">
        <v>3216</v>
      </c>
      <c r="B1868" s="9">
        <v>67.0</v>
      </c>
      <c r="C1868" s="9">
        <v>66.0</v>
      </c>
      <c r="D1868" s="9">
        <v>40.0</v>
      </c>
      <c r="E1868" s="9">
        <v>5.0</v>
      </c>
      <c r="F1868" s="14"/>
      <c r="G1868" s="15"/>
      <c r="H1868" s="15"/>
      <c r="I1868" s="14"/>
      <c r="P1868" s="14"/>
    </row>
    <row r="1869" ht="18.75" customHeight="1">
      <c r="A1869" s="7" t="s">
        <v>3223</v>
      </c>
      <c r="B1869" s="9">
        <v>87.0</v>
      </c>
      <c r="C1869" s="9">
        <v>87.0</v>
      </c>
      <c r="D1869" s="9">
        <v>48.0</v>
      </c>
      <c r="E1869" s="9">
        <v>1.0</v>
      </c>
      <c r="F1869" s="14"/>
      <c r="G1869" s="15"/>
      <c r="H1869" s="15"/>
      <c r="I1869" s="14"/>
      <c r="P1869" s="14"/>
    </row>
    <row r="1870" ht="18.75" customHeight="1">
      <c r="A1870" s="7" t="s">
        <v>3224</v>
      </c>
      <c r="B1870" s="9">
        <v>90.0</v>
      </c>
      <c r="C1870" s="9">
        <v>89.0</v>
      </c>
      <c r="D1870" s="9">
        <v>55.0</v>
      </c>
      <c r="E1870" s="9">
        <v>2.0</v>
      </c>
      <c r="F1870" s="14"/>
      <c r="G1870" s="15"/>
      <c r="H1870" s="15"/>
      <c r="I1870" s="14"/>
      <c r="P1870" s="14"/>
    </row>
    <row r="1871" ht="18.75" customHeight="1">
      <c r="A1871" s="7" t="s">
        <v>3225</v>
      </c>
      <c r="B1871" s="9">
        <v>134.0</v>
      </c>
      <c r="C1871" s="9">
        <v>133.0</v>
      </c>
      <c r="D1871" s="9">
        <v>90.0</v>
      </c>
      <c r="E1871" s="9">
        <v>2.0</v>
      </c>
      <c r="F1871" s="14"/>
      <c r="G1871" s="15"/>
      <c r="H1871" s="15"/>
      <c r="I1871" s="14"/>
      <c r="P1871" s="14"/>
    </row>
    <row r="1872" ht="18.75" customHeight="1">
      <c r="A1872" s="7" t="s">
        <v>3226</v>
      </c>
      <c r="B1872" s="9">
        <v>62.0</v>
      </c>
      <c r="C1872" s="9">
        <v>62.0</v>
      </c>
      <c r="D1872" s="9">
        <v>27.0</v>
      </c>
      <c r="E1872" s="9">
        <v>0.0</v>
      </c>
      <c r="F1872" s="14"/>
      <c r="G1872" s="15"/>
      <c r="H1872" s="15"/>
      <c r="I1872" s="14"/>
      <c r="P1872" s="14"/>
    </row>
    <row r="1873" ht="18.75" customHeight="1">
      <c r="A1873" s="7" t="s">
        <v>3218</v>
      </c>
      <c r="B1873" s="9">
        <v>40.0</v>
      </c>
      <c r="C1873" s="9">
        <v>40.0</v>
      </c>
      <c r="D1873" s="9">
        <v>16.0</v>
      </c>
      <c r="E1873" s="9">
        <v>0.0</v>
      </c>
      <c r="F1873" s="14"/>
      <c r="G1873" s="15"/>
      <c r="H1873" s="15"/>
      <c r="I1873" s="14"/>
      <c r="P1873" s="14"/>
    </row>
    <row r="1874" ht="18.75" customHeight="1">
      <c r="A1874" s="7" t="s">
        <v>3227</v>
      </c>
      <c r="B1874" s="9">
        <v>119.0</v>
      </c>
      <c r="C1874" s="9">
        <v>117.0</v>
      </c>
      <c r="D1874" s="9">
        <v>72.0</v>
      </c>
      <c r="E1874" s="9">
        <v>1.0</v>
      </c>
      <c r="F1874" s="14"/>
      <c r="G1874" s="15"/>
      <c r="H1874" s="15"/>
      <c r="I1874" s="14"/>
      <c r="P1874" s="14"/>
    </row>
    <row r="1875" ht="18.75" customHeight="1">
      <c r="A1875" s="7" t="s">
        <v>3217</v>
      </c>
      <c r="B1875" s="9">
        <v>118.0</v>
      </c>
      <c r="C1875" s="9">
        <v>117.0</v>
      </c>
      <c r="D1875" s="9">
        <v>61.0</v>
      </c>
      <c r="E1875" s="9">
        <v>2.0</v>
      </c>
      <c r="F1875" s="14"/>
      <c r="G1875" s="15"/>
      <c r="H1875" s="15"/>
      <c r="I1875" s="14"/>
      <c r="P1875" s="14"/>
    </row>
    <row r="1876" ht="18.75" customHeight="1">
      <c r="A1876" s="7" t="s">
        <v>2821</v>
      </c>
      <c r="B1876" s="9">
        <v>181.0</v>
      </c>
      <c r="C1876" s="9">
        <v>180.0</v>
      </c>
      <c r="D1876" s="9">
        <v>122.0</v>
      </c>
      <c r="E1876" s="9">
        <v>2.0</v>
      </c>
      <c r="F1876" s="14"/>
      <c r="G1876" s="15"/>
      <c r="H1876" s="15"/>
      <c r="I1876" s="14"/>
      <c r="P1876" s="14"/>
    </row>
    <row r="1877" ht="18.75" customHeight="1">
      <c r="A1877" s="7" t="s">
        <v>3228</v>
      </c>
      <c r="B1877" s="9">
        <v>87.0</v>
      </c>
      <c r="C1877" s="9">
        <v>87.0</v>
      </c>
      <c r="D1877" s="9">
        <v>62.0</v>
      </c>
      <c r="E1877" s="9">
        <v>1.0</v>
      </c>
      <c r="F1877" s="14"/>
      <c r="G1877" s="15"/>
      <c r="H1877" s="15"/>
      <c r="I1877" s="14"/>
      <c r="P1877" s="14"/>
    </row>
    <row r="1878" ht="18.75" customHeight="1">
      <c r="A1878" s="7" t="s">
        <v>3229</v>
      </c>
      <c r="B1878" s="9">
        <v>60.0</v>
      </c>
      <c r="C1878" s="9">
        <v>59.0</v>
      </c>
      <c r="D1878" s="9">
        <v>31.0</v>
      </c>
      <c r="E1878" s="9">
        <v>2.0</v>
      </c>
      <c r="F1878" s="14"/>
      <c r="G1878" s="15"/>
      <c r="H1878" s="15"/>
      <c r="I1878" s="14"/>
      <c r="P1878" s="14"/>
    </row>
    <row r="1879" ht="18.75" customHeight="1">
      <c r="A1879" s="7" t="s">
        <v>3230</v>
      </c>
      <c r="B1879" s="9">
        <v>212.0</v>
      </c>
      <c r="C1879" s="9">
        <v>211.0</v>
      </c>
      <c r="D1879" s="9">
        <v>155.0</v>
      </c>
      <c r="E1879" s="9">
        <v>4.0</v>
      </c>
      <c r="F1879" s="14"/>
      <c r="G1879" s="15"/>
      <c r="H1879" s="15"/>
      <c r="I1879" s="14"/>
      <c r="P1879" s="14"/>
    </row>
    <row r="1880" ht="18.75" customHeight="1">
      <c r="A1880" s="7" t="s">
        <v>2787</v>
      </c>
      <c r="B1880" s="9">
        <v>465.0</v>
      </c>
      <c r="C1880" s="9">
        <v>463.0</v>
      </c>
      <c r="D1880" s="9">
        <v>325.0</v>
      </c>
      <c r="E1880" s="9">
        <v>2.0</v>
      </c>
      <c r="F1880" s="14"/>
      <c r="G1880" s="15"/>
      <c r="H1880" s="15"/>
      <c r="I1880" s="14"/>
      <c r="P1880" s="14"/>
    </row>
    <row r="1881" ht="18.75" customHeight="1">
      <c r="A1881" s="7" t="s">
        <v>2828</v>
      </c>
      <c r="B1881" s="9">
        <v>118.0</v>
      </c>
      <c r="C1881" s="9">
        <v>118.0</v>
      </c>
      <c r="D1881" s="9">
        <v>68.0</v>
      </c>
      <c r="E1881" s="9">
        <v>0.0</v>
      </c>
      <c r="F1881" s="14"/>
      <c r="G1881" s="15"/>
      <c r="H1881" s="15"/>
      <c r="I1881" s="14"/>
      <c r="P1881" s="14"/>
    </row>
    <row r="1882" ht="18.75" customHeight="1">
      <c r="A1882" s="7" t="s">
        <v>2810</v>
      </c>
      <c r="B1882" s="9">
        <v>220.0</v>
      </c>
      <c r="C1882" s="9">
        <v>217.0</v>
      </c>
      <c r="D1882" s="9">
        <v>131.0</v>
      </c>
      <c r="E1882" s="9">
        <v>3.0</v>
      </c>
      <c r="F1882" s="14"/>
      <c r="G1882" s="15"/>
      <c r="H1882" s="15"/>
      <c r="I1882" s="14"/>
      <c r="P1882" s="14"/>
    </row>
    <row r="1883" ht="18.75" customHeight="1">
      <c r="A1883" s="7" t="s">
        <v>3221</v>
      </c>
      <c r="B1883" s="9">
        <v>95.0</v>
      </c>
      <c r="C1883" s="9">
        <v>94.0</v>
      </c>
      <c r="D1883" s="9">
        <v>45.0</v>
      </c>
      <c r="E1883" s="9">
        <v>2.0</v>
      </c>
      <c r="F1883" s="14"/>
      <c r="G1883" s="15"/>
      <c r="H1883" s="15"/>
      <c r="I1883" s="14"/>
      <c r="P1883" s="14"/>
    </row>
    <row r="1884" ht="18.75" customHeight="1">
      <c r="A1884" s="7" t="s">
        <v>3231</v>
      </c>
      <c r="B1884" s="9">
        <v>139.0</v>
      </c>
      <c r="C1884" s="9">
        <v>139.0</v>
      </c>
      <c r="D1884" s="9">
        <v>91.0</v>
      </c>
      <c r="E1884" s="9">
        <v>6.0</v>
      </c>
      <c r="F1884" s="14"/>
      <c r="G1884" s="15"/>
      <c r="H1884" s="15"/>
      <c r="I1884" s="14"/>
      <c r="P1884" s="14"/>
    </row>
    <row r="1885" ht="18.75" customHeight="1">
      <c r="A1885" s="7" t="s">
        <v>3222</v>
      </c>
      <c r="B1885" s="9">
        <v>153.0</v>
      </c>
      <c r="C1885" s="9">
        <v>152.0</v>
      </c>
      <c r="D1885" s="9">
        <v>70.0</v>
      </c>
      <c r="E1885" s="9">
        <v>4.0</v>
      </c>
      <c r="F1885" s="14"/>
      <c r="G1885" s="15"/>
      <c r="H1885" s="15"/>
      <c r="I1885" s="14"/>
      <c r="P1885" s="14"/>
    </row>
    <row r="1886" ht="18.75" customHeight="1">
      <c r="A1886" s="7" t="s">
        <v>3232</v>
      </c>
      <c r="B1886" s="9">
        <v>55.0</v>
      </c>
      <c r="C1886" s="9">
        <v>54.0</v>
      </c>
      <c r="D1886" s="9">
        <v>33.0</v>
      </c>
      <c r="E1886" s="9">
        <v>2.0</v>
      </c>
      <c r="F1886" s="14"/>
      <c r="G1886" s="15"/>
      <c r="H1886" s="15"/>
      <c r="I1886" s="14"/>
      <c r="P1886" s="14"/>
    </row>
    <row r="1887" ht="18.75" customHeight="1">
      <c r="A1887" s="7" t="s">
        <v>3227</v>
      </c>
      <c r="B1887" s="9">
        <v>115.0</v>
      </c>
      <c r="C1887" s="9">
        <v>112.0</v>
      </c>
      <c r="D1887" s="9">
        <v>63.0</v>
      </c>
      <c r="E1887" s="9">
        <v>1.0</v>
      </c>
      <c r="F1887" s="14"/>
      <c r="G1887" s="15"/>
      <c r="H1887" s="15"/>
      <c r="I1887" s="14"/>
      <c r="P1887" s="14"/>
    </row>
    <row r="1888" ht="18.75" customHeight="1">
      <c r="A1888" s="7" t="s">
        <v>3223</v>
      </c>
      <c r="B1888" s="9">
        <v>82.0</v>
      </c>
      <c r="C1888" s="9">
        <v>82.0</v>
      </c>
      <c r="D1888" s="9">
        <v>43.0</v>
      </c>
      <c r="E1888" s="9">
        <v>1.0</v>
      </c>
      <c r="F1888" s="14"/>
      <c r="G1888" s="15"/>
      <c r="H1888" s="15"/>
      <c r="I1888" s="14"/>
      <c r="P1888" s="14"/>
    </row>
    <row r="1889" ht="18.75" customHeight="1">
      <c r="A1889" s="7" t="s">
        <v>3223</v>
      </c>
      <c r="B1889" s="9">
        <v>1462.0</v>
      </c>
      <c r="C1889" s="9">
        <v>1462.0</v>
      </c>
      <c r="D1889" s="9">
        <v>1030.0</v>
      </c>
      <c r="E1889" s="9">
        <v>3.0</v>
      </c>
      <c r="F1889" s="14"/>
      <c r="G1889" s="15"/>
      <c r="H1889" s="15"/>
      <c r="I1889" s="14"/>
      <c r="P1889" s="14"/>
    </row>
    <row r="1890" ht="18.75" customHeight="1">
      <c r="A1890" s="7" t="s">
        <v>2761</v>
      </c>
      <c r="B1890" s="9">
        <v>162.0</v>
      </c>
      <c r="C1890" s="9">
        <v>161.0</v>
      </c>
      <c r="D1890" s="9">
        <v>97.0</v>
      </c>
      <c r="E1890" s="9">
        <v>0.0</v>
      </c>
      <c r="F1890" s="14"/>
      <c r="G1890" s="15"/>
      <c r="H1890" s="15"/>
      <c r="I1890" s="14"/>
      <c r="P1890" s="14"/>
    </row>
    <row r="1891" ht="18.75" customHeight="1">
      <c r="A1891" s="7" t="s">
        <v>3228</v>
      </c>
      <c r="B1891" s="9">
        <v>87.0</v>
      </c>
      <c r="C1891" s="9">
        <v>87.0</v>
      </c>
      <c r="D1891" s="9">
        <v>45.0</v>
      </c>
      <c r="E1891" s="9">
        <v>1.0</v>
      </c>
      <c r="F1891" s="14"/>
      <c r="G1891" s="15"/>
      <c r="H1891" s="15"/>
      <c r="I1891" s="14"/>
      <c r="P1891" s="14"/>
    </row>
    <row r="1892" ht="18.75" customHeight="1">
      <c r="A1892" s="7" t="s">
        <v>3224</v>
      </c>
      <c r="B1892" s="9">
        <v>94.0</v>
      </c>
      <c r="C1892" s="9">
        <v>93.0</v>
      </c>
      <c r="D1892" s="9">
        <v>50.0</v>
      </c>
      <c r="E1892" s="9">
        <v>3.0</v>
      </c>
      <c r="F1892" s="14"/>
      <c r="G1892" s="15"/>
      <c r="H1892" s="15"/>
      <c r="I1892" s="14"/>
      <c r="P1892" s="14"/>
    </row>
    <row r="1893" ht="18.75" customHeight="1">
      <c r="A1893" s="7" t="s">
        <v>3229</v>
      </c>
      <c r="B1893" s="9">
        <v>60.0</v>
      </c>
      <c r="C1893" s="9">
        <v>59.0</v>
      </c>
      <c r="D1893" s="9">
        <v>23.0</v>
      </c>
      <c r="E1893" s="9">
        <v>2.0</v>
      </c>
      <c r="F1893" s="14"/>
      <c r="G1893" s="15"/>
      <c r="H1893" s="15"/>
      <c r="I1893" s="14"/>
      <c r="P1893" s="14"/>
    </row>
    <row r="1894" ht="18.75" customHeight="1">
      <c r="A1894" s="7" t="s">
        <v>3225</v>
      </c>
      <c r="B1894" s="9">
        <v>134.0</v>
      </c>
      <c r="C1894" s="9">
        <v>133.0</v>
      </c>
      <c r="D1894" s="9">
        <v>74.0</v>
      </c>
      <c r="E1894" s="9">
        <v>4.0</v>
      </c>
      <c r="F1894" s="14"/>
      <c r="G1894" s="15"/>
      <c r="H1894" s="15"/>
      <c r="I1894" s="14"/>
      <c r="P1894" s="14"/>
    </row>
    <row r="1895" ht="18.75" customHeight="1">
      <c r="A1895" s="7" t="s">
        <v>3226</v>
      </c>
      <c r="B1895" s="9">
        <v>62.0</v>
      </c>
      <c r="C1895" s="9">
        <v>62.0</v>
      </c>
      <c r="D1895" s="9">
        <v>32.0</v>
      </c>
      <c r="E1895" s="9">
        <v>0.0</v>
      </c>
      <c r="F1895" s="14"/>
      <c r="G1895" s="15"/>
      <c r="H1895" s="15"/>
      <c r="I1895" s="14"/>
      <c r="P1895" s="14"/>
    </row>
    <row r="1896" ht="18.75" customHeight="1">
      <c r="A1896" s="7" t="s">
        <v>2791</v>
      </c>
      <c r="B1896" s="9">
        <v>1221.0</v>
      </c>
      <c r="C1896" s="9">
        <v>1218.0</v>
      </c>
      <c r="D1896" s="9">
        <v>956.0</v>
      </c>
      <c r="E1896" s="9">
        <v>5.0</v>
      </c>
      <c r="F1896" s="14"/>
      <c r="G1896" s="15"/>
      <c r="H1896" s="15"/>
      <c r="I1896" s="14"/>
      <c r="P1896" s="14"/>
    </row>
    <row r="1897" ht="18.75" customHeight="1">
      <c r="A1897" s="7" t="s">
        <v>3233</v>
      </c>
      <c r="B1897" s="9">
        <v>73.0</v>
      </c>
      <c r="C1897" s="9">
        <v>72.0</v>
      </c>
      <c r="D1897" s="9">
        <v>44.0</v>
      </c>
      <c r="E1897" s="9">
        <v>1.0</v>
      </c>
      <c r="F1897" s="14"/>
      <c r="G1897" s="15"/>
      <c r="H1897" s="15"/>
      <c r="I1897" s="14"/>
      <c r="P1897" s="14"/>
    </row>
    <row r="1898" ht="18.75" customHeight="1">
      <c r="A1898" s="7" t="s">
        <v>3230</v>
      </c>
      <c r="B1898" s="9">
        <v>211.0</v>
      </c>
      <c r="C1898" s="9">
        <v>210.0</v>
      </c>
      <c r="D1898" s="9">
        <v>119.0</v>
      </c>
      <c r="E1898" s="9">
        <v>3.0</v>
      </c>
      <c r="F1898" s="14"/>
      <c r="G1898" s="15"/>
      <c r="H1898" s="15"/>
      <c r="I1898" s="14"/>
      <c r="P1898" s="14"/>
    </row>
    <row r="1899" ht="18.75" customHeight="1">
      <c r="A1899" s="7" t="s">
        <v>2821</v>
      </c>
      <c r="B1899" s="9">
        <v>171.0</v>
      </c>
      <c r="C1899" s="9">
        <v>170.0</v>
      </c>
      <c r="D1899" s="9">
        <v>100.0</v>
      </c>
      <c r="E1899" s="9">
        <v>4.0</v>
      </c>
      <c r="F1899" s="14"/>
      <c r="G1899" s="15"/>
      <c r="H1899" s="15"/>
      <c r="I1899" s="14"/>
      <c r="P1899" s="14"/>
    </row>
    <row r="1900" ht="18.75" customHeight="1">
      <c r="A1900" s="7" t="s">
        <v>2825</v>
      </c>
      <c r="B1900" s="9">
        <v>228.0</v>
      </c>
      <c r="C1900" s="9">
        <v>228.0</v>
      </c>
      <c r="D1900" s="9">
        <v>122.0</v>
      </c>
      <c r="E1900" s="9">
        <v>0.0</v>
      </c>
      <c r="F1900" s="14"/>
      <c r="G1900" s="15"/>
      <c r="H1900" s="15"/>
      <c r="I1900" s="14"/>
      <c r="P1900" s="14"/>
    </row>
    <row r="1901" ht="18.75" customHeight="1">
      <c r="A1901" s="7" t="s">
        <v>3220</v>
      </c>
      <c r="B1901" s="9">
        <v>444.0</v>
      </c>
      <c r="C1901" s="9">
        <v>444.0</v>
      </c>
      <c r="D1901" s="9">
        <v>311.0</v>
      </c>
      <c r="E1901" s="9">
        <v>2.0</v>
      </c>
      <c r="F1901" s="14"/>
      <c r="G1901" s="15"/>
      <c r="H1901" s="15"/>
      <c r="I1901" s="14"/>
      <c r="P1901" s="14"/>
    </row>
    <row r="1902" ht="18.75" customHeight="1">
      <c r="A1902" s="7" t="s">
        <v>3220</v>
      </c>
      <c r="B1902" s="9">
        <v>442.0</v>
      </c>
      <c r="C1902" s="9">
        <v>442.0</v>
      </c>
      <c r="D1902" s="9">
        <v>263.0</v>
      </c>
      <c r="E1902" s="9">
        <v>2.0</v>
      </c>
      <c r="F1902" s="14"/>
      <c r="G1902" s="15"/>
      <c r="H1902" s="15"/>
      <c r="I1902" s="14"/>
      <c r="P1902" s="14"/>
    </row>
    <row r="1903" ht="18.75" customHeight="1">
      <c r="A1903" s="7" t="s">
        <v>3234</v>
      </c>
      <c r="B1903" s="9">
        <v>70.0</v>
      </c>
      <c r="C1903" s="9">
        <v>69.0</v>
      </c>
      <c r="D1903" s="9">
        <v>44.0</v>
      </c>
      <c r="E1903" s="9">
        <v>1.0</v>
      </c>
      <c r="F1903" s="14"/>
      <c r="G1903" s="15"/>
      <c r="H1903" s="15"/>
      <c r="I1903" s="14"/>
      <c r="P1903" s="14"/>
    </row>
    <row r="1904" ht="18.75" customHeight="1">
      <c r="A1904" s="7" t="s">
        <v>3235</v>
      </c>
      <c r="B1904" s="9">
        <v>40.0</v>
      </c>
      <c r="C1904" s="9">
        <v>40.0</v>
      </c>
      <c r="D1904" s="9">
        <v>22.0</v>
      </c>
      <c r="E1904" s="9">
        <v>0.0</v>
      </c>
      <c r="F1904" s="14"/>
      <c r="G1904" s="15"/>
      <c r="H1904" s="15"/>
      <c r="I1904" s="14"/>
      <c r="P1904" s="14"/>
    </row>
    <row r="1905" ht="18.75" customHeight="1">
      <c r="A1905" s="7" t="s">
        <v>3232</v>
      </c>
      <c r="B1905" s="9">
        <v>55.0</v>
      </c>
      <c r="C1905" s="9">
        <v>54.0</v>
      </c>
      <c r="D1905" s="9">
        <v>25.0</v>
      </c>
      <c r="E1905" s="9">
        <v>2.0</v>
      </c>
      <c r="F1905" s="14"/>
      <c r="G1905" s="15"/>
      <c r="H1905" s="15"/>
      <c r="I1905" s="14"/>
      <c r="P1905" s="14"/>
    </row>
    <row r="1906" ht="18.75" customHeight="1">
      <c r="A1906" s="7" t="s">
        <v>2787</v>
      </c>
      <c r="B1906" s="9">
        <v>454.0</v>
      </c>
      <c r="C1906" s="9">
        <v>453.0</v>
      </c>
      <c r="D1906" s="9">
        <v>252.0</v>
      </c>
      <c r="E1906" s="9">
        <v>1.0</v>
      </c>
      <c r="F1906" s="14"/>
      <c r="G1906" s="15"/>
      <c r="H1906" s="15"/>
      <c r="I1906" s="14"/>
      <c r="P1906" s="14"/>
    </row>
    <row r="1907" ht="18.75" customHeight="1">
      <c r="A1907" s="7" t="s">
        <v>3236</v>
      </c>
      <c r="B1907" s="9">
        <v>25.0</v>
      </c>
      <c r="C1907" s="9">
        <v>25.0</v>
      </c>
      <c r="D1907" s="9">
        <v>14.0</v>
      </c>
      <c r="E1907" s="9">
        <v>0.0</v>
      </c>
      <c r="F1907" s="14"/>
      <c r="G1907" s="15"/>
      <c r="H1907" s="15"/>
      <c r="I1907" s="14"/>
      <c r="P1907" s="14"/>
    </row>
    <row r="1908" ht="18.75" customHeight="1">
      <c r="A1908" s="7" t="s">
        <v>3237</v>
      </c>
      <c r="B1908" s="9">
        <v>84.0</v>
      </c>
      <c r="C1908" s="9">
        <v>82.0</v>
      </c>
      <c r="D1908" s="9">
        <v>48.0</v>
      </c>
      <c r="E1908" s="9">
        <v>3.0</v>
      </c>
      <c r="F1908" s="14"/>
      <c r="G1908" s="15"/>
      <c r="H1908" s="15"/>
      <c r="I1908" s="14"/>
      <c r="P1908" s="14"/>
    </row>
    <row r="1909" ht="18.75" customHeight="1">
      <c r="A1909" s="7" t="s">
        <v>3238</v>
      </c>
      <c r="B1909" s="9">
        <v>56.0</v>
      </c>
      <c r="C1909" s="9">
        <v>55.0</v>
      </c>
      <c r="D1909" s="9">
        <v>34.0</v>
      </c>
      <c r="E1909" s="9">
        <v>1.0</v>
      </c>
      <c r="F1909" s="14"/>
      <c r="G1909" s="15"/>
      <c r="H1909" s="15"/>
      <c r="I1909" s="14"/>
      <c r="P1909" s="14"/>
    </row>
    <row r="1910" ht="18.75" customHeight="1">
      <c r="A1910" s="7" t="s">
        <v>3239</v>
      </c>
      <c r="B1910" s="9">
        <v>67.0</v>
      </c>
      <c r="C1910" s="9">
        <v>66.0</v>
      </c>
      <c r="D1910" s="9">
        <v>31.0</v>
      </c>
      <c r="E1910" s="9">
        <v>1.0</v>
      </c>
      <c r="F1910" s="14"/>
      <c r="G1910" s="15"/>
      <c r="H1910" s="15"/>
      <c r="I1910" s="14"/>
      <c r="P1910" s="14"/>
    </row>
    <row r="1911" ht="18.75" customHeight="1">
      <c r="A1911" s="7" t="s">
        <v>3240</v>
      </c>
      <c r="B1911" s="9">
        <v>60.0</v>
      </c>
      <c r="C1911" s="9">
        <v>60.0</v>
      </c>
      <c r="D1911" s="9">
        <v>42.0</v>
      </c>
      <c r="E1911" s="9">
        <v>0.0</v>
      </c>
      <c r="F1911" s="14"/>
      <c r="G1911" s="15"/>
      <c r="H1911" s="15"/>
      <c r="I1911" s="14"/>
      <c r="P1911" s="14"/>
    </row>
    <row r="1912" ht="18.75" customHeight="1">
      <c r="A1912" s="7" t="s">
        <v>3241</v>
      </c>
      <c r="B1912" s="9">
        <v>123.0</v>
      </c>
      <c r="C1912" s="9">
        <v>122.0</v>
      </c>
      <c r="D1912" s="9">
        <v>69.0</v>
      </c>
      <c r="E1912" s="9">
        <v>4.0</v>
      </c>
      <c r="F1912" s="14"/>
      <c r="G1912" s="15"/>
      <c r="H1912" s="15"/>
      <c r="I1912" s="14"/>
      <c r="P1912" s="14"/>
    </row>
    <row r="1913" ht="18.75" customHeight="1">
      <c r="A1913" s="7" t="s">
        <v>2825</v>
      </c>
      <c r="B1913" s="9">
        <v>227.0</v>
      </c>
      <c r="C1913" s="9">
        <v>227.0</v>
      </c>
      <c r="D1913" s="9">
        <v>131.0</v>
      </c>
      <c r="E1913" s="9">
        <v>0.0</v>
      </c>
      <c r="F1913" s="14"/>
      <c r="G1913" s="15"/>
      <c r="H1913" s="15"/>
      <c r="I1913" s="14"/>
      <c r="P1913" s="14"/>
    </row>
    <row r="1914" ht="18.75" customHeight="1">
      <c r="A1914" s="7" t="s">
        <v>2826</v>
      </c>
      <c r="B1914" s="9">
        <v>59.0</v>
      </c>
      <c r="C1914" s="9">
        <v>59.0</v>
      </c>
      <c r="D1914" s="9">
        <v>42.0</v>
      </c>
      <c r="E1914" s="9">
        <v>2.0</v>
      </c>
      <c r="F1914" s="14"/>
      <c r="G1914" s="15"/>
      <c r="H1914" s="15"/>
      <c r="I1914" s="14"/>
      <c r="P1914" s="14"/>
    </row>
    <row r="1915" ht="18.75" customHeight="1">
      <c r="A1915" s="7" t="s">
        <v>3234</v>
      </c>
      <c r="B1915" s="9">
        <v>48.0</v>
      </c>
      <c r="C1915" s="9">
        <v>48.0</v>
      </c>
      <c r="D1915" s="9">
        <v>23.0</v>
      </c>
      <c r="E1915" s="9">
        <v>1.0</v>
      </c>
      <c r="F1915" s="14"/>
      <c r="G1915" s="15"/>
      <c r="H1915" s="15"/>
      <c r="I1915" s="14"/>
      <c r="P1915" s="14"/>
    </row>
    <row r="1916" ht="18.75" customHeight="1">
      <c r="A1916" s="7" t="s">
        <v>3183</v>
      </c>
      <c r="B1916" s="9">
        <v>60.0</v>
      </c>
      <c r="C1916" s="9">
        <v>59.0</v>
      </c>
      <c r="D1916" s="9">
        <v>35.0</v>
      </c>
      <c r="E1916" s="9">
        <v>2.0</v>
      </c>
      <c r="F1916" s="14"/>
      <c r="G1916" s="15"/>
      <c r="H1916" s="15"/>
      <c r="I1916" s="14"/>
      <c r="P1916" s="14"/>
    </row>
    <row r="1917" ht="18.75" customHeight="1">
      <c r="A1917" s="7" t="s">
        <v>3236</v>
      </c>
      <c r="B1917" s="9">
        <v>29.0</v>
      </c>
      <c r="C1917" s="9">
        <v>29.0</v>
      </c>
      <c r="D1917" s="9">
        <v>11.0</v>
      </c>
      <c r="E1917" s="9">
        <v>0.0</v>
      </c>
      <c r="F1917" s="14"/>
      <c r="G1917" s="15"/>
      <c r="H1917" s="15"/>
      <c r="I1917" s="14"/>
      <c r="P1917" s="14"/>
    </row>
    <row r="1918" ht="18.75" customHeight="1">
      <c r="A1918" s="7" t="s">
        <v>3237</v>
      </c>
      <c r="B1918" s="9">
        <v>63.0</v>
      </c>
      <c r="C1918" s="9">
        <v>62.0</v>
      </c>
      <c r="D1918" s="9">
        <v>27.0</v>
      </c>
      <c r="E1918" s="9">
        <v>0.0</v>
      </c>
      <c r="F1918" s="14"/>
      <c r="G1918" s="15"/>
      <c r="H1918" s="15"/>
      <c r="I1918" s="14"/>
      <c r="P1918" s="14"/>
    </row>
    <row r="1919" ht="18.75" customHeight="1">
      <c r="A1919" s="7" t="s">
        <v>3242</v>
      </c>
      <c r="B1919" s="9">
        <v>75.0</v>
      </c>
      <c r="C1919" s="9">
        <v>74.0</v>
      </c>
      <c r="D1919" s="9">
        <v>47.0</v>
      </c>
      <c r="E1919" s="9">
        <v>3.0</v>
      </c>
      <c r="F1919" s="14"/>
      <c r="G1919" s="15"/>
      <c r="H1919" s="15"/>
      <c r="I1919" s="14"/>
      <c r="P1919" s="14"/>
    </row>
    <row r="1920" ht="18.75" customHeight="1">
      <c r="A1920" s="7" t="s">
        <v>3238</v>
      </c>
      <c r="B1920" s="9">
        <v>56.0</v>
      </c>
      <c r="C1920" s="9">
        <v>55.0</v>
      </c>
      <c r="D1920" s="9">
        <v>26.0</v>
      </c>
      <c r="E1920" s="9">
        <v>3.0</v>
      </c>
      <c r="F1920" s="14"/>
      <c r="G1920" s="15"/>
      <c r="H1920" s="15"/>
      <c r="I1920" s="14"/>
      <c r="P1920" s="14"/>
    </row>
    <row r="1921" ht="18.75" customHeight="1">
      <c r="A1921" s="7" t="s">
        <v>3239</v>
      </c>
      <c r="B1921" s="9">
        <v>66.0</v>
      </c>
      <c r="C1921" s="9">
        <v>65.0</v>
      </c>
      <c r="D1921" s="9">
        <v>27.0</v>
      </c>
      <c r="E1921" s="9">
        <v>2.0</v>
      </c>
      <c r="F1921" s="14"/>
      <c r="G1921" s="15"/>
      <c r="H1921" s="15"/>
      <c r="I1921" s="14"/>
      <c r="P1921" s="14"/>
    </row>
    <row r="1922" ht="18.75" customHeight="1">
      <c r="A1922" s="7" t="s">
        <v>3233</v>
      </c>
      <c r="B1922" s="9">
        <v>73.0</v>
      </c>
      <c r="C1922" s="9">
        <v>72.0</v>
      </c>
      <c r="D1922" s="9">
        <v>35.0</v>
      </c>
      <c r="E1922" s="9">
        <v>3.0</v>
      </c>
      <c r="F1922" s="14"/>
      <c r="G1922" s="15"/>
      <c r="H1922" s="15"/>
      <c r="I1922" s="14"/>
      <c r="P1922" s="14"/>
    </row>
    <row r="1923" ht="18.75" customHeight="1">
      <c r="A1923" s="7" t="s">
        <v>3243</v>
      </c>
      <c r="B1923" s="9">
        <v>121.0</v>
      </c>
      <c r="C1923" s="9">
        <v>121.0</v>
      </c>
      <c r="D1923" s="9">
        <v>66.0</v>
      </c>
      <c r="E1923" s="9">
        <v>2.0</v>
      </c>
      <c r="F1923" s="14"/>
      <c r="G1923" s="15"/>
      <c r="H1923" s="15"/>
      <c r="I1923" s="14"/>
      <c r="P1923" s="14"/>
    </row>
    <row r="1924" ht="18.75" customHeight="1">
      <c r="A1924" s="7" t="s">
        <v>3244</v>
      </c>
      <c r="B1924" s="9">
        <v>41.0</v>
      </c>
      <c r="C1924" s="9">
        <v>41.0</v>
      </c>
      <c r="D1924" s="9">
        <v>28.0</v>
      </c>
      <c r="E1924" s="9">
        <v>0.0</v>
      </c>
      <c r="F1924" s="14"/>
      <c r="G1924" s="15"/>
      <c r="H1924" s="15"/>
      <c r="I1924" s="14"/>
      <c r="P1924" s="14"/>
    </row>
    <row r="1925" ht="18.75" customHeight="1">
      <c r="A1925" s="7" t="s">
        <v>3245</v>
      </c>
      <c r="B1925" s="9">
        <v>25.0</v>
      </c>
      <c r="C1925" s="9">
        <v>25.0</v>
      </c>
      <c r="D1925" s="9">
        <v>15.0</v>
      </c>
      <c r="E1925" s="9">
        <v>0.0</v>
      </c>
      <c r="F1925" s="14"/>
      <c r="G1925" s="15"/>
      <c r="H1925" s="15"/>
      <c r="I1925" s="14"/>
      <c r="P1925" s="14"/>
    </row>
    <row r="1926" ht="18.75" customHeight="1">
      <c r="A1926" s="7" t="s">
        <v>3246</v>
      </c>
      <c r="B1926" s="9">
        <v>55.0</v>
      </c>
      <c r="C1926" s="9">
        <v>55.0</v>
      </c>
      <c r="D1926" s="9">
        <v>44.0</v>
      </c>
      <c r="E1926" s="9">
        <v>0.0</v>
      </c>
      <c r="F1926" s="14"/>
      <c r="G1926" s="15"/>
      <c r="H1926" s="15"/>
      <c r="I1926" s="14"/>
      <c r="P1926" s="14"/>
    </row>
    <row r="1927" ht="18.75" customHeight="1">
      <c r="A1927" s="7" t="s">
        <v>3240</v>
      </c>
      <c r="B1927" s="9">
        <v>59.0</v>
      </c>
      <c r="C1927" s="9">
        <v>59.0</v>
      </c>
      <c r="D1927" s="9">
        <v>35.0</v>
      </c>
      <c r="E1927" s="9">
        <v>1.0</v>
      </c>
      <c r="F1927" s="14"/>
      <c r="G1927" s="15"/>
      <c r="H1927" s="15"/>
      <c r="I1927" s="14"/>
      <c r="P1927" s="14"/>
    </row>
    <row r="1928" ht="18.75" customHeight="1">
      <c r="A1928" s="7" t="s">
        <v>3242</v>
      </c>
      <c r="B1928" s="9">
        <v>75.0</v>
      </c>
      <c r="C1928" s="9">
        <v>74.0</v>
      </c>
      <c r="D1928" s="9">
        <v>36.0</v>
      </c>
      <c r="E1928" s="9">
        <v>3.0</v>
      </c>
      <c r="F1928" s="14"/>
      <c r="G1928" s="15"/>
      <c r="H1928" s="15"/>
      <c r="I1928" s="14"/>
      <c r="P1928" s="14"/>
    </row>
    <row r="1929" ht="18.75" customHeight="1">
      <c r="A1929" s="7" t="s">
        <v>2781</v>
      </c>
      <c r="B1929" s="9">
        <v>80.0</v>
      </c>
      <c r="C1929" s="9">
        <v>80.0</v>
      </c>
      <c r="D1929" s="9">
        <v>47.0</v>
      </c>
      <c r="E1929" s="9">
        <v>0.0</v>
      </c>
      <c r="F1929" s="14"/>
      <c r="G1929" s="15"/>
      <c r="H1929" s="15"/>
      <c r="I1929" s="14"/>
      <c r="P1929" s="14"/>
    </row>
    <row r="1930" ht="18.75" customHeight="1">
      <c r="A1930" s="7" t="s">
        <v>3245</v>
      </c>
      <c r="B1930" s="9">
        <v>25.0</v>
      </c>
      <c r="C1930" s="9">
        <v>25.0</v>
      </c>
      <c r="D1930" s="9">
        <v>15.0</v>
      </c>
      <c r="E1930" s="9">
        <v>0.0</v>
      </c>
      <c r="F1930" s="14"/>
      <c r="G1930" s="15"/>
      <c r="H1930" s="15"/>
      <c r="I1930" s="14"/>
      <c r="P1930" s="14"/>
    </row>
    <row r="1931" ht="18.75" customHeight="1">
      <c r="A1931" s="7" t="s">
        <v>3246</v>
      </c>
      <c r="B1931" s="9">
        <v>55.0</v>
      </c>
      <c r="C1931" s="9">
        <v>55.0</v>
      </c>
      <c r="D1931" s="9">
        <v>31.0</v>
      </c>
      <c r="E1931" s="9">
        <v>1.0</v>
      </c>
      <c r="F1931" s="14"/>
      <c r="G1931" s="15"/>
      <c r="H1931" s="15"/>
      <c r="I1931" s="14"/>
      <c r="P1931" s="14"/>
    </row>
    <row r="1932" ht="18.75" customHeight="1">
      <c r="A1932" s="7" t="s">
        <v>3247</v>
      </c>
      <c r="B1932" s="9">
        <v>74.0</v>
      </c>
      <c r="C1932" s="9">
        <v>73.0</v>
      </c>
      <c r="D1932" s="9">
        <v>34.0</v>
      </c>
      <c r="E1932" s="9">
        <v>1.0</v>
      </c>
      <c r="F1932" s="14"/>
      <c r="G1932" s="15"/>
      <c r="H1932" s="15"/>
      <c r="I1932" s="14"/>
      <c r="P1932" s="14"/>
    </row>
    <row r="1933" ht="18.75" customHeight="1">
      <c r="A1933" s="7" t="s">
        <v>3248</v>
      </c>
      <c r="B1933" s="9">
        <v>53.0</v>
      </c>
      <c r="C1933" s="9">
        <v>52.0</v>
      </c>
      <c r="D1933" s="9">
        <v>28.0</v>
      </c>
      <c r="E1933" s="9">
        <v>1.0</v>
      </c>
      <c r="F1933" s="14"/>
      <c r="G1933" s="15"/>
      <c r="H1933" s="15"/>
      <c r="I1933" s="14"/>
      <c r="P1933" s="14"/>
    </row>
    <row r="1934" ht="18.75" customHeight="1">
      <c r="A1934" s="7" t="s">
        <v>3244</v>
      </c>
      <c r="B1934" s="9">
        <v>41.0</v>
      </c>
      <c r="C1934" s="9">
        <v>41.0</v>
      </c>
      <c r="D1934" s="9">
        <v>23.0</v>
      </c>
      <c r="E1934" s="9">
        <v>2.0</v>
      </c>
      <c r="F1934" s="14"/>
      <c r="G1934" s="15"/>
      <c r="H1934" s="15"/>
      <c r="I1934" s="14"/>
      <c r="P1934" s="14"/>
    </row>
    <row r="1935" ht="18.75" customHeight="1">
      <c r="A1935" s="7" t="s">
        <v>3249</v>
      </c>
      <c r="B1935" s="9">
        <v>156.0</v>
      </c>
      <c r="C1935" s="9">
        <v>155.0</v>
      </c>
      <c r="D1935" s="9">
        <v>86.0</v>
      </c>
      <c r="E1935" s="9">
        <v>8.0</v>
      </c>
      <c r="F1935" s="14"/>
      <c r="G1935" s="15"/>
      <c r="H1935" s="15"/>
      <c r="I1935" s="14"/>
      <c r="P1935" s="14"/>
    </row>
    <row r="1936" ht="18.75" customHeight="1">
      <c r="A1936" s="7" t="s">
        <v>2822</v>
      </c>
      <c r="B1936" s="9">
        <v>100.0</v>
      </c>
      <c r="C1936" s="9">
        <v>99.0</v>
      </c>
      <c r="D1936" s="9">
        <v>63.0</v>
      </c>
      <c r="E1936" s="9">
        <v>0.0</v>
      </c>
      <c r="F1936" s="14"/>
      <c r="G1936" s="15"/>
      <c r="H1936" s="15"/>
      <c r="I1936" s="14"/>
      <c r="P1936" s="14"/>
    </row>
    <row r="1937" ht="18.75" customHeight="1">
      <c r="A1937" s="7" t="s">
        <v>2826</v>
      </c>
      <c r="B1937" s="9">
        <v>59.0</v>
      </c>
      <c r="C1937" s="9">
        <v>59.0</v>
      </c>
      <c r="D1937" s="9">
        <v>36.0</v>
      </c>
      <c r="E1937" s="9">
        <v>2.0</v>
      </c>
      <c r="F1937" s="14"/>
      <c r="G1937" s="15"/>
      <c r="H1937" s="15"/>
      <c r="I1937" s="14"/>
      <c r="P1937" s="14"/>
    </row>
    <row r="1938" ht="18.75" customHeight="1">
      <c r="A1938" s="7" t="s">
        <v>2971</v>
      </c>
      <c r="B1938" s="9">
        <v>123.0</v>
      </c>
      <c r="C1938" s="9">
        <v>123.0</v>
      </c>
      <c r="D1938" s="9">
        <v>98.0</v>
      </c>
      <c r="E1938" s="9">
        <v>0.0</v>
      </c>
      <c r="F1938" s="14"/>
      <c r="G1938" s="15"/>
      <c r="H1938" s="15"/>
      <c r="I1938" s="14"/>
      <c r="P1938" s="14"/>
    </row>
    <row r="1939" ht="18.75" customHeight="1">
      <c r="A1939" s="7" t="s">
        <v>3188</v>
      </c>
      <c r="B1939" s="9">
        <v>85.0</v>
      </c>
      <c r="C1939" s="9">
        <v>84.0</v>
      </c>
      <c r="D1939" s="9">
        <v>43.0</v>
      </c>
      <c r="E1939" s="9">
        <v>2.0</v>
      </c>
      <c r="F1939" s="14"/>
      <c r="G1939" s="15"/>
      <c r="H1939" s="15"/>
      <c r="I1939" s="14"/>
      <c r="P1939" s="14"/>
    </row>
    <row r="1940" ht="18.75" customHeight="1">
      <c r="A1940" s="7" t="s">
        <v>3250</v>
      </c>
      <c r="B1940" s="9">
        <v>137.0</v>
      </c>
      <c r="C1940" s="9">
        <v>136.0</v>
      </c>
      <c r="D1940" s="9">
        <v>71.0</v>
      </c>
      <c r="E1940" s="9">
        <v>1.0</v>
      </c>
      <c r="F1940" s="14"/>
      <c r="G1940" s="15"/>
      <c r="H1940" s="15"/>
      <c r="I1940" s="14"/>
      <c r="P1940" s="14"/>
    </row>
    <row r="1941" ht="18.75" customHeight="1">
      <c r="A1941" s="7" t="s">
        <v>2830</v>
      </c>
      <c r="B1941" s="9">
        <v>126.0</v>
      </c>
      <c r="C1941" s="9">
        <v>126.0</v>
      </c>
      <c r="D1941" s="9">
        <v>79.0</v>
      </c>
      <c r="E1941" s="9">
        <v>1.0</v>
      </c>
      <c r="F1941" s="14"/>
      <c r="G1941" s="15"/>
      <c r="H1941" s="15"/>
      <c r="I1941" s="14"/>
      <c r="P1941" s="14"/>
    </row>
    <row r="1942" ht="18.75" customHeight="1">
      <c r="A1942" s="7" t="s">
        <v>3251</v>
      </c>
      <c r="B1942" s="9">
        <v>163.0</v>
      </c>
      <c r="C1942" s="9">
        <v>163.0</v>
      </c>
      <c r="D1942" s="9">
        <v>123.0</v>
      </c>
      <c r="E1942" s="9">
        <v>1.0</v>
      </c>
      <c r="F1942" s="14"/>
      <c r="G1942" s="15"/>
      <c r="H1942" s="15"/>
      <c r="I1942" s="14"/>
      <c r="P1942" s="14"/>
    </row>
    <row r="1943" ht="18.75" customHeight="1">
      <c r="A1943" s="7" t="s">
        <v>2781</v>
      </c>
      <c r="B1943" s="9">
        <v>80.0</v>
      </c>
      <c r="C1943" s="9">
        <v>80.0</v>
      </c>
      <c r="D1943" s="9">
        <v>39.0</v>
      </c>
      <c r="E1943" s="9">
        <v>0.0</v>
      </c>
      <c r="F1943" s="14"/>
      <c r="G1943" s="15"/>
      <c r="H1943" s="15"/>
      <c r="I1943" s="14"/>
      <c r="P1943" s="14"/>
    </row>
    <row r="1944" ht="18.75" customHeight="1">
      <c r="A1944" s="7" t="s">
        <v>3250</v>
      </c>
      <c r="B1944" s="9">
        <v>137.0</v>
      </c>
      <c r="C1944" s="9">
        <v>136.0</v>
      </c>
      <c r="D1944" s="9">
        <v>74.0</v>
      </c>
      <c r="E1944" s="9">
        <v>6.0</v>
      </c>
      <c r="F1944" s="14"/>
      <c r="G1944" s="15"/>
      <c r="H1944" s="15"/>
      <c r="I1944" s="14"/>
      <c r="P1944" s="14"/>
    </row>
    <row r="1945" ht="18.75" customHeight="1">
      <c r="A1945" s="7" t="s">
        <v>3252</v>
      </c>
      <c r="B1945" s="9">
        <v>97.0</v>
      </c>
      <c r="C1945" s="9">
        <v>96.0</v>
      </c>
      <c r="D1945" s="9">
        <v>60.0</v>
      </c>
      <c r="E1945" s="9">
        <v>1.0</v>
      </c>
      <c r="F1945" s="14"/>
      <c r="G1945" s="15"/>
      <c r="H1945" s="15"/>
      <c r="I1945" s="14"/>
      <c r="P1945" s="14"/>
    </row>
    <row r="1946" ht="18.75" customHeight="1">
      <c r="A1946" s="7" t="s">
        <v>2788</v>
      </c>
      <c r="B1946" s="9">
        <v>174.0</v>
      </c>
      <c r="C1946" s="9">
        <v>174.0</v>
      </c>
      <c r="D1946" s="9">
        <v>108.0</v>
      </c>
      <c r="E1946" s="9">
        <v>6.0</v>
      </c>
      <c r="F1946" s="14"/>
      <c r="G1946" s="15"/>
      <c r="H1946" s="15"/>
      <c r="I1946" s="14"/>
      <c r="P1946" s="14"/>
    </row>
    <row r="1947" ht="18.75" customHeight="1">
      <c r="A1947" s="7" t="s">
        <v>3252</v>
      </c>
      <c r="B1947" s="9">
        <v>97.0</v>
      </c>
      <c r="C1947" s="9">
        <v>96.0</v>
      </c>
      <c r="D1947" s="9">
        <v>54.0</v>
      </c>
      <c r="E1947" s="9">
        <v>1.0</v>
      </c>
      <c r="F1947" s="14"/>
      <c r="G1947" s="15"/>
      <c r="H1947" s="15"/>
      <c r="I1947" s="14"/>
      <c r="P1947" s="14"/>
    </row>
    <row r="1948" ht="18.75" customHeight="1">
      <c r="A1948" s="7" t="s">
        <v>3251</v>
      </c>
      <c r="B1948" s="9">
        <v>162.0</v>
      </c>
      <c r="C1948" s="9">
        <v>162.0</v>
      </c>
      <c r="D1948" s="9">
        <v>86.0</v>
      </c>
      <c r="E1948" s="9">
        <v>3.0</v>
      </c>
      <c r="F1948" s="14"/>
      <c r="G1948" s="15"/>
      <c r="H1948" s="15"/>
      <c r="I1948" s="14"/>
      <c r="P1948" s="14"/>
    </row>
    <row r="1949" ht="18.75" customHeight="1">
      <c r="A1949" s="7" t="s">
        <v>3253</v>
      </c>
      <c r="B1949" s="9">
        <v>280.0</v>
      </c>
      <c r="C1949" s="9">
        <v>280.0</v>
      </c>
      <c r="D1949" s="9">
        <v>198.0</v>
      </c>
      <c r="E1949" s="9">
        <v>1.0</v>
      </c>
      <c r="F1949" s="14"/>
      <c r="G1949" s="15"/>
      <c r="H1949" s="15"/>
      <c r="I1949" s="14"/>
      <c r="P1949" s="14"/>
    </row>
    <row r="1950" ht="18.75" customHeight="1">
      <c r="A1950" s="7" t="s">
        <v>2830</v>
      </c>
      <c r="B1950" s="9">
        <v>125.0</v>
      </c>
      <c r="C1950" s="9">
        <v>125.0</v>
      </c>
      <c r="D1950" s="9">
        <v>68.0</v>
      </c>
      <c r="E1950" s="9">
        <v>1.0</v>
      </c>
      <c r="F1950" s="14"/>
      <c r="G1950" s="15"/>
      <c r="H1950" s="15"/>
      <c r="I1950" s="14"/>
      <c r="P1950" s="14"/>
    </row>
    <row r="1951" ht="18.75" customHeight="1">
      <c r="A1951" s="7" t="s">
        <v>3254</v>
      </c>
      <c r="B1951" s="9">
        <v>73.0</v>
      </c>
      <c r="C1951" s="9">
        <v>73.0</v>
      </c>
      <c r="D1951" s="9">
        <v>51.0</v>
      </c>
      <c r="E1951" s="9">
        <v>1.0</v>
      </c>
      <c r="F1951" s="14"/>
      <c r="G1951" s="15"/>
      <c r="H1951" s="15"/>
      <c r="I1951" s="14"/>
      <c r="P1951" s="14"/>
    </row>
    <row r="1952" ht="18.75" customHeight="1">
      <c r="A1952" s="7" t="s">
        <v>3255</v>
      </c>
      <c r="B1952" s="9">
        <v>74.0</v>
      </c>
      <c r="C1952" s="9">
        <v>73.0</v>
      </c>
      <c r="D1952" s="9">
        <v>41.0</v>
      </c>
      <c r="E1952" s="9">
        <v>1.0</v>
      </c>
      <c r="F1952" s="14"/>
      <c r="G1952" s="15"/>
      <c r="H1952" s="15"/>
      <c r="I1952" s="14"/>
      <c r="P1952" s="14"/>
    </row>
    <row r="1953" ht="18.75" customHeight="1">
      <c r="A1953" s="7" t="s">
        <v>3253</v>
      </c>
      <c r="B1953" s="9">
        <v>280.0</v>
      </c>
      <c r="C1953" s="9">
        <v>280.0</v>
      </c>
      <c r="D1953" s="9">
        <v>157.0</v>
      </c>
      <c r="E1953" s="9">
        <v>0.0</v>
      </c>
      <c r="F1953" s="14"/>
      <c r="G1953" s="15"/>
      <c r="H1953" s="15"/>
      <c r="I1953" s="14"/>
      <c r="P1953" s="14"/>
    </row>
    <row r="1954" ht="18.75" customHeight="1">
      <c r="A1954" s="7" t="s">
        <v>3256</v>
      </c>
      <c r="B1954" s="9">
        <v>98.0</v>
      </c>
      <c r="C1954" s="9">
        <v>97.0</v>
      </c>
      <c r="D1954" s="9">
        <v>58.0</v>
      </c>
      <c r="E1954" s="9">
        <v>1.0</v>
      </c>
      <c r="F1954" s="14"/>
      <c r="G1954" s="15"/>
      <c r="H1954" s="15"/>
      <c r="I1954" s="14"/>
      <c r="P1954" s="14"/>
    </row>
    <row r="1955" ht="18.75" customHeight="1">
      <c r="A1955" s="7" t="s">
        <v>3257</v>
      </c>
      <c r="B1955" s="9">
        <v>98.0</v>
      </c>
      <c r="C1955" s="9">
        <v>97.0</v>
      </c>
      <c r="D1955" s="9">
        <v>68.0</v>
      </c>
      <c r="E1955" s="9">
        <v>1.0</v>
      </c>
      <c r="F1955" s="14"/>
      <c r="G1955" s="15"/>
      <c r="H1955" s="15"/>
      <c r="I1955" s="14"/>
      <c r="P1955" s="14"/>
    </row>
    <row r="1956" ht="18.75" customHeight="1">
      <c r="A1956" s="7" t="s">
        <v>3258</v>
      </c>
      <c r="B1956" s="9">
        <v>112.0</v>
      </c>
      <c r="C1956" s="9">
        <v>111.0</v>
      </c>
      <c r="D1956" s="9">
        <v>75.0</v>
      </c>
      <c r="E1956" s="9">
        <v>1.0</v>
      </c>
      <c r="F1956" s="14"/>
      <c r="G1956" s="15"/>
      <c r="H1956" s="15"/>
      <c r="I1956" s="14"/>
      <c r="P1956" s="14"/>
    </row>
    <row r="1957" ht="18.75" customHeight="1">
      <c r="A1957" s="7" t="s">
        <v>3254</v>
      </c>
      <c r="B1957" s="9">
        <v>74.0</v>
      </c>
      <c r="C1957" s="9">
        <v>74.0</v>
      </c>
      <c r="D1957" s="9">
        <v>38.0</v>
      </c>
      <c r="E1957" s="9">
        <v>0.0</v>
      </c>
      <c r="F1957" s="14"/>
      <c r="G1957" s="15"/>
      <c r="H1957" s="15"/>
      <c r="I1957" s="14"/>
      <c r="P1957" s="14"/>
    </row>
    <row r="1958" ht="18.75" customHeight="1">
      <c r="A1958" s="7" t="s">
        <v>3259</v>
      </c>
      <c r="B1958" s="9">
        <v>207.0</v>
      </c>
      <c r="C1958" s="9">
        <v>206.0</v>
      </c>
      <c r="D1958" s="9">
        <v>107.0</v>
      </c>
      <c r="E1958" s="9">
        <v>1.0</v>
      </c>
      <c r="F1958" s="14"/>
      <c r="G1958" s="15"/>
      <c r="H1958" s="15"/>
      <c r="I1958" s="14"/>
      <c r="P1958" s="14"/>
    </row>
    <row r="1959" ht="18.75" customHeight="1">
      <c r="A1959" s="7" t="s">
        <v>3255</v>
      </c>
      <c r="B1959" s="9">
        <v>74.0</v>
      </c>
      <c r="C1959" s="9">
        <v>72.0</v>
      </c>
      <c r="D1959" s="9">
        <v>44.0</v>
      </c>
      <c r="E1959" s="9">
        <v>1.0</v>
      </c>
      <c r="F1959" s="14"/>
      <c r="G1959" s="15"/>
      <c r="H1959" s="15"/>
      <c r="I1959" s="14"/>
      <c r="P1959" s="14"/>
    </row>
    <row r="1960" ht="18.75" customHeight="1">
      <c r="A1960" s="7" t="s">
        <v>2812</v>
      </c>
      <c r="B1960" s="9">
        <v>240.0</v>
      </c>
      <c r="C1960" s="9">
        <v>239.0</v>
      </c>
      <c r="D1960" s="9">
        <v>136.0</v>
      </c>
      <c r="E1960" s="9">
        <v>1.0</v>
      </c>
      <c r="F1960" s="14"/>
      <c r="G1960" s="15"/>
      <c r="H1960" s="15"/>
      <c r="I1960" s="14"/>
      <c r="P1960" s="14"/>
    </row>
    <row r="1961" ht="18.75" customHeight="1">
      <c r="A1961" s="7" t="s">
        <v>2811</v>
      </c>
      <c r="B1961" s="9">
        <v>131.0</v>
      </c>
      <c r="C1961" s="9">
        <v>131.0</v>
      </c>
      <c r="D1961" s="9">
        <v>79.0</v>
      </c>
      <c r="E1961" s="9">
        <v>1.0</v>
      </c>
      <c r="F1961" s="14"/>
      <c r="G1961" s="15"/>
      <c r="H1961" s="15"/>
      <c r="I1961" s="14"/>
      <c r="P1961" s="14"/>
    </row>
    <row r="1962" ht="18.75" customHeight="1">
      <c r="A1962" s="7" t="s">
        <v>3260</v>
      </c>
      <c r="B1962" s="9">
        <v>163.0</v>
      </c>
      <c r="C1962" s="9">
        <v>163.0</v>
      </c>
      <c r="D1962" s="9">
        <v>124.0</v>
      </c>
      <c r="E1962" s="9">
        <v>5.0</v>
      </c>
      <c r="F1962" s="14"/>
      <c r="G1962" s="15"/>
      <c r="H1962" s="15"/>
      <c r="I1962" s="14"/>
      <c r="P1962" s="14"/>
    </row>
    <row r="1963" ht="18.75" customHeight="1">
      <c r="A1963" s="7" t="s">
        <v>3261</v>
      </c>
      <c r="B1963" s="9">
        <v>136.0</v>
      </c>
      <c r="C1963" s="9">
        <v>136.0</v>
      </c>
      <c r="D1963" s="9">
        <v>93.0</v>
      </c>
      <c r="E1963" s="9">
        <v>2.0</v>
      </c>
      <c r="F1963" s="14"/>
      <c r="G1963" s="15"/>
      <c r="H1963" s="15"/>
      <c r="I1963" s="14"/>
      <c r="P1963" s="14"/>
    </row>
    <row r="1964" ht="18.75" customHeight="1">
      <c r="A1964" s="7" t="s">
        <v>2812</v>
      </c>
      <c r="B1964" s="9">
        <v>236.0</v>
      </c>
      <c r="C1964" s="9">
        <v>233.0</v>
      </c>
      <c r="D1964" s="9">
        <v>126.0</v>
      </c>
      <c r="E1964" s="9">
        <v>2.0</v>
      </c>
      <c r="F1964" s="14"/>
      <c r="G1964" s="15"/>
      <c r="H1964" s="15"/>
      <c r="I1964" s="14"/>
      <c r="P1964" s="14"/>
    </row>
    <row r="1965" ht="18.75" customHeight="1">
      <c r="A1965" s="7" t="s">
        <v>2813</v>
      </c>
      <c r="B1965" s="9">
        <v>146.0</v>
      </c>
      <c r="C1965" s="9">
        <v>146.0</v>
      </c>
      <c r="D1965" s="9">
        <v>100.0</v>
      </c>
      <c r="E1965" s="9">
        <v>0.0</v>
      </c>
      <c r="F1965" s="14"/>
      <c r="G1965" s="15"/>
      <c r="H1965" s="15"/>
      <c r="I1965" s="14"/>
      <c r="P1965" s="14"/>
    </row>
    <row r="1966" ht="18.75" customHeight="1">
      <c r="A1966" s="7" t="s">
        <v>3262</v>
      </c>
      <c r="B1966" s="9">
        <v>157.0</v>
      </c>
      <c r="C1966" s="9">
        <v>156.0</v>
      </c>
      <c r="D1966" s="9">
        <v>109.0</v>
      </c>
      <c r="E1966" s="9">
        <v>0.0</v>
      </c>
      <c r="F1966" s="14"/>
      <c r="G1966" s="15"/>
      <c r="H1966" s="15"/>
      <c r="I1966" s="14"/>
      <c r="P1966" s="14"/>
    </row>
    <row r="1967" ht="18.75" customHeight="1">
      <c r="A1967" s="7" t="s">
        <v>2972</v>
      </c>
      <c r="B1967" s="9">
        <v>118.0</v>
      </c>
      <c r="C1967" s="9">
        <v>117.0</v>
      </c>
      <c r="D1967" s="9">
        <v>69.0</v>
      </c>
      <c r="E1967" s="9">
        <v>4.0</v>
      </c>
      <c r="F1967" s="14"/>
      <c r="G1967" s="15"/>
      <c r="H1967" s="15"/>
      <c r="I1967" s="14"/>
      <c r="P1967" s="14"/>
    </row>
    <row r="1968" ht="18.75" customHeight="1">
      <c r="A1968" s="7" t="s">
        <v>3260</v>
      </c>
      <c r="B1968" s="9">
        <v>163.0</v>
      </c>
      <c r="C1968" s="9">
        <v>163.0</v>
      </c>
      <c r="D1968" s="9">
        <v>96.0</v>
      </c>
      <c r="E1968" s="9">
        <v>5.0</v>
      </c>
      <c r="F1968" s="14"/>
      <c r="G1968" s="15"/>
      <c r="H1968" s="15"/>
      <c r="I1968" s="14"/>
      <c r="P1968" s="14"/>
    </row>
    <row r="1969" ht="18.75" customHeight="1">
      <c r="A1969" s="7" t="s">
        <v>2964</v>
      </c>
      <c r="B1969" s="9">
        <v>102.0</v>
      </c>
      <c r="C1969" s="9">
        <v>101.0</v>
      </c>
      <c r="D1969" s="9">
        <v>65.0</v>
      </c>
      <c r="E1969" s="9">
        <v>2.0</v>
      </c>
      <c r="F1969" s="14"/>
      <c r="G1969" s="15"/>
      <c r="H1969" s="15"/>
      <c r="I1969" s="14"/>
      <c r="P1969" s="14"/>
    </row>
    <row r="1970" ht="18.75" customHeight="1">
      <c r="A1970" s="7" t="s">
        <v>2756</v>
      </c>
      <c r="B1970" s="9">
        <v>169.0</v>
      </c>
      <c r="C1970" s="9">
        <v>169.0</v>
      </c>
      <c r="D1970" s="9">
        <v>93.0</v>
      </c>
      <c r="E1970" s="9">
        <v>1.0</v>
      </c>
      <c r="F1970" s="14"/>
      <c r="G1970" s="15"/>
      <c r="H1970" s="15"/>
      <c r="I1970" s="14"/>
      <c r="P1970" s="14"/>
    </row>
    <row r="1971" ht="18.75" customHeight="1">
      <c r="A1971" s="7" t="s">
        <v>3261</v>
      </c>
      <c r="B1971" s="9">
        <v>136.0</v>
      </c>
      <c r="C1971" s="9">
        <v>136.0</v>
      </c>
      <c r="D1971" s="9">
        <v>75.0</v>
      </c>
      <c r="E1971" s="9">
        <v>3.0</v>
      </c>
      <c r="F1971" s="14"/>
      <c r="G1971" s="15"/>
      <c r="H1971" s="15"/>
      <c r="I1971" s="14"/>
      <c r="P1971" s="14"/>
    </row>
    <row r="1972" ht="18.75" customHeight="1">
      <c r="A1972" s="7" t="s">
        <v>3263</v>
      </c>
      <c r="B1972" s="9">
        <v>46.0</v>
      </c>
      <c r="C1972" s="9">
        <v>46.0</v>
      </c>
      <c r="D1972" s="9">
        <v>23.0</v>
      </c>
      <c r="E1972" s="9">
        <v>2.0</v>
      </c>
      <c r="F1972" s="14"/>
      <c r="G1972" s="15"/>
      <c r="H1972" s="15"/>
      <c r="I1972" s="14"/>
      <c r="P1972" s="14"/>
    </row>
    <row r="1973" ht="18.75" customHeight="1">
      <c r="A1973" s="7" t="s">
        <v>3264</v>
      </c>
      <c r="B1973" s="9">
        <v>73.0</v>
      </c>
      <c r="C1973" s="9">
        <v>72.0</v>
      </c>
      <c r="D1973" s="9">
        <v>50.0</v>
      </c>
      <c r="E1973" s="9">
        <v>3.0</v>
      </c>
      <c r="F1973" s="14"/>
      <c r="G1973" s="15"/>
      <c r="H1973" s="15"/>
      <c r="I1973" s="14"/>
      <c r="P1973" s="14"/>
    </row>
    <row r="1974" ht="18.75" customHeight="1">
      <c r="A1974" s="7" t="s">
        <v>2976</v>
      </c>
      <c r="B1974" s="9">
        <v>84.0</v>
      </c>
      <c r="C1974" s="9">
        <v>83.0</v>
      </c>
      <c r="D1974" s="9">
        <v>49.0</v>
      </c>
      <c r="E1974" s="9">
        <v>2.0</v>
      </c>
      <c r="F1974" s="14"/>
      <c r="G1974" s="15"/>
      <c r="H1974" s="15"/>
      <c r="I1974" s="14"/>
      <c r="P1974" s="14"/>
    </row>
    <row r="1975" ht="18.75" customHeight="1">
      <c r="A1975" s="7" t="s">
        <v>3265</v>
      </c>
      <c r="B1975" s="9">
        <v>109.0</v>
      </c>
      <c r="C1975" s="9">
        <v>108.0</v>
      </c>
      <c r="D1975" s="9">
        <v>47.0</v>
      </c>
      <c r="E1975" s="9">
        <v>4.0</v>
      </c>
      <c r="F1975" s="14"/>
      <c r="G1975" s="15"/>
      <c r="H1975" s="15"/>
      <c r="I1975" s="14"/>
      <c r="P1975" s="14"/>
    </row>
    <row r="1976" ht="18.75" customHeight="1">
      <c r="A1976" s="7" t="s">
        <v>2814</v>
      </c>
      <c r="B1976" s="9">
        <v>140.0</v>
      </c>
      <c r="C1976" s="9">
        <v>139.0</v>
      </c>
      <c r="D1976" s="9">
        <v>88.0</v>
      </c>
      <c r="E1976" s="9">
        <v>1.0</v>
      </c>
      <c r="F1976" s="14"/>
      <c r="G1976" s="15"/>
      <c r="H1976" s="15"/>
      <c r="I1976" s="14"/>
      <c r="P1976" s="14"/>
    </row>
    <row r="1977" ht="18.75" customHeight="1">
      <c r="A1977" s="7" t="s">
        <v>3266</v>
      </c>
      <c r="B1977" s="9">
        <v>41.0</v>
      </c>
      <c r="C1977" s="9">
        <v>41.0</v>
      </c>
      <c r="D1977" s="9">
        <v>20.0</v>
      </c>
      <c r="E1977" s="9">
        <v>1.0</v>
      </c>
      <c r="F1977" s="14"/>
      <c r="G1977" s="15"/>
      <c r="H1977" s="15"/>
      <c r="I1977" s="14"/>
      <c r="P1977" s="14"/>
    </row>
    <row r="1978" ht="18.75" customHeight="1">
      <c r="A1978" s="7" t="s">
        <v>3267</v>
      </c>
      <c r="B1978" s="9">
        <v>146.0</v>
      </c>
      <c r="C1978" s="9">
        <v>146.0</v>
      </c>
      <c r="D1978" s="9">
        <v>104.0</v>
      </c>
      <c r="E1978" s="9">
        <v>1.0</v>
      </c>
      <c r="F1978" s="14"/>
      <c r="G1978" s="15"/>
      <c r="H1978" s="15"/>
      <c r="I1978" s="14"/>
      <c r="P1978" s="14"/>
    </row>
    <row r="1979" ht="18.75" customHeight="1">
      <c r="A1979" s="7" t="s">
        <v>2823</v>
      </c>
      <c r="B1979" s="9">
        <v>149.0</v>
      </c>
      <c r="C1979" s="9">
        <v>149.0</v>
      </c>
      <c r="D1979" s="9">
        <v>92.0</v>
      </c>
      <c r="E1979" s="9">
        <v>0.0</v>
      </c>
      <c r="F1979" s="14"/>
      <c r="G1979" s="15"/>
      <c r="H1979" s="15"/>
      <c r="I1979" s="14"/>
      <c r="P1979" s="14"/>
    </row>
    <row r="1980" ht="18.75" customHeight="1">
      <c r="A1980" s="7" t="s">
        <v>3268</v>
      </c>
      <c r="B1980" s="9">
        <v>75.0</v>
      </c>
      <c r="C1980" s="9">
        <v>74.0</v>
      </c>
      <c r="D1980" s="9">
        <v>50.0</v>
      </c>
      <c r="E1980" s="9">
        <v>0.0</v>
      </c>
      <c r="F1980" s="14"/>
      <c r="G1980" s="15"/>
      <c r="H1980" s="15"/>
      <c r="I1980" s="14"/>
      <c r="P1980" s="14"/>
    </row>
    <row r="1981" ht="18.75" customHeight="1">
      <c r="A1981" s="7" t="s">
        <v>3269</v>
      </c>
      <c r="B1981" s="9">
        <v>120.0</v>
      </c>
      <c r="C1981" s="9">
        <v>120.0</v>
      </c>
      <c r="D1981" s="9">
        <v>63.0</v>
      </c>
      <c r="E1981" s="9">
        <v>1.0</v>
      </c>
      <c r="F1981" s="14"/>
      <c r="G1981" s="15"/>
      <c r="H1981" s="15"/>
      <c r="I1981" s="14"/>
      <c r="P1981" s="14"/>
    </row>
    <row r="1982" ht="18.75" customHeight="1">
      <c r="A1982" s="7" t="s">
        <v>2813</v>
      </c>
      <c r="B1982" s="9">
        <v>141.0</v>
      </c>
      <c r="C1982" s="9">
        <v>141.0</v>
      </c>
      <c r="D1982" s="9">
        <v>77.0</v>
      </c>
      <c r="E1982" s="9">
        <v>1.0</v>
      </c>
      <c r="F1982" s="14"/>
      <c r="G1982" s="15"/>
      <c r="H1982" s="15"/>
      <c r="I1982" s="14"/>
      <c r="P1982" s="14"/>
    </row>
    <row r="1983" ht="18.75" customHeight="1">
      <c r="A1983" s="7" t="s">
        <v>2814</v>
      </c>
      <c r="B1983" s="9">
        <v>139.0</v>
      </c>
      <c r="C1983" s="9">
        <v>139.0</v>
      </c>
      <c r="D1983" s="9">
        <v>70.0</v>
      </c>
      <c r="E1983" s="9">
        <v>2.0</v>
      </c>
      <c r="F1983" s="14"/>
      <c r="G1983" s="15"/>
      <c r="H1983" s="15"/>
      <c r="I1983" s="14"/>
      <c r="P1983" s="14"/>
    </row>
    <row r="1984" ht="18.75" customHeight="1">
      <c r="A1984" s="7" t="s">
        <v>2757</v>
      </c>
      <c r="B1984" s="9">
        <v>386.0</v>
      </c>
      <c r="C1984" s="9">
        <v>386.0</v>
      </c>
      <c r="D1984" s="9">
        <v>239.0</v>
      </c>
      <c r="E1984" s="9">
        <v>2.0</v>
      </c>
      <c r="F1984" s="14"/>
      <c r="G1984" s="15"/>
      <c r="H1984" s="15"/>
      <c r="I1984" s="14"/>
      <c r="P1984" s="14"/>
    </row>
    <row r="1985" ht="18.75" customHeight="1">
      <c r="A1985" s="7" t="s">
        <v>3267</v>
      </c>
      <c r="B1985" s="9">
        <v>141.0</v>
      </c>
      <c r="C1985" s="9">
        <v>141.0</v>
      </c>
      <c r="D1985" s="9">
        <v>83.0</v>
      </c>
      <c r="E1985" s="9">
        <v>2.0</v>
      </c>
      <c r="F1985" s="14"/>
      <c r="G1985" s="15"/>
      <c r="H1985" s="15"/>
      <c r="I1985" s="14"/>
      <c r="P1985" s="14"/>
    </row>
    <row r="1986" ht="18.75" customHeight="1">
      <c r="A1986" s="7" t="s">
        <v>3268</v>
      </c>
      <c r="B1986" s="9">
        <v>75.0</v>
      </c>
      <c r="C1986" s="9">
        <v>74.0</v>
      </c>
      <c r="D1986" s="9">
        <v>32.0</v>
      </c>
      <c r="E1986" s="9">
        <v>0.0</v>
      </c>
      <c r="F1986" s="14"/>
      <c r="G1986" s="15"/>
      <c r="H1986" s="15"/>
      <c r="I1986" s="14"/>
      <c r="P1986" s="14"/>
    </row>
    <row r="1987" ht="18.75" customHeight="1">
      <c r="A1987" s="7" t="s">
        <v>3269</v>
      </c>
      <c r="B1987" s="9">
        <v>120.0</v>
      </c>
      <c r="C1987" s="9">
        <v>120.0</v>
      </c>
      <c r="D1987" s="9">
        <v>52.0</v>
      </c>
      <c r="E1987" s="9">
        <v>1.0</v>
      </c>
      <c r="F1987" s="14"/>
      <c r="G1987" s="15"/>
      <c r="H1987" s="15"/>
      <c r="I1987" s="14"/>
      <c r="P1987" s="14"/>
    </row>
    <row r="1988" ht="18.75" customHeight="1">
      <c r="A1988" s="7" t="s">
        <v>3270</v>
      </c>
      <c r="B1988" s="9">
        <v>173.0</v>
      </c>
      <c r="C1988" s="9">
        <v>171.0</v>
      </c>
      <c r="D1988" s="9">
        <v>107.0</v>
      </c>
      <c r="E1988" s="9">
        <v>4.0</v>
      </c>
      <c r="F1988" s="14"/>
      <c r="G1988" s="15"/>
      <c r="H1988" s="15"/>
      <c r="I1988" s="14"/>
      <c r="P1988" s="14"/>
    </row>
    <row r="1989" ht="18.75" customHeight="1">
      <c r="A1989" s="7" t="s">
        <v>2756</v>
      </c>
      <c r="B1989" s="9">
        <v>174.0</v>
      </c>
      <c r="C1989" s="9">
        <v>174.0</v>
      </c>
      <c r="D1989" s="9">
        <v>93.0</v>
      </c>
      <c r="E1989" s="9">
        <v>2.0</v>
      </c>
      <c r="F1989" s="14"/>
      <c r="G1989" s="15"/>
      <c r="H1989" s="15"/>
      <c r="I1989" s="14"/>
      <c r="P1989" s="14"/>
    </row>
    <row r="1990" ht="18.75" customHeight="1">
      <c r="A1990" s="7" t="s">
        <v>3271</v>
      </c>
      <c r="B1990" s="9">
        <v>85.0</v>
      </c>
      <c r="C1990" s="9">
        <v>83.0</v>
      </c>
      <c r="D1990" s="9">
        <v>50.0</v>
      </c>
      <c r="E1990" s="9">
        <v>1.0</v>
      </c>
      <c r="F1990" s="14"/>
      <c r="G1990" s="15"/>
      <c r="H1990" s="15"/>
      <c r="I1990" s="14"/>
      <c r="P1990" s="14"/>
    </row>
    <row r="1991" ht="18.75" customHeight="1">
      <c r="A1991" s="7" t="s">
        <v>2823</v>
      </c>
      <c r="B1991" s="9">
        <v>144.0</v>
      </c>
      <c r="C1991" s="9">
        <v>144.0</v>
      </c>
      <c r="D1991" s="9">
        <v>89.0</v>
      </c>
      <c r="E1991" s="9">
        <v>0.0</v>
      </c>
      <c r="F1991" s="14"/>
      <c r="G1991" s="15"/>
      <c r="H1991" s="15"/>
      <c r="I1991" s="14"/>
      <c r="P1991" s="14"/>
    </row>
    <row r="1992" ht="18.75" customHeight="1">
      <c r="A1992" s="7" t="s">
        <v>3272</v>
      </c>
      <c r="B1992" s="9">
        <v>116.0</v>
      </c>
      <c r="C1992" s="9">
        <v>116.0</v>
      </c>
      <c r="D1992" s="9">
        <v>64.0</v>
      </c>
      <c r="E1992" s="9">
        <v>0.0</v>
      </c>
      <c r="F1992" s="14"/>
      <c r="G1992" s="15"/>
      <c r="H1992" s="15"/>
      <c r="I1992" s="14"/>
      <c r="P1992" s="14"/>
    </row>
    <row r="1993" ht="18.75" customHeight="1">
      <c r="A1993" s="7" t="s">
        <v>3273</v>
      </c>
      <c r="B1993" s="9">
        <v>78.0</v>
      </c>
      <c r="C1993" s="9">
        <v>77.0</v>
      </c>
      <c r="D1993" s="9">
        <v>42.0</v>
      </c>
      <c r="E1993" s="9">
        <v>1.0</v>
      </c>
      <c r="F1993" s="14"/>
      <c r="G1993" s="15"/>
      <c r="H1993" s="15"/>
      <c r="I1993" s="14"/>
      <c r="P1993" s="14"/>
    </row>
    <row r="1994" ht="18.75" customHeight="1">
      <c r="A1994" s="7" t="s">
        <v>3274</v>
      </c>
      <c r="B1994" s="9">
        <v>110.0</v>
      </c>
      <c r="C1994" s="9">
        <v>109.0</v>
      </c>
      <c r="D1994" s="9">
        <v>76.0</v>
      </c>
      <c r="E1994" s="9">
        <v>1.0</v>
      </c>
      <c r="F1994" s="14"/>
      <c r="G1994" s="15"/>
      <c r="H1994" s="15"/>
      <c r="I1994" s="14"/>
      <c r="P1994" s="14"/>
    </row>
    <row r="1995" ht="18.75" customHeight="1">
      <c r="A1995" s="7" t="s">
        <v>3275</v>
      </c>
      <c r="B1995" s="9">
        <v>133.0</v>
      </c>
      <c r="C1995" s="9">
        <v>133.0</v>
      </c>
      <c r="D1995" s="9">
        <v>93.0</v>
      </c>
      <c r="E1995" s="9">
        <v>3.0</v>
      </c>
      <c r="F1995" s="14"/>
      <c r="G1995" s="15"/>
      <c r="H1995" s="15"/>
      <c r="I1995" s="14"/>
      <c r="P1995" s="14"/>
    </row>
    <row r="1996" ht="18.75" customHeight="1">
      <c r="A1996" s="7" t="s">
        <v>3271</v>
      </c>
      <c r="B1996" s="9">
        <v>84.0</v>
      </c>
      <c r="C1996" s="9">
        <v>82.0</v>
      </c>
      <c r="D1996" s="9">
        <v>36.0</v>
      </c>
      <c r="E1996" s="9">
        <v>1.0</v>
      </c>
      <c r="F1996" s="14"/>
      <c r="G1996" s="15"/>
      <c r="H1996" s="15"/>
      <c r="I1996" s="14"/>
      <c r="P1996" s="14"/>
    </row>
    <row r="1997" ht="18.75" customHeight="1">
      <c r="A1997" s="7" t="s">
        <v>3276</v>
      </c>
      <c r="B1997" s="9">
        <v>65.0</v>
      </c>
      <c r="C1997" s="9">
        <v>64.0</v>
      </c>
      <c r="D1997" s="9">
        <v>31.0</v>
      </c>
      <c r="E1997" s="9">
        <v>1.0</v>
      </c>
      <c r="F1997" s="14"/>
      <c r="G1997" s="15"/>
      <c r="H1997" s="15"/>
      <c r="I1997" s="14"/>
      <c r="P1997" s="14"/>
    </row>
    <row r="1998" ht="18.75" customHeight="1">
      <c r="A1998" s="7" t="s">
        <v>2782</v>
      </c>
      <c r="B1998" s="9">
        <v>216.0</v>
      </c>
      <c r="C1998" s="9">
        <v>216.0</v>
      </c>
      <c r="D1998" s="9">
        <v>139.0</v>
      </c>
      <c r="E1998" s="9">
        <v>1.0</v>
      </c>
      <c r="F1998" s="14"/>
      <c r="G1998" s="15"/>
      <c r="H1998" s="15"/>
      <c r="I1998" s="14"/>
      <c r="P1998" s="14"/>
    </row>
    <row r="1999" ht="18.75" customHeight="1">
      <c r="A1999" s="7" t="s">
        <v>3277</v>
      </c>
      <c r="B1999" s="9">
        <v>59.0</v>
      </c>
      <c r="C1999" s="9">
        <v>59.0</v>
      </c>
      <c r="D1999" s="9">
        <v>30.0</v>
      </c>
      <c r="E1999" s="9">
        <v>1.0</v>
      </c>
      <c r="F1999" s="14"/>
      <c r="G1999" s="15"/>
      <c r="H1999" s="15"/>
      <c r="I1999" s="14"/>
      <c r="P1999" s="14"/>
    </row>
    <row r="2000" ht="18.75" customHeight="1">
      <c r="A2000" s="7" t="s">
        <v>3278</v>
      </c>
      <c r="B2000" s="9">
        <v>87.0</v>
      </c>
      <c r="C2000" s="9">
        <v>85.0</v>
      </c>
      <c r="D2000" s="9">
        <v>52.0</v>
      </c>
      <c r="E2000" s="9">
        <v>3.0</v>
      </c>
      <c r="F2000" s="14"/>
      <c r="G2000" s="15"/>
      <c r="H2000" s="15"/>
      <c r="I2000" s="14"/>
      <c r="P2000" s="14"/>
    </row>
    <row r="2001" ht="18.75" customHeight="1">
      <c r="A2001" s="7" t="s">
        <v>2975</v>
      </c>
      <c r="B2001" s="9">
        <v>123.0</v>
      </c>
      <c r="C2001" s="9">
        <v>123.0</v>
      </c>
      <c r="D2001" s="9">
        <v>80.0</v>
      </c>
      <c r="E2001" s="9">
        <v>3.0</v>
      </c>
      <c r="F2001" s="14"/>
      <c r="G2001" s="15"/>
      <c r="H2001" s="15"/>
      <c r="I2001" s="14"/>
      <c r="P2001" s="14"/>
    </row>
    <row r="2002" ht="18.75" customHeight="1">
      <c r="A2002" s="7" t="s">
        <v>3273</v>
      </c>
      <c r="B2002" s="9">
        <v>78.0</v>
      </c>
      <c r="C2002" s="9">
        <v>77.0</v>
      </c>
      <c r="D2002" s="9">
        <v>43.0</v>
      </c>
      <c r="E2002" s="9">
        <v>1.0</v>
      </c>
      <c r="F2002" s="14"/>
      <c r="G2002" s="15"/>
      <c r="H2002" s="15"/>
      <c r="I2002" s="14"/>
      <c r="P2002" s="14"/>
    </row>
    <row r="2003" ht="18.75" customHeight="1">
      <c r="A2003" s="7" t="s">
        <v>3274</v>
      </c>
      <c r="B2003" s="9">
        <v>110.0</v>
      </c>
      <c r="C2003" s="9">
        <v>109.0</v>
      </c>
      <c r="D2003" s="9">
        <v>58.0</v>
      </c>
      <c r="E2003" s="9">
        <v>1.0</v>
      </c>
      <c r="F2003" s="14"/>
      <c r="G2003" s="15"/>
      <c r="H2003" s="15"/>
      <c r="I2003" s="14"/>
      <c r="P2003" s="14"/>
    </row>
    <row r="2004" ht="18.75" customHeight="1">
      <c r="A2004" s="7" t="s">
        <v>2758</v>
      </c>
      <c r="B2004" s="9">
        <v>259.0</v>
      </c>
      <c r="C2004" s="9">
        <v>259.0</v>
      </c>
      <c r="D2004" s="9">
        <v>180.0</v>
      </c>
      <c r="E2004" s="9">
        <v>4.0</v>
      </c>
      <c r="F2004" s="14"/>
      <c r="G2004" s="15"/>
      <c r="H2004" s="15"/>
      <c r="I2004" s="14"/>
      <c r="P2004" s="14"/>
    </row>
    <row r="2005" ht="18.75" customHeight="1">
      <c r="A2005" s="7" t="s">
        <v>3272</v>
      </c>
      <c r="B2005" s="9">
        <v>116.0</v>
      </c>
      <c r="C2005" s="9">
        <v>116.0</v>
      </c>
      <c r="D2005" s="9">
        <v>58.0</v>
      </c>
      <c r="E2005" s="9">
        <v>1.0</v>
      </c>
      <c r="F2005" s="14"/>
      <c r="G2005" s="15"/>
      <c r="H2005" s="15"/>
      <c r="I2005" s="14"/>
      <c r="P2005" s="14"/>
    </row>
    <row r="2006" ht="18.75" customHeight="1">
      <c r="A2006" s="7" t="s">
        <v>3279</v>
      </c>
      <c r="B2006" s="9">
        <v>94063.0</v>
      </c>
      <c r="C2006" s="9">
        <v>92310.0</v>
      </c>
      <c r="D2006" s="9">
        <v>36610.0</v>
      </c>
      <c r="E2006" s="9">
        <v>425.0</v>
      </c>
      <c r="F2006" s="14"/>
      <c r="G2006" s="15"/>
      <c r="H2006" s="15"/>
      <c r="I2006" s="14"/>
      <c r="P2006" s="14"/>
    </row>
    <row r="2007" ht="18.75" customHeight="1">
      <c r="A2007" s="7" t="s">
        <v>3280</v>
      </c>
      <c r="B2007" s="9">
        <v>120.0</v>
      </c>
      <c r="C2007" s="9">
        <v>119.0</v>
      </c>
      <c r="D2007" s="9">
        <v>89.0</v>
      </c>
      <c r="E2007" s="9">
        <v>1.0</v>
      </c>
      <c r="F2007" s="14"/>
      <c r="G2007" s="15"/>
      <c r="H2007" s="15"/>
      <c r="I2007" s="14"/>
      <c r="P2007" s="14"/>
    </row>
    <row r="2008" ht="18.75" customHeight="1">
      <c r="A2008" s="7" t="s">
        <v>3281</v>
      </c>
      <c r="B2008" s="9">
        <v>54.0</v>
      </c>
      <c r="C2008" s="9">
        <v>54.0</v>
      </c>
      <c r="D2008" s="9">
        <v>39.0</v>
      </c>
      <c r="E2008" s="9">
        <v>0.0</v>
      </c>
      <c r="F2008" s="14"/>
      <c r="G2008" s="15"/>
      <c r="H2008" s="15"/>
      <c r="I2008" s="14"/>
      <c r="P2008" s="14"/>
    </row>
    <row r="2009" ht="18.75" customHeight="1">
      <c r="A2009" s="7" t="s">
        <v>3276</v>
      </c>
      <c r="B2009" s="9">
        <v>71.0</v>
      </c>
      <c r="C2009" s="9">
        <v>69.0</v>
      </c>
      <c r="D2009" s="9">
        <v>31.0</v>
      </c>
      <c r="E2009" s="9">
        <v>1.0</v>
      </c>
      <c r="F2009" s="14"/>
      <c r="G2009" s="15"/>
      <c r="H2009" s="15"/>
      <c r="I2009" s="14"/>
      <c r="P2009" s="14"/>
    </row>
    <row r="2010" ht="18.75" customHeight="1">
      <c r="A2010" s="7" t="s">
        <v>2782</v>
      </c>
      <c r="B2010" s="9">
        <v>214.0</v>
      </c>
      <c r="C2010" s="9">
        <v>214.0</v>
      </c>
      <c r="D2010" s="9">
        <v>118.0</v>
      </c>
      <c r="E2010" s="9">
        <v>1.0</v>
      </c>
      <c r="F2010" s="14"/>
      <c r="G2010" s="15"/>
      <c r="H2010" s="15"/>
      <c r="I2010" s="14"/>
      <c r="P2010" s="14"/>
    </row>
    <row r="2011" ht="18.75" customHeight="1">
      <c r="A2011" s="7" t="s">
        <v>3277</v>
      </c>
      <c r="B2011" s="9">
        <v>65.0</v>
      </c>
      <c r="C2011" s="9">
        <v>64.0</v>
      </c>
      <c r="D2011" s="9">
        <v>29.0</v>
      </c>
      <c r="E2011" s="9">
        <v>1.0</v>
      </c>
      <c r="F2011" s="14"/>
      <c r="G2011" s="15"/>
      <c r="H2011" s="15"/>
      <c r="I2011" s="14"/>
      <c r="P2011" s="14"/>
    </row>
    <row r="2012" ht="18.75" customHeight="1">
      <c r="A2012" s="7" t="s">
        <v>3282</v>
      </c>
      <c r="B2012" s="9">
        <v>127.0</v>
      </c>
      <c r="C2012" s="9">
        <v>127.0</v>
      </c>
      <c r="D2012" s="9">
        <v>93.0</v>
      </c>
      <c r="E2012" s="9">
        <v>1.0</v>
      </c>
      <c r="F2012" s="14"/>
      <c r="G2012" s="15"/>
      <c r="H2012" s="15"/>
      <c r="I2012" s="14"/>
      <c r="P2012" s="14"/>
    </row>
    <row r="2013" ht="18.75" customHeight="1">
      <c r="A2013" s="7" t="s">
        <v>3283</v>
      </c>
      <c r="B2013" s="9">
        <v>99.0</v>
      </c>
      <c r="C2013" s="9">
        <v>98.0</v>
      </c>
      <c r="D2013" s="9">
        <v>63.0</v>
      </c>
      <c r="E2013" s="9">
        <v>3.0</v>
      </c>
      <c r="F2013" s="14"/>
      <c r="G2013" s="15"/>
      <c r="H2013" s="15"/>
      <c r="I2013" s="14"/>
      <c r="P2013" s="14"/>
    </row>
    <row r="2014" ht="18.75" customHeight="1">
      <c r="A2014" s="7" t="s">
        <v>3279</v>
      </c>
      <c r="B2014" s="9">
        <v>210.0</v>
      </c>
      <c r="C2014" s="9">
        <v>209.0</v>
      </c>
      <c r="D2014" s="9">
        <v>138.0</v>
      </c>
      <c r="E2014" s="9">
        <v>3.0</v>
      </c>
      <c r="F2014" s="14"/>
      <c r="G2014" s="15"/>
      <c r="H2014" s="15"/>
      <c r="I2014" s="14"/>
      <c r="P2014" s="14"/>
    </row>
    <row r="2015" ht="18.75" customHeight="1">
      <c r="A2015" s="7" t="s">
        <v>3281</v>
      </c>
      <c r="B2015" s="9">
        <v>54.0</v>
      </c>
      <c r="C2015" s="9">
        <v>54.0</v>
      </c>
      <c r="D2015" s="9">
        <v>27.0</v>
      </c>
      <c r="E2015" s="9">
        <v>0.0</v>
      </c>
      <c r="F2015" s="14"/>
      <c r="G2015" s="15"/>
      <c r="H2015" s="15"/>
      <c r="I2015" s="14"/>
      <c r="P2015" s="14"/>
    </row>
    <row r="2016" ht="18.75" customHeight="1">
      <c r="A2016" s="7" t="s">
        <v>2977</v>
      </c>
      <c r="B2016" s="9">
        <v>142.0</v>
      </c>
      <c r="C2016" s="9">
        <v>142.0</v>
      </c>
      <c r="D2016" s="9">
        <v>104.0</v>
      </c>
      <c r="E2016" s="9">
        <v>3.0</v>
      </c>
      <c r="F2016" s="14"/>
      <c r="G2016" s="15"/>
      <c r="H2016" s="15"/>
      <c r="I2016" s="14"/>
      <c r="P2016" s="14"/>
    </row>
    <row r="2017" ht="18.75" customHeight="1">
      <c r="A2017" s="7" t="s">
        <v>3284</v>
      </c>
      <c r="B2017" s="9">
        <v>69318.0</v>
      </c>
      <c r="C2017" s="9">
        <v>67903.0</v>
      </c>
      <c r="D2017" s="9">
        <v>13058.0</v>
      </c>
      <c r="E2017" s="9">
        <v>358.0</v>
      </c>
      <c r="F2017" s="14"/>
      <c r="G2017" s="15"/>
      <c r="H2017" s="15"/>
      <c r="I2017" s="14"/>
      <c r="P2017" s="14"/>
    </row>
    <row r="2018" ht="18.75" customHeight="1">
      <c r="A2018" s="7" t="s">
        <v>3282</v>
      </c>
      <c r="B2018" s="9">
        <v>126.0</v>
      </c>
      <c r="C2018" s="9">
        <v>126.0</v>
      </c>
      <c r="D2018" s="9">
        <v>74.0</v>
      </c>
      <c r="E2018" s="9">
        <v>1.0</v>
      </c>
      <c r="F2018" s="14"/>
      <c r="G2018" s="15"/>
      <c r="H2018" s="15"/>
      <c r="I2018" s="14"/>
      <c r="P2018" s="14"/>
    </row>
    <row r="2019" ht="18.75" customHeight="1">
      <c r="A2019" s="7" t="s">
        <v>3285</v>
      </c>
      <c r="B2019" s="9">
        <v>63.0</v>
      </c>
      <c r="C2019" s="9">
        <v>63.0</v>
      </c>
      <c r="D2019" s="9">
        <v>48.0</v>
      </c>
      <c r="E2019" s="9">
        <v>1.0</v>
      </c>
      <c r="F2019" s="14"/>
      <c r="G2019" s="15"/>
      <c r="H2019" s="15"/>
      <c r="I2019" s="14"/>
      <c r="P2019" s="14"/>
    </row>
    <row r="2020" ht="18.75" customHeight="1">
      <c r="A2020" s="7" t="s">
        <v>3283</v>
      </c>
      <c r="B2020" s="9">
        <v>89.0</v>
      </c>
      <c r="C2020" s="9">
        <v>88.0</v>
      </c>
      <c r="D2020" s="9">
        <v>54.0</v>
      </c>
      <c r="E2020" s="9">
        <v>2.0</v>
      </c>
      <c r="F2020" s="14"/>
      <c r="G2020" s="15"/>
      <c r="H2020" s="15"/>
      <c r="I2020" s="14"/>
      <c r="P2020" s="14"/>
    </row>
    <row r="2021" ht="18.75" customHeight="1">
      <c r="A2021" s="7" t="s">
        <v>3279</v>
      </c>
      <c r="B2021" s="9">
        <v>210.0</v>
      </c>
      <c r="C2021" s="9">
        <v>209.0</v>
      </c>
      <c r="D2021" s="9">
        <v>115.0</v>
      </c>
      <c r="E2021" s="9">
        <v>1.0</v>
      </c>
      <c r="F2021" s="14"/>
      <c r="G2021" s="15"/>
      <c r="H2021" s="15"/>
      <c r="I2021" s="14"/>
      <c r="P2021" s="14"/>
    </row>
    <row r="2022" ht="18.75" customHeight="1">
      <c r="A2022" s="7" t="s">
        <v>3280</v>
      </c>
      <c r="B2022" s="9">
        <v>119.0</v>
      </c>
      <c r="C2022" s="9">
        <v>118.0</v>
      </c>
      <c r="D2022" s="9">
        <v>77.0</v>
      </c>
      <c r="E2022" s="9">
        <v>1.0</v>
      </c>
      <c r="F2022" s="14"/>
      <c r="G2022" s="15"/>
      <c r="H2022" s="15"/>
      <c r="I2022" s="14"/>
      <c r="P2022" s="14"/>
    </row>
    <row r="2023" ht="18.75" customHeight="1">
      <c r="A2023" s="7" t="s">
        <v>3280</v>
      </c>
      <c r="B2023" s="9">
        <v>119.0</v>
      </c>
      <c r="C2023" s="9">
        <v>118.0</v>
      </c>
      <c r="D2023" s="9">
        <v>77.0</v>
      </c>
      <c r="E2023" s="9">
        <v>1.0</v>
      </c>
      <c r="F2023" s="14"/>
      <c r="G2023" s="15"/>
      <c r="H2023" s="15"/>
      <c r="I2023" s="14"/>
      <c r="P2023" s="14"/>
    </row>
    <row r="2024" ht="18.75" customHeight="1">
      <c r="A2024" s="7" t="s">
        <v>3286</v>
      </c>
      <c r="B2024" s="9">
        <v>172.0</v>
      </c>
      <c r="C2024" s="9">
        <v>172.0</v>
      </c>
      <c r="D2024" s="9">
        <v>103.0</v>
      </c>
      <c r="E2024" s="9">
        <v>1.0</v>
      </c>
      <c r="F2024" s="14"/>
      <c r="G2024" s="15"/>
      <c r="H2024" s="15"/>
      <c r="I2024" s="14"/>
      <c r="P2024" s="14"/>
    </row>
    <row r="2025" ht="18.75" customHeight="1">
      <c r="A2025" s="7" t="s">
        <v>2758</v>
      </c>
      <c r="B2025" s="9">
        <v>255.0</v>
      </c>
      <c r="C2025" s="9">
        <v>255.0</v>
      </c>
      <c r="D2025" s="9">
        <v>166.0</v>
      </c>
      <c r="E2025" s="9">
        <v>1.0</v>
      </c>
      <c r="F2025" s="14"/>
      <c r="G2025" s="15"/>
      <c r="H2025" s="15"/>
      <c r="I2025" s="14"/>
      <c r="P2025" s="14"/>
    </row>
    <row r="2026" ht="18.75" customHeight="1">
      <c r="A2026" s="7" t="s">
        <v>3287</v>
      </c>
      <c r="B2026" s="9">
        <v>60.0</v>
      </c>
      <c r="C2026" s="9">
        <v>59.0</v>
      </c>
      <c r="D2026" s="9">
        <v>34.0</v>
      </c>
      <c r="E2026" s="9">
        <v>2.0</v>
      </c>
      <c r="F2026" s="14"/>
      <c r="G2026" s="15"/>
      <c r="H2026" s="15"/>
      <c r="I2026" s="14"/>
      <c r="P2026" s="14"/>
    </row>
    <row r="2027" ht="18.75" customHeight="1">
      <c r="A2027" s="7" t="s">
        <v>3288</v>
      </c>
      <c r="B2027" s="9">
        <v>1569.0</v>
      </c>
      <c r="C2027" s="9">
        <v>1568.0</v>
      </c>
      <c r="D2027" s="9">
        <v>1198.0</v>
      </c>
      <c r="E2027" s="9">
        <v>10.0</v>
      </c>
      <c r="F2027" s="14"/>
      <c r="G2027" s="15"/>
      <c r="H2027" s="15"/>
      <c r="I2027" s="14"/>
      <c r="P2027" s="14"/>
    </row>
    <row r="2028" ht="18.75" customHeight="1">
      <c r="A2028" s="7" t="s">
        <v>3289</v>
      </c>
      <c r="B2028" s="9">
        <v>125.0</v>
      </c>
      <c r="C2028" s="9">
        <v>124.0</v>
      </c>
      <c r="D2028" s="9">
        <v>77.0</v>
      </c>
      <c r="E2028" s="9">
        <v>4.0</v>
      </c>
      <c r="F2028" s="14"/>
      <c r="G2028" s="15"/>
      <c r="H2028" s="15"/>
      <c r="I2028" s="14"/>
      <c r="P2028" s="14"/>
    </row>
    <row r="2029" ht="18.75" customHeight="1">
      <c r="A2029" s="7" t="s">
        <v>2869</v>
      </c>
      <c r="B2029" s="9">
        <v>113.0</v>
      </c>
      <c r="C2029" s="9">
        <v>112.0</v>
      </c>
      <c r="D2029" s="9">
        <v>68.0</v>
      </c>
      <c r="E2029" s="9">
        <v>2.0</v>
      </c>
      <c r="F2029" s="14"/>
      <c r="G2029" s="15"/>
      <c r="H2029" s="15"/>
      <c r="I2029" s="14"/>
      <c r="P2029" s="14"/>
    </row>
    <row r="2030" ht="18.75" customHeight="1">
      <c r="A2030" s="7" t="s">
        <v>2837</v>
      </c>
      <c r="B2030" s="9">
        <v>297.0</v>
      </c>
      <c r="C2030" s="9">
        <v>296.0</v>
      </c>
      <c r="D2030" s="9">
        <v>175.0</v>
      </c>
      <c r="E2030" s="9">
        <v>5.0</v>
      </c>
      <c r="F2030" s="14"/>
      <c r="G2030" s="15"/>
      <c r="H2030" s="15"/>
      <c r="I2030" s="14"/>
      <c r="P2030" s="14"/>
    </row>
    <row r="2031" ht="18.75" customHeight="1">
      <c r="A2031" s="7" t="s">
        <v>3203</v>
      </c>
      <c r="B2031" s="9">
        <v>133.0</v>
      </c>
      <c r="C2031" s="9">
        <v>133.0</v>
      </c>
      <c r="D2031" s="9">
        <v>81.0</v>
      </c>
      <c r="E2031" s="9">
        <v>3.0</v>
      </c>
      <c r="F2031" s="14"/>
      <c r="G2031" s="15"/>
      <c r="H2031" s="15"/>
      <c r="I2031" s="14"/>
      <c r="P2031" s="14"/>
    </row>
    <row r="2032" ht="18.75" customHeight="1">
      <c r="A2032" s="7" t="s">
        <v>3204</v>
      </c>
      <c r="B2032" s="9">
        <v>68.0</v>
      </c>
      <c r="C2032" s="9">
        <v>68.0</v>
      </c>
      <c r="D2032" s="9">
        <v>44.0</v>
      </c>
      <c r="E2032" s="9">
        <v>1.0</v>
      </c>
      <c r="F2032" s="14"/>
      <c r="G2032" s="15"/>
      <c r="H2032" s="15"/>
      <c r="I2032" s="14"/>
      <c r="P2032" s="14"/>
    </row>
    <row r="2033" ht="18.75" customHeight="1">
      <c r="A2033" s="7" t="s">
        <v>3173</v>
      </c>
      <c r="B2033" s="9">
        <v>94.0</v>
      </c>
      <c r="C2033" s="9">
        <v>93.0</v>
      </c>
      <c r="D2033" s="9">
        <v>66.0</v>
      </c>
      <c r="E2033" s="9">
        <v>2.0</v>
      </c>
      <c r="F2033" s="14"/>
      <c r="G2033" s="15"/>
      <c r="H2033" s="15"/>
      <c r="I2033" s="14"/>
      <c r="P2033" s="14"/>
    </row>
    <row r="2034" ht="18.75" customHeight="1">
      <c r="A2034" s="7" t="s">
        <v>3290</v>
      </c>
      <c r="B2034" s="9">
        <v>41.0</v>
      </c>
      <c r="C2034" s="9">
        <v>41.0</v>
      </c>
      <c r="D2034" s="9">
        <v>27.0</v>
      </c>
      <c r="E2034" s="9">
        <v>0.0</v>
      </c>
      <c r="F2034" s="14"/>
      <c r="G2034" s="15"/>
      <c r="H2034" s="15"/>
      <c r="I2034" s="14"/>
      <c r="P2034" s="14"/>
    </row>
    <row r="2035" ht="18.75" customHeight="1">
      <c r="A2035" s="7" t="s">
        <v>2838</v>
      </c>
      <c r="B2035" s="9">
        <v>149.0</v>
      </c>
      <c r="C2035" s="9">
        <v>149.0</v>
      </c>
      <c r="D2035" s="9">
        <v>98.0</v>
      </c>
      <c r="E2035" s="9">
        <v>0.0</v>
      </c>
      <c r="F2035" s="14"/>
      <c r="G2035" s="15"/>
      <c r="H2035" s="15"/>
      <c r="I2035" s="14"/>
      <c r="P2035" s="14"/>
    </row>
    <row r="2036" ht="18.75" customHeight="1">
      <c r="A2036" s="7" t="s">
        <v>3290</v>
      </c>
      <c r="B2036" s="9">
        <v>41.0</v>
      </c>
      <c r="C2036" s="9">
        <v>41.0</v>
      </c>
      <c r="D2036" s="9">
        <v>25.0</v>
      </c>
      <c r="E2036" s="9">
        <v>1.0</v>
      </c>
      <c r="F2036" s="14"/>
      <c r="G2036" s="15"/>
      <c r="H2036" s="15"/>
      <c r="I2036" s="14"/>
      <c r="P2036" s="14"/>
    </row>
    <row r="2037" ht="18.75" customHeight="1">
      <c r="A2037" s="7" t="s">
        <v>2838</v>
      </c>
      <c r="B2037" s="9">
        <v>149.0</v>
      </c>
      <c r="C2037" s="9">
        <v>148.0</v>
      </c>
      <c r="D2037" s="9">
        <v>101.0</v>
      </c>
      <c r="E2037" s="9">
        <v>4.0</v>
      </c>
      <c r="F2037" s="14"/>
      <c r="G2037" s="15"/>
      <c r="H2037" s="15"/>
      <c r="I2037" s="14"/>
      <c r="P2037" s="14"/>
    </row>
    <row r="2038" ht="18.75" customHeight="1">
      <c r="A2038" s="7" t="s">
        <v>2780</v>
      </c>
      <c r="B2038" s="9">
        <v>251.0</v>
      </c>
      <c r="C2038" s="9">
        <v>250.0</v>
      </c>
      <c r="D2038" s="9">
        <v>146.0</v>
      </c>
      <c r="E2038" s="9">
        <v>0.0</v>
      </c>
      <c r="F2038" s="14"/>
      <c r="G2038" s="15"/>
      <c r="H2038" s="15"/>
      <c r="I2038" s="14"/>
      <c r="P2038" s="14"/>
    </row>
    <row r="2039" ht="18.75" customHeight="1">
      <c r="A2039" s="7" t="s">
        <v>2784</v>
      </c>
      <c r="B2039" s="9">
        <v>46.0</v>
      </c>
      <c r="C2039" s="9">
        <v>46.0</v>
      </c>
      <c r="D2039" s="9">
        <v>19.0</v>
      </c>
      <c r="E2039" s="9">
        <v>1.0</v>
      </c>
      <c r="F2039" s="14"/>
      <c r="G2039" s="15"/>
      <c r="H2039" s="15"/>
      <c r="I2039" s="14"/>
      <c r="P2039" s="14"/>
    </row>
    <row r="2040" ht="18.75" customHeight="1">
      <c r="A2040" s="7" t="s">
        <v>3291</v>
      </c>
      <c r="B2040" s="9">
        <v>209.0</v>
      </c>
      <c r="C2040" s="9">
        <v>208.0</v>
      </c>
      <c r="D2040" s="9">
        <v>156.0</v>
      </c>
      <c r="E2040" s="9">
        <v>2.0</v>
      </c>
      <c r="F2040" s="14"/>
      <c r="G2040" s="15"/>
      <c r="H2040" s="15"/>
      <c r="I2040" s="14"/>
      <c r="P2040" s="14"/>
    </row>
    <row r="2041" ht="18.75" customHeight="1">
      <c r="A2041" s="7" t="s">
        <v>2983</v>
      </c>
      <c r="B2041" s="9">
        <v>854.0</v>
      </c>
      <c r="C2041" s="9">
        <v>852.0</v>
      </c>
      <c r="D2041" s="9">
        <v>527.0</v>
      </c>
      <c r="E2041" s="9">
        <v>3.0</v>
      </c>
      <c r="F2041" s="14"/>
      <c r="G2041" s="15"/>
      <c r="H2041" s="15"/>
      <c r="I2041" s="14"/>
      <c r="P2041" s="14"/>
    </row>
    <row r="2042" ht="18.75" customHeight="1">
      <c r="A2042" s="7" t="s">
        <v>3292</v>
      </c>
      <c r="B2042" s="9">
        <v>503.0</v>
      </c>
      <c r="C2042" s="9">
        <v>503.0</v>
      </c>
      <c r="D2042" s="9">
        <v>360.0</v>
      </c>
      <c r="E2042" s="9">
        <v>4.0</v>
      </c>
      <c r="F2042" s="14"/>
      <c r="G2042" s="15"/>
      <c r="H2042" s="15"/>
      <c r="I2042" s="14"/>
      <c r="P2042" s="14"/>
    </row>
    <row r="2043" ht="18.75" customHeight="1">
      <c r="A2043" s="7" t="s">
        <v>3293</v>
      </c>
      <c r="B2043" s="9">
        <v>655.0</v>
      </c>
      <c r="C2043" s="9">
        <v>654.0</v>
      </c>
      <c r="D2043" s="9">
        <v>409.0</v>
      </c>
      <c r="E2043" s="9">
        <v>1.0</v>
      </c>
      <c r="F2043" s="14"/>
      <c r="G2043" s="15"/>
      <c r="H2043" s="15"/>
      <c r="I2043" s="14"/>
      <c r="P2043" s="14"/>
    </row>
    <row r="2044" ht="18.75" customHeight="1">
      <c r="A2044" s="7" t="s">
        <v>2849</v>
      </c>
      <c r="B2044" s="9">
        <v>286.0</v>
      </c>
      <c r="C2044" s="9">
        <v>284.0</v>
      </c>
      <c r="D2044" s="9">
        <v>115.0</v>
      </c>
      <c r="E2044" s="9">
        <v>4.0</v>
      </c>
      <c r="F2044" s="14"/>
      <c r="G2044" s="15"/>
      <c r="H2044" s="15"/>
      <c r="I2044" s="14"/>
      <c r="P2044" s="14"/>
    </row>
    <row r="2045" ht="18.75" customHeight="1">
      <c r="A2045" s="7" t="s">
        <v>3168</v>
      </c>
      <c r="B2045" s="9">
        <v>437.0</v>
      </c>
      <c r="C2045" s="9">
        <v>436.0</v>
      </c>
      <c r="D2045" s="9">
        <v>338.0</v>
      </c>
      <c r="E2045" s="9">
        <v>1.0</v>
      </c>
      <c r="F2045" s="14"/>
      <c r="G2045" s="15"/>
      <c r="H2045" s="15"/>
      <c r="I2045" s="14"/>
      <c r="P2045" s="14"/>
    </row>
    <row r="2046" ht="18.75" customHeight="1">
      <c r="A2046" s="7" t="s">
        <v>2850</v>
      </c>
      <c r="B2046" s="9">
        <v>55.0</v>
      </c>
      <c r="C2046" s="9">
        <v>54.0</v>
      </c>
      <c r="D2046" s="9">
        <v>40.0</v>
      </c>
      <c r="E2046" s="9">
        <v>1.0</v>
      </c>
      <c r="F2046" s="14"/>
      <c r="G2046" s="15"/>
      <c r="H2046" s="15"/>
      <c r="I2046" s="14"/>
      <c r="P2046" s="14"/>
    </row>
    <row r="2047" ht="18.75" customHeight="1">
      <c r="A2047" s="7" t="s">
        <v>3294</v>
      </c>
      <c r="B2047" s="9">
        <v>128.0</v>
      </c>
      <c r="C2047" s="9">
        <v>127.0</v>
      </c>
      <c r="D2047" s="9">
        <v>70.0</v>
      </c>
      <c r="E2047" s="9">
        <v>5.0</v>
      </c>
      <c r="F2047" s="14"/>
      <c r="G2047" s="15"/>
      <c r="H2047" s="15"/>
      <c r="I2047" s="14"/>
      <c r="P2047" s="14"/>
    </row>
    <row r="2048" ht="18.75" customHeight="1">
      <c r="A2048" s="7" t="s">
        <v>3295</v>
      </c>
      <c r="B2048" s="9">
        <v>56.0</v>
      </c>
      <c r="C2048" s="9">
        <v>56.0</v>
      </c>
      <c r="D2048" s="9">
        <v>28.0</v>
      </c>
      <c r="E2048" s="9">
        <v>1.0</v>
      </c>
      <c r="F2048" s="14"/>
      <c r="G2048" s="15"/>
      <c r="H2048" s="15"/>
      <c r="I2048" s="14"/>
      <c r="P2048" s="14"/>
    </row>
    <row r="2049" ht="18.75" customHeight="1">
      <c r="A2049" s="7" t="s">
        <v>3296</v>
      </c>
      <c r="B2049" s="9">
        <v>33.0</v>
      </c>
      <c r="C2049" s="9">
        <v>33.0</v>
      </c>
      <c r="D2049" s="9">
        <v>21.0</v>
      </c>
      <c r="E2049" s="9">
        <v>0.0</v>
      </c>
      <c r="F2049" s="14"/>
      <c r="G2049" s="15"/>
      <c r="H2049" s="15"/>
      <c r="I2049" s="14"/>
      <c r="P2049" s="14"/>
    </row>
    <row r="2050" ht="18.75" customHeight="1">
      <c r="A2050" s="7" t="s">
        <v>2832</v>
      </c>
      <c r="B2050" s="9">
        <v>267.0</v>
      </c>
      <c r="C2050" s="9">
        <v>266.0</v>
      </c>
      <c r="D2050" s="9">
        <v>172.0</v>
      </c>
      <c r="E2050" s="9">
        <v>2.0</v>
      </c>
      <c r="F2050" s="14"/>
      <c r="G2050" s="15"/>
      <c r="H2050" s="15"/>
      <c r="I2050" s="14"/>
      <c r="P2050" s="14"/>
    </row>
    <row r="2051" ht="18.75" customHeight="1">
      <c r="A2051" s="7" t="s">
        <v>2829</v>
      </c>
      <c r="B2051" s="9">
        <v>249.0</v>
      </c>
      <c r="C2051" s="9">
        <v>249.0</v>
      </c>
      <c r="D2051" s="9">
        <v>161.0</v>
      </c>
      <c r="E2051" s="9">
        <v>1.0</v>
      </c>
      <c r="F2051" s="14"/>
      <c r="G2051" s="15"/>
      <c r="H2051" s="15"/>
      <c r="I2051" s="14"/>
      <c r="P2051" s="14"/>
    </row>
    <row r="2052" ht="18.75" customHeight="1">
      <c r="A2052" s="7" t="s">
        <v>3297</v>
      </c>
      <c r="B2052" s="9">
        <v>192.0</v>
      </c>
      <c r="C2052" s="9">
        <v>192.0</v>
      </c>
      <c r="D2052" s="9">
        <v>140.0</v>
      </c>
      <c r="E2052" s="9">
        <v>0.0</v>
      </c>
      <c r="F2052" s="14"/>
      <c r="G2052" s="15"/>
      <c r="H2052" s="15"/>
      <c r="I2052" s="14"/>
      <c r="P2052" s="14"/>
    </row>
    <row r="2053" ht="18.75" customHeight="1">
      <c r="A2053" s="7" t="s">
        <v>3298</v>
      </c>
      <c r="B2053" s="9">
        <v>48.0</v>
      </c>
      <c r="C2053" s="9">
        <v>48.0</v>
      </c>
      <c r="D2053" s="9">
        <v>31.0</v>
      </c>
      <c r="E2053" s="9">
        <v>0.0</v>
      </c>
      <c r="F2053" s="14"/>
      <c r="G2053" s="15"/>
      <c r="H2053" s="15"/>
      <c r="I2053" s="14"/>
      <c r="P2053" s="14"/>
    </row>
    <row r="2054" ht="18.75" customHeight="1">
      <c r="A2054" s="7" t="s">
        <v>3299</v>
      </c>
      <c r="B2054" s="9">
        <v>48.0</v>
      </c>
      <c r="C2054" s="9">
        <v>48.0</v>
      </c>
      <c r="D2054" s="9">
        <v>30.0</v>
      </c>
      <c r="E2054" s="9">
        <v>1.0</v>
      </c>
      <c r="F2054" s="14"/>
      <c r="G2054" s="15"/>
      <c r="H2054" s="15"/>
      <c r="I2054" s="14"/>
      <c r="P2054" s="14"/>
    </row>
    <row r="2055" ht="18.75" customHeight="1">
      <c r="A2055" s="7" t="s">
        <v>3300</v>
      </c>
      <c r="B2055" s="9">
        <v>84.0</v>
      </c>
      <c r="C2055" s="9">
        <v>81.0</v>
      </c>
      <c r="D2055" s="9">
        <v>48.0</v>
      </c>
      <c r="E2055" s="9">
        <v>2.0</v>
      </c>
      <c r="F2055" s="14"/>
      <c r="G2055" s="15"/>
      <c r="H2055" s="15"/>
      <c r="I2055" s="14"/>
      <c r="P2055" s="14"/>
    </row>
    <row r="2056" ht="18.75" customHeight="1">
      <c r="A2056" s="7" t="s">
        <v>3301</v>
      </c>
      <c r="B2056" s="9">
        <v>184.0</v>
      </c>
      <c r="C2056" s="9">
        <v>184.0</v>
      </c>
      <c r="D2056" s="9">
        <v>116.0</v>
      </c>
      <c r="E2056" s="9">
        <v>8.0</v>
      </c>
      <c r="F2056" s="14"/>
      <c r="G2056" s="15"/>
      <c r="H2056" s="15"/>
      <c r="I2056" s="14"/>
      <c r="P2056" s="14"/>
    </row>
    <row r="2057" ht="18.75" customHeight="1">
      <c r="A2057" s="7" t="s">
        <v>3300</v>
      </c>
      <c r="B2057" s="9">
        <v>62.0</v>
      </c>
      <c r="C2057" s="9">
        <v>60.0</v>
      </c>
      <c r="D2057" s="9">
        <v>35.0</v>
      </c>
      <c r="E2057" s="9">
        <v>2.0</v>
      </c>
      <c r="F2057" s="14"/>
      <c r="G2057" s="15"/>
      <c r="H2057" s="15"/>
      <c r="I2057" s="14"/>
      <c r="P2057" s="14"/>
    </row>
    <row r="2058" ht="18.75" customHeight="1">
      <c r="A2058" s="7" t="s">
        <v>3302</v>
      </c>
      <c r="B2058" s="9">
        <v>1297.0</v>
      </c>
      <c r="C2058" s="9">
        <v>1296.0</v>
      </c>
      <c r="D2058" s="9">
        <v>987.0</v>
      </c>
      <c r="E2058" s="9">
        <v>6.0</v>
      </c>
      <c r="F2058" s="14"/>
      <c r="G2058" s="15"/>
      <c r="H2058" s="15"/>
      <c r="I2058" s="14"/>
      <c r="P2058" s="14"/>
    </row>
    <row r="2059" ht="18.75" customHeight="1">
      <c r="A2059" s="7" t="s">
        <v>3303</v>
      </c>
      <c r="B2059" s="9">
        <v>128.0</v>
      </c>
      <c r="C2059" s="9">
        <v>127.0</v>
      </c>
      <c r="D2059" s="9">
        <v>79.0</v>
      </c>
      <c r="E2059" s="9">
        <v>3.0</v>
      </c>
      <c r="F2059" s="14"/>
      <c r="G2059" s="15"/>
      <c r="H2059" s="15"/>
      <c r="I2059" s="14"/>
      <c r="P2059" s="14"/>
    </row>
    <row r="2060" ht="18.75" customHeight="1">
      <c r="A2060" s="7" t="s">
        <v>3304</v>
      </c>
      <c r="B2060" s="9">
        <v>92.0</v>
      </c>
      <c r="C2060" s="9">
        <v>91.0</v>
      </c>
      <c r="D2060" s="9">
        <v>59.0</v>
      </c>
      <c r="E2060" s="9">
        <v>2.0</v>
      </c>
      <c r="F2060" s="14"/>
      <c r="G2060" s="15"/>
      <c r="H2060" s="15"/>
      <c r="I2060" s="14"/>
      <c r="P2060" s="14"/>
    </row>
    <row r="2061" ht="18.75" customHeight="1">
      <c r="A2061" s="7" t="s">
        <v>3305</v>
      </c>
      <c r="B2061" s="9">
        <v>86.0</v>
      </c>
      <c r="C2061" s="9">
        <v>86.0</v>
      </c>
      <c r="D2061" s="9">
        <v>58.0</v>
      </c>
      <c r="E2061" s="9">
        <v>1.0</v>
      </c>
      <c r="F2061" s="14"/>
      <c r="G2061" s="15"/>
      <c r="H2061" s="15"/>
      <c r="I2061" s="14"/>
      <c r="P2061" s="14"/>
    </row>
    <row r="2062" ht="18.75" customHeight="1">
      <c r="A2062" s="7" t="s">
        <v>3306</v>
      </c>
      <c r="B2062" s="9">
        <v>86.0</v>
      </c>
      <c r="C2062" s="9">
        <v>86.0</v>
      </c>
      <c r="D2062" s="9">
        <v>48.0</v>
      </c>
      <c r="E2062" s="9">
        <v>2.0</v>
      </c>
      <c r="F2062" s="14"/>
      <c r="G2062" s="15"/>
      <c r="H2062" s="15"/>
      <c r="I2062" s="14"/>
      <c r="P2062" s="14"/>
    </row>
    <row r="2063" ht="18.75" customHeight="1">
      <c r="A2063" s="7" t="s">
        <v>3307</v>
      </c>
      <c r="B2063" s="9">
        <v>129.0</v>
      </c>
      <c r="C2063" s="9">
        <v>128.0</v>
      </c>
      <c r="D2063" s="9">
        <v>74.0</v>
      </c>
      <c r="E2063" s="9">
        <v>2.0</v>
      </c>
      <c r="F2063" s="14"/>
      <c r="G2063" s="15"/>
      <c r="H2063" s="15"/>
      <c r="I2063" s="14"/>
      <c r="P2063" s="14"/>
    </row>
    <row r="2064" ht="18.75" customHeight="1">
      <c r="A2064" s="7" t="s">
        <v>3308</v>
      </c>
      <c r="B2064" s="9">
        <v>60.0</v>
      </c>
      <c r="C2064" s="9">
        <v>60.0</v>
      </c>
      <c r="D2064" s="9">
        <v>32.0</v>
      </c>
      <c r="E2064" s="9">
        <v>1.0</v>
      </c>
      <c r="F2064" s="14"/>
      <c r="G2064" s="15"/>
      <c r="H2064" s="15"/>
      <c r="I2064" s="14"/>
      <c r="P2064" s="14"/>
    </row>
    <row r="2065" ht="18.75" customHeight="1">
      <c r="A2065" s="7" t="s">
        <v>2815</v>
      </c>
      <c r="B2065" s="9">
        <v>271.0</v>
      </c>
      <c r="C2065" s="9">
        <v>271.0</v>
      </c>
      <c r="D2065" s="9">
        <v>165.0</v>
      </c>
      <c r="E2065" s="9">
        <v>2.0</v>
      </c>
      <c r="F2065" s="14"/>
      <c r="G2065" s="15"/>
      <c r="H2065" s="15"/>
      <c r="I2065" s="14"/>
      <c r="P2065" s="14"/>
    </row>
    <row r="2066" ht="18.75" customHeight="1">
      <c r="A2066" s="7" t="s">
        <v>3304</v>
      </c>
      <c r="B2066" s="9">
        <v>98.0</v>
      </c>
      <c r="C2066" s="9">
        <v>96.0</v>
      </c>
      <c r="D2066" s="9">
        <v>57.0</v>
      </c>
      <c r="E2066" s="9">
        <v>3.0</v>
      </c>
      <c r="F2066" s="14"/>
      <c r="G2066" s="15"/>
      <c r="H2066" s="15"/>
      <c r="I2066" s="14"/>
      <c r="P2066" s="14"/>
    </row>
    <row r="2067" ht="18.75" customHeight="1">
      <c r="A2067" s="7" t="s">
        <v>2846</v>
      </c>
      <c r="B2067" s="9">
        <v>313.0</v>
      </c>
      <c r="C2067" s="9">
        <v>313.0</v>
      </c>
      <c r="D2067" s="9">
        <v>195.0</v>
      </c>
      <c r="E2067" s="9">
        <v>2.0</v>
      </c>
      <c r="F2067" s="14"/>
      <c r="G2067" s="15"/>
      <c r="H2067" s="15"/>
      <c r="I2067" s="14"/>
      <c r="P2067" s="14"/>
    </row>
    <row r="2068" ht="18.75" customHeight="1">
      <c r="A2068" s="7" t="s">
        <v>2847</v>
      </c>
      <c r="B2068" s="9">
        <v>131.0</v>
      </c>
      <c r="C2068" s="9">
        <v>130.0</v>
      </c>
      <c r="D2068" s="9">
        <v>74.0</v>
      </c>
      <c r="E2068" s="9">
        <v>2.0</v>
      </c>
      <c r="F2068" s="14"/>
      <c r="G2068" s="15"/>
      <c r="H2068" s="15"/>
      <c r="I2068" s="14"/>
      <c r="P2068" s="14"/>
    </row>
    <row r="2069" ht="18.75" customHeight="1">
      <c r="A2069" s="7" t="s">
        <v>3309</v>
      </c>
      <c r="B2069" s="9">
        <v>119.0</v>
      </c>
      <c r="C2069" s="9">
        <v>119.0</v>
      </c>
      <c r="D2069" s="9">
        <v>70.0</v>
      </c>
      <c r="E2069" s="9">
        <v>0.0</v>
      </c>
      <c r="F2069" s="14"/>
      <c r="G2069" s="15"/>
      <c r="H2069" s="15"/>
      <c r="I2069" s="14"/>
      <c r="P2069" s="14"/>
    </row>
    <row r="2070" ht="18.75" customHeight="1">
      <c r="A2070" s="7" t="s">
        <v>2783</v>
      </c>
      <c r="B2070" s="9">
        <v>171.0</v>
      </c>
      <c r="C2070" s="9">
        <v>171.0</v>
      </c>
      <c r="D2070" s="9">
        <v>91.0</v>
      </c>
      <c r="E2070" s="9">
        <v>1.0</v>
      </c>
      <c r="F2070" s="14"/>
      <c r="G2070" s="15"/>
      <c r="H2070" s="15"/>
      <c r="I2070" s="14"/>
      <c r="P2070" s="14"/>
    </row>
    <row r="2071" ht="18.75" customHeight="1">
      <c r="A2071" s="7" t="s">
        <v>3310</v>
      </c>
      <c r="B2071" s="9">
        <v>84.0</v>
      </c>
      <c r="C2071" s="9">
        <v>83.0</v>
      </c>
      <c r="D2071" s="9">
        <v>51.0</v>
      </c>
      <c r="E2071" s="9">
        <v>3.0</v>
      </c>
      <c r="F2071" s="14"/>
      <c r="G2071" s="15"/>
      <c r="H2071" s="15"/>
      <c r="I2071" s="14"/>
      <c r="P2071" s="14"/>
    </row>
    <row r="2072" ht="18.75" customHeight="1">
      <c r="A2072" s="7" t="s">
        <v>3311</v>
      </c>
      <c r="B2072" s="9">
        <v>80.0</v>
      </c>
      <c r="C2072" s="9">
        <v>79.0</v>
      </c>
      <c r="D2072" s="9">
        <v>42.0</v>
      </c>
      <c r="E2072" s="9">
        <v>3.0</v>
      </c>
      <c r="F2072" s="14"/>
      <c r="G2072" s="15"/>
      <c r="H2072" s="15"/>
      <c r="I2072" s="14"/>
      <c r="P2072" s="14"/>
    </row>
    <row r="2073" ht="18.75" customHeight="1">
      <c r="A2073" s="7" t="s">
        <v>2848</v>
      </c>
      <c r="B2073" s="9">
        <v>272.0</v>
      </c>
      <c r="C2073" s="9">
        <v>271.0</v>
      </c>
      <c r="D2073" s="9">
        <v>159.0</v>
      </c>
      <c r="E2073" s="9">
        <v>2.0</v>
      </c>
      <c r="F2073" s="14"/>
      <c r="G2073" s="15"/>
      <c r="H2073" s="15"/>
      <c r="I2073" s="14"/>
      <c r="P2073" s="14"/>
    </row>
    <row r="2074" ht="18.75" customHeight="1">
      <c r="A2074" s="7" t="s">
        <v>3195</v>
      </c>
      <c r="B2074" s="9">
        <v>79.0</v>
      </c>
      <c r="C2074" s="9">
        <v>78.0</v>
      </c>
      <c r="D2074" s="9">
        <v>54.0</v>
      </c>
      <c r="E2074" s="9">
        <v>2.0</v>
      </c>
      <c r="F2074" s="14"/>
      <c r="G2074" s="15"/>
      <c r="H2074" s="15"/>
      <c r="I2074" s="14"/>
      <c r="P2074" s="14"/>
    </row>
    <row r="2075" ht="18.75" customHeight="1">
      <c r="A2075" s="7" t="s">
        <v>3312</v>
      </c>
      <c r="B2075" s="9">
        <v>136.0</v>
      </c>
      <c r="C2075" s="9">
        <v>134.0</v>
      </c>
      <c r="D2075" s="9">
        <v>82.0</v>
      </c>
      <c r="E2075" s="9">
        <v>3.0</v>
      </c>
      <c r="F2075" s="14"/>
      <c r="G2075" s="15"/>
      <c r="H2075" s="15"/>
      <c r="I2075" s="14"/>
      <c r="P2075" s="14"/>
    </row>
    <row r="2076" ht="18.75" customHeight="1">
      <c r="A2076" s="7" t="s">
        <v>3313</v>
      </c>
      <c r="B2076" s="9">
        <v>139.0</v>
      </c>
      <c r="C2076" s="9">
        <v>138.0</v>
      </c>
      <c r="D2076" s="9">
        <v>101.0</v>
      </c>
      <c r="E2076" s="9">
        <v>2.0</v>
      </c>
      <c r="F2076" s="14"/>
      <c r="G2076" s="15"/>
      <c r="H2076" s="15"/>
      <c r="I2076" s="14"/>
      <c r="P2076" s="14"/>
    </row>
    <row r="2077" ht="18.75" customHeight="1">
      <c r="A2077" s="7" t="s">
        <v>3307</v>
      </c>
      <c r="B2077" s="9">
        <v>92.0</v>
      </c>
      <c r="C2077" s="9">
        <v>91.0</v>
      </c>
      <c r="D2077" s="9">
        <v>45.0</v>
      </c>
      <c r="E2077" s="9">
        <v>3.0</v>
      </c>
      <c r="F2077" s="14"/>
      <c r="G2077" s="15"/>
      <c r="H2077" s="15"/>
      <c r="I2077" s="14"/>
      <c r="P2077" s="14"/>
    </row>
    <row r="2078" ht="18.75" customHeight="1">
      <c r="A2078" s="7" t="s">
        <v>3314</v>
      </c>
      <c r="B2078" s="9">
        <v>168.0</v>
      </c>
      <c r="C2078" s="9">
        <v>167.0</v>
      </c>
      <c r="D2078" s="9">
        <v>104.0</v>
      </c>
      <c r="E2078" s="9">
        <v>1.0</v>
      </c>
      <c r="F2078" s="14"/>
      <c r="G2078" s="15"/>
      <c r="H2078" s="15"/>
      <c r="I2078" s="14"/>
      <c r="P2078" s="14"/>
    </row>
    <row r="2079" ht="18.75" customHeight="1">
      <c r="A2079" s="7" t="s">
        <v>3315</v>
      </c>
      <c r="B2079" s="9">
        <v>131.0</v>
      </c>
      <c r="C2079" s="9">
        <v>131.0</v>
      </c>
      <c r="D2079" s="9">
        <v>80.0</v>
      </c>
      <c r="E2079" s="9">
        <v>1.0</v>
      </c>
      <c r="F2079" s="14"/>
      <c r="G2079" s="15"/>
      <c r="H2079" s="15"/>
      <c r="I2079" s="14"/>
      <c r="P2079" s="14"/>
    </row>
    <row r="2080" ht="18.75" customHeight="1">
      <c r="A2080" s="7" t="s">
        <v>2831</v>
      </c>
      <c r="B2080" s="9">
        <v>342.0</v>
      </c>
      <c r="C2080" s="9">
        <v>342.0</v>
      </c>
      <c r="D2080" s="9">
        <v>144.0</v>
      </c>
      <c r="E2080" s="9">
        <v>2.0</v>
      </c>
      <c r="F2080" s="14"/>
      <c r="G2080" s="15"/>
      <c r="H2080" s="15"/>
      <c r="I2080" s="14"/>
      <c r="P2080" s="14"/>
    </row>
    <row r="2081" ht="18.75" customHeight="1">
      <c r="A2081" s="7" t="s">
        <v>3314</v>
      </c>
      <c r="B2081" s="9">
        <v>167.0</v>
      </c>
      <c r="C2081" s="9">
        <v>167.0</v>
      </c>
      <c r="D2081" s="9">
        <v>105.0</v>
      </c>
      <c r="E2081" s="9">
        <v>6.0</v>
      </c>
      <c r="F2081" s="14"/>
      <c r="G2081" s="15"/>
      <c r="H2081" s="15"/>
      <c r="I2081" s="14"/>
      <c r="P2081" s="14"/>
    </row>
    <row r="2082" ht="18.75" customHeight="1">
      <c r="A2082" s="7" t="s">
        <v>3316</v>
      </c>
      <c r="B2082" s="9">
        <v>148.0</v>
      </c>
      <c r="C2082" s="9">
        <v>146.0</v>
      </c>
      <c r="D2082" s="9">
        <v>108.0</v>
      </c>
      <c r="E2082" s="9">
        <v>3.0</v>
      </c>
      <c r="F2082" s="14"/>
      <c r="G2082" s="15"/>
      <c r="H2082" s="15"/>
      <c r="I2082" s="14"/>
      <c r="P2082" s="14"/>
    </row>
    <row r="2083" ht="18.75" customHeight="1">
      <c r="A2083" s="7" t="s">
        <v>3317</v>
      </c>
      <c r="B2083" s="9">
        <v>41.0</v>
      </c>
      <c r="C2083" s="9">
        <v>41.0</v>
      </c>
      <c r="D2083" s="9">
        <v>27.0</v>
      </c>
      <c r="E2083" s="9">
        <v>0.0</v>
      </c>
      <c r="F2083" s="14"/>
      <c r="G2083" s="15"/>
      <c r="H2083" s="15"/>
      <c r="I2083" s="14"/>
      <c r="P2083" s="14"/>
    </row>
    <row r="2084" ht="18.75" customHeight="1">
      <c r="A2084" s="7" t="s">
        <v>3315</v>
      </c>
      <c r="B2084" s="9">
        <v>130.0</v>
      </c>
      <c r="C2084" s="9">
        <v>130.0</v>
      </c>
      <c r="D2084" s="9">
        <v>73.0</v>
      </c>
      <c r="E2084" s="9">
        <v>2.0</v>
      </c>
      <c r="F2084" s="14"/>
      <c r="G2084" s="15"/>
      <c r="H2084" s="15"/>
      <c r="I2084" s="14"/>
      <c r="P2084" s="14"/>
    </row>
    <row r="2085" ht="18.75" customHeight="1">
      <c r="A2085" s="7" t="s">
        <v>3318</v>
      </c>
      <c r="B2085" s="9">
        <v>185.0</v>
      </c>
      <c r="C2085" s="9">
        <v>184.0</v>
      </c>
      <c r="D2085" s="9">
        <v>118.0</v>
      </c>
      <c r="E2085" s="9">
        <v>3.0</v>
      </c>
      <c r="F2085" s="14"/>
      <c r="G2085" s="15"/>
      <c r="H2085" s="15"/>
      <c r="I2085" s="14"/>
      <c r="P2085" s="14"/>
    </row>
    <row r="2086" ht="18.75" customHeight="1">
      <c r="A2086" s="7" t="s">
        <v>3306</v>
      </c>
      <c r="B2086" s="9">
        <v>91.0</v>
      </c>
      <c r="C2086" s="9">
        <v>91.0</v>
      </c>
      <c r="D2086" s="9">
        <v>54.0</v>
      </c>
      <c r="E2086" s="9">
        <v>0.0</v>
      </c>
      <c r="F2086" s="14"/>
      <c r="G2086" s="15"/>
      <c r="H2086" s="15"/>
      <c r="I2086" s="14"/>
      <c r="P2086" s="14"/>
    </row>
    <row r="2087" ht="18.75" customHeight="1">
      <c r="A2087" s="7" t="s">
        <v>3295</v>
      </c>
      <c r="B2087" s="9">
        <v>56.0</v>
      </c>
      <c r="C2087" s="9">
        <v>56.0</v>
      </c>
      <c r="D2087" s="9">
        <v>38.0</v>
      </c>
      <c r="E2087" s="9">
        <v>0.0</v>
      </c>
      <c r="F2087" s="14"/>
      <c r="G2087" s="15"/>
      <c r="H2087" s="15"/>
      <c r="I2087" s="14"/>
      <c r="P2087" s="14"/>
    </row>
    <row r="2088" ht="18.75" customHeight="1">
      <c r="A2088" s="7" t="s">
        <v>3316</v>
      </c>
      <c r="B2088" s="9">
        <v>146.0</v>
      </c>
      <c r="C2088" s="9">
        <v>144.0</v>
      </c>
      <c r="D2088" s="9">
        <v>92.0</v>
      </c>
      <c r="E2088" s="9">
        <v>2.0</v>
      </c>
      <c r="F2088" s="14"/>
      <c r="G2088" s="15"/>
      <c r="H2088" s="15"/>
      <c r="I2088" s="14"/>
      <c r="P2088" s="14"/>
    </row>
    <row r="2089" ht="18.75" customHeight="1">
      <c r="A2089" s="7" t="s">
        <v>3319</v>
      </c>
      <c r="B2089" s="9">
        <v>87.0</v>
      </c>
      <c r="C2089" s="9">
        <v>86.0</v>
      </c>
      <c r="D2089" s="9">
        <v>56.0</v>
      </c>
      <c r="E2089" s="9">
        <v>2.0</v>
      </c>
      <c r="F2089" s="14"/>
      <c r="G2089" s="15"/>
      <c r="H2089" s="15"/>
      <c r="I2089" s="14"/>
      <c r="P2089" s="14"/>
    </row>
    <row r="2090" ht="18.75" customHeight="1">
      <c r="A2090" s="7" t="s">
        <v>2885</v>
      </c>
      <c r="B2090" s="9">
        <v>94.0</v>
      </c>
      <c r="C2090" s="9">
        <v>94.0</v>
      </c>
      <c r="D2090" s="9">
        <v>71.0</v>
      </c>
      <c r="E2090" s="9">
        <v>0.0</v>
      </c>
      <c r="F2090" s="14"/>
      <c r="G2090" s="15"/>
      <c r="H2090" s="15"/>
      <c r="I2090" s="14"/>
      <c r="P2090" s="14"/>
    </row>
    <row r="2091" ht="18.75" customHeight="1">
      <c r="A2091" s="7" t="s">
        <v>2831</v>
      </c>
      <c r="B2091" s="9">
        <v>342.0</v>
      </c>
      <c r="C2091" s="9">
        <v>342.0</v>
      </c>
      <c r="D2091" s="9">
        <v>213.0</v>
      </c>
      <c r="E2091" s="9">
        <v>3.0</v>
      </c>
      <c r="F2091" s="14"/>
      <c r="G2091" s="15"/>
      <c r="H2091" s="15"/>
      <c r="I2091" s="14"/>
      <c r="P2091" s="14"/>
    </row>
    <row r="2092" ht="18.75" customHeight="1">
      <c r="A2092" s="7" t="s">
        <v>3298</v>
      </c>
      <c r="B2092" s="9">
        <v>48.0</v>
      </c>
      <c r="C2092" s="9">
        <v>48.0</v>
      </c>
      <c r="D2092" s="9">
        <v>30.0</v>
      </c>
      <c r="E2092" s="9">
        <v>0.0</v>
      </c>
      <c r="F2092" s="14"/>
      <c r="G2092" s="15"/>
      <c r="H2092" s="15"/>
      <c r="I2092" s="14"/>
      <c r="P2092" s="14"/>
    </row>
    <row r="2093" ht="18.75" customHeight="1">
      <c r="A2093" s="7" t="s">
        <v>3320</v>
      </c>
      <c r="B2093" s="9">
        <v>158.0</v>
      </c>
      <c r="C2093" s="9">
        <v>158.0</v>
      </c>
      <c r="D2093" s="9">
        <v>129.0</v>
      </c>
      <c r="E2093" s="9">
        <v>0.0</v>
      </c>
      <c r="F2093" s="14"/>
      <c r="G2093" s="15"/>
      <c r="H2093" s="15"/>
      <c r="I2093" s="14"/>
      <c r="P2093" s="14"/>
    </row>
    <row r="2094" ht="18.75" customHeight="1">
      <c r="A2094" s="7" t="s">
        <v>3321</v>
      </c>
      <c r="B2094" s="9">
        <v>68.0</v>
      </c>
      <c r="C2094" s="9">
        <v>68.0</v>
      </c>
      <c r="D2094" s="9">
        <v>51.0</v>
      </c>
      <c r="E2094" s="9">
        <v>0.0</v>
      </c>
      <c r="F2094" s="14"/>
      <c r="G2094" s="15"/>
      <c r="H2094" s="15"/>
      <c r="I2094" s="14"/>
      <c r="P2094" s="14"/>
    </row>
    <row r="2095" ht="18.75" customHeight="1">
      <c r="A2095" s="7" t="s">
        <v>3317</v>
      </c>
      <c r="B2095" s="9">
        <v>41.0</v>
      </c>
      <c r="C2095" s="9">
        <v>41.0</v>
      </c>
      <c r="D2095" s="9">
        <v>25.0</v>
      </c>
      <c r="E2095" s="9">
        <v>0.0</v>
      </c>
      <c r="F2095" s="14"/>
      <c r="G2095" s="15"/>
      <c r="H2095" s="15"/>
      <c r="I2095" s="14"/>
      <c r="P2095" s="14"/>
    </row>
    <row r="2096" ht="18.75" customHeight="1">
      <c r="A2096" s="7" t="s">
        <v>3320</v>
      </c>
      <c r="B2096" s="9">
        <v>158.0</v>
      </c>
      <c r="C2096" s="9">
        <v>158.0</v>
      </c>
      <c r="D2096" s="9">
        <v>113.0</v>
      </c>
      <c r="E2096" s="9">
        <v>4.0</v>
      </c>
      <c r="F2096" s="14"/>
      <c r="G2096" s="15"/>
      <c r="H2096" s="15"/>
      <c r="I2096" s="14"/>
      <c r="P2096" s="14"/>
    </row>
    <row r="2097" ht="18.75" customHeight="1">
      <c r="A2097" s="7" t="s">
        <v>3322</v>
      </c>
      <c r="B2097" s="9">
        <v>80.0</v>
      </c>
      <c r="C2097" s="9">
        <v>78.0</v>
      </c>
      <c r="D2097" s="9">
        <v>51.0</v>
      </c>
      <c r="E2097" s="9">
        <v>4.0</v>
      </c>
      <c r="F2097" s="14"/>
      <c r="G2097" s="15"/>
      <c r="H2097" s="15"/>
      <c r="I2097" s="14"/>
      <c r="P2097" s="14"/>
    </row>
    <row r="2098" ht="18.75" customHeight="1">
      <c r="A2098" s="7" t="s">
        <v>2833</v>
      </c>
      <c r="B2098" s="9">
        <v>317.0</v>
      </c>
      <c r="C2098" s="9">
        <v>316.0</v>
      </c>
      <c r="D2098" s="9">
        <v>196.0</v>
      </c>
      <c r="E2098" s="9">
        <v>4.0</v>
      </c>
      <c r="F2098" s="14"/>
      <c r="G2098" s="15"/>
      <c r="H2098" s="15"/>
      <c r="I2098" s="14"/>
      <c r="P2098" s="14"/>
    </row>
    <row r="2099" ht="18.75" customHeight="1">
      <c r="A2099" s="7" t="s">
        <v>3297</v>
      </c>
      <c r="B2099" s="9">
        <v>192.0</v>
      </c>
      <c r="C2099" s="9">
        <v>192.0</v>
      </c>
      <c r="D2099" s="9">
        <v>125.0</v>
      </c>
      <c r="E2099" s="9">
        <v>5.0</v>
      </c>
      <c r="F2099" s="14"/>
      <c r="G2099" s="15"/>
      <c r="H2099" s="15"/>
      <c r="I2099" s="14"/>
      <c r="P2099" s="14"/>
    </row>
    <row r="2100" ht="18.75" customHeight="1">
      <c r="A2100" s="7" t="s">
        <v>3323</v>
      </c>
      <c r="B2100" s="9">
        <v>91.0</v>
      </c>
      <c r="C2100" s="9">
        <v>91.0</v>
      </c>
      <c r="D2100" s="9">
        <v>59.0</v>
      </c>
      <c r="E2100" s="9">
        <v>1.0</v>
      </c>
      <c r="F2100" s="14"/>
      <c r="G2100" s="15"/>
      <c r="H2100" s="15"/>
      <c r="I2100" s="14"/>
      <c r="P2100" s="14"/>
    </row>
    <row r="2101" ht="18.75" customHeight="1">
      <c r="A2101" s="7" t="s">
        <v>3321</v>
      </c>
      <c r="B2101" s="9">
        <v>68.0</v>
      </c>
      <c r="C2101" s="9">
        <v>68.0</v>
      </c>
      <c r="D2101" s="9">
        <v>41.0</v>
      </c>
      <c r="E2101" s="9">
        <v>0.0</v>
      </c>
      <c r="F2101" s="14"/>
      <c r="G2101" s="15"/>
      <c r="H2101" s="15"/>
      <c r="I2101" s="14"/>
      <c r="P2101" s="14"/>
    </row>
    <row r="2102" ht="18.75" customHeight="1">
      <c r="A2102" s="7" t="s">
        <v>3324</v>
      </c>
      <c r="B2102" s="9">
        <v>78.0</v>
      </c>
      <c r="C2102" s="9">
        <v>77.0</v>
      </c>
      <c r="D2102" s="9">
        <v>44.0</v>
      </c>
      <c r="E2102" s="9">
        <v>1.0</v>
      </c>
      <c r="F2102" s="14"/>
      <c r="G2102" s="15"/>
      <c r="H2102" s="15"/>
      <c r="I2102" s="14"/>
      <c r="P2102" s="14"/>
    </row>
    <row r="2103" ht="18.75" customHeight="1">
      <c r="A2103" s="7" t="s">
        <v>2785</v>
      </c>
      <c r="B2103" s="9">
        <v>200.0</v>
      </c>
      <c r="C2103" s="9">
        <v>200.0</v>
      </c>
      <c r="D2103" s="9">
        <v>117.0</v>
      </c>
      <c r="E2103" s="9">
        <v>3.0</v>
      </c>
      <c r="F2103" s="14"/>
      <c r="G2103" s="15"/>
      <c r="H2103" s="15"/>
      <c r="I2103" s="14"/>
      <c r="P2103" s="14"/>
    </row>
    <row r="2104" ht="18.75" customHeight="1">
      <c r="A2104" s="7" t="s">
        <v>2817</v>
      </c>
      <c r="B2104" s="9">
        <v>213.0</v>
      </c>
      <c r="C2104" s="9">
        <v>213.0</v>
      </c>
      <c r="D2104" s="9">
        <v>131.0</v>
      </c>
      <c r="E2104" s="9">
        <v>3.0</v>
      </c>
      <c r="F2104" s="14"/>
      <c r="G2104" s="15"/>
      <c r="H2104" s="15"/>
      <c r="I2104" s="14"/>
      <c r="P2104" s="14"/>
    </row>
    <row r="2105" ht="18.75" customHeight="1">
      <c r="A2105" s="7" t="s">
        <v>3325</v>
      </c>
      <c r="B2105" s="9">
        <v>214.0</v>
      </c>
      <c r="C2105" s="9">
        <v>214.0</v>
      </c>
      <c r="D2105" s="9">
        <v>142.0</v>
      </c>
      <c r="E2105" s="9">
        <v>3.0</v>
      </c>
      <c r="F2105" s="14"/>
      <c r="G2105" s="15"/>
      <c r="H2105" s="15"/>
      <c r="I2105" s="14"/>
      <c r="P2105" s="14"/>
    </row>
    <row r="2106" ht="18.75" customHeight="1">
      <c r="A2106" s="7" t="s">
        <v>3323</v>
      </c>
      <c r="B2106" s="9">
        <v>91.0</v>
      </c>
      <c r="C2106" s="9">
        <v>91.0</v>
      </c>
      <c r="D2106" s="9">
        <v>53.0</v>
      </c>
      <c r="E2106" s="9">
        <v>0.0</v>
      </c>
      <c r="F2106" s="14"/>
      <c r="G2106" s="15"/>
      <c r="H2106" s="15"/>
      <c r="I2106" s="14"/>
      <c r="P2106" s="14"/>
    </row>
    <row r="2107" ht="18.75" customHeight="1">
      <c r="A2107" s="7" t="s">
        <v>2834</v>
      </c>
      <c r="B2107" s="9">
        <v>164.0</v>
      </c>
      <c r="C2107" s="9">
        <v>164.0</v>
      </c>
      <c r="D2107" s="9">
        <v>111.0</v>
      </c>
      <c r="E2107" s="9">
        <v>0.0</v>
      </c>
      <c r="F2107" s="14"/>
      <c r="G2107" s="15"/>
      <c r="H2107" s="15"/>
      <c r="I2107" s="14"/>
      <c r="P2107" s="14"/>
    </row>
    <row r="2108" ht="18.75" customHeight="1">
      <c r="A2108" s="7" t="s">
        <v>3326</v>
      </c>
      <c r="B2108" s="9">
        <v>70.0</v>
      </c>
      <c r="C2108" s="9">
        <v>69.0</v>
      </c>
      <c r="D2108" s="9">
        <v>46.0</v>
      </c>
      <c r="E2108" s="9">
        <v>1.0</v>
      </c>
      <c r="F2108" s="14"/>
      <c r="G2108" s="15"/>
      <c r="H2108" s="15"/>
      <c r="I2108" s="14"/>
      <c r="P2108" s="14"/>
    </row>
    <row r="2109" ht="18.75" customHeight="1">
      <c r="A2109" s="7" t="s">
        <v>3327</v>
      </c>
      <c r="B2109" s="9">
        <v>64.0</v>
      </c>
      <c r="C2109" s="9">
        <v>62.0</v>
      </c>
      <c r="D2109" s="9">
        <v>37.0</v>
      </c>
      <c r="E2109" s="9">
        <v>1.0</v>
      </c>
      <c r="F2109" s="14"/>
      <c r="G2109" s="15"/>
      <c r="H2109" s="15"/>
      <c r="I2109" s="14"/>
      <c r="P2109" s="14"/>
    </row>
    <row r="2110" ht="18.75" customHeight="1">
      <c r="A2110" s="7" t="s">
        <v>2832</v>
      </c>
      <c r="B2110" s="9">
        <v>262.0</v>
      </c>
      <c r="C2110" s="9">
        <v>260.0</v>
      </c>
      <c r="D2110" s="9">
        <v>134.0</v>
      </c>
      <c r="E2110" s="9">
        <v>1.0</v>
      </c>
      <c r="F2110" s="14"/>
      <c r="G2110" s="15"/>
      <c r="H2110" s="15"/>
      <c r="I2110" s="14"/>
      <c r="P2110" s="14"/>
    </row>
    <row r="2111" ht="18.75" customHeight="1">
      <c r="A2111" s="7" t="s">
        <v>2835</v>
      </c>
      <c r="B2111" s="9">
        <v>220.0</v>
      </c>
      <c r="C2111" s="9">
        <v>218.0</v>
      </c>
      <c r="D2111" s="9">
        <v>134.0</v>
      </c>
      <c r="E2111" s="9">
        <v>2.0</v>
      </c>
      <c r="F2111" s="14"/>
      <c r="G2111" s="15"/>
      <c r="H2111" s="15"/>
      <c r="I2111" s="14"/>
      <c r="P2111" s="14"/>
    </row>
    <row r="2112" ht="18.75" customHeight="1">
      <c r="A2112" s="7" t="s">
        <v>3328</v>
      </c>
      <c r="B2112" s="9">
        <v>59.0</v>
      </c>
      <c r="C2112" s="9">
        <v>59.0</v>
      </c>
      <c r="D2112" s="9">
        <v>41.0</v>
      </c>
      <c r="E2112" s="9">
        <v>1.0</v>
      </c>
      <c r="F2112" s="14"/>
      <c r="G2112" s="15"/>
      <c r="H2112" s="15"/>
      <c r="I2112" s="14"/>
      <c r="P2112" s="14"/>
    </row>
    <row r="2113" ht="18.75" customHeight="1">
      <c r="A2113" s="7" t="s">
        <v>3329</v>
      </c>
      <c r="B2113" s="9">
        <v>49.0</v>
      </c>
      <c r="C2113" s="9">
        <v>49.0</v>
      </c>
      <c r="D2113" s="9">
        <v>30.0</v>
      </c>
      <c r="E2113" s="9">
        <v>0.0</v>
      </c>
      <c r="F2113" s="14"/>
      <c r="G2113" s="15"/>
      <c r="H2113" s="15"/>
      <c r="I2113" s="14"/>
      <c r="P2113" s="14"/>
    </row>
    <row r="2114" ht="18.75" customHeight="1">
      <c r="A2114" s="7" t="s">
        <v>2877</v>
      </c>
      <c r="B2114" s="9">
        <v>45.0</v>
      </c>
      <c r="C2114" s="9">
        <v>45.0</v>
      </c>
      <c r="D2114" s="9">
        <v>29.0</v>
      </c>
      <c r="E2114" s="9">
        <v>1.0</v>
      </c>
      <c r="F2114" s="14"/>
      <c r="G2114" s="15"/>
      <c r="H2114" s="15"/>
      <c r="I2114" s="14"/>
      <c r="P2114" s="14"/>
    </row>
    <row r="2115" ht="18.75" customHeight="1">
      <c r="A2115" s="7" t="s">
        <v>2833</v>
      </c>
      <c r="B2115" s="9">
        <v>311.0</v>
      </c>
      <c r="C2115" s="9">
        <v>310.0</v>
      </c>
      <c r="D2115" s="9">
        <v>175.0</v>
      </c>
      <c r="E2115" s="9">
        <v>2.0</v>
      </c>
      <c r="F2115" s="14"/>
      <c r="G2115" s="15"/>
      <c r="H2115" s="15"/>
      <c r="I2115" s="14"/>
      <c r="P2115" s="14"/>
    </row>
    <row r="2116" ht="18.75" customHeight="1">
      <c r="A2116" s="7" t="s">
        <v>3330</v>
      </c>
      <c r="B2116" s="9">
        <v>50.0</v>
      </c>
      <c r="C2116" s="9">
        <v>50.0</v>
      </c>
      <c r="D2116" s="9">
        <v>37.0</v>
      </c>
      <c r="E2116" s="9">
        <v>2.0</v>
      </c>
      <c r="F2116" s="14"/>
      <c r="G2116" s="15"/>
      <c r="H2116" s="15"/>
      <c r="I2116" s="14"/>
      <c r="P2116" s="14"/>
    </row>
    <row r="2117" ht="18.75" customHeight="1">
      <c r="A2117" s="7" t="s">
        <v>3331</v>
      </c>
      <c r="B2117" s="9">
        <v>60.0</v>
      </c>
      <c r="C2117" s="9">
        <v>60.0</v>
      </c>
      <c r="D2117" s="9">
        <v>39.0</v>
      </c>
      <c r="E2117" s="9">
        <v>0.0</v>
      </c>
      <c r="F2117" s="14"/>
      <c r="G2117" s="15"/>
      <c r="H2117" s="15"/>
      <c r="I2117" s="14"/>
      <c r="P2117" s="14"/>
    </row>
    <row r="2118" ht="18.75" customHeight="1">
      <c r="A2118" s="7" t="s">
        <v>2837</v>
      </c>
      <c r="B2118" s="9">
        <v>302.0</v>
      </c>
      <c r="C2118" s="9">
        <v>301.0</v>
      </c>
      <c r="D2118" s="9">
        <v>228.0</v>
      </c>
      <c r="E2118" s="9">
        <v>5.0</v>
      </c>
      <c r="F2118" s="14"/>
      <c r="G2118" s="15"/>
      <c r="H2118" s="15"/>
      <c r="I2118" s="14"/>
      <c r="P2118" s="14"/>
    </row>
    <row r="2119" ht="18.75" customHeight="1">
      <c r="A2119" s="7" t="s">
        <v>2836</v>
      </c>
      <c r="B2119" s="9">
        <v>240.0</v>
      </c>
      <c r="C2119" s="9">
        <v>240.0</v>
      </c>
      <c r="D2119" s="9">
        <v>144.0</v>
      </c>
      <c r="E2119" s="9">
        <v>1.0</v>
      </c>
      <c r="F2119" s="14"/>
      <c r="G2119" s="15"/>
      <c r="H2119" s="15"/>
      <c r="I2119" s="14"/>
      <c r="P2119" s="14"/>
    </row>
    <row r="2120" ht="18.75" customHeight="1">
      <c r="A2120" s="7" t="s">
        <v>3326</v>
      </c>
      <c r="B2120" s="9">
        <v>70.0</v>
      </c>
      <c r="C2120" s="9">
        <v>69.0</v>
      </c>
      <c r="D2120" s="9">
        <v>39.0</v>
      </c>
      <c r="E2120" s="9">
        <v>3.0</v>
      </c>
      <c r="F2120" s="14"/>
      <c r="G2120" s="15"/>
      <c r="H2120" s="15"/>
      <c r="I2120" s="14"/>
      <c r="P2120" s="14"/>
    </row>
    <row r="2121" ht="18.75" customHeight="1">
      <c r="A2121" s="7" t="s">
        <v>3332</v>
      </c>
      <c r="B2121" s="9">
        <v>63.0</v>
      </c>
      <c r="C2121" s="9">
        <v>62.0</v>
      </c>
      <c r="D2121" s="9">
        <v>39.0</v>
      </c>
      <c r="E2121" s="9">
        <v>2.0</v>
      </c>
      <c r="F2121" s="14"/>
      <c r="G2121" s="15"/>
      <c r="H2121" s="15"/>
      <c r="I2121" s="14"/>
      <c r="P2121" s="14"/>
    </row>
    <row r="2122" ht="18.75" customHeight="1">
      <c r="A2122" s="7" t="s">
        <v>3333</v>
      </c>
      <c r="B2122" s="9">
        <v>92.0</v>
      </c>
      <c r="C2122" s="9">
        <v>91.0</v>
      </c>
      <c r="D2122" s="9">
        <v>59.0</v>
      </c>
      <c r="E2122" s="9">
        <v>1.0</v>
      </c>
      <c r="F2122" s="14"/>
      <c r="G2122" s="15"/>
      <c r="H2122" s="15"/>
      <c r="I2122" s="14"/>
      <c r="P2122" s="14"/>
    </row>
    <row r="2123" ht="18.75" customHeight="1">
      <c r="A2123" s="7" t="s">
        <v>3327</v>
      </c>
      <c r="B2123" s="9">
        <v>63.0</v>
      </c>
      <c r="C2123" s="9">
        <v>62.0</v>
      </c>
      <c r="D2123" s="9">
        <v>35.0</v>
      </c>
      <c r="E2123" s="9">
        <v>1.0</v>
      </c>
      <c r="F2123" s="14"/>
      <c r="G2123" s="15"/>
      <c r="H2123" s="15"/>
      <c r="I2123" s="14"/>
      <c r="P2123" s="14"/>
    </row>
    <row r="2124" ht="18.75" customHeight="1">
      <c r="A2124" s="7" t="s">
        <v>3329</v>
      </c>
      <c r="B2124" s="9">
        <v>49.0</v>
      </c>
      <c r="C2124" s="9">
        <v>49.0</v>
      </c>
      <c r="D2124" s="9">
        <v>29.0</v>
      </c>
      <c r="E2124" s="9">
        <v>0.0</v>
      </c>
      <c r="F2124" s="14"/>
      <c r="G2124" s="15"/>
      <c r="H2124" s="15"/>
      <c r="I2124" s="14"/>
      <c r="P2124" s="14"/>
    </row>
    <row r="2125" ht="18.75" customHeight="1">
      <c r="A2125" s="7" t="s">
        <v>2834</v>
      </c>
      <c r="B2125" s="9">
        <v>174.0</v>
      </c>
      <c r="C2125" s="9">
        <v>174.0</v>
      </c>
      <c r="D2125" s="9">
        <v>97.0</v>
      </c>
      <c r="E2125" s="9">
        <v>2.0</v>
      </c>
      <c r="F2125" s="14"/>
      <c r="G2125" s="15"/>
      <c r="H2125" s="15"/>
      <c r="I2125" s="14"/>
      <c r="P2125" s="14"/>
    </row>
    <row r="2126" ht="18.75" customHeight="1">
      <c r="A2126" s="7" t="s">
        <v>3334</v>
      </c>
      <c r="B2126" s="9">
        <v>59.0</v>
      </c>
      <c r="C2126" s="9">
        <v>59.0</v>
      </c>
      <c r="D2126" s="9">
        <v>40.0</v>
      </c>
      <c r="E2126" s="9">
        <v>0.0</v>
      </c>
      <c r="F2126" s="14"/>
      <c r="G2126" s="15"/>
      <c r="H2126" s="15"/>
      <c r="I2126" s="14"/>
      <c r="P2126" s="14"/>
    </row>
    <row r="2127" ht="18.75" customHeight="1">
      <c r="A2127" s="7" t="s">
        <v>3330</v>
      </c>
      <c r="B2127" s="9">
        <v>76.0</v>
      </c>
      <c r="C2127" s="9">
        <v>76.0</v>
      </c>
      <c r="D2127" s="9">
        <v>50.0</v>
      </c>
      <c r="E2127" s="9">
        <v>37.0</v>
      </c>
      <c r="F2127" s="14"/>
      <c r="G2127" s="15"/>
      <c r="H2127" s="15"/>
      <c r="I2127" s="14"/>
      <c r="P2127" s="14"/>
    </row>
    <row r="2128" ht="18.75" customHeight="1">
      <c r="A2128" s="7" t="s">
        <v>3289</v>
      </c>
      <c r="B2128" s="9">
        <v>127.0</v>
      </c>
      <c r="C2128" s="9">
        <v>126.0</v>
      </c>
      <c r="D2128" s="9">
        <v>87.0</v>
      </c>
      <c r="E2128" s="9">
        <v>3.0</v>
      </c>
      <c r="F2128" s="14"/>
      <c r="G2128" s="15"/>
      <c r="H2128" s="15"/>
      <c r="I2128" s="14"/>
      <c r="P2128" s="14"/>
    </row>
    <row r="2129" ht="18.75" customHeight="1">
      <c r="A2129" s="7" t="s">
        <v>3335</v>
      </c>
      <c r="B2129" s="9">
        <v>60.0</v>
      </c>
      <c r="C2129" s="9">
        <v>60.0</v>
      </c>
      <c r="D2129" s="9">
        <v>16.0</v>
      </c>
      <c r="E2129" s="9">
        <v>1.0</v>
      </c>
      <c r="F2129" s="14"/>
      <c r="G2129" s="15"/>
      <c r="H2129" s="15"/>
      <c r="I2129" s="14"/>
      <c r="P2129" s="14"/>
    </row>
    <row r="2130" ht="18.75" customHeight="1">
      <c r="A2130" s="7" t="s">
        <v>2818</v>
      </c>
      <c r="B2130" s="9">
        <v>120.0</v>
      </c>
      <c r="C2130" s="9">
        <v>120.0</v>
      </c>
      <c r="D2130" s="9">
        <v>78.0</v>
      </c>
      <c r="E2130" s="9">
        <v>2.0</v>
      </c>
      <c r="F2130" s="14"/>
      <c r="G2130" s="15"/>
      <c r="H2130" s="15"/>
      <c r="I2130" s="14"/>
      <c r="P2130" s="14"/>
    </row>
    <row r="2131" ht="18.75" customHeight="1">
      <c r="A2131" s="7" t="s">
        <v>2836</v>
      </c>
      <c r="B2131" s="9">
        <v>240.0</v>
      </c>
      <c r="C2131" s="9">
        <v>240.0</v>
      </c>
      <c r="D2131" s="9">
        <v>108.0</v>
      </c>
      <c r="E2131" s="9">
        <v>1.0</v>
      </c>
      <c r="F2131" s="14"/>
      <c r="G2131" s="15"/>
      <c r="H2131" s="15"/>
      <c r="I2131" s="14"/>
      <c r="P2131" s="14"/>
    </row>
    <row r="2132" ht="18.75" customHeight="1">
      <c r="A2132" s="7" t="s">
        <v>3335</v>
      </c>
      <c r="B2132" s="9">
        <v>81.0</v>
      </c>
      <c r="C2132" s="9">
        <v>81.0</v>
      </c>
      <c r="D2132" s="9">
        <v>38.0</v>
      </c>
      <c r="E2132" s="9">
        <v>3.0</v>
      </c>
      <c r="F2132" s="14"/>
      <c r="G2132" s="15"/>
      <c r="H2132" s="15"/>
      <c r="I2132" s="14"/>
      <c r="P2132" s="14"/>
    </row>
    <row r="2133" ht="18.75" customHeight="1">
      <c r="A2133" s="7" t="s">
        <v>3336</v>
      </c>
      <c r="B2133" s="9">
        <v>96.0</v>
      </c>
      <c r="C2133" s="9">
        <v>96.0</v>
      </c>
      <c r="D2133" s="9">
        <v>67.0</v>
      </c>
      <c r="E2133" s="9">
        <v>2.0</v>
      </c>
      <c r="F2133" s="14"/>
      <c r="G2133" s="15"/>
      <c r="H2133" s="15"/>
      <c r="I2133" s="14"/>
      <c r="P2133" s="14"/>
    </row>
    <row r="2134" ht="18.75" customHeight="1">
      <c r="A2134" s="7" t="s">
        <v>3303</v>
      </c>
      <c r="B2134" s="9">
        <v>128.0</v>
      </c>
      <c r="C2134" s="9">
        <v>127.0</v>
      </c>
      <c r="D2134" s="9">
        <v>89.0</v>
      </c>
      <c r="E2134" s="9">
        <v>4.0</v>
      </c>
      <c r="F2134" s="14"/>
      <c r="G2134" s="15"/>
      <c r="H2134" s="15"/>
      <c r="I2134" s="14"/>
      <c r="P2134" s="14"/>
    </row>
    <row r="2135" ht="18.75" customHeight="1">
      <c r="A2135" s="7" t="s">
        <v>3337</v>
      </c>
      <c r="B2135" s="9">
        <v>92.0</v>
      </c>
      <c r="C2135" s="9">
        <v>92.0</v>
      </c>
      <c r="D2135" s="9">
        <v>70.0</v>
      </c>
      <c r="E2135" s="9">
        <v>0.0</v>
      </c>
      <c r="F2135" s="14"/>
      <c r="G2135" s="15"/>
      <c r="H2135" s="15"/>
      <c r="I2135" s="14"/>
      <c r="P2135" s="14"/>
    </row>
    <row r="2136" ht="18.75" customHeight="1">
      <c r="A2136" s="7" t="s">
        <v>2818</v>
      </c>
      <c r="B2136" s="9">
        <v>99.0</v>
      </c>
      <c r="C2136" s="9">
        <v>99.0</v>
      </c>
      <c r="D2136" s="9">
        <v>62.0</v>
      </c>
      <c r="E2136" s="9">
        <v>2.0</v>
      </c>
      <c r="F2136" s="14"/>
      <c r="G2136" s="15"/>
      <c r="H2136" s="15"/>
      <c r="I2136" s="14"/>
      <c r="P2136" s="14"/>
    </row>
    <row r="2137" ht="18.75" customHeight="1">
      <c r="A2137" s="7" t="s">
        <v>3336</v>
      </c>
      <c r="B2137" s="9">
        <v>96.0</v>
      </c>
      <c r="C2137" s="9">
        <v>96.0</v>
      </c>
      <c r="D2137" s="9">
        <v>58.0</v>
      </c>
      <c r="E2137" s="9">
        <v>3.0</v>
      </c>
      <c r="F2137" s="14"/>
      <c r="G2137" s="15"/>
      <c r="H2137" s="15"/>
      <c r="I2137" s="14"/>
      <c r="P2137" s="14"/>
    </row>
    <row r="2138" ht="18.75" customHeight="1">
      <c r="A2138" s="7" t="s">
        <v>2786</v>
      </c>
      <c r="B2138" s="9">
        <v>139.0</v>
      </c>
      <c r="C2138" s="9">
        <v>139.0</v>
      </c>
      <c r="D2138" s="9">
        <v>84.0</v>
      </c>
      <c r="E2138" s="9">
        <v>2.0</v>
      </c>
      <c r="F2138" s="14"/>
      <c r="G2138" s="15"/>
      <c r="H2138" s="15"/>
      <c r="I2138" s="14"/>
      <c r="P2138" s="14"/>
    </row>
    <row r="2139" ht="18.75" customHeight="1">
      <c r="A2139" s="7" t="s">
        <v>3202</v>
      </c>
      <c r="B2139" s="9">
        <v>2323.0</v>
      </c>
      <c r="C2139" s="9">
        <v>2319.0</v>
      </c>
      <c r="D2139" s="9">
        <v>1726.0</v>
      </c>
      <c r="E2139" s="9">
        <v>4.0</v>
      </c>
      <c r="F2139" s="14"/>
      <c r="G2139" s="15"/>
      <c r="H2139" s="15"/>
      <c r="I2139" s="14"/>
      <c r="P2139" s="14"/>
    </row>
    <row r="2140" ht="18.75" customHeight="1">
      <c r="A2140" s="7" t="s">
        <v>3202</v>
      </c>
      <c r="B2140" s="9">
        <v>198.0</v>
      </c>
      <c r="C2140" s="9">
        <v>196.0</v>
      </c>
      <c r="D2140" s="9">
        <v>110.0</v>
      </c>
      <c r="E2140" s="9">
        <v>6.0</v>
      </c>
      <c r="F2140" s="14"/>
      <c r="G2140" s="15"/>
      <c r="H2140" s="15"/>
      <c r="I2140" s="14"/>
      <c r="P2140" s="14"/>
    </row>
    <row r="2141" ht="18.75" customHeight="1">
      <c r="A2141" s="7" t="s">
        <v>3337</v>
      </c>
      <c r="B2141" s="9">
        <v>90.0</v>
      </c>
      <c r="C2141" s="9">
        <v>90.0</v>
      </c>
      <c r="D2141" s="9">
        <v>56.0</v>
      </c>
      <c r="E2141" s="9">
        <v>2.0</v>
      </c>
      <c r="F2141" s="14"/>
      <c r="G2141" s="15"/>
      <c r="H2141" s="15"/>
      <c r="I2141" s="14"/>
      <c r="P2141" s="14"/>
    </row>
    <row r="2142" ht="18.75" customHeight="1">
      <c r="A2142" s="7" t="s">
        <v>3303</v>
      </c>
      <c r="B2142" s="9">
        <v>128.0</v>
      </c>
      <c r="C2142" s="9">
        <v>127.0</v>
      </c>
      <c r="D2142" s="9">
        <v>68.0</v>
      </c>
      <c r="E2142" s="9">
        <v>4.0</v>
      </c>
      <c r="F2142" s="14"/>
      <c r="G2142" s="15"/>
      <c r="H2142" s="15"/>
      <c r="I2142" s="14"/>
      <c r="P2142" s="14"/>
    </row>
    <row r="2143" ht="18.75" customHeight="1">
      <c r="A2143" s="7" t="s">
        <v>3338</v>
      </c>
      <c r="B2143" s="9">
        <v>142.0</v>
      </c>
      <c r="C2143" s="9">
        <v>141.0</v>
      </c>
      <c r="D2143" s="9">
        <v>102.0</v>
      </c>
      <c r="E2143" s="9">
        <v>2.0</v>
      </c>
      <c r="F2143" s="14"/>
      <c r="G2143" s="15"/>
      <c r="H2143" s="15"/>
      <c r="I2143" s="14"/>
      <c r="P2143" s="14"/>
    </row>
    <row r="2144" ht="18.75" customHeight="1">
      <c r="A2144" s="7" t="s">
        <v>3338</v>
      </c>
      <c r="B2144" s="9">
        <v>143.0</v>
      </c>
      <c r="C2144" s="9">
        <v>142.0</v>
      </c>
      <c r="D2144" s="9">
        <v>84.0</v>
      </c>
      <c r="E2144" s="9">
        <v>4.0</v>
      </c>
      <c r="F2144" s="14"/>
      <c r="G2144" s="15"/>
      <c r="H2144" s="15"/>
      <c r="I2144" s="14"/>
      <c r="P2144" s="14"/>
    </row>
    <row r="2145" ht="18.75" customHeight="1">
      <c r="A2145" s="7" t="s">
        <v>2849</v>
      </c>
      <c r="B2145" s="9">
        <v>235.0</v>
      </c>
      <c r="C2145" s="9">
        <v>234.0</v>
      </c>
      <c r="D2145" s="9">
        <v>130.0</v>
      </c>
      <c r="E2145" s="9">
        <v>2.0</v>
      </c>
      <c r="F2145" s="14"/>
      <c r="G2145" s="15"/>
      <c r="H2145" s="15"/>
      <c r="I2145" s="14"/>
      <c r="P2145" s="14"/>
    </row>
    <row r="2146" ht="18.75" customHeight="1">
      <c r="A2146" s="7" t="s">
        <v>3322</v>
      </c>
      <c r="B2146" s="9">
        <v>80.0</v>
      </c>
      <c r="C2146" s="9">
        <v>78.0</v>
      </c>
      <c r="D2146" s="9">
        <v>50.0</v>
      </c>
      <c r="E2146" s="9">
        <v>2.0</v>
      </c>
      <c r="F2146" s="14"/>
      <c r="G2146" s="15"/>
      <c r="H2146" s="15"/>
      <c r="I2146" s="14"/>
      <c r="P2146" s="14"/>
    </row>
    <row r="2147" ht="18.75" customHeight="1">
      <c r="A2147" s="7" t="s">
        <v>2785</v>
      </c>
      <c r="B2147" s="9">
        <v>201.0</v>
      </c>
      <c r="C2147" s="9">
        <v>201.0</v>
      </c>
      <c r="D2147" s="9">
        <v>121.0</v>
      </c>
      <c r="E2147" s="9">
        <v>2.0</v>
      </c>
      <c r="F2147" s="14"/>
      <c r="G2147" s="15"/>
      <c r="H2147" s="15"/>
      <c r="I2147" s="14"/>
      <c r="P2147" s="14"/>
    </row>
    <row r="2148" ht="18.75" customHeight="1">
      <c r="A2148" s="7" t="s">
        <v>3199</v>
      </c>
      <c r="B2148" s="9">
        <v>60.0</v>
      </c>
      <c r="C2148" s="9">
        <v>59.0</v>
      </c>
      <c r="D2148" s="9">
        <v>32.0</v>
      </c>
      <c r="E2148" s="9">
        <v>3.0</v>
      </c>
      <c r="F2148" s="14"/>
      <c r="G2148" s="15"/>
      <c r="H2148" s="15"/>
      <c r="I2148" s="14"/>
      <c r="P2148" s="14"/>
    </row>
    <row r="2149" ht="18.75" customHeight="1">
      <c r="A2149" s="7" t="s">
        <v>2778</v>
      </c>
      <c r="B2149" s="9">
        <v>375.0</v>
      </c>
      <c r="C2149" s="9">
        <v>372.0</v>
      </c>
      <c r="D2149" s="9">
        <v>268.0</v>
      </c>
      <c r="E2149" s="9">
        <v>2.0</v>
      </c>
      <c r="F2149" s="14"/>
      <c r="G2149" s="15"/>
      <c r="H2149" s="15"/>
      <c r="I2149" s="14"/>
      <c r="P2149" s="14"/>
    </row>
    <row r="2150" ht="18.75" customHeight="1">
      <c r="A2150" s="7" t="s">
        <v>3178</v>
      </c>
      <c r="B2150" s="9">
        <v>75.0</v>
      </c>
      <c r="C2150" s="9">
        <v>75.0</v>
      </c>
      <c r="D2150" s="9">
        <v>42.0</v>
      </c>
      <c r="E2150" s="9">
        <v>1.0</v>
      </c>
      <c r="F2150" s="14"/>
      <c r="G2150" s="15"/>
      <c r="H2150" s="15"/>
      <c r="I2150" s="14"/>
      <c r="P2150" s="14"/>
    </row>
    <row r="2151" ht="18.75" customHeight="1">
      <c r="A2151" s="7" t="s">
        <v>3179</v>
      </c>
      <c r="B2151" s="9">
        <v>80.0</v>
      </c>
      <c r="C2151" s="9">
        <v>79.0</v>
      </c>
      <c r="D2151" s="9">
        <v>45.0</v>
      </c>
      <c r="E2151" s="9">
        <v>2.0</v>
      </c>
      <c r="F2151" s="14"/>
      <c r="G2151" s="15"/>
      <c r="H2151" s="15"/>
      <c r="I2151" s="14"/>
      <c r="P2151" s="14"/>
    </row>
    <row r="2152" ht="18.75" customHeight="1">
      <c r="A2152" s="7" t="s">
        <v>2779</v>
      </c>
      <c r="B2152" s="9">
        <v>165.0</v>
      </c>
      <c r="C2152" s="9">
        <v>164.0</v>
      </c>
      <c r="D2152" s="9">
        <v>110.0</v>
      </c>
      <c r="E2152" s="9">
        <v>5.0</v>
      </c>
      <c r="F2152" s="14"/>
      <c r="G2152" s="15"/>
      <c r="H2152" s="15"/>
      <c r="I2152" s="14"/>
      <c r="P2152" s="14"/>
    </row>
    <row r="2153" ht="18.75" customHeight="1">
      <c r="A2153" s="7" t="s">
        <v>3241</v>
      </c>
      <c r="B2153" s="9">
        <v>124.0</v>
      </c>
      <c r="C2153" s="9">
        <v>123.0</v>
      </c>
      <c r="D2153" s="9">
        <v>85.0</v>
      </c>
      <c r="E2153" s="9">
        <v>2.0</v>
      </c>
      <c r="F2153" s="14"/>
      <c r="G2153" s="15"/>
      <c r="H2153" s="15"/>
      <c r="I2153" s="14"/>
      <c r="P2153" s="14"/>
    </row>
    <row r="2154" ht="18.75" customHeight="1">
      <c r="A2154" s="7" t="s">
        <v>3256</v>
      </c>
      <c r="B2154" s="9">
        <v>97.0</v>
      </c>
      <c r="C2154" s="9">
        <v>96.0</v>
      </c>
      <c r="D2154" s="9">
        <v>65.0</v>
      </c>
      <c r="E2154" s="9">
        <v>1.0</v>
      </c>
      <c r="F2154" s="14"/>
      <c r="G2154" s="15"/>
      <c r="H2154" s="15"/>
      <c r="I2154" s="14"/>
      <c r="P2154" s="14"/>
    </row>
    <row r="2155" ht="18.75" customHeight="1">
      <c r="A2155" s="7" t="s">
        <v>3339</v>
      </c>
      <c r="B2155" s="9">
        <v>131.0</v>
      </c>
      <c r="C2155" s="9">
        <v>130.0</v>
      </c>
      <c r="D2155" s="9">
        <v>72.0</v>
      </c>
      <c r="E2155" s="9">
        <v>2.0</v>
      </c>
      <c r="F2155" s="14"/>
      <c r="G2155" s="15"/>
      <c r="H2155" s="15"/>
      <c r="I2155" s="14"/>
      <c r="P2155" s="14"/>
    </row>
    <row r="2156" ht="18.75" customHeight="1">
      <c r="A2156" s="7" t="s">
        <v>3270</v>
      </c>
      <c r="B2156" s="9">
        <v>173.0</v>
      </c>
      <c r="C2156" s="9">
        <v>171.0</v>
      </c>
      <c r="D2156" s="9">
        <v>127.0</v>
      </c>
      <c r="E2156" s="9">
        <v>2.0</v>
      </c>
      <c r="F2156" s="14"/>
      <c r="G2156" s="15"/>
      <c r="H2156" s="15"/>
      <c r="I2156" s="14"/>
      <c r="P2156" s="14"/>
    </row>
    <row r="2157" ht="18.75" customHeight="1">
      <c r="A2157" s="7" t="s">
        <v>3339</v>
      </c>
      <c r="B2157" s="9">
        <v>147.0</v>
      </c>
      <c r="C2157" s="9">
        <v>145.0</v>
      </c>
      <c r="D2157" s="9">
        <v>67.0</v>
      </c>
      <c r="E2157" s="9">
        <v>3.0</v>
      </c>
      <c r="F2157" s="14"/>
      <c r="G2157" s="15"/>
      <c r="H2157" s="15"/>
      <c r="I2157" s="14"/>
      <c r="P2157" s="14"/>
    </row>
    <row r="2158" ht="18.75" customHeight="1">
      <c r="A2158" s="7" t="s">
        <v>3340</v>
      </c>
      <c r="B2158" s="9">
        <v>109.0</v>
      </c>
      <c r="C2158" s="9">
        <v>107.0</v>
      </c>
      <c r="D2158" s="9">
        <v>60.0</v>
      </c>
      <c r="E2158" s="9">
        <v>1.0</v>
      </c>
      <c r="F2158" s="14"/>
      <c r="G2158" s="15"/>
      <c r="H2158" s="15"/>
      <c r="I2158" s="14"/>
      <c r="P2158" s="14"/>
    </row>
    <row r="2159" ht="18.75" customHeight="1">
      <c r="A2159" s="7" t="s">
        <v>3164</v>
      </c>
      <c r="B2159" s="9">
        <v>92.0</v>
      </c>
      <c r="C2159" s="9">
        <v>91.0</v>
      </c>
      <c r="D2159" s="9">
        <v>45.0</v>
      </c>
      <c r="E2159" s="9">
        <v>4.0</v>
      </c>
      <c r="F2159" s="14"/>
      <c r="G2159" s="15"/>
      <c r="H2159" s="15"/>
      <c r="I2159" s="14"/>
      <c r="P2159" s="14"/>
    </row>
    <row r="2160" ht="18.75" customHeight="1">
      <c r="A2160" s="7" t="s">
        <v>3264</v>
      </c>
      <c r="B2160" s="9">
        <v>68.0</v>
      </c>
      <c r="C2160" s="9">
        <v>67.0</v>
      </c>
      <c r="D2160" s="9">
        <v>34.0</v>
      </c>
      <c r="E2160" s="9">
        <v>2.0</v>
      </c>
      <c r="F2160" s="14"/>
      <c r="G2160" s="15"/>
      <c r="H2160" s="15"/>
      <c r="I2160" s="14"/>
      <c r="P2160" s="14"/>
    </row>
    <row r="2161" ht="18.75" customHeight="1">
      <c r="A2161" s="7" t="s">
        <v>2976</v>
      </c>
      <c r="B2161" s="9">
        <v>83.0</v>
      </c>
      <c r="C2161" s="9">
        <v>82.0</v>
      </c>
      <c r="D2161" s="9">
        <v>34.0</v>
      </c>
      <c r="E2161" s="9">
        <v>2.0</v>
      </c>
      <c r="F2161" s="14"/>
      <c r="G2161" s="15"/>
      <c r="H2161" s="15"/>
      <c r="I2161" s="14"/>
      <c r="P2161" s="14"/>
    </row>
    <row r="2162" ht="18.75" customHeight="1">
      <c r="A2162" s="7" t="s">
        <v>3341</v>
      </c>
      <c r="B2162" s="9">
        <v>109.0</v>
      </c>
      <c r="C2162" s="9">
        <v>108.0</v>
      </c>
      <c r="D2162" s="9">
        <v>73.0</v>
      </c>
      <c r="E2162" s="9">
        <v>0.0</v>
      </c>
      <c r="F2162" s="14"/>
      <c r="G2162" s="15"/>
      <c r="H2162" s="15"/>
      <c r="I2162" s="14"/>
      <c r="P2162" s="14"/>
    </row>
    <row r="2163" ht="18.75" customHeight="1">
      <c r="A2163" s="7" t="s">
        <v>3342</v>
      </c>
      <c r="B2163" s="9">
        <v>36.0</v>
      </c>
      <c r="C2163" s="9">
        <v>36.0</v>
      </c>
      <c r="D2163" s="9">
        <v>18.0</v>
      </c>
      <c r="E2163" s="9">
        <v>1.0</v>
      </c>
      <c r="F2163" s="14"/>
      <c r="G2163" s="15"/>
      <c r="H2163" s="15"/>
      <c r="I2163" s="14"/>
      <c r="P2163" s="14"/>
    </row>
    <row r="2164" ht="18.75" customHeight="1">
      <c r="A2164" s="7" t="s">
        <v>3257</v>
      </c>
      <c r="B2164" s="9">
        <v>97.0</v>
      </c>
      <c r="C2164" s="9">
        <v>96.0</v>
      </c>
      <c r="D2164" s="9">
        <v>56.0</v>
      </c>
      <c r="E2164" s="9">
        <v>2.0</v>
      </c>
      <c r="F2164" s="14"/>
      <c r="G2164" s="15"/>
      <c r="H2164" s="15"/>
      <c r="I2164" s="14"/>
      <c r="P2164" s="14"/>
    </row>
    <row r="2165" ht="18.75" customHeight="1">
      <c r="A2165" s="7" t="s">
        <v>3258</v>
      </c>
      <c r="B2165" s="9">
        <v>112.0</v>
      </c>
      <c r="C2165" s="9">
        <v>111.0</v>
      </c>
      <c r="D2165" s="9">
        <v>61.0</v>
      </c>
      <c r="E2165" s="9">
        <v>4.0</v>
      </c>
      <c r="F2165" s="14"/>
      <c r="G2165" s="15"/>
      <c r="H2165" s="15"/>
      <c r="I2165" s="14"/>
      <c r="P2165" s="14"/>
    </row>
    <row r="2166" ht="18.75" customHeight="1">
      <c r="A2166" s="7" t="s">
        <v>3259</v>
      </c>
      <c r="B2166" s="9">
        <v>206.0</v>
      </c>
      <c r="C2166" s="9">
        <v>205.0</v>
      </c>
      <c r="D2166" s="9">
        <v>117.0</v>
      </c>
      <c r="E2166" s="9">
        <v>3.0</v>
      </c>
      <c r="F2166" s="14"/>
      <c r="G2166" s="15"/>
      <c r="H2166" s="15"/>
      <c r="I2166" s="14"/>
      <c r="P2166" s="14"/>
    </row>
    <row r="2167" ht="18.75" customHeight="1">
      <c r="A2167" s="7" t="s">
        <v>3343</v>
      </c>
      <c r="B2167" s="9">
        <v>74.0</v>
      </c>
      <c r="C2167" s="9">
        <v>74.0</v>
      </c>
      <c r="D2167" s="9">
        <v>43.0</v>
      </c>
      <c r="E2167" s="9">
        <v>4.0</v>
      </c>
      <c r="F2167" s="14"/>
      <c r="G2167" s="15"/>
      <c r="H2167" s="15"/>
      <c r="I2167" s="14"/>
      <c r="P2167" s="14"/>
    </row>
    <row r="2168" ht="18.75" customHeight="1">
      <c r="A2168" s="7" t="s">
        <v>3262</v>
      </c>
      <c r="B2168" s="9">
        <v>158.0</v>
      </c>
      <c r="C2168" s="9">
        <v>158.0</v>
      </c>
      <c r="D2168" s="9">
        <v>119.0</v>
      </c>
      <c r="E2168" s="9">
        <v>2.0</v>
      </c>
      <c r="F2168" s="14"/>
      <c r="G2168" s="15"/>
      <c r="H2168" s="15"/>
      <c r="I2168" s="14"/>
      <c r="P2168" s="14"/>
    </row>
    <row r="2169" ht="18.75" customHeight="1">
      <c r="A2169" s="7" t="s">
        <v>3341</v>
      </c>
      <c r="B2169" s="9">
        <v>86.0</v>
      </c>
      <c r="C2169" s="9">
        <v>86.0</v>
      </c>
      <c r="D2169" s="9">
        <v>48.0</v>
      </c>
      <c r="E2169" s="9">
        <v>0.0</v>
      </c>
      <c r="F2169" s="14"/>
      <c r="G2169" s="15"/>
      <c r="H2169" s="15"/>
      <c r="I2169" s="14"/>
      <c r="P2169" s="14"/>
    </row>
    <row r="2170" ht="18.75" customHeight="1">
      <c r="A2170" s="7" t="s">
        <v>2789</v>
      </c>
      <c r="B2170" s="9">
        <v>47.0</v>
      </c>
      <c r="C2170" s="9">
        <v>47.0</v>
      </c>
      <c r="D2170" s="9">
        <v>26.0</v>
      </c>
      <c r="E2170" s="9">
        <v>0.0</v>
      </c>
      <c r="F2170" s="14"/>
      <c r="G2170" s="15"/>
      <c r="H2170" s="15"/>
      <c r="I2170" s="14"/>
      <c r="P2170" s="14"/>
    </row>
    <row r="2171" ht="18.75" customHeight="1">
      <c r="A2171" s="7" t="s">
        <v>3344</v>
      </c>
      <c r="B2171" s="9">
        <v>131.0</v>
      </c>
      <c r="C2171" s="9">
        <v>131.0</v>
      </c>
      <c r="D2171" s="9">
        <v>86.0</v>
      </c>
      <c r="E2171" s="9">
        <v>0.0</v>
      </c>
      <c r="F2171" s="14"/>
      <c r="G2171" s="15"/>
      <c r="H2171" s="15"/>
      <c r="I2171" s="14"/>
      <c r="P2171" s="14"/>
    </row>
    <row r="2172" ht="18.75" customHeight="1">
      <c r="A2172" s="7" t="s">
        <v>2756</v>
      </c>
      <c r="B2172" s="9">
        <v>149.0</v>
      </c>
      <c r="C2172" s="9">
        <v>149.0</v>
      </c>
      <c r="D2172" s="9">
        <v>85.0</v>
      </c>
      <c r="E2172" s="9">
        <v>0.0</v>
      </c>
      <c r="F2172" s="14"/>
      <c r="G2172" s="15"/>
      <c r="H2172" s="15"/>
      <c r="I2172" s="14"/>
      <c r="P2172" s="14"/>
    </row>
    <row r="2173" ht="18.75" customHeight="1">
      <c r="A2173" s="7" t="s">
        <v>2789</v>
      </c>
      <c r="B2173" s="9">
        <v>57.0</v>
      </c>
      <c r="C2173" s="9">
        <v>57.0</v>
      </c>
      <c r="D2173" s="9">
        <v>20.0</v>
      </c>
      <c r="E2173" s="9">
        <v>1.0</v>
      </c>
      <c r="F2173" s="14"/>
      <c r="G2173" s="15"/>
      <c r="H2173" s="15"/>
      <c r="I2173" s="14"/>
      <c r="P2173" s="14"/>
    </row>
    <row r="2174" ht="18.75" customHeight="1">
      <c r="A2174" s="7" t="s">
        <v>3344</v>
      </c>
      <c r="B2174" s="9">
        <v>129.0</v>
      </c>
      <c r="C2174" s="9">
        <v>128.0</v>
      </c>
      <c r="D2174" s="9">
        <v>65.0</v>
      </c>
      <c r="E2174" s="9">
        <v>1.0</v>
      </c>
      <c r="F2174" s="14"/>
      <c r="G2174" s="15"/>
      <c r="H2174" s="15"/>
      <c r="I2174" s="14"/>
      <c r="P2174" s="14"/>
    </row>
    <row r="2175" ht="18.75" customHeight="1">
      <c r="A2175" s="7" t="s">
        <v>3340</v>
      </c>
      <c r="B2175" s="9">
        <v>115.0</v>
      </c>
      <c r="C2175" s="9">
        <v>113.0</v>
      </c>
      <c r="D2175" s="9">
        <v>61.0</v>
      </c>
      <c r="E2175" s="9">
        <v>2.0</v>
      </c>
      <c r="F2175" s="14"/>
      <c r="G2175" s="15"/>
      <c r="H2175" s="15"/>
      <c r="I2175" s="14"/>
      <c r="P2175" s="14"/>
    </row>
    <row r="2176" ht="18.75" customHeight="1">
      <c r="A2176" s="7" t="s">
        <v>2972</v>
      </c>
      <c r="B2176" s="9">
        <v>113.0</v>
      </c>
      <c r="C2176" s="9">
        <v>112.0</v>
      </c>
      <c r="D2176" s="9">
        <v>56.0</v>
      </c>
      <c r="E2176" s="9">
        <v>1.0</v>
      </c>
      <c r="F2176" s="14"/>
      <c r="G2176" s="15"/>
      <c r="H2176" s="15"/>
      <c r="I2176" s="14"/>
      <c r="P2176" s="14"/>
    </row>
    <row r="2177" ht="18.75" customHeight="1">
      <c r="A2177" s="7" t="s">
        <v>2964</v>
      </c>
      <c r="B2177" s="9">
        <v>102.0</v>
      </c>
      <c r="C2177" s="9">
        <v>101.0</v>
      </c>
      <c r="D2177" s="9">
        <v>55.0</v>
      </c>
      <c r="E2177" s="9">
        <v>1.0</v>
      </c>
      <c r="F2177" s="14"/>
      <c r="G2177" s="15"/>
      <c r="H2177" s="15"/>
      <c r="I2177" s="14"/>
      <c r="P2177" s="14"/>
    </row>
    <row r="2178" ht="18.75" customHeight="1">
      <c r="A2178" s="7" t="s">
        <v>3265</v>
      </c>
      <c r="B2178" s="9">
        <v>109.0</v>
      </c>
      <c r="C2178" s="9">
        <v>108.0</v>
      </c>
      <c r="D2178" s="9">
        <v>45.0</v>
      </c>
      <c r="E2178" s="9">
        <v>3.0</v>
      </c>
      <c r="F2178" s="14"/>
      <c r="G2178" s="15"/>
      <c r="H2178" s="15"/>
      <c r="I2178" s="14"/>
      <c r="P2178" s="14"/>
    </row>
    <row r="2179" ht="18.75" customHeight="1">
      <c r="A2179" s="7" t="s">
        <v>3345</v>
      </c>
      <c r="B2179" s="9">
        <v>132.0</v>
      </c>
      <c r="C2179" s="9">
        <v>130.0</v>
      </c>
      <c r="D2179" s="9">
        <v>86.0</v>
      </c>
      <c r="E2179" s="9">
        <v>2.0</v>
      </c>
      <c r="F2179" s="14"/>
      <c r="G2179" s="15"/>
      <c r="H2179" s="15"/>
      <c r="I2179" s="14"/>
      <c r="P2179" s="14"/>
    </row>
    <row r="2180" ht="18.75" customHeight="1">
      <c r="A2180" s="7" t="s">
        <v>3346</v>
      </c>
      <c r="B2180" s="9">
        <v>120.0</v>
      </c>
      <c r="C2180" s="9">
        <v>119.0</v>
      </c>
      <c r="D2180" s="9">
        <v>79.0</v>
      </c>
      <c r="E2180" s="9">
        <v>3.0</v>
      </c>
      <c r="F2180" s="14"/>
      <c r="G2180" s="15"/>
      <c r="H2180" s="15"/>
      <c r="I2180" s="14"/>
      <c r="P2180" s="14"/>
    </row>
    <row r="2181" ht="18.75" customHeight="1">
      <c r="A2181" s="7" t="s">
        <v>3345</v>
      </c>
      <c r="B2181" s="9">
        <v>126.0</v>
      </c>
      <c r="C2181" s="9">
        <v>125.0</v>
      </c>
      <c r="D2181" s="9">
        <v>7.0</v>
      </c>
      <c r="E2181" s="9">
        <v>1.0</v>
      </c>
      <c r="F2181" s="14"/>
      <c r="G2181" s="15"/>
      <c r="H2181" s="15"/>
      <c r="I2181" s="14"/>
      <c r="P2181" s="14"/>
    </row>
    <row r="2182" ht="18.75" customHeight="1">
      <c r="A2182" s="7" t="s">
        <v>3346</v>
      </c>
      <c r="B2182" s="9">
        <v>115.0</v>
      </c>
      <c r="C2182" s="9">
        <v>114.0</v>
      </c>
      <c r="D2182" s="9">
        <v>61.0</v>
      </c>
      <c r="E2182" s="9">
        <v>1.0</v>
      </c>
      <c r="F2182" s="14"/>
      <c r="G2182" s="15"/>
      <c r="H2182" s="15"/>
      <c r="I2182" s="14"/>
      <c r="P2182" s="14"/>
    </row>
    <row r="2183" ht="18.75" customHeight="1">
      <c r="A2183" s="7" t="s">
        <v>2757</v>
      </c>
      <c r="B2183" s="9">
        <v>313.0</v>
      </c>
      <c r="C2183" s="9">
        <v>313.0</v>
      </c>
      <c r="D2183" s="9">
        <v>201.0</v>
      </c>
      <c r="E2183" s="9">
        <v>3.0</v>
      </c>
      <c r="F2183" s="14"/>
      <c r="G2183" s="15"/>
      <c r="H2183" s="15"/>
      <c r="I2183" s="14"/>
      <c r="P2183" s="14"/>
    </row>
    <row r="2184" ht="18.75" customHeight="1">
      <c r="A2184" s="7" t="s">
        <v>3347</v>
      </c>
      <c r="B2184" s="9">
        <v>87.0</v>
      </c>
      <c r="C2184" s="9">
        <v>86.0</v>
      </c>
      <c r="D2184" s="9">
        <v>51.0</v>
      </c>
      <c r="E2184" s="9">
        <v>2.0</v>
      </c>
      <c r="F2184" s="14"/>
      <c r="G2184" s="15"/>
      <c r="H2184" s="15"/>
      <c r="I2184" s="14"/>
      <c r="P2184" s="14"/>
    </row>
    <row r="2185" ht="18.75" customHeight="1">
      <c r="A2185" s="7" t="s">
        <v>3348</v>
      </c>
      <c r="B2185" s="9">
        <v>171.0</v>
      </c>
      <c r="C2185" s="9">
        <v>170.0</v>
      </c>
      <c r="D2185" s="9">
        <v>106.0</v>
      </c>
      <c r="E2185" s="9">
        <v>3.0</v>
      </c>
      <c r="F2185" s="14"/>
      <c r="G2185" s="15"/>
      <c r="H2185" s="15"/>
      <c r="I2185" s="14"/>
      <c r="P2185" s="14"/>
    </row>
    <row r="2186" ht="18.75" customHeight="1">
      <c r="A2186" s="7" t="s">
        <v>3347</v>
      </c>
      <c r="B2186" s="9">
        <v>88.0</v>
      </c>
      <c r="C2186" s="9">
        <v>87.0</v>
      </c>
      <c r="D2186" s="9">
        <v>36.0</v>
      </c>
      <c r="E2186" s="9">
        <v>2.0</v>
      </c>
      <c r="F2186" s="14"/>
      <c r="G2186" s="15"/>
      <c r="H2186" s="15"/>
      <c r="I2186" s="14"/>
      <c r="P2186" s="14"/>
    </row>
    <row r="2187" ht="18.75" customHeight="1">
      <c r="A2187" s="7" t="s">
        <v>3348</v>
      </c>
      <c r="B2187" s="9">
        <v>172.0</v>
      </c>
      <c r="C2187" s="9">
        <v>171.0</v>
      </c>
      <c r="D2187" s="9">
        <v>80.0</v>
      </c>
      <c r="E2187" s="9">
        <v>1.0</v>
      </c>
      <c r="F2187" s="14"/>
      <c r="G2187" s="15"/>
      <c r="H2187" s="15"/>
      <c r="I2187" s="14"/>
      <c r="P2187" s="14"/>
    </row>
    <row r="2188" ht="18.75" customHeight="1">
      <c r="A2188" s="7" t="s">
        <v>3349</v>
      </c>
      <c r="B2188" s="9">
        <v>235.0</v>
      </c>
      <c r="C2188" s="9">
        <v>235.0</v>
      </c>
      <c r="D2188" s="9">
        <v>158.0</v>
      </c>
      <c r="E2188" s="9">
        <v>3.0</v>
      </c>
      <c r="F2188" s="14"/>
      <c r="G2188" s="15"/>
      <c r="H2188" s="15"/>
      <c r="I2188" s="14"/>
      <c r="P2188" s="14"/>
    </row>
    <row r="2189" ht="18.75" customHeight="1">
      <c r="A2189" s="7" t="s">
        <v>3350</v>
      </c>
      <c r="B2189" s="9">
        <v>1518.0</v>
      </c>
      <c r="C2189" s="9">
        <v>1510.0</v>
      </c>
      <c r="D2189" s="9">
        <v>756.0</v>
      </c>
      <c r="E2189" s="9">
        <v>376.0</v>
      </c>
      <c r="F2189" s="14"/>
      <c r="G2189" s="15"/>
      <c r="H2189" s="15"/>
      <c r="I2189" s="14"/>
      <c r="P2189" s="14"/>
    </row>
    <row r="2190" ht="18.75" customHeight="1">
      <c r="A2190" s="7" t="s">
        <v>2784</v>
      </c>
      <c r="B2190" s="9">
        <v>43.0</v>
      </c>
      <c r="C2190" s="9">
        <v>43.0</v>
      </c>
      <c r="D2190" s="9">
        <v>16.0</v>
      </c>
      <c r="E2190" s="9">
        <v>1.0</v>
      </c>
      <c r="F2190" s="14"/>
      <c r="G2190" s="15"/>
      <c r="H2190" s="15"/>
      <c r="I2190" s="14"/>
      <c r="P2190" s="14"/>
    </row>
    <row r="2191" ht="18.75" customHeight="1">
      <c r="A2191" s="7" t="s">
        <v>3288</v>
      </c>
      <c r="B2191" s="9">
        <v>292.0</v>
      </c>
      <c r="C2191" s="9">
        <v>292.0</v>
      </c>
      <c r="D2191" s="9">
        <v>198.0</v>
      </c>
      <c r="E2191" s="9">
        <v>1.0</v>
      </c>
      <c r="F2191" s="14"/>
      <c r="G2191" s="15"/>
      <c r="H2191" s="15"/>
      <c r="I2191" s="14"/>
      <c r="P2191" s="14"/>
    </row>
    <row r="2192" ht="18.75" customHeight="1">
      <c r="A2192" s="7" t="s">
        <v>2769</v>
      </c>
      <c r="B2192" s="9">
        <v>34317.0</v>
      </c>
      <c r="C2192" s="9">
        <v>33972.0</v>
      </c>
      <c r="D2192" s="9">
        <v>11457.0</v>
      </c>
      <c r="E2192" s="9">
        <v>4767.0</v>
      </c>
      <c r="F2192" s="14"/>
      <c r="G2192" s="15"/>
      <c r="H2192" s="15"/>
      <c r="I2192" s="14"/>
      <c r="P2192" s="14"/>
    </row>
    <row r="2193" ht="18.75" customHeight="1">
      <c r="A2193" s="7" t="s">
        <v>3351</v>
      </c>
      <c r="B2193" s="9">
        <v>103.0</v>
      </c>
      <c r="C2193" s="9">
        <v>103.0</v>
      </c>
      <c r="D2193" s="9">
        <v>66.0</v>
      </c>
      <c r="E2193" s="9">
        <v>1.0</v>
      </c>
      <c r="F2193" s="14"/>
      <c r="G2193" s="15"/>
      <c r="H2193" s="15"/>
      <c r="I2193" s="14"/>
      <c r="P2193" s="14"/>
    </row>
    <row r="2194" ht="18.75" customHeight="1">
      <c r="A2194" s="7" t="s">
        <v>3351</v>
      </c>
      <c r="B2194" s="9">
        <v>103.0</v>
      </c>
      <c r="C2194" s="9">
        <v>103.0</v>
      </c>
      <c r="D2194" s="9">
        <v>51.0</v>
      </c>
      <c r="E2194" s="9">
        <v>0.0</v>
      </c>
      <c r="F2194" s="14"/>
      <c r="G2194" s="15"/>
      <c r="H2194" s="15"/>
      <c r="I2194" s="14"/>
      <c r="P2194" s="14"/>
    </row>
    <row r="2195" ht="18.75" customHeight="1">
      <c r="A2195" s="7" t="s">
        <v>3352</v>
      </c>
      <c r="B2195" s="9">
        <v>126.0</v>
      </c>
      <c r="C2195" s="9">
        <v>126.0</v>
      </c>
      <c r="D2195" s="9">
        <v>90.0</v>
      </c>
      <c r="E2195" s="9">
        <v>0.0</v>
      </c>
      <c r="F2195" s="14"/>
      <c r="G2195" s="15"/>
      <c r="H2195" s="15"/>
      <c r="I2195" s="14"/>
      <c r="P2195" s="14"/>
    </row>
    <row r="2196" ht="18.75" customHeight="1">
      <c r="A2196" s="7" t="s">
        <v>3284</v>
      </c>
      <c r="B2196" s="9">
        <v>164.0</v>
      </c>
      <c r="C2196" s="9">
        <v>164.0</v>
      </c>
      <c r="D2196" s="9">
        <v>123.0</v>
      </c>
      <c r="E2196" s="9">
        <v>1.0</v>
      </c>
      <c r="F2196" s="14"/>
      <c r="G2196" s="15"/>
      <c r="H2196" s="15"/>
      <c r="I2196" s="14"/>
      <c r="P2196" s="14"/>
    </row>
    <row r="2197" ht="18.75" customHeight="1">
      <c r="A2197" s="7" t="s">
        <v>2783</v>
      </c>
      <c r="B2197" s="9">
        <v>174.0</v>
      </c>
      <c r="C2197" s="9">
        <v>174.0</v>
      </c>
      <c r="D2197" s="9">
        <v>107.0</v>
      </c>
      <c r="E2197" s="9">
        <v>5.0</v>
      </c>
      <c r="F2197" s="14"/>
      <c r="G2197" s="15"/>
      <c r="H2197" s="15"/>
      <c r="I2197" s="14"/>
      <c r="P2197" s="14"/>
    </row>
    <row r="2198" ht="18.75" customHeight="1">
      <c r="A2198" s="7" t="s">
        <v>2957</v>
      </c>
      <c r="B2198" s="9">
        <v>128.0</v>
      </c>
      <c r="C2198" s="9">
        <v>126.0</v>
      </c>
      <c r="D2198" s="9">
        <v>84.0</v>
      </c>
      <c r="E2198" s="9">
        <v>29.0</v>
      </c>
      <c r="F2198" s="14"/>
      <c r="G2198" s="15"/>
      <c r="H2198" s="15"/>
      <c r="I2198" s="14"/>
      <c r="P2198" s="14"/>
    </row>
    <row r="2199" ht="18.75" customHeight="1">
      <c r="A2199" s="7" t="s">
        <v>2983</v>
      </c>
      <c r="B2199" s="9">
        <v>499.0</v>
      </c>
      <c r="C2199" s="9">
        <v>498.0</v>
      </c>
      <c r="D2199" s="9">
        <v>227.0</v>
      </c>
      <c r="E2199" s="9">
        <v>51.0</v>
      </c>
      <c r="F2199" s="14"/>
      <c r="G2199" s="15"/>
      <c r="H2199" s="15"/>
      <c r="I2199" s="14"/>
      <c r="P2199" s="14"/>
    </row>
    <row r="2200" ht="18.75" customHeight="1">
      <c r="A2200" s="7" t="s">
        <v>3353</v>
      </c>
      <c r="B2200" s="9">
        <v>33.0</v>
      </c>
      <c r="C2200" s="9">
        <v>33.0</v>
      </c>
      <c r="D2200" s="9">
        <v>22.0</v>
      </c>
      <c r="E2200" s="9">
        <v>0.0</v>
      </c>
      <c r="F2200" s="14"/>
      <c r="G2200" s="15"/>
      <c r="H2200" s="15"/>
      <c r="I2200" s="14"/>
      <c r="P2200" s="14"/>
    </row>
    <row r="2201" ht="18.75" customHeight="1">
      <c r="A2201" s="7" t="s">
        <v>3309</v>
      </c>
      <c r="B2201" s="9">
        <v>120.0</v>
      </c>
      <c r="C2201" s="9">
        <v>120.0</v>
      </c>
      <c r="D2201" s="9">
        <v>77.0</v>
      </c>
      <c r="E2201" s="9">
        <v>33.0</v>
      </c>
      <c r="F2201" s="14"/>
      <c r="G2201" s="15"/>
      <c r="H2201" s="15"/>
      <c r="I2201" s="14"/>
      <c r="P2201" s="14"/>
    </row>
    <row r="2202" ht="18.75" customHeight="1">
      <c r="A2202" s="7" t="s">
        <v>3331</v>
      </c>
      <c r="B2202" s="9">
        <v>81.0</v>
      </c>
      <c r="C2202" s="9">
        <v>80.0</v>
      </c>
      <c r="D2202" s="9">
        <v>44.0</v>
      </c>
      <c r="E2202" s="9">
        <v>5.0</v>
      </c>
      <c r="F2202" s="14"/>
      <c r="G2202" s="15"/>
      <c r="H2202" s="15"/>
      <c r="I2202" s="14"/>
      <c r="P2202" s="14"/>
    </row>
    <row r="2203" ht="18.75" customHeight="1">
      <c r="A2203" s="7" t="s">
        <v>2778</v>
      </c>
      <c r="B2203" s="9">
        <v>360.0</v>
      </c>
      <c r="C2203" s="9">
        <v>358.0</v>
      </c>
      <c r="D2203" s="9">
        <v>229.0</v>
      </c>
      <c r="E2203" s="9">
        <v>1.0</v>
      </c>
      <c r="F2203" s="14"/>
      <c r="G2203" s="15"/>
      <c r="H2203" s="15"/>
      <c r="I2203" s="14"/>
      <c r="P2203" s="14"/>
    </row>
    <row r="2204" ht="18.75" customHeight="1">
      <c r="A2204" s="7" t="s">
        <v>2870</v>
      </c>
      <c r="B2204" s="9">
        <v>140.0</v>
      </c>
      <c r="C2204" s="9">
        <v>139.0</v>
      </c>
      <c r="D2204" s="9">
        <v>92.0</v>
      </c>
      <c r="E2204" s="9">
        <v>1.0</v>
      </c>
      <c r="F2204" s="14"/>
      <c r="G2204" s="15"/>
      <c r="H2204" s="15"/>
      <c r="I2204" s="14"/>
      <c r="P2204" s="14"/>
    </row>
    <row r="2205" ht="18.75" customHeight="1">
      <c r="A2205" s="7" t="s">
        <v>3219</v>
      </c>
      <c r="B2205" s="9">
        <v>74.0</v>
      </c>
      <c r="C2205" s="9">
        <v>73.0</v>
      </c>
      <c r="D2205" s="9">
        <v>51.0</v>
      </c>
      <c r="E2205" s="9">
        <v>0.0</v>
      </c>
      <c r="F2205" s="14"/>
      <c r="G2205" s="15"/>
      <c r="H2205" s="15"/>
      <c r="I2205" s="14"/>
      <c r="P2205" s="14"/>
    </row>
    <row r="2206" ht="18.75" customHeight="1">
      <c r="A2206" s="7" t="s">
        <v>3354</v>
      </c>
      <c r="B2206" s="9">
        <v>59.0</v>
      </c>
      <c r="C2206" s="9">
        <v>59.0</v>
      </c>
      <c r="D2206" s="9">
        <v>33.0</v>
      </c>
      <c r="E2206" s="9">
        <v>0.0</v>
      </c>
      <c r="F2206" s="14"/>
      <c r="G2206" s="15"/>
      <c r="H2206" s="15"/>
      <c r="I2206" s="14"/>
      <c r="P2206" s="14"/>
    </row>
    <row r="2207" ht="18.75" customHeight="1">
      <c r="A2207" s="7" t="s">
        <v>3355</v>
      </c>
      <c r="B2207" s="9">
        <v>98.0</v>
      </c>
      <c r="C2207" s="9">
        <v>98.0</v>
      </c>
      <c r="D2207" s="9">
        <v>59.0</v>
      </c>
      <c r="E2207" s="9">
        <v>3.0</v>
      </c>
      <c r="F2207" s="14"/>
      <c r="G2207" s="15"/>
      <c r="H2207" s="15"/>
      <c r="I2207" s="14"/>
      <c r="P2207" s="14"/>
    </row>
    <row r="2208" ht="18.75" customHeight="1">
      <c r="A2208" s="7" t="s">
        <v>2971</v>
      </c>
      <c r="B2208" s="9">
        <v>150.0</v>
      </c>
      <c r="C2208" s="9">
        <v>149.0</v>
      </c>
      <c r="D2208" s="9">
        <v>95.0</v>
      </c>
      <c r="E2208" s="9">
        <v>2.0</v>
      </c>
      <c r="F2208" s="14"/>
      <c r="G2208" s="15"/>
      <c r="H2208" s="15"/>
      <c r="I2208" s="14"/>
      <c r="P2208" s="14"/>
    </row>
    <row r="2209" ht="18.75" customHeight="1">
      <c r="A2209" s="7" t="s">
        <v>2811</v>
      </c>
      <c r="B2209" s="9">
        <v>131.0</v>
      </c>
      <c r="C2209" s="9">
        <v>131.0</v>
      </c>
      <c r="D2209" s="9">
        <v>84.0</v>
      </c>
      <c r="E2209" s="9">
        <v>0.0</v>
      </c>
      <c r="F2209" s="14"/>
      <c r="G2209" s="15"/>
      <c r="H2209" s="15"/>
      <c r="I2209" s="14"/>
      <c r="P2209" s="14"/>
    </row>
    <row r="2210" ht="18.75" customHeight="1">
      <c r="A2210" s="7" t="s">
        <v>3356</v>
      </c>
      <c r="B2210" s="9">
        <v>100.0</v>
      </c>
      <c r="C2210" s="9">
        <v>99.0</v>
      </c>
      <c r="D2210" s="9">
        <v>49.0</v>
      </c>
      <c r="E2210" s="9">
        <v>0.0</v>
      </c>
      <c r="F2210" s="14"/>
      <c r="G2210" s="15"/>
      <c r="H2210" s="15"/>
      <c r="I2210" s="14"/>
      <c r="P2210" s="14"/>
    </row>
    <row r="2211" ht="18.75" customHeight="1">
      <c r="A2211" s="7" t="s">
        <v>2875</v>
      </c>
      <c r="B2211" s="9">
        <v>28.0</v>
      </c>
      <c r="C2211" s="9">
        <v>28.0</v>
      </c>
      <c r="D2211" s="9">
        <v>20.0</v>
      </c>
      <c r="E2211" s="9">
        <v>1.0</v>
      </c>
      <c r="F2211" s="14"/>
      <c r="G2211" s="15"/>
      <c r="H2211" s="15"/>
      <c r="I2211" s="14"/>
      <c r="P2211" s="14"/>
    </row>
    <row r="2212" ht="18.75" customHeight="1">
      <c r="A2212" s="7" t="s">
        <v>2872</v>
      </c>
      <c r="B2212" s="9">
        <v>89.0</v>
      </c>
      <c r="C2212" s="9">
        <v>89.0</v>
      </c>
      <c r="D2212" s="9">
        <v>56.0</v>
      </c>
      <c r="E2212" s="9">
        <v>2.0</v>
      </c>
      <c r="F2212" s="14"/>
      <c r="G2212" s="15"/>
      <c r="H2212" s="15"/>
      <c r="I2212" s="14"/>
      <c r="P2212" s="14"/>
    </row>
    <row r="2213" ht="18.75" customHeight="1">
      <c r="A2213" s="7" t="s">
        <v>2873</v>
      </c>
      <c r="B2213" s="9">
        <v>56.0</v>
      </c>
      <c r="C2213" s="9">
        <v>56.0</v>
      </c>
      <c r="D2213" s="9">
        <v>38.0</v>
      </c>
      <c r="E2213" s="9">
        <v>1.0</v>
      </c>
      <c r="F2213" s="14"/>
      <c r="G2213" s="15"/>
      <c r="H2213" s="15"/>
      <c r="I2213" s="14"/>
      <c r="P2213" s="14"/>
    </row>
    <row r="2214" ht="18.75" customHeight="1">
      <c r="A2214" s="7" t="s">
        <v>3193</v>
      </c>
      <c r="B2214" s="9">
        <v>89.0</v>
      </c>
      <c r="C2214" s="9">
        <v>89.0</v>
      </c>
      <c r="D2214" s="9">
        <v>47.0</v>
      </c>
      <c r="E2214" s="9">
        <v>0.0</v>
      </c>
      <c r="F2214" s="14"/>
      <c r="G2214" s="15"/>
      <c r="H2214" s="15"/>
      <c r="I2214" s="14"/>
      <c r="P2214" s="14"/>
    </row>
    <row r="2215" ht="18.75" customHeight="1">
      <c r="A2215" s="7" t="s">
        <v>2848</v>
      </c>
      <c r="B2215" s="9">
        <v>276.0</v>
      </c>
      <c r="C2215" s="9">
        <v>275.0</v>
      </c>
      <c r="D2215" s="9">
        <v>152.0</v>
      </c>
      <c r="E2215" s="9">
        <v>5.0</v>
      </c>
      <c r="F2215" s="14"/>
      <c r="G2215" s="15"/>
      <c r="H2215" s="15"/>
      <c r="I2215" s="14"/>
      <c r="P2215" s="14"/>
    </row>
    <row r="2216" ht="18.75" customHeight="1">
      <c r="A2216" s="7" t="s">
        <v>3319</v>
      </c>
      <c r="B2216" s="9">
        <v>87.0</v>
      </c>
      <c r="C2216" s="9">
        <v>86.0</v>
      </c>
      <c r="D2216" s="9">
        <v>67.0</v>
      </c>
      <c r="E2216" s="9">
        <v>1.0</v>
      </c>
      <c r="F2216" s="14"/>
      <c r="G2216" s="15"/>
      <c r="H2216" s="15"/>
      <c r="I2216" s="14"/>
      <c r="P2216" s="14"/>
    </row>
    <row r="2217" ht="18.75" customHeight="1">
      <c r="A2217" s="7" t="s">
        <v>3171</v>
      </c>
      <c r="B2217" s="9">
        <v>179.0</v>
      </c>
      <c r="C2217" s="9">
        <v>178.0</v>
      </c>
      <c r="D2217" s="9">
        <v>102.0</v>
      </c>
      <c r="E2217" s="9">
        <v>0.0</v>
      </c>
      <c r="F2217" s="14"/>
      <c r="G2217" s="15"/>
      <c r="H2217" s="15"/>
      <c r="I2217" s="14"/>
      <c r="P2217" s="14"/>
    </row>
    <row r="2218" ht="18.75" customHeight="1">
      <c r="A2218" s="7" t="s">
        <v>3299</v>
      </c>
      <c r="B2218" s="9">
        <v>65.0</v>
      </c>
      <c r="C2218" s="9">
        <v>65.0</v>
      </c>
      <c r="D2218" s="9">
        <v>42.0</v>
      </c>
      <c r="E2218" s="9">
        <v>1.0</v>
      </c>
      <c r="F2218" s="14"/>
      <c r="G2218" s="15"/>
      <c r="H2218" s="15"/>
      <c r="I2218" s="14"/>
      <c r="P2218" s="14"/>
    </row>
    <row r="2219" ht="18.75" customHeight="1">
      <c r="A2219" s="7" t="s">
        <v>2761</v>
      </c>
      <c r="B2219" s="9">
        <v>160.0</v>
      </c>
      <c r="C2219" s="9">
        <v>159.0</v>
      </c>
      <c r="D2219" s="9">
        <v>69.0</v>
      </c>
      <c r="E2219" s="9">
        <v>0.0</v>
      </c>
      <c r="F2219" s="14"/>
      <c r="G2219" s="15"/>
      <c r="H2219" s="15"/>
      <c r="I2219" s="14"/>
      <c r="P2219" s="14"/>
    </row>
    <row r="2220" ht="18.75" customHeight="1">
      <c r="A2220" s="7" t="s">
        <v>2853</v>
      </c>
      <c r="B2220" s="9">
        <v>334.0</v>
      </c>
      <c r="C2220" s="9">
        <v>333.0</v>
      </c>
      <c r="D2220" s="9">
        <v>189.0</v>
      </c>
      <c r="E2220" s="9">
        <v>0.0</v>
      </c>
      <c r="F2220" s="14"/>
      <c r="G2220" s="15"/>
      <c r="H2220" s="15"/>
      <c r="I2220" s="14"/>
      <c r="P2220" s="14"/>
    </row>
    <row r="2221" ht="18.75" customHeight="1">
      <c r="A2221" s="7" t="s">
        <v>3357</v>
      </c>
      <c r="B2221" s="9">
        <v>71.0</v>
      </c>
      <c r="C2221" s="9">
        <v>71.0</v>
      </c>
      <c r="D2221" s="9">
        <v>40.0</v>
      </c>
      <c r="E2221" s="9">
        <v>2.0</v>
      </c>
      <c r="F2221" s="14"/>
      <c r="G2221" s="15"/>
      <c r="H2221" s="15"/>
      <c r="I2221" s="14"/>
      <c r="P2221" s="14"/>
    </row>
    <row r="2222" ht="18.75" customHeight="1">
      <c r="A2222" s="7" t="s">
        <v>3235</v>
      </c>
      <c r="B2222" s="9">
        <v>40.0</v>
      </c>
      <c r="C2222" s="9">
        <v>40.0</v>
      </c>
      <c r="D2222" s="9">
        <v>18.0</v>
      </c>
      <c r="E2222" s="9">
        <v>0.0</v>
      </c>
      <c r="F2222" s="14"/>
      <c r="G2222" s="15"/>
      <c r="H2222" s="15"/>
      <c r="I2222" s="14"/>
      <c r="P2222" s="14"/>
    </row>
    <row r="2223" ht="18.75" customHeight="1">
      <c r="A2223" s="7" t="s">
        <v>3358</v>
      </c>
      <c r="B2223" s="9">
        <v>39.0</v>
      </c>
      <c r="C2223" s="9">
        <v>39.0</v>
      </c>
      <c r="D2223" s="9">
        <v>17.0</v>
      </c>
      <c r="E2223" s="9">
        <v>0.0</v>
      </c>
      <c r="F2223" s="14"/>
      <c r="G2223" s="15"/>
      <c r="H2223" s="15"/>
      <c r="I2223" s="14"/>
      <c r="P2223" s="14"/>
    </row>
    <row r="2224" ht="18.75" customHeight="1">
      <c r="A2224" s="7" t="s">
        <v>3111</v>
      </c>
      <c r="B2224" s="9">
        <v>1080.0</v>
      </c>
      <c r="C2224" s="9">
        <v>1038.0</v>
      </c>
      <c r="D2224" s="9">
        <v>308.0</v>
      </c>
      <c r="E2224" s="9">
        <v>86.0</v>
      </c>
      <c r="F2224" s="14"/>
      <c r="G2224" s="15"/>
      <c r="H2224" s="15"/>
      <c r="I2224" s="14"/>
      <c r="P2224" s="14"/>
    </row>
    <row r="2225" ht="18.75" customHeight="1">
      <c r="A2225" s="7" t="s">
        <v>2898</v>
      </c>
      <c r="B2225" s="9">
        <v>456.0</v>
      </c>
      <c r="C2225" s="9">
        <v>455.0</v>
      </c>
      <c r="D2225" s="9">
        <v>328.0</v>
      </c>
      <c r="E2225" s="9">
        <v>142.0</v>
      </c>
      <c r="F2225" s="14"/>
      <c r="G2225" s="15"/>
      <c r="H2225" s="15"/>
      <c r="I2225" s="14"/>
      <c r="P2225" s="14"/>
    </row>
    <row r="2226" ht="18.75" customHeight="1">
      <c r="A2226" s="7" t="s">
        <v>3359</v>
      </c>
      <c r="B2226" s="9">
        <v>99018.0</v>
      </c>
      <c r="C2226" s="9">
        <v>96983.0</v>
      </c>
      <c r="D2226" s="9">
        <v>38033.0</v>
      </c>
      <c r="E2226" s="9">
        <v>451.0</v>
      </c>
      <c r="F2226" s="14"/>
      <c r="G2226" s="15"/>
      <c r="H2226" s="15"/>
      <c r="I2226" s="14"/>
      <c r="P2226" s="14"/>
    </row>
    <row r="2227" ht="18.75" customHeight="1">
      <c r="A2227" s="7" t="s">
        <v>3360</v>
      </c>
      <c r="B2227" s="9">
        <v>61989.0</v>
      </c>
      <c r="C2227" s="9">
        <v>60809.0</v>
      </c>
      <c r="D2227" s="9">
        <v>25271.0</v>
      </c>
      <c r="E2227" s="9">
        <v>694.0</v>
      </c>
      <c r="F2227" s="14"/>
      <c r="G2227" s="15"/>
      <c r="H2227" s="15"/>
      <c r="I2227" s="14"/>
      <c r="P2227" s="14"/>
    </row>
    <row r="2228" ht="18.75" customHeight="1">
      <c r="A2228" s="7" t="s">
        <v>3361</v>
      </c>
      <c r="B2228" s="9">
        <v>83692.0</v>
      </c>
      <c r="C2228" s="9">
        <v>82100.0</v>
      </c>
      <c r="D2228" s="9">
        <v>28321.0</v>
      </c>
      <c r="E2228" s="9">
        <v>2478.0</v>
      </c>
      <c r="F2228" s="14"/>
      <c r="G2228" s="15"/>
      <c r="H2228" s="15"/>
      <c r="I2228" s="14"/>
      <c r="P2228" s="14"/>
    </row>
    <row r="2229" ht="18.75" customHeight="1">
      <c r="A2229" s="7" t="s">
        <v>3362</v>
      </c>
      <c r="B2229" s="9">
        <v>13753.0</v>
      </c>
      <c r="C2229" s="9">
        <v>13515.0</v>
      </c>
      <c r="D2229" s="9">
        <v>4729.0</v>
      </c>
      <c r="E2229" s="9">
        <v>493.0</v>
      </c>
      <c r="F2229" s="14"/>
      <c r="G2229" s="15"/>
      <c r="H2229" s="15"/>
      <c r="I2229" s="14"/>
      <c r="P2229" s="14"/>
    </row>
    <row r="2230" ht="18.75" customHeight="1">
      <c r="A2230" s="7" t="s">
        <v>3363</v>
      </c>
      <c r="B2230" s="9">
        <v>75704.0</v>
      </c>
      <c r="C2230" s="9">
        <v>74425.0</v>
      </c>
      <c r="D2230" s="9">
        <v>17871.0</v>
      </c>
      <c r="E2230" s="9">
        <v>756.0</v>
      </c>
      <c r="F2230" s="14"/>
      <c r="G2230" s="15"/>
      <c r="H2230" s="15"/>
      <c r="I2230" s="14"/>
      <c r="P2230" s="14"/>
    </row>
    <row r="2231" ht="18.75" customHeight="1">
      <c r="A2231" s="7" t="s">
        <v>3166</v>
      </c>
      <c r="B2231" s="9">
        <v>48493.0</v>
      </c>
      <c r="C2231" s="9">
        <v>47970.0</v>
      </c>
      <c r="D2231" s="9">
        <v>26206.0</v>
      </c>
      <c r="E2231" s="9">
        <v>944.0</v>
      </c>
      <c r="F2231" s="14"/>
      <c r="G2231" s="15"/>
      <c r="H2231" s="15"/>
      <c r="I2231" s="14"/>
      <c r="P2231" s="14"/>
    </row>
    <row r="2232" ht="18.75" customHeight="1">
      <c r="A2232" s="7" t="s">
        <v>3364</v>
      </c>
      <c r="B2232" s="9">
        <v>61184.0</v>
      </c>
      <c r="C2232" s="9">
        <v>60555.0</v>
      </c>
      <c r="D2232" s="9">
        <v>33330.0</v>
      </c>
      <c r="E2232" s="9">
        <v>660.0</v>
      </c>
      <c r="F2232" s="14"/>
      <c r="G2232" s="15"/>
      <c r="H2232" s="15"/>
      <c r="I2232" s="14"/>
      <c r="P2232" s="14"/>
    </row>
    <row r="2233" ht="18.75" customHeight="1">
      <c r="A2233" s="7" t="s">
        <v>2755</v>
      </c>
      <c r="B2233" s="9">
        <v>94914.0</v>
      </c>
      <c r="C2233" s="9">
        <v>92585.0</v>
      </c>
      <c r="D2233" s="9">
        <v>22416.0</v>
      </c>
      <c r="E2233" s="9">
        <v>68.0</v>
      </c>
      <c r="F2233" s="14"/>
      <c r="G2233" s="15"/>
      <c r="H2233" s="15"/>
      <c r="I2233" s="14"/>
      <c r="P2233" s="14"/>
    </row>
    <row r="2234" ht="18.75" customHeight="1">
      <c r="A2234" s="7" t="s">
        <v>3057</v>
      </c>
      <c r="B2234" s="9">
        <v>46605.0</v>
      </c>
      <c r="C2234" s="9">
        <v>45739.0</v>
      </c>
      <c r="D2234" s="9">
        <v>18082.0</v>
      </c>
      <c r="E2234" s="9">
        <v>225.0</v>
      </c>
      <c r="F2234" s="14"/>
      <c r="G2234" s="15"/>
      <c r="H2234" s="15"/>
      <c r="I2234" s="14"/>
      <c r="P2234" s="14"/>
    </row>
    <row r="2235" ht="18.75" customHeight="1">
      <c r="A2235" s="7" t="s">
        <v>2750</v>
      </c>
      <c r="B2235" s="9">
        <v>28271.0</v>
      </c>
      <c r="C2235" s="9">
        <v>27733.0</v>
      </c>
      <c r="D2235" s="9">
        <v>6050.0</v>
      </c>
      <c r="E2235" s="9">
        <v>29.0</v>
      </c>
      <c r="F2235" s="14"/>
      <c r="G2235" s="15"/>
      <c r="H2235" s="15"/>
      <c r="I2235" s="14"/>
      <c r="P2235" s="14"/>
    </row>
    <row r="2236" ht="18.75" customHeight="1">
      <c r="A2236" s="7" t="s">
        <v>3090</v>
      </c>
      <c r="B2236" s="9">
        <v>14287.0</v>
      </c>
      <c r="C2236" s="9">
        <v>13947.0</v>
      </c>
      <c r="D2236" s="9">
        <v>4453.0</v>
      </c>
      <c r="E2236" s="9">
        <v>439.0</v>
      </c>
      <c r="F2236" s="14"/>
      <c r="G2236" s="15"/>
      <c r="H2236" s="15"/>
      <c r="I2236" s="14"/>
      <c r="P2236" s="14"/>
    </row>
    <row r="2237" ht="18.75" customHeight="1">
      <c r="A2237" s="7" t="s">
        <v>3191</v>
      </c>
      <c r="B2237" s="9">
        <v>147026.0</v>
      </c>
      <c r="C2237" s="9">
        <v>144845.0</v>
      </c>
      <c r="D2237" s="9">
        <v>65508.0</v>
      </c>
      <c r="E2237" s="9">
        <v>3400.0</v>
      </c>
      <c r="F2237" s="14"/>
      <c r="G2237" s="15"/>
      <c r="H2237" s="15"/>
      <c r="I2237" s="14"/>
      <c r="P2237" s="14"/>
    </row>
    <row r="2238" ht="18.75" customHeight="1">
      <c r="A2238" s="7" t="s">
        <v>3288</v>
      </c>
      <c r="B2238" s="9">
        <v>146038.0</v>
      </c>
      <c r="C2238" s="9">
        <v>144558.0</v>
      </c>
      <c r="D2238" s="9">
        <v>60485.0</v>
      </c>
      <c r="E2238" s="9">
        <v>2756.0</v>
      </c>
      <c r="F2238" s="14"/>
      <c r="G2238" s="15"/>
      <c r="H2238" s="15"/>
      <c r="I2238" s="14"/>
      <c r="P2238" s="14"/>
    </row>
    <row r="2239" ht="18.75" customHeight="1">
      <c r="A2239" s="7" t="s">
        <v>3160</v>
      </c>
      <c r="B2239" s="9">
        <v>48027.0</v>
      </c>
      <c r="C2239" s="9">
        <v>47835.0</v>
      </c>
      <c r="D2239" s="9">
        <v>33774.0</v>
      </c>
      <c r="E2239" s="9">
        <v>653.0</v>
      </c>
      <c r="F2239" s="14"/>
      <c r="G2239" s="15"/>
      <c r="H2239" s="15"/>
      <c r="I2239" s="14"/>
      <c r="P2239" s="14"/>
    </row>
    <row r="2240" ht="18.75" customHeight="1">
      <c r="A2240" s="7" t="s">
        <v>3032</v>
      </c>
      <c r="B2240" s="9">
        <v>120187.0</v>
      </c>
      <c r="C2240" s="9">
        <v>117668.0</v>
      </c>
      <c r="D2240" s="9">
        <v>40052.0</v>
      </c>
      <c r="E2240" s="9">
        <v>3918.0</v>
      </c>
      <c r="F2240" s="14"/>
      <c r="G2240" s="15"/>
      <c r="H2240" s="15"/>
      <c r="I2240" s="14"/>
      <c r="P2240" s="14"/>
    </row>
    <row r="2241" ht="18.75" customHeight="1">
      <c r="A2241" s="7" t="s">
        <v>3365</v>
      </c>
      <c r="B2241" s="9">
        <v>37006.0</v>
      </c>
      <c r="C2241" s="9">
        <v>36508.0</v>
      </c>
      <c r="D2241" s="9">
        <v>15919.0</v>
      </c>
      <c r="E2241" s="9">
        <v>2995.0</v>
      </c>
      <c r="F2241" s="14"/>
      <c r="G2241" s="15"/>
      <c r="H2241" s="15"/>
      <c r="I2241" s="14"/>
      <c r="P2241" s="14"/>
    </row>
    <row r="2242" ht="18.75" customHeight="1">
      <c r="A2242" s="7" t="s">
        <v>3366</v>
      </c>
      <c r="B2242" s="9">
        <v>40547.0</v>
      </c>
      <c r="C2242" s="9">
        <v>39943.0</v>
      </c>
      <c r="D2242" s="9">
        <v>13055.0</v>
      </c>
      <c r="E2242" s="9">
        <v>1634.0</v>
      </c>
      <c r="F2242" s="14"/>
      <c r="G2242" s="15"/>
      <c r="H2242" s="15"/>
      <c r="I2242" s="14"/>
      <c r="P2242" s="14"/>
    </row>
    <row r="2243" ht="18.75" customHeight="1">
      <c r="A2243" s="7" t="s">
        <v>3072</v>
      </c>
      <c r="B2243" s="9">
        <v>77527.0</v>
      </c>
      <c r="C2243" s="9">
        <v>76691.0</v>
      </c>
      <c r="D2243" s="9">
        <v>29182.0</v>
      </c>
      <c r="E2243" s="9">
        <v>2635.0</v>
      </c>
      <c r="F2243" s="14"/>
      <c r="G2243" s="15"/>
      <c r="H2243" s="15"/>
      <c r="I2243" s="14"/>
      <c r="P2243" s="14"/>
    </row>
    <row r="2244" ht="18.75" customHeight="1">
      <c r="A2244" s="7" t="s">
        <v>362</v>
      </c>
      <c r="B2244" s="9">
        <v>75441.0</v>
      </c>
      <c r="C2244" s="9">
        <v>73983.0</v>
      </c>
      <c r="D2244" s="9">
        <v>25776.0</v>
      </c>
      <c r="E2244" s="9">
        <v>626.0</v>
      </c>
      <c r="F2244" s="14"/>
      <c r="G2244" s="15"/>
      <c r="H2244" s="15"/>
      <c r="I2244" s="14"/>
      <c r="P2244" s="14"/>
    </row>
    <row r="2245" ht="18.75" customHeight="1">
      <c r="A2245" s="7" t="s">
        <v>3065</v>
      </c>
      <c r="B2245" s="9">
        <v>48930.0</v>
      </c>
      <c r="C2245" s="9">
        <v>48089.0</v>
      </c>
      <c r="D2245" s="9">
        <v>11584.0</v>
      </c>
      <c r="E2245" s="9">
        <v>33.0</v>
      </c>
      <c r="F2245" s="14"/>
      <c r="G2245" s="15"/>
      <c r="H2245" s="15"/>
      <c r="I2245" s="14"/>
      <c r="P2245" s="14"/>
    </row>
    <row r="2246" ht="18.75" customHeight="1">
      <c r="A2246" s="7" t="s">
        <v>2961</v>
      </c>
      <c r="B2246" s="9">
        <v>54841.0</v>
      </c>
      <c r="C2246" s="9">
        <v>53973.0</v>
      </c>
      <c r="D2246" s="9">
        <v>20883.0</v>
      </c>
      <c r="E2246" s="9">
        <v>373.0</v>
      </c>
      <c r="F2246" s="14"/>
      <c r="G2246" s="15"/>
      <c r="H2246" s="15"/>
      <c r="I2246" s="14"/>
      <c r="P2246" s="14"/>
    </row>
    <row r="2247" ht="18.75" customHeight="1">
      <c r="A2247" s="7" t="s">
        <v>3367</v>
      </c>
      <c r="B2247" s="9">
        <v>81649.0</v>
      </c>
      <c r="C2247" s="9">
        <v>80631.0</v>
      </c>
      <c r="D2247" s="9">
        <v>16256.0</v>
      </c>
      <c r="E2247" s="9">
        <v>1659.0</v>
      </c>
      <c r="F2247" s="14"/>
      <c r="G2247" s="15"/>
      <c r="H2247" s="15"/>
      <c r="I2247" s="14"/>
      <c r="P2247" s="14"/>
    </row>
    <row r="2248" ht="18.75" customHeight="1">
      <c r="A2248" s="7" t="s">
        <v>3368</v>
      </c>
      <c r="B2248" s="9">
        <v>61351.0</v>
      </c>
      <c r="C2248" s="9">
        <v>60113.0</v>
      </c>
      <c r="D2248" s="9">
        <v>12474.0</v>
      </c>
      <c r="E2248" s="9">
        <v>441.0</v>
      </c>
      <c r="F2248" s="14"/>
      <c r="G2248" s="15"/>
      <c r="H2248" s="15"/>
      <c r="I2248" s="14"/>
      <c r="P2248" s="14"/>
    </row>
    <row r="2249" ht="18.75" customHeight="1">
      <c r="A2249" s="7" t="s">
        <v>3369</v>
      </c>
      <c r="B2249" s="9">
        <v>58498.0</v>
      </c>
      <c r="C2249" s="9">
        <v>57505.0</v>
      </c>
      <c r="D2249" s="9">
        <v>15241.0</v>
      </c>
      <c r="E2249" s="9">
        <v>382.0</v>
      </c>
      <c r="F2249" s="14"/>
      <c r="G2249" s="15"/>
      <c r="H2249" s="15"/>
      <c r="I2249" s="14"/>
      <c r="P2249" s="14"/>
    </row>
    <row r="2250" ht="18.75" customHeight="1">
      <c r="A2250" s="7" t="s">
        <v>3370</v>
      </c>
      <c r="B2250" s="9">
        <v>47708.0</v>
      </c>
      <c r="C2250" s="9">
        <v>47168.0</v>
      </c>
      <c r="D2250" s="9">
        <v>14515.0</v>
      </c>
      <c r="E2250" s="9">
        <v>454.0</v>
      </c>
      <c r="F2250" s="14"/>
      <c r="G2250" s="15"/>
      <c r="H2250" s="15"/>
      <c r="I2250" s="14"/>
      <c r="P2250" s="14"/>
    </row>
    <row r="2251" ht="18.75" customHeight="1">
      <c r="A2251" s="7" t="s">
        <v>3371</v>
      </c>
      <c r="B2251" s="9">
        <v>146963.0</v>
      </c>
      <c r="C2251" s="9">
        <v>144289.0</v>
      </c>
      <c r="D2251" s="9">
        <v>44693.0</v>
      </c>
      <c r="E2251" s="9">
        <v>135.0</v>
      </c>
      <c r="F2251" s="14"/>
      <c r="G2251" s="15"/>
      <c r="H2251" s="15"/>
      <c r="I2251" s="14"/>
      <c r="P2251" s="14"/>
    </row>
    <row r="2252" ht="18.75" customHeight="1">
      <c r="A2252" s="7" t="s">
        <v>3372</v>
      </c>
      <c r="B2252" s="9">
        <v>25609.0</v>
      </c>
      <c r="C2252" s="9">
        <v>25063.0</v>
      </c>
      <c r="D2252" s="9">
        <v>4367.0</v>
      </c>
      <c r="E2252" s="9">
        <v>86.0</v>
      </c>
      <c r="F2252" s="14"/>
      <c r="G2252" s="15"/>
      <c r="H2252" s="15"/>
      <c r="I2252" s="14"/>
      <c r="P2252" s="14"/>
    </row>
    <row r="2253" ht="18.75" customHeight="1">
      <c r="A2253" s="7" t="s">
        <v>3373</v>
      </c>
      <c r="B2253" s="9">
        <v>58589.0</v>
      </c>
      <c r="C2253" s="9">
        <v>57541.0</v>
      </c>
      <c r="D2253" s="9">
        <v>22771.0</v>
      </c>
      <c r="E2253" s="9">
        <v>392.0</v>
      </c>
      <c r="F2253" s="14"/>
      <c r="G2253" s="15"/>
      <c r="H2253" s="15"/>
      <c r="I2253" s="14"/>
      <c r="P2253" s="14"/>
    </row>
    <row r="2254" ht="18.75" customHeight="1">
      <c r="A2254" s="7" t="s">
        <v>3374</v>
      </c>
      <c r="B2254" s="9">
        <v>74329.0</v>
      </c>
      <c r="C2254" s="9">
        <v>73190.0</v>
      </c>
      <c r="D2254" s="9">
        <v>23387.0</v>
      </c>
      <c r="E2254" s="9">
        <v>589.0</v>
      </c>
      <c r="F2254" s="14"/>
      <c r="G2254" s="15"/>
      <c r="H2254" s="15"/>
      <c r="I2254" s="14"/>
      <c r="P2254" s="14"/>
    </row>
    <row r="2255" ht="18.75" customHeight="1">
      <c r="A2255" s="7" t="s">
        <v>379</v>
      </c>
      <c r="B2255" s="9">
        <v>132413.0</v>
      </c>
      <c r="C2255" s="9">
        <v>130535.0</v>
      </c>
      <c r="D2255" s="9">
        <v>87400.0</v>
      </c>
      <c r="E2255" s="9">
        <v>8263.0</v>
      </c>
      <c r="F2255" s="14"/>
      <c r="G2255" s="15"/>
      <c r="H2255" s="15"/>
      <c r="I2255" s="14"/>
      <c r="P2255" s="14"/>
    </row>
    <row r="2256" ht="18.75" customHeight="1">
      <c r="A2256" s="7" t="s">
        <v>3032</v>
      </c>
      <c r="B2256" s="9">
        <v>116379.0</v>
      </c>
      <c r="C2256" s="9">
        <v>113825.0</v>
      </c>
      <c r="D2256" s="9">
        <v>34664.0</v>
      </c>
      <c r="E2256" s="9">
        <v>1058.0</v>
      </c>
      <c r="F2256" s="14"/>
      <c r="G2256" s="15"/>
      <c r="H2256" s="15"/>
      <c r="I2256" s="14"/>
      <c r="P2256" s="14"/>
    </row>
    <row r="2257" ht="18.75" customHeight="1">
      <c r="A2257" s="7" t="s">
        <v>3375</v>
      </c>
      <c r="B2257" s="9">
        <v>80847.0</v>
      </c>
      <c r="C2257" s="9">
        <v>79754.0</v>
      </c>
      <c r="D2257" s="9">
        <v>32606.0</v>
      </c>
      <c r="E2257" s="9">
        <v>775.0</v>
      </c>
      <c r="F2257" s="14"/>
      <c r="G2257" s="15"/>
      <c r="H2257" s="15"/>
      <c r="I2257" s="14"/>
      <c r="P2257" s="14"/>
    </row>
    <row r="2258" ht="18.75" customHeight="1">
      <c r="A2258" s="7" t="s">
        <v>2844</v>
      </c>
      <c r="B2258" s="9">
        <v>70300.0</v>
      </c>
      <c r="C2258" s="9">
        <v>68480.0</v>
      </c>
      <c r="D2258" s="9">
        <v>19252.0</v>
      </c>
      <c r="E2258" s="9">
        <v>660.0</v>
      </c>
      <c r="F2258" s="14"/>
      <c r="G2258" s="15"/>
      <c r="H2258" s="15"/>
      <c r="I2258" s="14"/>
      <c r="P2258" s="14"/>
    </row>
    <row r="2259" ht="18.75" customHeight="1">
      <c r="A2259" s="7" t="s">
        <v>3376</v>
      </c>
      <c r="B2259" s="9">
        <v>37508.0</v>
      </c>
      <c r="C2259" s="9">
        <v>36996.0</v>
      </c>
      <c r="D2259" s="9">
        <v>7229.0</v>
      </c>
      <c r="E2259" s="9">
        <v>95.0</v>
      </c>
      <c r="F2259" s="14"/>
      <c r="G2259" s="15"/>
      <c r="H2259" s="15"/>
      <c r="I2259" s="14"/>
      <c r="P2259" s="14"/>
    </row>
    <row r="2260" ht="18.75" customHeight="1">
      <c r="A2260" s="7" t="s">
        <v>3377</v>
      </c>
      <c r="B2260" s="9">
        <v>43639.0</v>
      </c>
      <c r="C2260" s="9">
        <v>42693.0</v>
      </c>
      <c r="D2260" s="9">
        <v>10685.0</v>
      </c>
      <c r="E2260" s="9">
        <v>869.0</v>
      </c>
      <c r="F2260" s="14"/>
      <c r="G2260" s="15"/>
      <c r="H2260" s="15"/>
      <c r="I2260" s="14"/>
      <c r="P2260" s="14"/>
    </row>
    <row r="2261" ht="18.75" customHeight="1">
      <c r="A2261" s="7" t="s">
        <v>2755</v>
      </c>
      <c r="B2261" s="9">
        <v>147656.0</v>
      </c>
      <c r="C2261" s="9">
        <v>144133.0</v>
      </c>
      <c r="D2261" s="9">
        <v>41062.0</v>
      </c>
      <c r="E2261" s="9">
        <v>63.0</v>
      </c>
      <c r="F2261" s="14"/>
      <c r="G2261" s="15"/>
      <c r="H2261" s="15"/>
      <c r="I2261" s="14"/>
      <c r="P2261" s="14"/>
    </row>
    <row r="2262" ht="18.75" customHeight="1">
      <c r="A2262" s="7" t="s">
        <v>3365</v>
      </c>
      <c r="B2262" s="9">
        <v>74038.0</v>
      </c>
      <c r="C2262" s="9">
        <v>73109.0</v>
      </c>
      <c r="D2262" s="9">
        <v>24874.0</v>
      </c>
      <c r="E2262" s="9">
        <v>1928.0</v>
      </c>
      <c r="F2262" s="14"/>
      <c r="G2262" s="15"/>
      <c r="H2262" s="15"/>
      <c r="I2262" s="14"/>
      <c r="P2262" s="14"/>
    </row>
    <row r="2263" ht="18.75" customHeight="1">
      <c r="A2263" s="7" t="s">
        <v>3378</v>
      </c>
      <c r="B2263" s="9">
        <v>22172.0</v>
      </c>
      <c r="C2263" s="9">
        <v>21892.0</v>
      </c>
      <c r="D2263" s="9">
        <v>8179.0</v>
      </c>
      <c r="E2263" s="9">
        <v>689.0</v>
      </c>
      <c r="F2263" s="14"/>
      <c r="G2263" s="15"/>
      <c r="H2263" s="15"/>
      <c r="I2263" s="14"/>
      <c r="P2263" s="14"/>
    </row>
    <row r="2264" ht="18.75" customHeight="1">
      <c r="A2264" s="7" t="s">
        <v>3378</v>
      </c>
      <c r="B2264" s="9">
        <v>27575.0</v>
      </c>
      <c r="C2264" s="9">
        <v>27046.0</v>
      </c>
      <c r="D2264" s="9">
        <v>7485.0</v>
      </c>
      <c r="E2264" s="9">
        <v>477.0</v>
      </c>
      <c r="F2264" s="14"/>
      <c r="G2264" s="15"/>
      <c r="H2264" s="15"/>
      <c r="I2264" s="14"/>
      <c r="P2264" s="14"/>
    </row>
    <row r="2265" ht="18.75" customHeight="1">
      <c r="A2265" s="7" t="s">
        <v>3378</v>
      </c>
      <c r="B2265" s="9">
        <v>27814.0</v>
      </c>
      <c r="C2265" s="9">
        <v>27521.0</v>
      </c>
      <c r="D2265" s="9">
        <v>10145.0</v>
      </c>
      <c r="E2265" s="9">
        <v>823.0</v>
      </c>
      <c r="F2265" s="14"/>
      <c r="G2265" s="15"/>
      <c r="H2265" s="15"/>
      <c r="I2265" s="14"/>
      <c r="P2265" s="14"/>
    </row>
    <row r="2266" ht="18.75" customHeight="1">
      <c r="A2266" s="7" t="s">
        <v>3378</v>
      </c>
      <c r="B2266" s="9">
        <v>20911.0</v>
      </c>
      <c r="C2266" s="9">
        <v>20436.0</v>
      </c>
      <c r="D2266" s="9">
        <v>4714.0</v>
      </c>
      <c r="E2266" s="9">
        <v>398.0</v>
      </c>
      <c r="F2266" s="14"/>
      <c r="G2266" s="15"/>
      <c r="H2266" s="15"/>
      <c r="I2266" s="14"/>
      <c r="P2266" s="14"/>
    </row>
    <row r="2267" ht="18.75" customHeight="1">
      <c r="A2267" s="7" t="s">
        <v>2806</v>
      </c>
      <c r="B2267" s="9">
        <v>231761.0</v>
      </c>
      <c r="C2267" s="9">
        <v>226740.0</v>
      </c>
      <c r="D2267" s="9">
        <v>41354.0</v>
      </c>
      <c r="E2267" s="9">
        <v>113.0</v>
      </c>
      <c r="F2267" s="14"/>
      <c r="G2267" s="15"/>
      <c r="H2267" s="15"/>
      <c r="I2267" s="14"/>
      <c r="P2267" s="14"/>
    </row>
    <row r="2268" ht="18.75" customHeight="1">
      <c r="A2268" s="7" t="s">
        <v>2770</v>
      </c>
      <c r="B2268" s="9">
        <v>22733.0</v>
      </c>
      <c r="C2268" s="9">
        <v>22219.0</v>
      </c>
      <c r="D2268" s="9">
        <v>7800.0</v>
      </c>
      <c r="E2268" s="9">
        <v>17.0</v>
      </c>
      <c r="F2268" s="14"/>
      <c r="G2268" s="15"/>
      <c r="H2268" s="15"/>
      <c r="I2268" s="14"/>
      <c r="P2268" s="14"/>
    </row>
    <row r="2269" ht="18.75" customHeight="1">
      <c r="A2269" s="7" t="s">
        <v>3379</v>
      </c>
      <c r="B2269" s="9">
        <v>73832.0</v>
      </c>
      <c r="C2269" s="9">
        <v>71908.0</v>
      </c>
      <c r="D2269" s="9">
        <v>20980.0</v>
      </c>
      <c r="E2269" s="9">
        <v>1445.0</v>
      </c>
      <c r="F2269" s="14"/>
      <c r="G2269" s="15"/>
      <c r="H2269" s="15"/>
      <c r="I2269" s="14"/>
      <c r="P2269" s="14"/>
    </row>
    <row r="2270" ht="18.75" customHeight="1">
      <c r="A2270" s="7" t="s">
        <v>3111</v>
      </c>
      <c r="B2270" s="9">
        <v>1121.0</v>
      </c>
      <c r="C2270" s="9">
        <v>1089.0</v>
      </c>
      <c r="D2270" s="9">
        <v>104.0</v>
      </c>
      <c r="E2270" s="9">
        <v>7.0</v>
      </c>
      <c r="F2270" s="14"/>
      <c r="G2270" s="15"/>
      <c r="H2270" s="15"/>
      <c r="I2270" s="14"/>
      <c r="P2270" s="14"/>
    </row>
    <row r="2271" ht="18.75" customHeight="1">
      <c r="A2271" s="7" t="s">
        <v>3380</v>
      </c>
      <c r="B2271" s="9">
        <v>65653.0</v>
      </c>
      <c r="C2271" s="9">
        <v>64521.0</v>
      </c>
      <c r="D2271" s="9">
        <v>26139.0</v>
      </c>
      <c r="E2271" s="9">
        <v>406.0</v>
      </c>
      <c r="F2271" s="14"/>
      <c r="G2271" s="15"/>
      <c r="H2271" s="15"/>
      <c r="I2271" s="14"/>
      <c r="P2271" s="14"/>
    </row>
    <row r="2272" ht="18.75" customHeight="1">
      <c r="A2272" s="7" t="s">
        <v>2752</v>
      </c>
      <c r="B2272" s="9">
        <v>31333.0</v>
      </c>
      <c r="C2272" s="9">
        <v>30862.0</v>
      </c>
      <c r="D2272" s="9">
        <v>11432.0</v>
      </c>
      <c r="E2272" s="9">
        <v>511.0</v>
      </c>
      <c r="F2272" s="14"/>
      <c r="G2272" s="15"/>
      <c r="H2272" s="15"/>
      <c r="I2272" s="14"/>
      <c r="P2272" s="14"/>
    </row>
    <row r="2273" ht="18.75" customHeight="1">
      <c r="A2273" s="7" t="s">
        <v>2801</v>
      </c>
      <c r="B2273" s="9">
        <v>49303.0</v>
      </c>
      <c r="C2273" s="9">
        <v>48241.0</v>
      </c>
      <c r="D2273" s="9">
        <v>14442.0</v>
      </c>
      <c r="E2273" s="9">
        <v>23.0</v>
      </c>
      <c r="F2273" s="14"/>
      <c r="G2273" s="15"/>
      <c r="H2273" s="15"/>
      <c r="I2273" s="14"/>
      <c r="P2273" s="14"/>
    </row>
    <row r="2274" ht="18.75" customHeight="1">
      <c r="A2274" s="7" t="s">
        <v>3381</v>
      </c>
      <c r="B2274" s="9">
        <v>38706.0</v>
      </c>
      <c r="C2274" s="9">
        <v>38388.0</v>
      </c>
      <c r="D2274" s="9">
        <v>27741.0</v>
      </c>
      <c r="E2274" s="9">
        <v>27.0</v>
      </c>
      <c r="F2274" s="14"/>
      <c r="G2274" s="15"/>
      <c r="H2274" s="15"/>
      <c r="I2274" s="14"/>
      <c r="P2274" s="14"/>
    </row>
    <row r="2275" ht="18.75" customHeight="1">
      <c r="A2275" s="7" t="s">
        <v>3359</v>
      </c>
      <c r="B2275" s="9">
        <v>66737.0</v>
      </c>
      <c r="C2275" s="9">
        <v>65696.0</v>
      </c>
      <c r="D2275" s="9">
        <v>20744.0</v>
      </c>
      <c r="E2275" s="9">
        <v>703.0</v>
      </c>
      <c r="F2275" s="14"/>
      <c r="G2275" s="15"/>
      <c r="H2275" s="15"/>
      <c r="I2275" s="14"/>
      <c r="P2275" s="14"/>
    </row>
    <row r="2276" ht="18.75" customHeight="1">
      <c r="A2276" s="7" t="s">
        <v>3382</v>
      </c>
      <c r="B2276" s="9">
        <v>27409.0</v>
      </c>
      <c r="C2276" s="9">
        <v>27048.0</v>
      </c>
      <c r="D2276" s="9">
        <v>12024.0</v>
      </c>
      <c r="E2276" s="9">
        <v>415.0</v>
      </c>
      <c r="F2276" s="14"/>
      <c r="G2276" s="15"/>
      <c r="H2276" s="15"/>
      <c r="I2276" s="14"/>
      <c r="P2276" s="14"/>
    </row>
    <row r="2277" ht="18.75" customHeight="1">
      <c r="A2277" s="7" t="s">
        <v>3382</v>
      </c>
      <c r="B2277" s="9">
        <v>26128.0</v>
      </c>
      <c r="C2277" s="9">
        <v>25698.0</v>
      </c>
      <c r="D2277" s="9">
        <v>9592.0</v>
      </c>
      <c r="E2277" s="9">
        <v>235.0</v>
      </c>
      <c r="F2277" s="14"/>
      <c r="G2277" s="15"/>
      <c r="H2277" s="15"/>
      <c r="I2277" s="14"/>
      <c r="P2277" s="14"/>
    </row>
    <row r="2278" ht="18.75" customHeight="1">
      <c r="A2278" s="7" t="s">
        <v>3383</v>
      </c>
      <c r="B2278" s="9">
        <v>21957.0</v>
      </c>
      <c r="C2278" s="9">
        <v>21206.0</v>
      </c>
      <c r="D2278" s="9">
        <v>3055.0</v>
      </c>
      <c r="E2278" s="9">
        <v>38.0</v>
      </c>
      <c r="F2278" s="14"/>
      <c r="G2278" s="15"/>
      <c r="H2278" s="15"/>
      <c r="I2278" s="14"/>
      <c r="P2278" s="14"/>
    </row>
    <row r="2279" ht="18.75" customHeight="1">
      <c r="A2279" s="7" t="s">
        <v>3383</v>
      </c>
      <c r="B2279" s="9">
        <v>17212.0</v>
      </c>
      <c r="C2279" s="9">
        <v>16764.0</v>
      </c>
      <c r="D2279" s="9">
        <v>4651.0</v>
      </c>
      <c r="E2279" s="9">
        <v>6.0</v>
      </c>
      <c r="F2279" s="14"/>
      <c r="G2279" s="15"/>
      <c r="H2279" s="15"/>
      <c r="I2279" s="14"/>
      <c r="P2279" s="14"/>
    </row>
    <row r="2280" ht="18.75" customHeight="1">
      <c r="A2280" s="7" t="s">
        <v>3359</v>
      </c>
      <c r="B2280" s="9">
        <v>34663.0</v>
      </c>
      <c r="C2280" s="9">
        <v>33940.0</v>
      </c>
      <c r="D2280" s="9">
        <v>6371.0</v>
      </c>
      <c r="E2280" s="9">
        <v>402.0</v>
      </c>
      <c r="F2280" s="14"/>
      <c r="G2280" s="15"/>
      <c r="H2280" s="15"/>
      <c r="I2280" s="14"/>
      <c r="P2280" s="14"/>
    </row>
    <row r="2281" ht="18.75" customHeight="1">
      <c r="A2281" s="7" t="s">
        <v>3384</v>
      </c>
      <c r="B2281" s="9">
        <v>22163.0</v>
      </c>
      <c r="C2281" s="9">
        <v>21691.0</v>
      </c>
      <c r="D2281" s="9">
        <v>6007.0</v>
      </c>
      <c r="E2281" s="9">
        <v>466.0</v>
      </c>
      <c r="F2281" s="14"/>
      <c r="G2281" s="15"/>
      <c r="H2281" s="15"/>
      <c r="I2281" s="14"/>
      <c r="P2281" s="14"/>
    </row>
    <row r="2282" ht="18.75" customHeight="1">
      <c r="A2282" s="7" t="s">
        <v>3384</v>
      </c>
      <c r="B2282" s="9">
        <v>19757.0</v>
      </c>
      <c r="C2282" s="9">
        <v>19115.0</v>
      </c>
      <c r="D2282" s="9">
        <v>4117.0</v>
      </c>
      <c r="E2282" s="9">
        <v>323.0</v>
      </c>
      <c r="F2282" s="14"/>
      <c r="G2282" s="15"/>
      <c r="H2282" s="15"/>
      <c r="I2282" s="14"/>
      <c r="P2282" s="14"/>
    </row>
    <row r="2283" ht="18.75" customHeight="1">
      <c r="A2283" s="7" t="s">
        <v>3384</v>
      </c>
      <c r="B2283" s="9">
        <v>85063.0</v>
      </c>
      <c r="C2283" s="9">
        <v>84122.0</v>
      </c>
      <c r="D2283" s="9">
        <v>46655.0</v>
      </c>
      <c r="E2283" s="9">
        <v>4998.0</v>
      </c>
      <c r="F2283" s="14"/>
      <c r="G2283" s="15"/>
      <c r="H2283" s="15"/>
      <c r="I2283" s="14"/>
      <c r="P2283" s="14"/>
    </row>
    <row r="2284" ht="18.75" customHeight="1">
      <c r="A2284" s="7" t="s">
        <v>3385</v>
      </c>
      <c r="B2284" s="9">
        <v>36132.0</v>
      </c>
      <c r="C2284" s="9">
        <v>35067.0</v>
      </c>
      <c r="D2284" s="9">
        <v>8545.0</v>
      </c>
      <c r="E2284" s="9">
        <v>270.0</v>
      </c>
      <c r="F2284" s="14"/>
      <c r="G2284" s="15"/>
      <c r="H2284" s="15"/>
      <c r="I2284" s="14"/>
      <c r="P2284" s="14"/>
    </row>
    <row r="2285" ht="18.75" customHeight="1">
      <c r="A2285" s="7" t="s">
        <v>3386</v>
      </c>
      <c r="B2285" s="9">
        <v>75650.0</v>
      </c>
      <c r="C2285" s="9">
        <v>74335.0</v>
      </c>
      <c r="D2285" s="9">
        <v>30624.0</v>
      </c>
      <c r="E2285" s="9">
        <v>2121.0</v>
      </c>
      <c r="F2285" s="14"/>
      <c r="G2285" s="15"/>
      <c r="H2285" s="15"/>
      <c r="I2285" s="14"/>
      <c r="P2285" s="14"/>
    </row>
    <row r="2286" ht="18.75" customHeight="1">
      <c r="A2286" s="7" t="s">
        <v>3387</v>
      </c>
      <c r="B2286" s="9">
        <v>88453.0</v>
      </c>
      <c r="C2286" s="9">
        <v>86350.0</v>
      </c>
      <c r="D2286" s="9">
        <v>29435.0</v>
      </c>
      <c r="E2286" s="9">
        <v>575.0</v>
      </c>
      <c r="F2286" s="14"/>
      <c r="G2286" s="15"/>
      <c r="H2286" s="15"/>
      <c r="I2286" s="14"/>
      <c r="P2286" s="14"/>
    </row>
    <row r="2287" ht="18.75" customHeight="1">
      <c r="A2287" s="7" t="s">
        <v>3387</v>
      </c>
      <c r="B2287" s="9">
        <v>82006.0</v>
      </c>
      <c r="C2287" s="9">
        <v>80232.0</v>
      </c>
      <c r="D2287" s="9">
        <v>27501.0</v>
      </c>
      <c r="E2287" s="9">
        <v>537.0</v>
      </c>
      <c r="F2287" s="14"/>
      <c r="G2287" s="15"/>
      <c r="H2287" s="15"/>
      <c r="I2287" s="14"/>
      <c r="P2287" s="14"/>
    </row>
    <row r="2288" ht="18.75" customHeight="1">
      <c r="A2288" s="7" t="s">
        <v>3387</v>
      </c>
      <c r="B2288" s="9">
        <v>47475.0</v>
      </c>
      <c r="C2288" s="9">
        <v>46422.0</v>
      </c>
      <c r="D2288" s="9">
        <v>16882.0</v>
      </c>
      <c r="E2288" s="9">
        <v>477.0</v>
      </c>
      <c r="F2288" s="14"/>
      <c r="G2288" s="15"/>
      <c r="H2288" s="15"/>
      <c r="I2288" s="14"/>
      <c r="P2288" s="14"/>
    </row>
    <row r="2289" ht="18.75" customHeight="1">
      <c r="A2289" s="7" t="s">
        <v>2774</v>
      </c>
      <c r="B2289" s="9">
        <v>25816.0</v>
      </c>
      <c r="C2289" s="9">
        <v>25635.0</v>
      </c>
      <c r="D2289" s="9">
        <v>15961.0</v>
      </c>
      <c r="E2289" s="9">
        <v>589.0</v>
      </c>
      <c r="F2289" s="14"/>
      <c r="G2289" s="15"/>
      <c r="H2289" s="15"/>
      <c r="I2289" s="14"/>
      <c r="P2289" s="14"/>
    </row>
    <row r="2290" ht="18.75" customHeight="1">
      <c r="A2290" s="7" t="s">
        <v>3388</v>
      </c>
      <c r="B2290" s="9">
        <v>213337.0</v>
      </c>
      <c r="C2290" s="9">
        <v>210074.0</v>
      </c>
      <c r="D2290" s="9">
        <v>99935.0</v>
      </c>
      <c r="E2290" s="9">
        <v>13481.0</v>
      </c>
      <c r="F2290" s="14"/>
      <c r="G2290" s="15"/>
      <c r="H2290" s="15"/>
      <c r="I2290" s="14"/>
      <c r="P2290" s="14"/>
    </row>
    <row r="2291" ht="18.75" customHeight="1">
      <c r="A2291" s="7" t="s">
        <v>2776</v>
      </c>
      <c r="B2291" s="9">
        <v>81494.0</v>
      </c>
      <c r="C2291" s="9">
        <v>78720.0</v>
      </c>
      <c r="D2291" s="9">
        <v>26776.0</v>
      </c>
      <c r="E2291" s="9">
        <v>66.0</v>
      </c>
      <c r="F2291" s="14"/>
      <c r="G2291" s="15"/>
      <c r="H2291" s="15"/>
      <c r="I2291" s="14"/>
      <c r="P2291" s="14"/>
    </row>
    <row r="2292" ht="18.75" customHeight="1">
      <c r="A2292" s="7" t="s">
        <v>2776</v>
      </c>
      <c r="B2292" s="9">
        <v>125475.0</v>
      </c>
      <c r="C2292" s="9">
        <v>122308.0</v>
      </c>
      <c r="D2292" s="9">
        <v>35361.0</v>
      </c>
      <c r="E2292" s="9">
        <v>82.0</v>
      </c>
      <c r="F2292" s="14"/>
      <c r="G2292" s="15"/>
      <c r="H2292" s="15"/>
      <c r="I2292" s="14"/>
      <c r="P2292" s="14"/>
    </row>
    <row r="2293" ht="18.75" customHeight="1">
      <c r="A2293" s="7" t="s">
        <v>3072</v>
      </c>
      <c r="B2293" s="9">
        <v>83197.0</v>
      </c>
      <c r="C2293" s="9">
        <v>81855.0</v>
      </c>
      <c r="D2293" s="9">
        <v>16799.0</v>
      </c>
      <c r="E2293" s="9">
        <v>1421.0</v>
      </c>
      <c r="F2293" s="14"/>
      <c r="G2293" s="15"/>
      <c r="H2293" s="15"/>
      <c r="I2293" s="14"/>
      <c r="P2293" s="14"/>
    </row>
    <row r="2294" ht="18.75" customHeight="1">
      <c r="A2294" s="7" t="s">
        <v>3072</v>
      </c>
      <c r="B2294" s="9">
        <v>128669.0</v>
      </c>
      <c r="C2294" s="9">
        <v>126884.0</v>
      </c>
      <c r="D2294" s="9">
        <v>28676.0</v>
      </c>
      <c r="E2294" s="9">
        <v>2042.0</v>
      </c>
      <c r="F2294" s="14"/>
      <c r="G2294" s="15"/>
      <c r="H2294" s="15"/>
      <c r="I2294" s="14"/>
      <c r="P2294" s="14"/>
    </row>
    <row r="2295" ht="18.75" customHeight="1">
      <c r="A2295" s="7" t="s">
        <v>2900</v>
      </c>
      <c r="B2295" s="9">
        <v>17988.0</v>
      </c>
      <c r="C2295" s="9">
        <v>17797.0</v>
      </c>
      <c r="D2295" s="9">
        <v>5619.0</v>
      </c>
      <c r="E2295" s="9">
        <v>257.0</v>
      </c>
      <c r="F2295" s="14"/>
      <c r="G2295" s="15"/>
      <c r="H2295" s="15"/>
      <c r="I2295" s="14"/>
      <c r="P2295" s="14"/>
    </row>
    <row r="2296" ht="18.75" customHeight="1">
      <c r="A2296" s="7" t="s">
        <v>2741</v>
      </c>
      <c r="B2296" s="9">
        <v>51899.0</v>
      </c>
      <c r="C2296" s="9">
        <v>51013.0</v>
      </c>
      <c r="D2296" s="9">
        <v>15858.0</v>
      </c>
      <c r="E2296" s="9">
        <v>1756.0</v>
      </c>
      <c r="F2296" s="14"/>
      <c r="G2296" s="15"/>
      <c r="H2296" s="15"/>
      <c r="I2296" s="14"/>
      <c r="P2296" s="14"/>
    </row>
    <row r="2297" ht="18.75" customHeight="1">
      <c r="A2297" s="7" t="s">
        <v>2868</v>
      </c>
      <c r="B2297" s="9">
        <v>8140.0</v>
      </c>
      <c r="C2297" s="9">
        <v>7943.0</v>
      </c>
      <c r="D2297" s="9">
        <v>469.0</v>
      </c>
      <c r="E2297" s="9">
        <v>45.0</v>
      </c>
      <c r="F2297" s="14"/>
      <c r="G2297" s="15"/>
      <c r="H2297" s="15"/>
      <c r="I2297" s="14"/>
      <c r="P2297" s="14"/>
    </row>
    <row r="2298" ht="18.75" customHeight="1">
      <c r="A2298" s="7" t="s">
        <v>2774</v>
      </c>
      <c r="B2298" s="9">
        <v>29907.0</v>
      </c>
      <c r="C2298" s="9">
        <v>28767.0</v>
      </c>
      <c r="D2298" s="9">
        <v>2073.0</v>
      </c>
      <c r="E2298" s="9">
        <v>63.0</v>
      </c>
      <c r="F2298" s="14"/>
      <c r="G2298" s="15"/>
      <c r="H2298" s="15"/>
      <c r="I2298" s="14"/>
      <c r="P2298" s="14"/>
    </row>
    <row r="2299" ht="18.75" customHeight="1">
      <c r="A2299" s="7" t="s">
        <v>2774</v>
      </c>
      <c r="B2299" s="9">
        <v>102010.0</v>
      </c>
      <c r="C2299" s="9">
        <v>99111.0</v>
      </c>
      <c r="D2299" s="9">
        <v>9246.0</v>
      </c>
      <c r="E2299" s="9">
        <v>351.0</v>
      </c>
      <c r="F2299" s="14"/>
      <c r="G2299" s="15"/>
      <c r="H2299" s="15"/>
      <c r="I2299" s="14"/>
      <c r="P2299" s="14"/>
    </row>
    <row r="2300" ht="18.75" customHeight="1">
      <c r="A2300" s="7" t="s">
        <v>2777</v>
      </c>
      <c r="B2300" s="9">
        <v>55502.0</v>
      </c>
      <c r="C2300" s="9">
        <v>54173.0</v>
      </c>
      <c r="D2300" s="9">
        <v>4098.0</v>
      </c>
      <c r="E2300" s="9">
        <v>105.0</v>
      </c>
      <c r="F2300" s="14"/>
      <c r="G2300" s="15"/>
      <c r="H2300" s="15"/>
      <c r="I2300" s="14"/>
      <c r="P2300" s="14"/>
    </row>
    <row r="2301" ht="18.75" customHeight="1">
      <c r="A2301" s="7" t="s">
        <v>2894</v>
      </c>
      <c r="B2301" s="9">
        <v>30348.0</v>
      </c>
      <c r="C2301" s="9">
        <v>29683.0</v>
      </c>
      <c r="D2301" s="9">
        <v>1986.0</v>
      </c>
      <c r="E2301" s="9">
        <v>37.0</v>
      </c>
      <c r="F2301" s="14"/>
      <c r="G2301" s="15"/>
      <c r="H2301" s="15"/>
      <c r="I2301" s="14"/>
      <c r="P2301" s="14"/>
    </row>
    <row r="2302" ht="18.75" customHeight="1">
      <c r="A2302" s="7" t="s">
        <v>2894</v>
      </c>
      <c r="B2302" s="9">
        <v>30735.0</v>
      </c>
      <c r="C2302" s="9">
        <v>29927.0</v>
      </c>
      <c r="D2302" s="9">
        <v>2202.0</v>
      </c>
      <c r="E2302" s="9">
        <v>44.0</v>
      </c>
      <c r="F2302" s="14"/>
      <c r="G2302" s="15"/>
      <c r="H2302" s="15"/>
      <c r="I2302" s="14"/>
      <c r="P2302" s="14"/>
    </row>
    <row r="2303" ht="18.75" customHeight="1">
      <c r="A2303" s="7" t="s">
        <v>2766</v>
      </c>
      <c r="B2303" s="9">
        <v>153440.0</v>
      </c>
      <c r="C2303" s="9">
        <v>149412.0</v>
      </c>
      <c r="D2303" s="9">
        <v>42208.0</v>
      </c>
      <c r="E2303" s="9">
        <v>845.0</v>
      </c>
      <c r="F2303" s="14"/>
      <c r="G2303" s="15"/>
      <c r="H2303" s="15"/>
      <c r="I2303" s="14"/>
      <c r="P2303" s="14"/>
    </row>
    <row r="2304" ht="18.75" customHeight="1">
      <c r="A2304" s="7" t="s">
        <v>2974</v>
      </c>
      <c r="B2304" s="9">
        <v>57418.0</v>
      </c>
      <c r="C2304" s="9">
        <v>56047.0</v>
      </c>
      <c r="D2304" s="9">
        <v>7881.0</v>
      </c>
      <c r="E2304" s="9">
        <v>148.0</v>
      </c>
      <c r="F2304" s="14"/>
      <c r="G2304" s="15"/>
      <c r="H2304" s="15"/>
      <c r="I2304" s="14"/>
      <c r="P2304" s="14"/>
    </row>
    <row r="2305" ht="18.75" customHeight="1">
      <c r="A2305" s="7" t="s">
        <v>3373</v>
      </c>
      <c r="B2305" s="9">
        <v>35167.0</v>
      </c>
      <c r="C2305" s="9">
        <v>34151.0</v>
      </c>
      <c r="D2305" s="9">
        <v>6255.0</v>
      </c>
      <c r="E2305" s="9">
        <v>95.0</v>
      </c>
      <c r="F2305" s="14"/>
      <c r="G2305" s="15"/>
      <c r="H2305" s="15"/>
      <c r="I2305" s="14"/>
      <c r="P2305" s="14"/>
    </row>
    <row r="2306" ht="18.75" customHeight="1">
      <c r="A2306" s="7" t="s">
        <v>2842</v>
      </c>
      <c r="B2306" s="9">
        <v>14512.0</v>
      </c>
      <c r="C2306" s="9">
        <v>14434.0</v>
      </c>
      <c r="D2306" s="9">
        <v>4139.0</v>
      </c>
      <c r="E2306" s="9">
        <v>193.0</v>
      </c>
      <c r="F2306" s="14"/>
      <c r="G2306" s="15"/>
      <c r="H2306" s="15"/>
      <c r="I2306" s="14"/>
      <c r="P2306" s="14"/>
    </row>
    <row r="2307" ht="18.75" customHeight="1">
      <c r="A2307" s="7" t="s">
        <v>2855</v>
      </c>
      <c r="B2307" s="9">
        <v>56110.0</v>
      </c>
      <c r="C2307" s="9">
        <v>54770.0</v>
      </c>
      <c r="D2307" s="9">
        <v>10968.0</v>
      </c>
      <c r="E2307" s="9">
        <v>108.0</v>
      </c>
      <c r="F2307" s="14"/>
      <c r="G2307" s="15"/>
      <c r="H2307" s="15"/>
      <c r="I2307" s="14"/>
      <c r="P2307" s="14"/>
    </row>
    <row r="2308" ht="18.75" customHeight="1">
      <c r="A2308" s="7" t="s">
        <v>2776</v>
      </c>
      <c r="B2308" s="9">
        <v>144678.0</v>
      </c>
      <c r="C2308" s="9">
        <v>138869.0</v>
      </c>
      <c r="D2308" s="9">
        <v>13114.0</v>
      </c>
      <c r="E2308" s="9">
        <v>72.0</v>
      </c>
      <c r="F2308" s="14"/>
      <c r="G2308" s="15"/>
      <c r="H2308" s="15"/>
      <c r="I2308" s="14"/>
      <c r="P2308" s="14"/>
    </row>
    <row r="2309" ht="18.75" customHeight="1">
      <c r="A2309" s="7" t="s">
        <v>2776</v>
      </c>
      <c r="B2309" s="9">
        <v>153483.0</v>
      </c>
      <c r="C2309" s="9">
        <v>149786.0</v>
      </c>
      <c r="D2309" s="9">
        <v>14227.0</v>
      </c>
      <c r="E2309" s="9">
        <v>144.0</v>
      </c>
      <c r="F2309" s="14"/>
      <c r="G2309" s="15"/>
      <c r="H2309" s="15"/>
      <c r="I2309" s="14"/>
      <c r="P2309" s="14"/>
    </row>
    <row r="2310" ht="18.75" customHeight="1">
      <c r="A2310" s="7" t="s">
        <v>2776</v>
      </c>
      <c r="B2310" s="9">
        <v>144755.0</v>
      </c>
      <c r="C2310" s="9">
        <v>112718.0</v>
      </c>
      <c r="D2310" s="9">
        <v>12554.0</v>
      </c>
      <c r="E2310" s="9">
        <v>136.0</v>
      </c>
      <c r="F2310" s="14"/>
      <c r="G2310" s="15"/>
      <c r="H2310" s="15"/>
      <c r="I2310" s="14"/>
      <c r="P2310" s="14"/>
    </row>
    <row r="2311" ht="18.75" customHeight="1">
      <c r="A2311" s="7" t="s">
        <v>2852</v>
      </c>
      <c r="B2311" s="9">
        <v>123620.0</v>
      </c>
      <c r="C2311" s="9">
        <v>121072.0</v>
      </c>
      <c r="D2311" s="9">
        <v>32419.0</v>
      </c>
      <c r="E2311" s="9">
        <v>438.0</v>
      </c>
      <c r="F2311" s="14"/>
      <c r="G2311" s="15"/>
      <c r="H2311" s="15"/>
      <c r="I2311" s="14"/>
      <c r="P2311" s="14"/>
    </row>
    <row r="2312" ht="18.75" customHeight="1">
      <c r="A2312" s="7" t="s">
        <v>3389</v>
      </c>
      <c r="B2312" s="9">
        <v>6585.0</v>
      </c>
      <c r="C2312" s="9">
        <v>6442.0</v>
      </c>
      <c r="D2312" s="9">
        <v>779.0</v>
      </c>
      <c r="E2312" s="9">
        <v>40.0</v>
      </c>
      <c r="F2312" s="14"/>
      <c r="G2312" s="15"/>
      <c r="H2312" s="15"/>
      <c r="I2312" s="14"/>
      <c r="P2312" s="14"/>
    </row>
    <row r="2313" ht="18.75" customHeight="1">
      <c r="A2313" s="7" t="s">
        <v>3390</v>
      </c>
      <c r="B2313" s="9">
        <v>53861.0</v>
      </c>
      <c r="C2313" s="9">
        <v>52732.0</v>
      </c>
      <c r="D2313" s="9">
        <v>8086.0</v>
      </c>
      <c r="E2313" s="9">
        <v>113.0</v>
      </c>
      <c r="F2313" s="14"/>
      <c r="G2313" s="15"/>
      <c r="H2313" s="15"/>
      <c r="I2313" s="14"/>
      <c r="P2313" s="14"/>
    </row>
    <row r="2314" ht="18.75" customHeight="1">
      <c r="A2314" s="7" t="s">
        <v>3072</v>
      </c>
      <c r="B2314" s="9">
        <v>47597.0</v>
      </c>
      <c r="C2314" s="9">
        <v>46797.0</v>
      </c>
      <c r="D2314" s="9">
        <v>3693.0</v>
      </c>
      <c r="E2314" s="9">
        <v>29.0</v>
      </c>
      <c r="F2314" s="14"/>
      <c r="G2314" s="15"/>
      <c r="H2314" s="15"/>
      <c r="I2314" s="14"/>
      <c r="P2314" s="14"/>
    </row>
    <row r="2315" ht="18.75" customHeight="1">
      <c r="A2315" s="7" t="s">
        <v>3134</v>
      </c>
      <c r="B2315" s="9">
        <v>99152.0</v>
      </c>
      <c r="C2315" s="9">
        <v>97863.0</v>
      </c>
      <c r="D2315" s="9">
        <v>25282.0</v>
      </c>
      <c r="E2315" s="9">
        <v>701.0</v>
      </c>
      <c r="F2315" s="14"/>
      <c r="G2315" s="15"/>
      <c r="H2315" s="15"/>
      <c r="I2315" s="14"/>
      <c r="P2315" s="14"/>
    </row>
    <row r="2316" ht="18.75" customHeight="1">
      <c r="A2316" s="7" t="s">
        <v>3391</v>
      </c>
      <c r="B2316" s="9">
        <v>98720.0</v>
      </c>
      <c r="C2316" s="9">
        <v>96581.0</v>
      </c>
      <c r="D2316" s="9">
        <v>17848.0</v>
      </c>
      <c r="E2316" s="9">
        <v>319.0</v>
      </c>
      <c r="F2316" s="14"/>
      <c r="G2316" s="15"/>
      <c r="H2316" s="15"/>
      <c r="I2316" s="14"/>
      <c r="P2316" s="14"/>
    </row>
    <row r="2317" ht="18.75" customHeight="1">
      <c r="A2317" s="7" t="s">
        <v>2896</v>
      </c>
      <c r="B2317" s="9">
        <v>1072.0</v>
      </c>
      <c r="C2317" s="9">
        <v>1062.0</v>
      </c>
      <c r="D2317" s="9">
        <v>160.0</v>
      </c>
      <c r="E2317" s="9">
        <v>20.0</v>
      </c>
      <c r="F2317" s="14"/>
      <c r="G2317" s="15"/>
      <c r="H2317" s="15"/>
      <c r="I2317" s="14"/>
      <c r="P2317" s="14"/>
    </row>
    <row r="2318" ht="18.75" customHeight="1">
      <c r="A2318" s="7" t="s">
        <v>3392</v>
      </c>
      <c r="B2318" s="9">
        <v>49590.0</v>
      </c>
      <c r="C2318" s="9">
        <v>48381.0</v>
      </c>
      <c r="D2318" s="9">
        <v>5120.0</v>
      </c>
      <c r="E2318" s="9">
        <v>112.0</v>
      </c>
      <c r="F2318" s="14"/>
      <c r="G2318" s="15"/>
      <c r="H2318" s="15"/>
      <c r="I2318" s="14"/>
      <c r="P2318" s="14"/>
    </row>
    <row r="2319" ht="18.75" customHeight="1">
      <c r="A2319" s="7" t="s">
        <v>2803</v>
      </c>
      <c r="B2319" s="9">
        <v>46615.0</v>
      </c>
      <c r="C2319" s="9">
        <v>45143.0</v>
      </c>
      <c r="D2319" s="9">
        <v>8392.0</v>
      </c>
      <c r="E2319" s="9">
        <v>612.0</v>
      </c>
      <c r="F2319" s="14"/>
      <c r="G2319" s="15"/>
      <c r="H2319" s="15"/>
      <c r="I2319" s="14"/>
      <c r="P2319" s="14"/>
    </row>
    <row r="2320" ht="18.75" customHeight="1">
      <c r="A2320" s="7" t="s">
        <v>3393</v>
      </c>
      <c r="B2320" s="9">
        <v>130263.0</v>
      </c>
      <c r="C2320" s="9">
        <v>127951.0</v>
      </c>
      <c r="D2320" s="9">
        <v>7623.0</v>
      </c>
      <c r="E2320" s="9">
        <v>61.0</v>
      </c>
      <c r="F2320" s="14"/>
      <c r="G2320" s="15"/>
      <c r="H2320" s="15"/>
      <c r="I2320" s="14"/>
      <c r="P2320" s="14"/>
    </row>
    <row r="2321" ht="18.75" customHeight="1">
      <c r="A2321" s="7" t="s">
        <v>3362</v>
      </c>
      <c r="B2321" s="9">
        <v>88361.0</v>
      </c>
      <c r="C2321" s="9">
        <v>86107.0</v>
      </c>
      <c r="D2321" s="9">
        <v>16021.0</v>
      </c>
      <c r="E2321" s="9">
        <v>1656.0</v>
      </c>
      <c r="F2321" s="14"/>
      <c r="G2321" s="15"/>
      <c r="H2321" s="15"/>
      <c r="I2321" s="14"/>
      <c r="P2321" s="14"/>
    </row>
    <row r="2322" ht="18.75" customHeight="1">
      <c r="A2322" s="7" t="s">
        <v>2764</v>
      </c>
      <c r="B2322" s="9">
        <v>17417.0</v>
      </c>
      <c r="C2322" s="9">
        <v>17255.0</v>
      </c>
      <c r="D2322" s="9">
        <v>9512.0</v>
      </c>
      <c r="E2322" s="9">
        <v>48.0</v>
      </c>
      <c r="F2322" s="14"/>
      <c r="G2322" s="15"/>
      <c r="H2322" s="15"/>
      <c r="I2322" s="14"/>
      <c r="P2322" s="14"/>
    </row>
    <row r="2323" ht="18.75" customHeight="1">
      <c r="A2323" s="7" t="s">
        <v>3121</v>
      </c>
      <c r="B2323" s="9">
        <v>26413.0</v>
      </c>
      <c r="C2323" s="9">
        <v>25754.0</v>
      </c>
      <c r="D2323" s="9">
        <v>4498.0</v>
      </c>
      <c r="E2323" s="9">
        <v>104.0</v>
      </c>
      <c r="F2323" s="14"/>
      <c r="G2323" s="15"/>
      <c r="H2323" s="15"/>
      <c r="I2323" s="14"/>
      <c r="P2323" s="14"/>
    </row>
    <row r="2324" ht="18.75" customHeight="1">
      <c r="A2324" s="7" t="s">
        <v>3394</v>
      </c>
      <c r="B2324" s="9">
        <v>83551.0</v>
      </c>
      <c r="C2324" s="9">
        <v>81532.0</v>
      </c>
      <c r="D2324" s="9">
        <v>20615.0</v>
      </c>
      <c r="E2324" s="9">
        <v>256.0</v>
      </c>
      <c r="F2324" s="14"/>
      <c r="G2324" s="15"/>
      <c r="H2324" s="15"/>
      <c r="I2324" s="14"/>
      <c r="P2324" s="14"/>
    </row>
    <row r="2325" ht="18.75" customHeight="1">
      <c r="A2325" s="7" t="s">
        <v>3395</v>
      </c>
      <c r="B2325" s="9">
        <v>10272.0</v>
      </c>
      <c r="C2325" s="9">
        <v>9987.0</v>
      </c>
      <c r="D2325" s="9">
        <v>1028.0</v>
      </c>
      <c r="E2325" s="9">
        <v>32.0</v>
      </c>
      <c r="F2325" s="14"/>
      <c r="G2325" s="15"/>
      <c r="H2325" s="15"/>
      <c r="I2325" s="14"/>
      <c r="P2325" s="14"/>
    </row>
    <row r="2326" ht="18.75" customHeight="1">
      <c r="A2326" s="7" t="s">
        <v>3379</v>
      </c>
      <c r="B2326" s="9">
        <v>51481.0</v>
      </c>
      <c r="C2326" s="9">
        <v>49642.0</v>
      </c>
      <c r="D2326" s="9">
        <v>7014.0</v>
      </c>
      <c r="E2326" s="9">
        <v>545.0</v>
      </c>
      <c r="F2326" s="14"/>
      <c r="G2326" s="15"/>
      <c r="H2326" s="15"/>
      <c r="I2326" s="14"/>
      <c r="P2326" s="14"/>
    </row>
    <row r="2327" ht="18.75" customHeight="1">
      <c r="A2327" s="7" t="s">
        <v>3396</v>
      </c>
      <c r="B2327" s="9">
        <v>29368.0</v>
      </c>
      <c r="C2327" s="9">
        <v>28662.0</v>
      </c>
      <c r="D2327" s="9">
        <v>2308.0</v>
      </c>
      <c r="E2327" s="9">
        <v>46.0</v>
      </c>
      <c r="F2327" s="14"/>
      <c r="G2327" s="15"/>
      <c r="H2327" s="15"/>
      <c r="I2327" s="14"/>
      <c r="P2327" s="14"/>
    </row>
    <row r="2328" ht="18.75" customHeight="1">
      <c r="A2328" s="7" t="s">
        <v>2806</v>
      </c>
      <c r="B2328" s="9">
        <v>174210.0</v>
      </c>
      <c r="C2328" s="9">
        <v>169501.0</v>
      </c>
      <c r="D2328" s="9">
        <v>31690.0</v>
      </c>
      <c r="E2328" s="9">
        <v>577.0</v>
      </c>
      <c r="F2328" s="14"/>
      <c r="G2328" s="15"/>
      <c r="H2328" s="15"/>
      <c r="I2328" s="14"/>
      <c r="P2328" s="14"/>
    </row>
    <row r="2329" ht="18.75" customHeight="1">
      <c r="A2329" s="7" t="s">
        <v>2900</v>
      </c>
      <c r="B2329" s="9">
        <v>10094.0</v>
      </c>
      <c r="C2329" s="9">
        <v>10033.0</v>
      </c>
      <c r="D2329" s="9">
        <v>1078.0</v>
      </c>
      <c r="E2329" s="9">
        <v>58.0</v>
      </c>
      <c r="F2329" s="14"/>
      <c r="G2329" s="15"/>
      <c r="H2329" s="15"/>
      <c r="I2329" s="14"/>
      <c r="P2329" s="14"/>
    </row>
    <row r="2330" ht="18.75" customHeight="1">
      <c r="A2330" s="7" t="s">
        <v>3170</v>
      </c>
      <c r="B2330" s="9">
        <v>24653.0</v>
      </c>
      <c r="C2330" s="9">
        <v>24138.0</v>
      </c>
      <c r="D2330" s="9">
        <v>1690.0</v>
      </c>
      <c r="E2330" s="9">
        <v>76.0</v>
      </c>
      <c r="F2330" s="14"/>
      <c r="G2330" s="15"/>
      <c r="H2330" s="15"/>
      <c r="I2330" s="14"/>
      <c r="P2330" s="14"/>
    </row>
    <row r="2331" ht="18.75" customHeight="1">
      <c r="A2331" s="7" t="s">
        <v>2930</v>
      </c>
      <c r="B2331" s="9">
        <v>1834.0</v>
      </c>
      <c r="C2331" s="9">
        <v>1816.0</v>
      </c>
      <c r="D2331" s="9">
        <v>93.0</v>
      </c>
      <c r="E2331" s="9">
        <v>33.0</v>
      </c>
      <c r="F2331" s="14"/>
      <c r="G2331" s="15"/>
      <c r="H2331" s="15"/>
      <c r="I2331" s="14"/>
      <c r="P2331" s="14"/>
    </row>
    <row r="2332" ht="18.75" customHeight="1">
      <c r="A2332" s="7" t="s">
        <v>3397</v>
      </c>
      <c r="B2332" s="9">
        <v>17713.0</v>
      </c>
      <c r="C2332" s="9">
        <v>17295.0</v>
      </c>
      <c r="D2332" s="9">
        <v>3819.0</v>
      </c>
      <c r="E2332" s="9">
        <v>694.0</v>
      </c>
      <c r="F2332" s="14"/>
      <c r="G2332" s="15"/>
      <c r="H2332" s="15"/>
      <c r="I2332" s="14"/>
      <c r="P2332" s="14"/>
    </row>
    <row r="2333" ht="18.75" customHeight="1">
      <c r="A2333" s="7" t="s">
        <v>3392</v>
      </c>
      <c r="B2333" s="9">
        <v>62684.0</v>
      </c>
      <c r="C2333" s="9">
        <v>61454.0</v>
      </c>
      <c r="D2333" s="9">
        <v>12966.0</v>
      </c>
      <c r="E2333" s="9">
        <v>222.0</v>
      </c>
      <c r="F2333" s="14"/>
      <c r="G2333" s="15"/>
      <c r="H2333" s="15"/>
      <c r="I2333" s="14"/>
      <c r="P2333" s="14"/>
    </row>
    <row r="2334" ht="18.75" customHeight="1">
      <c r="A2334" s="7" t="s">
        <v>2741</v>
      </c>
      <c r="B2334" s="9">
        <v>120118.0</v>
      </c>
      <c r="C2334" s="9">
        <v>117160.0</v>
      </c>
      <c r="D2334" s="9">
        <v>20179.0</v>
      </c>
      <c r="E2334" s="9">
        <v>72.0</v>
      </c>
      <c r="F2334" s="14"/>
      <c r="G2334" s="15"/>
      <c r="H2334" s="15"/>
      <c r="I2334" s="14"/>
      <c r="P2334" s="14"/>
    </row>
    <row r="2335" ht="18.75" customHeight="1">
      <c r="A2335" s="7" t="s">
        <v>3398</v>
      </c>
      <c r="B2335" s="9">
        <v>34458.0</v>
      </c>
      <c r="C2335" s="9">
        <v>34084.0</v>
      </c>
      <c r="D2335" s="9">
        <v>16878.0</v>
      </c>
      <c r="E2335" s="9">
        <v>223.0</v>
      </c>
      <c r="F2335" s="14"/>
      <c r="G2335" s="15"/>
      <c r="H2335" s="15"/>
      <c r="I2335" s="14"/>
      <c r="P2335" s="14"/>
    </row>
    <row r="2336" ht="18.75" customHeight="1">
      <c r="A2336" s="7" t="s">
        <v>3399</v>
      </c>
      <c r="B2336" s="9">
        <v>57931.0</v>
      </c>
      <c r="C2336" s="9">
        <v>56935.0</v>
      </c>
      <c r="D2336" s="9">
        <v>17459.0</v>
      </c>
      <c r="E2336" s="9">
        <v>606.0</v>
      </c>
      <c r="F2336" s="14"/>
      <c r="G2336" s="15"/>
      <c r="H2336" s="15"/>
      <c r="I2336" s="14"/>
      <c r="P2336" s="14"/>
    </row>
    <row r="2337" ht="18.75" customHeight="1">
      <c r="A2337" s="7" t="s">
        <v>3400</v>
      </c>
      <c r="B2337" s="9">
        <v>65727.0</v>
      </c>
      <c r="C2337" s="9">
        <v>64321.0</v>
      </c>
      <c r="D2337" s="9">
        <v>19240.0</v>
      </c>
      <c r="E2337" s="9">
        <v>746.0</v>
      </c>
      <c r="F2337" s="14"/>
      <c r="G2337" s="15"/>
      <c r="H2337" s="15"/>
      <c r="I2337" s="14"/>
      <c r="P2337" s="14"/>
    </row>
    <row r="2338" ht="18.75" customHeight="1">
      <c r="A2338" s="7" t="s">
        <v>3401</v>
      </c>
      <c r="B2338" s="9">
        <v>65416.0</v>
      </c>
      <c r="C2338" s="9">
        <v>64118.0</v>
      </c>
      <c r="D2338" s="9">
        <v>19341.0</v>
      </c>
      <c r="E2338" s="9">
        <v>576.0</v>
      </c>
      <c r="F2338" s="14"/>
      <c r="G2338" s="15"/>
      <c r="H2338" s="15"/>
      <c r="I2338" s="14"/>
      <c r="P2338" s="14"/>
    </row>
    <row r="2339" ht="18.75" customHeight="1">
      <c r="A2339" s="7" t="s">
        <v>3402</v>
      </c>
      <c r="B2339" s="9">
        <v>20162.0</v>
      </c>
      <c r="C2339" s="9">
        <v>19895.0</v>
      </c>
      <c r="D2339" s="9">
        <v>7442.0</v>
      </c>
      <c r="E2339" s="9">
        <v>319.0</v>
      </c>
      <c r="F2339" s="14"/>
      <c r="G2339" s="15"/>
      <c r="H2339" s="15"/>
      <c r="I2339" s="14"/>
      <c r="P2339" s="14"/>
    </row>
    <row r="2340" ht="18.75" customHeight="1">
      <c r="A2340" s="7" t="s">
        <v>3403</v>
      </c>
      <c r="B2340" s="9">
        <v>18468.0</v>
      </c>
      <c r="C2340" s="9">
        <v>18135.0</v>
      </c>
      <c r="D2340" s="9">
        <v>4619.0</v>
      </c>
      <c r="E2340" s="9">
        <v>194.0</v>
      </c>
      <c r="F2340" s="14"/>
      <c r="G2340" s="15"/>
      <c r="H2340" s="15"/>
      <c r="I2340" s="14"/>
      <c r="P2340" s="14"/>
    </row>
    <row r="2341" ht="18.75" customHeight="1">
      <c r="A2341" s="7" t="s">
        <v>3404</v>
      </c>
      <c r="B2341" s="9">
        <v>58064.0</v>
      </c>
      <c r="C2341" s="9">
        <v>56614.0</v>
      </c>
      <c r="D2341" s="9">
        <v>11058.0</v>
      </c>
      <c r="E2341" s="9">
        <v>159.0</v>
      </c>
      <c r="F2341" s="14"/>
      <c r="G2341" s="15"/>
      <c r="H2341" s="15"/>
      <c r="I2341" s="14"/>
      <c r="P2341" s="14"/>
    </row>
    <row r="2342" ht="18.75" customHeight="1">
      <c r="A2342" s="7" t="s">
        <v>3405</v>
      </c>
      <c r="B2342" s="9">
        <v>102767.0</v>
      </c>
      <c r="C2342" s="9">
        <v>102343.0</v>
      </c>
      <c r="D2342" s="9">
        <v>55398.0</v>
      </c>
      <c r="E2342" s="9">
        <v>1697.0</v>
      </c>
      <c r="F2342" s="14"/>
      <c r="G2342" s="15"/>
      <c r="H2342" s="15"/>
      <c r="I2342" s="14"/>
      <c r="P2342" s="14"/>
    </row>
    <row r="2343" ht="18.75" customHeight="1">
      <c r="A2343" s="7" t="s">
        <v>3405</v>
      </c>
      <c r="B2343" s="9">
        <v>157681.0</v>
      </c>
      <c r="C2343" s="9">
        <v>156652.0</v>
      </c>
      <c r="D2343" s="9">
        <v>74988.0</v>
      </c>
      <c r="E2343" s="9">
        <v>688.0</v>
      </c>
      <c r="F2343" s="14"/>
      <c r="G2343" s="15"/>
      <c r="H2343" s="15"/>
      <c r="I2343" s="14"/>
      <c r="P2343" s="14"/>
    </row>
    <row r="2344" ht="18.75" customHeight="1">
      <c r="A2344" s="7" t="s">
        <v>3406</v>
      </c>
      <c r="B2344" s="9">
        <v>32735.0</v>
      </c>
      <c r="C2344" s="9">
        <v>32254.0</v>
      </c>
      <c r="D2344" s="9">
        <v>8336.0</v>
      </c>
      <c r="E2344" s="9">
        <v>1255.0</v>
      </c>
      <c r="F2344" s="14"/>
      <c r="G2344" s="15"/>
      <c r="H2344" s="15"/>
      <c r="I2344" s="14"/>
      <c r="P2344" s="14"/>
    </row>
    <row r="2345" ht="18.75" customHeight="1">
      <c r="A2345" s="7" t="s">
        <v>3165</v>
      </c>
      <c r="B2345" s="9">
        <v>44738.0</v>
      </c>
      <c r="C2345" s="9">
        <v>43818.0</v>
      </c>
      <c r="D2345" s="9">
        <v>22259.0</v>
      </c>
      <c r="E2345" s="9">
        <v>557.0</v>
      </c>
      <c r="F2345" s="14"/>
      <c r="G2345" s="15"/>
      <c r="H2345" s="15"/>
      <c r="I2345" s="14"/>
      <c r="P2345" s="14"/>
    </row>
    <row r="2346" ht="18.75" customHeight="1">
      <c r="A2346" s="7" t="s">
        <v>2815</v>
      </c>
      <c r="B2346" s="9">
        <v>271.0</v>
      </c>
      <c r="C2346" s="9">
        <v>271.0</v>
      </c>
      <c r="D2346" s="9">
        <v>149.0</v>
      </c>
      <c r="E2346" s="9">
        <v>2.0</v>
      </c>
      <c r="F2346" s="14"/>
      <c r="G2346" s="15"/>
      <c r="H2346" s="15"/>
      <c r="I2346" s="14"/>
      <c r="P2346" s="14"/>
    </row>
    <row r="2347" ht="18.75" customHeight="1">
      <c r="A2347" s="7" t="s">
        <v>2816</v>
      </c>
      <c r="B2347" s="9">
        <v>226.0</v>
      </c>
      <c r="C2347" s="9">
        <v>225.0</v>
      </c>
      <c r="D2347" s="9">
        <v>137.0</v>
      </c>
      <c r="E2347" s="9">
        <v>0.0</v>
      </c>
      <c r="F2347" s="14"/>
      <c r="G2347" s="15"/>
      <c r="H2347" s="15"/>
      <c r="I2347" s="14"/>
      <c r="P2347" s="14"/>
    </row>
    <row r="2348" ht="18.75" customHeight="1">
      <c r="A2348" s="7" t="s">
        <v>2841</v>
      </c>
      <c r="B2348" s="9">
        <v>439.0</v>
      </c>
      <c r="C2348" s="9">
        <v>438.0</v>
      </c>
      <c r="D2348" s="9">
        <v>280.0</v>
      </c>
      <c r="E2348" s="9">
        <v>1.0</v>
      </c>
      <c r="F2348" s="14"/>
      <c r="G2348" s="15"/>
      <c r="H2348" s="15"/>
      <c r="I2348" s="14"/>
      <c r="P2348" s="14"/>
    </row>
    <row r="2349" ht="18.75" customHeight="1">
      <c r="A2349" s="7" t="s">
        <v>2872</v>
      </c>
      <c r="B2349" s="9">
        <v>90.0</v>
      </c>
      <c r="C2349" s="9">
        <v>90.0</v>
      </c>
      <c r="D2349" s="9">
        <v>46.0</v>
      </c>
      <c r="E2349" s="9">
        <v>1.0</v>
      </c>
      <c r="F2349" s="14"/>
      <c r="G2349" s="15"/>
      <c r="H2349" s="15"/>
      <c r="I2349" s="14"/>
      <c r="P2349" s="14"/>
    </row>
    <row r="2350" ht="18.75" customHeight="1">
      <c r="A2350" s="7" t="s">
        <v>3407</v>
      </c>
      <c r="B2350" s="9">
        <v>115.0</v>
      </c>
      <c r="C2350" s="9">
        <v>114.0</v>
      </c>
      <c r="D2350" s="9">
        <v>58.0</v>
      </c>
      <c r="E2350" s="9">
        <v>2.0</v>
      </c>
      <c r="F2350" s="14"/>
      <c r="G2350" s="15"/>
      <c r="H2350" s="15"/>
      <c r="I2350" s="14"/>
      <c r="P2350" s="14"/>
    </row>
    <row r="2351" ht="18.75" customHeight="1">
      <c r="A2351" s="7" t="s">
        <v>2754</v>
      </c>
      <c r="B2351" s="9">
        <v>72835.0</v>
      </c>
      <c r="C2351" s="9">
        <v>71859.0</v>
      </c>
      <c r="D2351" s="9">
        <v>33335.0</v>
      </c>
      <c r="E2351" s="9">
        <v>1229.0</v>
      </c>
      <c r="F2351" s="14"/>
      <c r="G2351" s="15"/>
      <c r="H2351" s="15"/>
      <c r="I2351" s="14"/>
      <c r="P2351" s="14"/>
    </row>
    <row r="2352" ht="18.75" customHeight="1">
      <c r="A2352" s="7" t="s">
        <v>3408</v>
      </c>
      <c r="B2352" s="9">
        <v>87829.0</v>
      </c>
      <c r="C2352" s="9">
        <v>86091.0</v>
      </c>
      <c r="D2352" s="9">
        <v>24745.0</v>
      </c>
      <c r="E2352" s="9">
        <v>5379.0</v>
      </c>
      <c r="F2352" s="14"/>
      <c r="G2352" s="15"/>
      <c r="H2352" s="15"/>
      <c r="I2352" s="14"/>
      <c r="P2352" s="14"/>
    </row>
    <row r="2353" ht="18.75" customHeight="1">
      <c r="A2353" s="7" t="s">
        <v>3409</v>
      </c>
      <c r="B2353" s="9">
        <v>25892.0</v>
      </c>
      <c r="C2353" s="9">
        <v>25528.0</v>
      </c>
      <c r="D2353" s="9">
        <v>8211.0</v>
      </c>
      <c r="E2353" s="9">
        <v>184.0</v>
      </c>
      <c r="F2353" s="14"/>
      <c r="G2353" s="15"/>
      <c r="H2353" s="15"/>
      <c r="I2353" s="14"/>
      <c r="P2353" s="14"/>
    </row>
    <row r="2354" ht="18.75" customHeight="1">
      <c r="A2354" s="7" t="s">
        <v>3350</v>
      </c>
      <c r="B2354" s="9">
        <v>55004.0</v>
      </c>
      <c r="C2354" s="9">
        <v>54075.0</v>
      </c>
      <c r="D2354" s="9">
        <v>17640.0</v>
      </c>
      <c r="E2354" s="9">
        <v>1354.0</v>
      </c>
      <c r="F2354" s="14"/>
      <c r="G2354" s="15"/>
      <c r="H2354" s="15"/>
      <c r="I2354" s="14"/>
      <c r="P2354" s="14"/>
    </row>
    <row r="2355" ht="18.75" customHeight="1">
      <c r="A2355" s="7" t="s">
        <v>3410</v>
      </c>
      <c r="B2355" s="9">
        <v>19566.0</v>
      </c>
      <c r="C2355" s="9">
        <v>19274.0</v>
      </c>
      <c r="D2355" s="9">
        <v>3256.0</v>
      </c>
      <c r="E2355" s="9">
        <v>10.0</v>
      </c>
      <c r="F2355" s="14"/>
      <c r="G2355" s="15"/>
      <c r="H2355" s="15"/>
      <c r="I2355" s="14"/>
      <c r="P2355" s="14"/>
    </row>
    <row r="2356" ht="18.75" customHeight="1">
      <c r="A2356" s="7" t="s">
        <v>2986</v>
      </c>
      <c r="B2356" s="9">
        <v>22449.0</v>
      </c>
      <c r="C2356" s="9">
        <v>21936.0</v>
      </c>
      <c r="D2356" s="9">
        <v>6614.0</v>
      </c>
      <c r="E2356" s="9">
        <v>136.0</v>
      </c>
      <c r="F2356" s="14"/>
      <c r="G2356" s="15"/>
      <c r="H2356" s="15"/>
      <c r="I2356" s="14"/>
      <c r="P2356" s="14"/>
    </row>
    <row r="2357" ht="18.75" customHeight="1">
      <c r="A2357" s="7" t="s">
        <v>2979</v>
      </c>
      <c r="B2357" s="9">
        <v>37856.0</v>
      </c>
      <c r="C2357" s="9">
        <v>37193.0</v>
      </c>
      <c r="D2357" s="9">
        <v>10812.0</v>
      </c>
      <c r="E2357" s="9">
        <v>113.0</v>
      </c>
      <c r="F2357" s="14"/>
      <c r="G2357" s="15"/>
      <c r="H2357" s="15"/>
      <c r="I2357" s="14"/>
      <c r="P2357" s="14"/>
    </row>
    <row r="2358" ht="18.75" customHeight="1">
      <c r="A2358" s="7" t="s">
        <v>3411</v>
      </c>
      <c r="B2358" s="9">
        <v>30000.0</v>
      </c>
      <c r="C2358" s="9">
        <v>29520.0</v>
      </c>
      <c r="D2358" s="9">
        <v>11036.0</v>
      </c>
      <c r="E2358" s="9">
        <v>225.0</v>
      </c>
      <c r="F2358" s="14"/>
      <c r="G2358" s="15"/>
      <c r="H2358" s="15"/>
      <c r="I2358" s="14"/>
      <c r="P2358" s="14"/>
    </row>
    <row r="2359" ht="18.75" customHeight="1">
      <c r="A2359" s="7" t="s">
        <v>3412</v>
      </c>
      <c r="B2359" s="9">
        <v>55104.0</v>
      </c>
      <c r="C2359" s="9">
        <v>53943.0</v>
      </c>
      <c r="D2359" s="9">
        <v>9589.0</v>
      </c>
      <c r="E2359" s="9">
        <v>555.0</v>
      </c>
      <c r="F2359" s="14"/>
      <c r="G2359" s="15"/>
      <c r="H2359" s="15"/>
      <c r="I2359" s="14"/>
      <c r="P2359" s="14"/>
    </row>
    <row r="2360" ht="18.75" customHeight="1">
      <c r="A2360" s="7" t="s">
        <v>3169</v>
      </c>
      <c r="B2360" s="9">
        <v>101989.0</v>
      </c>
      <c r="C2360" s="9">
        <v>100027.0</v>
      </c>
      <c r="D2360" s="9">
        <v>30609.0</v>
      </c>
      <c r="E2360" s="9">
        <v>138.0</v>
      </c>
      <c r="F2360" s="14"/>
      <c r="G2360" s="15"/>
      <c r="H2360" s="15"/>
      <c r="I2360" s="14"/>
      <c r="P2360" s="14"/>
    </row>
    <row r="2361" ht="18.75" customHeight="1">
      <c r="A2361" s="7" t="s">
        <v>3413</v>
      </c>
      <c r="B2361" s="9">
        <v>53305.0</v>
      </c>
      <c r="C2361" s="9">
        <v>52380.0</v>
      </c>
      <c r="D2361" s="9">
        <v>25714.0</v>
      </c>
      <c r="E2361" s="9">
        <v>758.0</v>
      </c>
      <c r="F2361" s="14"/>
      <c r="G2361" s="15"/>
      <c r="H2361" s="15"/>
      <c r="I2361" s="14"/>
      <c r="P2361" s="14"/>
    </row>
    <row r="2362" ht="18.75" customHeight="1">
      <c r="A2362" s="7" t="s">
        <v>2803</v>
      </c>
      <c r="B2362" s="9">
        <v>97381.0</v>
      </c>
      <c r="C2362" s="9">
        <v>95807.0</v>
      </c>
      <c r="D2362" s="9">
        <v>46682.0</v>
      </c>
      <c r="E2362" s="9">
        <v>3384.0</v>
      </c>
      <c r="F2362" s="14"/>
      <c r="G2362" s="15"/>
      <c r="H2362" s="15"/>
      <c r="I2362" s="14"/>
      <c r="P2362" s="14"/>
    </row>
    <row r="2363" ht="18.75" customHeight="1">
      <c r="A2363" s="7" t="s">
        <v>2741</v>
      </c>
      <c r="B2363" s="9">
        <v>100795.0</v>
      </c>
      <c r="C2363" s="9">
        <v>97934.0</v>
      </c>
      <c r="D2363" s="9">
        <v>18571.0</v>
      </c>
      <c r="E2363" s="9">
        <v>2254.0</v>
      </c>
      <c r="F2363" s="14"/>
      <c r="G2363" s="15"/>
      <c r="H2363" s="15"/>
      <c r="I2363" s="14"/>
      <c r="P2363" s="14"/>
    </row>
    <row r="2364" ht="18.75" customHeight="1">
      <c r="A2364" s="7" t="s">
        <v>3414</v>
      </c>
      <c r="B2364" s="9">
        <v>15789.0</v>
      </c>
      <c r="C2364" s="9">
        <v>15655.0</v>
      </c>
      <c r="D2364" s="9">
        <v>5143.0</v>
      </c>
      <c r="E2364" s="9">
        <v>1589.0</v>
      </c>
      <c r="F2364" s="14"/>
      <c r="G2364" s="15"/>
      <c r="H2364" s="15"/>
      <c r="I2364" s="14"/>
      <c r="P2364" s="14"/>
    </row>
    <row r="2365" ht="18.75" customHeight="1">
      <c r="A2365" s="7" t="s">
        <v>2958</v>
      </c>
      <c r="B2365" s="9">
        <v>30896.0</v>
      </c>
      <c r="C2365" s="9">
        <v>30334.0</v>
      </c>
      <c r="D2365" s="9">
        <v>12508.0</v>
      </c>
      <c r="E2365" s="9">
        <v>1176.0</v>
      </c>
      <c r="F2365" s="14"/>
      <c r="G2365" s="15"/>
      <c r="H2365" s="15"/>
      <c r="I2365" s="14"/>
      <c r="P2365" s="14"/>
    </row>
    <row r="2366" ht="18.75" customHeight="1">
      <c r="A2366" s="7" t="s">
        <v>3393</v>
      </c>
      <c r="B2366" s="9">
        <v>163684.0</v>
      </c>
      <c r="C2366" s="9">
        <v>161312.0</v>
      </c>
      <c r="D2366" s="9">
        <v>25876.0</v>
      </c>
      <c r="E2366" s="9">
        <v>120.0</v>
      </c>
      <c r="F2366" s="14"/>
      <c r="G2366" s="15"/>
      <c r="H2366" s="15"/>
      <c r="I2366" s="14"/>
      <c r="P2366" s="14"/>
    </row>
    <row r="2367" ht="18.75" customHeight="1">
      <c r="A2367" s="7" t="s">
        <v>2774</v>
      </c>
      <c r="B2367" s="9">
        <v>33461.0</v>
      </c>
      <c r="C2367" s="9">
        <v>32854.0</v>
      </c>
      <c r="D2367" s="9">
        <v>11876.0</v>
      </c>
      <c r="E2367" s="9">
        <v>491.0</v>
      </c>
      <c r="F2367" s="14"/>
      <c r="G2367" s="15"/>
      <c r="H2367" s="15"/>
      <c r="I2367" s="14"/>
      <c r="P2367" s="14"/>
    </row>
    <row r="2368" ht="18.75" customHeight="1">
      <c r="A2368" s="7" t="s">
        <v>3394</v>
      </c>
      <c r="B2368" s="9">
        <v>113335.0</v>
      </c>
      <c r="C2368" s="9">
        <v>111982.0</v>
      </c>
      <c r="D2368" s="9">
        <v>26926.0</v>
      </c>
      <c r="E2368" s="9">
        <v>865.0</v>
      </c>
      <c r="F2368" s="14"/>
      <c r="G2368" s="15"/>
      <c r="H2368" s="15"/>
      <c r="I2368" s="14"/>
      <c r="P2368" s="14"/>
    </row>
    <row r="2369" ht="18.75" customHeight="1">
      <c r="A2369" s="7" t="s">
        <v>3415</v>
      </c>
      <c r="B2369" s="9">
        <v>27854.0</v>
      </c>
      <c r="C2369" s="9">
        <v>27301.0</v>
      </c>
      <c r="D2369" s="9">
        <v>6272.0</v>
      </c>
      <c r="E2369" s="9">
        <v>1079.0</v>
      </c>
      <c r="F2369" s="14"/>
      <c r="G2369" s="15"/>
      <c r="H2369" s="15"/>
      <c r="I2369" s="14"/>
      <c r="P2369" s="14"/>
    </row>
    <row r="2370" ht="18.75" customHeight="1">
      <c r="A2370" s="7" t="s">
        <v>3416</v>
      </c>
      <c r="B2370" s="9">
        <v>27800.0</v>
      </c>
      <c r="C2370" s="9">
        <v>26708.0</v>
      </c>
      <c r="D2370" s="9">
        <v>6926.0</v>
      </c>
      <c r="E2370" s="9">
        <v>690.0</v>
      </c>
      <c r="F2370" s="14"/>
      <c r="G2370" s="15"/>
      <c r="H2370" s="15"/>
      <c r="I2370" s="14"/>
      <c r="P2370" s="14"/>
    </row>
    <row r="2371" ht="18.75" customHeight="1">
      <c r="A2371" s="7" t="s">
        <v>3417</v>
      </c>
      <c r="B2371" s="9">
        <v>27618.0</v>
      </c>
      <c r="C2371" s="9">
        <v>25552.0</v>
      </c>
      <c r="D2371" s="9">
        <v>7601.0</v>
      </c>
      <c r="E2371" s="9">
        <v>2175.0</v>
      </c>
      <c r="F2371" s="14"/>
      <c r="G2371" s="15"/>
      <c r="H2371" s="15"/>
      <c r="I2371" s="14"/>
      <c r="P2371" s="14"/>
    </row>
    <row r="2372" ht="18.75" customHeight="1">
      <c r="A2372" s="7" t="s">
        <v>3418</v>
      </c>
      <c r="B2372" s="9">
        <v>27606.0</v>
      </c>
      <c r="C2372" s="9">
        <v>25537.0</v>
      </c>
      <c r="D2372" s="9">
        <v>6228.0</v>
      </c>
      <c r="E2372" s="9">
        <v>492.0</v>
      </c>
      <c r="F2372" s="14"/>
      <c r="G2372" s="15"/>
      <c r="H2372" s="15"/>
      <c r="I2372" s="14"/>
      <c r="P2372" s="14"/>
    </row>
    <row r="2373" ht="18.75" customHeight="1">
      <c r="A2373" s="7" t="s">
        <v>3419</v>
      </c>
      <c r="B2373" s="9">
        <v>29321.0</v>
      </c>
      <c r="C2373" s="9">
        <v>26139.0</v>
      </c>
      <c r="D2373" s="9">
        <v>6551.0</v>
      </c>
      <c r="E2373" s="9">
        <v>838.0</v>
      </c>
      <c r="F2373" s="14"/>
      <c r="G2373" s="15"/>
      <c r="H2373" s="15"/>
      <c r="I2373" s="14"/>
      <c r="P2373" s="14"/>
    </row>
    <row r="2374" ht="18.75" customHeight="1">
      <c r="A2374" s="7" t="s">
        <v>3420</v>
      </c>
      <c r="B2374" s="9">
        <v>28667.0</v>
      </c>
      <c r="C2374" s="9">
        <v>25882.0</v>
      </c>
      <c r="D2374" s="9">
        <v>5730.0</v>
      </c>
      <c r="E2374" s="9">
        <v>454.0</v>
      </c>
      <c r="F2374" s="14"/>
      <c r="G2374" s="15"/>
      <c r="H2374" s="15"/>
      <c r="I2374" s="14"/>
      <c r="P2374" s="14"/>
    </row>
    <row r="2375" ht="18.75" customHeight="1">
      <c r="A2375" s="7" t="s">
        <v>2998</v>
      </c>
      <c r="B2375" s="9">
        <v>9294.0</v>
      </c>
      <c r="C2375" s="9">
        <v>9113.0</v>
      </c>
      <c r="D2375" s="9">
        <v>3171.0</v>
      </c>
      <c r="E2375" s="9">
        <v>60.0</v>
      </c>
      <c r="F2375" s="14"/>
      <c r="G2375" s="15"/>
      <c r="H2375" s="15"/>
      <c r="I2375" s="14"/>
      <c r="P2375" s="14"/>
    </row>
    <row r="2376" ht="18.75" customHeight="1">
      <c r="A2376" s="7" t="s">
        <v>3421</v>
      </c>
      <c r="B2376" s="9">
        <v>61132.0</v>
      </c>
      <c r="C2376" s="9">
        <v>60348.0</v>
      </c>
      <c r="D2376" s="9">
        <v>18828.0</v>
      </c>
      <c r="E2376" s="9">
        <v>86.0</v>
      </c>
      <c r="F2376" s="14"/>
      <c r="G2376" s="15"/>
      <c r="H2376" s="15"/>
      <c r="I2376" s="14"/>
      <c r="P2376" s="14"/>
    </row>
    <row r="2377" ht="18.75" customHeight="1">
      <c r="A2377" s="7" t="s">
        <v>3422</v>
      </c>
      <c r="B2377" s="9">
        <v>2530.0</v>
      </c>
      <c r="C2377" s="9">
        <v>2480.0</v>
      </c>
      <c r="D2377" s="9">
        <v>1197.0</v>
      </c>
      <c r="E2377" s="9">
        <v>53.0</v>
      </c>
      <c r="F2377" s="14"/>
      <c r="G2377" s="15"/>
      <c r="H2377" s="15"/>
      <c r="I2377" s="14"/>
      <c r="P2377" s="14"/>
    </row>
    <row r="2378" ht="18.75" customHeight="1">
      <c r="A2378" s="7" t="s">
        <v>2768</v>
      </c>
      <c r="B2378" s="9">
        <v>61924.0</v>
      </c>
      <c r="C2378" s="9">
        <v>61299.0</v>
      </c>
      <c r="D2378" s="9">
        <v>37868.0</v>
      </c>
      <c r="E2378" s="9">
        <v>1759.0</v>
      </c>
      <c r="F2378" s="14"/>
      <c r="G2378" s="15"/>
      <c r="H2378" s="15"/>
      <c r="I2378" s="14"/>
      <c r="P2378" s="14"/>
    </row>
    <row r="2379" ht="18.75" customHeight="1">
      <c r="A2379" s="7" t="s">
        <v>3423</v>
      </c>
      <c r="B2379" s="9">
        <v>28481.0</v>
      </c>
      <c r="C2379" s="9">
        <v>27982.0</v>
      </c>
      <c r="D2379" s="9">
        <v>7077.0</v>
      </c>
      <c r="E2379" s="9">
        <v>118.0</v>
      </c>
      <c r="F2379" s="14"/>
      <c r="G2379" s="15"/>
      <c r="H2379" s="15"/>
      <c r="I2379" s="14"/>
      <c r="P2379" s="14"/>
    </row>
    <row r="2380" ht="18.75" customHeight="1">
      <c r="A2380" s="7" t="s">
        <v>3162</v>
      </c>
      <c r="B2380" s="9">
        <v>28406.0</v>
      </c>
      <c r="C2380" s="9">
        <v>27895.0</v>
      </c>
      <c r="D2380" s="9">
        <v>7430.0</v>
      </c>
      <c r="E2380" s="9">
        <v>134.0</v>
      </c>
      <c r="F2380" s="14"/>
      <c r="G2380" s="15"/>
      <c r="H2380" s="15"/>
      <c r="I2380" s="14"/>
      <c r="P2380" s="14"/>
    </row>
    <row r="2381" ht="18.75" customHeight="1">
      <c r="A2381" s="7" t="s">
        <v>3424</v>
      </c>
      <c r="B2381" s="9">
        <v>85311.0</v>
      </c>
      <c r="C2381" s="9">
        <v>83291.0</v>
      </c>
      <c r="D2381" s="9">
        <v>26349.0</v>
      </c>
      <c r="E2381" s="9">
        <v>556.0</v>
      </c>
      <c r="F2381" s="14"/>
      <c r="G2381" s="15"/>
      <c r="H2381" s="15"/>
      <c r="I2381" s="14"/>
      <c r="P2381" s="14"/>
    </row>
    <row r="2382" ht="18.75" customHeight="1">
      <c r="A2382" s="7" t="s">
        <v>3425</v>
      </c>
      <c r="B2382" s="9">
        <v>26463.0</v>
      </c>
      <c r="C2382" s="9">
        <v>26193.0</v>
      </c>
      <c r="D2382" s="9">
        <v>6727.0</v>
      </c>
      <c r="E2382" s="9">
        <v>249.0</v>
      </c>
      <c r="F2382" s="14"/>
      <c r="G2382" s="15"/>
      <c r="H2382" s="15"/>
      <c r="I2382" s="14"/>
      <c r="P2382" s="14"/>
    </row>
    <row r="2383" ht="18.75" customHeight="1">
      <c r="A2383" s="7" t="s">
        <v>381</v>
      </c>
      <c r="B2383" s="9">
        <v>107.0</v>
      </c>
      <c r="C2383" s="9">
        <v>105.0</v>
      </c>
      <c r="D2383" s="9">
        <v>44.0</v>
      </c>
      <c r="E2383" s="9">
        <v>1.0</v>
      </c>
      <c r="F2383" s="14"/>
      <c r="G2383" s="15"/>
      <c r="H2383" s="15"/>
      <c r="I2383" s="14"/>
      <c r="P2383" s="14"/>
    </row>
    <row r="2384" ht="18.75" customHeight="1">
      <c r="A2384" s="7" t="s">
        <v>2816</v>
      </c>
      <c r="B2384" s="9">
        <v>18709.0</v>
      </c>
      <c r="C2384" s="9">
        <v>18393.0</v>
      </c>
      <c r="D2384" s="9">
        <v>4648.0</v>
      </c>
      <c r="E2384" s="9">
        <v>329.0</v>
      </c>
      <c r="F2384" s="14"/>
      <c r="G2384" s="15"/>
      <c r="H2384" s="15"/>
      <c r="I2384" s="14"/>
      <c r="P2384" s="14"/>
    </row>
    <row r="2385" ht="18.75" customHeight="1">
      <c r="A2385" s="7" t="s">
        <v>3426</v>
      </c>
      <c r="B2385" s="9">
        <v>82703.0</v>
      </c>
      <c r="C2385" s="9">
        <v>81784.0</v>
      </c>
      <c r="D2385" s="9">
        <v>25769.0</v>
      </c>
      <c r="E2385" s="9">
        <v>67.0</v>
      </c>
      <c r="F2385" s="14"/>
      <c r="G2385" s="15"/>
      <c r="H2385" s="15"/>
      <c r="I2385" s="14"/>
      <c r="P2385" s="14"/>
    </row>
    <row r="2386" ht="18.75" customHeight="1">
      <c r="A2386" s="7" t="s">
        <v>2774</v>
      </c>
      <c r="B2386" s="9">
        <v>167107.0</v>
      </c>
      <c r="C2386" s="9">
        <v>164731.0</v>
      </c>
      <c r="D2386" s="9">
        <v>70862.0</v>
      </c>
      <c r="E2386" s="9">
        <v>9772.0</v>
      </c>
      <c r="F2386" s="14"/>
      <c r="G2386" s="15"/>
      <c r="H2386" s="15"/>
      <c r="I2386" s="14"/>
      <c r="P2386" s="14"/>
    </row>
    <row r="2387" ht="18.75" customHeight="1">
      <c r="A2387" s="7" t="s">
        <v>3348</v>
      </c>
      <c r="B2387" s="9">
        <v>81817.0</v>
      </c>
      <c r="C2387" s="9">
        <v>80277.0</v>
      </c>
      <c r="D2387" s="9">
        <v>25556.0</v>
      </c>
      <c r="E2387" s="9">
        <v>325.0</v>
      </c>
      <c r="F2387" s="14"/>
      <c r="G2387" s="15"/>
      <c r="H2387" s="15"/>
      <c r="I2387" s="14"/>
      <c r="P2387" s="14"/>
    </row>
    <row r="2388" ht="18.75" customHeight="1">
      <c r="A2388" s="7" t="s">
        <v>3352</v>
      </c>
      <c r="B2388" s="9">
        <v>90457.0</v>
      </c>
      <c r="C2388" s="9">
        <v>88779.0</v>
      </c>
      <c r="D2388" s="9">
        <v>21193.0</v>
      </c>
      <c r="E2388" s="9">
        <v>256.0</v>
      </c>
      <c r="F2388" s="14"/>
      <c r="G2388" s="15"/>
      <c r="H2388" s="15"/>
      <c r="I2388" s="14"/>
      <c r="P2388" s="14"/>
    </row>
    <row r="2389" ht="18.75" customHeight="1">
      <c r="A2389" s="7" t="s">
        <v>3283</v>
      </c>
      <c r="B2389" s="9">
        <v>93937.0</v>
      </c>
      <c r="C2389" s="9">
        <v>92205.0</v>
      </c>
      <c r="D2389" s="9">
        <v>26491.0</v>
      </c>
      <c r="E2389" s="9">
        <v>183.0</v>
      </c>
      <c r="F2389" s="14"/>
      <c r="G2389" s="15"/>
      <c r="H2389" s="15"/>
      <c r="I2389" s="14"/>
      <c r="P2389" s="14"/>
    </row>
    <row r="2390" ht="18.75" customHeight="1">
      <c r="A2390" s="7" t="s">
        <v>3345</v>
      </c>
      <c r="B2390" s="9">
        <v>75751.0</v>
      </c>
      <c r="C2390" s="9">
        <v>74097.0</v>
      </c>
      <c r="D2390" s="9">
        <v>10489.0</v>
      </c>
      <c r="E2390" s="9">
        <v>189.0</v>
      </c>
      <c r="F2390" s="14"/>
      <c r="G2390" s="15"/>
      <c r="H2390" s="15"/>
      <c r="I2390" s="14"/>
      <c r="P2390" s="14"/>
    </row>
    <row r="2391" ht="18.75" customHeight="1">
      <c r="A2391" s="7" t="s">
        <v>3346</v>
      </c>
      <c r="B2391" s="9">
        <v>70448.0</v>
      </c>
      <c r="C2391" s="9">
        <v>69165.0</v>
      </c>
      <c r="D2391" s="9">
        <v>17140.0</v>
      </c>
      <c r="E2391" s="9">
        <v>209.0</v>
      </c>
      <c r="F2391" s="14"/>
      <c r="G2391" s="15"/>
      <c r="H2391" s="15"/>
      <c r="I2391" s="14"/>
      <c r="P2391" s="14"/>
    </row>
    <row r="2392" ht="18.75" customHeight="1">
      <c r="A2392" s="7" t="s">
        <v>3265</v>
      </c>
      <c r="B2392" s="9">
        <v>60853.0</v>
      </c>
      <c r="C2392" s="9">
        <v>59305.0</v>
      </c>
      <c r="D2392" s="9">
        <v>7901.0</v>
      </c>
      <c r="E2392" s="9">
        <v>159.0</v>
      </c>
      <c r="F2392" s="14"/>
      <c r="G2392" s="15"/>
      <c r="H2392" s="15"/>
      <c r="I2392" s="14"/>
      <c r="P2392" s="14"/>
    </row>
    <row r="2393" ht="18.75" customHeight="1">
      <c r="A2393" s="7" t="s">
        <v>3347</v>
      </c>
      <c r="B2393" s="9">
        <v>61026.0</v>
      </c>
      <c r="C2393" s="9">
        <v>59458.0</v>
      </c>
      <c r="D2393" s="9">
        <v>8366.0</v>
      </c>
      <c r="E2393" s="9">
        <v>122.0</v>
      </c>
      <c r="F2393" s="14"/>
      <c r="G2393" s="15"/>
      <c r="H2393" s="15"/>
      <c r="I2393" s="14"/>
      <c r="P2393" s="14"/>
    </row>
    <row r="2394" ht="18.75" customHeight="1">
      <c r="A2394" s="7" t="s">
        <v>2776</v>
      </c>
      <c r="B2394" s="9">
        <v>58615.0</v>
      </c>
      <c r="C2394" s="9">
        <v>57462.0</v>
      </c>
      <c r="D2394" s="9">
        <v>14873.0</v>
      </c>
      <c r="E2394" s="9">
        <v>159.0</v>
      </c>
      <c r="F2394" s="14"/>
      <c r="G2394" s="15"/>
      <c r="H2394" s="15"/>
      <c r="I2394" s="14"/>
      <c r="P2394" s="14"/>
    </row>
    <row r="2395" ht="18.75" customHeight="1">
      <c r="A2395" s="7" t="s">
        <v>3427</v>
      </c>
      <c r="B2395" s="9">
        <v>138446.0</v>
      </c>
      <c r="C2395" s="9">
        <v>136102.0</v>
      </c>
      <c r="D2395" s="9">
        <v>47570.0</v>
      </c>
      <c r="E2395" s="9">
        <v>55.0</v>
      </c>
      <c r="F2395" s="14"/>
      <c r="G2395" s="15"/>
      <c r="H2395" s="15"/>
      <c r="I2395" s="14"/>
      <c r="P2395" s="14"/>
    </row>
    <row r="2396" ht="18.75" customHeight="1">
      <c r="A2396" s="7" t="s">
        <v>2854</v>
      </c>
      <c r="B2396" s="9">
        <v>100206.0</v>
      </c>
      <c r="C2396" s="9">
        <v>98713.0</v>
      </c>
      <c r="D2396" s="9">
        <v>33228.0</v>
      </c>
      <c r="E2396" s="9">
        <v>56.0</v>
      </c>
      <c r="F2396" s="14"/>
      <c r="G2396" s="15"/>
      <c r="H2396" s="15"/>
      <c r="I2396" s="14"/>
      <c r="P2396" s="14"/>
    </row>
    <row r="2397" ht="18.75" customHeight="1">
      <c r="A2397" s="7" t="s">
        <v>3428</v>
      </c>
      <c r="B2397" s="9">
        <v>80090.0</v>
      </c>
      <c r="C2397" s="9">
        <v>79903.0</v>
      </c>
      <c r="D2397" s="9">
        <v>50799.0</v>
      </c>
      <c r="E2397" s="9">
        <v>73.0</v>
      </c>
      <c r="F2397" s="14"/>
      <c r="G2397" s="15"/>
      <c r="H2397" s="15"/>
      <c r="I2397" s="14"/>
      <c r="P2397" s="14"/>
    </row>
    <row r="2398" ht="18.75" customHeight="1">
      <c r="A2398" s="7" t="s">
        <v>3428</v>
      </c>
      <c r="B2398" s="9">
        <v>145764.0</v>
      </c>
      <c r="C2398" s="9">
        <v>141873.0</v>
      </c>
      <c r="D2398" s="9">
        <v>42772.0</v>
      </c>
      <c r="E2398" s="9">
        <v>37.0</v>
      </c>
      <c r="F2398" s="14"/>
      <c r="G2398" s="15"/>
      <c r="H2398" s="15"/>
      <c r="I2398" s="14"/>
      <c r="P2398" s="14"/>
    </row>
    <row r="2399" ht="18.75" customHeight="1">
      <c r="A2399" s="7" t="s">
        <v>3429</v>
      </c>
      <c r="B2399" s="9">
        <v>56862.0</v>
      </c>
      <c r="C2399" s="9">
        <v>55916.0</v>
      </c>
      <c r="D2399" s="9">
        <v>24688.0</v>
      </c>
      <c r="E2399" s="9">
        <v>587.0</v>
      </c>
      <c r="F2399" s="14"/>
      <c r="G2399" s="15"/>
      <c r="H2399" s="15"/>
      <c r="I2399" s="14"/>
      <c r="P2399" s="14"/>
    </row>
    <row r="2400" ht="18.75" customHeight="1">
      <c r="A2400" s="7" t="s">
        <v>3429</v>
      </c>
      <c r="B2400" s="9">
        <v>1767.0</v>
      </c>
      <c r="C2400" s="9">
        <v>1754.0</v>
      </c>
      <c r="D2400" s="9">
        <v>1159.0</v>
      </c>
      <c r="E2400" s="9">
        <v>225.0</v>
      </c>
      <c r="F2400" s="14"/>
      <c r="G2400" s="15"/>
      <c r="H2400" s="15"/>
      <c r="I2400" s="14"/>
      <c r="P2400" s="14"/>
    </row>
    <row r="2401" ht="18.75" customHeight="1">
      <c r="A2401" s="7" t="s">
        <v>3161</v>
      </c>
      <c r="B2401" s="9">
        <v>128818.0</v>
      </c>
      <c r="C2401" s="9">
        <v>127539.0</v>
      </c>
      <c r="D2401" s="9">
        <v>28708.0</v>
      </c>
      <c r="E2401" s="9">
        <v>98.0</v>
      </c>
      <c r="F2401" s="14"/>
      <c r="G2401" s="15"/>
      <c r="H2401" s="15"/>
      <c r="I2401" s="14"/>
      <c r="P2401" s="14"/>
    </row>
    <row r="2402" ht="18.75" customHeight="1">
      <c r="A2402" s="7" t="s">
        <v>3161</v>
      </c>
      <c r="B2402" s="9">
        <v>123664.0</v>
      </c>
      <c r="C2402" s="9">
        <v>122445.0</v>
      </c>
      <c r="D2402" s="9">
        <v>26830.0</v>
      </c>
      <c r="E2402" s="9">
        <v>98.0</v>
      </c>
      <c r="F2402" s="14"/>
      <c r="G2402" s="15"/>
      <c r="H2402" s="15"/>
      <c r="I2402" s="14"/>
      <c r="P2402" s="14"/>
    </row>
    <row r="2403" ht="18.75" customHeight="1">
      <c r="A2403" s="7" t="s">
        <v>2790</v>
      </c>
      <c r="B2403" s="9">
        <v>128886.0</v>
      </c>
      <c r="C2403" s="9">
        <v>126688.0</v>
      </c>
      <c r="D2403" s="9">
        <v>49896.0</v>
      </c>
      <c r="E2403" s="9">
        <v>7674.0</v>
      </c>
      <c r="F2403" s="14"/>
      <c r="G2403" s="15"/>
      <c r="H2403" s="15"/>
      <c r="I2403" s="14"/>
      <c r="P2403" s="14"/>
    </row>
    <row r="2404" ht="18.75" customHeight="1">
      <c r="A2404" s="7" t="s">
        <v>2790</v>
      </c>
      <c r="B2404" s="9">
        <v>137624.0</v>
      </c>
      <c r="C2404" s="9">
        <v>135202.0</v>
      </c>
      <c r="D2404" s="9">
        <v>50387.0</v>
      </c>
      <c r="E2404" s="9">
        <v>6947.0</v>
      </c>
      <c r="F2404" s="14"/>
      <c r="G2404" s="15"/>
      <c r="H2404" s="15"/>
      <c r="I2404" s="14"/>
      <c r="P2404" s="14"/>
    </row>
    <row r="2405" ht="18.75" customHeight="1">
      <c r="A2405" s="7" t="s">
        <v>2790</v>
      </c>
      <c r="B2405" s="9">
        <v>50492.0</v>
      </c>
      <c r="C2405" s="9">
        <v>49630.0</v>
      </c>
      <c r="D2405" s="9">
        <v>18187.0</v>
      </c>
      <c r="E2405" s="9">
        <v>3149.0</v>
      </c>
      <c r="F2405" s="14"/>
      <c r="G2405" s="15"/>
      <c r="H2405" s="15"/>
      <c r="I2405" s="14"/>
      <c r="P2405" s="14"/>
    </row>
    <row r="2406" ht="18.75" customHeight="1">
      <c r="A2406" s="7" t="s">
        <v>2854</v>
      </c>
      <c r="B2406" s="9">
        <v>219161.0</v>
      </c>
      <c r="C2406" s="9">
        <v>215001.0</v>
      </c>
      <c r="D2406" s="9">
        <v>66996.0</v>
      </c>
      <c r="E2406" s="9">
        <v>117.0</v>
      </c>
      <c r="F2406" s="14"/>
      <c r="G2406" s="15"/>
      <c r="H2406" s="15"/>
      <c r="I2406" s="14"/>
      <c r="P2406" s="14"/>
    </row>
    <row r="2407" ht="18.75" customHeight="1">
      <c r="A2407" s="7" t="s">
        <v>3428</v>
      </c>
      <c r="B2407" s="9">
        <v>127651.0</v>
      </c>
      <c r="C2407" s="9">
        <v>127176.0</v>
      </c>
      <c r="D2407" s="9">
        <v>88112.0</v>
      </c>
      <c r="E2407" s="9">
        <v>127.0</v>
      </c>
      <c r="F2407" s="14"/>
      <c r="G2407" s="15"/>
      <c r="H2407" s="15"/>
      <c r="I2407" s="14"/>
      <c r="P2407" s="14"/>
    </row>
    <row r="2408" ht="18.75" customHeight="1">
      <c r="A2408" s="7" t="s">
        <v>3427</v>
      </c>
      <c r="B2408" s="9">
        <v>241667.0</v>
      </c>
      <c r="C2408" s="9">
        <v>237051.0</v>
      </c>
      <c r="D2408" s="9">
        <v>76195.0</v>
      </c>
      <c r="E2408" s="9">
        <v>84.0</v>
      </c>
      <c r="F2408" s="14"/>
      <c r="G2408" s="15"/>
      <c r="H2408" s="15"/>
      <c r="I2408" s="14"/>
      <c r="P2408" s="14"/>
    </row>
    <row r="2409" ht="18.75" customHeight="1">
      <c r="A2409" s="7" t="s">
        <v>3430</v>
      </c>
      <c r="B2409" s="9">
        <v>148509.0</v>
      </c>
      <c r="C2409" s="9">
        <v>145723.0</v>
      </c>
      <c r="D2409" s="9">
        <v>46193.0</v>
      </c>
      <c r="E2409" s="9">
        <v>110.0</v>
      </c>
      <c r="F2409" s="14"/>
      <c r="G2409" s="15"/>
      <c r="H2409" s="15"/>
      <c r="I2409" s="14"/>
      <c r="P2409" s="14"/>
    </row>
    <row r="2410" ht="18.75" customHeight="1">
      <c r="A2410" s="7" t="s">
        <v>2790</v>
      </c>
      <c r="B2410" s="9">
        <v>126252.0</v>
      </c>
      <c r="C2410" s="9">
        <v>124136.0</v>
      </c>
      <c r="D2410" s="9">
        <v>46836.0</v>
      </c>
      <c r="E2410" s="9">
        <v>4924.0</v>
      </c>
      <c r="F2410" s="14"/>
      <c r="G2410" s="15"/>
      <c r="H2410" s="15"/>
      <c r="I2410" s="14"/>
      <c r="P2410" s="14"/>
    </row>
    <row r="2411" ht="18.75" customHeight="1">
      <c r="A2411" s="7" t="s">
        <v>3431</v>
      </c>
      <c r="B2411" s="9">
        <v>39898.0</v>
      </c>
      <c r="C2411" s="9">
        <v>38967.0</v>
      </c>
      <c r="D2411" s="9">
        <v>7480.0</v>
      </c>
      <c r="E2411" s="9">
        <v>305.0</v>
      </c>
      <c r="F2411" s="14"/>
      <c r="G2411" s="15"/>
      <c r="H2411" s="15"/>
      <c r="I2411" s="14"/>
      <c r="P2411" s="14"/>
    </row>
    <row r="2412" ht="18.75" customHeight="1">
      <c r="A2412" s="7" t="s">
        <v>2790</v>
      </c>
      <c r="B2412" s="9">
        <v>85213.0</v>
      </c>
      <c r="C2412" s="9">
        <v>84018.0</v>
      </c>
      <c r="D2412" s="9">
        <v>32521.0</v>
      </c>
      <c r="E2412" s="9">
        <v>4574.0</v>
      </c>
      <c r="F2412" s="14"/>
      <c r="G2412" s="15"/>
      <c r="H2412" s="15"/>
      <c r="I2412" s="14"/>
      <c r="P2412" s="14"/>
    </row>
    <row r="2413" ht="18.75" customHeight="1">
      <c r="A2413" s="7" t="s">
        <v>3430</v>
      </c>
      <c r="B2413" s="9">
        <v>167909.0</v>
      </c>
      <c r="C2413" s="9">
        <v>165392.0</v>
      </c>
      <c r="D2413" s="9">
        <v>58506.0</v>
      </c>
      <c r="E2413" s="9">
        <v>325.0</v>
      </c>
      <c r="F2413" s="14"/>
      <c r="G2413" s="15"/>
      <c r="H2413" s="15"/>
      <c r="I2413" s="14"/>
      <c r="P2413" s="14"/>
    </row>
    <row r="2414" ht="18.75" customHeight="1">
      <c r="A2414" s="7" t="s">
        <v>2790</v>
      </c>
      <c r="B2414" s="9">
        <v>94467.0</v>
      </c>
      <c r="C2414" s="9">
        <v>93162.0</v>
      </c>
      <c r="D2414" s="9">
        <v>39960.0</v>
      </c>
      <c r="E2414" s="9">
        <v>7715.0</v>
      </c>
      <c r="F2414" s="14"/>
      <c r="G2414" s="15"/>
      <c r="H2414" s="15"/>
      <c r="I2414" s="14"/>
      <c r="P2414" s="14"/>
    </row>
    <row r="2415" ht="18.75" customHeight="1">
      <c r="A2415" s="7" t="s">
        <v>2790</v>
      </c>
      <c r="B2415" s="9">
        <v>114413.0</v>
      </c>
      <c r="C2415" s="9">
        <v>113021.0</v>
      </c>
      <c r="D2415" s="9">
        <v>50839.0</v>
      </c>
      <c r="E2415" s="9">
        <v>11010.0</v>
      </c>
      <c r="F2415" s="14"/>
      <c r="G2415" s="15"/>
      <c r="H2415" s="15"/>
      <c r="I2415" s="14"/>
      <c r="P2415" s="14"/>
    </row>
    <row r="2416" ht="18.75" customHeight="1">
      <c r="A2416" s="7" t="s">
        <v>2790</v>
      </c>
      <c r="B2416" s="9">
        <v>72959.0</v>
      </c>
      <c r="C2416" s="9">
        <v>71894.0</v>
      </c>
      <c r="D2416" s="9">
        <v>27304.0</v>
      </c>
      <c r="E2416" s="9">
        <v>5413.0</v>
      </c>
      <c r="F2416" s="14"/>
      <c r="G2416" s="15"/>
      <c r="H2416" s="15"/>
      <c r="I2416" s="14"/>
      <c r="P2416" s="14"/>
    </row>
    <row r="2417" ht="18.75" customHeight="1">
      <c r="A2417" s="7" t="s">
        <v>3296</v>
      </c>
      <c r="B2417" s="9">
        <v>6351.0</v>
      </c>
      <c r="C2417" s="9">
        <v>6221.0</v>
      </c>
      <c r="D2417" s="9">
        <v>1255.0</v>
      </c>
      <c r="E2417" s="9">
        <v>41.0</v>
      </c>
      <c r="F2417" s="14"/>
      <c r="G2417" s="15"/>
      <c r="H2417" s="15"/>
      <c r="I2417" s="14"/>
      <c r="P2417" s="14"/>
    </row>
    <row r="2418" ht="18.75" customHeight="1">
      <c r="A2418" s="7" t="s">
        <v>3327</v>
      </c>
      <c r="B2418" s="9">
        <v>6381.0</v>
      </c>
      <c r="C2418" s="9">
        <v>6235.0</v>
      </c>
      <c r="D2418" s="9">
        <v>1386.0</v>
      </c>
      <c r="E2418" s="9">
        <v>66.0</v>
      </c>
      <c r="F2418" s="14"/>
      <c r="G2418" s="15"/>
      <c r="H2418" s="15"/>
      <c r="I2418" s="14"/>
      <c r="P2418" s="14"/>
    </row>
    <row r="2419" ht="18.75" customHeight="1">
      <c r="A2419" s="7" t="s">
        <v>3214</v>
      </c>
      <c r="B2419" s="9">
        <v>6335.0</v>
      </c>
      <c r="C2419" s="9">
        <v>6192.0</v>
      </c>
      <c r="D2419" s="9">
        <v>1383.0</v>
      </c>
      <c r="E2419" s="9">
        <v>33.0</v>
      </c>
      <c r="F2419" s="14"/>
      <c r="G2419" s="15"/>
      <c r="H2419" s="15"/>
      <c r="I2419" s="14"/>
      <c r="P2419" s="14"/>
    </row>
    <row r="2420" ht="18.75" customHeight="1">
      <c r="A2420" s="7" t="s">
        <v>3236</v>
      </c>
      <c r="B2420" s="9">
        <v>6333.0</v>
      </c>
      <c r="C2420" s="9">
        <v>6184.0</v>
      </c>
      <c r="D2420" s="9">
        <v>1398.0</v>
      </c>
      <c r="E2420" s="9">
        <v>32.0</v>
      </c>
      <c r="F2420" s="14"/>
      <c r="G2420" s="15"/>
      <c r="H2420" s="15"/>
      <c r="I2420" s="14"/>
      <c r="P2420" s="14"/>
    </row>
    <row r="2421" ht="18.75" customHeight="1">
      <c r="A2421" s="7" t="s">
        <v>3342</v>
      </c>
      <c r="B2421" s="9">
        <v>6359.0</v>
      </c>
      <c r="C2421" s="9">
        <v>6218.0</v>
      </c>
      <c r="D2421" s="9">
        <v>1194.0</v>
      </c>
      <c r="E2421" s="9">
        <v>44.0</v>
      </c>
      <c r="F2421" s="14"/>
      <c r="G2421" s="15"/>
      <c r="H2421" s="15"/>
      <c r="I2421" s="14"/>
      <c r="P2421" s="14"/>
    </row>
    <row r="2422" ht="18.75" customHeight="1">
      <c r="A2422" s="7" t="s">
        <v>3094</v>
      </c>
      <c r="B2422" s="9">
        <v>6335.0</v>
      </c>
      <c r="C2422" s="9">
        <v>6190.0</v>
      </c>
      <c r="D2422" s="9">
        <v>2045.0</v>
      </c>
      <c r="E2422" s="9">
        <v>46.0</v>
      </c>
      <c r="F2422" s="14"/>
      <c r="G2422" s="15"/>
      <c r="H2422" s="15"/>
      <c r="I2422" s="14"/>
      <c r="P2422" s="14"/>
    </row>
    <row r="2423" ht="18.75" customHeight="1">
      <c r="A2423" s="7" t="s">
        <v>3432</v>
      </c>
      <c r="B2423" s="9">
        <v>44854.0</v>
      </c>
      <c r="C2423" s="9">
        <v>44091.0</v>
      </c>
      <c r="D2423" s="9">
        <v>12184.0</v>
      </c>
      <c r="E2423" s="9">
        <v>264.0</v>
      </c>
      <c r="F2423" s="14"/>
      <c r="G2423" s="15"/>
      <c r="H2423" s="15"/>
      <c r="I2423" s="14"/>
      <c r="P2423" s="14"/>
    </row>
    <row r="2424" ht="18.75" customHeight="1">
      <c r="A2424" s="7" t="s">
        <v>3433</v>
      </c>
      <c r="B2424" s="9">
        <v>48440.0</v>
      </c>
      <c r="C2424" s="9">
        <v>47565.0</v>
      </c>
      <c r="D2424" s="9">
        <v>9294.0</v>
      </c>
      <c r="E2424" s="9">
        <v>233.0</v>
      </c>
      <c r="F2424" s="14"/>
      <c r="G2424" s="15"/>
      <c r="H2424" s="15"/>
      <c r="I2424" s="14"/>
      <c r="P2424" s="14"/>
    </row>
    <row r="2425" ht="18.75" customHeight="1">
      <c r="A2425" s="7" t="s">
        <v>2841</v>
      </c>
      <c r="B2425" s="9">
        <v>48397.0</v>
      </c>
      <c r="C2425" s="9">
        <v>47528.0</v>
      </c>
      <c r="D2425" s="9">
        <v>11199.0</v>
      </c>
      <c r="E2425" s="9">
        <v>667.0</v>
      </c>
      <c r="F2425" s="14"/>
      <c r="G2425" s="15"/>
      <c r="H2425" s="15"/>
      <c r="I2425" s="14"/>
      <c r="P2425" s="14"/>
    </row>
    <row r="2426" ht="18.75" customHeight="1">
      <c r="A2426" s="7" t="s">
        <v>3174</v>
      </c>
      <c r="B2426" s="9">
        <v>48278.0</v>
      </c>
      <c r="C2426" s="9">
        <v>47432.0</v>
      </c>
      <c r="D2426" s="9">
        <v>10485.0</v>
      </c>
      <c r="E2426" s="9">
        <v>283.0</v>
      </c>
      <c r="F2426" s="14"/>
      <c r="G2426" s="15"/>
      <c r="H2426" s="15"/>
      <c r="I2426" s="14"/>
      <c r="P2426" s="14"/>
    </row>
    <row r="2427" ht="18.75" customHeight="1">
      <c r="A2427" s="7" t="s">
        <v>3187</v>
      </c>
      <c r="B2427" s="9">
        <v>48209.0</v>
      </c>
      <c r="C2427" s="9">
        <v>47377.0</v>
      </c>
      <c r="D2427" s="9">
        <v>10472.0</v>
      </c>
      <c r="E2427" s="9">
        <v>261.0</v>
      </c>
      <c r="F2427" s="14"/>
      <c r="G2427" s="15"/>
      <c r="H2427" s="15"/>
      <c r="I2427" s="14"/>
      <c r="P2427" s="14"/>
    </row>
    <row r="2428" ht="18.75" customHeight="1">
      <c r="A2428" s="7" t="s">
        <v>2758</v>
      </c>
      <c r="B2428" s="9">
        <v>48184.0</v>
      </c>
      <c r="C2428" s="9">
        <v>47333.0</v>
      </c>
      <c r="D2428" s="9">
        <v>9300.0</v>
      </c>
      <c r="E2428" s="9">
        <v>488.0</v>
      </c>
      <c r="F2428" s="14"/>
      <c r="G2428" s="15"/>
      <c r="H2428" s="15"/>
      <c r="I2428" s="14"/>
      <c r="P2428" s="14"/>
    </row>
    <row r="2429" ht="18.75" customHeight="1">
      <c r="A2429" s="7" t="s">
        <v>2893</v>
      </c>
      <c r="B2429" s="9">
        <v>43606.0</v>
      </c>
      <c r="C2429" s="9">
        <v>42728.0</v>
      </c>
      <c r="D2429" s="9">
        <v>7828.0</v>
      </c>
      <c r="E2429" s="9">
        <v>228.0</v>
      </c>
      <c r="F2429" s="14"/>
      <c r="G2429" s="15"/>
      <c r="H2429" s="15"/>
      <c r="I2429" s="14"/>
      <c r="P2429" s="14"/>
    </row>
    <row r="2430" ht="18.75" customHeight="1">
      <c r="A2430" s="7" t="s">
        <v>2846</v>
      </c>
      <c r="B2430" s="9">
        <v>43503.0</v>
      </c>
      <c r="C2430" s="9">
        <v>42540.0</v>
      </c>
      <c r="D2430" s="9">
        <v>7356.0</v>
      </c>
      <c r="E2430" s="9">
        <v>585.0</v>
      </c>
      <c r="F2430" s="14"/>
      <c r="G2430" s="15"/>
      <c r="H2430" s="15"/>
      <c r="I2430" s="14"/>
      <c r="P2430" s="14"/>
    </row>
    <row r="2431" ht="18.75" customHeight="1">
      <c r="A2431" s="7" t="s">
        <v>3318</v>
      </c>
      <c r="B2431" s="9">
        <v>43492.0</v>
      </c>
      <c r="C2431" s="9">
        <v>42541.0</v>
      </c>
      <c r="D2431" s="9">
        <v>8020.0</v>
      </c>
      <c r="E2431" s="9">
        <v>275.0</v>
      </c>
      <c r="F2431" s="14"/>
      <c r="G2431" s="15"/>
      <c r="H2431" s="15"/>
      <c r="I2431" s="14"/>
      <c r="P2431" s="14"/>
    </row>
    <row r="2432" ht="18.75" customHeight="1">
      <c r="A2432" s="7" t="s">
        <v>3228</v>
      </c>
      <c r="B2432" s="9">
        <v>43356.0</v>
      </c>
      <c r="C2432" s="9">
        <v>42433.0</v>
      </c>
      <c r="D2432" s="9">
        <v>6996.0</v>
      </c>
      <c r="E2432" s="9">
        <v>144.0</v>
      </c>
      <c r="F2432" s="14"/>
      <c r="G2432" s="15"/>
      <c r="H2432" s="15"/>
      <c r="I2432" s="14"/>
      <c r="P2432" s="14"/>
    </row>
    <row r="2433" ht="18.75" customHeight="1">
      <c r="A2433" s="7" t="s">
        <v>2757</v>
      </c>
      <c r="B2433" s="9">
        <v>43366.0</v>
      </c>
      <c r="C2433" s="9">
        <v>42447.0</v>
      </c>
      <c r="D2433" s="9">
        <v>7772.0</v>
      </c>
      <c r="E2433" s="9">
        <v>438.0</v>
      </c>
      <c r="F2433" s="14"/>
      <c r="G2433" s="15"/>
      <c r="H2433" s="15"/>
      <c r="I2433" s="14"/>
      <c r="P2433" s="14"/>
    </row>
    <row r="2434" ht="18.75" customHeight="1">
      <c r="A2434" s="7" t="s">
        <v>3207</v>
      </c>
      <c r="B2434" s="9">
        <v>43457.0</v>
      </c>
      <c r="C2434" s="9">
        <v>42509.0</v>
      </c>
      <c r="D2434" s="9">
        <v>8363.0</v>
      </c>
      <c r="E2434" s="9">
        <v>242.0</v>
      </c>
      <c r="F2434" s="14"/>
      <c r="G2434" s="15"/>
      <c r="H2434" s="15"/>
      <c r="I2434" s="14"/>
      <c r="P2434" s="14"/>
    </row>
    <row r="2435" ht="18.75" customHeight="1">
      <c r="A2435" s="7" t="s">
        <v>3217</v>
      </c>
      <c r="B2435" s="9">
        <v>43414.0</v>
      </c>
      <c r="C2435" s="9">
        <v>42490.0</v>
      </c>
      <c r="D2435" s="9">
        <v>7660.0</v>
      </c>
      <c r="E2435" s="9">
        <v>190.0</v>
      </c>
      <c r="F2435" s="14"/>
      <c r="G2435" s="15"/>
      <c r="H2435" s="15"/>
      <c r="I2435" s="14"/>
      <c r="P2435" s="14"/>
    </row>
    <row r="2436" ht="18.75" customHeight="1">
      <c r="A2436" s="7" t="s">
        <v>3250</v>
      </c>
      <c r="B2436" s="9">
        <v>43394.0</v>
      </c>
      <c r="C2436" s="9">
        <v>42470.0</v>
      </c>
      <c r="D2436" s="9">
        <v>7592.0</v>
      </c>
      <c r="E2436" s="9">
        <v>239.0</v>
      </c>
      <c r="F2436" s="14"/>
      <c r="G2436" s="15"/>
      <c r="H2436" s="15"/>
      <c r="I2436" s="14"/>
      <c r="P2436" s="14"/>
    </row>
    <row r="2437" ht="18.75" customHeight="1">
      <c r="A2437" s="7" t="s">
        <v>3434</v>
      </c>
      <c r="B2437" s="9">
        <v>24596.0</v>
      </c>
      <c r="C2437" s="9">
        <v>24035.0</v>
      </c>
      <c r="D2437" s="9">
        <v>4891.0</v>
      </c>
      <c r="E2437" s="9">
        <v>184.0</v>
      </c>
      <c r="F2437" s="14"/>
      <c r="G2437" s="15"/>
      <c r="H2437" s="15"/>
      <c r="I2437" s="14"/>
      <c r="P2437" s="14"/>
    </row>
    <row r="2438" ht="18.75" customHeight="1">
      <c r="A2438" s="7" t="s">
        <v>3435</v>
      </c>
      <c r="B2438" s="9">
        <v>27053.0</v>
      </c>
      <c r="C2438" s="9">
        <v>26449.0</v>
      </c>
      <c r="D2438" s="9">
        <v>8604.0</v>
      </c>
      <c r="E2438" s="9">
        <v>545.0</v>
      </c>
      <c r="F2438" s="14"/>
      <c r="G2438" s="15"/>
      <c r="H2438" s="15"/>
      <c r="I2438" s="14"/>
      <c r="P2438" s="14"/>
    </row>
    <row r="2439" ht="18.75" customHeight="1">
      <c r="A2439" s="7" t="s">
        <v>3306</v>
      </c>
      <c r="B2439" s="9">
        <v>27104.0</v>
      </c>
      <c r="C2439" s="9">
        <v>26490.0</v>
      </c>
      <c r="D2439" s="9">
        <v>5075.0</v>
      </c>
      <c r="E2439" s="9">
        <v>201.0</v>
      </c>
      <c r="F2439" s="14"/>
      <c r="G2439" s="15"/>
      <c r="H2439" s="15"/>
      <c r="I2439" s="14"/>
      <c r="P2439" s="14"/>
    </row>
    <row r="2440" ht="18.75" customHeight="1">
      <c r="A2440" s="7" t="s">
        <v>2831</v>
      </c>
      <c r="B2440" s="9">
        <v>27111.0</v>
      </c>
      <c r="C2440" s="9">
        <v>26498.0</v>
      </c>
      <c r="D2440" s="9">
        <v>5844.0</v>
      </c>
      <c r="E2440" s="9">
        <v>630.0</v>
      </c>
      <c r="F2440" s="14"/>
      <c r="G2440" s="15"/>
      <c r="H2440" s="15"/>
      <c r="I2440" s="14"/>
      <c r="P2440" s="14"/>
    </row>
    <row r="2441" ht="18.75" customHeight="1">
      <c r="A2441" s="7" t="s">
        <v>3303</v>
      </c>
      <c r="B2441" s="9">
        <v>27122.0</v>
      </c>
      <c r="C2441" s="9">
        <v>26508.0</v>
      </c>
      <c r="D2441" s="9">
        <v>5086.0</v>
      </c>
      <c r="E2441" s="9">
        <v>174.0</v>
      </c>
      <c r="F2441" s="14"/>
      <c r="G2441" s="15"/>
      <c r="H2441" s="15"/>
      <c r="I2441" s="14"/>
      <c r="P2441" s="14"/>
    </row>
    <row r="2442" ht="18.75" customHeight="1">
      <c r="A2442" s="7" t="s">
        <v>3190</v>
      </c>
      <c r="B2442" s="9">
        <v>27156.0</v>
      </c>
      <c r="C2442" s="9">
        <v>26534.0</v>
      </c>
      <c r="D2442" s="9">
        <v>4311.0</v>
      </c>
      <c r="E2442" s="9">
        <v>139.0</v>
      </c>
      <c r="F2442" s="14"/>
      <c r="G2442" s="15"/>
      <c r="H2442" s="15"/>
      <c r="I2442" s="14"/>
      <c r="P2442" s="14"/>
    </row>
    <row r="2443" ht="18.75" customHeight="1">
      <c r="A2443" s="7" t="s">
        <v>2782</v>
      </c>
      <c r="B2443" s="9">
        <v>27254.0</v>
      </c>
      <c r="C2443" s="9">
        <v>26632.0</v>
      </c>
      <c r="D2443" s="9">
        <v>4703.0</v>
      </c>
      <c r="E2443" s="9">
        <v>285.0</v>
      </c>
      <c r="F2443" s="14"/>
      <c r="G2443" s="15"/>
      <c r="H2443" s="15"/>
      <c r="I2443" s="14"/>
      <c r="P2443" s="14"/>
    </row>
    <row r="2444" ht="18.75" customHeight="1">
      <c r="A2444" s="7" t="s">
        <v>3436</v>
      </c>
      <c r="B2444" s="9">
        <v>46283.0</v>
      </c>
      <c r="C2444" s="9">
        <v>45880.0</v>
      </c>
      <c r="D2444" s="9">
        <v>15496.0</v>
      </c>
      <c r="E2444" s="9">
        <v>300.0</v>
      </c>
      <c r="F2444" s="14"/>
      <c r="G2444" s="15"/>
      <c r="H2444" s="15"/>
      <c r="I2444" s="14"/>
      <c r="P2444" s="14"/>
    </row>
    <row r="2445" ht="18.75" customHeight="1">
      <c r="A2445" s="7" t="s">
        <v>3437</v>
      </c>
      <c r="B2445" s="9">
        <v>52072.0</v>
      </c>
      <c r="C2445" s="9">
        <v>51249.0</v>
      </c>
      <c r="D2445" s="9">
        <v>20870.0</v>
      </c>
      <c r="E2445" s="9">
        <v>955.0</v>
      </c>
      <c r="F2445" s="14"/>
      <c r="G2445" s="15"/>
      <c r="H2445" s="15"/>
      <c r="I2445" s="14"/>
      <c r="P2445" s="14"/>
    </row>
    <row r="2446" ht="18.75" customHeight="1">
      <c r="A2446" s="7" t="s">
        <v>3297</v>
      </c>
      <c r="B2446" s="9">
        <v>51536.0</v>
      </c>
      <c r="C2446" s="9">
        <v>50650.0</v>
      </c>
      <c r="D2446" s="9">
        <v>15614.0</v>
      </c>
      <c r="E2446" s="9">
        <v>318.0</v>
      </c>
      <c r="F2446" s="14"/>
      <c r="G2446" s="15"/>
      <c r="H2446" s="15"/>
      <c r="I2446" s="14"/>
      <c r="P2446" s="14"/>
    </row>
    <row r="2447" ht="18.75" customHeight="1">
      <c r="A2447" s="7" t="s">
        <v>3289</v>
      </c>
      <c r="B2447" s="9">
        <v>51551.0</v>
      </c>
      <c r="C2447" s="9">
        <v>50553.0</v>
      </c>
      <c r="D2447" s="9">
        <v>16274.0</v>
      </c>
      <c r="E2447" s="9">
        <v>244.0</v>
      </c>
      <c r="F2447" s="14"/>
      <c r="G2447" s="15"/>
      <c r="H2447" s="15"/>
      <c r="I2447" s="14"/>
      <c r="P2447" s="14"/>
    </row>
    <row r="2448" ht="18.75" customHeight="1">
      <c r="A2448" s="7" t="s">
        <v>3231</v>
      </c>
      <c r="B2448" s="9">
        <v>51290.0</v>
      </c>
      <c r="C2448" s="9">
        <v>50328.0</v>
      </c>
      <c r="D2448" s="9">
        <v>15556.0</v>
      </c>
      <c r="E2448" s="9">
        <v>326.0</v>
      </c>
      <c r="F2448" s="14"/>
      <c r="G2448" s="15"/>
      <c r="H2448" s="15"/>
      <c r="I2448" s="14"/>
      <c r="P2448" s="14"/>
    </row>
    <row r="2449" ht="18.75" customHeight="1">
      <c r="A2449" s="7" t="s">
        <v>3246</v>
      </c>
      <c r="B2449" s="9">
        <v>51195.0</v>
      </c>
      <c r="C2449" s="9">
        <v>50239.0</v>
      </c>
      <c r="D2449" s="9">
        <v>14609.0</v>
      </c>
      <c r="E2449" s="9">
        <v>163.0</v>
      </c>
      <c r="F2449" s="14"/>
      <c r="G2449" s="15"/>
      <c r="H2449" s="15"/>
      <c r="I2449" s="14"/>
      <c r="P2449" s="14"/>
    </row>
    <row r="2450" ht="18.75" customHeight="1">
      <c r="A2450" s="7" t="s">
        <v>3094</v>
      </c>
      <c r="B2450" s="9">
        <v>50965.0</v>
      </c>
      <c r="C2450" s="9">
        <v>50016.0</v>
      </c>
      <c r="D2450" s="9">
        <v>20061.0</v>
      </c>
      <c r="E2450" s="9">
        <v>322.0</v>
      </c>
      <c r="F2450" s="14"/>
      <c r="G2450" s="15"/>
      <c r="H2450" s="15"/>
      <c r="I2450" s="14"/>
      <c r="P2450" s="14"/>
    </row>
    <row r="2451" ht="18.75" customHeight="1">
      <c r="A2451" s="7" t="s">
        <v>2792</v>
      </c>
      <c r="B2451" s="9">
        <v>80206.0</v>
      </c>
      <c r="C2451" s="9">
        <v>78754.0</v>
      </c>
      <c r="D2451" s="9">
        <v>29922.0</v>
      </c>
      <c r="E2451" s="9">
        <v>255.0</v>
      </c>
      <c r="F2451" s="14"/>
      <c r="G2451" s="15"/>
      <c r="H2451" s="15"/>
      <c r="I2451" s="14"/>
      <c r="P2451" s="14"/>
    </row>
    <row r="2452" ht="18.75" customHeight="1">
      <c r="A2452" s="7" t="s">
        <v>2792</v>
      </c>
      <c r="B2452" s="9">
        <v>72382.0</v>
      </c>
      <c r="C2452" s="9">
        <v>71105.0</v>
      </c>
      <c r="D2452" s="9">
        <v>27570.0</v>
      </c>
      <c r="E2452" s="9">
        <v>158.0</v>
      </c>
      <c r="F2452" s="14"/>
      <c r="G2452" s="15"/>
      <c r="H2452" s="15"/>
      <c r="I2452" s="14"/>
      <c r="P2452" s="14"/>
    </row>
    <row r="2453" ht="18.75" customHeight="1">
      <c r="A2453" s="7" t="s">
        <v>3292</v>
      </c>
      <c r="B2453" s="9">
        <v>51706.0</v>
      </c>
      <c r="C2453" s="9">
        <v>50782.0</v>
      </c>
      <c r="D2453" s="9">
        <v>16840.0</v>
      </c>
      <c r="E2453" s="9">
        <v>706.0</v>
      </c>
      <c r="F2453" s="14"/>
      <c r="G2453" s="15"/>
      <c r="H2453" s="15"/>
      <c r="I2453" s="14"/>
      <c r="P2453" s="14"/>
    </row>
    <row r="2454" ht="18.75" customHeight="1">
      <c r="A2454" s="7" t="s">
        <v>3241</v>
      </c>
      <c r="B2454" s="9">
        <v>51259.0</v>
      </c>
      <c r="C2454" s="9">
        <v>50297.0</v>
      </c>
      <c r="D2454" s="9">
        <v>15347.0</v>
      </c>
      <c r="E2454" s="9">
        <v>245.0</v>
      </c>
      <c r="F2454" s="14"/>
      <c r="G2454" s="15"/>
      <c r="H2454" s="15"/>
      <c r="I2454" s="14"/>
      <c r="P2454" s="14"/>
    </row>
    <row r="2455" ht="18.75" customHeight="1">
      <c r="A2455" s="7" t="s">
        <v>3438</v>
      </c>
      <c r="B2455" s="9">
        <v>60631.0</v>
      </c>
      <c r="C2455" s="9">
        <v>59533.0</v>
      </c>
      <c r="D2455" s="9">
        <v>25439.0</v>
      </c>
      <c r="E2455" s="9">
        <v>2000.0</v>
      </c>
      <c r="F2455" s="14"/>
      <c r="G2455" s="15"/>
      <c r="H2455" s="15"/>
      <c r="I2455" s="14"/>
      <c r="P2455" s="14"/>
    </row>
    <row r="2456" ht="18.75" customHeight="1">
      <c r="A2456" s="7" t="s">
        <v>3439</v>
      </c>
      <c r="B2456" s="9">
        <v>19414.0</v>
      </c>
      <c r="C2456" s="9">
        <v>19058.0</v>
      </c>
      <c r="D2456" s="9">
        <v>3528.0</v>
      </c>
      <c r="E2456" s="9">
        <v>92.0</v>
      </c>
      <c r="F2456" s="14"/>
      <c r="G2456" s="15"/>
      <c r="H2456" s="15"/>
      <c r="I2456" s="14"/>
      <c r="P2456" s="14"/>
    </row>
    <row r="2457" ht="18.75" customHeight="1">
      <c r="A2457" s="7" t="s">
        <v>3330</v>
      </c>
      <c r="B2457" s="9">
        <v>19402.0</v>
      </c>
      <c r="C2457" s="9">
        <v>19041.0</v>
      </c>
      <c r="D2457" s="9">
        <v>3276.0</v>
      </c>
      <c r="E2457" s="9">
        <v>79.0</v>
      </c>
      <c r="F2457" s="14"/>
      <c r="G2457" s="15"/>
      <c r="H2457" s="15"/>
      <c r="I2457" s="14"/>
      <c r="P2457" s="14"/>
    </row>
    <row r="2458" ht="18.75" customHeight="1">
      <c r="A2458" s="7" t="s">
        <v>3172</v>
      </c>
      <c r="B2458" s="9">
        <v>19340.0</v>
      </c>
      <c r="C2458" s="9">
        <v>18982.0</v>
      </c>
      <c r="D2458" s="9">
        <v>3528.0</v>
      </c>
      <c r="E2458" s="9">
        <v>89.0</v>
      </c>
      <c r="F2458" s="14"/>
      <c r="G2458" s="15"/>
      <c r="H2458" s="15"/>
      <c r="I2458" s="14"/>
      <c r="P2458" s="14"/>
    </row>
    <row r="2459" ht="18.75" customHeight="1">
      <c r="A2459" s="7" t="s">
        <v>2810</v>
      </c>
      <c r="B2459" s="9">
        <v>19344.0</v>
      </c>
      <c r="C2459" s="9">
        <v>18990.0</v>
      </c>
      <c r="D2459" s="9">
        <v>4418.0</v>
      </c>
      <c r="E2459" s="9">
        <v>250.0</v>
      </c>
      <c r="F2459" s="14"/>
      <c r="G2459" s="15"/>
      <c r="H2459" s="15"/>
      <c r="I2459" s="14"/>
      <c r="P2459" s="14"/>
    </row>
    <row r="2460" ht="18.75" customHeight="1">
      <c r="A2460" s="7" t="s">
        <v>3240</v>
      </c>
      <c r="B2460" s="9">
        <v>19315.0</v>
      </c>
      <c r="C2460" s="9">
        <v>18966.0</v>
      </c>
      <c r="D2460" s="9">
        <v>3906.0</v>
      </c>
      <c r="E2460" s="9">
        <v>86.0</v>
      </c>
      <c r="F2460" s="14"/>
      <c r="G2460" s="15"/>
      <c r="H2460" s="15"/>
      <c r="I2460" s="14"/>
      <c r="P2460" s="14"/>
    </row>
    <row r="2461" ht="18.75" customHeight="1">
      <c r="A2461" s="7" t="s">
        <v>3440</v>
      </c>
      <c r="B2461" s="9">
        <v>34887.0</v>
      </c>
      <c r="C2461" s="9">
        <v>34278.0</v>
      </c>
      <c r="D2461" s="9">
        <v>11866.0</v>
      </c>
      <c r="E2461" s="9">
        <v>1230.0</v>
      </c>
      <c r="F2461" s="14"/>
      <c r="G2461" s="15"/>
      <c r="H2461" s="15"/>
      <c r="I2461" s="14"/>
      <c r="P2461" s="14"/>
    </row>
    <row r="2462" ht="18.75" customHeight="1">
      <c r="A2462" s="7" t="s">
        <v>3322</v>
      </c>
      <c r="B2462" s="9">
        <v>19410.0</v>
      </c>
      <c r="C2462" s="9">
        <v>19041.0</v>
      </c>
      <c r="D2462" s="9">
        <v>3452.0</v>
      </c>
      <c r="E2462" s="9">
        <v>94.0</v>
      </c>
      <c r="F2462" s="14"/>
      <c r="G2462" s="15"/>
      <c r="H2462" s="15"/>
      <c r="I2462" s="14"/>
      <c r="P2462" s="14"/>
    </row>
    <row r="2463" ht="18.75" customHeight="1">
      <c r="A2463" s="7" t="s">
        <v>3441</v>
      </c>
      <c r="B2463" s="9">
        <v>65749.0</v>
      </c>
      <c r="C2463" s="9">
        <v>64594.0</v>
      </c>
      <c r="D2463" s="9">
        <v>16494.0</v>
      </c>
      <c r="E2463" s="9">
        <v>463.0</v>
      </c>
      <c r="F2463" s="14"/>
      <c r="G2463" s="15"/>
      <c r="H2463" s="15"/>
      <c r="I2463" s="14"/>
      <c r="P2463" s="14"/>
    </row>
    <row r="2464" ht="18.75" customHeight="1">
      <c r="A2464" s="7" t="s">
        <v>3171</v>
      </c>
      <c r="B2464" s="9">
        <v>73140.0</v>
      </c>
      <c r="C2464" s="9">
        <v>71836.0</v>
      </c>
      <c r="D2464" s="9">
        <v>18166.0</v>
      </c>
      <c r="E2464" s="9">
        <v>538.0</v>
      </c>
      <c r="F2464" s="14"/>
      <c r="G2464" s="15"/>
      <c r="H2464" s="15"/>
      <c r="I2464" s="14"/>
      <c r="P2464" s="14"/>
    </row>
    <row r="2465" ht="18.75" customHeight="1">
      <c r="A2465" s="7" t="s">
        <v>3205</v>
      </c>
      <c r="B2465" s="9">
        <v>72865.0</v>
      </c>
      <c r="C2465" s="9">
        <v>71560.0</v>
      </c>
      <c r="D2465" s="9">
        <v>16829.0</v>
      </c>
      <c r="E2465" s="9">
        <v>365.0</v>
      </c>
      <c r="F2465" s="14"/>
      <c r="G2465" s="15"/>
      <c r="H2465" s="15"/>
      <c r="I2465" s="14"/>
      <c r="P2465" s="14"/>
    </row>
    <row r="2466" ht="18.75" customHeight="1">
      <c r="A2466" s="7" t="s">
        <v>2809</v>
      </c>
      <c r="B2466" s="9">
        <v>72762.0</v>
      </c>
      <c r="C2466" s="9">
        <v>71473.0</v>
      </c>
      <c r="D2466" s="9">
        <v>17710.0</v>
      </c>
      <c r="E2466" s="9">
        <v>911.0</v>
      </c>
      <c r="F2466" s="14"/>
      <c r="G2466" s="15"/>
      <c r="H2466" s="15"/>
      <c r="I2466" s="14"/>
      <c r="P2466" s="14"/>
    </row>
    <row r="2467" ht="18.75" customHeight="1">
      <c r="A2467" s="7" t="s">
        <v>3225</v>
      </c>
      <c r="B2467" s="9">
        <v>72597.0</v>
      </c>
      <c r="C2467" s="9">
        <v>71342.0</v>
      </c>
      <c r="D2467" s="9">
        <v>16271.0</v>
      </c>
      <c r="E2467" s="9">
        <v>244.0</v>
      </c>
      <c r="F2467" s="14"/>
      <c r="G2467" s="15"/>
      <c r="H2467" s="15"/>
      <c r="I2467" s="14"/>
      <c r="P2467" s="14"/>
    </row>
    <row r="2468" ht="18.75" customHeight="1">
      <c r="A2468" s="7" t="s">
        <v>2792</v>
      </c>
      <c r="B2468" s="9">
        <v>52559.0</v>
      </c>
      <c r="C2468" s="9">
        <v>51645.0</v>
      </c>
      <c r="D2468" s="9">
        <v>19284.0</v>
      </c>
      <c r="E2468" s="9">
        <v>108.0</v>
      </c>
      <c r="F2468" s="14"/>
      <c r="G2468" s="15"/>
      <c r="H2468" s="15"/>
      <c r="I2468" s="14"/>
      <c r="P2468" s="14"/>
    </row>
    <row r="2469" ht="18.75" customHeight="1">
      <c r="A2469" s="7" t="s">
        <v>3442</v>
      </c>
      <c r="B2469" s="9">
        <v>130721.0</v>
      </c>
      <c r="C2469" s="9">
        <v>128107.0</v>
      </c>
      <c r="D2469" s="9">
        <v>45797.0</v>
      </c>
      <c r="E2469" s="9">
        <v>2510.0</v>
      </c>
      <c r="F2469" s="14"/>
      <c r="G2469" s="15"/>
      <c r="H2469" s="15"/>
      <c r="I2469" s="14"/>
      <c r="P2469" s="14"/>
    </row>
    <row r="2470" ht="18.75" customHeight="1">
      <c r="A2470" s="7" t="s">
        <v>2547</v>
      </c>
      <c r="B2470" s="9">
        <v>87251.0</v>
      </c>
      <c r="C2470" s="9">
        <v>86375.0</v>
      </c>
      <c r="D2470" s="9">
        <v>33735.0</v>
      </c>
      <c r="E2470" s="9">
        <v>1217.0</v>
      </c>
      <c r="F2470" s="14"/>
      <c r="G2470" s="15"/>
      <c r="H2470" s="15"/>
      <c r="I2470" s="14"/>
      <c r="P2470" s="14"/>
    </row>
    <row r="2471" ht="18.75" customHeight="1">
      <c r="A2471" s="7" t="s">
        <v>3249</v>
      </c>
      <c r="B2471" s="9">
        <v>72500.0</v>
      </c>
      <c r="C2471" s="9">
        <v>71229.0</v>
      </c>
      <c r="D2471" s="9">
        <v>16998.0</v>
      </c>
      <c r="E2471" s="9">
        <v>323.0</v>
      </c>
      <c r="F2471" s="14"/>
      <c r="G2471" s="15"/>
      <c r="H2471" s="15"/>
      <c r="I2471" s="14"/>
      <c r="P2471" s="14"/>
    </row>
    <row r="2472" ht="18.75" customHeight="1">
      <c r="A2472" s="7" t="s">
        <v>3249</v>
      </c>
      <c r="B2472" s="9">
        <v>157.0</v>
      </c>
      <c r="C2472" s="9">
        <v>156.0</v>
      </c>
      <c r="D2472" s="9">
        <v>109.0</v>
      </c>
      <c r="E2472" s="9">
        <v>3.0</v>
      </c>
      <c r="F2472" s="14"/>
      <c r="G2472" s="15"/>
      <c r="H2472" s="15"/>
      <c r="I2472" s="14"/>
      <c r="P2472" s="14"/>
    </row>
    <row r="2473" ht="18.75" customHeight="1">
      <c r="A2473" s="7" t="s">
        <v>3443</v>
      </c>
      <c r="B2473" s="9">
        <v>10825.0</v>
      </c>
      <c r="C2473" s="9">
        <v>10588.0</v>
      </c>
      <c r="D2473" s="9">
        <v>2423.0</v>
      </c>
      <c r="E2473" s="9">
        <v>82.0</v>
      </c>
      <c r="F2473" s="14"/>
      <c r="G2473" s="15"/>
      <c r="H2473" s="15"/>
      <c r="I2473" s="14"/>
      <c r="P2473" s="14"/>
    </row>
    <row r="2474" ht="18.75" customHeight="1">
      <c r="A2474" s="7" t="s">
        <v>2877</v>
      </c>
      <c r="B2474" s="9">
        <v>10824.0</v>
      </c>
      <c r="C2474" s="9">
        <v>10582.0</v>
      </c>
      <c r="D2474" s="9">
        <v>2213.0</v>
      </c>
      <c r="E2474" s="9">
        <v>74.0</v>
      </c>
      <c r="F2474" s="14"/>
      <c r="G2474" s="15"/>
      <c r="H2474" s="15"/>
      <c r="I2474" s="14"/>
      <c r="P2474" s="14"/>
    </row>
    <row r="2475" ht="18.75" customHeight="1">
      <c r="A2475" s="7" t="s">
        <v>3216</v>
      </c>
      <c r="B2475" s="9">
        <v>10836.0</v>
      </c>
      <c r="C2475" s="9">
        <v>10614.0</v>
      </c>
      <c r="D2475" s="9">
        <v>2347.0</v>
      </c>
      <c r="E2475" s="9">
        <v>65.0</v>
      </c>
      <c r="F2475" s="14"/>
      <c r="G2475" s="15"/>
      <c r="H2475" s="15"/>
      <c r="I2475" s="14"/>
      <c r="P2475" s="14"/>
    </row>
    <row r="2476" ht="18.75" customHeight="1">
      <c r="A2476" s="7" t="s">
        <v>3094</v>
      </c>
      <c r="B2476" s="9">
        <v>10778.0</v>
      </c>
      <c r="C2476" s="9">
        <v>10554.0</v>
      </c>
      <c r="D2476" s="9">
        <v>3011.0</v>
      </c>
      <c r="E2476" s="9">
        <v>41.0</v>
      </c>
      <c r="F2476" s="14"/>
      <c r="G2476" s="15"/>
      <c r="H2476" s="15"/>
      <c r="I2476" s="14"/>
      <c r="P2476" s="14"/>
    </row>
    <row r="2477" ht="18.75" customHeight="1">
      <c r="A2477" s="7" t="s">
        <v>3444</v>
      </c>
      <c r="B2477" s="9">
        <v>10014.0</v>
      </c>
      <c r="C2477" s="9">
        <v>9893.0</v>
      </c>
      <c r="D2477" s="9">
        <v>2420.0</v>
      </c>
      <c r="E2477" s="9">
        <v>15.0</v>
      </c>
      <c r="F2477" s="14"/>
      <c r="G2477" s="15"/>
      <c r="H2477" s="15"/>
      <c r="I2477" s="14"/>
      <c r="P2477" s="14"/>
    </row>
    <row r="2478" ht="18.75" customHeight="1">
      <c r="A2478" s="7" t="s">
        <v>2808</v>
      </c>
      <c r="B2478" s="9">
        <v>10867.0</v>
      </c>
      <c r="C2478" s="9">
        <v>10624.0</v>
      </c>
      <c r="D2478" s="9">
        <v>2459.0</v>
      </c>
      <c r="E2478" s="9">
        <v>152.0</v>
      </c>
      <c r="F2478" s="14"/>
      <c r="G2478" s="15"/>
      <c r="H2478" s="15"/>
      <c r="I2478" s="14"/>
      <c r="P2478" s="14"/>
    </row>
    <row r="2479" ht="18.75" customHeight="1">
      <c r="A2479" s="7" t="s">
        <v>2789</v>
      </c>
      <c r="B2479" s="9">
        <v>10814.0</v>
      </c>
      <c r="C2479" s="9">
        <v>10584.0</v>
      </c>
      <c r="D2479" s="9">
        <v>2366.0</v>
      </c>
      <c r="E2479" s="9">
        <v>138.0</v>
      </c>
      <c r="F2479" s="14"/>
      <c r="G2479" s="15"/>
      <c r="H2479" s="15"/>
      <c r="I2479" s="14"/>
      <c r="P2479" s="14"/>
    </row>
    <row r="2480" ht="18.75" customHeight="1">
      <c r="A2480" s="7" t="s">
        <v>3445</v>
      </c>
      <c r="B2480" s="9">
        <v>183136.0</v>
      </c>
      <c r="C2480" s="9">
        <v>180076.0</v>
      </c>
      <c r="D2480" s="9">
        <v>75510.0</v>
      </c>
      <c r="E2480" s="9">
        <v>11471.0</v>
      </c>
      <c r="F2480" s="14"/>
      <c r="G2480" s="15"/>
      <c r="H2480" s="15"/>
      <c r="I2480" s="14"/>
      <c r="P2480" s="14"/>
    </row>
    <row r="2481" ht="18.75" customHeight="1">
      <c r="A2481" s="7" t="s">
        <v>3446</v>
      </c>
      <c r="B2481" s="9">
        <v>8637.0</v>
      </c>
      <c r="C2481" s="9">
        <v>8495.0</v>
      </c>
      <c r="D2481" s="9">
        <v>1972.0</v>
      </c>
      <c r="E2481" s="9">
        <v>47.0</v>
      </c>
      <c r="F2481" s="14"/>
      <c r="G2481" s="15"/>
      <c r="H2481" s="15"/>
      <c r="I2481" s="14"/>
      <c r="P2481" s="14"/>
    </row>
    <row r="2482" ht="18.75" customHeight="1">
      <c r="A2482" s="7" t="s">
        <v>3195</v>
      </c>
      <c r="B2482" s="9">
        <v>8653.0</v>
      </c>
      <c r="C2482" s="9">
        <v>8513.0</v>
      </c>
      <c r="D2482" s="9">
        <v>2269.0</v>
      </c>
      <c r="E2482" s="9">
        <v>88.0</v>
      </c>
      <c r="F2482" s="14"/>
      <c r="G2482" s="15"/>
      <c r="H2482" s="15"/>
      <c r="I2482" s="14"/>
      <c r="P2482" s="14"/>
    </row>
    <row r="2483" ht="18.75" customHeight="1">
      <c r="A2483" s="7" t="s">
        <v>2824</v>
      </c>
      <c r="B2483" s="9">
        <v>8622.0</v>
      </c>
      <c r="C2483" s="9">
        <v>8579.0</v>
      </c>
      <c r="D2483" s="9">
        <v>2267.0</v>
      </c>
      <c r="E2483" s="9">
        <v>140.0</v>
      </c>
      <c r="F2483" s="14"/>
      <c r="G2483" s="15"/>
      <c r="H2483" s="15"/>
      <c r="I2483" s="14"/>
      <c r="P2483" s="14"/>
    </row>
    <row r="2484" ht="18.75" customHeight="1">
      <c r="A2484" s="7" t="s">
        <v>3332</v>
      </c>
      <c r="B2484" s="9">
        <v>8634.0</v>
      </c>
      <c r="C2484" s="9">
        <v>8478.0</v>
      </c>
      <c r="D2484" s="9">
        <v>2295.0</v>
      </c>
      <c r="E2484" s="9">
        <v>52.0</v>
      </c>
      <c r="F2484" s="14"/>
      <c r="G2484" s="15"/>
      <c r="H2484" s="15"/>
      <c r="I2484" s="14"/>
      <c r="P2484" s="14"/>
    </row>
    <row r="2485" ht="18.75" customHeight="1">
      <c r="A2485" s="7" t="s">
        <v>3447</v>
      </c>
      <c r="B2485" s="9">
        <v>8542.0</v>
      </c>
      <c r="C2485" s="9">
        <v>8390.0</v>
      </c>
      <c r="D2485" s="9">
        <v>2251.0</v>
      </c>
      <c r="E2485" s="9">
        <v>145.0</v>
      </c>
      <c r="F2485" s="14"/>
      <c r="G2485" s="15"/>
      <c r="H2485" s="15"/>
      <c r="I2485" s="14"/>
      <c r="P2485" s="14"/>
    </row>
    <row r="2486" ht="18.75" customHeight="1">
      <c r="A2486" s="7" t="s">
        <v>3177</v>
      </c>
      <c r="B2486" s="9">
        <v>8622.0</v>
      </c>
      <c r="C2486" s="9">
        <v>8471.0</v>
      </c>
      <c r="D2486" s="9">
        <v>2158.0</v>
      </c>
      <c r="E2486" s="9">
        <v>40.0</v>
      </c>
      <c r="F2486" s="14"/>
      <c r="G2486" s="15"/>
      <c r="H2486" s="15"/>
      <c r="I2486" s="14"/>
      <c r="P2486" s="14"/>
    </row>
    <row r="2487" ht="18.75" customHeight="1">
      <c r="A2487" s="7" t="s">
        <v>2792</v>
      </c>
      <c r="B2487" s="9">
        <v>16090.0</v>
      </c>
      <c r="C2487" s="9">
        <v>15769.0</v>
      </c>
      <c r="D2487" s="9">
        <v>4627.0</v>
      </c>
      <c r="E2487" s="9">
        <v>39.0</v>
      </c>
      <c r="F2487" s="14"/>
      <c r="G2487" s="15"/>
      <c r="H2487" s="15"/>
      <c r="I2487" s="14"/>
      <c r="P2487" s="14"/>
    </row>
    <row r="2488" ht="18.75" customHeight="1">
      <c r="A2488" s="7" t="s">
        <v>3304</v>
      </c>
      <c r="B2488" s="9">
        <v>21087.0</v>
      </c>
      <c r="C2488" s="9">
        <v>20749.0</v>
      </c>
      <c r="D2488" s="9">
        <v>5728.0</v>
      </c>
      <c r="E2488" s="9">
        <v>140.0</v>
      </c>
      <c r="F2488" s="14"/>
      <c r="G2488" s="15"/>
      <c r="H2488" s="15"/>
      <c r="I2488" s="14"/>
      <c r="P2488" s="14"/>
    </row>
    <row r="2489" ht="18.75" customHeight="1">
      <c r="A2489" s="7" t="s">
        <v>3197</v>
      </c>
      <c r="B2489" s="9">
        <v>21065.0</v>
      </c>
      <c r="C2489" s="9">
        <v>20733.0</v>
      </c>
      <c r="D2489" s="9">
        <v>5423.0</v>
      </c>
      <c r="E2489" s="9">
        <v>139.0</v>
      </c>
      <c r="F2489" s="14"/>
      <c r="G2489" s="15"/>
      <c r="H2489" s="15"/>
      <c r="I2489" s="14"/>
      <c r="P2489" s="14"/>
    </row>
    <row r="2490" ht="18.75" customHeight="1">
      <c r="A2490" s="7" t="s">
        <v>2820</v>
      </c>
      <c r="B2490" s="9">
        <v>21004.0</v>
      </c>
      <c r="C2490" s="9">
        <v>20642.0</v>
      </c>
      <c r="D2490" s="9">
        <v>5694.0</v>
      </c>
      <c r="E2490" s="9">
        <v>281.0</v>
      </c>
      <c r="F2490" s="14"/>
      <c r="G2490" s="15"/>
      <c r="H2490" s="15"/>
      <c r="I2490" s="14"/>
      <c r="P2490" s="14"/>
    </row>
    <row r="2491" ht="18.75" customHeight="1">
      <c r="A2491" s="7" t="s">
        <v>3094</v>
      </c>
      <c r="B2491" s="9">
        <v>20830.0</v>
      </c>
      <c r="C2491" s="9">
        <v>20440.0</v>
      </c>
      <c r="D2491" s="9">
        <v>7265.0</v>
      </c>
      <c r="E2491" s="9">
        <v>128.0</v>
      </c>
      <c r="F2491" s="14"/>
      <c r="G2491" s="15"/>
      <c r="H2491" s="15"/>
      <c r="I2491" s="14"/>
      <c r="P2491" s="14"/>
    </row>
    <row r="2492" ht="18.75" customHeight="1">
      <c r="A2492" s="7" t="s">
        <v>2792</v>
      </c>
      <c r="B2492" s="9">
        <v>15098.0</v>
      </c>
      <c r="C2492" s="9">
        <v>14818.0</v>
      </c>
      <c r="D2492" s="9">
        <v>4303.0</v>
      </c>
      <c r="E2492" s="9">
        <v>20.0</v>
      </c>
      <c r="F2492" s="14"/>
      <c r="G2492" s="15"/>
      <c r="H2492" s="15"/>
      <c r="I2492" s="14"/>
      <c r="P2492" s="14"/>
    </row>
    <row r="2493" ht="18.75" customHeight="1">
      <c r="A2493" s="7" t="s">
        <v>3256</v>
      </c>
      <c r="B2493" s="9">
        <v>20930.0</v>
      </c>
      <c r="C2493" s="9">
        <v>20549.0</v>
      </c>
      <c r="D2493" s="9">
        <v>5549.0</v>
      </c>
      <c r="E2493" s="9">
        <v>133.0</v>
      </c>
      <c r="F2493" s="14"/>
      <c r="G2493" s="15"/>
      <c r="H2493" s="15"/>
      <c r="I2493" s="14"/>
      <c r="P2493" s="14"/>
    </row>
    <row r="2494" ht="18.75" customHeight="1">
      <c r="A2494" s="7" t="s">
        <v>3448</v>
      </c>
      <c r="B2494" s="9">
        <v>112672.0</v>
      </c>
      <c r="C2494" s="9">
        <v>110405.0</v>
      </c>
      <c r="D2494" s="9">
        <v>24428.0</v>
      </c>
      <c r="E2494" s="9">
        <v>132.0</v>
      </c>
      <c r="F2494" s="14"/>
      <c r="G2494" s="15"/>
      <c r="H2494" s="15"/>
      <c r="I2494" s="14"/>
      <c r="P2494" s="14"/>
    </row>
    <row r="2495" ht="18.75" customHeight="1">
      <c r="A2495" s="7" t="s">
        <v>3272</v>
      </c>
      <c r="B2495" s="9">
        <v>69220.0</v>
      </c>
      <c r="C2495" s="9">
        <v>67984.0</v>
      </c>
      <c r="D2495" s="9">
        <v>14420.0</v>
      </c>
      <c r="E2495" s="9">
        <v>246.0</v>
      </c>
      <c r="F2495" s="14"/>
      <c r="G2495" s="15"/>
      <c r="H2495" s="15"/>
      <c r="I2495" s="14"/>
      <c r="P2495" s="14"/>
    </row>
    <row r="2496" ht="18.75" customHeight="1">
      <c r="A2496" s="7" t="s">
        <v>3285</v>
      </c>
      <c r="B2496" s="9">
        <v>24231.0</v>
      </c>
      <c r="C2496" s="9">
        <v>23752.0</v>
      </c>
      <c r="D2496" s="9">
        <v>5117.0</v>
      </c>
      <c r="E2496" s="9">
        <v>104.0</v>
      </c>
      <c r="F2496" s="14"/>
      <c r="G2496" s="15"/>
      <c r="H2496" s="15"/>
      <c r="I2496" s="14"/>
      <c r="P2496" s="14"/>
    </row>
    <row r="2497" ht="18.75" customHeight="1">
      <c r="A2497" s="7" t="s">
        <v>3449</v>
      </c>
      <c r="B2497" s="9">
        <v>82225.0</v>
      </c>
      <c r="C2497" s="9">
        <v>81625.0</v>
      </c>
      <c r="D2497" s="9">
        <v>45322.0</v>
      </c>
      <c r="E2497" s="9">
        <v>426.0</v>
      </c>
      <c r="F2497" s="14"/>
      <c r="G2497" s="15"/>
      <c r="H2497" s="15"/>
      <c r="I2497" s="14"/>
      <c r="P2497" s="14"/>
    </row>
    <row r="2498" ht="18.75" customHeight="1">
      <c r="A2498" s="7" t="s">
        <v>3262</v>
      </c>
      <c r="B2498" s="9">
        <v>84706.0</v>
      </c>
      <c r="C2498" s="9">
        <v>83140.0</v>
      </c>
      <c r="D2498" s="9">
        <v>23062.0</v>
      </c>
      <c r="E2498" s="9">
        <v>401.0</v>
      </c>
      <c r="F2498" s="14"/>
      <c r="G2498" s="15"/>
      <c r="H2498" s="15"/>
      <c r="I2498" s="14"/>
      <c r="P2498" s="14"/>
    </row>
    <row r="2499" ht="18.75" customHeight="1">
      <c r="A2499" s="7" t="s">
        <v>3450</v>
      </c>
      <c r="B2499" s="9">
        <v>62831.0</v>
      </c>
      <c r="C2499" s="9">
        <v>61782.0</v>
      </c>
      <c r="D2499" s="9">
        <v>24791.0</v>
      </c>
      <c r="E2499" s="9">
        <v>583.0</v>
      </c>
      <c r="F2499" s="14"/>
      <c r="G2499" s="15"/>
      <c r="H2499" s="15"/>
      <c r="I2499" s="14"/>
      <c r="P2499" s="14"/>
    </row>
    <row r="2500" ht="18.75" customHeight="1">
      <c r="A2500" s="7" t="s">
        <v>3282</v>
      </c>
      <c r="B2500" s="9">
        <v>74254.0</v>
      </c>
      <c r="C2500" s="9">
        <v>72831.0</v>
      </c>
      <c r="D2500" s="9">
        <v>16120.0</v>
      </c>
      <c r="E2500" s="9">
        <v>285.0</v>
      </c>
      <c r="F2500" s="14"/>
      <c r="G2500" s="15"/>
      <c r="H2500" s="15"/>
      <c r="I2500" s="14"/>
      <c r="P2500" s="14"/>
    </row>
    <row r="2501" ht="18.75" customHeight="1">
      <c r="A2501" s="7" t="s">
        <v>3344</v>
      </c>
      <c r="B2501" s="9">
        <v>61598.0</v>
      </c>
      <c r="C2501" s="9">
        <v>60279.0</v>
      </c>
      <c r="D2501" s="9">
        <v>11482.0</v>
      </c>
      <c r="E2501" s="9">
        <v>222.0</v>
      </c>
      <c r="F2501" s="14"/>
      <c r="G2501" s="15"/>
      <c r="H2501" s="15"/>
      <c r="I2501" s="14"/>
      <c r="P2501" s="14"/>
    </row>
    <row r="2502" ht="18.75" customHeight="1">
      <c r="A2502" s="7" t="s">
        <v>3351</v>
      </c>
      <c r="B2502" s="9">
        <v>61607.0</v>
      </c>
      <c r="C2502" s="9">
        <v>60283.0</v>
      </c>
      <c r="D2502" s="9">
        <v>9940.0</v>
      </c>
      <c r="E2502" s="9">
        <v>221.0</v>
      </c>
      <c r="F2502" s="14"/>
      <c r="G2502" s="15"/>
      <c r="H2502" s="15"/>
      <c r="I2502" s="14"/>
      <c r="P2502" s="14"/>
    </row>
    <row r="2503" ht="18.75" customHeight="1">
      <c r="A2503" s="7" t="s">
        <v>3451</v>
      </c>
      <c r="B2503" s="9">
        <v>70435.0</v>
      </c>
      <c r="C2503" s="9">
        <v>69168.0</v>
      </c>
      <c r="D2503" s="9">
        <v>23230.0</v>
      </c>
      <c r="E2503" s="9">
        <v>287.0</v>
      </c>
      <c r="F2503" s="14"/>
      <c r="G2503" s="15"/>
      <c r="H2503" s="15"/>
      <c r="I2503" s="14"/>
      <c r="P2503" s="14"/>
    </row>
    <row r="2504" ht="18.75" customHeight="1">
      <c r="A2504" s="7" t="s">
        <v>3260</v>
      </c>
      <c r="B2504" s="9">
        <v>72362.0</v>
      </c>
      <c r="C2504" s="9">
        <v>71052.0</v>
      </c>
      <c r="D2504" s="9">
        <v>15854.0</v>
      </c>
      <c r="E2504" s="9">
        <v>304.0</v>
      </c>
      <c r="F2504" s="14"/>
      <c r="G2504" s="15"/>
      <c r="H2504" s="15"/>
      <c r="I2504" s="14"/>
      <c r="P2504" s="14"/>
    </row>
    <row r="2505" ht="18.75" customHeight="1">
      <c r="A2505" s="7" t="s">
        <v>3251</v>
      </c>
      <c r="B2505" s="9">
        <v>77807.0</v>
      </c>
      <c r="C2505" s="9">
        <v>76337.0</v>
      </c>
      <c r="D2505" s="9">
        <v>16148.0</v>
      </c>
      <c r="E2505" s="9">
        <v>333.0</v>
      </c>
      <c r="F2505" s="14"/>
      <c r="G2505" s="15"/>
      <c r="H2505" s="15"/>
      <c r="I2505" s="14"/>
      <c r="P2505" s="14"/>
    </row>
    <row r="2506" ht="18.75" customHeight="1">
      <c r="A2506" s="7" t="s">
        <v>3281</v>
      </c>
      <c r="B2506" s="9">
        <v>25350.0</v>
      </c>
      <c r="C2506" s="9">
        <v>24795.0</v>
      </c>
      <c r="D2506" s="9">
        <v>4354.0</v>
      </c>
      <c r="E2506" s="9">
        <v>81.0</v>
      </c>
      <c r="F2506" s="14"/>
      <c r="G2506" s="15"/>
      <c r="H2506" s="15"/>
      <c r="I2506" s="14"/>
      <c r="P2506" s="14"/>
    </row>
    <row r="2507" ht="18.75" customHeight="1">
      <c r="A2507" s="7" t="s">
        <v>3452</v>
      </c>
      <c r="B2507" s="9">
        <v>163094.0</v>
      </c>
      <c r="C2507" s="9">
        <v>159564.0</v>
      </c>
      <c r="D2507" s="9">
        <v>44697.0</v>
      </c>
      <c r="E2507" s="9">
        <v>1584.0</v>
      </c>
      <c r="F2507" s="14"/>
      <c r="G2507" s="15"/>
      <c r="H2507" s="15"/>
      <c r="I2507" s="14"/>
      <c r="P2507" s="14"/>
    </row>
    <row r="2508" ht="18.75" customHeight="1">
      <c r="A2508" s="7" t="s">
        <v>3453</v>
      </c>
      <c r="B2508" s="9">
        <v>14716.0</v>
      </c>
      <c r="C2508" s="9">
        <v>14381.0</v>
      </c>
      <c r="D2508" s="9">
        <v>2349.0</v>
      </c>
      <c r="E2508" s="9">
        <v>98.0</v>
      </c>
      <c r="F2508" s="14"/>
      <c r="G2508" s="15"/>
      <c r="H2508" s="15"/>
      <c r="I2508" s="14"/>
      <c r="P2508" s="14"/>
    </row>
    <row r="2509" ht="18.75" customHeight="1">
      <c r="A2509" s="7" t="s">
        <v>3193</v>
      </c>
      <c r="B2509" s="9">
        <v>14712.0</v>
      </c>
      <c r="C2509" s="9">
        <v>14400.0</v>
      </c>
      <c r="D2509" s="9">
        <v>2284.0</v>
      </c>
      <c r="E2509" s="9">
        <v>93.0</v>
      </c>
      <c r="F2509" s="14"/>
      <c r="G2509" s="15"/>
      <c r="H2509" s="15"/>
      <c r="I2509" s="14"/>
      <c r="P2509" s="14"/>
    </row>
    <row r="2510" ht="18.75" customHeight="1">
      <c r="A2510" s="7" t="s">
        <v>3333</v>
      </c>
      <c r="B2510" s="9">
        <v>14733.0</v>
      </c>
      <c r="C2510" s="9">
        <v>14431.0</v>
      </c>
      <c r="D2510" s="9">
        <v>2389.0</v>
      </c>
      <c r="E2510" s="9">
        <v>91.0</v>
      </c>
      <c r="F2510" s="14"/>
      <c r="G2510" s="15"/>
      <c r="H2510" s="15"/>
      <c r="I2510" s="14"/>
      <c r="P2510" s="14"/>
    </row>
    <row r="2511" ht="18.75" customHeight="1">
      <c r="A2511" s="7" t="s">
        <v>2780</v>
      </c>
      <c r="B2511" s="9">
        <v>14711.0</v>
      </c>
      <c r="C2511" s="9">
        <v>14410.0</v>
      </c>
      <c r="D2511" s="9">
        <v>2333.0</v>
      </c>
      <c r="E2511" s="9">
        <v>171.0</v>
      </c>
      <c r="F2511" s="14"/>
      <c r="G2511" s="15"/>
      <c r="H2511" s="15"/>
      <c r="I2511" s="14"/>
      <c r="P2511" s="14"/>
    </row>
    <row r="2512" ht="18.75" customHeight="1">
      <c r="A2512" s="7" t="s">
        <v>3252</v>
      </c>
      <c r="B2512" s="9">
        <v>14754.0</v>
      </c>
      <c r="C2512" s="9">
        <v>14462.0</v>
      </c>
      <c r="D2512" s="9">
        <v>2540.0</v>
      </c>
      <c r="E2512" s="9">
        <v>106.0</v>
      </c>
      <c r="F2512" s="14"/>
      <c r="G2512" s="15"/>
      <c r="H2512" s="15"/>
      <c r="I2512" s="14"/>
      <c r="P2512" s="14"/>
    </row>
    <row r="2513" ht="18.75" customHeight="1">
      <c r="A2513" s="7" t="s">
        <v>3454</v>
      </c>
      <c r="B2513" s="9">
        <v>33644.0</v>
      </c>
      <c r="C2513" s="9">
        <v>33294.0</v>
      </c>
      <c r="D2513" s="9">
        <v>7125.0</v>
      </c>
      <c r="E2513" s="9">
        <v>245.0</v>
      </c>
      <c r="F2513" s="14"/>
      <c r="G2513" s="15"/>
      <c r="H2513" s="15"/>
      <c r="I2513" s="14"/>
      <c r="P2513" s="14"/>
    </row>
    <row r="2514" ht="18.75" customHeight="1">
      <c r="A2514" s="7" t="s">
        <v>3341</v>
      </c>
      <c r="B2514" s="9">
        <v>31873.0</v>
      </c>
      <c r="C2514" s="9">
        <v>31245.0</v>
      </c>
      <c r="D2514" s="9">
        <v>7609.0</v>
      </c>
      <c r="E2514" s="9">
        <v>165.0</v>
      </c>
      <c r="F2514" s="14"/>
      <c r="G2514" s="15"/>
      <c r="H2514" s="15"/>
      <c r="I2514" s="14"/>
      <c r="P2514" s="14"/>
    </row>
    <row r="2515" ht="18.75" customHeight="1">
      <c r="A2515" s="7" t="s">
        <v>2776</v>
      </c>
      <c r="B2515" s="9">
        <v>111813.0</v>
      </c>
      <c r="C2515" s="9">
        <v>110043.0</v>
      </c>
      <c r="D2515" s="9">
        <v>24607.0</v>
      </c>
      <c r="E2515" s="9">
        <v>109.0</v>
      </c>
      <c r="F2515" s="14"/>
      <c r="G2515" s="15"/>
      <c r="H2515" s="15"/>
      <c r="I2515" s="14"/>
      <c r="P2515" s="14"/>
    </row>
    <row r="2516" ht="18.75" customHeight="1">
      <c r="A2516" s="7" t="s">
        <v>2844</v>
      </c>
      <c r="B2516" s="9">
        <v>11043.0</v>
      </c>
      <c r="C2516" s="9">
        <v>10790.0</v>
      </c>
      <c r="D2516" s="9">
        <v>2777.0</v>
      </c>
      <c r="E2516" s="9">
        <v>43.0</v>
      </c>
      <c r="F2516" s="14"/>
      <c r="G2516" s="15"/>
      <c r="H2516" s="15"/>
      <c r="I2516" s="14"/>
      <c r="P2516" s="14"/>
    </row>
    <row r="2517" ht="18.75" customHeight="1">
      <c r="A2517" s="7" t="s">
        <v>2852</v>
      </c>
      <c r="B2517" s="9">
        <v>63280.0</v>
      </c>
      <c r="C2517" s="9">
        <v>62055.0</v>
      </c>
      <c r="D2517" s="9">
        <v>11276.0</v>
      </c>
      <c r="E2517" s="9">
        <v>57.0</v>
      </c>
      <c r="F2517" s="14"/>
      <c r="G2517" s="15"/>
      <c r="H2517" s="15"/>
      <c r="I2517" s="14"/>
      <c r="P2517" s="14"/>
    </row>
    <row r="2518" ht="18.75" customHeight="1">
      <c r="A2518" s="7" t="s">
        <v>2852</v>
      </c>
      <c r="B2518" s="9">
        <v>36548.0</v>
      </c>
      <c r="C2518" s="9">
        <v>35972.0</v>
      </c>
      <c r="D2518" s="9">
        <v>10005.0</v>
      </c>
      <c r="E2518" s="9">
        <v>36.0</v>
      </c>
      <c r="F2518" s="14"/>
      <c r="G2518" s="15"/>
      <c r="H2518" s="15"/>
      <c r="I2518" s="14"/>
      <c r="P2518" s="14"/>
    </row>
    <row r="2519" ht="18.75" customHeight="1">
      <c r="A2519" s="7" t="s">
        <v>2852</v>
      </c>
      <c r="B2519" s="9">
        <v>14254.0</v>
      </c>
      <c r="C2519" s="9">
        <v>13570.0</v>
      </c>
      <c r="D2519" s="9">
        <v>241.0</v>
      </c>
      <c r="E2519" s="9">
        <v>1.0</v>
      </c>
      <c r="F2519" s="14"/>
      <c r="G2519" s="15"/>
      <c r="H2519" s="15"/>
      <c r="I2519" s="14"/>
      <c r="P2519" s="14"/>
    </row>
    <row r="2520" ht="18.75" customHeight="1">
      <c r="A2520" s="7" t="s">
        <v>3455</v>
      </c>
      <c r="B2520" s="9">
        <v>120563.0</v>
      </c>
      <c r="C2520" s="9">
        <v>118899.0</v>
      </c>
      <c r="D2520" s="9">
        <v>36606.0</v>
      </c>
      <c r="E2520" s="9">
        <v>113.0</v>
      </c>
      <c r="F2520" s="14"/>
      <c r="G2520" s="15"/>
      <c r="H2520" s="15"/>
      <c r="I2520" s="14"/>
      <c r="P2520" s="14"/>
    </row>
    <row r="2521" ht="18.75" customHeight="1">
      <c r="A2521" s="7" t="s">
        <v>2776</v>
      </c>
      <c r="B2521" s="9">
        <v>146146.0</v>
      </c>
      <c r="C2521" s="9">
        <v>144907.0</v>
      </c>
      <c r="D2521" s="9">
        <v>71946.0</v>
      </c>
      <c r="E2521" s="9">
        <v>1704.0</v>
      </c>
      <c r="F2521" s="14"/>
      <c r="G2521" s="15"/>
      <c r="H2521" s="15"/>
      <c r="I2521" s="14"/>
      <c r="P2521" s="14"/>
    </row>
    <row r="2522" ht="18.75" customHeight="1">
      <c r="A2522" s="7" t="s">
        <v>3315</v>
      </c>
      <c r="B2522" s="9">
        <v>53356.0</v>
      </c>
      <c r="C2522" s="9">
        <v>52403.0</v>
      </c>
      <c r="D2522" s="9">
        <v>9491.0</v>
      </c>
      <c r="E2522" s="9">
        <v>232.0</v>
      </c>
      <c r="F2522" s="14"/>
      <c r="G2522" s="15"/>
      <c r="H2522" s="15"/>
      <c r="I2522" s="14"/>
      <c r="P2522" s="14"/>
    </row>
    <row r="2523" ht="18.75" customHeight="1">
      <c r="A2523" s="7" t="s">
        <v>3309</v>
      </c>
      <c r="B2523" s="9">
        <v>54936.0</v>
      </c>
      <c r="C2523" s="9">
        <v>53800.0</v>
      </c>
      <c r="D2523" s="9">
        <v>10466.0</v>
      </c>
      <c r="E2523" s="9">
        <v>334.0</v>
      </c>
      <c r="F2523" s="14"/>
      <c r="G2523" s="15"/>
      <c r="H2523" s="15"/>
      <c r="I2523" s="14"/>
      <c r="P2523" s="14"/>
    </row>
    <row r="2524" ht="18.75" customHeight="1">
      <c r="A2524" s="7" t="s">
        <v>2787</v>
      </c>
      <c r="B2524" s="9">
        <v>53408.0</v>
      </c>
      <c r="C2524" s="9">
        <v>52345.0</v>
      </c>
      <c r="D2524" s="9">
        <v>12986.0</v>
      </c>
      <c r="E2524" s="9">
        <v>730.0</v>
      </c>
      <c r="F2524" s="14"/>
      <c r="G2524" s="15"/>
      <c r="H2524" s="15"/>
      <c r="I2524" s="14"/>
      <c r="P2524" s="14"/>
    </row>
    <row r="2525" ht="18.75" customHeight="1">
      <c r="A2525" s="7" t="s">
        <v>3258</v>
      </c>
      <c r="B2525" s="9">
        <v>53342.0</v>
      </c>
      <c r="C2525" s="9">
        <v>52261.0</v>
      </c>
      <c r="D2525" s="9">
        <v>9473.0</v>
      </c>
      <c r="E2525" s="9">
        <v>195.0</v>
      </c>
      <c r="F2525" s="14"/>
      <c r="G2525" s="15"/>
      <c r="H2525" s="15"/>
      <c r="I2525" s="14"/>
      <c r="P2525" s="14"/>
    </row>
    <row r="2526" ht="18.75" customHeight="1">
      <c r="A2526" s="7" t="s">
        <v>3456</v>
      </c>
      <c r="B2526" s="9">
        <v>13472.0</v>
      </c>
      <c r="C2526" s="9">
        <v>13218.0</v>
      </c>
      <c r="D2526" s="9">
        <v>2033.0</v>
      </c>
      <c r="E2526" s="9">
        <v>82.0</v>
      </c>
      <c r="F2526" s="14"/>
      <c r="G2526" s="15"/>
      <c r="H2526" s="15"/>
      <c r="I2526" s="14"/>
      <c r="P2526" s="14"/>
    </row>
    <row r="2527" ht="18.75" customHeight="1">
      <c r="A2527" s="7" t="s">
        <v>2761</v>
      </c>
      <c r="B2527" s="9">
        <v>13461.0</v>
      </c>
      <c r="C2527" s="9">
        <v>13213.0</v>
      </c>
      <c r="D2527" s="9">
        <v>2812.0</v>
      </c>
      <c r="E2527" s="9">
        <v>218.0</v>
      </c>
      <c r="F2527" s="14"/>
      <c r="G2527" s="15"/>
      <c r="H2527" s="15"/>
      <c r="I2527" s="14"/>
      <c r="P2527" s="14"/>
    </row>
    <row r="2528" ht="18.75" customHeight="1">
      <c r="A2528" s="7" t="s">
        <v>3457</v>
      </c>
      <c r="B2528" s="9">
        <v>13493.0</v>
      </c>
      <c r="C2528" s="9">
        <v>13237.0</v>
      </c>
      <c r="D2528" s="9">
        <v>2439.0</v>
      </c>
      <c r="E2528" s="9">
        <v>88.0</v>
      </c>
      <c r="F2528" s="14"/>
      <c r="G2528" s="15"/>
      <c r="H2528" s="15"/>
      <c r="I2528" s="14"/>
      <c r="P2528" s="14"/>
    </row>
    <row r="2529" ht="18.75" customHeight="1">
      <c r="A2529" s="7" t="s">
        <v>3273</v>
      </c>
      <c r="B2529" s="9">
        <v>13479.0</v>
      </c>
      <c r="C2529" s="9">
        <v>13212.0</v>
      </c>
      <c r="D2529" s="9">
        <v>2538.0</v>
      </c>
      <c r="E2529" s="9">
        <v>68.0</v>
      </c>
      <c r="F2529" s="14"/>
      <c r="G2529" s="15"/>
      <c r="H2529" s="15"/>
      <c r="I2529" s="14"/>
      <c r="P2529" s="14"/>
    </row>
    <row r="2530" ht="18.75" customHeight="1">
      <c r="A2530" s="7" t="s">
        <v>3126</v>
      </c>
      <c r="B2530" s="9">
        <v>62159.0</v>
      </c>
      <c r="C2530" s="9">
        <v>61023.0</v>
      </c>
      <c r="D2530" s="9">
        <v>20903.0</v>
      </c>
      <c r="E2530" s="9">
        <v>1554.0</v>
      </c>
      <c r="F2530" s="14"/>
      <c r="G2530" s="15"/>
      <c r="H2530" s="15"/>
      <c r="I2530" s="14"/>
      <c r="P2530" s="14"/>
    </row>
    <row r="2531" ht="18.75" customHeight="1">
      <c r="A2531" s="7" t="s">
        <v>2815</v>
      </c>
      <c r="B2531" s="9">
        <v>17082.0</v>
      </c>
      <c r="C2531" s="9">
        <v>16642.0</v>
      </c>
      <c r="D2531" s="9">
        <v>3838.0</v>
      </c>
      <c r="E2531" s="9">
        <v>308.0</v>
      </c>
      <c r="F2531" s="14"/>
      <c r="G2531" s="15"/>
      <c r="H2531" s="15"/>
      <c r="I2531" s="14"/>
      <c r="P2531" s="14"/>
    </row>
    <row r="2532" ht="18.75" customHeight="1">
      <c r="A2532" s="7" t="s">
        <v>2812</v>
      </c>
      <c r="B2532" s="9">
        <v>17148.0</v>
      </c>
      <c r="C2532" s="9">
        <v>16705.0</v>
      </c>
      <c r="D2532" s="9">
        <v>4003.0</v>
      </c>
      <c r="E2532" s="9">
        <v>277.0</v>
      </c>
      <c r="F2532" s="14"/>
      <c r="G2532" s="15"/>
      <c r="H2532" s="15"/>
      <c r="I2532" s="14"/>
      <c r="P2532" s="14"/>
    </row>
    <row r="2533" ht="18.75" customHeight="1">
      <c r="A2533" s="7" t="s">
        <v>3324</v>
      </c>
      <c r="B2533" s="9">
        <v>17116.0</v>
      </c>
      <c r="C2533" s="9">
        <v>16694.0</v>
      </c>
      <c r="D2533" s="9">
        <v>2824.0</v>
      </c>
      <c r="E2533" s="9">
        <v>102.0</v>
      </c>
      <c r="F2533" s="14"/>
      <c r="G2533" s="15"/>
      <c r="H2533" s="15"/>
      <c r="I2533" s="14"/>
      <c r="P2533" s="14"/>
    </row>
    <row r="2534" ht="18.75" customHeight="1">
      <c r="A2534" s="7" t="s">
        <v>2792</v>
      </c>
      <c r="B2534" s="9">
        <v>109573.0</v>
      </c>
      <c r="C2534" s="9">
        <v>108099.0</v>
      </c>
      <c r="D2534" s="9">
        <v>36432.0</v>
      </c>
      <c r="E2534" s="9">
        <v>218.0</v>
      </c>
      <c r="F2534" s="14"/>
      <c r="G2534" s="15"/>
      <c r="H2534" s="15"/>
      <c r="I2534" s="14"/>
      <c r="P2534" s="14"/>
    </row>
    <row r="2535" ht="18.75" customHeight="1">
      <c r="A2535" s="7" t="s">
        <v>3458</v>
      </c>
      <c r="B2535" s="9">
        <v>21789.0</v>
      </c>
      <c r="C2535" s="9">
        <v>21415.0</v>
      </c>
      <c r="D2535" s="9">
        <v>6003.0</v>
      </c>
      <c r="E2535" s="9">
        <v>212.0</v>
      </c>
      <c r="F2535" s="14"/>
      <c r="G2535" s="15"/>
      <c r="H2535" s="15"/>
      <c r="I2535" s="14"/>
      <c r="P2535" s="14"/>
    </row>
    <row r="2536" ht="18.75" customHeight="1">
      <c r="A2536" s="7" t="s">
        <v>3459</v>
      </c>
      <c r="B2536" s="9">
        <v>68960.0</v>
      </c>
      <c r="C2536" s="9">
        <v>67871.0</v>
      </c>
      <c r="D2536" s="9">
        <v>15722.0</v>
      </c>
      <c r="E2536" s="9">
        <v>219.0</v>
      </c>
      <c r="F2536" s="14"/>
      <c r="G2536" s="15"/>
      <c r="H2536" s="15"/>
      <c r="I2536" s="14"/>
      <c r="P2536" s="14"/>
    </row>
    <row r="2537" ht="18.75" customHeight="1">
      <c r="A2537" s="7" t="s">
        <v>2879</v>
      </c>
      <c r="B2537" s="9">
        <v>62151.0</v>
      </c>
      <c r="C2537" s="9">
        <v>61094.0</v>
      </c>
      <c r="D2537" s="9">
        <v>17411.0</v>
      </c>
      <c r="E2537" s="9">
        <v>296.0</v>
      </c>
      <c r="F2537" s="14"/>
      <c r="G2537" s="15"/>
      <c r="H2537" s="15"/>
      <c r="I2537" s="14"/>
      <c r="P2537" s="14"/>
    </row>
    <row r="2538" ht="18.75" customHeight="1">
      <c r="A2538" s="7" t="s">
        <v>3460</v>
      </c>
      <c r="B2538" s="9">
        <v>69497.0</v>
      </c>
      <c r="C2538" s="9">
        <v>68782.0</v>
      </c>
      <c r="D2538" s="9">
        <v>12009.0</v>
      </c>
      <c r="E2538" s="9">
        <v>316.0</v>
      </c>
      <c r="F2538" s="14"/>
      <c r="G2538" s="15"/>
      <c r="H2538" s="15"/>
      <c r="I2538" s="14"/>
      <c r="P2538" s="14"/>
    </row>
    <row r="2539" ht="18.75" customHeight="1">
      <c r="A2539" s="7" t="s">
        <v>3461</v>
      </c>
      <c r="B2539" s="9">
        <v>12412.0</v>
      </c>
      <c r="C2539" s="9">
        <v>12152.0</v>
      </c>
      <c r="D2539" s="9">
        <v>2095.0</v>
      </c>
      <c r="E2539" s="9">
        <v>59.0</v>
      </c>
      <c r="F2539" s="14"/>
      <c r="G2539" s="15"/>
      <c r="H2539" s="15"/>
      <c r="I2539" s="14"/>
      <c r="P2539" s="14"/>
    </row>
    <row r="2540" ht="18.75" customHeight="1">
      <c r="A2540" s="7" t="s">
        <v>3253</v>
      </c>
      <c r="B2540" s="9">
        <v>81927.0</v>
      </c>
      <c r="C2540" s="9">
        <v>80399.0</v>
      </c>
      <c r="D2540" s="9">
        <v>20835.0</v>
      </c>
      <c r="E2540" s="9">
        <v>588.0</v>
      </c>
      <c r="F2540" s="14"/>
      <c r="G2540" s="15"/>
      <c r="H2540" s="15"/>
      <c r="I2540" s="14"/>
      <c r="P2540" s="14"/>
    </row>
    <row r="2541" ht="18.75" customHeight="1">
      <c r="A2541" s="7" t="s">
        <v>3462</v>
      </c>
      <c r="B2541" s="9">
        <v>52450.0</v>
      </c>
      <c r="C2541" s="9">
        <v>51471.0</v>
      </c>
      <c r="D2541" s="9">
        <v>13507.0</v>
      </c>
      <c r="E2541" s="9">
        <v>841.0</v>
      </c>
      <c r="F2541" s="14"/>
      <c r="G2541" s="15"/>
      <c r="H2541" s="15"/>
      <c r="I2541" s="14"/>
      <c r="P2541" s="14"/>
    </row>
    <row r="2542" ht="18.75" customHeight="1">
      <c r="A2542" s="7" t="s">
        <v>3463</v>
      </c>
      <c r="B2542" s="9">
        <v>76653.0</v>
      </c>
      <c r="C2542" s="9">
        <v>75963.0</v>
      </c>
      <c r="D2542" s="9">
        <v>44593.0</v>
      </c>
      <c r="E2542" s="9">
        <v>478.0</v>
      </c>
      <c r="F2542" s="14"/>
      <c r="G2542" s="15"/>
      <c r="H2542" s="15"/>
      <c r="I2542" s="14"/>
      <c r="P2542" s="14"/>
    </row>
    <row r="2543" ht="18.75" customHeight="1">
      <c r="A2543" s="7" t="s">
        <v>3464</v>
      </c>
      <c r="B2543" s="9">
        <v>82214.0</v>
      </c>
      <c r="C2543" s="9">
        <v>81423.0</v>
      </c>
      <c r="D2543" s="9">
        <v>17911.0</v>
      </c>
      <c r="E2543" s="9">
        <v>228.0</v>
      </c>
      <c r="F2543" s="14"/>
      <c r="G2543" s="15"/>
      <c r="H2543" s="15"/>
      <c r="I2543" s="14"/>
      <c r="P2543" s="14"/>
    </row>
    <row r="2544" ht="18.75" customHeight="1">
      <c r="A2544" s="7" t="s">
        <v>3465</v>
      </c>
      <c r="B2544" s="9">
        <v>95542.0</v>
      </c>
      <c r="C2544" s="9">
        <v>94080.0</v>
      </c>
      <c r="D2544" s="9">
        <v>28849.0</v>
      </c>
      <c r="E2544" s="9">
        <v>673.0</v>
      </c>
      <c r="F2544" s="14"/>
      <c r="G2544" s="15"/>
      <c r="H2544" s="15"/>
      <c r="I2544" s="14"/>
      <c r="P2544" s="14"/>
    </row>
    <row r="2545" ht="18.75" customHeight="1">
      <c r="A2545" s="7" t="s">
        <v>2797</v>
      </c>
      <c r="B2545" s="9">
        <v>95374.0</v>
      </c>
      <c r="C2545" s="9">
        <v>93918.0</v>
      </c>
      <c r="D2545" s="9">
        <v>32828.0</v>
      </c>
      <c r="E2545" s="9">
        <v>89.0</v>
      </c>
      <c r="F2545" s="14"/>
      <c r="G2545" s="15"/>
      <c r="H2545" s="15"/>
      <c r="I2545" s="14"/>
      <c r="P2545" s="14"/>
    </row>
    <row r="2546" ht="18.75" customHeight="1">
      <c r="A2546" s="7" t="s">
        <v>3270</v>
      </c>
      <c r="B2546" s="9">
        <v>84567.0</v>
      </c>
      <c r="C2546" s="9">
        <v>82985.0</v>
      </c>
      <c r="D2546" s="9">
        <v>25346.0</v>
      </c>
      <c r="E2546" s="9">
        <v>351.0</v>
      </c>
      <c r="F2546" s="14"/>
      <c r="G2546" s="15"/>
      <c r="H2546" s="15"/>
      <c r="I2546" s="14"/>
      <c r="P2546" s="14"/>
    </row>
    <row r="2547" ht="18.75" customHeight="1">
      <c r="A2547" s="7" t="s">
        <v>3466</v>
      </c>
      <c r="B2547" s="9">
        <v>55406.0</v>
      </c>
      <c r="C2547" s="9">
        <v>54361.0</v>
      </c>
      <c r="D2547" s="9">
        <v>14326.0</v>
      </c>
      <c r="E2547" s="9">
        <v>254.0</v>
      </c>
      <c r="F2547" s="14"/>
      <c r="G2547" s="15"/>
      <c r="H2547" s="15"/>
      <c r="I2547" s="14"/>
      <c r="P2547" s="14"/>
    </row>
    <row r="2548" ht="18.75" customHeight="1">
      <c r="A2548" s="7" t="s">
        <v>3467</v>
      </c>
      <c r="B2548" s="9">
        <v>51398.0</v>
      </c>
      <c r="C2548" s="9">
        <v>50497.0</v>
      </c>
      <c r="D2548" s="9">
        <v>19521.0</v>
      </c>
      <c r="E2548" s="9">
        <v>451.0</v>
      </c>
      <c r="F2548" s="14"/>
      <c r="G2548" s="15"/>
      <c r="H2548" s="15"/>
      <c r="I2548" s="14"/>
      <c r="P2548" s="14"/>
    </row>
    <row r="2549" ht="18.75" customHeight="1">
      <c r="A2549" s="7" t="s">
        <v>3468</v>
      </c>
      <c r="B2549" s="9">
        <v>55666.0</v>
      </c>
      <c r="C2549" s="9">
        <v>54641.0</v>
      </c>
      <c r="D2549" s="9">
        <v>21043.0</v>
      </c>
      <c r="E2549" s="9">
        <v>188.0</v>
      </c>
      <c r="F2549" s="14"/>
      <c r="G2549" s="15"/>
      <c r="H2549" s="15"/>
      <c r="I2549" s="14"/>
      <c r="P2549" s="14"/>
    </row>
    <row r="2550" ht="18.75" customHeight="1">
      <c r="A2550" s="7" t="s">
        <v>3257</v>
      </c>
      <c r="B2550" s="9">
        <v>55559.0</v>
      </c>
      <c r="C2550" s="9">
        <v>54504.0</v>
      </c>
      <c r="D2550" s="9">
        <v>15741.0</v>
      </c>
      <c r="E2550" s="9">
        <v>171.0</v>
      </c>
      <c r="F2550" s="14"/>
      <c r="G2550" s="15"/>
      <c r="H2550" s="15"/>
      <c r="I2550" s="14"/>
      <c r="P2550" s="14"/>
    </row>
    <row r="2551" ht="18.75" customHeight="1">
      <c r="A2551" s="7" t="s">
        <v>3255</v>
      </c>
      <c r="B2551" s="9">
        <v>12226.0</v>
      </c>
      <c r="C2551" s="9">
        <v>11950.0</v>
      </c>
      <c r="D2551" s="9">
        <v>1727.0</v>
      </c>
      <c r="E2551" s="9">
        <v>57.0</v>
      </c>
      <c r="F2551" s="14"/>
      <c r="G2551" s="15"/>
      <c r="H2551" s="15"/>
      <c r="I2551" s="14"/>
      <c r="P2551" s="14"/>
    </row>
    <row r="2552" ht="18.75" customHeight="1">
      <c r="A2552" s="7" t="s">
        <v>2792</v>
      </c>
      <c r="B2552" s="9">
        <v>107403.0</v>
      </c>
      <c r="C2552" s="9">
        <v>105803.0</v>
      </c>
      <c r="D2552" s="9">
        <v>32024.0</v>
      </c>
      <c r="E2552" s="9">
        <v>196.0</v>
      </c>
      <c r="F2552" s="14"/>
      <c r="G2552" s="15"/>
      <c r="H2552" s="15"/>
      <c r="I2552" s="14"/>
      <c r="P2552" s="14"/>
    </row>
    <row r="2553" ht="18.75" customHeight="1">
      <c r="A2553" s="7" t="s">
        <v>2955</v>
      </c>
      <c r="B2553" s="9">
        <v>57295.0</v>
      </c>
      <c r="C2553" s="9">
        <v>56515.0</v>
      </c>
      <c r="D2553" s="9">
        <v>15236.0</v>
      </c>
      <c r="E2553" s="9">
        <v>259.0</v>
      </c>
      <c r="F2553" s="14"/>
      <c r="G2553" s="15"/>
      <c r="H2553" s="15"/>
      <c r="I2553" s="14"/>
      <c r="P2553" s="14"/>
    </row>
    <row r="2554" ht="18.75" customHeight="1">
      <c r="A2554" s="7" t="s">
        <v>3469</v>
      </c>
      <c r="B2554" s="9">
        <v>61941.0</v>
      </c>
      <c r="C2554" s="9">
        <v>60686.0</v>
      </c>
      <c r="D2554" s="9">
        <v>13451.0</v>
      </c>
      <c r="E2554" s="9">
        <v>313.0</v>
      </c>
      <c r="F2554" s="14"/>
      <c r="G2554" s="15"/>
      <c r="H2554" s="15"/>
      <c r="I2554" s="14"/>
      <c r="P2554" s="14"/>
    </row>
    <row r="2555" ht="18.75" customHeight="1">
      <c r="A2555" s="7" t="s">
        <v>3280</v>
      </c>
      <c r="B2555" s="9">
        <v>61641.0</v>
      </c>
      <c r="C2555" s="9">
        <v>60334.0</v>
      </c>
      <c r="D2555" s="9">
        <v>10302.0</v>
      </c>
      <c r="E2555" s="9">
        <v>203.0</v>
      </c>
      <c r="F2555" s="14"/>
      <c r="G2555" s="15"/>
      <c r="H2555" s="15"/>
      <c r="I2555" s="14"/>
      <c r="P2555" s="14"/>
    </row>
    <row r="2556" ht="18.75" customHeight="1">
      <c r="A2556" s="7" t="s">
        <v>2792</v>
      </c>
      <c r="B2556" s="9">
        <v>103103.0</v>
      </c>
      <c r="C2556" s="9">
        <v>101270.0</v>
      </c>
      <c r="D2556" s="9">
        <v>29869.0</v>
      </c>
      <c r="E2556" s="9">
        <v>183.0</v>
      </c>
      <c r="F2556" s="14"/>
      <c r="G2556" s="15"/>
      <c r="H2556" s="15"/>
      <c r="I2556" s="14"/>
      <c r="P2556" s="14"/>
    </row>
    <row r="2557" ht="18.75" customHeight="1">
      <c r="A2557" s="7" t="s">
        <v>3261</v>
      </c>
      <c r="B2557" s="9">
        <v>67367.0</v>
      </c>
      <c r="C2557" s="9">
        <v>66185.0</v>
      </c>
      <c r="D2557" s="9">
        <v>13137.0</v>
      </c>
      <c r="E2557" s="9">
        <v>277.0</v>
      </c>
      <c r="F2557" s="14"/>
      <c r="G2557" s="15"/>
      <c r="H2557" s="15"/>
      <c r="I2557" s="14"/>
      <c r="P2557" s="14"/>
    </row>
    <row r="2558" ht="18.75" customHeight="1">
      <c r="A2558" s="7" t="s">
        <v>3268</v>
      </c>
      <c r="B2558" s="9">
        <v>67362.0</v>
      </c>
      <c r="C2558" s="9">
        <v>66186.0</v>
      </c>
      <c r="D2558" s="9">
        <v>12897.0</v>
      </c>
      <c r="E2558" s="9">
        <v>189.0</v>
      </c>
      <c r="F2558" s="14"/>
      <c r="G2558" s="15"/>
      <c r="H2558" s="15"/>
      <c r="I2558" s="14"/>
      <c r="P2558" s="14"/>
    </row>
    <row r="2559" ht="18.75" customHeight="1">
      <c r="A2559" s="7" t="s">
        <v>2792</v>
      </c>
      <c r="B2559" s="9">
        <v>116018.0</v>
      </c>
      <c r="C2559" s="9">
        <v>114250.0</v>
      </c>
      <c r="D2559" s="9">
        <v>34394.0</v>
      </c>
      <c r="E2559" s="9">
        <v>184.0</v>
      </c>
      <c r="F2559" s="14"/>
      <c r="G2559" s="15"/>
      <c r="H2559" s="15"/>
      <c r="I2559" s="14"/>
      <c r="P2559" s="14"/>
    </row>
    <row r="2560" ht="18.75" customHeight="1">
      <c r="A2560" s="7" t="s">
        <v>2956</v>
      </c>
      <c r="B2560" s="9">
        <v>62453.0</v>
      </c>
      <c r="C2560" s="9">
        <v>61758.0</v>
      </c>
      <c r="D2560" s="9">
        <v>18972.0</v>
      </c>
      <c r="E2560" s="9">
        <v>332.0</v>
      </c>
      <c r="F2560" s="14"/>
      <c r="G2560" s="15"/>
      <c r="H2560" s="15"/>
      <c r="I2560" s="14"/>
      <c r="P2560" s="14"/>
    </row>
    <row r="2561" ht="18.75" customHeight="1">
      <c r="A2561" s="7" t="s">
        <v>3390</v>
      </c>
      <c r="B2561" s="9">
        <v>67860.0</v>
      </c>
      <c r="C2561" s="9">
        <v>66711.0</v>
      </c>
      <c r="D2561" s="9">
        <v>13171.0</v>
      </c>
      <c r="E2561" s="9">
        <v>283.0</v>
      </c>
      <c r="F2561" s="14"/>
      <c r="G2561" s="15"/>
      <c r="H2561" s="15"/>
      <c r="I2561" s="14"/>
      <c r="P2561" s="14"/>
    </row>
    <row r="2562" ht="18.75" customHeight="1">
      <c r="A2562" s="7" t="s">
        <v>3254</v>
      </c>
      <c r="B2562" s="9">
        <v>24924.0</v>
      </c>
      <c r="C2562" s="9">
        <v>24432.0</v>
      </c>
      <c r="D2562" s="9">
        <v>5172.0</v>
      </c>
      <c r="E2562" s="9">
        <v>96.0</v>
      </c>
      <c r="F2562" s="14"/>
      <c r="G2562" s="15"/>
      <c r="H2562" s="15"/>
      <c r="I2562" s="14"/>
      <c r="P2562" s="14"/>
    </row>
    <row r="2563" ht="18.75" customHeight="1">
      <c r="A2563" s="7" t="s">
        <v>3470</v>
      </c>
      <c r="B2563" s="9">
        <v>70428.0</v>
      </c>
      <c r="C2563" s="9">
        <v>69105.0</v>
      </c>
      <c r="D2563" s="9">
        <v>18258.0</v>
      </c>
      <c r="E2563" s="9">
        <v>234.0</v>
      </c>
      <c r="F2563" s="14"/>
      <c r="G2563" s="15"/>
      <c r="H2563" s="15"/>
      <c r="I2563" s="14"/>
      <c r="P2563" s="14"/>
    </row>
    <row r="2564" ht="18.75" customHeight="1">
      <c r="A2564" s="7" t="s">
        <v>3267</v>
      </c>
      <c r="B2564" s="9">
        <v>77721.0</v>
      </c>
      <c r="C2564" s="9">
        <v>76221.0</v>
      </c>
      <c r="D2564" s="9">
        <v>11565.0</v>
      </c>
      <c r="E2564" s="9">
        <v>232.0</v>
      </c>
      <c r="F2564" s="14"/>
      <c r="G2564" s="15"/>
      <c r="H2564" s="15"/>
      <c r="I2564" s="14"/>
      <c r="P2564" s="14"/>
    </row>
    <row r="2565" ht="18.75" customHeight="1">
      <c r="A2565" s="7" t="s">
        <v>3269</v>
      </c>
      <c r="B2565" s="9">
        <v>77655.0</v>
      </c>
      <c r="C2565" s="9">
        <v>76152.0</v>
      </c>
      <c r="D2565" s="9">
        <v>14968.0</v>
      </c>
      <c r="E2565" s="9">
        <v>252.0</v>
      </c>
      <c r="F2565" s="14"/>
      <c r="G2565" s="15"/>
      <c r="H2565" s="15"/>
      <c r="I2565" s="14"/>
      <c r="P2565" s="14"/>
    </row>
    <row r="2566" ht="18.75" customHeight="1">
      <c r="A2566" s="7" t="s">
        <v>2792</v>
      </c>
      <c r="B2566" s="9">
        <v>114200.0</v>
      </c>
      <c r="C2566" s="9">
        <v>112022.0</v>
      </c>
      <c r="D2566" s="9">
        <v>29393.0</v>
      </c>
      <c r="E2566" s="9">
        <v>193.0</v>
      </c>
      <c r="F2566" s="14"/>
      <c r="G2566" s="15"/>
      <c r="H2566" s="15"/>
      <c r="I2566" s="14"/>
      <c r="P2566" s="14"/>
    </row>
    <row r="2567" ht="18.75" customHeight="1">
      <c r="A2567" s="7" t="s">
        <v>3471</v>
      </c>
      <c r="B2567" s="9">
        <v>77612.0</v>
      </c>
      <c r="C2567" s="9">
        <v>76144.0</v>
      </c>
      <c r="D2567" s="9">
        <v>16284.0</v>
      </c>
      <c r="E2567" s="9">
        <v>324.0</v>
      </c>
      <c r="F2567" s="14"/>
      <c r="G2567" s="15"/>
      <c r="H2567" s="15"/>
      <c r="I2567" s="14"/>
      <c r="P2567" s="14"/>
    </row>
    <row r="2568" ht="18.75" customHeight="1">
      <c r="A2568" s="7" t="s">
        <v>3472</v>
      </c>
      <c r="B2568" s="9">
        <v>60204.0</v>
      </c>
      <c r="C2568" s="9">
        <v>58758.0</v>
      </c>
      <c r="D2568" s="9">
        <v>7239.0</v>
      </c>
      <c r="E2568" s="9">
        <v>123.0</v>
      </c>
      <c r="F2568" s="14"/>
      <c r="G2568" s="15"/>
      <c r="H2568" s="15"/>
      <c r="I2568" s="14"/>
      <c r="P2568" s="14"/>
    </row>
    <row r="2569" ht="18.75" customHeight="1">
      <c r="A2569" s="7" t="s">
        <v>3473</v>
      </c>
      <c r="B2569" s="9">
        <v>66034.0</v>
      </c>
      <c r="C2569" s="9">
        <v>64649.0</v>
      </c>
      <c r="D2569" s="9">
        <v>11711.0</v>
      </c>
      <c r="E2569" s="9">
        <v>203.0</v>
      </c>
      <c r="F2569" s="14"/>
      <c r="G2569" s="15"/>
      <c r="H2569" s="15"/>
      <c r="I2569" s="14"/>
      <c r="P2569" s="14"/>
    </row>
    <row r="2570" ht="18.75" customHeight="1">
      <c r="A2570" s="7" t="s">
        <v>2792</v>
      </c>
      <c r="B2570" s="9">
        <v>52997.0</v>
      </c>
      <c r="C2570" s="9">
        <v>51931.0</v>
      </c>
      <c r="D2570" s="9">
        <v>12468.0</v>
      </c>
      <c r="E2570" s="9">
        <v>73.0</v>
      </c>
      <c r="F2570" s="14"/>
      <c r="G2570" s="15"/>
      <c r="H2570" s="15"/>
      <c r="I2570" s="14"/>
      <c r="P2570" s="14"/>
    </row>
    <row r="2571" ht="18.75" customHeight="1">
      <c r="A2571" s="7" t="s">
        <v>3474</v>
      </c>
      <c r="B2571" s="9">
        <v>66173.0</v>
      </c>
      <c r="C2571" s="9">
        <v>65022.0</v>
      </c>
      <c r="D2571" s="9">
        <v>9995.0</v>
      </c>
      <c r="E2571" s="9">
        <v>131.0</v>
      </c>
      <c r="F2571" s="14"/>
      <c r="G2571" s="15"/>
      <c r="H2571" s="15"/>
      <c r="I2571" s="14"/>
      <c r="P2571" s="14"/>
    </row>
    <row r="2572" ht="18.75" customHeight="1">
      <c r="A2572" s="7" t="s">
        <v>3094</v>
      </c>
      <c r="B2572" s="9">
        <v>7404.0</v>
      </c>
      <c r="C2572" s="9">
        <v>7255.0</v>
      </c>
      <c r="D2572" s="9">
        <v>2011.0</v>
      </c>
      <c r="E2572" s="9">
        <v>22.0</v>
      </c>
      <c r="F2572" s="14"/>
      <c r="G2572" s="15"/>
      <c r="H2572" s="15"/>
      <c r="I2572" s="14"/>
      <c r="P2572" s="14"/>
    </row>
    <row r="2573" ht="18.75" customHeight="1">
      <c r="A2573" s="7" t="s">
        <v>2785</v>
      </c>
      <c r="B2573" s="9">
        <v>7448.0</v>
      </c>
      <c r="C2573" s="9">
        <v>7300.0</v>
      </c>
      <c r="D2573" s="9">
        <v>2131.0</v>
      </c>
      <c r="E2573" s="9">
        <v>207.0</v>
      </c>
      <c r="F2573" s="14"/>
      <c r="G2573" s="15"/>
      <c r="H2573" s="15"/>
      <c r="I2573" s="14"/>
      <c r="P2573" s="14"/>
    </row>
    <row r="2574" ht="18.75" customHeight="1">
      <c r="A2574" s="7" t="s">
        <v>3475</v>
      </c>
      <c r="B2574" s="9">
        <v>10781.0</v>
      </c>
      <c r="C2574" s="9">
        <v>10670.0</v>
      </c>
      <c r="D2574" s="9">
        <v>4697.0</v>
      </c>
      <c r="E2574" s="9">
        <v>74.0</v>
      </c>
      <c r="F2574" s="14"/>
      <c r="G2574" s="15"/>
      <c r="H2574" s="15"/>
      <c r="I2574" s="14"/>
      <c r="P2574" s="14"/>
    </row>
    <row r="2575" ht="18.75" customHeight="1">
      <c r="A2575" s="7" t="s">
        <v>3091</v>
      </c>
      <c r="B2575" s="9">
        <v>27156.0</v>
      </c>
      <c r="C2575" s="9">
        <v>26725.0</v>
      </c>
      <c r="D2575" s="9">
        <v>13260.0</v>
      </c>
      <c r="E2575" s="9">
        <v>30.0</v>
      </c>
      <c r="F2575" s="14"/>
      <c r="G2575" s="15"/>
      <c r="H2575" s="15"/>
      <c r="I2575" s="14"/>
      <c r="P2575" s="14"/>
    </row>
    <row r="2576" ht="18.75" customHeight="1">
      <c r="A2576" s="7" t="s">
        <v>3476</v>
      </c>
      <c r="B2576" s="9">
        <v>67056.0</v>
      </c>
      <c r="C2576" s="9">
        <v>66576.0</v>
      </c>
      <c r="D2576" s="9">
        <v>24468.0</v>
      </c>
      <c r="E2576" s="9">
        <v>56.0</v>
      </c>
      <c r="F2576" s="14"/>
      <c r="G2576" s="15"/>
      <c r="H2576" s="15"/>
      <c r="I2576" s="14"/>
      <c r="P2576" s="14"/>
    </row>
    <row r="2577" ht="18.75" customHeight="1">
      <c r="A2577" s="7" t="s">
        <v>3477</v>
      </c>
      <c r="B2577" s="9">
        <v>17097.0</v>
      </c>
      <c r="C2577" s="9">
        <v>16885.0</v>
      </c>
      <c r="D2577" s="9">
        <v>4144.0</v>
      </c>
      <c r="E2577" s="9">
        <v>109.0</v>
      </c>
      <c r="F2577" s="14"/>
      <c r="G2577" s="15"/>
      <c r="H2577" s="15"/>
      <c r="I2577" s="14"/>
      <c r="P2577" s="14"/>
    </row>
    <row r="2578" ht="18.75" customHeight="1">
      <c r="A2578" s="7" t="s">
        <v>3294</v>
      </c>
      <c r="B2578" s="9">
        <v>19630.0</v>
      </c>
      <c r="C2578" s="9">
        <v>19255.0</v>
      </c>
      <c r="D2578" s="9">
        <v>5273.0</v>
      </c>
      <c r="E2578" s="9">
        <v>168.0</v>
      </c>
      <c r="F2578" s="14"/>
      <c r="G2578" s="15"/>
      <c r="H2578" s="15"/>
      <c r="I2578" s="14"/>
      <c r="P2578" s="14"/>
    </row>
    <row r="2579" ht="18.75" customHeight="1">
      <c r="A2579" s="7" t="s">
        <v>3321</v>
      </c>
      <c r="B2579" s="9">
        <v>19574.0</v>
      </c>
      <c r="C2579" s="9">
        <v>19190.0</v>
      </c>
      <c r="D2579" s="9">
        <v>3784.0</v>
      </c>
      <c r="E2579" s="9">
        <v>102.0</v>
      </c>
      <c r="F2579" s="14"/>
      <c r="G2579" s="15"/>
      <c r="H2579" s="15"/>
      <c r="I2579" s="14"/>
      <c r="P2579" s="14"/>
    </row>
    <row r="2580" ht="18.75" customHeight="1">
      <c r="A2580" s="7" t="s">
        <v>2835</v>
      </c>
      <c r="B2580" s="9">
        <v>19582.0</v>
      </c>
      <c r="C2580" s="9">
        <v>19198.0</v>
      </c>
      <c r="D2580" s="9">
        <v>4063.0</v>
      </c>
      <c r="E2580" s="9">
        <v>249.0</v>
      </c>
      <c r="F2580" s="14"/>
      <c r="G2580" s="15"/>
      <c r="H2580" s="15"/>
      <c r="I2580" s="14"/>
      <c r="P2580" s="14"/>
    </row>
    <row r="2581" ht="18.75" customHeight="1">
      <c r="A2581" s="7" t="s">
        <v>3188</v>
      </c>
      <c r="B2581" s="9">
        <v>19549.0</v>
      </c>
      <c r="C2581" s="9">
        <v>19175.0</v>
      </c>
      <c r="D2581" s="9">
        <v>4309.0</v>
      </c>
      <c r="E2581" s="9">
        <v>133.0</v>
      </c>
      <c r="F2581" s="14"/>
      <c r="G2581" s="15"/>
      <c r="H2581" s="15"/>
      <c r="I2581" s="14"/>
      <c r="P2581" s="14"/>
    </row>
    <row r="2582" ht="18.75" customHeight="1">
      <c r="A2582" s="7" t="s">
        <v>3097</v>
      </c>
      <c r="B2582" s="9">
        <v>14890.0</v>
      </c>
      <c r="C2582" s="9">
        <v>14638.0</v>
      </c>
      <c r="D2582" s="9">
        <v>3761.0</v>
      </c>
      <c r="E2582" s="9">
        <v>63.0</v>
      </c>
      <c r="F2582" s="14"/>
      <c r="G2582" s="15"/>
      <c r="H2582" s="15"/>
      <c r="I2582" s="14"/>
      <c r="P2582" s="14"/>
    </row>
    <row r="2583" ht="18.75" customHeight="1">
      <c r="A2583" s="7" t="s">
        <v>3097</v>
      </c>
      <c r="B2583" s="9">
        <v>28507.0</v>
      </c>
      <c r="C2583" s="9">
        <v>27879.0</v>
      </c>
      <c r="D2583" s="9">
        <v>6181.0</v>
      </c>
      <c r="E2583" s="9">
        <v>217.0</v>
      </c>
      <c r="F2583" s="14"/>
      <c r="G2583" s="15"/>
      <c r="H2583" s="15"/>
      <c r="I2583" s="14"/>
      <c r="P2583" s="14"/>
    </row>
    <row r="2584" ht="18.75" customHeight="1">
      <c r="A2584" s="7" t="s">
        <v>3097</v>
      </c>
      <c r="B2584" s="9">
        <v>31527.0</v>
      </c>
      <c r="C2584" s="9">
        <v>30968.0</v>
      </c>
      <c r="D2584" s="9">
        <v>8707.0</v>
      </c>
      <c r="E2584" s="9">
        <v>232.0</v>
      </c>
      <c r="F2584" s="14"/>
      <c r="G2584" s="15"/>
      <c r="H2584" s="15"/>
      <c r="I2584" s="14"/>
      <c r="P2584" s="14"/>
    </row>
    <row r="2585" ht="18.75" customHeight="1">
      <c r="A2585" s="7" t="s">
        <v>3097</v>
      </c>
      <c r="B2585" s="9">
        <v>44473.0</v>
      </c>
      <c r="C2585" s="9">
        <v>43652.0</v>
      </c>
      <c r="D2585" s="9">
        <v>11157.0</v>
      </c>
      <c r="E2585" s="9">
        <v>298.0</v>
      </c>
      <c r="F2585" s="14"/>
      <c r="G2585" s="15"/>
      <c r="H2585" s="15"/>
      <c r="I2585" s="14"/>
      <c r="P2585" s="14"/>
    </row>
    <row r="2586" ht="18.75" customHeight="1">
      <c r="A2586" s="7" t="s">
        <v>3478</v>
      </c>
      <c r="B2586" s="9">
        <v>78768.0</v>
      </c>
      <c r="C2586" s="9">
        <v>77265.0</v>
      </c>
      <c r="D2586" s="9">
        <v>22800.0</v>
      </c>
      <c r="E2586" s="9">
        <v>263.0</v>
      </c>
      <c r="F2586" s="14"/>
      <c r="G2586" s="15"/>
      <c r="H2586" s="15"/>
      <c r="I2586" s="14"/>
      <c r="P2586" s="14"/>
    </row>
    <row r="2587" ht="18.75" customHeight="1">
      <c r="A2587" s="7" t="s">
        <v>3210</v>
      </c>
      <c r="B2587" s="9">
        <v>40610.0</v>
      </c>
      <c r="C2587" s="9">
        <v>39636.0</v>
      </c>
      <c r="D2587" s="9">
        <v>6294.0</v>
      </c>
      <c r="E2587" s="9">
        <v>208.0</v>
      </c>
      <c r="F2587" s="14"/>
      <c r="G2587" s="15"/>
      <c r="H2587" s="15"/>
      <c r="I2587" s="14"/>
      <c r="P2587" s="14"/>
    </row>
    <row r="2588" ht="18.75" customHeight="1">
      <c r="A2588" s="7" t="s">
        <v>3305</v>
      </c>
      <c r="B2588" s="9">
        <v>27813.0</v>
      </c>
      <c r="C2588" s="9">
        <v>27274.0</v>
      </c>
      <c r="D2588" s="9">
        <v>4236.0</v>
      </c>
      <c r="E2588" s="9">
        <v>165.0</v>
      </c>
      <c r="F2588" s="14"/>
      <c r="G2588" s="15"/>
      <c r="H2588" s="15"/>
      <c r="I2588" s="14"/>
      <c r="P2588" s="14"/>
    </row>
    <row r="2589" ht="18.75" customHeight="1">
      <c r="A2589" s="7" t="s">
        <v>3175</v>
      </c>
      <c r="B2589" s="9">
        <v>27799.0</v>
      </c>
      <c r="C2589" s="9">
        <v>27267.0</v>
      </c>
      <c r="D2589" s="9">
        <v>5138.0</v>
      </c>
      <c r="E2589" s="9">
        <v>128.0</v>
      </c>
      <c r="F2589" s="14"/>
      <c r="G2589" s="15"/>
      <c r="H2589" s="15"/>
      <c r="I2589" s="14"/>
      <c r="P2589" s="14"/>
    </row>
    <row r="2590" ht="18.75" customHeight="1">
      <c r="A2590" s="7" t="s">
        <v>3189</v>
      </c>
      <c r="B2590" s="9">
        <v>27840.0</v>
      </c>
      <c r="C2590" s="9">
        <v>27282.0</v>
      </c>
      <c r="D2590" s="9">
        <v>3945.0</v>
      </c>
      <c r="E2590" s="9">
        <v>249.0</v>
      </c>
      <c r="F2590" s="14"/>
      <c r="G2590" s="15"/>
      <c r="H2590" s="15"/>
      <c r="I2590" s="14"/>
      <c r="P2590" s="14"/>
    </row>
    <row r="2591" ht="18.75" customHeight="1">
      <c r="A2591" s="7" t="s">
        <v>2839</v>
      </c>
      <c r="B2591" s="9">
        <v>27826.0</v>
      </c>
      <c r="C2591" s="9">
        <v>27288.0</v>
      </c>
      <c r="D2591" s="9">
        <v>5604.0</v>
      </c>
      <c r="E2591" s="9">
        <v>399.0</v>
      </c>
      <c r="F2591" s="14"/>
      <c r="G2591" s="15"/>
      <c r="H2591" s="15"/>
      <c r="I2591" s="14"/>
      <c r="P2591" s="14"/>
    </row>
    <row r="2592" ht="18.75" customHeight="1">
      <c r="A2592" s="7" t="s">
        <v>3239</v>
      </c>
      <c r="B2592" s="9">
        <v>27819.0</v>
      </c>
      <c r="C2592" s="9">
        <v>27278.0</v>
      </c>
      <c r="D2592" s="9">
        <v>4695.0</v>
      </c>
      <c r="E2592" s="9">
        <v>84.0</v>
      </c>
      <c r="F2592" s="14"/>
      <c r="G2592" s="15"/>
      <c r="H2592" s="15"/>
      <c r="I2592" s="14"/>
      <c r="P2592" s="14"/>
    </row>
    <row r="2593" ht="18.75" customHeight="1">
      <c r="A2593" s="7" t="s">
        <v>3276</v>
      </c>
      <c r="B2593" s="9">
        <v>27860.0</v>
      </c>
      <c r="C2593" s="9">
        <v>27301.0</v>
      </c>
      <c r="D2593" s="9">
        <v>4584.0</v>
      </c>
      <c r="E2593" s="9">
        <v>103.0</v>
      </c>
      <c r="F2593" s="14"/>
      <c r="G2593" s="15"/>
      <c r="H2593" s="15"/>
      <c r="I2593" s="14"/>
      <c r="P2593" s="14"/>
    </row>
    <row r="2594" ht="18.75" customHeight="1">
      <c r="A2594" s="7" t="s">
        <v>3295</v>
      </c>
      <c r="B2594" s="9">
        <v>15032.0</v>
      </c>
      <c r="C2594" s="9">
        <v>14767.0</v>
      </c>
      <c r="D2594" s="9">
        <v>3172.0</v>
      </c>
      <c r="E2594" s="9">
        <v>107.0</v>
      </c>
      <c r="F2594" s="14"/>
      <c r="G2594" s="15"/>
      <c r="H2594" s="15"/>
      <c r="I2594" s="14"/>
      <c r="P2594" s="14"/>
    </row>
    <row r="2595" ht="18.75" customHeight="1">
      <c r="A2595" s="7" t="s">
        <v>2836</v>
      </c>
      <c r="B2595" s="9">
        <v>15022.0</v>
      </c>
      <c r="C2595" s="9">
        <v>14758.0</v>
      </c>
      <c r="D2595" s="9">
        <v>4067.0</v>
      </c>
      <c r="E2595" s="9">
        <v>285.0</v>
      </c>
      <c r="F2595" s="14"/>
      <c r="G2595" s="15"/>
      <c r="H2595" s="15"/>
      <c r="I2595" s="14"/>
      <c r="P2595" s="14"/>
    </row>
    <row r="2596" ht="18.75" customHeight="1">
      <c r="A2596" s="7" t="s">
        <v>3237</v>
      </c>
      <c r="B2596" s="9">
        <v>14984.0</v>
      </c>
      <c r="C2596" s="9">
        <v>14730.0</v>
      </c>
      <c r="D2596" s="9">
        <v>3184.0</v>
      </c>
      <c r="E2596" s="9">
        <v>87.0</v>
      </c>
      <c r="F2596" s="14"/>
      <c r="G2596" s="15"/>
      <c r="H2596" s="15"/>
      <c r="I2596" s="14"/>
      <c r="P2596" s="14"/>
    </row>
    <row r="2597" ht="18.75" customHeight="1">
      <c r="A2597" s="7" t="s">
        <v>3263</v>
      </c>
      <c r="B2597" s="9">
        <v>14952.0</v>
      </c>
      <c r="C2597" s="9">
        <v>14690.0</v>
      </c>
      <c r="D2597" s="9">
        <v>2410.0</v>
      </c>
      <c r="E2597" s="9">
        <v>89.0</v>
      </c>
      <c r="F2597" s="14"/>
      <c r="G2597" s="15"/>
      <c r="H2597" s="15"/>
      <c r="I2597" s="14"/>
      <c r="P2597" s="14"/>
    </row>
    <row r="2598" ht="18.75" customHeight="1">
      <c r="A2598" s="7" t="s">
        <v>3479</v>
      </c>
      <c r="B2598" s="9">
        <v>2997.0</v>
      </c>
      <c r="C2598" s="9">
        <v>2989.0</v>
      </c>
      <c r="D2598" s="9">
        <v>2118.0</v>
      </c>
      <c r="E2598" s="9">
        <v>129.0</v>
      </c>
      <c r="F2598" s="14"/>
      <c r="G2598" s="15"/>
      <c r="H2598" s="15"/>
      <c r="I2598" s="14"/>
      <c r="P2598" s="14"/>
    </row>
    <row r="2599" ht="18.75" customHeight="1">
      <c r="A2599" s="7" t="s">
        <v>2838</v>
      </c>
      <c r="B2599" s="9">
        <v>14449.0</v>
      </c>
      <c r="C2599" s="9">
        <v>14137.0</v>
      </c>
      <c r="D2599" s="9">
        <v>2899.0</v>
      </c>
      <c r="E2599" s="9">
        <v>203.0</v>
      </c>
      <c r="F2599" s="14"/>
      <c r="G2599" s="15"/>
      <c r="H2599" s="15"/>
      <c r="I2599" s="14"/>
      <c r="P2599" s="14"/>
    </row>
    <row r="2600" ht="18.75" customHeight="1">
      <c r="A2600" s="7" t="s">
        <v>3480</v>
      </c>
      <c r="B2600" s="9">
        <v>14458.0</v>
      </c>
      <c r="C2600" s="9">
        <v>14135.0</v>
      </c>
      <c r="D2600" s="9">
        <v>2805.0</v>
      </c>
      <c r="E2600" s="9">
        <v>86.0</v>
      </c>
      <c r="F2600" s="14"/>
      <c r="G2600" s="15"/>
      <c r="H2600" s="15"/>
      <c r="I2600" s="14"/>
      <c r="P2600" s="14"/>
    </row>
    <row r="2601" ht="18.75" customHeight="1">
      <c r="A2601" s="7" t="s">
        <v>3481</v>
      </c>
      <c r="B2601" s="9">
        <v>16315.0</v>
      </c>
      <c r="C2601" s="9">
        <v>15974.0</v>
      </c>
      <c r="D2601" s="9">
        <v>2286.0</v>
      </c>
      <c r="E2601" s="9">
        <v>128.0</v>
      </c>
      <c r="F2601" s="14"/>
      <c r="G2601" s="15"/>
      <c r="H2601" s="15"/>
      <c r="I2601" s="14"/>
      <c r="P2601" s="14"/>
    </row>
    <row r="2602" ht="18.75" customHeight="1">
      <c r="A2602" s="7" t="s">
        <v>3354</v>
      </c>
      <c r="B2602" s="9">
        <v>16326.0</v>
      </c>
      <c r="C2602" s="9">
        <v>15981.0</v>
      </c>
      <c r="D2602" s="9">
        <v>2604.0</v>
      </c>
      <c r="E2602" s="9">
        <v>71.0</v>
      </c>
      <c r="F2602" s="14"/>
      <c r="G2602" s="15"/>
      <c r="H2602" s="15"/>
      <c r="I2602" s="14"/>
      <c r="P2602" s="14"/>
    </row>
    <row r="2603" ht="18.75" customHeight="1">
      <c r="A2603" s="7" t="s">
        <v>2833</v>
      </c>
      <c r="B2603" s="9">
        <v>16354.0</v>
      </c>
      <c r="C2603" s="9">
        <v>15998.0</v>
      </c>
      <c r="D2603" s="9">
        <v>4011.0</v>
      </c>
      <c r="E2603" s="9">
        <v>284.0</v>
      </c>
      <c r="F2603" s="14"/>
      <c r="G2603" s="15"/>
      <c r="H2603" s="15"/>
      <c r="I2603" s="14"/>
      <c r="P2603" s="14"/>
    </row>
    <row r="2604" ht="18.75" customHeight="1">
      <c r="A2604" s="7" t="s">
        <v>3233</v>
      </c>
      <c r="B2604" s="9">
        <v>16341.0</v>
      </c>
      <c r="C2604" s="9">
        <v>15988.0</v>
      </c>
      <c r="D2604" s="9">
        <v>2418.0</v>
      </c>
      <c r="E2604" s="9">
        <v>83.0</v>
      </c>
      <c r="F2604" s="14"/>
      <c r="G2604" s="15"/>
      <c r="H2604" s="15"/>
      <c r="I2604" s="14"/>
      <c r="P2604" s="14"/>
    </row>
    <row r="2605" ht="18.75" customHeight="1">
      <c r="A2605" s="7" t="s">
        <v>3337</v>
      </c>
      <c r="B2605" s="9">
        <v>22363.0</v>
      </c>
      <c r="C2605" s="9">
        <v>21932.0</v>
      </c>
      <c r="D2605" s="9">
        <v>6132.0</v>
      </c>
      <c r="E2605" s="9">
        <v>155.0</v>
      </c>
      <c r="F2605" s="14"/>
      <c r="G2605" s="15"/>
      <c r="H2605" s="15"/>
      <c r="I2605" s="14"/>
      <c r="P2605" s="14"/>
    </row>
    <row r="2606" ht="18.75" customHeight="1">
      <c r="A2606" s="7" t="s">
        <v>3222</v>
      </c>
      <c r="B2606" s="9">
        <v>22338.0</v>
      </c>
      <c r="C2606" s="9">
        <v>21910.0</v>
      </c>
      <c r="D2606" s="9">
        <v>6370.0</v>
      </c>
      <c r="E2606" s="9">
        <v>114.0</v>
      </c>
      <c r="F2606" s="14"/>
      <c r="G2606" s="15"/>
      <c r="H2606" s="15"/>
      <c r="I2606" s="14"/>
      <c r="P2606" s="14"/>
    </row>
    <row r="2607" ht="18.75" customHeight="1">
      <c r="A2607" s="7" t="s">
        <v>3185</v>
      </c>
      <c r="B2607" s="9">
        <v>22328.0</v>
      </c>
      <c r="C2607" s="9">
        <v>21907.0</v>
      </c>
      <c r="D2607" s="9">
        <v>6461.0</v>
      </c>
      <c r="E2607" s="9">
        <v>124.0</v>
      </c>
      <c r="F2607" s="14"/>
      <c r="G2607" s="15"/>
      <c r="H2607" s="15"/>
      <c r="I2607" s="14"/>
      <c r="P2607" s="14"/>
    </row>
    <row r="2608" ht="18.75" customHeight="1">
      <c r="A2608" s="7" t="s">
        <v>3343</v>
      </c>
      <c r="B2608" s="9">
        <v>22345.0</v>
      </c>
      <c r="C2608" s="9">
        <v>21919.0</v>
      </c>
      <c r="D2608" s="9">
        <v>5051.0</v>
      </c>
      <c r="E2608" s="9">
        <v>126.0</v>
      </c>
      <c r="F2608" s="14"/>
      <c r="G2608" s="15"/>
      <c r="H2608" s="15"/>
      <c r="I2608" s="14"/>
      <c r="P2608" s="14"/>
    </row>
    <row r="2609" ht="18.75" customHeight="1">
      <c r="A2609" s="7" t="s">
        <v>3094</v>
      </c>
      <c r="B2609" s="9">
        <v>22220.0</v>
      </c>
      <c r="C2609" s="9">
        <v>21805.0</v>
      </c>
      <c r="D2609" s="9">
        <v>8210.0</v>
      </c>
      <c r="E2609" s="9">
        <v>146.0</v>
      </c>
      <c r="F2609" s="14"/>
      <c r="G2609" s="15"/>
      <c r="H2609" s="15"/>
      <c r="I2609" s="14"/>
      <c r="P2609" s="14"/>
    </row>
    <row r="2610" ht="18.75" customHeight="1">
      <c r="A2610" s="7" t="s">
        <v>3482</v>
      </c>
      <c r="B2610" s="9">
        <v>22230.0</v>
      </c>
      <c r="C2610" s="9">
        <v>21820.0</v>
      </c>
      <c r="D2610" s="9">
        <v>5281.0</v>
      </c>
      <c r="E2610" s="9">
        <v>128.0</v>
      </c>
      <c r="F2610" s="14"/>
      <c r="G2610" s="15"/>
      <c r="H2610" s="15"/>
      <c r="I2610" s="14"/>
      <c r="P2610" s="14"/>
    </row>
    <row r="2611" ht="18.75" customHeight="1">
      <c r="A2611" s="7" t="s">
        <v>3483</v>
      </c>
      <c r="B2611" s="9">
        <v>55290.0</v>
      </c>
      <c r="C2611" s="9">
        <v>54546.0</v>
      </c>
      <c r="D2611" s="9">
        <v>28870.0</v>
      </c>
      <c r="E2611" s="9">
        <v>504.0</v>
      </c>
      <c r="F2611" s="14"/>
      <c r="G2611" s="15"/>
      <c r="H2611" s="15"/>
      <c r="I2611" s="14"/>
      <c r="P2611" s="14"/>
    </row>
    <row r="2612" ht="18.75" customHeight="1">
      <c r="A2612" s="7" t="s">
        <v>3437</v>
      </c>
      <c r="B2612" s="9">
        <v>43873.0</v>
      </c>
      <c r="C2612" s="9">
        <v>43179.0</v>
      </c>
      <c r="D2612" s="9">
        <v>12965.0</v>
      </c>
      <c r="E2612" s="9">
        <v>594.0</v>
      </c>
      <c r="F2612" s="14"/>
      <c r="G2612" s="15"/>
      <c r="H2612" s="15"/>
      <c r="I2612" s="14"/>
      <c r="P2612" s="14"/>
    </row>
    <row r="2613" ht="18.75" customHeight="1">
      <c r="A2613" s="7" t="s">
        <v>3484</v>
      </c>
      <c r="B2613" s="9">
        <v>22484.0</v>
      </c>
      <c r="C2613" s="9">
        <v>22091.0</v>
      </c>
      <c r="D2613" s="9">
        <v>6910.0</v>
      </c>
      <c r="E2613" s="9">
        <v>171.0</v>
      </c>
      <c r="F2613" s="14"/>
      <c r="G2613" s="15"/>
      <c r="H2613" s="15"/>
      <c r="I2613" s="14"/>
      <c r="P2613" s="14"/>
    </row>
    <row r="2614" ht="18.75" customHeight="1">
      <c r="A2614" s="7" t="s">
        <v>2837</v>
      </c>
      <c r="B2614" s="9">
        <v>22459.0</v>
      </c>
      <c r="C2614" s="9">
        <v>22015.0</v>
      </c>
      <c r="D2614" s="9">
        <v>6765.0</v>
      </c>
      <c r="E2614" s="9">
        <v>337.0</v>
      </c>
      <c r="F2614" s="14"/>
      <c r="G2614" s="15"/>
      <c r="H2614" s="15"/>
      <c r="I2614" s="14"/>
      <c r="P2614" s="14"/>
    </row>
    <row r="2615" ht="18.75" customHeight="1">
      <c r="A2615" s="7" t="s">
        <v>3485</v>
      </c>
      <c r="B2615" s="9">
        <v>72212.0</v>
      </c>
      <c r="C2615" s="9">
        <v>71364.0</v>
      </c>
      <c r="D2615" s="9">
        <v>27114.0</v>
      </c>
      <c r="E2615" s="9">
        <v>1020.0</v>
      </c>
      <c r="F2615" s="14"/>
      <c r="G2615" s="15"/>
      <c r="H2615" s="15"/>
      <c r="I2615" s="14"/>
      <c r="P2615" s="14"/>
    </row>
    <row r="2616" ht="18.75" customHeight="1">
      <c r="A2616" s="7" t="s">
        <v>3486</v>
      </c>
      <c r="B2616" s="9">
        <v>71885.0</v>
      </c>
      <c r="C2616" s="9">
        <v>70932.0</v>
      </c>
      <c r="D2616" s="9">
        <v>28046.0</v>
      </c>
      <c r="E2616" s="9">
        <v>610.0</v>
      </c>
      <c r="F2616" s="14"/>
      <c r="G2616" s="15"/>
      <c r="H2616" s="15"/>
      <c r="I2616" s="14"/>
      <c r="P2616" s="14"/>
    </row>
    <row r="2617" ht="18.75" customHeight="1">
      <c r="A2617" s="7" t="s">
        <v>2792</v>
      </c>
      <c r="B2617" s="9">
        <v>71736.0</v>
      </c>
      <c r="C2617" s="9">
        <v>70472.0</v>
      </c>
      <c r="D2617" s="9">
        <v>27534.0</v>
      </c>
      <c r="E2617" s="9">
        <v>235.0</v>
      </c>
      <c r="F2617" s="14"/>
      <c r="G2617" s="15"/>
      <c r="H2617" s="15"/>
      <c r="I2617" s="14"/>
      <c r="P2617" s="14"/>
    </row>
    <row r="2618" ht="18.75" customHeight="1">
      <c r="A2618" s="7" t="s">
        <v>3293</v>
      </c>
      <c r="B2618" s="9">
        <v>82232.0</v>
      </c>
      <c r="C2618" s="9">
        <v>81917.0</v>
      </c>
      <c r="D2618" s="9">
        <v>26171.0</v>
      </c>
      <c r="E2618" s="9">
        <v>1142.0</v>
      </c>
      <c r="F2618" s="14"/>
      <c r="G2618" s="15"/>
      <c r="H2618" s="15"/>
      <c r="I2618" s="14"/>
      <c r="P2618" s="14"/>
    </row>
    <row r="2619" ht="18.75" customHeight="1">
      <c r="A2619" s="7" t="s">
        <v>3291</v>
      </c>
      <c r="B2619" s="9">
        <v>85634.0</v>
      </c>
      <c r="C2619" s="9">
        <v>84199.0</v>
      </c>
      <c r="D2619" s="9">
        <v>23836.0</v>
      </c>
      <c r="E2619" s="9">
        <v>488.0</v>
      </c>
      <c r="F2619" s="14"/>
      <c r="G2619" s="15"/>
      <c r="H2619" s="15"/>
      <c r="I2619" s="14"/>
      <c r="P2619" s="14"/>
    </row>
    <row r="2620" ht="18.75" customHeight="1">
      <c r="A2620" s="7" t="s">
        <v>3301</v>
      </c>
      <c r="B2620" s="9">
        <v>85255.0</v>
      </c>
      <c r="C2620" s="9">
        <v>83848.0</v>
      </c>
      <c r="D2620" s="9">
        <v>26426.0</v>
      </c>
      <c r="E2620" s="9">
        <v>519.0</v>
      </c>
      <c r="F2620" s="14"/>
      <c r="G2620" s="15"/>
      <c r="H2620" s="15"/>
      <c r="I2620" s="14"/>
      <c r="P2620" s="14"/>
    </row>
    <row r="2621" ht="18.75" customHeight="1">
      <c r="A2621" s="7" t="s">
        <v>3094</v>
      </c>
      <c r="B2621" s="9">
        <v>42200.0</v>
      </c>
      <c r="C2621" s="9">
        <v>41394.0</v>
      </c>
      <c r="D2621" s="9">
        <v>17075.0</v>
      </c>
      <c r="E2621" s="9">
        <v>180.0</v>
      </c>
      <c r="F2621" s="14"/>
      <c r="G2621" s="15"/>
      <c r="H2621" s="15"/>
      <c r="I2621" s="14"/>
      <c r="P2621" s="14"/>
    </row>
    <row r="2622" ht="18.75" customHeight="1">
      <c r="A2622" s="7" t="s">
        <v>3094</v>
      </c>
      <c r="B2622" s="9">
        <v>42198.0</v>
      </c>
      <c r="C2622" s="9">
        <v>41414.0</v>
      </c>
      <c r="D2622" s="9">
        <v>16747.0</v>
      </c>
      <c r="E2622" s="9">
        <v>180.0</v>
      </c>
      <c r="F2622" s="14"/>
      <c r="G2622" s="15"/>
      <c r="H2622" s="15"/>
      <c r="I2622" s="14"/>
      <c r="P2622" s="14"/>
    </row>
    <row r="2623" ht="18.75" customHeight="1">
      <c r="A2623" s="7" t="s">
        <v>2981</v>
      </c>
      <c r="B2623" s="9">
        <v>84390.0</v>
      </c>
      <c r="C2623" s="9">
        <v>82820.0</v>
      </c>
      <c r="D2623" s="9">
        <v>22467.0</v>
      </c>
      <c r="E2623" s="9">
        <v>458.0</v>
      </c>
      <c r="F2623" s="14"/>
      <c r="G2623" s="15"/>
      <c r="H2623" s="15"/>
      <c r="I2623" s="14"/>
      <c r="P2623" s="14"/>
    </row>
    <row r="2624" ht="18.75" customHeight="1">
      <c r="A2624" s="7" t="s">
        <v>3487</v>
      </c>
      <c r="B2624" s="9">
        <v>105476.0</v>
      </c>
      <c r="C2624" s="9">
        <v>103508.0</v>
      </c>
      <c r="D2624" s="9">
        <v>44856.0</v>
      </c>
      <c r="E2624" s="9">
        <v>1417.0</v>
      </c>
      <c r="F2624" s="14"/>
      <c r="G2624" s="15"/>
      <c r="H2624" s="15"/>
      <c r="I2624" s="14"/>
      <c r="P2624" s="14"/>
    </row>
    <row r="2625" ht="18.75" customHeight="1">
      <c r="A2625" s="7" t="s">
        <v>2792</v>
      </c>
      <c r="B2625" s="9">
        <v>67968.0</v>
      </c>
      <c r="C2625" s="9">
        <v>66668.0</v>
      </c>
      <c r="D2625" s="9">
        <v>27572.0</v>
      </c>
      <c r="E2625" s="9">
        <v>149.0</v>
      </c>
      <c r="F2625" s="14"/>
      <c r="G2625" s="15"/>
      <c r="H2625" s="15"/>
      <c r="I2625" s="14"/>
      <c r="P2625" s="14"/>
    </row>
    <row r="2626" ht="18.75" customHeight="1">
      <c r="A2626" s="7" t="s">
        <v>3488</v>
      </c>
      <c r="B2626" s="9">
        <v>30931.0</v>
      </c>
      <c r="C2626" s="9">
        <v>30413.0</v>
      </c>
      <c r="D2626" s="9">
        <v>8623.0</v>
      </c>
      <c r="E2626" s="9">
        <v>23.0</v>
      </c>
      <c r="F2626" s="14"/>
      <c r="G2626" s="15"/>
      <c r="H2626" s="15"/>
      <c r="I2626" s="14"/>
      <c r="P2626" s="14"/>
    </row>
    <row r="2627" ht="18.75" customHeight="1">
      <c r="A2627" s="7" t="s">
        <v>3489</v>
      </c>
      <c r="B2627" s="9">
        <v>85450.0</v>
      </c>
      <c r="C2627" s="9">
        <v>84067.0</v>
      </c>
      <c r="D2627" s="9">
        <v>24759.0</v>
      </c>
      <c r="E2627" s="9">
        <v>437.0</v>
      </c>
      <c r="F2627" s="14"/>
      <c r="G2627" s="15"/>
      <c r="H2627" s="15"/>
      <c r="I2627" s="14"/>
      <c r="P2627" s="14"/>
    </row>
    <row r="2628" ht="18.75" customHeight="1">
      <c r="A2628" s="7" t="s">
        <v>3230</v>
      </c>
      <c r="B2628" s="9">
        <v>84853.0</v>
      </c>
      <c r="C2628" s="9">
        <v>83303.0</v>
      </c>
      <c r="D2628" s="9">
        <v>26051.0</v>
      </c>
      <c r="E2628" s="9">
        <v>438.0</v>
      </c>
      <c r="F2628" s="14"/>
      <c r="G2628" s="15"/>
      <c r="H2628" s="15"/>
      <c r="I2628" s="14"/>
      <c r="P2628" s="14"/>
    </row>
    <row r="2629" ht="18.75" customHeight="1">
      <c r="A2629" s="7" t="s">
        <v>3331</v>
      </c>
      <c r="B2629" s="9">
        <v>18908.0</v>
      </c>
      <c r="C2629" s="9">
        <v>18459.0</v>
      </c>
      <c r="D2629" s="9">
        <v>3218.0</v>
      </c>
      <c r="E2629" s="9">
        <v>81.0</v>
      </c>
      <c r="F2629" s="14"/>
      <c r="G2629" s="15"/>
      <c r="H2629" s="15"/>
      <c r="I2629" s="14"/>
      <c r="P2629" s="14"/>
    </row>
    <row r="2630" ht="18.75" customHeight="1">
      <c r="A2630" s="7" t="s">
        <v>3229</v>
      </c>
      <c r="B2630" s="9">
        <v>18940.0</v>
      </c>
      <c r="C2630" s="9">
        <v>18503.0</v>
      </c>
      <c r="D2630" s="9">
        <v>3199.0</v>
      </c>
      <c r="E2630" s="9">
        <v>64.0</v>
      </c>
      <c r="F2630" s="14"/>
      <c r="G2630" s="15"/>
      <c r="H2630" s="15"/>
      <c r="I2630" s="14"/>
      <c r="P2630" s="14"/>
    </row>
    <row r="2631" ht="18.75" customHeight="1">
      <c r="A2631" s="7" t="s">
        <v>3183</v>
      </c>
      <c r="B2631" s="9">
        <v>18953.0</v>
      </c>
      <c r="C2631" s="9">
        <v>18520.0</v>
      </c>
      <c r="D2631" s="9">
        <v>2889.0</v>
      </c>
      <c r="E2631" s="9">
        <v>61.0</v>
      </c>
      <c r="F2631" s="14"/>
      <c r="G2631" s="15"/>
      <c r="H2631" s="15"/>
      <c r="I2631" s="14"/>
      <c r="P2631" s="14"/>
    </row>
    <row r="2632" ht="18.75" customHeight="1">
      <c r="A2632" s="7" t="s">
        <v>2783</v>
      </c>
      <c r="B2632" s="9">
        <v>18926.0</v>
      </c>
      <c r="C2632" s="9">
        <v>18464.0</v>
      </c>
      <c r="D2632" s="9">
        <v>3108.0</v>
      </c>
      <c r="E2632" s="9">
        <v>179.0</v>
      </c>
      <c r="F2632" s="14"/>
      <c r="G2632" s="15"/>
      <c r="H2632" s="15"/>
      <c r="I2632" s="14"/>
      <c r="P2632" s="14"/>
    </row>
    <row r="2633" ht="18.75" customHeight="1">
      <c r="A2633" s="7" t="s">
        <v>2788</v>
      </c>
      <c r="B2633" s="9">
        <v>18941.0</v>
      </c>
      <c r="C2633" s="9">
        <v>18516.0</v>
      </c>
      <c r="D2633" s="9">
        <v>3152.0</v>
      </c>
      <c r="E2633" s="9">
        <v>174.0</v>
      </c>
      <c r="F2633" s="14"/>
      <c r="G2633" s="15"/>
      <c r="H2633" s="15"/>
      <c r="I2633" s="14"/>
      <c r="P2633" s="14"/>
    </row>
    <row r="2634" ht="18.75" customHeight="1">
      <c r="A2634" s="7" t="s">
        <v>3312</v>
      </c>
      <c r="B2634" s="9">
        <v>24809.0</v>
      </c>
      <c r="C2634" s="9">
        <v>24369.0</v>
      </c>
      <c r="D2634" s="9">
        <v>5289.0</v>
      </c>
      <c r="E2634" s="9">
        <v>175.0</v>
      </c>
      <c r="F2634" s="14"/>
      <c r="G2634" s="15"/>
      <c r="H2634" s="15"/>
      <c r="I2634" s="14"/>
      <c r="P2634" s="14"/>
    </row>
    <row r="2635" ht="18.75" customHeight="1">
      <c r="A2635" s="7" t="s">
        <v>2819</v>
      </c>
      <c r="B2635" s="9">
        <v>24696.0</v>
      </c>
      <c r="C2635" s="9">
        <v>24264.0</v>
      </c>
      <c r="D2635" s="9">
        <v>6134.0</v>
      </c>
      <c r="E2635" s="9">
        <v>348.0</v>
      </c>
      <c r="F2635" s="14"/>
      <c r="G2635" s="15"/>
      <c r="H2635" s="15"/>
      <c r="I2635" s="14"/>
      <c r="P2635" s="14"/>
    </row>
    <row r="2636" ht="18.75" customHeight="1">
      <c r="A2636" s="7" t="s">
        <v>3224</v>
      </c>
      <c r="B2636" s="9">
        <v>24642.0</v>
      </c>
      <c r="C2636" s="9">
        <v>24209.0</v>
      </c>
      <c r="D2636" s="9">
        <v>5242.0</v>
      </c>
      <c r="E2636" s="9">
        <v>141.0</v>
      </c>
      <c r="F2636" s="14"/>
      <c r="G2636" s="15"/>
      <c r="H2636" s="15"/>
      <c r="I2636" s="14"/>
      <c r="P2636" s="14"/>
    </row>
    <row r="2637" ht="18.75" customHeight="1">
      <c r="A2637" s="7" t="s">
        <v>3286</v>
      </c>
      <c r="B2637" s="9">
        <v>24483.0</v>
      </c>
      <c r="C2637" s="9">
        <v>24053.0</v>
      </c>
      <c r="D2637" s="9">
        <v>4748.0</v>
      </c>
      <c r="E2637" s="9">
        <v>253.0</v>
      </c>
      <c r="F2637" s="14"/>
      <c r="G2637" s="15"/>
      <c r="H2637" s="15"/>
      <c r="I2637" s="14"/>
      <c r="P2637" s="14"/>
    </row>
    <row r="2638" ht="18.75" customHeight="1">
      <c r="A2638" s="7" t="s">
        <v>3242</v>
      </c>
      <c r="B2638" s="9">
        <v>24621.0</v>
      </c>
      <c r="C2638" s="9">
        <v>24189.0</v>
      </c>
      <c r="D2638" s="9">
        <v>4797.0</v>
      </c>
      <c r="E2638" s="9">
        <v>93.0</v>
      </c>
      <c r="F2638" s="14"/>
      <c r="G2638" s="15"/>
      <c r="H2638" s="15"/>
      <c r="I2638" s="14"/>
      <c r="P2638" s="14"/>
    </row>
    <row r="2639" ht="18.75" customHeight="1">
      <c r="A2639" s="7" t="s">
        <v>2847</v>
      </c>
      <c r="B2639" s="9">
        <v>7832.0</v>
      </c>
      <c r="C2639" s="9">
        <v>7720.0</v>
      </c>
      <c r="D2639" s="9">
        <v>1710.0</v>
      </c>
      <c r="E2639" s="9">
        <v>167.0</v>
      </c>
      <c r="F2639" s="14"/>
      <c r="G2639" s="15"/>
      <c r="H2639" s="15"/>
      <c r="I2639" s="14"/>
      <c r="P2639" s="14"/>
    </row>
    <row r="2640" ht="18.75" customHeight="1">
      <c r="A2640" s="7" t="s">
        <v>3300</v>
      </c>
      <c r="B2640" s="9">
        <v>7851.0</v>
      </c>
      <c r="C2640" s="9">
        <v>7745.0</v>
      </c>
      <c r="D2640" s="9">
        <v>1915.0</v>
      </c>
      <c r="E2640" s="9">
        <v>75.0</v>
      </c>
      <c r="F2640" s="14"/>
      <c r="G2640" s="15"/>
      <c r="H2640" s="15"/>
      <c r="I2640" s="14"/>
      <c r="P2640" s="14"/>
    </row>
    <row r="2641" ht="18.75" customHeight="1">
      <c r="A2641" s="7" t="s">
        <v>3211</v>
      </c>
      <c r="B2641" s="9">
        <v>7818.0</v>
      </c>
      <c r="C2641" s="9">
        <v>7706.0</v>
      </c>
      <c r="D2641" s="9">
        <v>1753.0</v>
      </c>
      <c r="E2641" s="9">
        <v>49.0</v>
      </c>
      <c r="F2641" s="14"/>
      <c r="G2641" s="15"/>
      <c r="H2641" s="15"/>
      <c r="I2641" s="14"/>
      <c r="P2641" s="14"/>
    </row>
    <row r="2642" ht="18.75" customHeight="1">
      <c r="A2642" s="7" t="s">
        <v>3235</v>
      </c>
      <c r="B2642" s="9">
        <v>7775.0</v>
      </c>
      <c r="C2642" s="9">
        <v>7663.0</v>
      </c>
      <c r="D2642" s="9">
        <v>2033.0</v>
      </c>
      <c r="E2642" s="9">
        <v>68.0</v>
      </c>
      <c r="F2642" s="14"/>
      <c r="G2642" s="15"/>
      <c r="H2642" s="15"/>
      <c r="I2642" s="14"/>
      <c r="P2642" s="14"/>
    </row>
    <row r="2643" ht="18.75" customHeight="1">
      <c r="A2643" s="7" t="s">
        <v>2781</v>
      </c>
      <c r="B2643" s="9">
        <v>7770.0</v>
      </c>
      <c r="C2643" s="9">
        <v>7661.0</v>
      </c>
      <c r="D2643" s="9">
        <v>1806.0</v>
      </c>
      <c r="E2643" s="9">
        <v>112.0</v>
      </c>
      <c r="F2643" s="14"/>
      <c r="G2643" s="15"/>
      <c r="H2643" s="15"/>
      <c r="I2643" s="14"/>
      <c r="P2643" s="14"/>
    </row>
    <row r="2644" ht="18.75" customHeight="1">
      <c r="A2644" s="7" t="s">
        <v>3094</v>
      </c>
      <c r="B2644" s="9">
        <v>7745.0</v>
      </c>
      <c r="C2644" s="9">
        <v>7629.0</v>
      </c>
      <c r="D2644" s="9">
        <v>2496.0</v>
      </c>
      <c r="E2644" s="9">
        <v>70.0</v>
      </c>
      <c r="F2644" s="14"/>
      <c r="G2644" s="15"/>
      <c r="H2644" s="15"/>
      <c r="I2644" s="14"/>
      <c r="P2644" s="14"/>
    </row>
    <row r="2645" ht="18.75" customHeight="1">
      <c r="A2645" s="7" t="s">
        <v>2848</v>
      </c>
      <c r="B2645" s="9">
        <v>15344.0</v>
      </c>
      <c r="C2645" s="9">
        <v>15037.0</v>
      </c>
      <c r="D2645" s="9">
        <v>2799.0</v>
      </c>
      <c r="E2645" s="9">
        <v>213.0</v>
      </c>
      <c r="F2645" s="14"/>
      <c r="G2645" s="15"/>
      <c r="H2645" s="15"/>
      <c r="I2645" s="14"/>
      <c r="P2645" s="14"/>
    </row>
    <row r="2646" ht="18.75" customHeight="1">
      <c r="A2646" s="7" t="s">
        <v>3334</v>
      </c>
      <c r="B2646" s="9">
        <v>15324.0</v>
      </c>
      <c r="C2646" s="9">
        <v>15022.0</v>
      </c>
      <c r="D2646" s="9">
        <v>2519.0</v>
      </c>
      <c r="E2646" s="9">
        <v>73.0</v>
      </c>
      <c r="F2646" s="14"/>
      <c r="G2646" s="15"/>
      <c r="H2646" s="15"/>
      <c r="I2646" s="14"/>
      <c r="P2646" s="14"/>
    </row>
    <row r="2647" ht="18.75" customHeight="1">
      <c r="A2647" s="7" t="s">
        <v>3181</v>
      </c>
      <c r="B2647" s="9">
        <v>15330.0</v>
      </c>
      <c r="C2647" s="9">
        <v>15039.0</v>
      </c>
      <c r="D2647" s="9">
        <v>2735.0</v>
      </c>
      <c r="E2647" s="9">
        <v>74.0</v>
      </c>
      <c r="F2647" s="14"/>
      <c r="G2647" s="15"/>
      <c r="H2647" s="15"/>
      <c r="I2647" s="14"/>
      <c r="P2647" s="14"/>
    </row>
    <row r="2648" ht="18.75" customHeight="1">
      <c r="A2648" s="7" t="s">
        <v>2814</v>
      </c>
      <c r="B2648" s="9">
        <v>15358.0</v>
      </c>
      <c r="C2648" s="9">
        <v>15074.0</v>
      </c>
      <c r="D2648" s="9">
        <v>2612.0</v>
      </c>
      <c r="E2648" s="9">
        <v>153.0</v>
      </c>
      <c r="F2648" s="14"/>
      <c r="G2648" s="15"/>
      <c r="H2648" s="15"/>
      <c r="I2648" s="14"/>
      <c r="P2648" s="14"/>
    </row>
    <row r="2649" ht="18.75" customHeight="1">
      <c r="A2649" s="7" t="s">
        <v>3290</v>
      </c>
      <c r="B2649" s="9">
        <v>7408.0</v>
      </c>
      <c r="C2649" s="9">
        <v>7254.0</v>
      </c>
      <c r="D2649" s="9">
        <v>1407.0</v>
      </c>
      <c r="E2649" s="9">
        <v>52.0</v>
      </c>
      <c r="F2649" s="14"/>
      <c r="G2649" s="15"/>
      <c r="H2649" s="15"/>
      <c r="I2649" s="14"/>
      <c r="P2649" s="14"/>
    </row>
    <row r="2650" ht="18.75" customHeight="1">
      <c r="A2650" s="7" t="s">
        <v>3218</v>
      </c>
      <c r="B2650" s="9">
        <v>9218.0</v>
      </c>
      <c r="C2650" s="9">
        <v>9055.0</v>
      </c>
      <c r="D2650" s="9">
        <v>2053.0</v>
      </c>
      <c r="E2650" s="9">
        <v>63.0</v>
      </c>
      <c r="F2650" s="14"/>
      <c r="G2650" s="15"/>
      <c r="H2650" s="15"/>
      <c r="I2650" s="14"/>
      <c r="P2650" s="14"/>
    </row>
    <row r="2651" ht="18.75" customHeight="1">
      <c r="A2651" s="7" t="s">
        <v>3490</v>
      </c>
      <c r="B2651" s="9">
        <v>2426.0</v>
      </c>
      <c r="C2651" s="9">
        <v>2382.0</v>
      </c>
      <c r="D2651" s="9">
        <v>1298.0</v>
      </c>
      <c r="E2651" s="9">
        <v>20.0</v>
      </c>
      <c r="F2651" s="14"/>
      <c r="G2651" s="15"/>
      <c r="H2651" s="15"/>
      <c r="I2651" s="14"/>
      <c r="P2651" s="14"/>
    </row>
    <row r="2652" ht="18.75" customHeight="1">
      <c r="A2652" s="7" t="s">
        <v>385</v>
      </c>
      <c r="B2652" s="9">
        <v>2430.0</v>
      </c>
      <c r="C2652" s="9">
        <v>2384.0</v>
      </c>
      <c r="D2652" s="9">
        <v>1296.0</v>
      </c>
      <c r="E2652" s="9">
        <v>86.0</v>
      </c>
      <c r="F2652" s="14"/>
      <c r="G2652" s="15"/>
      <c r="H2652" s="15"/>
      <c r="I2652" s="14"/>
      <c r="P2652" s="14"/>
    </row>
    <row r="2653" ht="18.75" customHeight="1">
      <c r="A2653" s="7" t="s">
        <v>3491</v>
      </c>
      <c r="B2653" s="9">
        <v>24086.0</v>
      </c>
      <c r="C2653" s="9">
        <v>23670.0</v>
      </c>
      <c r="D2653" s="9">
        <v>9502.0</v>
      </c>
      <c r="E2653" s="9">
        <v>181.0</v>
      </c>
      <c r="F2653" s="14"/>
      <c r="G2653" s="15"/>
      <c r="H2653" s="15"/>
      <c r="I2653" s="14"/>
      <c r="P2653" s="14"/>
    </row>
    <row r="2654" ht="18.75" customHeight="1">
      <c r="A2654" s="7" t="s">
        <v>2786</v>
      </c>
      <c r="B2654" s="9">
        <v>2475.0</v>
      </c>
      <c r="C2654" s="9">
        <v>2435.0</v>
      </c>
      <c r="D2654" s="9">
        <v>1322.0</v>
      </c>
      <c r="E2654" s="9">
        <v>97.0</v>
      </c>
      <c r="F2654" s="14"/>
      <c r="G2654" s="15"/>
      <c r="H2654" s="15"/>
      <c r="I2654" s="14"/>
      <c r="P2654" s="14"/>
    </row>
    <row r="2655" ht="18.75" customHeight="1">
      <c r="A2655" s="7" t="s">
        <v>3168</v>
      </c>
      <c r="B2655" s="9">
        <v>55034.0</v>
      </c>
      <c r="C2655" s="9">
        <v>54068.0</v>
      </c>
      <c r="D2655" s="9">
        <v>17091.0</v>
      </c>
      <c r="E2655" s="9">
        <v>64.0</v>
      </c>
      <c r="F2655" s="14"/>
      <c r="G2655" s="15"/>
      <c r="H2655" s="15"/>
      <c r="I2655" s="14"/>
      <c r="P2655" s="14"/>
    </row>
    <row r="2656" ht="18.75" customHeight="1">
      <c r="A2656" s="7" t="s">
        <v>3485</v>
      </c>
      <c r="B2656" s="9">
        <v>50611.0</v>
      </c>
      <c r="C2656" s="9">
        <v>50089.0</v>
      </c>
      <c r="D2656" s="9">
        <v>17684.0</v>
      </c>
      <c r="E2656" s="9">
        <v>784.0</v>
      </c>
      <c r="F2656" s="14"/>
      <c r="G2656" s="15"/>
      <c r="H2656" s="15"/>
      <c r="I2656" s="14"/>
      <c r="P2656" s="14"/>
    </row>
    <row r="2657" ht="18.75" customHeight="1">
      <c r="A2657" s="7" t="s">
        <v>2792</v>
      </c>
      <c r="B2657" s="9">
        <v>50433.0</v>
      </c>
      <c r="C2657" s="9">
        <v>49495.0</v>
      </c>
      <c r="D2657" s="9">
        <v>18551.0</v>
      </c>
      <c r="E2657" s="9">
        <v>173.0</v>
      </c>
      <c r="F2657" s="14"/>
      <c r="G2657" s="15"/>
      <c r="H2657" s="15"/>
      <c r="I2657" s="14"/>
      <c r="P2657" s="14"/>
    </row>
    <row r="2658" ht="18.75" customHeight="1">
      <c r="A2658" s="7" t="s">
        <v>3320</v>
      </c>
      <c r="B2658" s="9">
        <v>56007.0</v>
      </c>
      <c r="C2658" s="9">
        <v>55026.0</v>
      </c>
      <c r="D2658" s="9">
        <v>16335.0</v>
      </c>
      <c r="E2658" s="9">
        <v>353.0</v>
      </c>
      <c r="F2658" s="14"/>
      <c r="G2658" s="15"/>
      <c r="H2658" s="15"/>
      <c r="I2658" s="14"/>
      <c r="P2658" s="14"/>
    </row>
    <row r="2659" ht="18.75" customHeight="1">
      <c r="A2659" s="7" t="s">
        <v>3338</v>
      </c>
      <c r="B2659" s="9">
        <v>55804.0</v>
      </c>
      <c r="C2659" s="9">
        <v>54764.0</v>
      </c>
      <c r="D2659" s="9">
        <v>15959.0</v>
      </c>
      <c r="E2659" s="9">
        <v>281.0</v>
      </c>
      <c r="F2659" s="14"/>
      <c r="G2659" s="15"/>
      <c r="H2659" s="15"/>
      <c r="I2659" s="14"/>
      <c r="P2659" s="14"/>
    </row>
    <row r="2660" ht="18.75" customHeight="1">
      <c r="A2660" s="7" t="s">
        <v>3186</v>
      </c>
      <c r="B2660" s="9">
        <v>55661.0</v>
      </c>
      <c r="C2660" s="9">
        <v>54633.0</v>
      </c>
      <c r="D2660" s="9">
        <v>15548.0</v>
      </c>
      <c r="E2660" s="9">
        <v>225.0</v>
      </c>
      <c r="F2660" s="14"/>
      <c r="G2660" s="15"/>
      <c r="H2660" s="15"/>
      <c r="I2660" s="14"/>
      <c r="P2660" s="14"/>
    </row>
    <row r="2661" ht="18.75" customHeight="1">
      <c r="A2661" s="7" t="s">
        <v>3275</v>
      </c>
      <c r="B2661" s="9">
        <v>55425.0</v>
      </c>
      <c r="C2661" s="9">
        <v>54380.0</v>
      </c>
      <c r="D2661" s="9">
        <v>13495.0</v>
      </c>
      <c r="E2661" s="9">
        <v>244.0</v>
      </c>
      <c r="F2661" s="14"/>
      <c r="G2661" s="15"/>
      <c r="H2661" s="15"/>
      <c r="I2661" s="14"/>
      <c r="P2661" s="14"/>
    </row>
    <row r="2662" ht="18.75" customHeight="1">
      <c r="A2662" s="7" t="s">
        <v>3396</v>
      </c>
      <c r="B2662" s="9">
        <v>41602.0</v>
      </c>
      <c r="C2662" s="9">
        <v>40900.0</v>
      </c>
      <c r="D2662" s="9">
        <v>12107.0</v>
      </c>
      <c r="E2662" s="9">
        <v>158.0</v>
      </c>
      <c r="F2662" s="14"/>
      <c r="G2662" s="15"/>
      <c r="H2662" s="15"/>
      <c r="I2662" s="14"/>
      <c r="P2662" s="14"/>
    </row>
    <row r="2663" ht="18.75" customHeight="1">
      <c r="A2663" s="7" t="s">
        <v>3168</v>
      </c>
      <c r="B2663" s="9">
        <v>56214.0</v>
      </c>
      <c r="C2663" s="9">
        <v>55101.0</v>
      </c>
      <c r="D2663" s="9">
        <v>16413.0</v>
      </c>
      <c r="E2663" s="9">
        <v>620.0</v>
      </c>
      <c r="F2663" s="14"/>
      <c r="G2663" s="15"/>
      <c r="H2663" s="15"/>
      <c r="I2663" s="14"/>
      <c r="P2663" s="14"/>
    </row>
    <row r="2664" ht="18.75" customHeight="1">
      <c r="A2664" s="7" t="s">
        <v>3313</v>
      </c>
      <c r="B2664" s="9">
        <v>56074.0</v>
      </c>
      <c r="C2664" s="9">
        <v>55103.0</v>
      </c>
      <c r="D2664" s="9">
        <v>15956.0</v>
      </c>
      <c r="E2664" s="9">
        <v>327.0</v>
      </c>
      <c r="F2664" s="14"/>
      <c r="G2664" s="15"/>
      <c r="H2664" s="15"/>
      <c r="I2664" s="14"/>
      <c r="P2664" s="14"/>
    </row>
    <row r="2665" ht="18.75" customHeight="1">
      <c r="A2665" s="7" t="s">
        <v>3221</v>
      </c>
      <c r="B2665" s="9">
        <v>55727.0</v>
      </c>
      <c r="C2665" s="9">
        <v>54686.0</v>
      </c>
      <c r="D2665" s="9">
        <v>15508.0</v>
      </c>
      <c r="E2665" s="9">
        <v>164.0</v>
      </c>
      <c r="F2665" s="14"/>
      <c r="G2665" s="15"/>
      <c r="H2665" s="15"/>
      <c r="I2665" s="14"/>
      <c r="P2665" s="14"/>
    </row>
    <row r="2666" ht="18.75" customHeight="1">
      <c r="A2666" s="7" t="s">
        <v>3319</v>
      </c>
      <c r="B2666" s="9">
        <v>15859.0</v>
      </c>
      <c r="C2666" s="9">
        <v>15526.0</v>
      </c>
      <c r="D2666" s="9">
        <v>4701.0</v>
      </c>
      <c r="E2666" s="9">
        <v>133.0</v>
      </c>
      <c r="F2666" s="14"/>
      <c r="G2666" s="15"/>
      <c r="H2666" s="15"/>
      <c r="I2666" s="14"/>
      <c r="P2666" s="14"/>
    </row>
    <row r="2667" ht="18.75" customHeight="1">
      <c r="A2667" s="7" t="s">
        <v>2834</v>
      </c>
      <c r="B2667" s="9">
        <v>15842.0</v>
      </c>
      <c r="C2667" s="9">
        <v>15840.0</v>
      </c>
      <c r="D2667" s="9">
        <v>3891.0</v>
      </c>
      <c r="E2667" s="9">
        <v>166.0</v>
      </c>
      <c r="F2667" s="14"/>
      <c r="G2667" s="15"/>
      <c r="H2667" s="15"/>
      <c r="I2667" s="14"/>
      <c r="P2667" s="14"/>
    </row>
    <row r="2668" ht="18.75" customHeight="1">
      <c r="A2668" s="7" t="s">
        <v>3212</v>
      </c>
      <c r="B2668" s="9">
        <v>15752.0</v>
      </c>
      <c r="C2668" s="9">
        <v>15463.0</v>
      </c>
      <c r="D2668" s="9">
        <v>4389.0</v>
      </c>
      <c r="E2668" s="9">
        <v>98.0</v>
      </c>
      <c r="F2668" s="14"/>
      <c r="G2668" s="15"/>
      <c r="H2668" s="15"/>
      <c r="I2668" s="14"/>
      <c r="P2668" s="14"/>
    </row>
    <row r="2669" ht="18.75" customHeight="1">
      <c r="A2669" s="7" t="s">
        <v>3226</v>
      </c>
      <c r="B2669" s="9">
        <v>15726.0</v>
      </c>
      <c r="C2669" s="9">
        <v>15428.0</v>
      </c>
      <c r="D2669" s="9">
        <v>5055.0</v>
      </c>
      <c r="E2669" s="9">
        <v>133.0</v>
      </c>
      <c r="F2669" s="14"/>
      <c r="G2669" s="15"/>
      <c r="H2669" s="15"/>
      <c r="I2669" s="14"/>
      <c r="P2669" s="14"/>
    </row>
    <row r="2670" ht="18.75" customHeight="1">
      <c r="A2670" s="7" t="s">
        <v>3355</v>
      </c>
      <c r="B2670" s="9">
        <v>51172.0</v>
      </c>
      <c r="C2670" s="9">
        <v>50219.0</v>
      </c>
      <c r="D2670" s="9">
        <v>14897.0</v>
      </c>
      <c r="E2670" s="9">
        <v>126.0</v>
      </c>
      <c r="F2670" s="14"/>
      <c r="G2670" s="15"/>
      <c r="H2670" s="15"/>
      <c r="I2670" s="14"/>
      <c r="P2670" s="14"/>
    </row>
    <row r="2671" ht="18.75" customHeight="1">
      <c r="A2671" s="7" t="s">
        <v>3355</v>
      </c>
      <c r="B2671" s="9">
        <v>15655.0</v>
      </c>
      <c r="C2671" s="9">
        <v>15358.0</v>
      </c>
      <c r="D2671" s="9">
        <v>3869.0</v>
      </c>
      <c r="E2671" s="9">
        <v>111.0</v>
      </c>
      <c r="F2671" s="14"/>
      <c r="G2671" s="15"/>
      <c r="H2671" s="15"/>
      <c r="I2671" s="14"/>
      <c r="P2671" s="14"/>
    </row>
    <row r="2672" ht="18.75" customHeight="1">
      <c r="A2672" s="7" t="s">
        <v>3492</v>
      </c>
      <c r="B2672" s="9">
        <v>15673.0</v>
      </c>
      <c r="C2672" s="9">
        <v>15354.0</v>
      </c>
      <c r="D2672" s="9">
        <v>3792.0</v>
      </c>
      <c r="E2672" s="9">
        <v>101.0</v>
      </c>
      <c r="F2672" s="14"/>
      <c r="G2672" s="15"/>
      <c r="H2672" s="15"/>
      <c r="I2672" s="14"/>
      <c r="P2672" s="14"/>
    </row>
    <row r="2673" ht="18.75" customHeight="1">
      <c r="A2673" s="7" t="s">
        <v>3493</v>
      </c>
      <c r="B2673" s="9">
        <v>48630.0</v>
      </c>
      <c r="C2673" s="9">
        <v>47854.0</v>
      </c>
      <c r="D2673" s="9">
        <v>21664.0</v>
      </c>
      <c r="E2673" s="9">
        <v>944.0</v>
      </c>
      <c r="F2673" s="14"/>
      <c r="G2673" s="15"/>
      <c r="H2673" s="15"/>
      <c r="I2673" s="14"/>
      <c r="P2673" s="14"/>
    </row>
    <row r="2674" ht="18.75" customHeight="1">
      <c r="A2674" s="7" t="s">
        <v>3479</v>
      </c>
      <c r="B2674" s="9">
        <v>2997.0</v>
      </c>
      <c r="C2674" s="9">
        <v>2986.0</v>
      </c>
      <c r="D2674" s="9">
        <v>1751.0</v>
      </c>
      <c r="E2674" s="9">
        <v>249.0</v>
      </c>
      <c r="F2674" s="14"/>
      <c r="G2674" s="15"/>
      <c r="H2674" s="15"/>
      <c r="I2674" s="14"/>
      <c r="P2674" s="14"/>
    </row>
    <row r="2675" ht="18.75" customHeight="1">
      <c r="A2675" s="7" t="s">
        <v>3264</v>
      </c>
      <c r="B2675" s="9">
        <v>15708.0</v>
      </c>
      <c r="C2675" s="9">
        <v>15402.0</v>
      </c>
      <c r="D2675" s="9">
        <v>4291.0</v>
      </c>
      <c r="E2675" s="9">
        <v>82.0</v>
      </c>
      <c r="F2675" s="14"/>
      <c r="G2675" s="15"/>
      <c r="H2675" s="15"/>
      <c r="I2675" s="14"/>
      <c r="P2675" s="14"/>
    </row>
    <row r="2676" ht="18.75" customHeight="1">
      <c r="A2676" s="7" t="s">
        <v>3494</v>
      </c>
      <c r="B2676" s="9">
        <v>19888.0</v>
      </c>
      <c r="C2676" s="9">
        <v>19594.0</v>
      </c>
      <c r="D2676" s="9">
        <v>5873.0</v>
      </c>
      <c r="E2676" s="9">
        <v>120.0</v>
      </c>
      <c r="F2676" s="14"/>
      <c r="G2676" s="15"/>
      <c r="H2676" s="15"/>
      <c r="I2676" s="14"/>
      <c r="P2676" s="14"/>
    </row>
    <row r="2677" ht="18.75" customHeight="1">
      <c r="A2677" s="7" t="s">
        <v>3173</v>
      </c>
      <c r="B2677" s="9">
        <v>22046.0</v>
      </c>
      <c r="C2677" s="9">
        <v>21632.0</v>
      </c>
      <c r="D2677" s="9">
        <v>5421.0</v>
      </c>
      <c r="E2677" s="9">
        <v>147.0</v>
      </c>
      <c r="F2677" s="14"/>
      <c r="G2677" s="15"/>
      <c r="H2677" s="15"/>
      <c r="I2677" s="14"/>
      <c r="P2677" s="14"/>
    </row>
    <row r="2678" ht="18.75" customHeight="1">
      <c r="A2678" s="7" t="s">
        <v>3238</v>
      </c>
      <c r="B2678" s="9">
        <v>22053.0</v>
      </c>
      <c r="C2678" s="9">
        <v>21654.0</v>
      </c>
      <c r="D2678" s="9">
        <v>5042.0</v>
      </c>
      <c r="E2678" s="9">
        <v>109.0</v>
      </c>
      <c r="F2678" s="14"/>
      <c r="G2678" s="15"/>
      <c r="H2678" s="15"/>
      <c r="I2678" s="14"/>
      <c r="P2678" s="14"/>
    </row>
    <row r="2679" ht="18.75" customHeight="1">
      <c r="A2679" s="7" t="s">
        <v>3495</v>
      </c>
      <c r="B2679" s="9">
        <v>77565.0</v>
      </c>
      <c r="C2679" s="9">
        <v>76279.0</v>
      </c>
      <c r="D2679" s="9">
        <v>20122.0</v>
      </c>
      <c r="E2679" s="9">
        <v>92.0</v>
      </c>
      <c r="F2679" s="14"/>
      <c r="G2679" s="15"/>
      <c r="H2679" s="15"/>
      <c r="I2679" s="14"/>
      <c r="P2679" s="14"/>
    </row>
    <row r="2680" ht="18.75" customHeight="1">
      <c r="A2680" s="7" t="s">
        <v>2832</v>
      </c>
      <c r="B2680" s="9">
        <v>22115.0</v>
      </c>
      <c r="C2680" s="9">
        <v>21715.0</v>
      </c>
      <c r="D2680" s="9">
        <v>5413.0</v>
      </c>
      <c r="E2680" s="9">
        <v>364.0</v>
      </c>
      <c r="F2680" s="14"/>
      <c r="G2680" s="15"/>
      <c r="H2680" s="15"/>
      <c r="I2680" s="14"/>
      <c r="P2680" s="14"/>
    </row>
    <row r="2681" ht="18.75" customHeight="1">
      <c r="A2681" s="7" t="s">
        <v>3278</v>
      </c>
      <c r="B2681" s="9">
        <v>22018.0</v>
      </c>
      <c r="C2681" s="9">
        <v>21631.0</v>
      </c>
      <c r="D2681" s="9">
        <v>4432.0</v>
      </c>
      <c r="E2681" s="9">
        <v>107.0</v>
      </c>
      <c r="F2681" s="14"/>
      <c r="G2681" s="15"/>
      <c r="H2681" s="15"/>
      <c r="I2681" s="14"/>
      <c r="P2681" s="14"/>
    </row>
    <row r="2682" ht="18.75" customHeight="1">
      <c r="A2682" s="7" t="s">
        <v>2849</v>
      </c>
      <c r="B2682" s="9">
        <v>18411.0</v>
      </c>
      <c r="C2682" s="9">
        <v>18040.0</v>
      </c>
      <c r="D2682" s="9">
        <v>3960.0</v>
      </c>
      <c r="E2682" s="9">
        <v>243.0</v>
      </c>
      <c r="F2682" s="14"/>
      <c r="G2682" s="15"/>
      <c r="H2682" s="15"/>
      <c r="I2682" s="14"/>
      <c r="P2682" s="14"/>
    </row>
    <row r="2683" ht="18.75" customHeight="1">
      <c r="A2683" s="7" t="s">
        <v>3204</v>
      </c>
      <c r="B2683" s="9">
        <v>18370.0</v>
      </c>
      <c r="C2683" s="9">
        <v>17997.0</v>
      </c>
      <c r="D2683" s="9">
        <v>3210.0</v>
      </c>
      <c r="E2683" s="9">
        <v>85.0</v>
      </c>
      <c r="F2683" s="14"/>
      <c r="G2683" s="15"/>
      <c r="H2683" s="15"/>
      <c r="I2683" s="14"/>
      <c r="P2683" s="14"/>
    </row>
    <row r="2684" ht="18.75" customHeight="1">
      <c r="A2684" s="7" t="s">
        <v>3213</v>
      </c>
      <c r="B2684" s="9">
        <v>18362.0</v>
      </c>
      <c r="C2684" s="9">
        <v>17993.0</v>
      </c>
      <c r="D2684" s="9">
        <v>3107.0</v>
      </c>
      <c r="E2684" s="9">
        <v>70.0</v>
      </c>
      <c r="F2684" s="14"/>
      <c r="G2684" s="15"/>
      <c r="H2684" s="15"/>
      <c r="I2684" s="14"/>
      <c r="P2684" s="14"/>
    </row>
    <row r="2685" ht="18.75" customHeight="1">
      <c r="A2685" s="7" t="s">
        <v>3357</v>
      </c>
      <c r="B2685" s="9">
        <v>18394.0</v>
      </c>
      <c r="C2685" s="9">
        <v>18013.0</v>
      </c>
      <c r="D2685" s="9">
        <v>4067.0</v>
      </c>
      <c r="E2685" s="9">
        <v>128.0</v>
      </c>
      <c r="F2685" s="14"/>
      <c r="G2685" s="15"/>
      <c r="H2685" s="15"/>
      <c r="I2685" s="14"/>
      <c r="P2685" s="14"/>
    </row>
    <row r="2686" ht="18.75" customHeight="1">
      <c r="A2686" s="7" t="s">
        <v>3311</v>
      </c>
      <c r="B2686" s="9">
        <v>18410.0</v>
      </c>
      <c r="C2686" s="9">
        <v>18024.0</v>
      </c>
      <c r="D2686" s="9">
        <v>3417.0</v>
      </c>
      <c r="E2686" s="9">
        <v>103.0</v>
      </c>
      <c r="F2686" s="14"/>
      <c r="G2686" s="15"/>
      <c r="H2686" s="15"/>
      <c r="I2686" s="14"/>
      <c r="P2686" s="14"/>
    </row>
    <row r="2687" ht="18.75" customHeight="1">
      <c r="A2687" s="7" t="s">
        <v>3328</v>
      </c>
      <c r="B2687" s="9">
        <v>18394.0</v>
      </c>
      <c r="C2687" s="9">
        <v>18013.0</v>
      </c>
      <c r="D2687" s="9">
        <v>3672.0</v>
      </c>
      <c r="E2687" s="9">
        <v>126.0</v>
      </c>
      <c r="F2687" s="14"/>
      <c r="G2687" s="15"/>
      <c r="H2687" s="15"/>
      <c r="I2687" s="14"/>
      <c r="P2687" s="14"/>
    </row>
    <row r="2688" ht="18.75" customHeight="1">
      <c r="A2688" s="7" t="s">
        <v>3247</v>
      </c>
      <c r="B2688" s="9">
        <v>75.0</v>
      </c>
      <c r="C2688" s="9">
        <v>74.0</v>
      </c>
      <c r="D2688" s="9">
        <v>43.0</v>
      </c>
      <c r="E2688" s="9">
        <v>0.0</v>
      </c>
      <c r="F2688" s="14"/>
      <c r="G2688" s="15"/>
      <c r="H2688" s="15"/>
      <c r="I2688" s="14"/>
      <c r="P2688" s="14"/>
    </row>
    <row r="2689" ht="18.75" customHeight="1">
      <c r="A2689" s="7" t="s">
        <v>3247</v>
      </c>
      <c r="B2689" s="9">
        <v>18373.0</v>
      </c>
      <c r="C2689" s="9">
        <v>18017.0</v>
      </c>
      <c r="D2689" s="9">
        <v>3544.0</v>
      </c>
      <c r="E2689" s="9">
        <v>93.0</v>
      </c>
      <c r="F2689" s="14"/>
      <c r="G2689" s="15"/>
      <c r="H2689" s="15"/>
      <c r="I2689" s="14"/>
      <c r="P2689" s="14"/>
    </row>
    <row r="2690" ht="18.75" customHeight="1">
      <c r="A2690" s="7" t="s">
        <v>3496</v>
      </c>
      <c r="B2690" s="9">
        <v>13604.0</v>
      </c>
      <c r="C2690" s="9">
        <v>13370.0</v>
      </c>
      <c r="D2690" s="9">
        <v>3923.0</v>
      </c>
      <c r="E2690" s="9">
        <v>146.0</v>
      </c>
      <c r="F2690" s="14"/>
      <c r="G2690" s="15"/>
      <c r="H2690" s="15"/>
      <c r="I2690" s="14"/>
      <c r="P2690" s="14"/>
    </row>
    <row r="2691" ht="18.75" customHeight="1">
      <c r="A2691" s="7" t="s">
        <v>3234</v>
      </c>
      <c r="B2691" s="9">
        <v>14036.0</v>
      </c>
      <c r="C2691" s="9">
        <v>13749.0</v>
      </c>
      <c r="D2691" s="9">
        <v>3144.0</v>
      </c>
      <c r="E2691" s="9">
        <v>68.0</v>
      </c>
      <c r="F2691" s="14"/>
      <c r="G2691" s="15"/>
      <c r="H2691" s="15"/>
      <c r="I2691" s="14"/>
      <c r="P2691" s="14"/>
    </row>
    <row r="2692" ht="18.75" customHeight="1">
      <c r="A2692" s="7" t="s">
        <v>2885</v>
      </c>
      <c r="B2692" s="9">
        <v>14178.0</v>
      </c>
      <c r="C2692" s="9">
        <v>13896.0</v>
      </c>
      <c r="D2692" s="9">
        <v>3414.0</v>
      </c>
      <c r="E2692" s="9">
        <v>149.0</v>
      </c>
      <c r="F2692" s="14"/>
      <c r="G2692" s="15"/>
      <c r="H2692" s="15"/>
      <c r="I2692" s="14"/>
      <c r="P2692" s="14"/>
    </row>
    <row r="2693" ht="18.75" customHeight="1">
      <c r="A2693" s="7" t="s">
        <v>3206</v>
      </c>
      <c r="B2693" s="9">
        <v>14145.0</v>
      </c>
      <c r="C2693" s="9">
        <v>13849.0</v>
      </c>
      <c r="D2693" s="9">
        <v>3379.0</v>
      </c>
      <c r="E2693" s="9">
        <v>75.0</v>
      </c>
      <c r="F2693" s="14"/>
      <c r="G2693" s="15"/>
      <c r="H2693" s="15"/>
      <c r="I2693" s="14"/>
      <c r="P2693" s="14"/>
    </row>
    <row r="2694" ht="18.75" customHeight="1">
      <c r="A2694" s="7" t="s">
        <v>2779</v>
      </c>
      <c r="B2694" s="9">
        <v>14100.0</v>
      </c>
      <c r="C2694" s="9">
        <v>13791.0</v>
      </c>
      <c r="D2694" s="9">
        <v>3470.0</v>
      </c>
      <c r="E2694" s="9">
        <v>220.0</v>
      </c>
      <c r="F2694" s="14"/>
      <c r="G2694" s="15"/>
      <c r="H2694" s="15"/>
      <c r="I2694" s="14"/>
      <c r="P2694" s="14"/>
    </row>
    <row r="2695" ht="18.75" customHeight="1">
      <c r="A2695" s="7" t="s">
        <v>3271</v>
      </c>
      <c r="B2695" s="9">
        <v>13991.0</v>
      </c>
      <c r="C2695" s="9">
        <v>13700.0</v>
      </c>
      <c r="D2695" s="9">
        <v>3057.0</v>
      </c>
      <c r="E2695" s="9">
        <v>74.0</v>
      </c>
      <c r="F2695" s="14"/>
      <c r="G2695" s="15"/>
      <c r="H2695" s="15"/>
      <c r="I2695" s="14"/>
      <c r="P2695" s="14"/>
    </row>
    <row r="2696" ht="18.75" customHeight="1">
      <c r="A2696" s="7" t="s">
        <v>3308</v>
      </c>
      <c r="B2696" s="9">
        <v>8319.0</v>
      </c>
      <c r="C2696" s="9">
        <v>8140.0</v>
      </c>
      <c r="D2696" s="9">
        <v>1663.0</v>
      </c>
      <c r="E2696" s="9">
        <v>79.0</v>
      </c>
      <c r="F2696" s="14"/>
      <c r="G2696" s="15"/>
      <c r="H2696" s="15"/>
      <c r="I2696" s="14"/>
      <c r="P2696" s="14"/>
    </row>
    <row r="2697" ht="18.75" customHeight="1">
      <c r="A2697" s="7" t="s">
        <v>2840</v>
      </c>
      <c r="B2697" s="9">
        <v>8323.0</v>
      </c>
      <c r="C2697" s="9">
        <v>8156.0</v>
      </c>
      <c r="D2697" s="9">
        <v>1932.0</v>
      </c>
      <c r="E2697" s="9">
        <v>177.0</v>
      </c>
      <c r="F2697" s="14"/>
      <c r="G2697" s="15"/>
      <c r="H2697" s="15"/>
      <c r="I2697" s="14"/>
      <c r="P2697" s="14"/>
    </row>
    <row r="2698" ht="18.75" customHeight="1">
      <c r="A2698" s="7" t="s">
        <v>3497</v>
      </c>
      <c r="B2698" s="9">
        <v>8296.0</v>
      </c>
      <c r="C2698" s="9">
        <v>8141.0</v>
      </c>
      <c r="D2698" s="9">
        <v>1686.0</v>
      </c>
      <c r="E2698" s="9">
        <v>58.0</v>
      </c>
      <c r="F2698" s="14"/>
      <c r="G2698" s="15"/>
      <c r="H2698" s="15"/>
      <c r="I2698" s="14"/>
      <c r="P2698" s="14"/>
    </row>
    <row r="2699" ht="18.75" customHeight="1">
      <c r="A2699" s="7" t="s">
        <v>2823</v>
      </c>
      <c r="B2699" s="9">
        <v>8290.0</v>
      </c>
      <c r="C2699" s="9">
        <v>8145.0</v>
      </c>
      <c r="D2699" s="9">
        <v>1696.0</v>
      </c>
      <c r="E2699" s="9">
        <v>122.0</v>
      </c>
      <c r="F2699" s="14"/>
      <c r="G2699" s="15"/>
      <c r="H2699" s="15"/>
      <c r="I2699" s="14"/>
      <c r="P2699" s="14"/>
    </row>
    <row r="2700" ht="18.75" customHeight="1">
      <c r="A2700" s="7" t="s">
        <v>3498</v>
      </c>
      <c r="B2700" s="9">
        <v>37362.0</v>
      </c>
      <c r="C2700" s="9">
        <v>36590.0</v>
      </c>
      <c r="D2700" s="9">
        <v>7051.0</v>
      </c>
      <c r="E2700" s="9">
        <v>207.0</v>
      </c>
      <c r="F2700" s="14"/>
      <c r="G2700" s="15"/>
      <c r="H2700" s="15"/>
      <c r="I2700" s="14"/>
      <c r="P2700" s="14"/>
    </row>
    <row r="2701" ht="18.75" customHeight="1">
      <c r="A2701" s="7" t="s">
        <v>3248</v>
      </c>
      <c r="B2701" s="9">
        <v>8322.0</v>
      </c>
      <c r="C2701" s="9">
        <v>8168.0</v>
      </c>
      <c r="D2701" s="9">
        <v>1862.0</v>
      </c>
      <c r="E2701" s="9">
        <v>54.0</v>
      </c>
      <c r="F2701" s="14"/>
      <c r="G2701" s="15"/>
      <c r="H2701" s="15"/>
      <c r="I2701" s="14"/>
      <c r="P2701" s="14"/>
    </row>
    <row r="2702" ht="18.75" customHeight="1">
      <c r="A2702" s="7" t="s">
        <v>3248</v>
      </c>
      <c r="B2702" s="9">
        <v>53.0</v>
      </c>
      <c r="C2702" s="9">
        <v>52.0</v>
      </c>
      <c r="D2702" s="9">
        <v>26.0</v>
      </c>
      <c r="E2702" s="9">
        <v>2.0</v>
      </c>
      <c r="F2702" s="14"/>
      <c r="G2702" s="15"/>
      <c r="H2702" s="15"/>
      <c r="I2702" s="14"/>
      <c r="P2702" s="14"/>
    </row>
    <row r="2703" ht="18.75" customHeight="1">
      <c r="A2703" s="7" t="s">
        <v>3499</v>
      </c>
      <c r="B2703" s="9">
        <v>41556.0</v>
      </c>
      <c r="C2703" s="9">
        <v>40970.0</v>
      </c>
      <c r="D2703" s="9">
        <v>8796.0</v>
      </c>
      <c r="E2703" s="9">
        <v>1635.0</v>
      </c>
      <c r="F2703" s="14"/>
      <c r="G2703" s="15"/>
      <c r="H2703" s="15"/>
      <c r="I2703" s="14"/>
      <c r="P2703" s="14"/>
    </row>
    <row r="2704" ht="18.75" customHeight="1">
      <c r="A2704" s="7" t="s">
        <v>2853</v>
      </c>
      <c r="B2704" s="9">
        <v>40582.0</v>
      </c>
      <c r="C2704" s="9">
        <v>39607.0</v>
      </c>
      <c r="D2704" s="9">
        <v>7285.0</v>
      </c>
      <c r="E2704" s="9">
        <v>443.0</v>
      </c>
      <c r="F2704" s="14"/>
      <c r="G2704" s="15"/>
      <c r="H2704" s="15"/>
      <c r="I2704" s="14"/>
      <c r="P2704" s="14"/>
    </row>
    <row r="2705" ht="18.75" customHeight="1">
      <c r="A2705" s="7" t="s">
        <v>3358</v>
      </c>
      <c r="B2705" s="9">
        <v>14216.0</v>
      </c>
      <c r="C2705" s="9">
        <v>13969.0</v>
      </c>
      <c r="D2705" s="9">
        <v>2759.0</v>
      </c>
      <c r="E2705" s="9">
        <v>69.0</v>
      </c>
      <c r="F2705" s="14"/>
      <c r="G2705" s="15"/>
      <c r="H2705" s="15"/>
      <c r="I2705" s="14"/>
      <c r="P2705" s="14"/>
    </row>
    <row r="2706" ht="18.75" customHeight="1">
      <c r="A2706" s="7" t="s">
        <v>3298</v>
      </c>
      <c r="B2706" s="9">
        <v>14236.0</v>
      </c>
      <c r="C2706" s="9">
        <v>13973.0</v>
      </c>
      <c r="D2706" s="9">
        <v>2826.0</v>
      </c>
      <c r="E2706" s="9">
        <v>94.0</v>
      </c>
      <c r="F2706" s="14"/>
      <c r="G2706" s="15"/>
      <c r="H2706" s="15"/>
      <c r="I2706" s="14"/>
      <c r="P2706" s="14"/>
    </row>
    <row r="2707" ht="18.75" customHeight="1">
      <c r="A2707" s="7" t="s">
        <v>2784</v>
      </c>
      <c r="B2707" s="9">
        <v>14304.0</v>
      </c>
      <c r="C2707" s="9">
        <v>14062.0</v>
      </c>
      <c r="D2707" s="9">
        <v>3068.0</v>
      </c>
      <c r="E2707" s="9">
        <v>190.0</v>
      </c>
      <c r="F2707" s="14"/>
      <c r="G2707" s="15"/>
      <c r="H2707" s="15"/>
      <c r="I2707" s="14"/>
      <c r="P2707" s="14"/>
    </row>
    <row r="2708" ht="18.75" customHeight="1">
      <c r="A2708" s="7" t="s">
        <v>3209</v>
      </c>
      <c r="B2708" s="9">
        <v>14233.0</v>
      </c>
      <c r="C2708" s="9">
        <v>13992.0</v>
      </c>
      <c r="D2708" s="9">
        <v>2814.0</v>
      </c>
      <c r="E2708" s="9">
        <v>77.0</v>
      </c>
      <c r="F2708" s="14"/>
      <c r="G2708" s="15"/>
      <c r="H2708" s="15"/>
      <c r="I2708" s="14"/>
      <c r="P2708" s="14"/>
    </row>
    <row r="2709" ht="18.75" customHeight="1">
      <c r="A2709" s="7" t="s">
        <v>2811</v>
      </c>
      <c r="B2709" s="9">
        <v>14232.0</v>
      </c>
      <c r="C2709" s="9">
        <v>13990.0</v>
      </c>
      <c r="D2709" s="9">
        <v>3229.0</v>
      </c>
      <c r="E2709" s="9">
        <v>183.0</v>
      </c>
      <c r="F2709" s="14"/>
      <c r="G2709" s="15"/>
      <c r="H2709" s="15"/>
      <c r="I2709" s="14"/>
      <c r="P2709" s="14"/>
    </row>
    <row r="2710" ht="18.75" customHeight="1">
      <c r="A2710" s="7" t="s">
        <v>3317</v>
      </c>
      <c r="B2710" s="9">
        <v>6429.0</v>
      </c>
      <c r="C2710" s="9">
        <v>6308.0</v>
      </c>
      <c r="D2710" s="9">
        <v>1556.0</v>
      </c>
      <c r="E2710" s="9">
        <v>62.0</v>
      </c>
      <c r="F2710" s="14"/>
      <c r="G2710" s="15"/>
      <c r="H2710" s="15"/>
      <c r="I2710" s="14"/>
      <c r="P2710" s="14"/>
    </row>
    <row r="2711" ht="18.75" customHeight="1">
      <c r="A2711" s="7" t="s">
        <v>2828</v>
      </c>
      <c r="B2711" s="9">
        <v>6413.0</v>
      </c>
      <c r="C2711" s="9">
        <v>6299.0</v>
      </c>
      <c r="D2711" s="9">
        <v>1750.0</v>
      </c>
      <c r="E2711" s="9">
        <v>150.0</v>
      </c>
      <c r="F2711" s="14"/>
      <c r="G2711" s="15"/>
      <c r="H2711" s="15"/>
      <c r="I2711" s="14"/>
      <c r="P2711" s="14"/>
    </row>
    <row r="2712" ht="18.75" customHeight="1">
      <c r="A2712" s="7" t="s">
        <v>3232</v>
      </c>
      <c r="B2712" s="9">
        <v>6432.0</v>
      </c>
      <c r="C2712" s="9">
        <v>6328.0</v>
      </c>
      <c r="D2712" s="9">
        <v>1496.0</v>
      </c>
      <c r="E2712" s="9">
        <v>41.0</v>
      </c>
      <c r="F2712" s="14"/>
      <c r="G2712" s="15"/>
      <c r="H2712" s="15"/>
      <c r="I2712" s="14"/>
      <c r="P2712" s="14"/>
    </row>
    <row r="2713" ht="18.75" customHeight="1">
      <c r="A2713" s="7" t="s">
        <v>3245</v>
      </c>
      <c r="B2713" s="9">
        <v>6396.0</v>
      </c>
      <c r="C2713" s="9">
        <v>6291.0</v>
      </c>
      <c r="D2713" s="9">
        <v>1425.0</v>
      </c>
      <c r="E2713" s="9">
        <v>40.0</v>
      </c>
      <c r="F2713" s="14"/>
      <c r="G2713" s="15"/>
      <c r="H2713" s="15"/>
      <c r="I2713" s="14"/>
      <c r="P2713" s="14"/>
    </row>
    <row r="2714" ht="18.75" customHeight="1">
      <c r="A2714" s="7" t="s">
        <v>3500</v>
      </c>
      <c r="B2714" s="9">
        <v>53972.0</v>
      </c>
      <c r="C2714" s="9">
        <v>52996.0</v>
      </c>
      <c r="D2714" s="9">
        <v>16492.0</v>
      </c>
      <c r="E2714" s="9">
        <v>341.0</v>
      </c>
      <c r="F2714" s="14"/>
      <c r="G2714" s="15"/>
      <c r="H2714" s="15"/>
      <c r="I2714" s="14"/>
      <c r="P2714" s="14"/>
    </row>
    <row r="2715" ht="18.75" customHeight="1">
      <c r="A2715" s="7" t="s">
        <v>2861</v>
      </c>
      <c r="B2715" s="9">
        <v>73604.0</v>
      </c>
      <c r="C2715" s="9">
        <v>72297.0</v>
      </c>
      <c r="D2715" s="9">
        <v>23645.0</v>
      </c>
      <c r="E2715" s="9">
        <v>296.0</v>
      </c>
      <c r="F2715" s="14"/>
      <c r="G2715" s="15"/>
      <c r="H2715" s="15"/>
      <c r="I2715" s="14"/>
      <c r="P2715" s="14"/>
    </row>
    <row r="2716" ht="18.75" customHeight="1">
      <c r="A2716" s="7" t="s">
        <v>2829</v>
      </c>
      <c r="B2716" s="9">
        <v>33277.0</v>
      </c>
      <c r="C2716" s="9">
        <v>32601.0</v>
      </c>
      <c r="D2716" s="9">
        <v>8503.0</v>
      </c>
      <c r="E2716" s="9">
        <v>549.0</v>
      </c>
      <c r="F2716" s="14"/>
      <c r="G2716" s="15"/>
      <c r="H2716" s="15"/>
      <c r="I2716" s="14"/>
      <c r="P2716" s="14"/>
    </row>
    <row r="2717" ht="18.75" customHeight="1">
      <c r="A2717" s="7" t="s">
        <v>3349</v>
      </c>
      <c r="B2717" s="9">
        <v>33000.0</v>
      </c>
      <c r="C2717" s="9">
        <v>32381.0</v>
      </c>
      <c r="D2717" s="9">
        <v>6868.0</v>
      </c>
      <c r="E2717" s="9">
        <v>349.0</v>
      </c>
      <c r="F2717" s="14"/>
      <c r="G2717" s="15"/>
      <c r="H2717" s="15"/>
      <c r="I2717" s="14"/>
      <c r="P2717" s="14"/>
    </row>
    <row r="2718" ht="18.75" customHeight="1">
      <c r="A2718" s="7" t="s">
        <v>3094</v>
      </c>
      <c r="B2718" s="9">
        <v>32884.0</v>
      </c>
      <c r="C2718" s="9">
        <v>32267.0</v>
      </c>
      <c r="D2718" s="9">
        <v>9924.0</v>
      </c>
      <c r="E2718" s="9">
        <v>130.0</v>
      </c>
      <c r="F2718" s="14"/>
      <c r="G2718" s="15"/>
      <c r="H2718" s="15"/>
      <c r="I2718" s="14"/>
      <c r="P2718" s="14"/>
    </row>
    <row r="2719" ht="18.75" customHeight="1">
      <c r="A2719" s="7" t="s">
        <v>3501</v>
      </c>
      <c r="B2719" s="9">
        <v>44261.0</v>
      </c>
      <c r="C2719" s="9">
        <v>43444.0</v>
      </c>
      <c r="D2719" s="9">
        <v>15092.0</v>
      </c>
      <c r="E2719" s="9">
        <v>562.0</v>
      </c>
      <c r="F2719" s="14"/>
      <c r="G2719" s="15"/>
      <c r="H2719" s="15"/>
      <c r="I2719" s="14"/>
      <c r="P2719" s="14"/>
    </row>
    <row r="2720" ht="18.75" customHeight="1">
      <c r="A2720" s="7" t="s">
        <v>3176</v>
      </c>
      <c r="B2720" s="9">
        <v>33099.0</v>
      </c>
      <c r="C2720" s="9">
        <v>32470.0</v>
      </c>
      <c r="D2720" s="9">
        <v>7475.0</v>
      </c>
      <c r="E2720" s="9">
        <v>220.0</v>
      </c>
      <c r="F2720" s="14"/>
      <c r="G2720" s="15"/>
      <c r="H2720" s="15"/>
      <c r="I2720" s="14"/>
      <c r="P2720" s="14"/>
    </row>
    <row r="2721" ht="18.75" customHeight="1">
      <c r="A2721" s="7" t="s">
        <v>3227</v>
      </c>
      <c r="B2721" s="9">
        <v>33067.0</v>
      </c>
      <c r="C2721" s="9">
        <v>32445.0</v>
      </c>
      <c r="D2721" s="9">
        <v>7032.0</v>
      </c>
      <c r="E2721" s="9">
        <v>186.0</v>
      </c>
      <c r="F2721" s="14"/>
      <c r="G2721" s="15"/>
      <c r="H2721" s="15"/>
      <c r="I2721" s="14"/>
      <c r="P2721" s="14"/>
    </row>
    <row r="2722" ht="18.75" customHeight="1">
      <c r="A2722" s="7" t="s">
        <v>3198</v>
      </c>
      <c r="B2722" s="9">
        <v>24099.0</v>
      </c>
      <c r="C2722" s="9">
        <v>23667.0</v>
      </c>
      <c r="D2722" s="9">
        <v>5813.0</v>
      </c>
      <c r="E2722" s="9">
        <v>183.0</v>
      </c>
      <c r="F2722" s="14"/>
      <c r="G2722" s="15"/>
      <c r="H2722" s="15"/>
      <c r="I2722" s="14"/>
      <c r="P2722" s="14"/>
    </row>
    <row r="2723" ht="18.75" customHeight="1">
      <c r="A2723" s="7" t="s">
        <v>3336</v>
      </c>
      <c r="B2723" s="9">
        <v>24044.0</v>
      </c>
      <c r="C2723" s="9">
        <v>23572.0</v>
      </c>
      <c r="D2723" s="9">
        <v>5496.0</v>
      </c>
      <c r="E2723" s="9">
        <v>195.0</v>
      </c>
      <c r="F2723" s="14"/>
      <c r="G2723" s="15"/>
      <c r="H2723" s="15"/>
      <c r="I2723" s="14"/>
      <c r="P2723" s="14"/>
    </row>
    <row r="2724" ht="18.75" customHeight="1">
      <c r="A2724" s="7" t="s">
        <v>2821</v>
      </c>
      <c r="B2724" s="9">
        <v>24045.0</v>
      </c>
      <c r="C2724" s="9">
        <v>23581.0</v>
      </c>
      <c r="D2724" s="9">
        <v>6434.0</v>
      </c>
      <c r="E2724" s="9">
        <v>368.0</v>
      </c>
      <c r="F2724" s="14"/>
      <c r="G2724" s="15"/>
      <c r="H2724" s="15"/>
      <c r="I2724" s="14"/>
      <c r="P2724" s="14"/>
    </row>
    <row r="2725" ht="18.75" customHeight="1">
      <c r="A2725" s="7" t="s">
        <v>3395</v>
      </c>
      <c r="B2725" s="9">
        <v>4879.0</v>
      </c>
      <c r="C2725" s="9">
        <v>4794.0</v>
      </c>
      <c r="D2725" s="9">
        <v>1638.0</v>
      </c>
      <c r="E2725" s="9">
        <v>41.0</v>
      </c>
      <c r="F2725" s="14"/>
      <c r="G2725" s="15"/>
      <c r="H2725" s="15"/>
      <c r="I2725" s="14"/>
      <c r="P2725" s="14"/>
    </row>
    <row r="2726" ht="18.75" customHeight="1">
      <c r="A2726" s="7" t="s">
        <v>3164</v>
      </c>
      <c r="B2726" s="9">
        <v>23990.0</v>
      </c>
      <c r="C2726" s="9">
        <v>23505.0</v>
      </c>
      <c r="D2726" s="9">
        <v>5412.0</v>
      </c>
      <c r="E2726" s="9">
        <v>143.0</v>
      </c>
      <c r="F2726" s="14"/>
      <c r="G2726" s="15"/>
      <c r="H2726" s="15"/>
      <c r="I2726" s="14"/>
      <c r="P2726" s="14"/>
    </row>
    <row r="2727" ht="18.75" customHeight="1">
      <c r="A2727" s="7" t="s">
        <v>3462</v>
      </c>
      <c r="B2727" s="9">
        <v>26448.0</v>
      </c>
      <c r="C2727" s="9">
        <v>26006.0</v>
      </c>
      <c r="D2727" s="9">
        <v>8900.0</v>
      </c>
      <c r="E2727" s="9">
        <v>562.0</v>
      </c>
      <c r="F2727" s="14"/>
      <c r="G2727" s="15"/>
      <c r="H2727" s="15"/>
      <c r="I2727" s="14"/>
      <c r="P2727" s="14"/>
    </row>
    <row r="2728" ht="18.75" customHeight="1">
      <c r="A2728" s="7" t="s">
        <v>3316</v>
      </c>
      <c r="B2728" s="9">
        <v>30146.0</v>
      </c>
      <c r="C2728" s="9">
        <v>29660.0</v>
      </c>
      <c r="D2728" s="9">
        <v>7984.0</v>
      </c>
      <c r="E2728" s="9">
        <v>267.0</v>
      </c>
      <c r="F2728" s="14"/>
      <c r="G2728" s="15"/>
      <c r="H2728" s="15"/>
      <c r="I2728" s="14"/>
      <c r="P2728" s="14"/>
    </row>
    <row r="2729" ht="18.75" customHeight="1">
      <c r="A2729" s="7" t="s">
        <v>3340</v>
      </c>
      <c r="B2729" s="9">
        <v>29982.0</v>
      </c>
      <c r="C2729" s="9">
        <v>29467.0</v>
      </c>
      <c r="D2729" s="9">
        <v>7636.0</v>
      </c>
      <c r="E2729" s="9">
        <v>176.0</v>
      </c>
      <c r="F2729" s="14"/>
      <c r="G2729" s="15"/>
      <c r="H2729" s="15"/>
      <c r="I2729" s="14"/>
      <c r="P2729" s="14"/>
    </row>
    <row r="2730" ht="18.75" customHeight="1">
      <c r="A2730" s="7" t="s">
        <v>3179</v>
      </c>
      <c r="B2730" s="9">
        <v>13932.0</v>
      </c>
      <c r="C2730" s="9">
        <v>13678.0</v>
      </c>
      <c r="D2730" s="9">
        <v>2766.0</v>
      </c>
      <c r="E2730" s="9">
        <v>75.0</v>
      </c>
      <c r="F2730" s="14"/>
      <c r="G2730" s="15"/>
      <c r="H2730" s="15"/>
      <c r="I2730" s="14"/>
      <c r="P2730" s="14"/>
    </row>
    <row r="2731" ht="18.75" customHeight="1">
      <c r="A2731" s="7" t="s">
        <v>2827</v>
      </c>
      <c r="B2731" s="9">
        <v>13901.0</v>
      </c>
      <c r="C2731" s="9">
        <v>13651.0</v>
      </c>
      <c r="D2731" s="9">
        <v>3217.0</v>
      </c>
      <c r="E2731" s="9">
        <v>180.0</v>
      </c>
      <c r="F2731" s="14"/>
      <c r="G2731" s="15"/>
      <c r="H2731" s="15"/>
      <c r="I2731" s="14"/>
      <c r="P2731" s="14"/>
    </row>
    <row r="2732" ht="18.75" customHeight="1">
      <c r="A2732" s="7" t="s">
        <v>3502</v>
      </c>
      <c r="B2732" s="9">
        <v>13966.0</v>
      </c>
      <c r="C2732" s="9">
        <v>13720.0</v>
      </c>
      <c r="D2732" s="9">
        <v>2982.0</v>
      </c>
      <c r="E2732" s="9">
        <v>117.0</v>
      </c>
      <c r="F2732" s="14"/>
      <c r="G2732" s="15"/>
      <c r="H2732" s="15"/>
      <c r="I2732" s="14"/>
      <c r="P2732" s="14"/>
    </row>
    <row r="2733" ht="18.75" customHeight="1">
      <c r="A2733" s="7" t="s">
        <v>3326</v>
      </c>
      <c r="B2733" s="9">
        <v>14003.0</v>
      </c>
      <c r="C2733" s="9">
        <v>13748.0</v>
      </c>
      <c r="D2733" s="9">
        <v>2861.0</v>
      </c>
      <c r="E2733" s="9">
        <v>84.0</v>
      </c>
      <c r="F2733" s="14"/>
      <c r="G2733" s="15"/>
      <c r="H2733" s="15"/>
      <c r="I2733" s="14"/>
      <c r="P2733" s="14"/>
    </row>
    <row r="2734" ht="18.75" customHeight="1">
      <c r="A2734" s="7" t="s">
        <v>2818</v>
      </c>
      <c r="B2734" s="9">
        <v>13954.0</v>
      </c>
      <c r="C2734" s="9">
        <v>13705.0</v>
      </c>
      <c r="D2734" s="9">
        <v>2756.0</v>
      </c>
      <c r="E2734" s="9">
        <v>178.0</v>
      </c>
      <c r="F2734" s="14"/>
      <c r="G2734" s="15"/>
      <c r="H2734" s="15"/>
      <c r="I2734" s="14"/>
      <c r="P2734" s="14"/>
    </row>
    <row r="2735" ht="18.75" customHeight="1">
      <c r="A2735" s="7" t="s">
        <v>3503</v>
      </c>
      <c r="B2735" s="9">
        <v>108120.0</v>
      </c>
      <c r="C2735" s="9">
        <v>106361.0</v>
      </c>
      <c r="D2735" s="9">
        <v>39369.0</v>
      </c>
      <c r="E2735" s="9">
        <v>1024.0</v>
      </c>
      <c r="F2735" s="14"/>
      <c r="G2735" s="15"/>
      <c r="H2735" s="15"/>
      <c r="I2735" s="14"/>
      <c r="P2735" s="14"/>
    </row>
    <row r="2736" ht="18.75" customHeight="1">
      <c r="A2736" s="7" t="s">
        <v>3184</v>
      </c>
      <c r="B2736" s="9">
        <v>40712.0</v>
      </c>
      <c r="C2736" s="9">
        <v>39766.0</v>
      </c>
      <c r="D2736" s="9">
        <v>5789.0</v>
      </c>
      <c r="E2736" s="9">
        <v>108.0</v>
      </c>
      <c r="F2736" s="14"/>
      <c r="G2736" s="15"/>
      <c r="H2736" s="15"/>
      <c r="I2736" s="14"/>
      <c r="P2736" s="14"/>
    </row>
    <row r="2737" ht="18.75" customHeight="1">
      <c r="A2737" s="7" t="s">
        <v>2696</v>
      </c>
      <c r="B2737" s="9">
        <v>40690.0</v>
      </c>
      <c r="C2737" s="9">
        <v>39729.0</v>
      </c>
      <c r="D2737" s="9">
        <v>9397.0</v>
      </c>
      <c r="E2737" s="9">
        <v>161.0</v>
      </c>
      <c r="F2737" s="14"/>
      <c r="G2737" s="15"/>
      <c r="H2737" s="15"/>
      <c r="I2737" s="14"/>
      <c r="P2737" s="14"/>
    </row>
    <row r="2738" ht="18.75" customHeight="1">
      <c r="A2738" s="7" t="s">
        <v>3504</v>
      </c>
      <c r="B2738" s="9">
        <v>67422.0</v>
      </c>
      <c r="C2738" s="9">
        <v>66037.0</v>
      </c>
      <c r="D2738" s="9">
        <v>18529.0</v>
      </c>
      <c r="E2738" s="9">
        <v>248.0</v>
      </c>
      <c r="F2738" s="14"/>
      <c r="G2738" s="15"/>
      <c r="H2738" s="15"/>
      <c r="I2738" s="14"/>
      <c r="P2738" s="14"/>
    </row>
    <row r="2739" ht="18.75" customHeight="1">
      <c r="A2739" s="7" t="s">
        <v>3407</v>
      </c>
      <c r="B2739" s="9">
        <v>40581.0</v>
      </c>
      <c r="C2739" s="9">
        <v>39580.0</v>
      </c>
      <c r="D2739" s="9">
        <v>6366.0</v>
      </c>
      <c r="E2739" s="9">
        <v>158.0</v>
      </c>
      <c r="F2739" s="14"/>
      <c r="G2739" s="15"/>
      <c r="H2739" s="15"/>
      <c r="I2739" s="14"/>
      <c r="P2739" s="14"/>
    </row>
    <row r="2740" ht="18.75" customHeight="1">
      <c r="A2740" s="7" t="s">
        <v>3339</v>
      </c>
      <c r="B2740" s="9">
        <v>40718.0</v>
      </c>
      <c r="C2740" s="9">
        <v>39713.0</v>
      </c>
      <c r="D2740" s="9">
        <v>5618.0</v>
      </c>
      <c r="E2740" s="9">
        <v>135.0</v>
      </c>
      <c r="F2740" s="14"/>
      <c r="G2740" s="15"/>
      <c r="H2740" s="15"/>
      <c r="I2740" s="14"/>
      <c r="P2740" s="14"/>
    </row>
    <row r="2741" ht="18.75" customHeight="1">
      <c r="A2741" s="7" t="s">
        <v>3307</v>
      </c>
      <c r="B2741" s="9">
        <v>14554.0</v>
      </c>
      <c r="C2741" s="9">
        <v>14315.0</v>
      </c>
      <c r="D2741" s="9">
        <v>2498.0</v>
      </c>
      <c r="E2741" s="9">
        <v>96.0</v>
      </c>
      <c r="F2741" s="14"/>
      <c r="G2741" s="15"/>
      <c r="H2741" s="15"/>
      <c r="I2741" s="14"/>
      <c r="P2741" s="14"/>
    </row>
    <row r="2742" ht="18.75" customHeight="1">
      <c r="A2742" s="7" t="s">
        <v>3323</v>
      </c>
      <c r="B2742" s="9">
        <v>14525.0</v>
      </c>
      <c r="C2742" s="9">
        <v>14281.0</v>
      </c>
      <c r="D2742" s="9">
        <v>3307.0</v>
      </c>
      <c r="E2742" s="9">
        <v>135.0</v>
      </c>
      <c r="F2742" s="14"/>
      <c r="G2742" s="15"/>
      <c r="H2742" s="15"/>
      <c r="I2742" s="14"/>
      <c r="P2742" s="14"/>
    </row>
    <row r="2743" ht="18.75" customHeight="1">
      <c r="A2743" s="7" t="s">
        <v>3335</v>
      </c>
      <c r="B2743" s="9">
        <v>14517.0</v>
      </c>
      <c r="C2743" s="9">
        <v>14278.0</v>
      </c>
      <c r="D2743" s="9">
        <v>3186.0</v>
      </c>
      <c r="E2743" s="9">
        <v>79.0</v>
      </c>
      <c r="F2743" s="14"/>
      <c r="G2743" s="15"/>
      <c r="H2743" s="15"/>
      <c r="I2743" s="14"/>
      <c r="P2743" s="14"/>
    </row>
    <row r="2744" ht="18.75" customHeight="1">
      <c r="A2744" s="7" t="s">
        <v>2825</v>
      </c>
      <c r="B2744" s="9">
        <v>14474.0</v>
      </c>
      <c r="C2744" s="9">
        <v>14251.0</v>
      </c>
      <c r="D2744" s="9">
        <v>3377.0</v>
      </c>
      <c r="E2744" s="9">
        <v>208.0</v>
      </c>
      <c r="F2744" s="14"/>
      <c r="G2744" s="15"/>
      <c r="H2744" s="15"/>
      <c r="I2744" s="14"/>
      <c r="P2744" s="14"/>
    </row>
    <row r="2745" ht="18.75" customHeight="1">
      <c r="A2745" s="7" t="s">
        <v>3178</v>
      </c>
      <c r="B2745" s="9">
        <v>14511.0</v>
      </c>
      <c r="C2745" s="9">
        <v>14284.0</v>
      </c>
      <c r="D2745" s="9">
        <v>2848.0</v>
      </c>
      <c r="E2745" s="9">
        <v>83.0</v>
      </c>
      <c r="F2745" s="14"/>
      <c r="G2745" s="15"/>
      <c r="H2745" s="15"/>
      <c r="I2745" s="14"/>
      <c r="P2745" s="14"/>
    </row>
    <row r="2746" ht="18.75" customHeight="1">
      <c r="A2746" s="7" t="s">
        <v>2850</v>
      </c>
      <c r="B2746" s="9">
        <v>9302.0</v>
      </c>
      <c r="C2746" s="9">
        <v>9138.0</v>
      </c>
      <c r="D2746" s="9">
        <v>2460.0</v>
      </c>
      <c r="E2746" s="9">
        <v>142.0</v>
      </c>
      <c r="F2746" s="14"/>
      <c r="G2746" s="15"/>
      <c r="H2746" s="15"/>
      <c r="I2746" s="14"/>
      <c r="P2746" s="14"/>
    </row>
    <row r="2747" ht="18.75" customHeight="1">
      <c r="A2747" s="7" t="s">
        <v>2830</v>
      </c>
      <c r="B2747" s="9">
        <v>9198.0</v>
      </c>
      <c r="C2747" s="9">
        <v>9023.0</v>
      </c>
      <c r="D2747" s="9">
        <v>1937.0</v>
      </c>
      <c r="E2747" s="9">
        <v>111.0</v>
      </c>
      <c r="F2747" s="14"/>
      <c r="G2747" s="15"/>
      <c r="H2747" s="15"/>
      <c r="I2747" s="14"/>
      <c r="P2747" s="14"/>
    </row>
    <row r="2748" ht="18.75" customHeight="1">
      <c r="A2748" s="7" t="s">
        <v>3094</v>
      </c>
      <c r="B2748" s="9">
        <v>9167.0</v>
      </c>
      <c r="C2748" s="9">
        <v>8985.0</v>
      </c>
      <c r="D2748" s="9">
        <v>2982.0</v>
      </c>
      <c r="E2748" s="9">
        <v>64.0</v>
      </c>
      <c r="F2748" s="14"/>
      <c r="G2748" s="15"/>
      <c r="H2748" s="15"/>
      <c r="I2748" s="14"/>
      <c r="P2748" s="14"/>
    </row>
    <row r="2749" ht="18.75" customHeight="1">
      <c r="A2749" s="7" t="s">
        <v>3287</v>
      </c>
      <c r="B2749" s="9">
        <v>9196.0</v>
      </c>
      <c r="C2749" s="9">
        <v>9016.0</v>
      </c>
      <c r="D2749" s="9">
        <v>2046.0</v>
      </c>
      <c r="E2749" s="9">
        <v>60.0</v>
      </c>
      <c r="F2749" s="14"/>
      <c r="G2749" s="15"/>
      <c r="H2749" s="15"/>
      <c r="I2749" s="14"/>
      <c r="P2749" s="14"/>
    </row>
    <row r="2750" ht="18.75" customHeight="1">
      <c r="A2750" s="7" t="s">
        <v>3389</v>
      </c>
      <c r="B2750" s="9">
        <v>9333.0</v>
      </c>
      <c r="C2750" s="9">
        <v>9186.0</v>
      </c>
      <c r="D2750" s="9">
        <v>2665.0</v>
      </c>
      <c r="E2750" s="9">
        <v>93.0</v>
      </c>
      <c r="F2750" s="14"/>
      <c r="G2750" s="15"/>
      <c r="H2750" s="15"/>
      <c r="I2750" s="14"/>
      <c r="P2750" s="14"/>
    </row>
    <row r="2751" ht="18.75" customHeight="1">
      <c r="A2751" s="7" t="s">
        <v>3194</v>
      </c>
      <c r="B2751" s="9">
        <v>9282.0</v>
      </c>
      <c r="C2751" s="9">
        <v>9134.0</v>
      </c>
      <c r="D2751" s="9">
        <v>2135.0</v>
      </c>
      <c r="E2751" s="9">
        <v>53.0</v>
      </c>
      <c r="F2751" s="14"/>
      <c r="G2751" s="15"/>
      <c r="H2751" s="15"/>
      <c r="I2751" s="14"/>
      <c r="P2751" s="14"/>
    </row>
    <row r="2752" ht="18.75" customHeight="1">
      <c r="A2752" s="7" t="s">
        <v>3202</v>
      </c>
      <c r="B2752" s="9">
        <v>9270.0</v>
      </c>
      <c r="C2752" s="9">
        <v>9092.0</v>
      </c>
      <c r="D2752" s="9">
        <v>2389.0</v>
      </c>
      <c r="E2752" s="9">
        <v>141.0</v>
      </c>
      <c r="F2752" s="14"/>
      <c r="G2752" s="15"/>
      <c r="H2752" s="15"/>
      <c r="I2752" s="14"/>
      <c r="P2752" s="14"/>
    </row>
    <row r="2753" ht="18.75" customHeight="1">
      <c r="A2753" s="7" t="s">
        <v>3182</v>
      </c>
      <c r="B2753" s="9">
        <v>9221.0</v>
      </c>
      <c r="C2753" s="9">
        <v>9051.0</v>
      </c>
      <c r="D2753" s="9">
        <v>2127.0</v>
      </c>
      <c r="E2753" s="9">
        <v>46.0</v>
      </c>
      <c r="F2753" s="14"/>
      <c r="G2753" s="15"/>
      <c r="H2753" s="15"/>
      <c r="I2753" s="14"/>
      <c r="P2753" s="14"/>
    </row>
    <row r="2754" ht="18.75" customHeight="1">
      <c r="A2754" s="7" t="s">
        <v>3199</v>
      </c>
      <c r="B2754" s="9">
        <v>18679.0</v>
      </c>
      <c r="C2754" s="9">
        <v>18337.0</v>
      </c>
      <c r="D2754" s="9">
        <v>4190.0</v>
      </c>
      <c r="E2754" s="9">
        <v>96.0</v>
      </c>
      <c r="F2754" s="14"/>
      <c r="G2754" s="15"/>
      <c r="H2754" s="15"/>
      <c r="I2754" s="14"/>
      <c r="P2754" s="14"/>
    </row>
    <row r="2755" ht="18.75" customHeight="1">
      <c r="A2755" s="7" t="s">
        <v>3299</v>
      </c>
      <c r="B2755" s="9">
        <v>18660.0</v>
      </c>
      <c r="C2755" s="9">
        <v>18339.0</v>
      </c>
      <c r="D2755" s="9">
        <v>4411.0</v>
      </c>
      <c r="E2755" s="9">
        <v>122.0</v>
      </c>
      <c r="F2755" s="14"/>
      <c r="G2755" s="15"/>
      <c r="H2755" s="15"/>
      <c r="I2755" s="14"/>
      <c r="P2755" s="14"/>
    </row>
    <row r="2756" ht="18.75" customHeight="1">
      <c r="A2756" s="7" t="s">
        <v>2813</v>
      </c>
      <c r="B2756" s="9">
        <v>18526.0</v>
      </c>
      <c r="C2756" s="9">
        <v>18201.0</v>
      </c>
      <c r="D2756" s="9">
        <v>3723.0</v>
      </c>
      <c r="E2756" s="9">
        <v>211.0</v>
      </c>
      <c r="F2756" s="14"/>
      <c r="G2756" s="15"/>
      <c r="H2756" s="15"/>
      <c r="I2756" s="14"/>
      <c r="P2756" s="14"/>
    </row>
    <row r="2757" ht="18.75" customHeight="1">
      <c r="A2757" s="7" t="s">
        <v>3208</v>
      </c>
      <c r="B2757" s="9">
        <v>18603.0</v>
      </c>
      <c r="C2757" s="9">
        <v>18269.0</v>
      </c>
      <c r="D2757" s="9">
        <v>4173.0</v>
      </c>
      <c r="E2757" s="9">
        <v>84.0</v>
      </c>
      <c r="F2757" s="14"/>
      <c r="G2757" s="15"/>
      <c r="H2757" s="15"/>
      <c r="I2757" s="14"/>
      <c r="P2757" s="14"/>
    </row>
    <row r="2758" ht="18.75" customHeight="1">
      <c r="A2758" s="7" t="s">
        <v>3219</v>
      </c>
      <c r="B2758" s="9">
        <v>18592.0</v>
      </c>
      <c r="C2758" s="9">
        <v>18246.0</v>
      </c>
      <c r="D2758" s="9">
        <v>4172.0</v>
      </c>
      <c r="E2758" s="9">
        <v>102.0</v>
      </c>
      <c r="F2758" s="14"/>
      <c r="G2758" s="15"/>
      <c r="H2758" s="15"/>
      <c r="I2758" s="14"/>
      <c r="P2758" s="14"/>
    </row>
    <row r="2759" ht="18.75" customHeight="1">
      <c r="A2759" s="7" t="s">
        <v>3329</v>
      </c>
      <c r="B2759" s="9">
        <v>6153.0</v>
      </c>
      <c r="C2759" s="9">
        <v>6056.0</v>
      </c>
      <c r="D2759" s="9">
        <v>1537.0</v>
      </c>
      <c r="E2759" s="9">
        <v>69.0</v>
      </c>
      <c r="F2759" s="14"/>
      <c r="G2759" s="15"/>
      <c r="H2759" s="15"/>
      <c r="I2759" s="14"/>
      <c r="P2759" s="14"/>
    </row>
    <row r="2760" ht="18.75" customHeight="1">
      <c r="A2760" s="7" t="s">
        <v>2822</v>
      </c>
      <c r="B2760" s="9">
        <v>6129.0</v>
      </c>
      <c r="C2760" s="9">
        <v>6024.0</v>
      </c>
      <c r="D2760" s="9">
        <v>1350.0</v>
      </c>
      <c r="E2760" s="9">
        <v>105.0</v>
      </c>
      <c r="F2760" s="14"/>
      <c r="G2760" s="15"/>
      <c r="H2760" s="15"/>
      <c r="I2760" s="14"/>
      <c r="P2760" s="14"/>
    </row>
    <row r="2761" ht="18.75" customHeight="1">
      <c r="A2761" s="7" t="s">
        <v>3223</v>
      </c>
      <c r="B2761" s="9">
        <v>6141.0</v>
      </c>
      <c r="C2761" s="9">
        <v>6036.0</v>
      </c>
      <c r="D2761" s="9">
        <v>1471.0</v>
      </c>
      <c r="E2761" s="9">
        <v>125.0</v>
      </c>
      <c r="F2761" s="14"/>
      <c r="G2761" s="15"/>
      <c r="H2761" s="15"/>
      <c r="I2761" s="14"/>
      <c r="P2761" s="14"/>
    </row>
    <row r="2762" ht="18.75" customHeight="1">
      <c r="A2762" s="7" t="s">
        <v>3196</v>
      </c>
      <c r="B2762" s="9">
        <v>7472.0</v>
      </c>
      <c r="C2762" s="9">
        <v>7296.0</v>
      </c>
      <c r="D2762" s="9">
        <v>1128.0</v>
      </c>
      <c r="E2762" s="9">
        <v>38.0</v>
      </c>
      <c r="F2762" s="14"/>
      <c r="G2762" s="15"/>
      <c r="H2762" s="15"/>
      <c r="I2762" s="14"/>
      <c r="P2762" s="14"/>
    </row>
    <row r="2763" ht="18.75" customHeight="1">
      <c r="A2763" s="7" t="s">
        <v>2826</v>
      </c>
      <c r="B2763" s="9">
        <v>7459.0</v>
      </c>
      <c r="C2763" s="9">
        <v>7280.0</v>
      </c>
      <c r="D2763" s="9">
        <v>1660.0</v>
      </c>
      <c r="E2763" s="9">
        <v>101.0</v>
      </c>
      <c r="F2763" s="14"/>
      <c r="G2763" s="15"/>
      <c r="H2763" s="15"/>
      <c r="I2763" s="14"/>
      <c r="P2763" s="14"/>
    </row>
    <row r="2764" ht="18.75" customHeight="1">
      <c r="A2764" s="7" t="s">
        <v>3310</v>
      </c>
      <c r="B2764" s="9">
        <v>14449.0</v>
      </c>
      <c r="C2764" s="9">
        <v>14155.0</v>
      </c>
      <c r="D2764" s="9">
        <v>2745.0</v>
      </c>
      <c r="E2764" s="9">
        <v>101.0</v>
      </c>
      <c r="F2764" s="14"/>
      <c r="G2764" s="15"/>
      <c r="H2764" s="15"/>
      <c r="I2764" s="14"/>
      <c r="P2764" s="14"/>
    </row>
    <row r="2765" ht="18.75" customHeight="1">
      <c r="A2765" s="7" t="s">
        <v>3395</v>
      </c>
      <c r="B2765" s="9">
        <v>14451.0</v>
      </c>
      <c r="C2765" s="9">
        <v>14161.0</v>
      </c>
      <c r="D2765" s="9">
        <v>4149.0</v>
      </c>
      <c r="E2765" s="9">
        <v>196.0</v>
      </c>
      <c r="F2765" s="14"/>
      <c r="G2765" s="15"/>
      <c r="H2765" s="15"/>
      <c r="I2765" s="14"/>
      <c r="P2765" s="14"/>
    </row>
    <row r="2766" ht="18.75" customHeight="1">
      <c r="A2766" s="7" t="s">
        <v>2817</v>
      </c>
      <c r="B2766" s="9">
        <v>14435.0</v>
      </c>
      <c r="C2766" s="9">
        <v>14149.0</v>
      </c>
      <c r="D2766" s="9">
        <v>3526.0</v>
      </c>
      <c r="E2766" s="9">
        <v>224.0</v>
      </c>
      <c r="F2766" s="14"/>
      <c r="G2766" s="15"/>
      <c r="H2766" s="15"/>
      <c r="I2766" s="14"/>
      <c r="P2766" s="14"/>
    </row>
    <row r="2767" ht="18.75" customHeight="1">
      <c r="A2767" s="7" t="s">
        <v>3505</v>
      </c>
      <c r="B2767" s="9">
        <v>14406.0</v>
      </c>
      <c r="C2767" s="9">
        <v>14098.0</v>
      </c>
      <c r="D2767" s="9">
        <v>3066.0</v>
      </c>
      <c r="E2767" s="9">
        <v>98.0</v>
      </c>
      <c r="F2767" s="14"/>
      <c r="G2767" s="15"/>
      <c r="H2767" s="15"/>
      <c r="I2767" s="14"/>
      <c r="P2767" s="14"/>
    </row>
    <row r="2768" ht="18.75" customHeight="1">
      <c r="A2768" s="7" t="s">
        <v>2756</v>
      </c>
      <c r="B2768" s="9">
        <v>14393.0</v>
      </c>
      <c r="C2768" s="9">
        <v>14086.0</v>
      </c>
      <c r="D2768" s="9">
        <v>3204.0</v>
      </c>
      <c r="E2768" s="9">
        <v>305.0</v>
      </c>
      <c r="F2768" s="14"/>
      <c r="G2768" s="15"/>
      <c r="H2768" s="15"/>
      <c r="I2768" s="14"/>
      <c r="P2768" s="14"/>
    </row>
    <row r="2769" ht="18.75" customHeight="1">
      <c r="A2769" s="7" t="s">
        <v>2851</v>
      </c>
      <c r="B2769" s="9">
        <v>12740.0</v>
      </c>
      <c r="C2769" s="9">
        <v>12349.0</v>
      </c>
      <c r="D2769" s="9">
        <v>1372.0</v>
      </c>
      <c r="E2769" s="9">
        <v>146.0</v>
      </c>
      <c r="F2769" s="14"/>
      <c r="G2769" s="15"/>
      <c r="H2769" s="15"/>
      <c r="I2769" s="14"/>
      <c r="P2769" s="14"/>
    </row>
    <row r="2770" ht="18.75" customHeight="1">
      <c r="A2770" s="7" t="s">
        <v>3201</v>
      </c>
      <c r="B2770" s="9">
        <v>12804.0</v>
      </c>
      <c r="C2770" s="9">
        <v>12430.0</v>
      </c>
      <c r="D2770" s="9">
        <v>1570.0</v>
      </c>
      <c r="E2770" s="9">
        <v>43.0</v>
      </c>
      <c r="F2770" s="14"/>
      <c r="G2770" s="15"/>
      <c r="H2770" s="15"/>
      <c r="I2770" s="14"/>
      <c r="P2770" s="14"/>
    </row>
    <row r="2771" ht="18.75" customHeight="1">
      <c r="A2771" s="7" t="s">
        <v>3180</v>
      </c>
      <c r="B2771" s="9">
        <v>12804.0</v>
      </c>
      <c r="C2771" s="9">
        <v>12430.0</v>
      </c>
      <c r="D2771" s="9">
        <v>1875.0</v>
      </c>
      <c r="E2771" s="9">
        <v>45.0</v>
      </c>
      <c r="F2771" s="14"/>
      <c r="G2771" s="15"/>
      <c r="H2771" s="15"/>
      <c r="I2771" s="14"/>
      <c r="P2771" s="14"/>
    </row>
    <row r="2772" ht="18.75" customHeight="1">
      <c r="A2772" s="7" t="s">
        <v>3266</v>
      </c>
      <c r="B2772" s="9">
        <v>12934.0</v>
      </c>
      <c r="C2772" s="9">
        <v>12544.0</v>
      </c>
      <c r="D2772" s="9">
        <v>1377.0</v>
      </c>
      <c r="E2772" s="9">
        <v>56.0</v>
      </c>
      <c r="F2772" s="14"/>
      <c r="G2772" s="15"/>
      <c r="H2772" s="15"/>
      <c r="I2772" s="14"/>
      <c r="P2772" s="14"/>
    </row>
    <row r="2773" ht="18.75" customHeight="1">
      <c r="A2773" s="7" t="s">
        <v>3506</v>
      </c>
      <c r="B2773" s="9">
        <v>14034.0</v>
      </c>
      <c r="C2773" s="9">
        <v>14111.0</v>
      </c>
      <c r="D2773" s="9">
        <v>3111.0</v>
      </c>
      <c r="E2773" s="9">
        <v>13.0</v>
      </c>
      <c r="F2773" s="14"/>
      <c r="G2773" s="15"/>
      <c r="H2773" s="15"/>
      <c r="I2773" s="14"/>
      <c r="P2773" s="14"/>
    </row>
    <row r="2774" ht="18.75" customHeight="1">
      <c r="A2774" s="7" t="s">
        <v>3507</v>
      </c>
      <c r="B2774" s="9">
        <v>12765.0</v>
      </c>
      <c r="C2774" s="9">
        <v>12379.0</v>
      </c>
      <c r="D2774" s="9">
        <v>1816.0</v>
      </c>
      <c r="E2774" s="9">
        <v>93.0</v>
      </c>
      <c r="F2774" s="14"/>
      <c r="G2774" s="15"/>
      <c r="H2774" s="15"/>
      <c r="I2774" s="14"/>
      <c r="P2774" s="14"/>
    </row>
    <row r="2775" ht="18.75" customHeight="1">
      <c r="A2775" s="7" t="s">
        <v>3314</v>
      </c>
      <c r="B2775" s="9">
        <v>42091.0</v>
      </c>
      <c r="C2775" s="9">
        <v>41344.0</v>
      </c>
      <c r="D2775" s="9">
        <v>10881.0</v>
      </c>
      <c r="E2775" s="9">
        <v>370.0</v>
      </c>
      <c r="F2775" s="14"/>
      <c r="G2775" s="15"/>
      <c r="H2775" s="15"/>
      <c r="I2775" s="14"/>
      <c r="P2775" s="14"/>
    </row>
    <row r="2776" ht="18.75" customHeight="1">
      <c r="A2776" s="7" t="s">
        <v>3200</v>
      </c>
      <c r="B2776" s="9">
        <v>42080.0</v>
      </c>
      <c r="C2776" s="9">
        <v>41263.0</v>
      </c>
      <c r="D2776" s="9">
        <v>10226.0</v>
      </c>
      <c r="E2776" s="9">
        <v>276.0</v>
      </c>
      <c r="F2776" s="14"/>
      <c r="G2776" s="15"/>
      <c r="H2776" s="15"/>
      <c r="I2776" s="14"/>
      <c r="P2776" s="14"/>
    </row>
    <row r="2777" ht="18.75" customHeight="1">
      <c r="A2777" s="7" t="s">
        <v>3220</v>
      </c>
      <c r="B2777" s="9">
        <v>41957.0</v>
      </c>
      <c r="C2777" s="9">
        <v>41154.0</v>
      </c>
      <c r="D2777" s="9">
        <v>10397.0</v>
      </c>
      <c r="E2777" s="9">
        <v>600.0</v>
      </c>
      <c r="F2777" s="14"/>
      <c r="G2777" s="15"/>
      <c r="H2777" s="15"/>
      <c r="I2777" s="14"/>
      <c r="P2777" s="14"/>
    </row>
    <row r="2778" ht="18.75" customHeight="1">
      <c r="A2778" s="7" t="s">
        <v>3243</v>
      </c>
      <c r="B2778" s="9">
        <v>41898.0</v>
      </c>
      <c r="C2778" s="9">
        <v>41106.0</v>
      </c>
      <c r="D2778" s="9">
        <v>11577.0</v>
      </c>
      <c r="E2778" s="9">
        <v>267.0</v>
      </c>
      <c r="F2778" s="14"/>
      <c r="G2778" s="15"/>
      <c r="H2778" s="15"/>
      <c r="I2778" s="14"/>
      <c r="P2778" s="14"/>
    </row>
    <row r="2779" ht="18.75" customHeight="1">
      <c r="A2779" s="7" t="s">
        <v>3244</v>
      </c>
      <c r="B2779" s="9">
        <v>41815.0</v>
      </c>
      <c r="C2779" s="9">
        <v>41021.0</v>
      </c>
      <c r="D2779" s="9">
        <v>9156.0</v>
      </c>
      <c r="E2779" s="9">
        <v>98.0</v>
      </c>
      <c r="F2779" s="14"/>
      <c r="G2779" s="15"/>
      <c r="H2779" s="15"/>
      <c r="I2779" s="14"/>
      <c r="P2779" s="14"/>
    </row>
    <row r="2780" ht="18.75" customHeight="1">
      <c r="A2780" s="7" t="s">
        <v>3508</v>
      </c>
      <c r="B2780" s="9">
        <v>41773.0</v>
      </c>
      <c r="C2780" s="9">
        <v>40978.0</v>
      </c>
      <c r="D2780" s="9">
        <v>14366.0</v>
      </c>
      <c r="E2780" s="9">
        <v>413.0</v>
      </c>
      <c r="F2780" s="14"/>
      <c r="G2780" s="15"/>
      <c r="H2780" s="15"/>
      <c r="I2780" s="14"/>
      <c r="P2780" s="14"/>
    </row>
    <row r="2781" ht="18.75" customHeight="1">
      <c r="A2781" s="7" t="s">
        <v>3509</v>
      </c>
      <c r="B2781" s="9">
        <v>78476.0</v>
      </c>
      <c r="C2781" s="9">
        <v>78346.0</v>
      </c>
      <c r="D2781" s="9">
        <v>50370.0</v>
      </c>
      <c r="E2781" s="9">
        <v>74.0</v>
      </c>
      <c r="F2781" s="14"/>
      <c r="G2781" s="15"/>
      <c r="H2781" s="15"/>
      <c r="I2781" s="14"/>
      <c r="P2781" s="14"/>
    </row>
    <row r="2782" ht="18.75" customHeight="1">
      <c r="A2782" s="7" t="s">
        <v>3094</v>
      </c>
      <c r="B2782" s="9">
        <v>55264.0</v>
      </c>
      <c r="C2782" s="9">
        <v>54201.0</v>
      </c>
      <c r="D2782" s="9">
        <v>20879.0</v>
      </c>
      <c r="E2782" s="9">
        <v>286.0</v>
      </c>
      <c r="F2782" s="14"/>
      <c r="G2782" s="15"/>
      <c r="H2782" s="15"/>
      <c r="I2782" s="14"/>
      <c r="P2782" s="14"/>
    </row>
    <row r="2783" ht="18.75" customHeight="1">
      <c r="A2783" s="7" t="s">
        <v>3510</v>
      </c>
      <c r="B2783" s="9">
        <v>15629.0</v>
      </c>
      <c r="C2783" s="9">
        <v>15340.0</v>
      </c>
      <c r="D2783" s="9">
        <v>4691.0</v>
      </c>
      <c r="E2783" s="9">
        <v>142.0</v>
      </c>
      <c r="F2783" s="14"/>
      <c r="G2783" s="15"/>
      <c r="H2783" s="15"/>
      <c r="I2783" s="14"/>
      <c r="P2783" s="14"/>
    </row>
    <row r="2784" ht="18.75" customHeight="1">
      <c r="A2784" s="7" t="s">
        <v>3094</v>
      </c>
      <c r="B2784" s="9">
        <v>13846.0</v>
      </c>
      <c r="C2784" s="9">
        <v>13599.0</v>
      </c>
      <c r="D2784" s="9">
        <v>7674.0</v>
      </c>
      <c r="E2784" s="9">
        <v>158.0</v>
      </c>
      <c r="F2784" s="14"/>
      <c r="G2784" s="15"/>
      <c r="H2784" s="15"/>
      <c r="I2784" s="14"/>
      <c r="P2784" s="14"/>
    </row>
    <row r="2785" ht="18.75" customHeight="1">
      <c r="A2785" s="7" t="s">
        <v>3094</v>
      </c>
      <c r="B2785" s="9">
        <v>29907.0</v>
      </c>
      <c r="C2785" s="9">
        <v>29404.0</v>
      </c>
      <c r="D2785" s="9">
        <v>10489.0</v>
      </c>
      <c r="E2785" s="9">
        <v>164.0</v>
      </c>
      <c r="F2785" s="14"/>
      <c r="G2785" s="15"/>
      <c r="H2785" s="15"/>
      <c r="I2785" s="14"/>
      <c r="P2785" s="14"/>
    </row>
    <row r="2786" ht="18.75" customHeight="1">
      <c r="A2786" s="7" t="s">
        <v>3094</v>
      </c>
      <c r="B2786" s="9">
        <v>14353.0</v>
      </c>
      <c r="C2786" s="9">
        <v>14045.0</v>
      </c>
      <c r="D2786" s="9">
        <v>4053.0</v>
      </c>
      <c r="E2786" s="9">
        <v>86.0</v>
      </c>
      <c r="F2786" s="14"/>
      <c r="G2786" s="15"/>
      <c r="H2786" s="15"/>
      <c r="I2786" s="14"/>
      <c r="P2786" s="14"/>
    </row>
    <row r="2787" ht="18.75" customHeight="1">
      <c r="A2787" s="7" t="s">
        <v>3094</v>
      </c>
      <c r="B2787" s="9">
        <v>14353.0</v>
      </c>
      <c r="C2787" s="9">
        <v>14043.0</v>
      </c>
      <c r="D2787" s="9">
        <v>4497.0</v>
      </c>
      <c r="E2787" s="9">
        <v>142.0</v>
      </c>
      <c r="F2787" s="14"/>
      <c r="G2787" s="15"/>
      <c r="H2787" s="15"/>
      <c r="I2787" s="14"/>
      <c r="P2787" s="14"/>
    </row>
    <row r="2788" ht="18.75" customHeight="1">
      <c r="A2788" s="7" t="s">
        <v>3353</v>
      </c>
      <c r="B2788" s="9">
        <v>13426.0</v>
      </c>
      <c r="C2788" s="9">
        <v>13187.0</v>
      </c>
      <c r="D2788" s="9">
        <v>2605.0</v>
      </c>
      <c r="E2788" s="9">
        <v>63.0</v>
      </c>
      <c r="F2788" s="14"/>
      <c r="G2788" s="15"/>
      <c r="H2788" s="15"/>
      <c r="I2788" s="14"/>
      <c r="P2788" s="14"/>
    </row>
    <row r="2789" ht="18.75" customHeight="1">
      <c r="A2789" s="7" t="s">
        <v>3274</v>
      </c>
      <c r="B2789" s="9">
        <v>64821.0</v>
      </c>
      <c r="C2789" s="9">
        <v>63501.0</v>
      </c>
      <c r="D2789" s="9">
        <v>12209.0</v>
      </c>
      <c r="E2789" s="9">
        <v>206.0</v>
      </c>
      <c r="F2789" s="14"/>
      <c r="G2789" s="15"/>
      <c r="H2789" s="15"/>
      <c r="I2789" s="14"/>
      <c r="P2789" s="14"/>
    </row>
    <row r="2790" ht="18.75" customHeight="1">
      <c r="A2790" s="7" t="s">
        <v>3277</v>
      </c>
      <c r="B2790" s="9">
        <v>43800.0</v>
      </c>
      <c r="C2790" s="9">
        <v>42789.0</v>
      </c>
      <c r="D2790" s="9">
        <v>6649.0</v>
      </c>
      <c r="E2790" s="9">
        <v>98.0</v>
      </c>
      <c r="F2790" s="14"/>
      <c r="G2790" s="15"/>
      <c r="H2790" s="15"/>
      <c r="I2790" s="14"/>
      <c r="P2790" s="14"/>
    </row>
    <row r="2791" ht="18.75" customHeight="1">
      <c r="A2791" s="7" t="s">
        <v>3484</v>
      </c>
      <c r="B2791" s="9">
        <v>104.0</v>
      </c>
      <c r="C2791" s="9">
        <v>103.0</v>
      </c>
      <c r="D2791" s="9">
        <v>70.0</v>
      </c>
      <c r="E2791" s="9">
        <v>1.0</v>
      </c>
      <c r="F2791" s="14"/>
      <c r="G2791" s="15"/>
      <c r="H2791" s="15"/>
      <c r="I2791" s="14"/>
      <c r="P2791" s="14"/>
    </row>
    <row r="2792" ht="18.75" customHeight="1">
      <c r="A2792" s="7" t="s">
        <v>3489</v>
      </c>
      <c r="B2792" s="9">
        <v>163.0</v>
      </c>
      <c r="C2792" s="9">
        <v>161.0</v>
      </c>
      <c r="D2792" s="9">
        <v>119.0</v>
      </c>
      <c r="E2792" s="9">
        <v>0.0</v>
      </c>
      <c r="F2792" s="14"/>
      <c r="G2792" s="15"/>
      <c r="H2792" s="15"/>
      <c r="I2792" s="14"/>
      <c r="P2792" s="14"/>
    </row>
    <row r="2793" ht="18.75" customHeight="1">
      <c r="A2793" s="7" t="s">
        <v>3457</v>
      </c>
      <c r="B2793" s="9">
        <v>71.0</v>
      </c>
      <c r="C2793" s="9">
        <v>71.0</v>
      </c>
      <c r="D2793" s="9">
        <v>44.0</v>
      </c>
      <c r="E2793" s="9">
        <v>1.0</v>
      </c>
      <c r="F2793" s="14"/>
      <c r="G2793" s="15"/>
      <c r="H2793" s="15"/>
      <c r="I2793" s="14"/>
      <c r="P2793" s="14"/>
    </row>
    <row r="2794" ht="18.75" customHeight="1">
      <c r="A2794" s="7" t="s">
        <v>2839</v>
      </c>
      <c r="B2794" s="9">
        <v>295.0</v>
      </c>
      <c r="C2794" s="9">
        <v>295.0</v>
      </c>
      <c r="D2794" s="9">
        <v>186.0</v>
      </c>
      <c r="E2794" s="9">
        <v>1.0</v>
      </c>
      <c r="F2794" s="14"/>
      <c r="G2794" s="15"/>
      <c r="H2794" s="15"/>
      <c r="I2794" s="14"/>
      <c r="P2794" s="14"/>
    </row>
    <row r="2795" ht="18.75" customHeight="1">
      <c r="A2795" s="7" t="s">
        <v>3484</v>
      </c>
      <c r="B2795" s="9">
        <v>102.0</v>
      </c>
      <c r="C2795" s="9">
        <v>101.0</v>
      </c>
      <c r="D2795" s="9">
        <v>68.0</v>
      </c>
      <c r="E2795" s="9">
        <v>3.0</v>
      </c>
      <c r="F2795" s="14"/>
      <c r="G2795" s="15"/>
      <c r="H2795" s="15"/>
      <c r="I2795" s="14"/>
      <c r="P2795" s="14"/>
    </row>
    <row r="2796" ht="18.75" customHeight="1">
      <c r="A2796" s="7" t="s">
        <v>2829</v>
      </c>
      <c r="B2796" s="9">
        <v>250.0</v>
      </c>
      <c r="C2796" s="9">
        <v>250.0</v>
      </c>
      <c r="D2796" s="9">
        <v>163.0</v>
      </c>
      <c r="E2796" s="9">
        <v>0.0</v>
      </c>
      <c r="F2796" s="14"/>
      <c r="G2796" s="15"/>
      <c r="H2796" s="15"/>
      <c r="I2796" s="14"/>
      <c r="P2796" s="14"/>
    </row>
    <row r="2797" ht="18.75" customHeight="1">
      <c r="A2797" s="7" t="s">
        <v>3489</v>
      </c>
      <c r="B2797" s="9">
        <v>163.0</v>
      </c>
      <c r="C2797" s="9">
        <v>161.0</v>
      </c>
      <c r="D2797" s="9">
        <v>108.0</v>
      </c>
      <c r="E2797" s="9">
        <v>1.0</v>
      </c>
      <c r="F2797" s="14"/>
      <c r="G2797" s="15"/>
      <c r="H2797" s="15"/>
      <c r="I2797" s="14"/>
      <c r="P2797" s="14"/>
    </row>
    <row r="2798" ht="18.75" customHeight="1">
      <c r="A2798" s="7" t="s">
        <v>3407</v>
      </c>
      <c r="B2798" s="9">
        <v>110.0</v>
      </c>
      <c r="C2798" s="9">
        <v>108.0</v>
      </c>
      <c r="D2798" s="9">
        <v>46.0</v>
      </c>
      <c r="E2798" s="9">
        <v>1.0</v>
      </c>
      <c r="F2798" s="14"/>
      <c r="G2798" s="15"/>
      <c r="H2798" s="15"/>
      <c r="I2798" s="14"/>
      <c r="P2798" s="14"/>
    </row>
    <row r="2799" ht="18.75" customHeight="1">
      <c r="A2799" s="7" t="s">
        <v>2808</v>
      </c>
      <c r="B2799" s="9">
        <v>170.0</v>
      </c>
      <c r="C2799" s="9">
        <v>170.0</v>
      </c>
      <c r="D2799" s="9">
        <v>92.0</v>
      </c>
      <c r="E2799" s="9">
        <v>2.0</v>
      </c>
      <c r="F2799" s="14"/>
      <c r="G2799" s="15"/>
      <c r="H2799" s="15"/>
      <c r="I2799" s="14"/>
      <c r="P2799" s="14"/>
    </row>
    <row r="2800" ht="18.75" customHeight="1">
      <c r="A2800" s="7" t="s">
        <v>3507</v>
      </c>
      <c r="B2800" s="9">
        <v>66.0</v>
      </c>
      <c r="C2800" s="9">
        <v>64.0</v>
      </c>
      <c r="D2800" s="9">
        <v>36.0</v>
      </c>
      <c r="E2800" s="9">
        <v>1.0</v>
      </c>
      <c r="F2800" s="14"/>
      <c r="G2800" s="15"/>
      <c r="H2800" s="15"/>
      <c r="I2800" s="14"/>
      <c r="P2800" s="14"/>
    </row>
    <row r="2801" ht="18.75" customHeight="1">
      <c r="A2801" s="7" t="s">
        <v>2839</v>
      </c>
      <c r="B2801" s="9">
        <v>287.0</v>
      </c>
      <c r="C2801" s="9">
        <v>287.0</v>
      </c>
      <c r="D2801" s="9">
        <v>159.0</v>
      </c>
      <c r="E2801" s="9">
        <v>1.0</v>
      </c>
      <c r="F2801" s="14"/>
      <c r="G2801" s="15"/>
      <c r="H2801" s="15"/>
      <c r="I2801" s="14"/>
      <c r="P2801" s="14"/>
    </row>
    <row r="2802" ht="18.75" customHeight="1">
      <c r="A2802" s="7" t="s">
        <v>3507</v>
      </c>
      <c r="B2802" s="9">
        <v>66.0</v>
      </c>
      <c r="C2802" s="9">
        <v>64.0</v>
      </c>
      <c r="D2802" s="9">
        <v>28.0</v>
      </c>
      <c r="E2802" s="9">
        <v>0.0</v>
      </c>
      <c r="F2802" s="14"/>
      <c r="G2802" s="15"/>
      <c r="H2802" s="15"/>
      <c r="I2802" s="14"/>
      <c r="P2802" s="14"/>
    </row>
    <row r="2803" ht="18.75" customHeight="1">
      <c r="A2803" s="7" t="s">
        <v>2829</v>
      </c>
      <c r="B2803" s="9">
        <v>249.0</v>
      </c>
      <c r="C2803" s="9">
        <v>249.0</v>
      </c>
      <c r="D2803" s="9">
        <v>161.0</v>
      </c>
      <c r="E2803" s="9">
        <v>1.0</v>
      </c>
      <c r="F2803" s="14"/>
      <c r="G2803" s="15"/>
      <c r="H2803" s="15"/>
      <c r="I2803" s="14"/>
      <c r="P2803" s="14"/>
    </row>
    <row r="2804" ht="18.75" customHeight="1">
      <c r="A2804" s="7" t="s">
        <v>3497</v>
      </c>
      <c r="B2804" s="9">
        <v>43.0</v>
      </c>
      <c r="C2804" s="9">
        <v>43.0</v>
      </c>
      <c r="D2804" s="9">
        <v>30.0</v>
      </c>
      <c r="E2804" s="9">
        <v>0.0</v>
      </c>
      <c r="F2804" s="14"/>
      <c r="G2804" s="15"/>
      <c r="H2804" s="15"/>
      <c r="I2804" s="14"/>
      <c r="P2804" s="14"/>
    </row>
    <row r="2805" ht="18.75" customHeight="1">
      <c r="A2805" s="7" t="s">
        <v>3497</v>
      </c>
      <c r="B2805" s="9">
        <v>43.0</v>
      </c>
      <c r="C2805" s="9">
        <v>43.0</v>
      </c>
      <c r="D2805" s="9">
        <v>27.0</v>
      </c>
      <c r="E2805" s="9">
        <v>2.0</v>
      </c>
      <c r="F2805" s="14"/>
      <c r="G2805" s="15"/>
      <c r="H2805" s="15"/>
      <c r="I2805" s="14"/>
      <c r="P2805" s="14"/>
    </row>
    <row r="2806" ht="18.75" customHeight="1">
      <c r="A2806" s="7" t="s">
        <v>3186</v>
      </c>
      <c r="B2806" s="9">
        <v>122.0</v>
      </c>
      <c r="C2806" s="9">
        <v>121.0</v>
      </c>
      <c r="D2806" s="9">
        <v>89.0</v>
      </c>
      <c r="E2806" s="9">
        <v>3.0</v>
      </c>
      <c r="F2806" s="14"/>
      <c r="G2806" s="15"/>
      <c r="H2806" s="15"/>
      <c r="I2806" s="14"/>
      <c r="P2806" s="14"/>
    </row>
    <row r="2807" ht="18.75" customHeight="1">
      <c r="A2807" s="7" t="s">
        <v>3181</v>
      </c>
      <c r="B2807" s="9">
        <v>33.0</v>
      </c>
      <c r="C2807" s="9">
        <v>32.0</v>
      </c>
      <c r="D2807" s="9">
        <v>18.0</v>
      </c>
      <c r="E2807" s="9">
        <v>2.0</v>
      </c>
      <c r="F2807" s="14"/>
      <c r="G2807" s="15"/>
      <c r="H2807" s="15"/>
      <c r="I2807" s="14"/>
      <c r="P2807" s="14"/>
    </row>
    <row r="2808" ht="18.75" customHeight="1">
      <c r="A2808" s="7" t="s">
        <v>3358</v>
      </c>
      <c r="B2808" s="9">
        <v>39.0</v>
      </c>
      <c r="C2808" s="9">
        <v>39.0</v>
      </c>
      <c r="D2808" s="9">
        <v>21.0</v>
      </c>
      <c r="E2808" s="9">
        <v>0.0</v>
      </c>
      <c r="F2808" s="14"/>
      <c r="G2808" s="15"/>
      <c r="H2808" s="15"/>
      <c r="I2808" s="14"/>
      <c r="P2808" s="14"/>
    </row>
    <row r="2809" ht="18.75" customHeight="1">
      <c r="A2809" s="7" t="s">
        <v>2827</v>
      </c>
      <c r="B2809" s="9">
        <v>134.0</v>
      </c>
      <c r="C2809" s="9">
        <v>134.0</v>
      </c>
      <c r="D2809" s="9">
        <v>80.0</v>
      </c>
      <c r="E2809" s="9">
        <v>0.0</v>
      </c>
      <c r="F2809" s="14"/>
      <c r="G2809" s="15"/>
      <c r="H2809" s="15"/>
      <c r="I2809" s="14"/>
      <c r="P2809" s="14"/>
    </row>
    <row r="2810" ht="18.75" customHeight="1">
      <c r="A2810" s="7" t="s">
        <v>2827</v>
      </c>
      <c r="B2810" s="9">
        <v>134.0</v>
      </c>
      <c r="C2810" s="9">
        <v>134.0</v>
      </c>
      <c r="D2810" s="9">
        <v>82.0</v>
      </c>
      <c r="E2810" s="9">
        <v>0.0</v>
      </c>
      <c r="F2810" s="14"/>
      <c r="G2810" s="15"/>
      <c r="H2810" s="15"/>
      <c r="I2810" s="14"/>
      <c r="P2810" s="14"/>
    </row>
    <row r="2811" ht="18.75" customHeight="1">
      <c r="A2811" s="7" t="s">
        <v>3498</v>
      </c>
      <c r="B2811" s="9">
        <v>115.0</v>
      </c>
      <c r="C2811" s="9">
        <v>115.0</v>
      </c>
      <c r="D2811" s="9">
        <v>71.0</v>
      </c>
      <c r="E2811" s="9">
        <v>1.0</v>
      </c>
      <c r="F2811" s="14"/>
      <c r="G2811" s="15"/>
      <c r="H2811" s="15"/>
      <c r="I2811" s="14"/>
      <c r="P2811" s="14"/>
    </row>
    <row r="2812" ht="18.75" customHeight="1">
      <c r="A2812" s="7" t="s">
        <v>3498</v>
      </c>
      <c r="B2812" s="9">
        <v>115.0</v>
      </c>
      <c r="C2812" s="9">
        <v>115.0</v>
      </c>
      <c r="D2812" s="9">
        <v>57.0</v>
      </c>
      <c r="E2812" s="9">
        <v>0.0</v>
      </c>
      <c r="F2812" s="14"/>
      <c r="G2812" s="15"/>
      <c r="H2812" s="15"/>
      <c r="I2812" s="14"/>
      <c r="P2812" s="14"/>
    </row>
    <row r="2813" ht="18.75" customHeight="1">
      <c r="A2813" s="7" t="s">
        <v>3473</v>
      </c>
      <c r="B2813" s="9">
        <v>125.0</v>
      </c>
      <c r="C2813" s="9">
        <v>124.0</v>
      </c>
      <c r="D2813" s="9">
        <v>71.0</v>
      </c>
      <c r="E2813" s="9">
        <v>1.0</v>
      </c>
      <c r="F2813" s="14"/>
      <c r="G2813" s="15"/>
      <c r="H2813" s="15"/>
      <c r="I2813" s="14"/>
      <c r="P2813" s="14"/>
    </row>
    <row r="2814" ht="18.75" customHeight="1">
      <c r="A2814" s="7" t="s">
        <v>2975</v>
      </c>
      <c r="B2814" s="9">
        <v>123.0</v>
      </c>
      <c r="C2814" s="9">
        <v>123.0</v>
      </c>
      <c r="D2814" s="9">
        <v>84.0</v>
      </c>
      <c r="E2814" s="9">
        <v>1.0</v>
      </c>
      <c r="F2814" s="14"/>
      <c r="G2814" s="15"/>
      <c r="H2814" s="15"/>
      <c r="I2814" s="14"/>
      <c r="P2814" s="14"/>
    </row>
    <row r="2815" ht="18.75" customHeight="1">
      <c r="A2815" s="7" t="s">
        <v>3473</v>
      </c>
      <c r="B2815" s="9">
        <v>125.0</v>
      </c>
      <c r="C2815" s="9">
        <v>124.0</v>
      </c>
      <c r="D2815" s="9">
        <v>60.0</v>
      </c>
      <c r="E2815" s="9">
        <v>1.0</v>
      </c>
      <c r="F2815" s="14"/>
      <c r="G2815" s="15"/>
      <c r="H2815" s="15"/>
      <c r="I2815" s="14"/>
      <c r="P2815" s="14"/>
    </row>
    <row r="2816" ht="18.75" customHeight="1">
      <c r="A2816" s="7" t="s">
        <v>3466</v>
      </c>
      <c r="B2816" s="9">
        <v>152.0</v>
      </c>
      <c r="C2816" s="9">
        <v>151.0</v>
      </c>
      <c r="D2816" s="9">
        <v>119.0</v>
      </c>
      <c r="E2816" s="9">
        <v>3.0</v>
      </c>
      <c r="F2816" s="14"/>
      <c r="G2816" s="15"/>
      <c r="H2816" s="15"/>
      <c r="I2816" s="14"/>
      <c r="P2816" s="14"/>
    </row>
    <row r="2817" ht="18.75" customHeight="1">
      <c r="A2817" s="7" t="s">
        <v>3466</v>
      </c>
      <c r="B2817" s="9">
        <v>148.0</v>
      </c>
      <c r="C2817" s="9">
        <v>148.0</v>
      </c>
      <c r="D2817" s="9">
        <v>97.0</v>
      </c>
      <c r="E2817" s="9">
        <v>1.0</v>
      </c>
      <c r="F2817" s="14"/>
      <c r="G2817" s="15"/>
      <c r="H2817" s="15"/>
      <c r="I2817" s="14"/>
      <c r="P2817" s="14"/>
    </row>
    <row r="2818" ht="18.75" customHeight="1">
      <c r="A2818" s="7" t="s">
        <v>3194</v>
      </c>
      <c r="B2818" s="9">
        <v>64.0</v>
      </c>
      <c r="C2818" s="9">
        <v>63.0</v>
      </c>
      <c r="D2818" s="9">
        <v>44.0</v>
      </c>
      <c r="E2818" s="9">
        <v>1.0</v>
      </c>
      <c r="F2818" s="14"/>
      <c r="G2818" s="15"/>
      <c r="H2818" s="15"/>
      <c r="I2818" s="14"/>
      <c r="P2818" s="14"/>
    </row>
    <row r="2819" ht="18.75" customHeight="1">
      <c r="A2819" s="7" t="s">
        <v>3502</v>
      </c>
      <c r="B2819" s="9">
        <v>62.0</v>
      </c>
      <c r="C2819" s="9">
        <v>62.0</v>
      </c>
      <c r="D2819" s="9">
        <v>47.0</v>
      </c>
      <c r="E2819" s="9">
        <v>0.0</v>
      </c>
      <c r="F2819" s="14"/>
      <c r="G2819" s="15"/>
      <c r="H2819" s="15"/>
      <c r="I2819" s="14"/>
      <c r="P2819" s="14"/>
    </row>
    <row r="2820" ht="18.75" customHeight="1">
      <c r="A2820" s="7" t="s">
        <v>2824</v>
      </c>
      <c r="B2820" s="9">
        <v>164.0</v>
      </c>
      <c r="C2820" s="9">
        <v>163.0</v>
      </c>
      <c r="D2820" s="9">
        <v>120.0</v>
      </c>
      <c r="E2820" s="9">
        <v>4.0</v>
      </c>
      <c r="F2820" s="14"/>
      <c r="G2820" s="15"/>
      <c r="H2820" s="15"/>
      <c r="I2820" s="14"/>
      <c r="P2820" s="14"/>
    </row>
    <row r="2821" ht="18.75" customHeight="1">
      <c r="A2821" s="7" t="s">
        <v>2840</v>
      </c>
      <c r="B2821" s="9">
        <v>153.0</v>
      </c>
      <c r="C2821" s="9">
        <v>153.0</v>
      </c>
      <c r="D2821" s="9">
        <v>121.0</v>
      </c>
      <c r="E2821" s="9">
        <v>3.0</v>
      </c>
      <c r="F2821" s="14"/>
      <c r="G2821" s="15"/>
      <c r="H2821" s="15"/>
      <c r="I2821" s="14"/>
      <c r="P2821" s="14"/>
    </row>
    <row r="2822" ht="18.75" customHeight="1">
      <c r="A2822" s="7" t="s">
        <v>3502</v>
      </c>
      <c r="B2822" s="9">
        <v>62.0</v>
      </c>
      <c r="C2822" s="9">
        <v>62.0</v>
      </c>
      <c r="D2822" s="9">
        <v>40.0</v>
      </c>
      <c r="E2822" s="9">
        <v>1.0</v>
      </c>
      <c r="F2822" s="14"/>
      <c r="G2822" s="15"/>
      <c r="H2822" s="15"/>
      <c r="I2822" s="14"/>
      <c r="P2822" s="14"/>
    </row>
    <row r="2823" ht="18.75" customHeight="1">
      <c r="A2823" s="7" t="s">
        <v>2824</v>
      </c>
      <c r="B2823" s="9">
        <v>147.0</v>
      </c>
      <c r="C2823" s="9">
        <v>146.0</v>
      </c>
      <c r="D2823" s="9">
        <v>87.0</v>
      </c>
      <c r="E2823" s="9">
        <v>2.0</v>
      </c>
      <c r="F2823" s="14"/>
      <c r="G2823" s="15"/>
      <c r="H2823" s="15"/>
      <c r="I2823" s="14"/>
      <c r="P2823" s="14"/>
    </row>
    <row r="2824" ht="18.75" customHeight="1">
      <c r="A2824" s="7" t="s">
        <v>2840</v>
      </c>
      <c r="B2824" s="9">
        <v>150.0</v>
      </c>
      <c r="C2824" s="9">
        <v>150.0</v>
      </c>
      <c r="D2824" s="9">
        <v>91.0</v>
      </c>
      <c r="E2824" s="9">
        <v>1.0</v>
      </c>
      <c r="F2824" s="14"/>
      <c r="G2824" s="15"/>
      <c r="H2824" s="15"/>
      <c r="I2824" s="14"/>
      <c r="P2824" s="14"/>
    </row>
    <row r="2825" ht="18.75" customHeight="1">
      <c r="A2825" s="7" t="s">
        <v>3446</v>
      </c>
      <c r="B2825" s="9">
        <v>37.0</v>
      </c>
      <c r="C2825" s="9">
        <v>37.0</v>
      </c>
      <c r="D2825" s="9">
        <v>22.0</v>
      </c>
      <c r="E2825" s="9">
        <v>1.0</v>
      </c>
      <c r="F2825" s="14"/>
      <c r="G2825" s="15"/>
      <c r="H2825" s="15"/>
      <c r="I2825" s="14"/>
      <c r="P2825" s="14"/>
    </row>
    <row r="2826" ht="18.75" customHeight="1">
      <c r="A2826" s="7" t="s">
        <v>3433</v>
      </c>
      <c r="B2826" s="9">
        <v>81.0</v>
      </c>
      <c r="C2826" s="9">
        <v>81.0</v>
      </c>
      <c r="D2826" s="9">
        <v>59.0</v>
      </c>
      <c r="E2826" s="9">
        <v>2.0</v>
      </c>
      <c r="F2826" s="14"/>
      <c r="G2826" s="15"/>
      <c r="H2826" s="15"/>
      <c r="I2826" s="14"/>
      <c r="P2826" s="14"/>
    </row>
    <row r="2827" ht="18.75" customHeight="1">
      <c r="A2827" s="7" t="s">
        <v>3481</v>
      </c>
      <c r="B2827" s="9">
        <v>73.0</v>
      </c>
      <c r="C2827" s="9">
        <v>73.0</v>
      </c>
      <c r="D2827" s="9">
        <v>45.0</v>
      </c>
      <c r="E2827" s="9">
        <v>1.0</v>
      </c>
      <c r="F2827" s="14"/>
      <c r="G2827" s="15"/>
      <c r="H2827" s="15"/>
      <c r="I2827" s="14"/>
      <c r="P2827" s="14"/>
    </row>
    <row r="2828" ht="18.75" customHeight="1">
      <c r="A2828" s="7" t="s">
        <v>3453</v>
      </c>
      <c r="B2828" s="9">
        <v>62.0</v>
      </c>
      <c r="C2828" s="9">
        <v>62.0</v>
      </c>
      <c r="D2828" s="9">
        <v>39.0</v>
      </c>
      <c r="E2828" s="9">
        <v>0.0</v>
      </c>
      <c r="F2828" s="14"/>
      <c r="G2828" s="15"/>
      <c r="H2828" s="15"/>
      <c r="I2828" s="14"/>
      <c r="P2828" s="14"/>
    </row>
    <row r="2829" ht="18.75" customHeight="1">
      <c r="A2829" s="7" t="s">
        <v>3456</v>
      </c>
      <c r="B2829" s="9">
        <v>53.0</v>
      </c>
      <c r="C2829" s="9">
        <v>53.0</v>
      </c>
      <c r="D2829" s="9">
        <v>29.0</v>
      </c>
      <c r="E2829" s="9">
        <v>0.0</v>
      </c>
      <c r="F2829" s="14"/>
      <c r="G2829" s="15"/>
      <c r="H2829" s="15"/>
      <c r="I2829" s="14"/>
      <c r="P2829" s="14"/>
    </row>
    <row r="2830" ht="18.75" customHeight="1">
      <c r="A2830" s="7" t="s">
        <v>2851</v>
      </c>
      <c r="B2830" s="9">
        <v>126.0</v>
      </c>
      <c r="C2830" s="9">
        <v>126.0</v>
      </c>
      <c r="D2830" s="9">
        <v>71.0</v>
      </c>
      <c r="E2830" s="9">
        <v>1.0</v>
      </c>
      <c r="F2830" s="14"/>
      <c r="G2830" s="15"/>
      <c r="H2830" s="15"/>
      <c r="I2830" s="14"/>
      <c r="P2830" s="14"/>
    </row>
    <row r="2831" ht="18.75" customHeight="1">
      <c r="A2831" s="7" t="s">
        <v>2816</v>
      </c>
      <c r="B2831" s="9">
        <v>227.0</v>
      </c>
      <c r="C2831" s="9">
        <v>226.0</v>
      </c>
      <c r="D2831" s="9">
        <v>146.0</v>
      </c>
      <c r="E2831" s="9">
        <v>1.0</v>
      </c>
      <c r="F2831" s="14"/>
      <c r="G2831" s="15"/>
      <c r="H2831" s="15"/>
      <c r="I2831" s="14"/>
      <c r="P2831" s="14"/>
    </row>
    <row r="2832" ht="18.75" customHeight="1">
      <c r="A2832" s="7" t="s">
        <v>3446</v>
      </c>
      <c r="B2832" s="9">
        <v>44.0</v>
      </c>
      <c r="C2832" s="9">
        <v>44.0</v>
      </c>
      <c r="D2832" s="9">
        <v>29.0</v>
      </c>
      <c r="E2832" s="9">
        <v>1.0</v>
      </c>
      <c r="F2832" s="14"/>
      <c r="G2832" s="15"/>
      <c r="H2832" s="15"/>
      <c r="I2832" s="14"/>
      <c r="P2832" s="14"/>
    </row>
    <row r="2833" ht="18.75" customHeight="1">
      <c r="A2833" s="7" t="s">
        <v>3453</v>
      </c>
      <c r="B2833" s="9">
        <v>57.0</v>
      </c>
      <c r="C2833" s="9">
        <v>57.0</v>
      </c>
      <c r="D2833" s="9">
        <v>33.0</v>
      </c>
      <c r="E2833" s="9">
        <v>3.0</v>
      </c>
      <c r="F2833" s="14"/>
      <c r="G2833" s="15"/>
      <c r="H2833" s="15"/>
      <c r="I2833" s="14"/>
      <c r="P2833" s="14"/>
    </row>
    <row r="2834" ht="18.75" customHeight="1">
      <c r="A2834" s="7" t="s">
        <v>3456</v>
      </c>
      <c r="B2834" s="9">
        <v>53.0</v>
      </c>
      <c r="C2834" s="9">
        <v>53.0</v>
      </c>
      <c r="D2834" s="9">
        <v>30.0</v>
      </c>
      <c r="E2834" s="9">
        <v>0.0</v>
      </c>
      <c r="F2834" s="14"/>
      <c r="G2834" s="15"/>
      <c r="H2834" s="15"/>
      <c r="I2834" s="14"/>
      <c r="P2834" s="14"/>
    </row>
    <row r="2835" ht="18.75" customHeight="1">
      <c r="A2835" s="7" t="s">
        <v>3481</v>
      </c>
      <c r="B2835" s="9">
        <v>80.0</v>
      </c>
      <c r="C2835" s="9">
        <v>80.0</v>
      </c>
      <c r="D2835" s="9">
        <v>47.0</v>
      </c>
      <c r="E2835" s="9">
        <v>2.0</v>
      </c>
      <c r="F2835" s="14"/>
      <c r="G2835" s="15"/>
      <c r="H2835" s="15"/>
      <c r="I2835" s="14"/>
      <c r="P2835" s="14"/>
    </row>
    <row r="2836" ht="18.75" customHeight="1">
      <c r="A2836" s="7" t="s">
        <v>3310</v>
      </c>
      <c r="B2836" s="9">
        <v>76.0</v>
      </c>
      <c r="C2836" s="9">
        <v>75.0</v>
      </c>
      <c r="D2836" s="9">
        <v>49.0</v>
      </c>
      <c r="E2836" s="9">
        <v>1.0</v>
      </c>
      <c r="F2836" s="14"/>
      <c r="G2836" s="15"/>
      <c r="H2836" s="15"/>
      <c r="I2836" s="14"/>
      <c r="P2836" s="14"/>
    </row>
    <row r="2837" ht="18.75" customHeight="1">
      <c r="A2837" s="7" t="s">
        <v>3311</v>
      </c>
      <c r="B2837" s="9">
        <v>73.0</v>
      </c>
      <c r="C2837" s="9">
        <v>72.0</v>
      </c>
      <c r="D2837" s="9">
        <v>46.0</v>
      </c>
      <c r="E2837" s="9">
        <v>1.0</v>
      </c>
      <c r="F2837" s="14"/>
      <c r="G2837" s="15"/>
      <c r="H2837" s="15"/>
      <c r="I2837" s="14"/>
      <c r="P2837" s="14"/>
    </row>
    <row r="2838" ht="18.75" customHeight="1">
      <c r="A2838" s="7" t="s">
        <v>3433</v>
      </c>
      <c r="B2838" s="9">
        <v>81.0</v>
      </c>
      <c r="C2838" s="9">
        <v>81.0</v>
      </c>
      <c r="D2838" s="9">
        <v>57.0</v>
      </c>
      <c r="E2838" s="9">
        <v>2.0</v>
      </c>
      <c r="F2838" s="14"/>
      <c r="G2838" s="15"/>
      <c r="H2838" s="15"/>
      <c r="I2838" s="14"/>
      <c r="P2838" s="14"/>
    </row>
    <row r="2839" ht="18.75" customHeight="1">
      <c r="A2839" s="7" t="s">
        <v>3306</v>
      </c>
      <c r="B2839" s="9">
        <v>86.0</v>
      </c>
      <c r="C2839" s="9">
        <v>86.0</v>
      </c>
      <c r="D2839" s="9">
        <v>46.0</v>
      </c>
      <c r="E2839" s="9">
        <v>3.0</v>
      </c>
      <c r="F2839" s="14"/>
      <c r="G2839" s="15"/>
      <c r="H2839" s="15"/>
      <c r="I2839" s="14"/>
      <c r="P2839" s="14"/>
    </row>
    <row r="2840" ht="18.75" customHeight="1">
      <c r="A2840" s="7" t="s">
        <v>3439</v>
      </c>
      <c r="B2840" s="9">
        <v>85.0</v>
      </c>
      <c r="C2840" s="9">
        <v>83.0</v>
      </c>
      <c r="D2840" s="9">
        <v>52.0</v>
      </c>
      <c r="E2840" s="9">
        <v>3.0</v>
      </c>
      <c r="F2840" s="14"/>
      <c r="G2840" s="15"/>
      <c r="H2840" s="15"/>
      <c r="I2840" s="14"/>
      <c r="P2840" s="14"/>
    </row>
    <row r="2841" ht="18.75" customHeight="1">
      <c r="A2841" s="7" t="s">
        <v>3291</v>
      </c>
      <c r="B2841" s="9">
        <v>221.0</v>
      </c>
      <c r="C2841" s="9">
        <v>220.0</v>
      </c>
      <c r="D2841" s="9">
        <v>151.0</v>
      </c>
      <c r="E2841" s="9">
        <v>3.0</v>
      </c>
      <c r="F2841" s="14"/>
      <c r="G2841" s="15"/>
      <c r="H2841" s="15"/>
      <c r="I2841" s="14"/>
      <c r="P2841" s="14"/>
    </row>
    <row r="2842" ht="18.75" customHeight="1">
      <c r="A2842" s="7" t="s">
        <v>2851</v>
      </c>
      <c r="B2842" s="9">
        <v>126.0</v>
      </c>
      <c r="C2842" s="9">
        <v>125.0</v>
      </c>
      <c r="D2842" s="9">
        <v>72.0</v>
      </c>
      <c r="E2842" s="9">
        <v>0.0</v>
      </c>
      <c r="F2842" s="14"/>
      <c r="G2842" s="15"/>
      <c r="H2842" s="15"/>
      <c r="I2842" s="14"/>
      <c r="P2842" s="14"/>
    </row>
    <row r="2843" ht="18.75" customHeight="1">
      <c r="A2843" s="7" t="s">
        <v>3308</v>
      </c>
      <c r="B2843" s="9">
        <v>60.0</v>
      </c>
      <c r="C2843" s="9">
        <v>60.0</v>
      </c>
      <c r="D2843" s="9">
        <v>39.0</v>
      </c>
      <c r="E2843" s="9">
        <v>0.0</v>
      </c>
      <c r="F2843" s="14"/>
      <c r="G2843" s="15"/>
      <c r="H2843" s="15"/>
      <c r="I2843" s="14"/>
      <c r="P2843" s="14"/>
    </row>
    <row r="2844" ht="18.75" customHeight="1">
      <c r="A2844" s="7" t="s">
        <v>2847</v>
      </c>
      <c r="B2844" s="9">
        <v>135.0</v>
      </c>
      <c r="C2844" s="9">
        <v>134.0</v>
      </c>
      <c r="D2844" s="9">
        <v>80.0</v>
      </c>
      <c r="E2844" s="9">
        <v>3.0</v>
      </c>
      <c r="F2844" s="14"/>
      <c r="G2844" s="15"/>
      <c r="H2844" s="15"/>
      <c r="I2844" s="14"/>
      <c r="P2844" s="14"/>
    </row>
    <row r="2845" ht="18.75" customHeight="1">
      <c r="A2845" s="7" t="s">
        <v>3439</v>
      </c>
      <c r="B2845" s="9">
        <v>95.0</v>
      </c>
      <c r="C2845" s="9">
        <v>93.0</v>
      </c>
      <c r="D2845" s="9">
        <v>61.0</v>
      </c>
      <c r="E2845" s="9">
        <v>2.0</v>
      </c>
      <c r="F2845" s="14"/>
      <c r="G2845" s="15"/>
      <c r="H2845" s="15"/>
      <c r="I2845" s="14"/>
      <c r="P2845" s="14"/>
    </row>
    <row r="2846" ht="18.75" customHeight="1">
      <c r="A2846" s="7" t="s">
        <v>3511</v>
      </c>
      <c r="B2846" s="9">
        <v>1182.0</v>
      </c>
      <c r="C2846" s="9">
        <v>1182.0</v>
      </c>
      <c r="D2846" s="9">
        <v>934.0</v>
      </c>
      <c r="E2846" s="9">
        <v>6.0</v>
      </c>
      <c r="F2846" s="14"/>
      <c r="G2846" s="15"/>
      <c r="H2846" s="15"/>
      <c r="I2846" s="14"/>
      <c r="P2846" s="14"/>
    </row>
    <row r="2847" ht="18.75" customHeight="1">
      <c r="A2847" s="7" t="s">
        <v>3512</v>
      </c>
      <c r="B2847" s="9">
        <v>59.0</v>
      </c>
      <c r="C2847" s="9">
        <v>58.0</v>
      </c>
      <c r="D2847" s="9">
        <v>18.0</v>
      </c>
      <c r="E2847" s="9">
        <v>1.0</v>
      </c>
      <c r="F2847" s="14"/>
      <c r="G2847" s="15"/>
      <c r="H2847" s="15"/>
      <c r="I2847" s="14"/>
      <c r="P2847" s="14"/>
    </row>
    <row r="2848" ht="18.75" customHeight="1">
      <c r="A2848" s="7" t="s">
        <v>3480</v>
      </c>
      <c r="B2848" s="9">
        <v>81.0</v>
      </c>
      <c r="C2848" s="9">
        <v>80.0</v>
      </c>
      <c r="D2848" s="9">
        <v>42.0</v>
      </c>
      <c r="E2848" s="9">
        <v>2.0</v>
      </c>
      <c r="F2848" s="14"/>
      <c r="G2848" s="15"/>
      <c r="H2848" s="15"/>
      <c r="I2848" s="14"/>
      <c r="P2848" s="14"/>
    </row>
    <row r="2849" ht="18.75" customHeight="1">
      <c r="A2849" s="7" t="s">
        <v>3513</v>
      </c>
      <c r="B2849" s="9">
        <v>1137.0</v>
      </c>
      <c r="C2849" s="9">
        <v>1136.0</v>
      </c>
      <c r="D2849" s="9">
        <v>897.0</v>
      </c>
      <c r="E2849" s="9">
        <v>5.0</v>
      </c>
      <c r="F2849" s="14"/>
      <c r="G2849" s="15"/>
      <c r="H2849" s="15"/>
      <c r="I2849" s="14"/>
      <c r="P2849" s="14"/>
    </row>
    <row r="2850" ht="18.75" customHeight="1">
      <c r="A2850" s="7" t="s">
        <v>3514</v>
      </c>
      <c r="B2850" s="9">
        <v>59935.0</v>
      </c>
      <c r="C2850" s="9">
        <v>58425.0</v>
      </c>
      <c r="D2850" s="9">
        <v>12465.0</v>
      </c>
      <c r="E2850" s="9">
        <v>833.0</v>
      </c>
      <c r="F2850" s="14"/>
      <c r="G2850" s="15"/>
      <c r="H2850" s="15"/>
      <c r="I2850" s="14"/>
      <c r="P2850" s="14"/>
    </row>
    <row r="2851" ht="18.75" customHeight="1">
      <c r="A2851" s="7" t="s">
        <v>3515</v>
      </c>
      <c r="B2851" s="9">
        <v>35743.0</v>
      </c>
      <c r="C2851" s="9">
        <v>35167.0</v>
      </c>
      <c r="D2851" s="9">
        <v>7991.0</v>
      </c>
      <c r="E2851" s="9">
        <v>501.0</v>
      </c>
      <c r="F2851" s="14"/>
      <c r="G2851" s="15"/>
      <c r="H2851" s="15"/>
      <c r="I2851" s="14"/>
      <c r="P2851" s="14"/>
    </row>
    <row r="2852" ht="18.75" customHeight="1">
      <c r="A2852" s="7" t="s">
        <v>3516</v>
      </c>
      <c r="B2852" s="9">
        <v>87932.0</v>
      </c>
      <c r="C2852" s="9">
        <v>86833.0</v>
      </c>
      <c r="D2852" s="9">
        <v>35889.0</v>
      </c>
      <c r="E2852" s="9">
        <v>1364.0</v>
      </c>
      <c r="F2852" s="14"/>
      <c r="G2852" s="15"/>
      <c r="H2852" s="15"/>
      <c r="I2852" s="14"/>
      <c r="P2852" s="14"/>
    </row>
    <row r="2853" ht="18.75" customHeight="1">
      <c r="A2853" s="7" t="s">
        <v>3517</v>
      </c>
      <c r="B2853" s="9">
        <v>39134.0</v>
      </c>
      <c r="C2853" s="9">
        <v>38408.0</v>
      </c>
      <c r="D2853" s="9">
        <v>10318.0</v>
      </c>
      <c r="E2853" s="9">
        <v>323.0</v>
      </c>
      <c r="F2853" s="14"/>
      <c r="G2853" s="15"/>
      <c r="H2853" s="15"/>
      <c r="I2853" s="14"/>
      <c r="P2853" s="14"/>
    </row>
    <row r="2854" ht="18.75" customHeight="1">
      <c r="A2854" s="7" t="s">
        <v>3518</v>
      </c>
      <c r="B2854" s="9">
        <v>51963.0</v>
      </c>
      <c r="C2854" s="9">
        <v>51005.0</v>
      </c>
      <c r="D2854" s="9">
        <v>17780.0</v>
      </c>
      <c r="E2854" s="9">
        <v>633.0</v>
      </c>
      <c r="F2854" s="14"/>
      <c r="G2854" s="15"/>
      <c r="H2854" s="15"/>
      <c r="I2854" s="14"/>
      <c r="P2854" s="14"/>
    </row>
    <row r="2855" ht="18.75" customHeight="1">
      <c r="A2855" s="7" t="s">
        <v>3192</v>
      </c>
      <c r="B2855" s="9">
        <v>146155.0</v>
      </c>
      <c r="C2855" s="9">
        <v>144658.0</v>
      </c>
      <c r="D2855" s="9">
        <v>57682.0</v>
      </c>
      <c r="E2855" s="9">
        <v>2008.0</v>
      </c>
      <c r="F2855" s="14"/>
      <c r="G2855" s="15"/>
      <c r="H2855" s="15"/>
      <c r="I2855" s="14"/>
      <c r="P2855" s="14"/>
    </row>
    <row r="2856" ht="18.75" customHeight="1">
      <c r="A2856" s="7" t="s">
        <v>2895</v>
      </c>
      <c r="B2856" s="9">
        <v>151498.0</v>
      </c>
      <c r="C2856" s="9">
        <v>149126.0</v>
      </c>
      <c r="D2856" s="9">
        <v>62262.0</v>
      </c>
      <c r="E2856" s="9">
        <v>2375.0</v>
      </c>
      <c r="F2856" s="14"/>
      <c r="G2856" s="15"/>
      <c r="H2856" s="15"/>
      <c r="I2856" s="14"/>
      <c r="P2856" s="14"/>
    </row>
    <row r="2857" ht="18.75" customHeight="1">
      <c r="A2857" s="7" t="s">
        <v>3513</v>
      </c>
      <c r="B2857" s="9">
        <v>153202.0</v>
      </c>
      <c r="C2857" s="9">
        <v>151123.0</v>
      </c>
      <c r="D2857" s="9">
        <v>53230.0</v>
      </c>
      <c r="E2857" s="9">
        <v>1723.0</v>
      </c>
      <c r="F2857" s="14"/>
      <c r="G2857" s="15"/>
      <c r="H2857" s="15"/>
      <c r="I2857" s="14"/>
      <c r="P2857" s="14"/>
    </row>
    <row r="2858" ht="18.75" customHeight="1">
      <c r="A2858" s="7" t="s">
        <v>3511</v>
      </c>
      <c r="B2858" s="9">
        <v>112127.0</v>
      </c>
      <c r="C2858" s="9">
        <v>111506.0</v>
      </c>
      <c r="D2858" s="9">
        <v>56334.0</v>
      </c>
      <c r="E2858" s="9">
        <v>1788.0</v>
      </c>
      <c r="F2858" s="14"/>
      <c r="G2858" s="15"/>
      <c r="H2858" s="15"/>
      <c r="I2858" s="14"/>
      <c r="P2858" s="14"/>
    </row>
    <row r="2859" ht="18.75" customHeight="1">
      <c r="A2859" s="7" t="s">
        <v>2791</v>
      </c>
      <c r="B2859" s="9">
        <v>130009.0</v>
      </c>
      <c r="C2859" s="9">
        <v>129103.0</v>
      </c>
      <c r="D2859" s="9">
        <v>87852.0</v>
      </c>
      <c r="E2859" s="9">
        <v>833.0</v>
      </c>
      <c r="F2859" s="14"/>
      <c r="G2859" s="15"/>
      <c r="H2859" s="15"/>
      <c r="I2859" s="14"/>
      <c r="P2859" s="14"/>
    </row>
    <row r="2860" ht="18.75" customHeight="1">
      <c r="A2860" s="7" t="s">
        <v>3519</v>
      </c>
      <c r="B2860" s="9">
        <v>27638.0</v>
      </c>
      <c r="C2860" s="9">
        <v>27122.0</v>
      </c>
      <c r="D2860" s="9">
        <v>5918.0</v>
      </c>
      <c r="E2860" s="9">
        <v>287.0</v>
      </c>
      <c r="F2860" s="14"/>
      <c r="G2860" s="15"/>
      <c r="H2860" s="15"/>
      <c r="I2860" s="14"/>
      <c r="P2860" s="14"/>
    </row>
    <row r="2861" ht="18.75" customHeight="1">
      <c r="A2861" s="7" t="s">
        <v>3302</v>
      </c>
      <c r="B2861" s="9">
        <v>152848.0</v>
      </c>
      <c r="C2861" s="9">
        <v>150702.0</v>
      </c>
      <c r="D2861" s="9">
        <v>61310.0</v>
      </c>
      <c r="E2861" s="9">
        <v>2117.0</v>
      </c>
      <c r="F2861" s="14"/>
      <c r="G2861" s="15"/>
      <c r="H2861" s="15"/>
      <c r="I2861" s="14"/>
      <c r="P2861" s="14"/>
    </row>
    <row r="2862" ht="18.75" customHeight="1">
      <c r="A2862" s="7" t="s">
        <v>2776</v>
      </c>
      <c r="B2862" s="9">
        <v>66234.0</v>
      </c>
      <c r="C2862" s="9">
        <v>65895.0</v>
      </c>
      <c r="D2862" s="9">
        <v>43743.0</v>
      </c>
      <c r="E2862" s="9">
        <v>244.0</v>
      </c>
      <c r="F2862" s="14"/>
      <c r="G2862" s="15"/>
      <c r="H2862" s="15"/>
      <c r="I2862" s="14"/>
      <c r="P2862" s="14"/>
    </row>
    <row r="2863" ht="18.75" customHeight="1">
      <c r="A2863" s="7" t="s">
        <v>2774</v>
      </c>
      <c r="B2863" s="9">
        <v>57953.0</v>
      </c>
      <c r="C2863" s="9">
        <v>56939.0</v>
      </c>
      <c r="D2863" s="9">
        <v>23648.0</v>
      </c>
      <c r="E2863" s="9">
        <v>2376.0</v>
      </c>
      <c r="F2863" s="14"/>
      <c r="G2863" s="15"/>
      <c r="H2863" s="15"/>
      <c r="I2863" s="14"/>
      <c r="P2863" s="14"/>
    </row>
    <row r="2864" ht="18.75" customHeight="1">
      <c r="A2864" s="7" t="s">
        <v>2774</v>
      </c>
      <c r="B2864" s="9">
        <v>46877.0</v>
      </c>
      <c r="C2864" s="9">
        <v>45591.0</v>
      </c>
      <c r="D2864" s="9">
        <v>12026.0</v>
      </c>
      <c r="E2864" s="9">
        <v>239.0</v>
      </c>
      <c r="F2864" s="14"/>
      <c r="G2864" s="15"/>
      <c r="H2864" s="15"/>
      <c r="I2864" s="14"/>
      <c r="P2864" s="14"/>
    </row>
    <row r="2865" ht="18.75" customHeight="1">
      <c r="A2865" s="7" t="s">
        <v>2774</v>
      </c>
      <c r="B2865" s="9">
        <v>2325.0</v>
      </c>
      <c r="C2865" s="9">
        <v>2291.0</v>
      </c>
      <c r="D2865" s="9">
        <v>919.0</v>
      </c>
      <c r="E2865" s="9">
        <v>50.0</v>
      </c>
      <c r="F2865" s="14"/>
      <c r="G2865" s="15"/>
      <c r="H2865" s="15"/>
      <c r="I2865" s="14"/>
      <c r="P2865" s="14"/>
    </row>
    <row r="2866" ht="18.75" customHeight="1">
      <c r="A2866" s="7" t="s">
        <v>2774</v>
      </c>
      <c r="B2866" s="9">
        <v>68169.0</v>
      </c>
      <c r="C2866" s="9">
        <v>65510.0</v>
      </c>
      <c r="D2866" s="9">
        <v>14555.0</v>
      </c>
      <c r="E2866" s="9">
        <v>1739.0</v>
      </c>
      <c r="F2866" s="14"/>
      <c r="G2866" s="15"/>
      <c r="H2866" s="15"/>
      <c r="I2866" s="14"/>
      <c r="P2866" s="14"/>
    </row>
    <row r="2867" ht="18.75" customHeight="1">
      <c r="A2867" s="7" t="s">
        <v>3356</v>
      </c>
      <c r="B2867" s="9">
        <v>12984.0</v>
      </c>
      <c r="C2867" s="9">
        <v>12837.0</v>
      </c>
      <c r="D2867" s="9">
        <v>2085.0</v>
      </c>
      <c r="E2867" s="9">
        <v>104.0</v>
      </c>
      <c r="F2867" s="14"/>
      <c r="G2867" s="15"/>
      <c r="H2867" s="15"/>
      <c r="I2867" s="14"/>
      <c r="P2867" s="14"/>
    </row>
    <row r="2868" ht="18.75" customHeight="1">
      <c r="A2868" s="7" t="s">
        <v>3203</v>
      </c>
      <c r="B2868" s="9">
        <v>53448.0</v>
      </c>
      <c r="C2868" s="9">
        <v>52362.0</v>
      </c>
      <c r="D2868" s="9">
        <v>10198.0</v>
      </c>
      <c r="E2868" s="9">
        <v>280.0</v>
      </c>
      <c r="F2868" s="14"/>
      <c r="G2868" s="15"/>
      <c r="H2868" s="15"/>
      <c r="I2868" s="14"/>
      <c r="P2868" s="14"/>
    </row>
    <row r="2869" ht="18.75" customHeight="1">
      <c r="A2869" s="7" t="s">
        <v>3167</v>
      </c>
      <c r="B2869" s="9">
        <v>61503.0</v>
      </c>
      <c r="C2869" s="9">
        <v>60316.0</v>
      </c>
      <c r="D2869" s="9">
        <v>16026.0</v>
      </c>
      <c r="E2869" s="9">
        <v>3915.0</v>
      </c>
      <c r="F2869" s="14"/>
      <c r="G2869" s="15"/>
      <c r="H2869" s="15"/>
      <c r="I2869" s="14"/>
      <c r="P2869" s="14"/>
    </row>
    <row r="2870" ht="18.75" customHeight="1">
      <c r="A2870" s="7" t="s">
        <v>3170</v>
      </c>
      <c r="B2870" s="9">
        <v>32767.0</v>
      </c>
      <c r="C2870" s="9">
        <v>32238.0</v>
      </c>
      <c r="D2870" s="9">
        <v>7933.0</v>
      </c>
      <c r="E2870" s="9">
        <v>346.0</v>
      </c>
      <c r="F2870" s="14"/>
      <c r="G2870" s="15"/>
      <c r="H2870" s="15"/>
      <c r="I2870" s="14"/>
      <c r="P2870" s="14"/>
    </row>
    <row r="2871" ht="18.75" customHeight="1">
      <c r="A2871" s="7" t="s">
        <v>2980</v>
      </c>
      <c r="B2871" s="9">
        <v>25962.0</v>
      </c>
      <c r="C2871" s="9">
        <v>25573.0</v>
      </c>
      <c r="D2871" s="9">
        <v>5543.0</v>
      </c>
      <c r="E2871" s="9">
        <v>58.0</v>
      </c>
      <c r="F2871" s="14"/>
      <c r="G2871" s="15"/>
      <c r="H2871" s="15"/>
      <c r="I2871" s="14"/>
      <c r="P2871" s="14"/>
    </row>
    <row r="2872" ht="18.75" customHeight="1">
      <c r="A2872" s="7" t="s">
        <v>3520</v>
      </c>
      <c r="B2872" s="9">
        <v>17045.0</v>
      </c>
      <c r="C2872" s="9">
        <v>16840.0</v>
      </c>
      <c r="D2872" s="9">
        <v>4816.0</v>
      </c>
      <c r="E2872" s="9">
        <v>175.0</v>
      </c>
      <c r="F2872" s="14"/>
      <c r="G2872" s="15"/>
      <c r="H2872" s="15"/>
      <c r="I2872" s="14"/>
      <c r="P2872" s="14"/>
    </row>
    <row r="2873" ht="18.75" customHeight="1">
      <c r="A2873" s="7" t="s">
        <v>3521</v>
      </c>
      <c r="B2873" s="9">
        <v>37743.0</v>
      </c>
      <c r="C2873" s="9">
        <v>37348.0</v>
      </c>
      <c r="D2873" s="9">
        <v>8133.0</v>
      </c>
      <c r="E2873" s="9">
        <v>257.0</v>
      </c>
      <c r="F2873" s="14"/>
      <c r="G2873" s="15"/>
      <c r="H2873" s="15"/>
      <c r="I2873" s="14"/>
      <c r="P2873" s="14"/>
    </row>
    <row r="2874" ht="18.75" customHeight="1">
      <c r="A2874" s="7" t="s">
        <v>3325</v>
      </c>
      <c r="B2874" s="9">
        <v>73079.0</v>
      </c>
      <c r="C2874" s="9">
        <v>71758.0</v>
      </c>
      <c r="D2874" s="9">
        <v>16835.0</v>
      </c>
      <c r="E2874" s="9">
        <v>345.0</v>
      </c>
      <c r="F2874" s="14"/>
      <c r="G2874" s="15"/>
      <c r="H2874" s="15"/>
      <c r="I2874" s="14"/>
      <c r="P2874" s="14"/>
    </row>
    <row r="2875" ht="18.75" customHeight="1">
      <c r="A2875" s="7" t="s">
        <v>3215</v>
      </c>
      <c r="B2875" s="9">
        <v>20960.0</v>
      </c>
      <c r="C2875" s="9">
        <v>20603.0</v>
      </c>
      <c r="D2875" s="9">
        <v>5588.0</v>
      </c>
      <c r="E2875" s="9">
        <v>82.0</v>
      </c>
      <c r="F2875" s="14"/>
      <c r="G2875" s="15"/>
      <c r="H2875" s="15"/>
      <c r="I2875" s="14"/>
      <c r="P2875" s="14"/>
    </row>
    <row r="2876" ht="18.75" customHeight="1">
      <c r="A2876" s="7" t="s">
        <v>3522</v>
      </c>
      <c r="B2876" s="9">
        <v>44246.0</v>
      </c>
      <c r="C2876" s="9">
        <v>44489.0</v>
      </c>
      <c r="D2876" s="9">
        <v>14222.0</v>
      </c>
      <c r="E2876" s="9">
        <v>46.0</v>
      </c>
      <c r="F2876" s="14"/>
      <c r="G2876" s="15"/>
      <c r="H2876" s="15"/>
      <c r="I2876" s="14"/>
      <c r="P2876" s="14"/>
    </row>
    <row r="2877" ht="18.75" customHeight="1">
      <c r="A2877" s="7" t="s">
        <v>3523</v>
      </c>
      <c r="B2877" s="9">
        <v>73384.0</v>
      </c>
      <c r="C2877" s="9">
        <v>71331.0</v>
      </c>
      <c r="D2877" s="9">
        <v>11802.0</v>
      </c>
      <c r="E2877" s="9">
        <v>191.0</v>
      </c>
      <c r="F2877" s="14"/>
      <c r="G2877" s="15"/>
      <c r="H2877" s="15"/>
      <c r="I2877" s="14"/>
      <c r="P2877" s="14"/>
    </row>
    <row r="2878" ht="18.75" customHeight="1">
      <c r="A2878" s="7" t="s">
        <v>3461</v>
      </c>
      <c r="B2878" s="9">
        <v>59.0</v>
      </c>
      <c r="C2878" s="9">
        <v>58.0</v>
      </c>
      <c r="D2878" s="9">
        <v>30.0</v>
      </c>
      <c r="E2878" s="9">
        <v>1.0</v>
      </c>
      <c r="F2878" s="14"/>
      <c r="G2878" s="15"/>
      <c r="H2878" s="15"/>
      <c r="I2878" s="14"/>
      <c r="P2878" s="14"/>
    </row>
    <row r="2879" ht="18.75" customHeight="1">
      <c r="A2879" s="7" t="s">
        <v>3285</v>
      </c>
      <c r="B2879" s="9">
        <v>63.0</v>
      </c>
      <c r="C2879" s="9">
        <v>63.0</v>
      </c>
      <c r="D2879" s="9">
        <v>42.0</v>
      </c>
      <c r="E2879" s="9">
        <v>0.0</v>
      </c>
      <c r="F2879" s="14"/>
      <c r="G2879" s="15"/>
      <c r="H2879" s="15"/>
      <c r="I2879" s="14"/>
      <c r="P2879" s="14"/>
    </row>
    <row r="2880" ht="18.75" customHeight="1">
      <c r="A2880" s="7" t="s">
        <v>3524</v>
      </c>
      <c r="B2880" s="9">
        <v>6407.0</v>
      </c>
      <c r="C2880" s="9">
        <v>6296.0</v>
      </c>
      <c r="D2880" s="9">
        <v>1474.0</v>
      </c>
      <c r="E2880" s="9">
        <v>52.0</v>
      </c>
      <c r="F2880" s="14"/>
      <c r="G2880" s="15"/>
      <c r="H2880" s="15"/>
      <c r="I2880" s="14"/>
      <c r="P2880" s="14"/>
    </row>
    <row r="2881" ht="18.75" customHeight="1">
      <c r="A2881" s="7" t="s">
        <v>3480</v>
      </c>
      <c r="B2881" s="9">
        <v>103.0</v>
      </c>
      <c r="C2881" s="9">
        <v>101.0</v>
      </c>
      <c r="D2881" s="9">
        <v>49.0</v>
      </c>
      <c r="E2881" s="9">
        <v>2.0</v>
      </c>
      <c r="F2881" s="14"/>
      <c r="G2881" s="15"/>
      <c r="H2881" s="15"/>
      <c r="I2881" s="14"/>
      <c r="P2881" s="14"/>
    </row>
    <row r="2882" ht="18.75" customHeight="1">
      <c r="A2882" s="7" t="s">
        <v>3525</v>
      </c>
      <c r="B2882" s="9">
        <v>35582.0</v>
      </c>
      <c r="C2882" s="9">
        <v>34920.0</v>
      </c>
      <c r="D2882" s="9">
        <v>13784.0</v>
      </c>
      <c r="E2882" s="9">
        <v>1137.0</v>
      </c>
      <c r="F2882" s="14"/>
      <c r="G2882" s="15"/>
      <c r="H2882" s="15"/>
      <c r="I2882" s="14"/>
      <c r="P2882" s="14"/>
    </row>
    <row r="2883" ht="18.75" customHeight="1">
      <c r="A2883" s="7" t="s">
        <v>362</v>
      </c>
      <c r="B2883" s="9">
        <v>120584.0</v>
      </c>
      <c r="C2883" s="9">
        <v>117525.0</v>
      </c>
      <c r="D2883" s="9">
        <v>29721.0</v>
      </c>
      <c r="E2883" s="9">
        <v>285.0</v>
      </c>
      <c r="F2883" s="14"/>
      <c r="G2883" s="15"/>
      <c r="H2883" s="15"/>
      <c r="I2883" s="14"/>
      <c r="P2883" s="14"/>
    </row>
    <row r="2884" ht="18.75" customHeight="1">
      <c r="A2884" s="7" t="s">
        <v>362</v>
      </c>
      <c r="B2884" s="9">
        <v>98552.0</v>
      </c>
      <c r="C2884" s="9">
        <v>96606.0</v>
      </c>
      <c r="D2884" s="9">
        <v>33033.0</v>
      </c>
      <c r="E2884" s="9">
        <v>228.0</v>
      </c>
      <c r="F2884" s="14"/>
      <c r="G2884" s="15"/>
      <c r="H2884" s="15"/>
      <c r="I2884" s="14"/>
      <c r="P2884" s="14"/>
    </row>
    <row r="2885" ht="18.75" customHeight="1">
      <c r="A2885" s="7" t="s">
        <v>3526</v>
      </c>
      <c r="B2885" s="9">
        <v>95878.0</v>
      </c>
      <c r="C2885" s="9">
        <v>94020.0</v>
      </c>
      <c r="D2885" s="9">
        <v>37716.0</v>
      </c>
      <c r="E2885" s="9">
        <v>2083.0</v>
      </c>
      <c r="F2885" s="14"/>
      <c r="G2885" s="15"/>
      <c r="H2885" s="15"/>
      <c r="I2885" s="14"/>
      <c r="P2885" s="14"/>
    </row>
    <row r="2886" ht="18.75" customHeight="1">
      <c r="A2886" s="7" t="s">
        <v>3094</v>
      </c>
      <c r="B2886" s="9">
        <v>3204.0</v>
      </c>
      <c r="C2886" s="9">
        <v>3142.0</v>
      </c>
      <c r="D2886" s="9">
        <v>1043.0</v>
      </c>
      <c r="E2886" s="9">
        <v>15.0</v>
      </c>
      <c r="F2886" s="14"/>
      <c r="G2886" s="15"/>
      <c r="H2886" s="15"/>
      <c r="I2886" s="14"/>
      <c r="P2886" s="14"/>
    </row>
    <row r="2887" ht="18.75" customHeight="1">
      <c r="A2887" s="7" t="s">
        <v>3094</v>
      </c>
      <c r="B2887" s="9">
        <v>2160.0</v>
      </c>
      <c r="C2887" s="9">
        <v>2121.0</v>
      </c>
      <c r="D2887" s="9">
        <v>529.0</v>
      </c>
      <c r="E2887" s="9">
        <v>16.0</v>
      </c>
      <c r="F2887" s="14"/>
      <c r="G2887" s="15"/>
      <c r="H2887" s="15"/>
      <c r="I2887" s="14"/>
      <c r="P2887" s="14"/>
    </row>
    <row r="2888" ht="18.75" customHeight="1">
      <c r="A2888" s="7" t="s">
        <v>3094</v>
      </c>
      <c r="B2888" s="9">
        <v>3283.0</v>
      </c>
      <c r="C2888" s="9">
        <v>3210.0</v>
      </c>
      <c r="D2888" s="9">
        <v>818.0</v>
      </c>
      <c r="E2888" s="9">
        <v>7.0</v>
      </c>
      <c r="F2888" s="14"/>
      <c r="G2888" s="15"/>
      <c r="H2888" s="15"/>
      <c r="I2888" s="14"/>
      <c r="P2888" s="14"/>
    </row>
    <row r="2889" ht="18.75" customHeight="1">
      <c r="A2889" s="7" t="s">
        <v>3094</v>
      </c>
      <c r="B2889" s="9">
        <v>2293.0</v>
      </c>
      <c r="C2889" s="9">
        <v>2237.0</v>
      </c>
      <c r="D2889" s="9">
        <v>676.0</v>
      </c>
      <c r="E2889" s="9">
        <v>18.0</v>
      </c>
      <c r="F2889" s="14"/>
      <c r="G2889" s="15"/>
      <c r="H2889" s="15"/>
      <c r="I2889" s="14"/>
      <c r="P2889" s="14"/>
    </row>
    <row r="2890" ht="18.75" customHeight="1">
      <c r="A2890" s="7" t="s">
        <v>3094</v>
      </c>
      <c r="B2890" s="9">
        <v>2184.0</v>
      </c>
      <c r="C2890" s="9">
        <v>2147.0</v>
      </c>
      <c r="D2890" s="9">
        <v>591.0</v>
      </c>
      <c r="E2890" s="9">
        <v>15.0</v>
      </c>
      <c r="F2890" s="14"/>
      <c r="G2890" s="15"/>
      <c r="H2890" s="15"/>
      <c r="I2890" s="14"/>
      <c r="P2890" s="14"/>
    </row>
    <row r="2891" ht="18.75" customHeight="1">
      <c r="A2891" s="7" t="s">
        <v>3094</v>
      </c>
      <c r="B2891" s="9">
        <v>3069.0</v>
      </c>
      <c r="C2891" s="9">
        <v>3023.0</v>
      </c>
      <c r="D2891" s="9">
        <v>1203.0</v>
      </c>
      <c r="E2891" s="9">
        <v>26.0</v>
      </c>
      <c r="F2891" s="14"/>
      <c r="G2891" s="15"/>
      <c r="H2891" s="15"/>
      <c r="I2891" s="14"/>
      <c r="P2891" s="14"/>
    </row>
    <row r="2892" ht="18.75" customHeight="1">
      <c r="A2892" s="7" t="s">
        <v>3094</v>
      </c>
      <c r="B2892" s="9">
        <v>6390.0</v>
      </c>
      <c r="C2892" s="9">
        <v>6261.0</v>
      </c>
      <c r="D2892" s="9">
        <v>2090.0</v>
      </c>
      <c r="E2892" s="9">
        <v>33.0</v>
      </c>
      <c r="F2892" s="14"/>
      <c r="G2892" s="15"/>
      <c r="H2892" s="15"/>
      <c r="I2892" s="14"/>
      <c r="P2892" s="14"/>
    </row>
    <row r="2893" ht="18.75" customHeight="1">
      <c r="A2893" s="7" t="s">
        <v>3094</v>
      </c>
      <c r="B2893" s="9">
        <v>586.0</v>
      </c>
      <c r="C2893" s="9">
        <v>570.0</v>
      </c>
      <c r="D2893" s="9">
        <v>144.0</v>
      </c>
      <c r="E2893" s="9">
        <v>0.0</v>
      </c>
      <c r="F2893" s="14"/>
      <c r="G2893" s="15"/>
      <c r="H2893" s="15"/>
      <c r="I2893" s="14"/>
      <c r="P2893" s="14"/>
    </row>
    <row r="2894" ht="18.75" customHeight="1">
      <c r="A2894" s="7" t="s">
        <v>3094</v>
      </c>
      <c r="B2894" s="9">
        <v>72170.0</v>
      </c>
      <c r="C2894" s="9">
        <v>70860.0</v>
      </c>
      <c r="D2894" s="9">
        <v>23926.0</v>
      </c>
      <c r="E2894" s="9">
        <v>374.0</v>
      </c>
      <c r="F2894" s="14"/>
      <c r="G2894" s="15"/>
      <c r="H2894" s="15"/>
      <c r="I2894" s="14"/>
      <c r="P2894" s="14"/>
    </row>
    <row r="2895" ht="18.75" customHeight="1">
      <c r="A2895" s="7" t="s">
        <v>3094</v>
      </c>
      <c r="B2895" s="9">
        <v>8522.0</v>
      </c>
      <c r="C2895" s="9">
        <v>8372.0</v>
      </c>
      <c r="D2895" s="9">
        <v>2895.0</v>
      </c>
      <c r="E2895" s="9">
        <v>106.0</v>
      </c>
      <c r="F2895" s="14"/>
      <c r="G2895" s="15"/>
      <c r="H2895" s="15"/>
      <c r="I2895" s="14"/>
      <c r="P2895" s="14"/>
    </row>
    <row r="2896" ht="18.75" customHeight="1">
      <c r="A2896" s="7" t="s">
        <v>3094</v>
      </c>
      <c r="B2896" s="9">
        <v>21921.0</v>
      </c>
      <c r="C2896" s="9">
        <v>21512.0</v>
      </c>
      <c r="D2896" s="9">
        <v>6828.0</v>
      </c>
      <c r="E2896" s="9">
        <v>114.0</v>
      </c>
      <c r="F2896" s="14"/>
      <c r="G2896" s="15"/>
      <c r="H2896" s="15"/>
      <c r="I2896" s="14"/>
      <c r="P2896" s="14"/>
    </row>
    <row r="2897" ht="18.75" customHeight="1">
      <c r="A2897" s="7" t="s">
        <v>3094</v>
      </c>
      <c r="B2897" s="9">
        <v>18505.0</v>
      </c>
      <c r="C2897" s="9">
        <v>18159.0</v>
      </c>
      <c r="D2897" s="9">
        <v>6031.0</v>
      </c>
      <c r="E2897" s="9">
        <v>167.0</v>
      </c>
      <c r="F2897" s="14"/>
      <c r="G2897" s="15"/>
      <c r="H2897" s="15"/>
      <c r="I2897" s="14"/>
      <c r="P2897" s="14"/>
    </row>
    <row r="2898" ht="18.75" customHeight="1">
      <c r="A2898" s="7" t="s">
        <v>3094</v>
      </c>
      <c r="B2898" s="9">
        <v>41675.0</v>
      </c>
      <c r="C2898" s="9">
        <v>40876.0</v>
      </c>
      <c r="D2898" s="9">
        <v>13842.0</v>
      </c>
      <c r="E2898" s="9">
        <v>224.0</v>
      </c>
      <c r="F2898" s="14"/>
      <c r="G2898" s="15"/>
      <c r="H2898" s="15"/>
      <c r="I2898" s="14"/>
      <c r="P2898" s="14"/>
    </row>
    <row r="2899" ht="18.75" customHeight="1">
      <c r="A2899" s="7" t="s">
        <v>3447</v>
      </c>
      <c r="B2899" s="9">
        <v>90.0</v>
      </c>
      <c r="C2899" s="9">
        <v>89.0</v>
      </c>
      <c r="D2899" s="9">
        <v>54.0</v>
      </c>
      <c r="E2899" s="9">
        <v>1.0</v>
      </c>
      <c r="F2899" s="14"/>
      <c r="G2899" s="15"/>
      <c r="H2899" s="15"/>
      <c r="I2899" s="14"/>
      <c r="P2899" s="14"/>
    </row>
    <row r="2900" ht="18.75" customHeight="1">
      <c r="A2900" s="7" t="s">
        <v>3189</v>
      </c>
      <c r="B2900" s="9">
        <v>4096.0</v>
      </c>
      <c r="C2900" s="9">
        <v>4089.0</v>
      </c>
      <c r="D2900" s="9">
        <v>2813.0</v>
      </c>
      <c r="E2900" s="9">
        <v>5.0</v>
      </c>
      <c r="F2900" s="14"/>
      <c r="G2900" s="15"/>
      <c r="H2900" s="15"/>
      <c r="I2900" s="14"/>
      <c r="P2900" s="14"/>
    </row>
    <row r="2901" ht="18.75" customHeight="1">
      <c r="A2901" s="7" t="s">
        <v>3189</v>
      </c>
      <c r="B2901" s="9">
        <v>126.0</v>
      </c>
      <c r="C2901" s="9">
        <v>126.0</v>
      </c>
      <c r="D2901" s="9">
        <v>63.0</v>
      </c>
      <c r="E2901" s="9">
        <v>2.0</v>
      </c>
      <c r="F2901" s="14"/>
      <c r="G2901" s="15"/>
      <c r="H2901" s="15"/>
      <c r="I2901" s="14"/>
      <c r="P2901" s="14"/>
    </row>
    <row r="2902" ht="18.75" customHeight="1">
      <c r="A2902" s="7" t="s">
        <v>2977</v>
      </c>
      <c r="B2902" s="9">
        <v>141.0</v>
      </c>
      <c r="C2902" s="9">
        <v>141.0</v>
      </c>
      <c r="D2902" s="9">
        <v>94.0</v>
      </c>
      <c r="E2902" s="9">
        <v>5.0</v>
      </c>
      <c r="F2902" s="14"/>
      <c r="G2902" s="15"/>
      <c r="H2902" s="15"/>
      <c r="I2902" s="14"/>
      <c r="P2902" s="14"/>
    </row>
    <row r="2903" ht="18.75" customHeight="1">
      <c r="A2903" s="7" t="s">
        <v>3527</v>
      </c>
      <c r="B2903" s="9">
        <v>55257.0</v>
      </c>
      <c r="C2903" s="9">
        <v>54189.0</v>
      </c>
      <c r="D2903" s="9">
        <v>15418.0</v>
      </c>
      <c r="E2903" s="9">
        <v>262.0</v>
      </c>
      <c r="F2903" s="14"/>
      <c r="G2903" s="15"/>
      <c r="H2903" s="15"/>
      <c r="I2903" s="14"/>
      <c r="P2903" s="14"/>
    </row>
    <row r="2904" ht="18.75" customHeight="1">
      <c r="A2904" s="7" t="s">
        <v>3287</v>
      </c>
      <c r="B2904" s="9">
        <v>47.0</v>
      </c>
      <c r="C2904" s="9">
        <v>47.0</v>
      </c>
      <c r="D2904" s="9">
        <v>24.0</v>
      </c>
      <c r="E2904" s="9">
        <v>0.0</v>
      </c>
      <c r="F2904" s="14"/>
      <c r="G2904" s="15"/>
      <c r="H2904" s="15"/>
      <c r="I2904" s="14"/>
      <c r="P2904" s="14"/>
    </row>
    <row r="2905" ht="18.75" customHeight="1">
      <c r="A2905" s="7" t="s">
        <v>360</v>
      </c>
      <c r="B2905" s="9">
        <v>18704.0</v>
      </c>
      <c r="C2905" s="9">
        <v>18335.0</v>
      </c>
      <c r="D2905" s="9">
        <v>5471.0</v>
      </c>
      <c r="E2905" s="9">
        <v>25.0</v>
      </c>
      <c r="F2905" s="14"/>
      <c r="G2905" s="15"/>
      <c r="H2905" s="15"/>
      <c r="I2905" s="14"/>
      <c r="P2905" s="14"/>
    </row>
    <row r="2906" ht="18.75" customHeight="1">
      <c r="A2906" s="7" t="s">
        <v>362</v>
      </c>
      <c r="B2906" s="9">
        <v>119965.0</v>
      </c>
      <c r="C2906" s="9">
        <v>118095.0</v>
      </c>
      <c r="D2906" s="9">
        <v>44914.0</v>
      </c>
      <c r="E2906" s="9">
        <v>1120.0</v>
      </c>
      <c r="F2906" s="14"/>
      <c r="G2906" s="15"/>
      <c r="H2906" s="15"/>
      <c r="I2906" s="14"/>
      <c r="P2906" s="14"/>
    </row>
    <row r="2907" ht="18.75" customHeight="1">
      <c r="A2907" s="7" t="s">
        <v>3091</v>
      </c>
      <c r="B2907" s="9">
        <v>1872.0</v>
      </c>
      <c r="C2907" s="9">
        <v>1821.0</v>
      </c>
      <c r="D2907" s="9">
        <v>617.0</v>
      </c>
      <c r="E2907" s="9">
        <v>77.0</v>
      </c>
      <c r="F2907" s="14"/>
      <c r="G2907" s="15"/>
      <c r="H2907" s="15"/>
      <c r="I2907" s="14"/>
      <c r="P2907" s="14"/>
    </row>
    <row r="2908" ht="18.75" customHeight="1">
      <c r="A2908" s="7" t="s">
        <v>3066</v>
      </c>
      <c r="B2908" s="9">
        <v>33173.0</v>
      </c>
      <c r="C2908" s="9">
        <v>32552.0</v>
      </c>
      <c r="D2908" s="9">
        <v>10113.0</v>
      </c>
      <c r="E2908" s="9">
        <v>23.0</v>
      </c>
      <c r="F2908" s="14"/>
      <c r="G2908" s="15"/>
      <c r="H2908" s="15"/>
      <c r="I2908" s="14"/>
      <c r="P2908" s="14"/>
    </row>
    <row r="2909" ht="18.75" customHeight="1">
      <c r="A2909" s="7" t="s">
        <v>368</v>
      </c>
      <c r="B2909" s="9">
        <v>210.0</v>
      </c>
      <c r="C2909" s="9">
        <v>207.0</v>
      </c>
      <c r="D2909" s="9">
        <v>76.0</v>
      </c>
      <c r="E2909" s="9">
        <v>4.0</v>
      </c>
      <c r="F2909" s="14"/>
      <c r="G2909" s="15"/>
      <c r="H2909" s="15"/>
      <c r="I2909" s="14"/>
      <c r="P2909" s="14"/>
    </row>
    <row r="2910" ht="18.75" customHeight="1">
      <c r="A2910" s="7" t="s">
        <v>368</v>
      </c>
      <c r="B2910" s="9">
        <v>151.0</v>
      </c>
      <c r="C2910" s="9">
        <v>150.0</v>
      </c>
      <c r="D2910" s="9">
        <v>70.0</v>
      </c>
      <c r="E2910" s="9">
        <v>10.0</v>
      </c>
      <c r="F2910" s="14"/>
      <c r="G2910" s="15"/>
      <c r="H2910" s="15"/>
      <c r="I2910" s="14"/>
      <c r="P2910" s="14"/>
    </row>
    <row r="2911" ht="18.75" customHeight="1">
      <c r="A2911" s="7" t="s">
        <v>366</v>
      </c>
      <c r="B2911" s="9">
        <v>569.0</v>
      </c>
      <c r="C2911" s="9">
        <v>561.0</v>
      </c>
      <c r="D2911" s="9">
        <v>182.0</v>
      </c>
      <c r="E2911" s="9">
        <v>7.0</v>
      </c>
      <c r="F2911" s="14"/>
      <c r="G2911" s="15"/>
      <c r="H2911" s="15"/>
      <c r="I2911" s="14"/>
      <c r="P2911" s="14"/>
    </row>
    <row r="2912" ht="18.75" customHeight="1">
      <c r="A2912" s="7" t="s">
        <v>366</v>
      </c>
      <c r="B2912" s="9">
        <v>2680.0</v>
      </c>
      <c r="C2912" s="9">
        <v>2640.0</v>
      </c>
      <c r="D2912" s="9">
        <v>1004.0</v>
      </c>
      <c r="E2912" s="9">
        <v>43.0</v>
      </c>
      <c r="F2912" s="14"/>
      <c r="G2912" s="15"/>
      <c r="H2912" s="15"/>
      <c r="I2912" s="14"/>
      <c r="P2912" s="14"/>
    </row>
    <row r="2913" ht="18.75" customHeight="1">
      <c r="A2913" s="7" t="s">
        <v>374</v>
      </c>
      <c r="B2913" s="9">
        <v>2479.0</v>
      </c>
      <c r="C2913" s="9">
        <v>2428.0</v>
      </c>
      <c r="D2913" s="9">
        <v>746.0</v>
      </c>
      <c r="E2913" s="9">
        <v>16.0</v>
      </c>
      <c r="F2913" s="14"/>
      <c r="G2913" s="15"/>
      <c r="H2913" s="15"/>
      <c r="I2913" s="14"/>
      <c r="P2913" s="14"/>
    </row>
    <row r="2914" ht="18.75" customHeight="1">
      <c r="A2914" s="7" t="s">
        <v>374</v>
      </c>
      <c r="B2914" s="9">
        <v>3800.0</v>
      </c>
      <c r="C2914" s="9">
        <v>3736.0</v>
      </c>
      <c r="D2914" s="9">
        <v>1407.0</v>
      </c>
      <c r="E2914" s="9">
        <v>70.0</v>
      </c>
      <c r="F2914" s="14"/>
      <c r="G2914" s="15"/>
      <c r="H2914" s="15"/>
      <c r="I2914" s="14"/>
      <c r="P2914" s="14"/>
    </row>
    <row r="2915" ht="18.75" customHeight="1">
      <c r="A2915" s="7" t="s">
        <v>3528</v>
      </c>
      <c r="B2915" s="9">
        <v>18893.0</v>
      </c>
      <c r="C2915" s="9">
        <v>18514.0</v>
      </c>
      <c r="D2915" s="9">
        <v>5719.0</v>
      </c>
      <c r="E2915" s="9">
        <v>262.0</v>
      </c>
      <c r="F2915" s="14"/>
      <c r="G2915" s="15"/>
      <c r="H2915" s="15"/>
      <c r="I2915" s="14"/>
      <c r="P2915" s="14"/>
    </row>
    <row r="2916" ht="18.75" customHeight="1">
      <c r="A2916" s="7" t="s">
        <v>3529</v>
      </c>
      <c r="B2916" s="9">
        <v>10589.0</v>
      </c>
      <c r="C2916" s="9">
        <v>10389.0</v>
      </c>
      <c r="D2916" s="9">
        <v>4665.0</v>
      </c>
      <c r="E2916" s="9">
        <v>206.0</v>
      </c>
      <c r="F2916" s="14"/>
      <c r="G2916" s="15"/>
      <c r="H2916" s="15"/>
      <c r="I2916" s="14"/>
      <c r="P2916" s="14"/>
    </row>
    <row r="2917" ht="18.75" customHeight="1">
      <c r="A2917" s="7" t="s">
        <v>3530</v>
      </c>
      <c r="B2917" s="9">
        <v>5741.0</v>
      </c>
      <c r="C2917" s="9">
        <v>5574.0</v>
      </c>
      <c r="D2917" s="9">
        <v>1473.0</v>
      </c>
      <c r="E2917" s="9">
        <v>107.0</v>
      </c>
      <c r="F2917" s="14"/>
      <c r="G2917" s="15"/>
      <c r="H2917" s="15"/>
      <c r="I2917" s="14"/>
      <c r="P2917" s="14"/>
    </row>
    <row r="2918" ht="18.75" customHeight="1">
      <c r="A2918" s="7" t="s">
        <v>372</v>
      </c>
      <c r="B2918" s="9">
        <v>11519.0</v>
      </c>
      <c r="C2918" s="9">
        <v>11315.0</v>
      </c>
      <c r="D2918" s="9">
        <v>3662.0</v>
      </c>
      <c r="E2918" s="9">
        <v>190.0</v>
      </c>
      <c r="F2918" s="14"/>
      <c r="G2918" s="15"/>
      <c r="H2918" s="15"/>
      <c r="I2918" s="14"/>
      <c r="P2918" s="14"/>
    </row>
    <row r="2919" ht="18.75" customHeight="1">
      <c r="A2919" s="7" t="s">
        <v>3094</v>
      </c>
      <c r="B2919" s="9">
        <v>12886.0</v>
      </c>
      <c r="C2919" s="9">
        <v>12648.0</v>
      </c>
      <c r="D2919" s="9">
        <v>3476.0</v>
      </c>
      <c r="E2919" s="9">
        <v>53.0</v>
      </c>
      <c r="F2919" s="14"/>
      <c r="G2919" s="15"/>
      <c r="H2919" s="15"/>
      <c r="I2919" s="14"/>
      <c r="P2919" s="14"/>
    </row>
    <row r="2920" ht="18.75" customHeight="1">
      <c r="A2920" s="7" t="s">
        <v>3094</v>
      </c>
      <c r="B2920" s="9">
        <v>907.0</v>
      </c>
      <c r="C2920" s="9">
        <v>886.0</v>
      </c>
      <c r="D2920" s="9">
        <v>426.0</v>
      </c>
      <c r="E2920" s="9">
        <v>7.0</v>
      </c>
      <c r="F2920" s="14"/>
      <c r="G2920" s="15"/>
      <c r="H2920" s="15"/>
      <c r="I2920" s="14"/>
      <c r="P2920" s="14"/>
    </row>
    <row r="2921" ht="18.75" customHeight="1">
      <c r="A2921" s="7" t="s">
        <v>3094</v>
      </c>
      <c r="B2921" s="9">
        <v>10941.0</v>
      </c>
      <c r="C2921" s="9">
        <v>10718.0</v>
      </c>
      <c r="D2921" s="9">
        <v>3030.0</v>
      </c>
      <c r="E2921" s="9">
        <v>64.0</v>
      </c>
      <c r="F2921" s="14"/>
      <c r="G2921" s="15"/>
      <c r="H2921" s="15"/>
      <c r="I2921" s="14"/>
      <c r="P2921" s="14"/>
    </row>
    <row r="2922" ht="18.75" customHeight="1">
      <c r="A2922" s="7" t="s">
        <v>3094</v>
      </c>
      <c r="B2922" s="9">
        <v>6612.0</v>
      </c>
      <c r="C2922" s="9">
        <v>6460.0</v>
      </c>
      <c r="D2922" s="9">
        <v>1346.0</v>
      </c>
      <c r="E2922" s="9">
        <v>27.0</v>
      </c>
      <c r="F2922" s="14"/>
      <c r="G2922" s="15"/>
      <c r="H2922" s="15"/>
      <c r="I2922" s="14"/>
      <c r="P2922" s="14"/>
    </row>
    <row r="2923" ht="18.75" customHeight="1">
      <c r="A2923" s="7" t="s">
        <v>3094</v>
      </c>
      <c r="B2923" s="9">
        <v>3117.0</v>
      </c>
      <c r="C2923" s="9">
        <v>3041.0</v>
      </c>
      <c r="D2923" s="9">
        <v>661.0</v>
      </c>
      <c r="E2923" s="9">
        <v>8.0</v>
      </c>
      <c r="F2923" s="14"/>
      <c r="G2923" s="15"/>
      <c r="H2923" s="15"/>
      <c r="I2923" s="14"/>
      <c r="P2923" s="14"/>
    </row>
    <row r="2924" ht="18.75" customHeight="1">
      <c r="A2924" s="7" t="s">
        <v>3284</v>
      </c>
      <c r="B2924" s="9">
        <v>163.0</v>
      </c>
      <c r="C2924" s="9">
        <v>163.0</v>
      </c>
      <c r="D2924" s="9">
        <v>103.0</v>
      </c>
      <c r="E2924" s="9">
        <v>0.0</v>
      </c>
      <c r="F2924" s="14"/>
      <c r="G2924" s="15"/>
      <c r="H2924" s="15"/>
      <c r="I2924" s="14"/>
      <c r="P2924" s="14"/>
    </row>
    <row r="2925" ht="18.75" customHeight="1">
      <c r="A2925" s="7" t="s">
        <v>3286</v>
      </c>
      <c r="B2925" s="9">
        <v>160.0</v>
      </c>
      <c r="C2925" s="9">
        <v>160.0</v>
      </c>
      <c r="D2925" s="9">
        <v>89.0</v>
      </c>
      <c r="E2925" s="9">
        <v>1.0</v>
      </c>
      <c r="F2925" s="14"/>
      <c r="G2925" s="15"/>
      <c r="H2925" s="15"/>
      <c r="I2925" s="14"/>
      <c r="P2925" s="14"/>
    </row>
    <row r="2926" ht="18.75" customHeight="1">
      <c r="A2926" s="7" t="s">
        <v>3286</v>
      </c>
      <c r="B2926" s="9">
        <v>4747.0</v>
      </c>
      <c r="C2926" s="9">
        <v>4742.0</v>
      </c>
      <c r="D2926" s="9">
        <v>3418.0</v>
      </c>
      <c r="E2926" s="9">
        <v>7.0</v>
      </c>
      <c r="F2926" s="14"/>
      <c r="G2926" s="15"/>
      <c r="H2926" s="15"/>
      <c r="I2926" s="14"/>
      <c r="P2926" s="14"/>
    </row>
    <row r="2927" ht="18.75" customHeight="1">
      <c r="A2927" s="7" t="s">
        <v>3349</v>
      </c>
      <c r="B2927" s="9">
        <v>6987.0</v>
      </c>
      <c r="C2927" s="9">
        <v>6976.0</v>
      </c>
      <c r="D2927" s="9">
        <v>5023.0</v>
      </c>
      <c r="E2927" s="9">
        <v>12.0</v>
      </c>
      <c r="F2927" s="14"/>
      <c r="G2927" s="15"/>
      <c r="H2927" s="15"/>
      <c r="I2927" s="14"/>
      <c r="P2927" s="14"/>
    </row>
    <row r="2928" ht="18.75" customHeight="1">
      <c r="A2928" s="7" t="s">
        <v>3349</v>
      </c>
      <c r="B2928" s="9">
        <v>229.0</v>
      </c>
      <c r="C2928" s="9">
        <v>229.0</v>
      </c>
      <c r="D2928" s="9">
        <v>141.0</v>
      </c>
      <c r="E2928" s="9">
        <v>1.0</v>
      </c>
      <c r="F2928" s="14"/>
      <c r="G2928" s="15"/>
      <c r="H2928" s="15"/>
      <c r="I2928" s="14"/>
      <c r="P2928" s="14"/>
    </row>
    <row r="2929" ht="18.75" customHeight="1">
      <c r="A2929" s="7" t="s">
        <v>3482</v>
      </c>
      <c r="B2929" s="9">
        <v>70.0</v>
      </c>
      <c r="C2929" s="9">
        <v>70.0</v>
      </c>
      <c r="D2929" s="9">
        <v>53.0</v>
      </c>
      <c r="E2929" s="9">
        <v>2.0</v>
      </c>
      <c r="F2929" s="14"/>
      <c r="G2929" s="15"/>
      <c r="H2929" s="15"/>
      <c r="I2929" s="14"/>
      <c r="P2929" s="14"/>
    </row>
    <row r="2930" ht="18.75" customHeight="1">
      <c r="A2930" s="7" t="s">
        <v>3531</v>
      </c>
      <c r="B2930" s="9">
        <v>61105.0</v>
      </c>
      <c r="C2930" s="9">
        <v>59556.0</v>
      </c>
      <c r="D2930" s="9">
        <v>7943.0</v>
      </c>
      <c r="E2930" s="9">
        <v>181.0</v>
      </c>
      <c r="F2930" s="14"/>
      <c r="G2930" s="15"/>
      <c r="H2930" s="15"/>
      <c r="I2930" s="14"/>
      <c r="P2930" s="14"/>
    </row>
    <row r="2931" ht="18.75" customHeight="1">
      <c r="A2931" s="7" t="s">
        <v>3532</v>
      </c>
      <c r="B2931" s="9">
        <v>17548.0</v>
      </c>
      <c r="C2931" s="9">
        <v>17092.0</v>
      </c>
      <c r="D2931" s="9">
        <v>2265.0</v>
      </c>
      <c r="E2931" s="9">
        <v>48.0</v>
      </c>
      <c r="F2931" s="14"/>
      <c r="G2931" s="15"/>
      <c r="H2931" s="15"/>
      <c r="I2931" s="14"/>
      <c r="P2931" s="14"/>
    </row>
    <row r="2932" ht="18.75" customHeight="1">
      <c r="A2932" s="7" t="s">
        <v>3533</v>
      </c>
      <c r="B2932" s="9">
        <v>13858.0</v>
      </c>
      <c r="C2932" s="9">
        <v>13607.0</v>
      </c>
      <c r="D2932" s="9">
        <v>2566.0</v>
      </c>
      <c r="E2932" s="9">
        <v>71.0</v>
      </c>
      <c r="F2932" s="14"/>
      <c r="G2932" s="15"/>
      <c r="H2932" s="15"/>
      <c r="I2932" s="14"/>
      <c r="P2932" s="14"/>
    </row>
    <row r="2933" ht="18.75" customHeight="1">
      <c r="A2933" s="7" t="s">
        <v>3524</v>
      </c>
      <c r="B2933" s="9">
        <v>49.0</v>
      </c>
      <c r="C2933" s="9">
        <v>49.0</v>
      </c>
      <c r="D2933" s="9">
        <v>27.0</v>
      </c>
      <c r="E2933" s="9">
        <v>0.0</v>
      </c>
      <c r="F2933" s="14"/>
      <c r="G2933" s="15"/>
      <c r="H2933" s="15"/>
      <c r="I2933" s="14"/>
      <c r="P2933" s="14"/>
    </row>
    <row r="2934" ht="18.75" customHeight="1">
      <c r="A2934" s="7" t="s">
        <v>3524</v>
      </c>
      <c r="B2934" s="9">
        <v>49.0</v>
      </c>
      <c r="C2934" s="9">
        <v>49.0</v>
      </c>
      <c r="D2934" s="9">
        <v>27.0</v>
      </c>
      <c r="E2934" s="9">
        <v>0.0</v>
      </c>
      <c r="F2934" s="14"/>
      <c r="G2934" s="15"/>
      <c r="H2934" s="15"/>
      <c r="I2934" s="14"/>
      <c r="P2934" s="14"/>
    </row>
    <row r="2935" ht="18.75" customHeight="1">
      <c r="A2935" s="7" t="s">
        <v>3534</v>
      </c>
      <c r="B2935" s="9">
        <v>93.0</v>
      </c>
      <c r="C2935" s="9">
        <v>91.0</v>
      </c>
      <c r="D2935" s="9">
        <v>46.0</v>
      </c>
      <c r="E2935" s="9">
        <v>10.0</v>
      </c>
      <c r="F2935" s="14"/>
      <c r="G2935" s="15"/>
      <c r="H2935" s="15"/>
      <c r="I2935" s="14"/>
      <c r="P2935" s="14"/>
    </row>
    <row r="2936" ht="18.75" customHeight="1">
      <c r="A2936" s="7" t="s">
        <v>3535</v>
      </c>
      <c r="B2936" s="9">
        <v>1957.0</v>
      </c>
      <c r="C2936" s="9">
        <v>1945.0</v>
      </c>
      <c r="D2936" s="9">
        <v>710.0</v>
      </c>
      <c r="E2936" s="9">
        <v>4.0</v>
      </c>
      <c r="F2936" s="14"/>
      <c r="G2936" s="15"/>
      <c r="H2936" s="15"/>
      <c r="I2936" s="14"/>
      <c r="P2936" s="14"/>
    </row>
    <row r="2937" ht="18.75" customHeight="1">
      <c r="A2937" s="7" t="s">
        <v>362</v>
      </c>
      <c r="B2937" s="9">
        <v>200331.0</v>
      </c>
      <c r="C2937" s="9">
        <v>199339.0</v>
      </c>
      <c r="D2937" s="9">
        <v>115736.0</v>
      </c>
      <c r="E2937" s="9">
        <v>1906.0</v>
      </c>
      <c r="F2937" s="14"/>
      <c r="G2937" s="15"/>
      <c r="H2937" s="15"/>
      <c r="I2937" s="14"/>
      <c r="P2937" s="14"/>
    </row>
    <row r="2938" ht="18.75" customHeight="1">
      <c r="A2938" s="7" t="s">
        <v>362</v>
      </c>
      <c r="B2938" s="9">
        <v>122541.0</v>
      </c>
      <c r="C2938" s="9">
        <v>118783.0</v>
      </c>
      <c r="D2938" s="9">
        <v>14900.0</v>
      </c>
      <c r="E2938" s="9">
        <v>211.0</v>
      </c>
      <c r="F2938" s="14"/>
      <c r="G2938" s="15"/>
      <c r="H2938" s="15"/>
      <c r="I2938" s="14"/>
      <c r="P2938" s="14"/>
    </row>
    <row r="2939" ht="18.75" customHeight="1">
      <c r="A2939" s="7" t="s">
        <v>3536</v>
      </c>
      <c r="B2939" s="9">
        <v>93574.0</v>
      </c>
      <c r="C2939" s="9">
        <v>91833.0</v>
      </c>
      <c r="D2939" s="9">
        <v>25897.0</v>
      </c>
      <c r="E2939" s="9">
        <v>475.0</v>
      </c>
      <c r="F2939" s="14"/>
      <c r="G2939" s="15"/>
      <c r="H2939" s="15"/>
      <c r="I2939" s="14"/>
      <c r="P2939" s="14"/>
    </row>
    <row r="2940" ht="18.75" customHeight="1">
      <c r="A2940" s="7" t="s">
        <v>3537</v>
      </c>
      <c r="B2940" s="9">
        <v>9612.0</v>
      </c>
      <c r="C2940" s="9">
        <v>9434.0</v>
      </c>
      <c r="D2940" s="9">
        <v>2196.0</v>
      </c>
      <c r="E2940" s="9">
        <v>100.0</v>
      </c>
      <c r="F2940" s="14"/>
      <c r="G2940" s="15"/>
      <c r="H2940" s="15"/>
      <c r="I2940" s="14"/>
      <c r="P2940" s="14"/>
    </row>
    <row r="2941" ht="18.75" customHeight="1">
      <c r="A2941" s="7" t="s">
        <v>3531</v>
      </c>
      <c r="B2941" s="9">
        <v>99.0</v>
      </c>
      <c r="C2941" s="9">
        <v>99.0</v>
      </c>
      <c r="D2941" s="9">
        <v>58.0</v>
      </c>
      <c r="E2941" s="9">
        <v>1.0</v>
      </c>
      <c r="F2941" s="14"/>
      <c r="G2941" s="15"/>
      <c r="H2941" s="15"/>
      <c r="I2941" s="14"/>
      <c r="P2941" s="14"/>
    </row>
    <row r="2942" ht="18.75" customHeight="1">
      <c r="A2942" s="7" t="s">
        <v>3533</v>
      </c>
      <c r="B2942" s="9">
        <v>48.0</v>
      </c>
      <c r="C2942" s="9">
        <v>48.0</v>
      </c>
      <c r="D2942" s="9">
        <v>21.0</v>
      </c>
      <c r="E2942" s="9">
        <v>0.0</v>
      </c>
      <c r="F2942" s="14"/>
      <c r="G2942" s="15"/>
      <c r="H2942" s="15"/>
      <c r="I2942" s="14"/>
      <c r="P2942" s="14"/>
    </row>
    <row r="2943" ht="18.75" customHeight="1">
      <c r="A2943" s="7" t="s">
        <v>2803</v>
      </c>
      <c r="B2943" s="9">
        <v>163223.0</v>
      </c>
      <c r="C2943" s="9">
        <v>162866.0</v>
      </c>
      <c r="D2943" s="9">
        <v>120088.0</v>
      </c>
      <c r="E2943" s="9">
        <v>9710.0</v>
      </c>
      <c r="F2943" s="14"/>
      <c r="G2943" s="15"/>
      <c r="H2943" s="15"/>
      <c r="I2943" s="14"/>
      <c r="P2943" s="14"/>
    </row>
    <row r="2944" ht="18.75" customHeight="1">
      <c r="A2944" s="7" t="s">
        <v>3094</v>
      </c>
      <c r="B2944" s="9">
        <v>2714.0</v>
      </c>
      <c r="C2944" s="9">
        <v>2660.0</v>
      </c>
      <c r="D2944" s="9">
        <v>763.0</v>
      </c>
      <c r="E2944" s="9">
        <v>10.0</v>
      </c>
      <c r="F2944" s="14"/>
      <c r="G2944" s="15"/>
      <c r="H2944" s="15"/>
      <c r="I2944" s="14"/>
      <c r="P2944" s="14"/>
    </row>
    <row r="2945" ht="18.75" customHeight="1">
      <c r="A2945" s="7" t="s">
        <v>3527</v>
      </c>
      <c r="B2945" s="9">
        <v>138.0</v>
      </c>
      <c r="C2945" s="9">
        <v>138.0</v>
      </c>
      <c r="D2945" s="9">
        <v>101.0</v>
      </c>
      <c r="E2945" s="9">
        <v>2.0</v>
      </c>
      <c r="F2945" s="14"/>
      <c r="G2945" s="15"/>
      <c r="H2945" s="15"/>
      <c r="I2945" s="14"/>
      <c r="P2945" s="14"/>
    </row>
    <row r="2946" ht="18.75" customHeight="1">
      <c r="A2946" s="7" t="s">
        <v>3492</v>
      </c>
      <c r="B2946" s="9">
        <v>57.0</v>
      </c>
      <c r="C2946" s="9">
        <v>56.0</v>
      </c>
      <c r="D2946" s="9">
        <v>34.0</v>
      </c>
      <c r="E2946" s="9">
        <v>1.0</v>
      </c>
      <c r="F2946" s="14"/>
      <c r="G2946" s="15"/>
      <c r="H2946" s="15"/>
      <c r="I2946" s="14"/>
      <c r="P2946" s="14"/>
    </row>
    <row r="2947" ht="18.75" customHeight="1">
      <c r="A2947" s="7" t="s">
        <v>3538</v>
      </c>
      <c r="B2947" s="9">
        <v>34651.0</v>
      </c>
      <c r="C2947" s="9">
        <v>34553.0</v>
      </c>
      <c r="D2947" s="9">
        <v>24784.0</v>
      </c>
      <c r="E2947" s="9">
        <v>414.0</v>
      </c>
      <c r="F2947" s="14"/>
      <c r="G2947" s="15"/>
      <c r="H2947" s="15"/>
      <c r="I2947" s="14"/>
      <c r="P2947" s="14"/>
    </row>
    <row r="2948" ht="18.75" customHeight="1">
      <c r="A2948" s="7" t="s">
        <v>3538</v>
      </c>
      <c r="B2948" s="9">
        <v>1332.0</v>
      </c>
      <c r="C2948" s="9">
        <v>1330.0</v>
      </c>
      <c r="D2948" s="9">
        <v>944.0</v>
      </c>
      <c r="E2948" s="9">
        <v>54.0</v>
      </c>
      <c r="F2948" s="14"/>
      <c r="G2948" s="15"/>
      <c r="H2948" s="15"/>
      <c r="I2948" s="14"/>
      <c r="P2948" s="14"/>
    </row>
    <row r="2949" ht="18.75" customHeight="1">
      <c r="A2949" s="7" t="s">
        <v>3538</v>
      </c>
      <c r="B2949" s="9">
        <v>65338.0</v>
      </c>
      <c r="C2949" s="9">
        <v>63957.0</v>
      </c>
      <c r="D2949" s="9">
        <v>9818.0</v>
      </c>
      <c r="E2949" s="9">
        <v>174.0</v>
      </c>
      <c r="F2949" s="14"/>
      <c r="G2949" s="15"/>
      <c r="H2949" s="15"/>
      <c r="I2949" s="14"/>
      <c r="P2949" s="14"/>
    </row>
    <row r="2950" ht="18.75" customHeight="1">
      <c r="A2950" s="7" t="s">
        <v>3539</v>
      </c>
      <c r="B2950" s="9">
        <v>52124.0</v>
      </c>
      <c r="C2950" s="9">
        <v>51196.0</v>
      </c>
      <c r="D2950" s="9">
        <v>14052.0</v>
      </c>
      <c r="E2950" s="9">
        <v>1792.0</v>
      </c>
      <c r="F2950" s="14"/>
      <c r="G2950" s="15"/>
      <c r="H2950" s="15"/>
      <c r="I2950" s="14"/>
      <c r="P2950" s="14"/>
    </row>
    <row r="2951" ht="18.75" customHeight="1">
      <c r="A2951" s="7" t="s">
        <v>2857</v>
      </c>
      <c r="B2951" s="9">
        <v>43628.0</v>
      </c>
      <c r="C2951" s="9">
        <v>42626.0</v>
      </c>
      <c r="D2951" s="9">
        <v>10604.0</v>
      </c>
      <c r="E2951" s="9">
        <v>289.0</v>
      </c>
      <c r="F2951" s="14"/>
      <c r="G2951" s="15"/>
      <c r="H2951" s="15"/>
      <c r="I2951" s="14"/>
      <c r="P2951" s="14"/>
    </row>
    <row r="2952" ht="18.75" customHeight="1">
      <c r="A2952" s="7" t="s">
        <v>3540</v>
      </c>
      <c r="B2952" s="9">
        <v>22394.0</v>
      </c>
      <c r="C2952" s="9">
        <v>21929.0</v>
      </c>
      <c r="D2952" s="9">
        <v>5358.0</v>
      </c>
      <c r="E2952" s="9">
        <v>161.0</v>
      </c>
      <c r="F2952" s="14"/>
      <c r="G2952" s="15"/>
      <c r="H2952" s="15"/>
      <c r="I2952" s="14"/>
      <c r="P2952" s="14"/>
    </row>
    <row r="2953" ht="18.75" customHeight="1">
      <c r="A2953" s="7" t="s">
        <v>3541</v>
      </c>
      <c r="B2953" s="9">
        <v>11026.0</v>
      </c>
      <c r="C2953" s="9">
        <v>10783.0</v>
      </c>
      <c r="D2953" s="9">
        <v>3304.0</v>
      </c>
      <c r="E2953" s="9">
        <v>184.0</v>
      </c>
      <c r="F2953" s="14"/>
      <c r="G2953" s="15"/>
      <c r="H2953" s="15"/>
      <c r="I2953" s="14"/>
      <c r="P2953" s="14"/>
    </row>
    <row r="2954" ht="18.75" customHeight="1">
      <c r="A2954" s="7" t="s">
        <v>351</v>
      </c>
      <c r="B2954" s="9">
        <v>65466.0</v>
      </c>
      <c r="C2954" s="9">
        <v>64024.0</v>
      </c>
      <c r="D2954" s="9">
        <v>19927.0</v>
      </c>
      <c r="E2954" s="9">
        <v>990.0</v>
      </c>
      <c r="F2954" s="14"/>
      <c r="G2954" s="15"/>
      <c r="H2954" s="15"/>
      <c r="I2954" s="14"/>
      <c r="P2954" s="14"/>
    </row>
    <row r="2955" ht="18.75" customHeight="1">
      <c r="A2955" s="7" t="s">
        <v>351</v>
      </c>
      <c r="B2955" s="9">
        <v>120087.0</v>
      </c>
      <c r="C2955" s="9">
        <v>117640.0</v>
      </c>
      <c r="D2955" s="9">
        <v>41969.0</v>
      </c>
      <c r="E2955" s="9">
        <v>1932.0</v>
      </c>
      <c r="F2955" s="14"/>
      <c r="G2955" s="15"/>
      <c r="H2955" s="15"/>
      <c r="I2955" s="14"/>
      <c r="P2955" s="14"/>
    </row>
    <row r="2956" ht="18.75" customHeight="1">
      <c r="A2956" s="7" t="s">
        <v>3067</v>
      </c>
      <c r="B2956" s="9">
        <v>34484.0</v>
      </c>
      <c r="C2956" s="9">
        <v>33793.0</v>
      </c>
      <c r="D2956" s="9">
        <v>13057.0</v>
      </c>
      <c r="E2956" s="9">
        <v>459.0</v>
      </c>
      <c r="F2956" s="14"/>
      <c r="G2956" s="15"/>
      <c r="H2956" s="15"/>
      <c r="I2956" s="14"/>
      <c r="P2956" s="14"/>
    </row>
    <row r="2957" ht="18.75" customHeight="1">
      <c r="A2957" s="7" t="s">
        <v>381</v>
      </c>
      <c r="B2957" s="9">
        <v>108.0</v>
      </c>
      <c r="C2957" s="9">
        <v>105.0</v>
      </c>
      <c r="D2957" s="9">
        <v>24.0</v>
      </c>
      <c r="E2957" s="9">
        <v>2.0</v>
      </c>
      <c r="F2957" s="14"/>
      <c r="G2957" s="15"/>
      <c r="H2957" s="15"/>
      <c r="I2957" s="14"/>
      <c r="P2957" s="14"/>
    </row>
    <row r="2958" ht="18.75" customHeight="1">
      <c r="A2958" s="7" t="s">
        <v>3527</v>
      </c>
      <c r="B2958" s="9">
        <v>139.0</v>
      </c>
      <c r="C2958" s="9">
        <v>139.0</v>
      </c>
      <c r="D2958" s="9">
        <v>106.0</v>
      </c>
      <c r="E2958" s="9">
        <v>2.0</v>
      </c>
      <c r="F2958" s="14"/>
      <c r="G2958" s="15"/>
      <c r="H2958" s="15"/>
      <c r="I2958" s="14"/>
      <c r="P2958" s="14"/>
    </row>
    <row r="2959" ht="18.75" customHeight="1">
      <c r="A2959" s="7" t="s">
        <v>3542</v>
      </c>
      <c r="B2959" s="9">
        <v>18491.0</v>
      </c>
      <c r="C2959" s="9">
        <v>18137.0</v>
      </c>
      <c r="D2959" s="9">
        <v>2820.0</v>
      </c>
      <c r="E2959" s="9">
        <v>87.0</v>
      </c>
      <c r="F2959" s="14"/>
      <c r="G2959" s="15"/>
      <c r="H2959" s="15"/>
      <c r="I2959" s="14"/>
      <c r="P2959" s="14"/>
    </row>
    <row r="2960" ht="18.75" customHeight="1">
      <c r="A2960" s="7" t="s">
        <v>3543</v>
      </c>
      <c r="B2960" s="9">
        <v>37337.0</v>
      </c>
      <c r="C2960" s="9">
        <v>36533.0</v>
      </c>
      <c r="D2960" s="9">
        <v>6057.0</v>
      </c>
      <c r="E2960" s="9">
        <v>152.0</v>
      </c>
      <c r="F2960" s="14"/>
      <c r="G2960" s="15"/>
      <c r="H2960" s="15"/>
      <c r="I2960" s="14"/>
      <c r="P2960" s="14"/>
    </row>
    <row r="2961" ht="18.75" customHeight="1">
      <c r="A2961" s="7" t="s">
        <v>3544</v>
      </c>
      <c r="B2961" s="9">
        <v>31939.0</v>
      </c>
      <c r="C2961" s="9">
        <v>31309.0</v>
      </c>
      <c r="D2961" s="9">
        <v>7126.0</v>
      </c>
      <c r="E2961" s="9">
        <v>126.0</v>
      </c>
      <c r="F2961" s="14"/>
      <c r="G2961" s="15"/>
      <c r="H2961" s="15"/>
      <c r="I2961" s="14"/>
      <c r="P2961" s="14"/>
    </row>
    <row r="2962" ht="18.75" customHeight="1">
      <c r="A2962" s="7" t="s">
        <v>3545</v>
      </c>
      <c r="B2962" s="9">
        <v>61563.0</v>
      </c>
      <c r="C2962" s="9">
        <v>60266.0</v>
      </c>
      <c r="D2962" s="9">
        <v>10029.0</v>
      </c>
      <c r="E2962" s="9">
        <v>190.0</v>
      </c>
      <c r="F2962" s="14"/>
      <c r="G2962" s="15"/>
      <c r="H2962" s="15"/>
      <c r="I2962" s="14"/>
      <c r="P2962" s="14"/>
    </row>
    <row r="2963" ht="18.75" customHeight="1">
      <c r="A2963" s="7" t="s">
        <v>3532</v>
      </c>
      <c r="B2963" s="9">
        <v>64.0</v>
      </c>
      <c r="C2963" s="9">
        <v>64.0</v>
      </c>
      <c r="D2963" s="9">
        <v>33.0</v>
      </c>
      <c r="E2963" s="9">
        <v>0.0</v>
      </c>
      <c r="F2963" s="14"/>
      <c r="G2963" s="15"/>
      <c r="H2963" s="15"/>
      <c r="I2963" s="14"/>
      <c r="P2963" s="14"/>
    </row>
    <row r="2964" ht="18.75" customHeight="1">
      <c r="A2964" s="7" t="s">
        <v>3546</v>
      </c>
      <c r="B2964" s="9">
        <v>55250.0</v>
      </c>
      <c r="C2964" s="9">
        <v>54185.0</v>
      </c>
      <c r="D2964" s="9">
        <v>19894.0</v>
      </c>
      <c r="E2964" s="9">
        <v>190.0</v>
      </c>
      <c r="F2964" s="14"/>
      <c r="G2964" s="15"/>
      <c r="H2964" s="15"/>
      <c r="I2964" s="14"/>
      <c r="P2964" s="14"/>
    </row>
    <row r="2965" ht="18.75" customHeight="1">
      <c r="A2965" s="7" t="s">
        <v>3524</v>
      </c>
      <c r="B2965" s="9">
        <v>57.0</v>
      </c>
      <c r="C2965" s="9">
        <v>56.0</v>
      </c>
      <c r="D2965" s="9">
        <v>25.0</v>
      </c>
      <c r="E2965" s="9">
        <v>1.0</v>
      </c>
      <c r="F2965" s="14"/>
      <c r="G2965" s="15"/>
      <c r="H2965" s="15"/>
      <c r="I2965" s="14"/>
      <c r="P2965" s="14"/>
    </row>
    <row r="2966" ht="18.75" customHeight="1">
      <c r="A2966" s="7" t="s">
        <v>3536</v>
      </c>
      <c r="B2966" s="9">
        <v>242.0</v>
      </c>
      <c r="C2966" s="9">
        <v>242.0</v>
      </c>
      <c r="D2966" s="9">
        <v>160.0</v>
      </c>
      <c r="E2966" s="9">
        <v>2.0</v>
      </c>
      <c r="F2966" s="14"/>
      <c r="G2966" s="15"/>
      <c r="H2966" s="15"/>
      <c r="I2966" s="14"/>
      <c r="P2966" s="14"/>
    </row>
    <row r="2967" ht="18.75" customHeight="1">
      <c r="A2967" s="7" t="s">
        <v>3547</v>
      </c>
      <c r="B2967" s="9">
        <v>36019.0</v>
      </c>
      <c r="C2967" s="9">
        <v>35360.0</v>
      </c>
      <c r="D2967" s="9">
        <v>10581.0</v>
      </c>
      <c r="E2967" s="9">
        <v>197.0</v>
      </c>
      <c r="F2967" s="14"/>
      <c r="G2967" s="15"/>
      <c r="H2967" s="15"/>
      <c r="I2967" s="14"/>
      <c r="P2967" s="14"/>
    </row>
    <row r="2968" ht="18.75" customHeight="1">
      <c r="A2968" s="7" t="s">
        <v>3548</v>
      </c>
      <c r="B2968" s="9">
        <v>39783.0</v>
      </c>
      <c r="C2968" s="9">
        <v>38949.0</v>
      </c>
      <c r="D2968" s="9">
        <v>10317.0</v>
      </c>
      <c r="E2968" s="9">
        <v>203.0</v>
      </c>
      <c r="F2968" s="14"/>
      <c r="G2968" s="15"/>
      <c r="H2968" s="15"/>
      <c r="I2968" s="14"/>
      <c r="P2968" s="14"/>
    </row>
    <row r="2969" ht="18.75" customHeight="1">
      <c r="A2969" s="7" t="s">
        <v>3549</v>
      </c>
      <c r="B2969" s="9">
        <v>99074.0</v>
      </c>
      <c r="C2969" s="9">
        <v>97426.0</v>
      </c>
      <c r="D2969" s="9">
        <v>34607.0</v>
      </c>
      <c r="E2969" s="9">
        <v>412.0</v>
      </c>
      <c r="F2969" s="14"/>
      <c r="G2969" s="15"/>
      <c r="H2969" s="15"/>
      <c r="I2969" s="14"/>
      <c r="P2969" s="14"/>
    </row>
    <row r="2970" ht="18.75" customHeight="1">
      <c r="A2970" s="7" t="s">
        <v>351</v>
      </c>
      <c r="B2970" s="9">
        <v>345.0</v>
      </c>
      <c r="C2970" s="9">
        <v>340.0</v>
      </c>
      <c r="D2970" s="9">
        <v>165.0</v>
      </c>
      <c r="E2970" s="9">
        <v>16.0</v>
      </c>
      <c r="F2970" s="14"/>
      <c r="G2970" s="15"/>
      <c r="H2970" s="15"/>
      <c r="I2970" s="14"/>
      <c r="P2970" s="14"/>
    </row>
    <row r="2971" ht="18.75" customHeight="1">
      <c r="A2971" s="7" t="s">
        <v>3550</v>
      </c>
      <c r="B2971" s="9">
        <v>2633.0</v>
      </c>
      <c r="C2971" s="9">
        <v>2586.0</v>
      </c>
      <c r="D2971" s="9">
        <v>697.0</v>
      </c>
      <c r="E2971" s="9">
        <v>11.0</v>
      </c>
      <c r="F2971" s="14"/>
      <c r="G2971" s="15"/>
      <c r="H2971" s="15"/>
      <c r="I2971" s="14"/>
      <c r="P2971" s="14"/>
    </row>
    <row r="2972" ht="18.75" customHeight="1">
      <c r="A2972" s="7" t="s">
        <v>351</v>
      </c>
      <c r="B2972" s="9">
        <v>729.0</v>
      </c>
      <c r="C2972" s="9">
        <v>729.0</v>
      </c>
      <c r="D2972" s="9">
        <v>551.0</v>
      </c>
      <c r="E2972" s="9">
        <v>415.0</v>
      </c>
      <c r="F2972" s="14"/>
      <c r="G2972" s="15"/>
      <c r="H2972" s="15"/>
      <c r="I2972" s="14"/>
      <c r="P2972" s="14"/>
    </row>
    <row r="2973" ht="18.75" customHeight="1">
      <c r="A2973" s="7" t="s">
        <v>3551</v>
      </c>
      <c r="B2973" s="9">
        <v>64376.0</v>
      </c>
      <c r="C2973" s="9">
        <v>63315.0</v>
      </c>
      <c r="D2973" s="9">
        <v>17308.0</v>
      </c>
      <c r="E2973" s="9">
        <v>711.0</v>
      </c>
      <c r="F2973" s="14"/>
      <c r="G2973" s="15"/>
      <c r="H2973" s="15"/>
      <c r="I2973" s="14"/>
      <c r="P2973" s="14"/>
    </row>
    <row r="2974" ht="18.75" customHeight="1">
      <c r="A2974" s="7" t="s">
        <v>3552</v>
      </c>
      <c r="B2974" s="9">
        <v>6810.0</v>
      </c>
      <c r="C2974" s="9">
        <v>6665.0</v>
      </c>
      <c r="D2974" s="9">
        <v>1614.0</v>
      </c>
      <c r="E2974" s="9">
        <v>58.0</v>
      </c>
      <c r="F2974" s="14"/>
      <c r="G2974" s="15"/>
      <c r="H2974" s="15"/>
      <c r="I2974" s="14"/>
      <c r="P2974" s="14"/>
    </row>
    <row r="2975" ht="18.75" customHeight="1">
      <c r="A2975" s="7" t="s">
        <v>3553</v>
      </c>
      <c r="B2975" s="9">
        <v>415.0</v>
      </c>
      <c r="C2975" s="9">
        <v>413.0</v>
      </c>
      <c r="D2975" s="9">
        <v>196.0</v>
      </c>
      <c r="E2975" s="9">
        <v>17.0</v>
      </c>
      <c r="F2975" s="14"/>
      <c r="G2975" s="15"/>
      <c r="H2975" s="15"/>
      <c r="I2975" s="14"/>
      <c r="P2975" s="14"/>
    </row>
    <row r="2976" ht="18.75" customHeight="1">
      <c r="A2976" s="7" t="s">
        <v>3554</v>
      </c>
      <c r="B2976" s="9">
        <v>18565.0</v>
      </c>
      <c r="C2976" s="9">
        <v>18226.0</v>
      </c>
      <c r="D2976" s="9">
        <v>6714.0</v>
      </c>
      <c r="E2976" s="9">
        <v>156.0</v>
      </c>
      <c r="F2976" s="14"/>
      <c r="G2976" s="15"/>
      <c r="H2976" s="15"/>
      <c r="I2976" s="14"/>
      <c r="P2976" s="14"/>
    </row>
    <row r="2977" ht="18.75" customHeight="1">
      <c r="A2977" s="7" t="s">
        <v>3543</v>
      </c>
      <c r="B2977" s="9">
        <v>131.0</v>
      </c>
      <c r="C2977" s="9">
        <v>131.0</v>
      </c>
      <c r="D2977" s="9">
        <v>82.0</v>
      </c>
      <c r="E2977" s="9">
        <v>0.0</v>
      </c>
      <c r="F2977" s="14"/>
      <c r="G2977" s="15"/>
      <c r="H2977" s="15"/>
      <c r="I2977" s="14"/>
      <c r="P2977" s="14"/>
    </row>
    <row r="2978" ht="18.75" customHeight="1">
      <c r="A2978" s="7" t="s">
        <v>3538</v>
      </c>
      <c r="B2978" s="9">
        <v>280.0</v>
      </c>
      <c r="C2978" s="9">
        <v>260.0</v>
      </c>
      <c r="D2978" s="9">
        <v>194.0</v>
      </c>
      <c r="E2978" s="9">
        <v>1.0</v>
      </c>
      <c r="F2978" s="14"/>
      <c r="G2978" s="15"/>
      <c r="H2978" s="15"/>
      <c r="I2978" s="14"/>
      <c r="P2978" s="14"/>
    </row>
    <row r="2979" ht="18.75" customHeight="1">
      <c r="A2979" s="7" t="s">
        <v>3555</v>
      </c>
      <c r="B2979" s="9">
        <v>85.0</v>
      </c>
      <c r="C2979" s="9">
        <v>85.0</v>
      </c>
      <c r="D2979" s="9">
        <v>43.0</v>
      </c>
      <c r="E2979" s="9">
        <v>0.0</v>
      </c>
      <c r="F2979" s="14"/>
      <c r="G2979" s="15"/>
      <c r="H2979" s="15"/>
      <c r="I2979" s="14"/>
      <c r="P2979" s="14"/>
    </row>
    <row r="2980" ht="18.75" customHeight="1">
      <c r="A2980" s="7" t="s">
        <v>3545</v>
      </c>
      <c r="B2980" s="9">
        <v>125.0</v>
      </c>
      <c r="C2980" s="9">
        <v>124.0</v>
      </c>
      <c r="D2980" s="9">
        <v>72.0</v>
      </c>
      <c r="E2980" s="9">
        <v>3.0</v>
      </c>
      <c r="F2980" s="14"/>
      <c r="G2980" s="15"/>
      <c r="H2980" s="15"/>
      <c r="I2980" s="14"/>
      <c r="P2980" s="14"/>
    </row>
    <row r="2981" ht="18.75" customHeight="1">
      <c r="A2981" s="7" t="s">
        <v>3546</v>
      </c>
      <c r="B2981" s="9">
        <v>83.0</v>
      </c>
      <c r="C2981" s="9">
        <v>82.0</v>
      </c>
      <c r="D2981" s="9">
        <v>50.0</v>
      </c>
      <c r="E2981" s="9">
        <v>3.0</v>
      </c>
      <c r="F2981" s="14"/>
      <c r="G2981" s="15"/>
      <c r="H2981" s="15"/>
      <c r="I2981" s="14"/>
      <c r="P2981" s="14"/>
    </row>
    <row r="2982" ht="18.75" customHeight="1">
      <c r="A2982" s="7" t="s">
        <v>3556</v>
      </c>
      <c r="B2982" s="9">
        <v>72186.0</v>
      </c>
      <c r="C2982" s="9">
        <v>70867.0</v>
      </c>
      <c r="D2982" s="9">
        <v>16315.0</v>
      </c>
      <c r="E2982" s="9">
        <v>297.0</v>
      </c>
      <c r="F2982" s="14"/>
      <c r="G2982" s="15"/>
      <c r="H2982" s="15"/>
      <c r="I2982" s="14"/>
      <c r="P2982" s="14"/>
    </row>
    <row r="2983" ht="18.75" customHeight="1">
      <c r="A2983" s="7" t="s">
        <v>3535</v>
      </c>
      <c r="B2983" s="9">
        <v>92.0</v>
      </c>
      <c r="C2983" s="9">
        <v>90.0</v>
      </c>
      <c r="D2983" s="9">
        <v>42.0</v>
      </c>
      <c r="E2983" s="9">
        <v>5.0</v>
      </c>
      <c r="F2983" s="14"/>
      <c r="G2983" s="15"/>
      <c r="H2983" s="15"/>
      <c r="I2983" s="14"/>
      <c r="P2983" s="14"/>
    </row>
    <row r="2984" ht="18.75" customHeight="1">
      <c r="A2984" s="7" t="s">
        <v>3044</v>
      </c>
      <c r="B2984" s="9">
        <v>114056.0</v>
      </c>
      <c r="C2984" s="9">
        <v>110687.0</v>
      </c>
      <c r="D2984" s="9">
        <v>12738.0</v>
      </c>
      <c r="E2984" s="9">
        <v>1267.0</v>
      </c>
      <c r="F2984" s="14"/>
      <c r="G2984" s="15"/>
      <c r="H2984" s="15"/>
      <c r="I2984" s="14"/>
      <c r="P2984" s="14"/>
    </row>
    <row r="2985" ht="18.75" customHeight="1">
      <c r="A2985" s="7" t="s">
        <v>368</v>
      </c>
      <c r="B2985" s="9">
        <v>46.0</v>
      </c>
      <c r="C2985" s="9">
        <v>46.0</v>
      </c>
      <c r="D2985" s="9">
        <v>19.0</v>
      </c>
      <c r="E2985" s="9">
        <v>1.0</v>
      </c>
      <c r="F2985" s="14"/>
      <c r="G2985" s="15"/>
      <c r="H2985" s="15"/>
      <c r="I2985" s="14"/>
      <c r="P2985" s="14"/>
    </row>
    <row r="2986" ht="18.75" customHeight="1">
      <c r="A2986" s="7" t="s">
        <v>368</v>
      </c>
      <c r="B2986" s="9">
        <v>41.0</v>
      </c>
      <c r="C2986" s="9">
        <v>40.0</v>
      </c>
      <c r="D2986" s="9">
        <v>17.0</v>
      </c>
      <c r="E2986" s="9">
        <v>5.0</v>
      </c>
      <c r="F2986" s="14"/>
      <c r="G2986" s="15"/>
      <c r="H2986" s="15"/>
      <c r="I2986" s="14"/>
      <c r="P2986" s="14"/>
    </row>
    <row r="2987" ht="18.75" customHeight="1">
      <c r="A2987" s="7" t="s">
        <v>3557</v>
      </c>
      <c r="B2987" s="9">
        <v>64614.0</v>
      </c>
      <c r="C2987" s="9">
        <v>63605.0</v>
      </c>
      <c r="D2987" s="9">
        <v>25606.0</v>
      </c>
      <c r="E2987" s="9">
        <v>573.0</v>
      </c>
      <c r="F2987" s="14"/>
      <c r="G2987" s="15"/>
      <c r="H2987" s="15"/>
      <c r="I2987" s="14"/>
      <c r="P2987" s="14"/>
    </row>
    <row r="2988" ht="18.75" customHeight="1">
      <c r="A2988" s="7" t="s">
        <v>3067</v>
      </c>
      <c r="B2988" s="9">
        <v>2806.0</v>
      </c>
      <c r="C2988" s="9">
        <v>2746.0</v>
      </c>
      <c r="D2988" s="9">
        <v>845.0</v>
      </c>
      <c r="E2988" s="9">
        <v>60.0</v>
      </c>
      <c r="F2988" s="14"/>
      <c r="G2988" s="15"/>
      <c r="H2988" s="15"/>
      <c r="I2988" s="14"/>
      <c r="P2988" s="14"/>
    </row>
    <row r="2989" ht="18.75" customHeight="1">
      <c r="A2989" s="7" t="s">
        <v>3558</v>
      </c>
      <c r="B2989" s="9">
        <v>47812.0</v>
      </c>
      <c r="C2989" s="9">
        <v>46982.0</v>
      </c>
      <c r="D2989" s="9">
        <v>18797.0</v>
      </c>
      <c r="E2989" s="9">
        <v>1935.0</v>
      </c>
      <c r="F2989" s="14"/>
      <c r="G2989" s="15"/>
      <c r="H2989" s="15"/>
      <c r="I2989" s="14"/>
      <c r="P2989" s="14"/>
    </row>
    <row r="2990" ht="18.75" customHeight="1">
      <c r="A2990" s="7" t="s">
        <v>3558</v>
      </c>
      <c r="B2990" s="9">
        <v>47825.0</v>
      </c>
      <c r="C2990" s="9">
        <v>47026.0</v>
      </c>
      <c r="D2990" s="9">
        <v>18464.0</v>
      </c>
      <c r="E2990" s="9">
        <v>1530.0</v>
      </c>
      <c r="F2990" s="14"/>
      <c r="G2990" s="15"/>
      <c r="H2990" s="15"/>
      <c r="I2990" s="14"/>
      <c r="P2990" s="14"/>
    </row>
    <row r="2991" ht="18.75" customHeight="1">
      <c r="A2991" s="7" t="s">
        <v>385</v>
      </c>
      <c r="B2991" s="9">
        <v>42873.0</v>
      </c>
      <c r="C2991" s="9">
        <v>42076.0</v>
      </c>
      <c r="D2991" s="9">
        <v>14502.0</v>
      </c>
      <c r="E2991" s="9">
        <v>330.0</v>
      </c>
      <c r="F2991" s="14"/>
      <c r="G2991" s="15"/>
      <c r="H2991" s="15"/>
      <c r="I2991" s="14"/>
      <c r="P2991" s="14"/>
    </row>
    <row r="2992" ht="18.75" customHeight="1">
      <c r="A2992" s="7" t="s">
        <v>385</v>
      </c>
      <c r="B2992" s="9">
        <v>15334.0</v>
      </c>
      <c r="C2992" s="9">
        <v>15031.0</v>
      </c>
      <c r="D2992" s="9">
        <v>5366.0</v>
      </c>
      <c r="E2992" s="9">
        <v>210.0</v>
      </c>
      <c r="F2992" s="14"/>
      <c r="G2992" s="15"/>
      <c r="H2992" s="15"/>
      <c r="I2992" s="14"/>
      <c r="P2992" s="14"/>
    </row>
    <row r="2993" ht="18.75" customHeight="1">
      <c r="A2993" s="7" t="s">
        <v>385</v>
      </c>
      <c r="B2993" s="9">
        <v>32256.0</v>
      </c>
      <c r="C2993" s="9">
        <v>31606.0</v>
      </c>
      <c r="D2993" s="9">
        <v>10429.0</v>
      </c>
      <c r="E2993" s="9">
        <v>224.0</v>
      </c>
      <c r="F2993" s="14"/>
      <c r="G2993" s="15"/>
      <c r="H2993" s="15"/>
      <c r="I2993" s="14"/>
      <c r="P2993" s="14"/>
    </row>
    <row r="2994" ht="18.75" customHeight="1">
      <c r="A2994" s="7" t="s">
        <v>356</v>
      </c>
      <c r="B2994" s="9">
        <v>599.0</v>
      </c>
      <c r="C2994" s="9">
        <v>591.0</v>
      </c>
      <c r="D2994" s="9">
        <v>208.0</v>
      </c>
      <c r="E2994" s="9">
        <v>7.0</v>
      </c>
      <c r="F2994" s="14"/>
      <c r="G2994" s="15"/>
      <c r="H2994" s="15"/>
      <c r="I2994" s="14"/>
      <c r="P2994" s="14"/>
    </row>
    <row r="2995" ht="18.75" customHeight="1">
      <c r="A2995" s="7" t="s">
        <v>3559</v>
      </c>
      <c r="B2995" s="9">
        <v>16424.0</v>
      </c>
      <c r="C2995" s="9">
        <v>16070.0</v>
      </c>
      <c r="D2995" s="9">
        <v>2677.0</v>
      </c>
      <c r="E2995" s="9">
        <v>222.0</v>
      </c>
      <c r="F2995" s="14"/>
      <c r="G2995" s="15"/>
      <c r="H2995" s="15"/>
      <c r="I2995" s="14"/>
      <c r="P2995" s="14"/>
    </row>
    <row r="2996" ht="18.75" customHeight="1">
      <c r="A2996" s="7" t="s">
        <v>3560</v>
      </c>
      <c r="B2996" s="9">
        <v>27006.0</v>
      </c>
      <c r="C2996" s="9">
        <v>26484.0</v>
      </c>
      <c r="D2996" s="9">
        <v>5488.0</v>
      </c>
      <c r="E2996" s="9">
        <v>118.0</v>
      </c>
      <c r="F2996" s="14"/>
      <c r="G2996" s="15"/>
      <c r="H2996" s="15"/>
      <c r="I2996" s="14"/>
      <c r="P2996" s="14"/>
    </row>
    <row r="2997" ht="18.75" customHeight="1">
      <c r="A2997" s="7" t="s">
        <v>3561</v>
      </c>
      <c r="B2997" s="9">
        <v>55085.0</v>
      </c>
      <c r="C2997" s="9">
        <v>54012.0</v>
      </c>
      <c r="D2997" s="9">
        <v>15184.0</v>
      </c>
      <c r="E2997" s="9">
        <v>201.0</v>
      </c>
      <c r="F2997" s="14"/>
      <c r="G2997" s="15"/>
      <c r="H2997" s="15"/>
      <c r="I2997" s="14"/>
      <c r="P2997" s="14"/>
    </row>
    <row r="2998" ht="18.75" customHeight="1">
      <c r="A2998" s="7" t="s">
        <v>3562</v>
      </c>
      <c r="B2998" s="9">
        <v>13047.0</v>
      </c>
      <c r="C2998" s="9">
        <v>12692.0</v>
      </c>
      <c r="D2998" s="9">
        <v>1445.0</v>
      </c>
      <c r="E2998" s="9">
        <v>46.0</v>
      </c>
      <c r="F2998" s="14"/>
      <c r="G2998" s="15"/>
      <c r="H2998" s="15"/>
      <c r="I2998" s="14"/>
      <c r="P2998" s="14"/>
    </row>
    <row r="2999" ht="18.75" customHeight="1">
      <c r="A2999" s="7" t="s">
        <v>3044</v>
      </c>
      <c r="B2999" s="9">
        <v>114025.0</v>
      </c>
      <c r="C2999" s="9">
        <v>110690.0</v>
      </c>
      <c r="D2999" s="9">
        <v>12037.0</v>
      </c>
      <c r="E2999" s="9">
        <v>1108.0</v>
      </c>
      <c r="F2999" s="14"/>
      <c r="G2999" s="15"/>
      <c r="H2999" s="15"/>
      <c r="I2999" s="14"/>
      <c r="P2999" s="14"/>
    </row>
    <row r="3000" ht="18.75" customHeight="1">
      <c r="A3000" s="7" t="s">
        <v>3563</v>
      </c>
      <c r="B3000" s="9">
        <v>13530.0</v>
      </c>
      <c r="C3000" s="9">
        <v>13251.0</v>
      </c>
      <c r="D3000" s="9">
        <v>5329.0</v>
      </c>
      <c r="E3000" s="9">
        <v>136.0</v>
      </c>
      <c r="F3000" s="14"/>
      <c r="G3000" s="15"/>
      <c r="H3000" s="15"/>
      <c r="I3000" s="14"/>
      <c r="P3000" s="14"/>
    </row>
    <row r="3001" ht="18.75" customHeight="1">
      <c r="A3001" s="7" t="s">
        <v>3564</v>
      </c>
      <c r="B3001" s="9">
        <v>21413.0</v>
      </c>
      <c r="C3001" s="9">
        <v>21066.0</v>
      </c>
      <c r="D3001" s="9">
        <v>7800.0</v>
      </c>
      <c r="E3001" s="9">
        <v>278.0</v>
      </c>
      <c r="F3001" s="14"/>
      <c r="G3001" s="15"/>
      <c r="H3001" s="15"/>
      <c r="I3001" s="14"/>
      <c r="P3001" s="14"/>
    </row>
    <row r="3002" ht="18.75" customHeight="1">
      <c r="A3002" s="7" t="s">
        <v>3565</v>
      </c>
      <c r="B3002" s="9">
        <v>10539.0</v>
      </c>
      <c r="C3002" s="9">
        <v>10338.0</v>
      </c>
      <c r="D3002" s="9">
        <v>3489.0</v>
      </c>
      <c r="E3002" s="9">
        <v>130.0</v>
      </c>
      <c r="F3002" s="14"/>
      <c r="G3002" s="15"/>
      <c r="H3002" s="15"/>
      <c r="I3002" s="14"/>
      <c r="P3002" s="14"/>
    </row>
    <row r="3003" ht="18.75" customHeight="1">
      <c r="A3003" s="7" t="s">
        <v>3566</v>
      </c>
      <c r="B3003" s="9">
        <v>14112.0</v>
      </c>
      <c r="C3003" s="9">
        <v>13844.0</v>
      </c>
      <c r="D3003" s="9">
        <v>4698.0</v>
      </c>
      <c r="E3003" s="9">
        <v>236.0</v>
      </c>
      <c r="F3003" s="14"/>
      <c r="G3003" s="15"/>
      <c r="H3003" s="15"/>
      <c r="I3003" s="14"/>
      <c r="P3003" s="14"/>
    </row>
    <row r="3004" ht="18.75" customHeight="1">
      <c r="A3004" s="7" t="s">
        <v>3567</v>
      </c>
      <c r="B3004" s="9">
        <v>97123.0</v>
      </c>
      <c r="C3004" s="9">
        <v>95369.0</v>
      </c>
      <c r="D3004" s="9">
        <v>30365.0</v>
      </c>
      <c r="E3004" s="9">
        <v>399.0</v>
      </c>
      <c r="F3004" s="14"/>
      <c r="G3004" s="15"/>
      <c r="H3004" s="15"/>
      <c r="I3004" s="14"/>
      <c r="P3004" s="14"/>
    </row>
    <row r="3005" ht="18.75" customHeight="1">
      <c r="A3005" s="7" t="s">
        <v>366</v>
      </c>
      <c r="B3005" s="9">
        <v>401.0</v>
      </c>
      <c r="C3005" s="9">
        <v>396.0</v>
      </c>
      <c r="D3005" s="9">
        <v>169.0</v>
      </c>
      <c r="E3005" s="9">
        <v>13.0</v>
      </c>
      <c r="F3005" s="14"/>
      <c r="G3005" s="15"/>
      <c r="H3005" s="15"/>
      <c r="I3005" s="14"/>
      <c r="P3005" s="14"/>
    </row>
    <row r="3006" ht="18.75" customHeight="1">
      <c r="A3006" s="7" t="s">
        <v>366</v>
      </c>
      <c r="B3006" s="9">
        <v>2212.0</v>
      </c>
      <c r="C3006" s="9">
        <v>2172.0</v>
      </c>
      <c r="D3006" s="9">
        <v>759.0</v>
      </c>
      <c r="E3006" s="9">
        <v>54.0</v>
      </c>
      <c r="F3006" s="14"/>
      <c r="G3006" s="15"/>
      <c r="H3006" s="15"/>
      <c r="I3006" s="14"/>
      <c r="P3006" s="14"/>
    </row>
    <row r="3007" ht="18.75" customHeight="1">
      <c r="A3007" s="7" t="s">
        <v>3531</v>
      </c>
      <c r="B3007" s="9">
        <v>99.0</v>
      </c>
      <c r="C3007" s="9">
        <v>99.0</v>
      </c>
      <c r="D3007" s="9">
        <v>44.0</v>
      </c>
      <c r="E3007" s="9">
        <v>2.0</v>
      </c>
      <c r="F3007" s="14"/>
      <c r="G3007" s="15"/>
      <c r="H3007" s="15"/>
      <c r="I3007" s="14"/>
      <c r="P3007" s="14"/>
    </row>
    <row r="3008" ht="18.75" customHeight="1">
      <c r="A3008" s="7" t="s">
        <v>372</v>
      </c>
      <c r="B3008" s="9">
        <v>7018.0</v>
      </c>
      <c r="C3008" s="9">
        <v>6869.0</v>
      </c>
      <c r="D3008" s="9">
        <v>2080.0</v>
      </c>
      <c r="E3008" s="9">
        <v>128.0</v>
      </c>
      <c r="F3008" s="14"/>
      <c r="G3008" s="15"/>
      <c r="H3008" s="15"/>
      <c r="I3008" s="14"/>
      <c r="P3008" s="14"/>
    </row>
    <row r="3009" ht="18.75" customHeight="1">
      <c r="A3009" s="7" t="s">
        <v>3568</v>
      </c>
      <c r="B3009" s="9">
        <v>85506.0</v>
      </c>
      <c r="C3009" s="9">
        <v>85313.0</v>
      </c>
      <c r="D3009" s="9">
        <v>58030.0</v>
      </c>
      <c r="E3009" s="9">
        <v>1250.0</v>
      </c>
      <c r="F3009" s="14"/>
      <c r="G3009" s="15"/>
      <c r="H3009" s="15"/>
      <c r="I3009" s="14"/>
      <c r="P3009" s="14"/>
    </row>
    <row r="3010" ht="18.75" customHeight="1">
      <c r="A3010" s="7" t="s">
        <v>3568</v>
      </c>
      <c r="B3010" s="9">
        <v>44801.0</v>
      </c>
      <c r="C3010" s="9">
        <v>43514.0</v>
      </c>
      <c r="D3010" s="9">
        <v>7392.0</v>
      </c>
      <c r="E3010" s="9">
        <v>237.0</v>
      </c>
      <c r="F3010" s="14"/>
      <c r="G3010" s="15"/>
      <c r="H3010" s="15"/>
      <c r="I3010" s="14"/>
      <c r="P3010" s="14"/>
    </row>
    <row r="3011" ht="18.75" customHeight="1">
      <c r="A3011" s="7" t="s">
        <v>360</v>
      </c>
      <c r="B3011" s="9">
        <v>22704.0</v>
      </c>
      <c r="C3011" s="9">
        <v>22279.0</v>
      </c>
      <c r="D3011" s="9">
        <v>6273.0</v>
      </c>
      <c r="E3011" s="9">
        <v>52.0</v>
      </c>
      <c r="F3011" s="14"/>
      <c r="G3011" s="15"/>
      <c r="H3011" s="15"/>
      <c r="I3011" s="14"/>
      <c r="P3011" s="14"/>
    </row>
    <row r="3012" ht="18.75" customHeight="1">
      <c r="A3012" s="7" t="s">
        <v>356</v>
      </c>
      <c r="B3012" s="9">
        <v>46.0</v>
      </c>
      <c r="C3012" s="9">
        <v>45.0</v>
      </c>
      <c r="D3012" s="9">
        <v>18.0</v>
      </c>
      <c r="E3012" s="9">
        <v>2.0</v>
      </c>
      <c r="F3012" s="14"/>
      <c r="G3012" s="15"/>
      <c r="H3012" s="15"/>
      <c r="I3012" s="14"/>
      <c r="P3012" s="14"/>
    </row>
    <row r="3013" ht="18.75" customHeight="1">
      <c r="A3013" s="7" t="s">
        <v>3569</v>
      </c>
      <c r="B3013" s="9">
        <v>7418.0</v>
      </c>
      <c r="C3013" s="9">
        <v>7264.0</v>
      </c>
      <c r="D3013" s="9">
        <v>1683.0</v>
      </c>
      <c r="E3013" s="9">
        <v>145.0</v>
      </c>
      <c r="F3013" s="14"/>
      <c r="G3013" s="15"/>
      <c r="H3013" s="15"/>
      <c r="I3013" s="14"/>
      <c r="P3013" s="14"/>
    </row>
    <row r="3014" ht="18.75" customHeight="1">
      <c r="A3014" s="7" t="s">
        <v>3543</v>
      </c>
      <c r="B3014" s="9">
        <v>131.0</v>
      </c>
      <c r="C3014" s="9">
        <v>131.0</v>
      </c>
      <c r="D3014" s="9">
        <v>60.0</v>
      </c>
      <c r="E3014" s="9">
        <v>1.0</v>
      </c>
      <c r="F3014" s="14"/>
      <c r="G3014" s="15"/>
      <c r="H3014" s="15"/>
      <c r="I3014" s="14"/>
      <c r="P3014" s="14"/>
    </row>
    <row r="3015" ht="18.75" customHeight="1">
      <c r="A3015" s="7" t="s">
        <v>3538</v>
      </c>
      <c r="B3015" s="9">
        <v>259.0</v>
      </c>
      <c r="C3015" s="9">
        <v>259.0</v>
      </c>
      <c r="D3015" s="9">
        <v>140.0</v>
      </c>
      <c r="E3015" s="9">
        <v>1.0</v>
      </c>
      <c r="F3015" s="14"/>
      <c r="G3015" s="15"/>
      <c r="H3015" s="15"/>
      <c r="I3015" s="14"/>
      <c r="P3015" s="14"/>
    </row>
    <row r="3016" ht="18.75" customHeight="1">
      <c r="A3016" s="7" t="s">
        <v>3555</v>
      </c>
      <c r="B3016" s="9">
        <v>75.0</v>
      </c>
      <c r="C3016" s="9">
        <v>74.0</v>
      </c>
      <c r="D3016" s="9">
        <v>30.0</v>
      </c>
      <c r="E3016" s="9">
        <v>1.0</v>
      </c>
      <c r="F3016" s="14"/>
      <c r="G3016" s="15"/>
      <c r="H3016" s="15"/>
      <c r="I3016" s="14"/>
      <c r="P3016" s="14"/>
    </row>
    <row r="3017" ht="18.75" customHeight="1">
      <c r="A3017" s="7" t="s">
        <v>3545</v>
      </c>
      <c r="B3017" s="9">
        <v>128.0</v>
      </c>
      <c r="C3017" s="9">
        <v>127.0</v>
      </c>
      <c r="D3017" s="9">
        <v>56.0</v>
      </c>
      <c r="E3017" s="9">
        <v>3.0</v>
      </c>
      <c r="F3017" s="14"/>
      <c r="G3017" s="15"/>
      <c r="H3017" s="15"/>
      <c r="I3017" s="14"/>
      <c r="P3017" s="14"/>
    </row>
    <row r="3018" ht="18.75" customHeight="1">
      <c r="A3018" s="7" t="s">
        <v>3532</v>
      </c>
      <c r="B3018" s="9">
        <v>64.0</v>
      </c>
      <c r="C3018" s="9">
        <v>64.0</v>
      </c>
      <c r="D3018" s="9">
        <v>37.0</v>
      </c>
      <c r="E3018" s="9">
        <v>1.0</v>
      </c>
      <c r="F3018" s="14"/>
      <c r="G3018" s="15"/>
      <c r="H3018" s="15"/>
      <c r="I3018" s="14"/>
      <c r="P3018" s="14"/>
    </row>
    <row r="3019" ht="18.75" customHeight="1">
      <c r="A3019" s="7" t="s">
        <v>3546</v>
      </c>
      <c r="B3019" s="9">
        <v>85.0</v>
      </c>
      <c r="C3019" s="9">
        <v>84.0</v>
      </c>
      <c r="D3019" s="9">
        <v>37.0</v>
      </c>
      <c r="E3019" s="9">
        <v>2.0</v>
      </c>
      <c r="F3019" s="14"/>
      <c r="G3019" s="15"/>
      <c r="H3019" s="15"/>
      <c r="I3019" s="14"/>
      <c r="P3019" s="14"/>
    </row>
    <row r="3020" ht="18.75" customHeight="1">
      <c r="A3020" s="7" t="s">
        <v>3570</v>
      </c>
      <c r="B3020" s="9">
        <v>90183.0</v>
      </c>
      <c r="C3020" s="9">
        <v>88504.0</v>
      </c>
      <c r="D3020" s="9">
        <v>25982.0</v>
      </c>
      <c r="E3020" s="9">
        <v>579.0</v>
      </c>
      <c r="F3020" s="14"/>
      <c r="G3020" s="15"/>
      <c r="H3020" s="15"/>
      <c r="I3020" s="14"/>
      <c r="P3020" s="14"/>
    </row>
    <row r="3021" ht="18.75" customHeight="1">
      <c r="A3021" s="7" t="s">
        <v>3556</v>
      </c>
      <c r="B3021" s="9">
        <v>140.0</v>
      </c>
      <c r="C3021" s="9">
        <v>139.0</v>
      </c>
      <c r="D3021" s="9">
        <v>69.0</v>
      </c>
      <c r="E3021" s="9">
        <v>2.0</v>
      </c>
      <c r="F3021" s="14"/>
      <c r="G3021" s="15"/>
      <c r="H3021" s="15"/>
      <c r="I3021" s="14"/>
      <c r="P3021" s="14"/>
    </row>
    <row r="3022" ht="18.75" customHeight="1">
      <c r="A3022" s="7" t="s">
        <v>3533</v>
      </c>
      <c r="B3022" s="9">
        <v>48.0</v>
      </c>
      <c r="C3022" s="9">
        <v>48.0</v>
      </c>
      <c r="D3022" s="9">
        <v>26.0</v>
      </c>
      <c r="E3022" s="9">
        <v>1.0</v>
      </c>
      <c r="F3022" s="14"/>
      <c r="G3022" s="15"/>
      <c r="H3022" s="15"/>
      <c r="I3022" s="14"/>
      <c r="P3022" s="14"/>
    </row>
    <row r="3023" ht="18.75" customHeight="1">
      <c r="A3023" s="7" t="s">
        <v>3536</v>
      </c>
      <c r="B3023" s="9">
        <v>240.0</v>
      </c>
      <c r="C3023" s="9">
        <v>240.0</v>
      </c>
      <c r="D3023" s="9">
        <v>155.0</v>
      </c>
      <c r="E3023" s="9">
        <v>3.0</v>
      </c>
      <c r="F3023" s="14"/>
      <c r="G3023" s="15"/>
      <c r="H3023" s="15"/>
      <c r="I3023" s="14"/>
      <c r="P3023" s="14"/>
    </row>
    <row r="3024" ht="18.75" customHeight="1">
      <c r="A3024" s="7" t="s">
        <v>3571</v>
      </c>
      <c r="B3024" s="9">
        <v>55108.0</v>
      </c>
      <c r="C3024" s="9">
        <v>54038.0</v>
      </c>
      <c r="D3024" s="9">
        <v>21142.0</v>
      </c>
      <c r="E3024" s="9">
        <v>272.0</v>
      </c>
      <c r="F3024" s="14"/>
      <c r="G3024" s="15"/>
      <c r="H3024" s="15"/>
      <c r="I3024" s="14"/>
      <c r="P3024" s="14"/>
    </row>
    <row r="3025" ht="18.75" customHeight="1">
      <c r="A3025" s="7" t="s">
        <v>3572</v>
      </c>
      <c r="B3025" s="9">
        <v>514.0</v>
      </c>
      <c r="C3025" s="9">
        <v>511.0</v>
      </c>
      <c r="D3025" s="9">
        <v>204.0</v>
      </c>
      <c r="E3025" s="9">
        <v>25.0</v>
      </c>
      <c r="F3025" s="14"/>
      <c r="G3025" s="15"/>
      <c r="H3025" s="15"/>
      <c r="I3025" s="14"/>
      <c r="P3025" s="14"/>
    </row>
    <row r="3026" ht="18.75" customHeight="1">
      <c r="A3026" s="7" t="s">
        <v>3573</v>
      </c>
      <c r="B3026" s="9">
        <v>14723.0</v>
      </c>
      <c r="C3026" s="9">
        <v>14391.0</v>
      </c>
      <c r="D3026" s="9">
        <v>1779.0</v>
      </c>
      <c r="E3026" s="9">
        <v>83.0</v>
      </c>
      <c r="F3026" s="14"/>
      <c r="G3026" s="15"/>
      <c r="H3026" s="15"/>
      <c r="I3026" s="14"/>
      <c r="P3026" s="14"/>
    </row>
    <row r="3027" ht="18.75" customHeight="1">
      <c r="A3027" s="7" t="s">
        <v>3574</v>
      </c>
      <c r="B3027" s="9">
        <v>68903.0</v>
      </c>
      <c r="C3027" s="9">
        <v>67510.0</v>
      </c>
      <c r="D3027" s="9">
        <v>10634.0</v>
      </c>
      <c r="E3027" s="9">
        <v>271.0</v>
      </c>
      <c r="F3027" s="14"/>
      <c r="G3027" s="15"/>
      <c r="H3027" s="15"/>
      <c r="I3027" s="14"/>
      <c r="P3027" s="14"/>
    </row>
    <row r="3028" ht="18.75" customHeight="1">
      <c r="A3028" s="7" t="s">
        <v>3575</v>
      </c>
      <c r="B3028" s="9">
        <v>81605.0</v>
      </c>
      <c r="C3028" s="9">
        <v>80030.0</v>
      </c>
      <c r="D3028" s="9">
        <v>17032.0</v>
      </c>
      <c r="E3028" s="9">
        <v>355.0</v>
      </c>
      <c r="F3028" s="14"/>
      <c r="G3028" s="15"/>
      <c r="H3028" s="15"/>
      <c r="I3028" s="14"/>
      <c r="P3028" s="14"/>
    </row>
    <row r="3029" ht="18.75" customHeight="1">
      <c r="A3029" s="7" t="s">
        <v>3559</v>
      </c>
      <c r="B3029" s="9">
        <v>164.0</v>
      </c>
      <c r="C3029" s="9">
        <v>164.0</v>
      </c>
      <c r="D3029" s="9">
        <v>102.0</v>
      </c>
      <c r="E3029" s="9">
        <v>2.0</v>
      </c>
      <c r="F3029" s="14"/>
      <c r="G3029" s="15"/>
      <c r="H3029" s="15"/>
      <c r="I3029" s="14"/>
      <c r="P3029" s="14"/>
    </row>
    <row r="3030" ht="18.75" customHeight="1">
      <c r="A3030" s="7" t="s">
        <v>3560</v>
      </c>
      <c r="B3030" s="9">
        <v>70.0</v>
      </c>
      <c r="C3030" s="9">
        <v>70.0</v>
      </c>
      <c r="D3030" s="9">
        <v>50.0</v>
      </c>
      <c r="E3030" s="9">
        <v>1.0</v>
      </c>
      <c r="F3030" s="14"/>
      <c r="G3030" s="15"/>
      <c r="H3030" s="15"/>
      <c r="I3030" s="14"/>
      <c r="P3030" s="14"/>
    </row>
    <row r="3031" ht="18.75" customHeight="1">
      <c r="A3031" s="7" t="s">
        <v>3561</v>
      </c>
      <c r="B3031" s="9">
        <v>99.0</v>
      </c>
      <c r="C3031" s="9">
        <v>98.0</v>
      </c>
      <c r="D3031" s="9">
        <v>68.0</v>
      </c>
      <c r="E3031" s="9">
        <v>1.0</v>
      </c>
      <c r="F3031" s="14"/>
      <c r="G3031" s="15"/>
      <c r="H3031" s="15"/>
      <c r="I3031" s="14"/>
      <c r="P3031" s="14"/>
    </row>
    <row r="3032" ht="18.75" customHeight="1">
      <c r="A3032" s="7" t="s">
        <v>351</v>
      </c>
      <c r="B3032" s="9">
        <v>220.0</v>
      </c>
      <c r="C3032" s="9">
        <v>218.0</v>
      </c>
      <c r="D3032" s="9">
        <v>159.0</v>
      </c>
      <c r="E3032" s="9">
        <v>121.0</v>
      </c>
      <c r="F3032" s="14"/>
      <c r="G3032" s="15"/>
      <c r="H3032" s="15"/>
      <c r="I3032" s="14"/>
      <c r="P3032" s="14"/>
    </row>
    <row r="3033" ht="18.75" customHeight="1">
      <c r="A3033" s="7" t="s">
        <v>385</v>
      </c>
      <c r="B3033" s="9">
        <v>29712.0</v>
      </c>
      <c r="C3033" s="9">
        <v>29089.0</v>
      </c>
      <c r="D3033" s="9">
        <v>8302.0</v>
      </c>
      <c r="E3033" s="9">
        <v>169.0</v>
      </c>
      <c r="F3033" s="14"/>
      <c r="G3033" s="15"/>
      <c r="H3033" s="15"/>
      <c r="I3033" s="14"/>
      <c r="P3033" s="14"/>
    </row>
    <row r="3034" ht="18.75" customHeight="1">
      <c r="A3034" s="7" t="s">
        <v>3447</v>
      </c>
      <c r="B3034" s="9">
        <v>2241.0</v>
      </c>
      <c r="C3034" s="9">
        <v>2235.0</v>
      </c>
      <c r="D3034" s="9">
        <v>1707.0</v>
      </c>
      <c r="E3034" s="9">
        <v>3.0</v>
      </c>
      <c r="F3034" s="14"/>
      <c r="G3034" s="15"/>
      <c r="H3034" s="15"/>
      <c r="I3034" s="14"/>
      <c r="P3034" s="14"/>
    </row>
    <row r="3035" ht="18.75" customHeight="1">
      <c r="A3035" s="7" t="s">
        <v>3447</v>
      </c>
      <c r="B3035" s="9">
        <v>90.0</v>
      </c>
      <c r="C3035" s="9">
        <v>89.0</v>
      </c>
      <c r="D3035" s="9">
        <v>54.0</v>
      </c>
      <c r="E3035" s="9">
        <v>1.0</v>
      </c>
      <c r="F3035" s="14"/>
      <c r="G3035" s="15"/>
      <c r="H3035" s="15"/>
      <c r="I3035" s="14"/>
      <c r="P3035" s="14"/>
    </row>
    <row r="3036" ht="18.75" customHeight="1">
      <c r="A3036" s="7" t="s">
        <v>3576</v>
      </c>
      <c r="B3036" s="9">
        <v>84020.0</v>
      </c>
      <c r="C3036" s="9">
        <v>82434.0</v>
      </c>
      <c r="D3036" s="9">
        <v>23142.0</v>
      </c>
      <c r="E3036" s="9">
        <v>886.0</v>
      </c>
      <c r="F3036" s="14"/>
      <c r="G3036" s="15"/>
      <c r="H3036" s="15"/>
      <c r="I3036" s="14"/>
      <c r="P3036" s="14"/>
    </row>
    <row r="3037" ht="18.75" customHeight="1">
      <c r="A3037" s="7" t="s">
        <v>3542</v>
      </c>
      <c r="B3037" s="9">
        <v>52.0</v>
      </c>
      <c r="C3037" s="9">
        <v>52.0</v>
      </c>
      <c r="D3037" s="9">
        <v>30.0</v>
      </c>
      <c r="E3037" s="9">
        <v>3.0</v>
      </c>
      <c r="F3037" s="14"/>
      <c r="G3037" s="15"/>
      <c r="H3037" s="15"/>
      <c r="I3037" s="14"/>
      <c r="P3037" s="14"/>
    </row>
    <row r="3038" ht="18.75" customHeight="1">
      <c r="A3038" s="7" t="s">
        <v>3577</v>
      </c>
      <c r="B3038" s="9">
        <v>77614.0</v>
      </c>
      <c r="C3038" s="9">
        <v>76109.0</v>
      </c>
      <c r="D3038" s="9">
        <v>11739.0</v>
      </c>
      <c r="E3038" s="9">
        <v>179.0</v>
      </c>
      <c r="F3038" s="14"/>
      <c r="G3038" s="15"/>
      <c r="H3038" s="15"/>
      <c r="I3038" s="14"/>
      <c r="P3038" s="14"/>
    </row>
    <row r="3039" ht="18.75" customHeight="1">
      <c r="A3039" s="7" t="s">
        <v>3578</v>
      </c>
      <c r="B3039" s="9">
        <v>67277.0</v>
      </c>
      <c r="C3039" s="9">
        <v>66052.0</v>
      </c>
      <c r="D3039" s="9">
        <v>17345.0</v>
      </c>
      <c r="E3039" s="9">
        <v>272.0</v>
      </c>
      <c r="F3039" s="14"/>
      <c r="G3039" s="15"/>
      <c r="H3039" s="15"/>
      <c r="I3039" s="14"/>
      <c r="P3039" s="14"/>
    </row>
    <row r="3040" ht="18.75" customHeight="1">
      <c r="A3040" s="7" t="s">
        <v>3562</v>
      </c>
      <c r="B3040" s="9">
        <v>52.0</v>
      </c>
      <c r="C3040" s="9">
        <v>51.0</v>
      </c>
      <c r="D3040" s="9">
        <v>26.0</v>
      </c>
      <c r="E3040" s="9">
        <v>2.0</v>
      </c>
      <c r="F3040" s="14"/>
      <c r="G3040" s="15"/>
      <c r="H3040" s="15"/>
      <c r="I3040" s="14"/>
      <c r="P3040" s="14"/>
    </row>
    <row r="3041" ht="18.75" customHeight="1">
      <c r="A3041" s="7" t="s">
        <v>3579</v>
      </c>
      <c r="B3041" s="9">
        <v>66363.0</v>
      </c>
      <c r="C3041" s="9">
        <v>65179.0</v>
      </c>
      <c r="D3041" s="9">
        <v>26002.0</v>
      </c>
      <c r="E3041" s="9">
        <v>273.0</v>
      </c>
      <c r="F3041" s="14"/>
      <c r="G3041" s="15"/>
      <c r="H3041" s="15"/>
      <c r="I3041" s="14"/>
      <c r="P3041" s="14"/>
    </row>
    <row r="3042" ht="18.75" customHeight="1">
      <c r="A3042" s="7" t="s">
        <v>3032</v>
      </c>
      <c r="B3042" s="9">
        <v>72479.0</v>
      </c>
      <c r="C3042" s="9">
        <v>72268.0</v>
      </c>
      <c r="D3042" s="9">
        <v>52911.0</v>
      </c>
      <c r="E3042" s="9">
        <v>2166.0</v>
      </c>
      <c r="F3042" s="14"/>
      <c r="G3042" s="15"/>
      <c r="H3042" s="15"/>
      <c r="I3042" s="14"/>
      <c r="P3042" s="14"/>
    </row>
    <row r="3043" ht="18.75" customHeight="1">
      <c r="A3043" s="7" t="s">
        <v>362</v>
      </c>
      <c r="B3043" s="9" t="s">
        <v>3580</v>
      </c>
      <c r="C3043" s="9">
        <v>217490.0</v>
      </c>
      <c r="D3043" s="9">
        <v>88610.0</v>
      </c>
      <c r="E3043" s="9">
        <v>2213.0</v>
      </c>
      <c r="F3043" s="14"/>
      <c r="G3043" s="15"/>
      <c r="H3043" s="15"/>
      <c r="I3043" s="14"/>
      <c r="P3043" s="14"/>
    </row>
    <row r="3044" ht="18.75" customHeight="1">
      <c r="A3044" s="7" t="s">
        <v>3581</v>
      </c>
      <c r="B3044" s="9">
        <v>4224.0</v>
      </c>
      <c r="C3044" s="9">
        <v>4143.0</v>
      </c>
      <c r="D3044" s="9">
        <v>1388.0</v>
      </c>
      <c r="E3044" s="9">
        <v>44.0</v>
      </c>
      <c r="F3044" s="14"/>
      <c r="G3044" s="15"/>
      <c r="H3044" s="15"/>
      <c r="I3044" s="14"/>
      <c r="P3044" s="14"/>
    </row>
    <row r="3045" ht="18.75" customHeight="1">
      <c r="A3045" s="7" t="s">
        <v>3549</v>
      </c>
      <c r="B3045" s="9">
        <v>79627.0</v>
      </c>
      <c r="C3045" s="9">
        <v>78563.0</v>
      </c>
      <c r="D3045" s="9">
        <v>32924.0</v>
      </c>
      <c r="E3045" s="9">
        <v>174.0</v>
      </c>
      <c r="F3045" s="14"/>
      <c r="G3045" s="15"/>
      <c r="H3045" s="15"/>
      <c r="I3045" s="14"/>
      <c r="P3045" s="14"/>
    </row>
    <row r="3046" ht="18.75" customHeight="1">
      <c r="A3046" s="7" t="s">
        <v>3582</v>
      </c>
      <c r="B3046" s="9">
        <v>52548.0</v>
      </c>
      <c r="C3046" s="9">
        <v>51616.0</v>
      </c>
      <c r="D3046" s="9">
        <v>16607.0</v>
      </c>
      <c r="E3046" s="9">
        <v>400.0</v>
      </c>
      <c r="F3046" s="14"/>
      <c r="G3046" s="15"/>
      <c r="H3046" s="15"/>
      <c r="I3046" s="14"/>
      <c r="P3046" s="14"/>
    </row>
    <row r="3047" ht="18.75" customHeight="1">
      <c r="A3047" s="7" t="s">
        <v>3583</v>
      </c>
      <c r="B3047" s="9">
        <v>75830.0</v>
      </c>
      <c r="C3047" s="9">
        <v>74137.0</v>
      </c>
      <c r="D3047" s="9">
        <v>13045.0</v>
      </c>
      <c r="E3047" s="9">
        <v>252.0</v>
      </c>
      <c r="F3047" s="14"/>
      <c r="G3047" s="15"/>
      <c r="H3047" s="15"/>
      <c r="I3047" s="14"/>
      <c r="P3047" s="14"/>
    </row>
    <row r="3048" ht="18.75" customHeight="1">
      <c r="A3048" s="7" t="s">
        <v>3584</v>
      </c>
      <c r="B3048" s="9">
        <v>72041.0</v>
      </c>
      <c r="C3048" s="9">
        <v>70756.0</v>
      </c>
      <c r="D3048" s="9">
        <v>17175.0</v>
      </c>
      <c r="E3048" s="9">
        <v>235.0</v>
      </c>
      <c r="F3048" s="14"/>
      <c r="G3048" s="15"/>
      <c r="H3048" s="15"/>
      <c r="I3048" s="14"/>
      <c r="P3048" s="14"/>
    </row>
    <row r="3049" ht="18.75" customHeight="1">
      <c r="A3049" s="7" t="s">
        <v>3570</v>
      </c>
      <c r="B3049" s="9">
        <v>352.0</v>
      </c>
      <c r="C3049" s="9">
        <v>352.0</v>
      </c>
      <c r="D3049" s="9">
        <v>214.0</v>
      </c>
      <c r="E3049" s="9">
        <v>2.0</v>
      </c>
      <c r="F3049" s="14"/>
      <c r="G3049" s="15"/>
      <c r="H3049" s="15"/>
      <c r="I3049" s="14"/>
      <c r="P3049" s="14"/>
    </row>
    <row r="3050" ht="18.75" customHeight="1">
      <c r="A3050" s="7" t="s">
        <v>3556</v>
      </c>
      <c r="B3050" s="9">
        <v>139.0</v>
      </c>
      <c r="C3050" s="9">
        <v>138.0</v>
      </c>
      <c r="D3050" s="9">
        <v>71.0</v>
      </c>
      <c r="E3050" s="9">
        <v>1.0</v>
      </c>
      <c r="F3050" s="14"/>
      <c r="G3050" s="15"/>
      <c r="H3050" s="15"/>
      <c r="I3050" s="14"/>
      <c r="P3050" s="14"/>
    </row>
    <row r="3051" ht="18.75" customHeight="1">
      <c r="A3051" s="7" t="s">
        <v>3562</v>
      </c>
      <c r="B3051" s="9">
        <v>62.0</v>
      </c>
      <c r="C3051" s="9">
        <v>61.0</v>
      </c>
      <c r="D3051" s="9">
        <v>27.0</v>
      </c>
      <c r="E3051" s="9">
        <v>1.0</v>
      </c>
      <c r="F3051" s="14"/>
      <c r="G3051" s="15"/>
      <c r="H3051" s="15"/>
      <c r="I3051" s="14"/>
      <c r="P3051" s="14"/>
    </row>
    <row r="3052" ht="18.75" customHeight="1">
      <c r="A3052" s="7" t="s">
        <v>3575</v>
      </c>
      <c r="B3052" s="9">
        <v>187.0</v>
      </c>
      <c r="C3052" s="9">
        <v>187.0</v>
      </c>
      <c r="D3052" s="9">
        <v>102.0</v>
      </c>
      <c r="E3052" s="9">
        <v>1.0</v>
      </c>
      <c r="F3052" s="14"/>
      <c r="G3052" s="15"/>
      <c r="H3052" s="15"/>
      <c r="I3052" s="14"/>
      <c r="P3052" s="14"/>
    </row>
    <row r="3053" ht="18.75" customHeight="1">
      <c r="A3053" s="7" t="s">
        <v>351</v>
      </c>
      <c r="B3053" s="9">
        <v>95.0</v>
      </c>
      <c r="C3053" s="9">
        <v>94.0</v>
      </c>
      <c r="D3053" s="9">
        <v>73.0</v>
      </c>
      <c r="E3053" s="9">
        <v>49.0</v>
      </c>
      <c r="F3053" s="14"/>
      <c r="G3053" s="15"/>
      <c r="H3053" s="15"/>
      <c r="I3053" s="14"/>
      <c r="P3053" s="14"/>
    </row>
    <row r="3054" ht="18.75" customHeight="1">
      <c r="A3054" s="7" t="s">
        <v>2857</v>
      </c>
      <c r="B3054" s="9">
        <v>83648.0</v>
      </c>
      <c r="C3054" s="9">
        <v>81981.0</v>
      </c>
      <c r="D3054" s="9">
        <v>28051.0</v>
      </c>
      <c r="E3054" s="9">
        <v>803.0</v>
      </c>
      <c r="F3054" s="14"/>
      <c r="G3054" s="15"/>
      <c r="H3054" s="15"/>
      <c r="I3054" s="14"/>
      <c r="P3054" s="14"/>
    </row>
    <row r="3055" ht="18.75" customHeight="1">
      <c r="A3055" s="7" t="s">
        <v>3585</v>
      </c>
      <c r="B3055" s="9">
        <v>19314.0</v>
      </c>
      <c r="C3055" s="9">
        <v>18958.0</v>
      </c>
      <c r="D3055" s="9">
        <v>4212.0</v>
      </c>
      <c r="E3055" s="9">
        <v>45.0</v>
      </c>
      <c r="F3055" s="14"/>
      <c r="G3055" s="15"/>
      <c r="H3055" s="15"/>
      <c r="I3055" s="14"/>
      <c r="P3055" s="14"/>
    </row>
    <row r="3056" ht="18.75" customHeight="1">
      <c r="A3056" s="7" t="s">
        <v>3582</v>
      </c>
      <c r="B3056" s="9">
        <v>39.0</v>
      </c>
      <c r="C3056" s="9">
        <v>39.0</v>
      </c>
      <c r="D3056" s="9">
        <v>26.0</v>
      </c>
      <c r="E3056" s="9">
        <v>4.0</v>
      </c>
      <c r="F3056" s="14"/>
      <c r="G3056" s="15"/>
      <c r="H3056" s="15"/>
      <c r="I3056" s="14"/>
      <c r="P3056" s="14"/>
    </row>
    <row r="3057" ht="18.75" customHeight="1">
      <c r="A3057" s="7" t="s">
        <v>3586</v>
      </c>
      <c r="B3057" s="9">
        <v>94256.0</v>
      </c>
      <c r="C3057" s="9">
        <v>92326.0</v>
      </c>
      <c r="D3057" s="9">
        <v>30568.0</v>
      </c>
      <c r="E3057" s="9">
        <v>1666.0</v>
      </c>
      <c r="F3057" s="14"/>
      <c r="G3057" s="15"/>
      <c r="H3057" s="15"/>
      <c r="I3057" s="14"/>
      <c r="P3057" s="14"/>
    </row>
    <row r="3058" ht="18.75" customHeight="1">
      <c r="A3058" s="7" t="s">
        <v>3587</v>
      </c>
      <c r="B3058" s="9">
        <v>197.0</v>
      </c>
      <c r="C3058" s="9">
        <v>190.0</v>
      </c>
      <c r="D3058" s="9">
        <v>46.0</v>
      </c>
      <c r="E3058" s="9">
        <v>2.0</v>
      </c>
      <c r="F3058" s="14"/>
      <c r="G3058" s="15"/>
      <c r="H3058" s="15"/>
      <c r="I3058" s="14"/>
      <c r="P3058" s="14"/>
    </row>
    <row r="3059" ht="18.75" customHeight="1">
      <c r="A3059" s="7" t="s">
        <v>374</v>
      </c>
      <c r="B3059" s="9">
        <v>2800.0</v>
      </c>
      <c r="C3059" s="9">
        <v>2741.0</v>
      </c>
      <c r="D3059" s="9">
        <v>976.0</v>
      </c>
      <c r="E3059" s="9">
        <v>23.0</v>
      </c>
      <c r="F3059" s="14"/>
      <c r="G3059" s="15"/>
      <c r="H3059" s="15"/>
      <c r="I3059" s="14"/>
      <c r="P3059" s="14"/>
    </row>
    <row r="3060" ht="18.75" customHeight="1">
      <c r="A3060" s="7" t="s">
        <v>374</v>
      </c>
      <c r="B3060" s="9">
        <v>4165.0</v>
      </c>
      <c r="C3060" s="9">
        <v>4093.0</v>
      </c>
      <c r="D3060" s="9">
        <v>1408.0</v>
      </c>
      <c r="E3060" s="9">
        <v>41.0</v>
      </c>
      <c r="F3060" s="14"/>
      <c r="G3060" s="15"/>
      <c r="H3060" s="15"/>
      <c r="I3060" s="14"/>
      <c r="P3060" s="14"/>
    </row>
    <row r="3061" ht="18.75" customHeight="1">
      <c r="A3061" s="7" t="s">
        <v>3588</v>
      </c>
      <c r="B3061" s="9">
        <v>35824.0</v>
      </c>
      <c r="C3061" s="9">
        <v>35118.0</v>
      </c>
      <c r="D3061" s="9">
        <v>15152.0</v>
      </c>
      <c r="E3061" s="9">
        <v>405.0</v>
      </c>
      <c r="F3061" s="14"/>
      <c r="G3061" s="15"/>
      <c r="H3061" s="15"/>
      <c r="I3061" s="14"/>
      <c r="P3061" s="14"/>
    </row>
    <row r="3062" ht="18.75" customHeight="1">
      <c r="A3062" s="7" t="s">
        <v>3589</v>
      </c>
      <c r="B3062" s="9">
        <v>12330.0</v>
      </c>
      <c r="C3062" s="9">
        <v>12073.0</v>
      </c>
      <c r="D3062" s="9">
        <v>3172.0</v>
      </c>
      <c r="E3062" s="9">
        <v>144.0</v>
      </c>
      <c r="F3062" s="14"/>
      <c r="G3062" s="15"/>
      <c r="H3062" s="15"/>
      <c r="I3062" s="14"/>
      <c r="P3062" s="14"/>
    </row>
    <row r="3063" ht="18.75" customHeight="1">
      <c r="A3063" s="7" t="s">
        <v>385</v>
      </c>
      <c r="B3063" s="9">
        <v>12636.0</v>
      </c>
      <c r="C3063" s="9">
        <v>12392.0</v>
      </c>
      <c r="D3063" s="9">
        <v>4349.0</v>
      </c>
      <c r="E3063" s="9">
        <v>125.0</v>
      </c>
      <c r="F3063" s="14"/>
      <c r="G3063" s="15"/>
      <c r="H3063" s="15"/>
      <c r="I3063" s="14"/>
      <c r="P3063" s="14"/>
    </row>
    <row r="3064" ht="18.75" customHeight="1">
      <c r="A3064" s="7" t="s">
        <v>385</v>
      </c>
      <c r="B3064" s="9">
        <v>12643.0</v>
      </c>
      <c r="C3064" s="9">
        <v>12348.0</v>
      </c>
      <c r="D3064" s="9">
        <v>3799.0</v>
      </c>
      <c r="E3064" s="9">
        <v>55.0</v>
      </c>
      <c r="F3064" s="14"/>
      <c r="G3064" s="15"/>
      <c r="H3064" s="15"/>
      <c r="I3064" s="14"/>
      <c r="P3064" s="14"/>
    </row>
    <row r="3065" ht="18.75" customHeight="1">
      <c r="A3065" s="7" t="s">
        <v>3094</v>
      </c>
      <c r="B3065" s="9">
        <v>14708.0</v>
      </c>
      <c r="C3065" s="9">
        <v>14372.0</v>
      </c>
      <c r="D3065" s="9">
        <v>3500.0</v>
      </c>
      <c r="E3065" s="9">
        <v>65.0</v>
      </c>
      <c r="F3065" s="14"/>
      <c r="G3065" s="15"/>
      <c r="H3065" s="15"/>
      <c r="I3065" s="14"/>
      <c r="P3065" s="14"/>
    </row>
    <row r="3066" ht="18.75" customHeight="1">
      <c r="A3066" s="7" t="s">
        <v>3094</v>
      </c>
      <c r="B3066" s="9">
        <v>28973.0</v>
      </c>
      <c r="C3066" s="9">
        <v>28416.0</v>
      </c>
      <c r="D3066" s="9">
        <v>7529.0</v>
      </c>
      <c r="E3066" s="9">
        <v>138.0</v>
      </c>
      <c r="F3066" s="14"/>
      <c r="G3066" s="15"/>
      <c r="H3066" s="15"/>
      <c r="I3066" s="14"/>
      <c r="P3066" s="14"/>
    </row>
    <row r="3067" ht="18.75" customHeight="1">
      <c r="A3067" s="7" t="s">
        <v>3094</v>
      </c>
      <c r="B3067" s="9">
        <v>19750.0</v>
      </c>
      <c r="C3067" s="9">
        <v>19304.0</v>
      </c>
      <c r="D3067" s="9">
        <v>5104.0</v>
      </c>
      <c r="E3067" s="9">
        <v>118.0</v>
      </c>
      <c r="F3067" s="14"/>
      <c r="G3067" s="15"/>
      <c r="H3067" s="15"/>
      <c r="I3067" s="14"/>
      <c r="P3067" s="14"/>
    </row>
    <row r="3068" ht="18.75" customHeight="1">
      <c r="A3068" s="7" t="s">
        <v>3094</v>
      </c>
      <c r="B3068" s="9">
        <v>2414.0</v>
      </c>
      <c r="C3068" s="9">
        <v>2377.0</v>
      </c>
      <c r="D3068" s="9">
        <v>1200.0</v>
      </c>
      <c r="E3068" s="9">
        <v>15.0</v>
      </c>
      <c r="F3068" s="14"/>
      <c r="G3068" s="15"/>
      <c r="H3068" s="15"/>
      <c r="I3068" s="14"/>
      <c r="P3068" s="14"/>
    </row>
    <row r="3069" ht="18.75" customHeight="1">
      <c r="A3069" s="7" t="s">
        <v>3094</v>
      </c>
      <c r="B3069" s="9">
        <v>7471.0</v>
      </c>
      <c r="C3069" s="9">
        <v>7314.0</v>
      </c>
      <c r="D3069" s="9">
        <v>1939.0</v>
      </c>
      <c r="E3069" s="9">
        <v>38.0</v>
      </c>
      <c r="F3069" s="14"/>
      <c r="G3069" s="15"/>
      <c r="H3069" s="15"/>
      <c r="I3069" s="14"/>
      <c r="P3069" s="14"/>
    </row>
    <row r="3070" ht="18.75" customHeight="1">
      <c r="A3070" s="7" t="s">
        <v>3576</v>
      </c>
      <c r="B3070" s="9">
        <v>412.0</v>
      </c>
      <c r="C3070" s="9">
        <v>410.0</v>
      </c>
      <c r="D3070" s="9">
        <v>304.0</v>
      </c>
      <c r="E3070" s="9">
        <v>4.0</v>
      </c>
      <c r="F3070" s="14"/>
      <c r="G3070" s="15"/>
      <c r="H3070" s="15"/>
      <c r="I3070" s="14"/>
      <c r="P3070" s="14"/>
    </row>
    <row r="3071" ht="18.75" customHeight="1">
      <c r="A3071" s="7" t="s">
        <v>3583</v>
      </c>
      <c r="B3071" s="9">
        <v>129.0</v>
      </c>
      <c r="C3071" s="9">
        <v>129.0</v>
      </c>
      <c r="D3071" s="9">
        <v>82.0</v>
      </c>
      <c r="E3071" s="9">
        <v>1.0</v>
      </c>
      <c r="F3071" s="14"/>
      <c r="G3071" s="15"/>
      <c r="H3071" s="15"/>
      <c r="I3071" s="14"/>
      <c r="P3071" s="14"/>
    </row>
    <row r="3072" ht="18.75" customHeight="1">
      <c r="A3072" s="7" t="s">
        <v>3560</v>
      </c>
      <c r="B3072" s="9">
        <v>70.0</v>
      </c>
      <c r="C3072" s="9">
        <v>70.0</v>
      </c>
      <c r="D3072" s="9">
        <v>44.0</v>
      </c>
      <c r="E3072" s="9">
        <v>1.0</v>
      </c>
      <c r="F3072" s="14"/>
      <c r="G3072" s="15"/>
      <c r="H3072" s="15"/>
      <c r="I3072" s="14"/>
      <c r="P3072" s="14"/>
    </row>
    <row r="3073" ht="18.75" customHeight="1">
      <c r="A3073" s="7" t="s">
        <v>3584</v>
      </c>
      <c r="B3073" s="9">
        <v>108.0</v>
      </c>
      <c r="C3073" s="9">
        <v>108.0</v>
      </c>
      <c r="D3073" s="9">
        <v>79.0</v>
      </c>
      <c r="E3073" s="9">
        <v>1.0</v>
      </c>
      <c r="F3073" s="14"/>
      <c r="G3073" s="15"/>
      <c r="H3073" s="15"/>
      <c r="I3073" s="14"/>
      <c r="P3073" s="14"/>
    </row>
    <row r="3074" ht="18.75" customHeight="1">
      <c r="A3074" s="7" t="s">
        <v>3577</v>
      </c>
      <c r="B3074" s="9">
        <v>148.0</v>
      </c>
      <c r="C3074" s="9">
        <v>147.0</v>
      </c>
      <c r="D3074" s="9">
        <v>99.0</v>
      </c>
      <c r="E3074" s="9">
        <v>3.0</v>
      </c>
      <c r="F3074" s="14"/>
      <c r="G3074" s="15"/>
      <c r="H3074" s="15"/>
      <c r="I3074" s="14"/>
      <c r="P3074" s="14"/>
    </row>
    <row r="3075" ht="18.75" customHeight="1">
      <c r="A3075" s="7" t="s">
        <v>3578</v>
      </c>
      <c r="B3075" s="9">
        <v>135.0</v>
      </c>
      <c r="C3075" s="9">
        <v>134.0</v>
      </c>
      <c r="D3075" s="9">
        <v>86.0</v>
      </c>
      <c r="E3075" s="9">
        <v>2.0</v>
      </c>
      <c r="F3075" s="14"/>
      <c r="G3075" s="15"/>
      <c r="H3075" s="15"/>
      <c r="I3075" s="14"/>
      <c r="P3075" s="14"/>
    </row>
    <row r="3076" ht="18.75" customHeight="1">
      <c r="A3076" s="7" t="s">
        <v>3574</v>
      </c>
      <c r="B3076" s="9">
        <v>170.0</v>
      </c>
      <c r="C3076" s="9">
        <v>168.0</v>
      </c>
      <c r="D3076" s="9">
        <v>77.0</v>
      </c>
      <c r="E3076" s="9">
        <v>4.0</v>
      </c>
      <c r="F3076" s="14"/>
      <c r="G3076" s="15"/>
      <c r="H3076" s="15"/>
      <c r="I3076" s="14"/>
      <c r="P3076" s="14"/>
    </row>
    <row r="3077" ht="18.75" customHeight="1">
      <c r="A3077" s="7" t="s">
        <v>3590</v>
      </c>
      <c r="B3077" s="9">
        <v>6371.0</v>
      </c>
      <c r="C3077" s="9">
        <v>6234.0</v>
      </c>
      <c r="D3077" s="9">
        <v>1394.0</v>
      </c>
      <c r="E3077" s="9">
        <v>44.0</v>
      </c>
      <c r="F3077" s="14"/>
      <c r="G3077" s="15"/>
      <c r="H3077" s="15"/>
      <c r="I3077" s="14"/>
      <c r="P3077" s="14"/>
    </row>
    <row r="3078" ht="18.75" customHeight="1">
      <c r="A3078" s="7" t="s">
        <v>3591</v>
      </c>
      <c r="B3078" s="9">
        <v>20400.0</v>
      </c>
      <c r="C3078" s="9">
        <v>20097.0</v>
      </c>
      <c r="D3078" s="9">
        <v>5872.0</v>
      </c>
      <c r="E3078" s="9">
        <v>75.0</v>
      </c>
      <c r="F3078" s="14"/>
      <c r="G3078" s="15"/>
      <c r="H3078" s="15"/>
      <c r="I3078" s="14"/>
      <c r="P3078" s="14"/>
    </row>
    <row r="3079" ht="18.75" customHeight="1">
      <c r="A3079" s="7" t="s">
        <v>3592</v>
      </c>
      <c r="B3079" s="9">
        <v>112824.0</v>
      </c>
      <c r="C3079" s="9">
        <v>110743.0</v>
      </c>
      <c r="D3079" s="9">
        <v>39072.0</v>
      </c>
      <c r="E3079" s="9">
        <v>4863.0</v>
      </c>
      <c r="F3079" s="14"/>
      <c r="G3079" s="15"/>
      <c r="H3079" s="15"/>
      <c r="I3079" s="14"/>
      <c r="P3079" s="14"/>
    </row>
    <row r="3080" ht="18.75" customHeight="1">
      <c r="A3080" s="7" t="s">
        <v>362</v>
      </c>
      <c r="B3080" s="9">
        <v>184974.0</v>
      </c>
      <c r="C3080" s="9">
        <v>181865.0</v>
      </c>
      <c r="D3080" s="9">
        <v>58158.0</v>
      </c>
      <c r="E3080" s="9">
        <v>1406.0</v>
      </c>
      <c r="F3080" s="14"/>
      <c r="G3080" s="15"/>
      <c r="H3080" s="15"/>
      <c r="I3080" s="14"/>
      <c r="P3080" s="14"/>
    </row>
    <row r="3081" ht="18.75" customHeight="1">
      <c r="A3081" s="7" t="s">
        <v>3550</v>
      </c>
      <c r="B3081" s="9">
        <v>64291.0</v>
      </c>
      <c r="C3081" s="9">
        <v>63580.0</v>
      </c>
      <c r="D3081" s="9">
        <v>20791.0</v>
      </c>
      <c r="E3081" s="9">
        <v>54.0</v>
      </c>
      <c r="F3081" s="14"/>
      <c r="G3081" s="15"/>
      <c r="H3081" s="15"/>
      <c r="I3081" s="14"/>
      <c r="P3081" s="14"/>
    </row>
    <row r="3082" ht="18.75" customHeight="1">
      <c r="A3082" s="7" t="s">
        <v>3593</v>
      </c>
      <c r="B3082" s="9">
        <v>31310.0</v>
      </c>
      <c r="C3082" s="9">
        <v>30794.0</v>
      </c>
      <c r="D3082" s="9">
        <v>9042.0</v>
      </c>
      <c r="E3082" s="9">
        <v>187.0</v>
      </c>
      <c r="F3082" s="14"/>
      <c r="G3082" s="15"/>
      <c r="H3082" s="15"/>
      <c r="I3082" s="14"/>
      <c r="P3082" s="14"/>
    </row>
    <row r="3083" ht="18.75" customHeight="1">
      <c r="A3083" s="7" t="s">
        <v>356</v>
      </c>
      <c r="B3083" s="9">
        <v>68.0</v>
      </c>
      <c r="C3083" s="9">
        <v>68.0</v>
      </c>
      <c r="D3083" s="9">
        <v>24.0</v>
      </c>
      <c r="E3083" s="9">
        <v>5.0</v>
      </c>
      <c r="F3083" s="14"/>
      <c r="G3083" s="15"/>
      <c r="H3083" s="15"/>
      <c r="I3083" s="14"/>
      <c r="P3083" s="14"/>
    </row>
    <row r="3084" ht="18.75" customHeight="1">
      <c r="A3084" s="7" t="s">
        <v>3094</v>
      </c>
      <c r="B3084" s="9">
        <v>14385.0</v>
      </c>
      <c r="C3084" s="9">
        <v>14124.0</v>
      </c>
      <c r="D3084" s="9">
        <v>3864.0</v>
      </c>
      <c r="E3084" s="9">
        <v>72.0</v>
      </c>
      <c r="F3084" s="14"/>
      <c r="G3084" s="15"/>
      <c r="H3084" s="15"/>
      <c r="I3084" s="14"/>
      <c r="P3084" s="14"/>
    </row>
    <row r="3085" ht="18.75" customHeight="1">
      <c r="A3085" s="7" t="s">
        <v>3094</v>
      </c>
      <c r="B3085" s="9">
        <v>8262.0</v>
      </c>
      <c r="C3085" s="9">
        <v>8132.0</v>
      </c>
      <c r="D3085" s="9">
        <v>2310.0</v>
      </c>
      <c r="E3085" s="9">
        <v>47.0</v>
      </c>
      <c r="F3085" s="14"/>
      <c r="G3085" s="15"/>
      <c r="H3085" s="15"/>
      <c r="I3085" s="14"/>
      <c r="P3085" s="14"/>
    </row>
    <row r="3086" ht="18.75" customHeight="1">
      <c r="A3086" s="7" t="s">
        <v>3573</v>
      </c>
      <c r="B3086" s="9">
        <v>74.0</v>
      </c>
      <c r="C3086" s="9">
        <v>74.0</v>
      </c>
      <c r="D3086" s="9">
        <v>38.0</v>
      </c>
      <c r="E3086" s="9">
        <v>2.0</v>
      </c>
      <c r="F3086" s="14"/>
      <c r="G3086" s="15"/>
      <c r="H3086" s="15"/>
      <c r="I3086" s="14"/>
      <c r="P3086" s="14"/>
    </row>
    <row r="3087" ht="18.75" customHeight="1">
      <c r="A3087" s="7" t="s">
        <v>3594</v>
      </c>
      <c r="B3087" s="9">
        <v>185.0</v>
      </c>
      <c r="C3087" s="9">
        <v>184.0</v>
      </c>
      <c r="D3087" s="9">
        <v>98.0</v>
      </c>
      <c r="E3087" s="9">
        <v>1.0</v>
      </c>
      <c r="F3087" s="14"/>
      <c r="G3087" s="15"/>
      <c r="H3087" s="15"/>
      <c r="I3087" s="14"/>
      <c r="P3087" s="14"/>
    </row>
    <row r="3088" ht="18.75" customHeight="1">
      <c r="A3088" s="7" t="s">
        <v>3584</v>
      </c>
      <c r="B3088" s="9">
        <v>109.0</v>
      </c>
      <c r="C3088" s="9">
        <v>109.0</v>
      </c>
      <c r="D3088" s="9">
        <v>66.0</v>
      </c>
      <c r="E3088" s="9">
        <v>2.0</v>
      </c>
      <c r="F3088" s="14"/>
      <c r="G3088" s="15"/>
      <c r="H3088" s="15"/>
      <c r="I3088" s="14"/>
      <c r="P3088" s="14"/>
    </row>
    <row r="3089" ht="18.75" customHeight="1">
      <c r="A3089" s="7" t="s">
        <v>3561</v>
      </c>
      <c r="B3089" s="9">
        <v>99.0</v>
      </c>
      <c r="C3089" s="9">
        <v>98.0</v>
      </c>
      <c r="D3089" s="9">
        <v>63.0</v>
      </c>
      <c r="E3089" s="9">
        <v>5.0</v>
      </c>
      <c r="F3089" s="14"/>
      <c r="G3089" s="15"/>
      <c r="H3089" s="15"/>
      <c r="I3089" s="14"/>
      <c r="P3089" s="14"/>
    </row>
    <row r="3090" ht="18.75" customHeight="1">
      <c r="A3090" s="7" t="s">
        <v>3570</v>
      </c>
      <c r="B3090" s="9">
        <v>353.0</v>
      </c>
      <c r="C3090" s="9">
        <v>353.0</v>
      </c>
      <c r="D3090" s="9">
        <v>156.0</v>
      </c>
      <c r="E3090" s="9">
        <v>6.0</v>
      </c>
      <c r="F3090" s="14"/>
      <c r="G3090" s="15"/>
      <c r="H3090" s="15"/>
      <c r="I3090" s="14"/>
      <c r="P3090" s="14"/>
    </row>
    <row r="3091" ht="18.75" customHeight="1">
      <c r="A3091" s="7" t="s">
        <v>3590</v>
      </c>
      <c r="B3091" s="9">
        <v>83.0</v>
      </c>
      <c r="C3091" s="9">
        <v>82.0</v>
      </c>
      <c r="D3091" s="9">
        <v>42.0</v>
      </c>
      <c r="E3091" s="9">
        <v>2.0</v>
      </c>
      <c r="F3091" s="14"/>
      <c r="G3091" s="15"/>
      <c r="H3091" s="15"/>
      <c r="I3091" s="14"/>
      <c r="P3091" s="14"/>
    </row>
    <row r="3092" ht="18.75" customHeight="1">
      <c r="A3092" s="7" t="s">
        <v>3595</v>
      </c>
      <c r="B3092" s="9">
        <v>43281.0</v>
      </c>
      <c r="C3092" s="9">
        <v>42361.0</v>
      </c>
      <c r="D3092" s="9">
        <v>6979.0</v>
      </c>
      <c r="E3092" s="9">
        <v>189.0</v>
      </c>
      <c r="F3092" s="14"/>
      <c r="G3092" s="15"/>
      <c r="H3092" s="15"/>
      <c r="I3092" s="14"/>
      <c r="P3092" s="14"/>
    </row>
    <row r="3093" ht="18.75" customHeight="1">
      <c r="A3093" s="7" t="s">
        <v>3596</v>
      </c>
      <c r="B3093" s="9">
        <v>19923.0</v>
      </c>
      <c r="C3093" s="9">
        <v>19512.0</v>
      </c>
      <c r="D3093" s="9">
        <v>6056.0</v>
      </c>
      <c r="E3093" s="9">
        <v>157.0</v>
      </c>
      <c r="F3093" s="14"/>
      <c r="G3093" s="15"/>
      <c r="H3093" s="15"/>
      <c r="I3093" s="14"/>
      <c r="P3093" s="14"/>
    </row>
    <row r="3094" ht="18.75" customHeight="1">
      <c r="A3094" s="7" t="s">
        <v>3581</v>
      </c>
      <c r="B3094" s="9">
        <v>31634.0</v>
      </c>
      <c r="C3094" s="9">
        <v>31122.0</v>
      </c>
      <c r="D3094" s="9">
        <v>13917.0</v>
      </c>
      <c r="E3094" s="9">
        <v>16.0</v>
      </c>
      <c r="F3094" s="14"/>
      <c r="G3094" s="15"/>
      <c r="H3094" s="15"/>
      <c r="I3094" s="14"/>
      <c r="P3094" s="14"/>
    </row>
    <row r="3095" ht="18.75" customHeight="1">
      <c r="A3095" s="7" t="s">
        <v>3581</v>
      </c>
      <c r="B3095" s="9">
        <v>19572.0</v>
      </c>
      <c r="C3095" s="9">
        <v>18980.0</v>
      </c>
      <c r="D3095" s="9">
        <v>4761.0</v>
      </c>
      <c r="E3095" s="9">
        <v>13.0</v>
      </c>
      <c r="F3095" s="14"/>
      <c r="G3095" s="15"/>
      <c r="H3095" s="15"/>
      <c r="I3095" s="14"/>
      <c r="P3095" s="14"/>
    </row>
    <row r="3096" ht="18.75" customHeight="1">
      <c r="A3096" s="7" t="s">
        <v>368</v>
      </c>
      <c r="B3096" s="9">
        <v>40.0</v>
      </c>
      <c r="C3096" s="9">
        <v>40.0</v>
      </c>
      <c r="D3096" s="9">
        <v>12.0</v>
      </c>
      <c r="E3096" s="9">
        <v>1.0</v>
      </c>
      <c r="F3096" s="14"/>
      <c r="G3096" s="15"/>
      <c r="H3096" s="15"/>
      <c r="I3096" s="14"/>
      <c r="P3096" s="14"/>
    </row>
    <row r="3097" ht="18.75" customHeight="1">
      <c r="A3097" s="7" t="s">
        <v>368</v>
      </c>
      <c r="B3097" s="9">
        <v>33.0</v>
      </c>
      <c r="C3097" s="9">
        <v>33.0</v>
      </c>
      <c r="D3097" s="9">
        <v>9.0</v>
      </c>
      <c r="E3097" s="9">
        <v>1.0</v>
      </c>
      <c r="F3097" s="14"/>
      <c r="G3097" s="15"/>
      <c r="H3097" s="15"/>
      <c r="I3097" s="14"/>
      <c r="P3097" s="14"/>
    </row>
    <row r="3098" ht="18.75" customHeight="1">
      <c r="A3098" s="7" t="s">
        <v>366</v>
      </c>
      <c r="B3098" s="9">
        <v>405.0</v>
      </c>
      <c r="C3098" s="9">
        <v>395.0</v>
      </c>
      <c r="D3098" s="9">
        <v>134.0</v>
      </c>
      <c r="E3098" s="9">
        <v>7.0</v>
      </c>
      <c r="F3098" s="14"/>
      <c r="G3098" s="15"/>
      <c r="H3098" s="15"/>
      <c r="I3098" s="14"/>
      <c r="P3098" s="14"/>
    </row>
    <row r="3099" ht="18.75" customHeight="1">
      <c r="A3099" s="7" t="s">
        <v>366</v>
      </c>
      <c r="B3099" s="9">
        <v>419.0</v>
      </c>
      <c r="C3099" s="9">
        <v>411.0</v>
      </c>
      <c r="D3099" s="9">
        <v>139.0</v>
      </c>
      <c r="E3099" s="9">
        <v>14.0</v>
      </c>
      <c r="F3099" s="14"/>
      <c r="G3099" s="15"/>
      <c r="H3099" s="15"/>
      <c r="I3099" s="14"/>
      <c r="P3099" s="14"/>
    </row>
    <row r="3100" ht="18.75" customHeight="1">
      <c r="A3100" s="7" t="s">
        <v>3597</v>
      </c>
      <c r="B3100" s="9">
        <v>39404.0</v>
      </c>
      <c r="C3100" s="9">
        <v>38446.0</v>
      </c>
      <c r="D3100" s="9">
        <v>6430.0</v>
      </c>
      <c r="E3100" s="9">
        <v>193.0</v>
      </c>
      <c r="F3100" s="14"/>
      <c r="G3100" s="15"/>
      <c r="H3100" s="15"/>
      <c r="I3100" s="14"/>
      <c r="P3100" s="14"/>
    </row>
    <row r="3101" ht="18.75" customHeight="1">
      <c r="A3101" s="7" t="s">
        <v>374</v>
      </c>
      <c r="B3101" s="9">
        <v>2360.0</v>
      </c>
      <c r="C3101" s="9">
        <v>2315.0</v>
      </c>
      <c r="D3101" s="9">
        <v>725.0</v>
      </c>
      <c r="E3101" s="9">
        <v>23.0</v>
      </c>
      <c r="F3101" s="14"/>
      <c r="G3101" s="15"/>
      <c r="H3101" s="15"/>
      <c r="I3101" s="14"/>
      <c r="P3101" s="14"/>
    </row>
    <row r="3102" ht="18.75" customHeight="1">
      <c r="A3102" s="7" t="s">
        <v>374</v>
      </c>
      <c r="B3102" s="9">
        <v>2364.0</v>
      </c>
      <c r="C3102" s="9">
        <v>2324.0</v>
      </c>
      <c r="D3102" s="9">
        <v>781.0</v>
      </c>
      <c r="E3102" s="9">
        <v>33.0</v>
      </c>
      <c r="F3102" s="14"/>
      <c r="G3102" s="15"/>
      <c r="H3102" s="15"/>
      <c r="I3102" s="14"/>
      <c r="P3102" s="14"/>
    </row>
    <row r="3103" ht="18.75" customHeight="1">
      <c r="A3103" s="7" t="s">
        <v>3598</v>
      </c>
      <c r="B3103" s="9">
        <v>15997.0</v>
      </c>
      <c r="C3103" s="9">
        <v>15711.0</v>
      </c>
      <c r="D3103" s="9">
        <v>6157.0</v>
      </c>
      <c r="E3103" s="9">
        <v>241.0</v>
      </c>
      <c r="F3103" s="14"/>
      <c r="G3103" s="15"/>
      <c r="H3103" s="15"/>
      <c r="I3103" s="14"/>
      <c r="P3103" s="14"/>
    </row>
    <row r="3104" ht="18.75" customHeight="1">
      <c r="A3104" s="7" t="s">
        <v>3599</v>
      </c>
      <c r="B3104" s="9">
        <v>6258.0</v>
      </c>
      <c r="C3104" s="9">
        <v>6106.0</v>
      </c>
      <c r="D3104" s="9">
        <v>1432.0</v>
      </c>
      <c r="E3104" s="9">
        <v>67.0</v>
      </c>
      <c r="F3104" s="14"/>
      <c r="G3104" s="15"/>
      <c r="H3104" s="15"/>
      <c r="I3104" s="14"/>
      <c r="P3104" s="14"/>
    </row>
    <row r="3105" ht="18.75" customHeight="1">
      <c r="A3105" s="7" t="s">
        <v>3600</v>
      </c>
      <c r="B3105" s="9">
        <v>15207.0</v>
      </c>
      <c r="C3105" s="9">
        <v>14963.0</v>
      </c>
      <c r="D3105" s="9">
        <v>5094.0</v>
      </c>
      <c r="E3105" s="9">
        <v>207.0</v>
      </c>
      <c r="F3105" s="14"/>
      <c r="G3105" s="15"/>
      <c r="H3105" s="15"/>
      <c r="I3105" s="14"/>
      <c r="P3105" s="14"/>
    </row>
    <row r="3106" ht="18.75" customHeight="1">
      <c r="A3106" s="7" t="s">
        <v>372</v>
      </c>
      <c r="B3106" s="9">
        <v>8273.0</v>
      </c>
      <c r="C3106" s="9">
        <v>8105.0</v>
      </c>
      <c r="D3106" s="9">
        <v>2586.0</v>
      </c>
      <c r="E3106" s="9">
        <v>123.0</v>
      </c>
      <c r="F3106" s="14"/>
      <c r="G3106" s="15"/>
      <c r="H3106" s="15"/>
      <c r="I3106" s="14"/>
      <c r="P3106" s="14"/>
    </row>
    <row r="3107" ht="18.75" customHeight="1">
      <c r="A3107" s="7" t="s">
        <v>360</v>
      </c>
      <c r="B3107" s="9">
        <v>35534.0</v>
      </c>
      <c r="C3107" s="9">
        <v>34906.0</v>
      </c>
      <c r="D3107" s="9">
        <v>9916.0</v>
      </c>
      <c r="E3107" s="9">
        <v>74.0</v>
      </c>
      <c r="F3107" s="14"/>
      <c r="G3107" s="15"/>
      <c r="H3107" s="15"/>
      <c r="I3107" s="14"/>
      <c r="P3107" s="14"/>
    </row>
    <row r="3108" ht="18.75" customHeight="1">
      <c r="A3108" s="7" t="s">
        <v>356</v>
      </c>
      <c r="B3108" s="9">
        <v>223.0</v>
      </c>
      <c r="C3108" s="9">
        <v>219.0</v>
      </c>
      <c r="D3108" s="9">
        <v>80.0</v>
      </c>
      <c r="E3108" s="9">
        <v>3.0</v>
      </c>
      <c r="F3108" s="14"/>
      <c r="G3108" s="15"/>
      <c r="H3108" s="15"/>
      <c r="I3108" s="14"/>
      <c r="P3108" s="14"/>
    </row>
    <row r="3109" ht="18.75" customHeight="1">
      <c r="A3109" s="7" t="s">
        <v>3094</v>
      </c>
      <c r="B3109" s="9">
        <v>20339.0</v>
      </c>
      <c r="C3109" s="9">
        <v>19950.0</v>
      </c>
      <c r="D3109" s="9">
        <v>5408.0</v>
      </c>
      <c r="E3109" s="9">
        <v>94.0</v>
      </c>
      <c r="F3109" s="14"/>
      <c r="G3109" s="15"/>
      <c r="H3109" s="15"/>
      <c r="I3109" s="14"/>
      <c r="P3109" s="14"/>
    </row>
    <row r="3110" ht="18.75" customHeight="1">
      <c r="A3110" s="7" t="s">
        <v>3094</v>
      </c>
      <c r="B3110" s="9">
        <v>40791.0</v>
      </c>
      <c r="C3110" s="9">
        <v>39790.0</v>
      </c>
      <c r="D3110" s="9">
        <v>7790.0</v>
      </c>
      <c r="E3110" s="9">
        <v>71.0</v>
      </c>
      <c r="F3110" s="14"/>
      <c r="G3110" s="15"/>
      <c r="H3110" s="15"/>
      <c r="I3110" s="14"/>
      <c r="P3110" s="14"/>
    </row>
    <row r="3111" ht="18.75" customHeight="1">
      <c r="A3111" s="7" t="s">
        <v>3094</v>
      </c>
      <c r="B3111" s="9">
        <v>13005.0</v>
      </c>
      <c r="C3111" s="9">
        <v>12635.0</v>
      </c>
      <c r="D3111" s="9">
        <v>2573.0</v>
      </c>
      <c r="E3111" s="9">
        <v>22.0</v>
      </c>
      <c r="F3111" s="14"/>
      <c r="G3111" s="15"/>
      <c r="H3111" s="15"/>
      <c r="I3111" s="14"/>
      <c r="P3111" s="14"/>
    </row>
    <row r="3112" ht="18.75" customHeight="1">
      <c r="A3112" s="7" t="s">
        <v>3601</v>
      </c>
      <c r="B3112" s="9">
        <v>15651.0</v>
      </c>
      <c r="C3112" s="9">
        <v>15379.0</v>
      </c>
      <c r="D3112" s="9">
        <v>3204.0</v>
      </c>
      <c r="E3112" s="9">
        <v>225.0</v>
      </c>
      <c r="F3112" s="14"/>
      <c r="G3112" s="15"/>
      <c r="H3112" s="15"/>
      <c r="I3112" s="14"/>
      <c r="P3112" s="14"/>
    </row>
    <row r="3113" ht="18.75" customHeight="1">
      <c r="A3113" s="7" t="s">
        <v>3602</v>
      </c>
      <c r="B3113" s="9">
        <v>20812.0</v>
      </c>
      <c r="C3113" s="9">
        <v>20449.0</v>
      </c>
      <c r="D3113" s="9">
        <v>4539.0</v>
      </c>
      <c r="E3113" s="9">
        <v>98.0</v>
      </c>
      <c r="F3113" s="14"/>
      <c r="G3113" s="15"/>
      <c r="H3113" s="15"/>
      <c r="I3113" s="14"/>
      <c r="P3113" s="14"/>
    </row>
    <row r="3114" ht="18.75" customHeight="1">
      <c r="A3114" s="7" t="s">
        <v>3583</v>
      </c>
      <c r="B3114" s="9">
        <v>130.0</v>
      </c>
      <c r="C3114" s="9">
        <v>130.0</v>
      </c>
      <c r="D3114" s="9">
        <v>68.0</v>
      </c>
      <c r="E3114" s="9">
        <v>0.0</v>
      </c>
      <c r="F3114" s="14"/>
      <c r="G3114" s="15"/>
      <c r="H3114" s="15"/>
      <c r="I3114" s="14"/>
      <c r="P3114" s="14"/>
    </row>
    <row r="3115" ht="18.75" customHeight="1">
      <c r="A3115" s="7" t="s">
        <v>3574</v>
      </c>
      <c r="B3115" s="9">
        <v>170.0</v>
      </c>
      <c r="C3115" s="9">
        <v>168.0</v>
      </c>
      <c r="D3115" s="9">
        <v>95.0</v>
      </c>
      <c r="E3115" s="9">
        <v>2.0</v>
      </c>
      <c r="F3115" s="14"/>
      <c r="G3115" s="15"/>
      <c r="H3115" s="15"/>
      <c r="I3115" s="14"/>
      <c r="P3115" s="14"/>
    </row>
    <row r="3116" ht="18.75" customHeight="1">
      <c r="A3116" s="7" t="s">
        <v>3603</v>
      </c>
      <c r="B3116" s="9">
        <v>55142.0</v>
      </c>
      <c r="C3116" s="9">
        <v>54076.0</v>
      </c>
      <c r="D3116" s="9">
        <v>15007.0</v>
      </c>
      <c r="E3116" s="9">
        <v>201.0</v>
      </c>
      <c r="F3116" s="14"/>
      <c r="G3116" s="15"/>
      <c r="H3116" s="15"/>
      <c r="I3116" s="14"/>
      <c r="P3116" s="14"/>
    </row>
    <row r="3117" ht="18.75" customHeight="1">
      <c r="A3117" s="7" t="s">
        <v>3604</v>
      </c>
      <c r="B3117" s="9">
        <v>28962.0</v>
      </c>
      <c r="C3117" s="9">
        <v>28402.0</v>
      </c>
      <c r="D3117" s="9">
        <v>4350.0</v>
      </c>
      <c r="E3117" s="9">
        <v>129.0</v>
      </c>
      <c r="F3117" s="14"/>
      <c r="G3117" s="15"/>
      <c r="H3117" s="15"/>
      <c r="I3117" s="14"/>
      <c r="P3117" s="14"/>
    </row>
    <row r="3118" ht="18.75" customHeight="1">
      <c r="A3118" s="7" t="s">
        <v>3605</v>
      </c>
      <c r="B3118" s="9">
        <v>83893.0</v>
      </c>
      <c r="C3118" s="9">
        <v>82307.0</v>
      </c>
      <c r="D3118" s="9">
        <v>22737.0</v>
      </c>
      <c r="E3118" s="9">
        <v>398.0</v>
      </c>
      <c r="F3118" s="14"/>
      <c r="G3118" s="15"/>
      <c r="H3118" s="15"/>
      <c r="I3118" s="14"/>
      <c r="P3118" s="14"/>
    </row>
    <row r="3119" ht="18.75" customHeight="1">
      <c r="A3119" s="7" t="s">
        <v>3605</v>
      </c>
      <c r="B3119" s="9">
        <v>83870.0</v>
      </c>
      <c r="C3119" s="9">
        <v>82284.0</v>
      </c>
      <c r="D3119" s="9">
        <v>21780.0</v>
      </c>
      <c r="E3119" s="9">
        <v>360.0</v>
      </c>
      <c r="F3119" s="14"/>
      <c r="G3119" s="15"/>
      <c r="H3119" s="15"/>
      <c r="I3119" s="14"/>
      <c r="P3119" s="14"/>
    </row>
    <row r="3120" ht="18.75" customHeight="1">
      <c r="A3120" s="7" t="s">
        <v>3575</v>
      </c>
      <c r="B3120" s="9">
        <v>188.0</v>
      </c>
      <c r="C3120" s="9">
        <v>187.0</v>
      </c>
      <c r="D3120" s="9">
        <v>126.0</v>
      </c>
      <c r="E3120" s="9">
        <v>1.0</v>
      </c>
      <c r="F3120" s="14"/>
      <c r="G3120" s="15"/>
      <c r="H3120" s="15"/>
      <c r="I3120" s="14"/>
      <c r="P3120" s="14"/>
    </row>
    <row r="3121" ht="18.75" customHeight="1">
      <c r="A3121" s="7" t="s">
        <v>3606</v>
      </c>
      <c r="B3121" s="9">
        <v>41603.0</v>
      </c>
      <c r="C3121" s="9">
        <v>40809.0</v>
      </c>
      <c r="D3121" s="9">
        <v>10573.0</v>
      </c>
      <c r="E3121" s="9">
        <v>256.0</v>
      </c>
      <c r="F3121" s="14"/>
      <c r="G3121" s="15"/>
      <c r="H3121" s="15"/>
      <c r="I3121" s="14"/>
      <c r="P3121" s="14"/>
    </row>
    <row r="3122" ht="18.75" customHeight="1">
      <c r="A3122" s="7" t="s">
        <v>3607</v>
      </c>
      <c r="B3122" s="9">
        <v>170.0</v>
      </c>
      <c r="C3122" s="9">
        <v>168.0</v>
      </c>
      <c r="D3122" s="9">
        <v>77.0</v>
      </c>
      <c r="E3122" s="9">
        <v>4.0</v>
      </c>
      <c r="F3122" s="14"/>
      <c r="G3122" s="15"/>
      <c r="H3122" s="15"/>
      <c r="I3122" s="14"/>
      <c r="P3122" s="14"/>
    </row>
    <row r="3123" ht="18.75" customHeight="1">
      <c r="A3123" s="7" t="s">
        <v>351</v>
      </c>
      <c r="B3123" s="9">
        <v>72846.0</v>
      </c>
      <c r="C3123" s="9">
        <v>71365.0</v>
      </c>
      <c r="D3123" s="9">
        <v>20367.0</v>
      </c>
      <c r="E3123" s="9">
        <v>357.0</v>
      </c>
      <c r="F3123" s="14"/>
      <c r="G3123" s="15"/>
      <c r="H3123" s="15"/>
      <c r="I3123" s="14"/>
      <c r="P3123" s="14"/>
    </row>
    <row r="3124" ht="18.75" customHeight="1">
      <c r="A3124" s="7" t="s">
        <v>351</v>
      </c>
      <c r="B3124" s="9">
        <v>75890.0</v>
      </c>
      <c r="C3124" s="9">
        <v>74289.0</v>
      </c>
      <c r="D3124" s="9">
        <v>21035.0</v>
      </c>
      <c r="E3124" s="9">
        <v>327.0</v>
      </c>
      <c r="F3124" s="14"/>
      <c r="G3124" s="15"/>
      <c r="H3124" s="15"/>
      <c r="I3124" s="14"/>
      <c r="P3124" s="14"/>
    </row>
    <row r="3125" ht="18.75" customHeight="1">
      <c r="A3125" s="7" t="s">
        <v>3601</v>
      </c>
      <c r="B3125" s="9">
        <v>144.0</v>
      </c>
      <c r="C3125" s="9">
        <v>144.0</v>
      </c>
      <c r="D3125" s="9">
        <v>98.0</v>
      </c>
      <c r="E3125" s="9">
        <v>3.0</v>
      </c>
      <c r="F3125" s="14"/>
      <c r="G3125" s="15"/>
      <c r="H3125" s="15"/>
      <c r="I3125" s="14"/>
      <c r="P3125" s="14"/>
    </row>
    <row r="3126" ht="18.75" customHeight="1">
      <c r="A3126" s="7" t="s">
        <v>3594</v>
      </c>
      <c r="B3126" s="9">
        <v>208.0</v>
      </c>
      <c r="C3126" s="9">
        <v>207.0</v>
      </c>
      <c r="D3126" s="9">
        <v>116.0</v>
      </c>
      <c r="E3126" s="9">
        <v>1.0</v>
      </c>
      <c r="F3126" s="14"/>
      <c r="G3126" s="15"/>
      <c r="H3126" s="15"/>
      <c r="I3126" s="14"/>
      <c r="P3126" s="14"/>
    </row>
    <row r="3127" ht="18.75" customHeight="1">
      <c r="A3127" s="7" t="s">
        <v>3595</v>
      </c>
      <c r="B3127" s="9">
        <v>122.0</v>
      </c>
      <c r="C3127" s="9">
        <v>121.0</v>
      </c>
      <c r="D3127" s="9">
        <v>64.0</v>
      </c>
      <c r="E3127" s="9">
        <v>2.0</v>
      </c>
      <c r="F3127" s="14"/>
      <c r="G3127" s="15"/>
      <c r="H3127" s="15"/>
      <c r="I3127" s="14"/>
      <c r="P3127" s="14"/>
    </row>
    <row r="3128" ht="18.75" customHeight="1">
      <c r="A3128" s="7" t="s">
        <v>3608</v>
      </c>
      <c r="B3128" s="9">
        <v>24755.0</v>
      </c>
      <c r="C3128" s="9">
        <v>24369.0</v>
      </c>
      <c r="D3128" s="9">
        <v>10011.0</v>
      </c>
      <c r="E3128" s="9">
        <v>169.0</v>
      </c>
      <c r="F3128" s="14"/>
      <c r="G3128" s="15"/>
      <c r="H3128" s="15"/>
      <c r="I3128" s="14"/>
      <c r="P3128" s="14"/>
    </row>
    <row r="3129" ht="18.75" customHeight="1">
      <c r="A3129" s="7" t="s">
        <v>3597</v>
      </c>
      <c r="B3129" s="9">
        <v>53548.0</v>
      </c>
      <c r="C3129" s="9">
        <v>52571.0</v>
      </c>
      <c r="D3129" s="9">
        <v>13071.0</v>
      </c>
      <c r="E3129" s="9">
        <v>133.0</v>
      </c>
      <c r="F3129" s="14"/>
      <c r="G3129" s="15"/>
      <c r="H3129" s="15"/>
      <c r="I3129" s="14"/>
      <c r="P3129" s="14"/>
    </row>
    <row r="3130" ht="18.75" customHeight="1">
      <c r="A3130" s="7" t="s">
        <v>3609</v>
      </c>
      <c r="B3130" s="9">
        <v>201.0</v>
      </c>
      <c r="C3130" s="9">
        <v>191.0</v>
      </c>
      <c r="D3130" s="9">
        <v>43.0</v>
      </c>
      <c r="E3130" s="9">
        <v>4.0</v>
      </c>
      <c r="F3130" s="14"/>
      <c r="G3130" s="15"/>
      <c r="H3130" s="15"/>
      <c r="I3130" s="14"/>
      <c r="P3130" s="14"/>
    </row>
    <row r="3131" ht="18.75" customHeight="1">
      <c r="A3131" s="7" t="s">
        <v>385</v>
      </c>
      <c r="B3131" s="9">
        <v>31038.0</v>
      </c>
      <c r="C3131" s="9">
        <v>30444.0</v>
      </c>
      <c r="D3131" s="9">
        <v>12487.0</v>
      </c>
      <c r="E3131" s="9">
        <v>296.0</v>
      </c>
      <c r="F3131" s="14"/>
      <c r="G3131" s="15"/>
      <c r="H3131" s="15"/>
      <c r="I3131" s="14"/>
      <c r="P3131" s="14"/>
    </row>
    <row r="3132" ht="18.75" customHeight="1">
      <c r="A3132" s="7" t="s">
        <v>385</v>
      </c>
      <c r="B3132" s="9">
        <v>15002.0</v>
      </c>
      <c r="C3132" s="9">
        <v>14692.0</v>
      </c>
      <c r="D3132" s="9">
        <v>4100.0</v>
      </c>
      <c r="E3132" s="9">
        <v>104.0</v>
      </c>
      <c r="F3132" s="14"/>
      <c r="G3132" s="15"/>
      <c r="H3132" s="15"/>
      <c r="I3132" s="14"/>
      <c r="P3132" s="14"/>
    </row>
    <row r="3133" ht="18.75" customHeight="1">
      <c r="A3133" s="7" t="s">
        <v>385</v>
      </c>
      <c r="B3133" s="9">
        <v>23200.0</v>
      </c>
      <c r="C3133" s="9">
        <v>22770.0</v>
      </c>
      <c r="D3133" s="9">
        <v>8570.0</v>
      </c>
      <c r="E3133" s="9">
        <v>151.0</v>
      </c>
      <c r="F3133" s="14"/>
      <c r="G3133" s="15"/>
      <c r="H3133" s="15"/>
      <c r="I3133" s="14"/>
      <c r="P3133" s="14"/>
    </row>
    <row r="3134" ht="18.75" customHeight="1">
      <c r="A3134" s="7" t="s">
        <v>385</v>
      </c>
      <c r="B3134" s="9">
        <v>15702.0</v>
      </c>
      <c r="C3134" s="9">
        <v>15402.0</v>
      </c>
      <c r="D3134" s="9">
        <v>4728.0</v>
      </c>
      <c r="E3134" s="9">
        <v>155.0</v>
      </c>
      <c r="F3134" s="14"/>
      <c r="G3134" s="15"/>
      <c r="H3134" s="15"/>
      <c r="I3134" s="14"/>
      <c r="P3134" s="14"/>
    </row>
    <row r="3135" ht="18.75" customHeight="1">
      <c r="A3135" s="7" t="s">
        <v>3604</v>
      </c>
      <c r="B3135" s="9">
        <v>95.0</v>
      </c>
      <c r="C3135" s="9">
        <v>93.0</v>
      </c>
      <c r="D3135" s="9">
        <v>45.0</v>
      </c>
      <c r="E3135" s="9">
        <v>1.0</v>
      </c>
      <c r="F3135" s="14"/>
      <c r="G3135" s="15"/>
      <c r="H3135" s="15"/>
      <c r="I3135" s="14"/>
      <c r="P3135" s="14"/>
    </row>
    <row r="3136" ht="18.75" customHeight="1">
      <c r="A3136" s="7" t="s">
        <v>3610</v>
      </c>
      <c r="B3136" s="9">
        <v>50858.0</v>
      </c>
      <c r="C3136" s="9">
        <v>49939.0</v>
      </c>
      <c r="D3136" s="9">
        <v>14742.0</v>
      </c>
      <c r="E3136" s="9">
        <v>638.0</v>
      </c>
      <c r="F3136" s="14"/>
      <c r="G3136" s="15"/>
      <c r="H3136" s="15"/>
      <c r="I3136" s="14"/>
      <c r="P3136" s="14"/>
    </row>
    <row r="3137" ht="18.75" customHeight="1">
      <c r="A3137" s="7" t="s">
        <v>3611</v>
      </c>
      <c r="B3137" s="9">
        <v>13918.0</v>
      </c>
      <c r="C3137" s="9">
        <v>13622.0</v>
      </c>
      <c r="D3137" s="9">
        <v>3037.0</v>
      </c>
      <c r="E3137" s="9">
        <v>192.0</v>
      </c>
      <c r="F3137" s="14"/>
      <c r="G3137" s="15"/>
      <c r="H3137" s="15"/>
      <c r="I3137" s="14"/>
      <c r="P3137" s="14"/>
    </row>
    <row r="3138" ht="18.75" customHeight="1">
      <c r="A3138" s="7" t="s">
        <v>3612</v>
      </c>
      <c r="B3138" s="9">
        <v>81725.0</v>
      </c>
      <c r="C3138" s="9">
        <v>80143.0</v>
      </c>
      <c r="D3138" s="9">
        <v>17506.0</v>
      </c>
      <c r="E3138" s="9">
        <v>237.0</v>
      </c>
      <c r="F3138" s="14"/>
      <c r="G3138" s="15"/>
      <c r="H3138" s="15"/>
      <c r="I3138" s="14"/>
      <c r="P3138" s="14"/>
    </row>
    <row r="3139" ht="18.75" customHeight="1">
      <c r="A3139" s="7" t="s">
        <v>3613</v>
      </c>
      <c r="B3139" s="9">
        <v>61131.0</v>
      </c>
      <c r="C3139" s="9">
        <v>59567.0</v>
      </c>
      <c r="D3139" s="9">
        <v>7860.0</v>
      </c>
      <c r="E3139" s="9">
        <v>107.0</v>
      </c>
      <c r="F3139" s="14"/>
      <c r="G3139" s="15"/>
      <c r="H3139" s="15"/>
      <c r="I3139" s="14"/>
      <c r="P3139" s="14"/>
    </row>
    <row r="3140" ht="18.75" customHeight="1">
      <c r="A3140" s="7" t="s">
        <v>3614</v>
      </c>
      <c r="B3140" s="9" t="s">
        <v>3615</v>
      </c>
      <c r="C3140" s="9">
        <v>71166.0</v>
      </c>
      <c r="D3140" s="9">
        <v>14739.0</v>
      </c>
      <c r="E3140" s="9">
        <v>270.0</v>
      </c>
      <c r="F3140" s="14"/>
      <c r="G3140" s="15"/>
      <c r="H3140" s="15"/>
      <c r="I3140" s="14"/>
      <c r="P3140" s="14"/>
    </row>
    <row r="3141" ht="18.75" customHeight="1">
      <c r="A3141" s="7" t="s">
        <v>3616</v>
      </c>
      <c r="B3141" s="9">
        <v>68780.0</v>
      </c>
      <c r="C3141" s="9">
        <v>67355.0</v>
      </c>
      <c r="D3141" s="9">
        <v>12905.0</v>
      </c>
      <c r="E3141" s="9">
        <v>173.0</v>
      </c>
      <c r="F3141" s="14"/>
      <c r="G3141" s="15"/>
      <c r="H3141" s="15"/>
      <c r="I3141" s="14"/>
      <c r="P3141" s="14"/>
    </row>
    <row r="3142" ht="18.75" customHeight="1">
      <c r="A3142" s="7" t="s">
        <v>3605</v>
      </c>
      <c r="B3142" s="9">
        <v>185.0</v>
      </c>
      <c r="C3142" s="9">
        <v>185.0</v>
      </c>
      <c r="D3142" s="9">
        <v>155.0</v>
      </c>
      <c r="E3142" s="9">
        <v>2.0</v>
      </c>
      <c r="F3142" s="14"/>
      <c r="G3142" s="15"/>
      <c r="H3142" s="15"/>
      <c r="I3142" s="14"/>
      <c r="P3142" s="14"/>
    </row>
    <row r="3143" ht="18.75" customHeight="1">
      <c r="A3143" s="7" t="s">
        <v>3617</v>
      </c>
      <c r="B3143" s="9">
        <v>376.0</v>
      </c>
      <c r="C3143" s="9">
        <v>366.0</v>
      </c>
      <c r="D3143" s="9">
        <v>190.0</v>
      </c>
      <c r="E3143" s="9">
        <v>61.0</v>
      </c>
      <c r="F3143" s="14"/>
      <c r="G3143" s="15"/>
      <c r="H3143" s="15"/>
      <c r="I3143" s="14"/>
      <c r="P3143" s="14"/>
    </row>
    <row r="3144" ht="18.75" customHeight="1">
      <c r="A3144" s="7" t="s">
        <v>351</v>
      </c>
      <c r="B3144" s="9">
        <v>126956.0</v>
      </c>
      <c r="C3144" s="9">
        <v>124867.0</v>
      </c>
      <c r="D3144" s="9">
        <v>37662.0</v>
      </c>
      <c r="E3144" s="9">
        <v>826.0</v>
      </c>
      <c r="F3144" s="14"/>
      <c r="G3144" s="15"/>
      <c r="H3144" s="15"/>
      <c r="I3144" s="14"/>
      <c r="P3144" s="14"/>
    </row>
    <row r="3145" ht="18.75" customHeight="1">
      <c r="A3145" s="7" t="s">
        <v>2857</v>
      </c>
      <c r="B3145" s="9">
        <v>20270.0</v>
      </c>
      <c r="C3145" s="9">
        <v>19814.0</v>
      </c>
      <c r="D3145" s="9">
        <v>5530.0</v>
      </c>
      <c r="E3145" s="9">
        <v>437.0</v>
      </c>
      <c r="F3145" s="14"/>
      <c r="G3145" s="15"/>
      <c r="H3145" s="15"/>
      <c r="I3145" s="14"/>
      <c r="P3145" s="14"/>
    </row>
    <row r="3146" ht="18.75" customHeight="1">
      <c r="A3146" s="7" t="s">
        <v>3618</v>
      </c>
      <c r="B3146" s="9">
        <v>61.0</v>
      </c>
      <c r="C3146" s="9">
        <v>60.0</v>
      </c>
      <c r="D3146" s="9">
        <v>34.0</v>
      </c>
      <c r="E3146" s="9">
        <v>1.0</v>
      </c>
      <c r="F3146" s="14"/>
      <c r="G3146" s="15"/>
      <c r="H3146" s="15"/>
      <c r="I3146" s="14"/>
      <c r="P3146" s="14"/>
    </row>
    <row r="3147" ht="18.75" customHeight="1">
      <c r="A3147" s="7" t="s">
        <v>3619</v>
      </c>
      <c r="B3147" s="9">
        <v>63373.0</v>
      </c>
      <c r="C3147" s="9">
        <v>62267.0</v>
      </c>
      <c r="D3147" s="9">
        <v>16336.0</v>
      </c>
      <c r="E3147" s="9">
        <v>81.0</v>
      </c>
      <c r="F3147" s="14"/>
      <c r="G3147" s="15"/>
      <c r="H3147" s="15"/>
      <c r="I3147" s="14"/>
      <c r="P3147" s="14"/>
    </row>
    <row r="3148" ht="18.75" customHeight="1">
      <c r="A3148" s="7" t="s">
        <v>3620</v>
      </c>
      <c r="B3148" s="9">
        <v>19202.0</v>
      </c>
      <c r="C3148" s="9">
        <v>18735.0</v>
      </c>
      <c r="D3148" s="9">
        <v>3250.0</v>
      </c>
      <c r="E3148" s="9">
        <v>103.0</v>
      </c>
      <c r="F3148" s="14"/>
      <c r="G3148" s="15"/>
      <c r="H3148" s="15"/>
      <c r="I3148" s="14"/>
      <c r="P3148" s="14"/>
    </row>
    <row r="3149" ht="18.75" customHeight="1">
      <c r="A3149" s="7" t="s">
        <v>3620</v>
      </c>
      <c r="B3149" s="9">
        <v>3946.0</v>
      </c>
      <c r="C3149" s="9">
        <v>3824.0</v>
      </c>
      <c r="D3149" s="9">
        <v>747.0</v>
      </c>
      <c r="E3149" s="9">
        <v>20.0</v>
      </c>
      <c r="F3149" s="14"/>
      <c r="G3149" s="15"/>
      <c r="H3149" s="15"/>
      <c r="I3149" s="14"/>
      <c r="P3149" s="14"/>
    </row>
    <row r="3150" ht="18.75" customHeight="1">
      <c r="A3150" s="7" t="s">
        <v>3621</v>
      </c>
      <c r="B3150" s="9">
        <v>55097.0</v>
      </c>
      <c r="C3150" s="9">
        <v>54087.0</v>
      </c>
      <c r="D3150" s="9">
        <v>14838.0</v>
      </c>
      <c r="E3150" s="9">
        <v>471.0</v>
      </c>
      <c r="F3150" s="14"/>
      <c r="G3150" s="15"/>
      <c r="H3150" s="15"/>
      <c r="I3150" s="14"/>
      <c r="P3150" s="14"/>
    </row>
    <row r="3151" ht="18.75" customHeight="1">
      <c r="A3151" s="7" t="s">
        <v>3595</v>
      </c>
      <c r="B3151" s="9">
        <v>122.0</v>
      </c>
      <c r="C3151" s="9">
        <v>121.0</v>
      </c>
      <c r="D3151" s="9">
        <v>65.0</v>
      </c>
      <c r="E3151" s="9">
        <v>1.0</v>
      </c>
      <c r="F3151" s="14"/>
      <c r="G3151" s="15"/>
      <c r="H3151" s="15"/>
      <c r="I3151" s="14"/>
      <c r="P3151" s="14"/>
    </row>
    <row r="3152" ht="18.75" customHeight="1">
      <c r="A3152" s="7" t="s">
        <v>3569</v>
      </c>
      <c r="B3152" s="9">
        <v>2163.0</v>
      </c>
      <c r="C3152" s="9">
        <v>2150.0</v>
      </c>
      <c r="D3152" s="9">
        <v>805.0</v>
      </c>
      <c r="E3152" s="9">
        <v>3.0</v>
      </c>
      <c r="F3152" s="14"/>
      <c r="G3152" s="15"/>
      <c r="H3152" s="15"/>
      <c r="I3152" s="14"/>
      <c r="P3152" s="14"/>
    </row>
    <row r="3153" ht="18.75" customHeight="1">
      <c r="A3153" s="7" t="s">
        <v>3576</v>
      </c>
      <c r="B3153" s="9">
        <v>23576.0</v>
      </c>
      <c r="C3153" s="9">
        <v>23551.0</v>
      </c>
      <c r="D3153" s="9">
        <v>17396.0</v>
      </c>
      <c r="E3153" s="9">
        <v>26.0</v>
      </c>
      <c r="F3153" s="14"/>
      <c r="G3153" s="15"/>
      <c r="H3153" s="15"/>
      <c r="I3153" s="14"/>
      <c r="P3153" s="14"/>
    </row>
    <row r="3154" ht="18.75" customHeight="1">
      <c r="A3154" s="7" t="s">
        <v>3576</v>
      </c>
      <c r="B3154" s="9">
        <v>407.0</v>
      </c>
      <c r="C3154" s="9">
        <v>406.0</v>
      </c>
      <c r="D3154" s="9">
        <v>245.0</v>
      </c>
      <c r="E3154" s="9">
        <v>4.0</v>
      </c>
      <c r="F3154" s="14"/>
      <c r="G3154" s="15"/>
      <c r="H3154" s="15"/>
      <c r="I3154" s="14"/>
      <c r="P3154" s="14"/>
    </row>
    <row r="3155" ht="18.75" customHeight="1">
      <c r="A3155" s="7" t="s">
        <v>3611</v>
      </c>
      <c r="B3155" s="9">
        <v>185.0</v>
      </c>
      <c r="C3155" s="9">
        <v>183.0</v>
      </c>
      <c r="D3155" s="9">
        <v>108.0</v>
      </c>
      <c r="E3155" s="9">
        <v>1.0</v>
      </c>
      <c r="F3155" s="14"/>
      <c r="G3155" s="15"/>
      <c r="H3155" s="15"/>
      <c r="I3155" s="14"/>
      <c r="P3155" s="14"/>
    </row>
    <row r="3156" ht="18.75" customHeight="1">
      <c r="A3156" s="7" t="s">
        <v>3594</v>
      </c>
      <c r="B3156" s="9">
        <v>206.0</v>
      </c>
      <c r="C3156" s="9">
        <v>205.0</v>
      </c>
      <c r="D3156" s="9">
        <v>129.0</v>
      </c>
      <c r="E3156" s="9">
        <v>6.0</v>
      </c>
      <c r="F3156" s="14"/>
      <c r="G3156" s="15"/>
      <c r="H3156" s="15"/>
      <c r="I3156" s="14"/>
      <c r="P3156" s="14"/>
    </row>
    <row r="3157" ht="18.75" customHeight="1">
      <c r="A3157" s="7" t="s">
        <v>3577</v>
      </c>
      <c r="B3157" s="9">
        <v>137.0</v>
      </c>
      <c r="C3157" s="9">
        <v>136.0</v>
      </c>
      <c r="D3157" s="9">
        <v>67.0</v>
      </c>
      <c r="E3157" s="9">
        <v>1.0</v>
      </c>
      <c r="F3157" s="14"/>
      <c r="G3157" s="15"/>
      <c r="H3157" s="15"/>
      <c r="I3157" s="14"/>
      <c r="P3157" s="14"/>
    </row>
    <row r="3158" ht="18.75" customHeight="1">
      <c r="A3158" s="7" t="s">
        <v>3578</v>
      </c>
      <c r="B3158" s="9">
        <v>139.0</v>
      </c>
      <c r="C3158" s="9">
        <v>138.0</v>
      </c>
      <c r="D3158" s="9">
        <v>62.0</v>
      </c>
      <c r="E3158" s="9">
        <v>2.0</v>
      </c>
      <c r="F3158" s="14"/>
      <c r="G3158" s="15"/>
      <c r="H3158" s="15"/>
      <c r="I3158" s="14"/>
      <c r="P3158" s="14"/>
    </row>
    <row r="3159" ht="18.75" customHeight="1">
      <c r="A3159" s="7" t="s">
        <v>3603</v>
      </c>
      <c r="B3159" s="9">
        <v>140.0</v>
      </c>
      <c r="C3159" s="9">
        <v>139.0</v>
      </c>
      <c r="D3159" s="9">
        <v>77.0</v>
      </c>
      <c r="E3159" s="9">
        <v>3.0</v>
      </c>
      <c r="F3159" s="14"/>
      <c r="G3159" s="15"/>
      <c r="H3159" s="15"/>
      <c r="I3159" s="14"/>
      <c r="P3159" s="14"/>
    </row>
    <row r="3160" ht="18.75" customHeight="1">
      <c r="A3160" s="7" t="s">
        <v>3547</v>
      </c>
      <c r="B3160" s="9">
        <v>79711.0</v>
      </c>
      <c r="C3160" s="9">
        <v>77962.0</v>
      </c>
      <c r="D3160" s="9">
        <v>10533.0</v>
      </c>
      <c r="E3160" s="9">
        <v>241.0</v>
      </c>
      <c r="F3160" s="14"/>
      <c r="G3160" s="15"/>
      <c r="H3160" s="15"/>
      <c r="I3160" s="14"/>
      <c r="P3160" s="14"/>
    </row>
    <row r="3161" ht="18.75" customHeight="1">
      <c r="A3161" s="7" t="s">
        <v>351</v>
      </c>
      <c r="B3161" s="9">
        <v>122000.0</v>
      </c>
      <c r="C3161" s="9">
        <v>121193.0</v>
      </c>
      <c r="D3161" s="9">
        <v>38951.0</v>
      </c>
      <c r="E3161" s="9">
        <v>978.0</v>
      </c>
      <c r="F3161" s="14"/>
      <c r="G3161" s="15"/>
      <c r="H3161" s="15"/>
      <c r="I3161" s="14"/>
      <c r="P3161" s="14"/>
    </row>
    <row r="3162" ht="18.75" customHeight="1">
      <c r="A3162" s="7" t="s">
        <v>351</v>
      </c>
      <c r="B3162" s="9">
        <v>102662.0</v>
      </c>
      <c r="C3162" s="9">
        <v>100955.0</v>
      </c>
      <c r="D3162" s="9">
        <v>33334.0</v>
      </c>
      <c r="E3162" s="9">
        <v>611.0</v>
      </c>
      <c r="F3162" s="14"/>
      <c r="G3162" s="15"/>
      <c r="H3162" s="15"/>
      <c r="I3162" s="14"/>
      <c r="P3162" s="14"/>
    </row>
    <row r="3163" ht="18.75" customHeight="1">
      <c r="A3163" s="7" t="s">
        <v>3044</v>
      </c>
      <c r="B3163" s="9">
        <v>148485.0</v>
      </c>
      <c r="C3163" s="9">
        <v>145525.0</v>
      </c>
      <c r="D3163" s="9">
        <v>46243.0</v>
      </c>
      <c r="E3163" s="9">
        <v>3796.0</v>
      </c>
      <c r="F3163" s="14"/>
      <c r="G3163" s="15"/>
      <c r="H3163" s="15"/>
      <c r="I3163" s="14"/>
      <c r="P3163" s="14"/>
    </row>
    <row r="3164" ht="18.75" customHeight="1">
      <c r="A3164" s="7" t="s">
        <v>3622</v>
      </c>
      <c r="B3164" s="9">
        <v>4754.0</v>
      </c>
      <c r="C3164" s="9">
        <v>4667.0</v>
      </c>
      <c r="D3164" s="9">
        <v>1727.0</v>
      </c>
      <c r="E3164" s="9">
        <v>39.0</v>
      </c>
      <c r="F3164" s="14"/>
      <c r="G3164" s="15"/>
      <c r="H3164" s="15"/>
      <c r="I3164" s="14"/>
      <c r="P3164" s="14"/>
    </row>
    <row r="3165" ht="18.75" customHeight="1">
      <c r="A3165" s="7" t="s">
        <v>3623</v>
      </c>
      <c r="B3165" s="9">
        <v>72996.0</v>
      </c>
      <c r="C3165" s="9">
        <v>72188.0</v>
      </c>
      <c r="D3165" s="9">
        <v>29649.0</v>
      </c>
      <c r="E3165" s="9">
        <v>235.0</v>
      </c>
      <c r="F3165" s="14"/>
      <c r="G3165" s="15"/>
      <c r="H3165" s="15"/>
      <c r="I3165" s="14"/>
      <c r="P3165" s="14"/>
    </row>
    <row r="3166" ht="18.75" customHeight="1">
      <c r="A3166" s="7" t="s">
        <v>3624</v>
      </c>
      <c r="B3166" s="9">
        <v>56269.0</v>
      </c>
      <c r="C3166" s="9">
        <v>55388.0</v>
      </c>
      <c r="D3166" s="9">
        <v>22484.0</v>
      </c>
      <c r="E3166" s="9">
        <v>213.0</v>
      </c>
      <c r="F3166" s="14"/>
      <c r="G3166" s="15"/>
      <c r="H3166" s="15"/>
      <c r="I3166" s="14"/>
      <c r="P3166" s="14"/>
    </row>
    <row r="3167" ht="18.75" customHeight="1">
      <c r="A3167" s="7" t="s">
        <v>368</v>
      </c>
      <c r="B3167" s="9">
        <v>124.0</v>
      </c>
      <c r="C3167" s="9">
        <v>123.0</v>
      </c>
      <c r="D3167" s="9">
        <v>49.0</v>
      </c>
      <c r="E3167" s="9">
        <v>6.0</v>
      </c>
      <c r="F3167" s="14"/>
      <c r="G3167" s="15"/>
      <c r="H3167" s="15"/>
      <c r="I3167" s="14"/>
      <c r="P3167" s="14"/>
    </row>
    <row r="3168" ht="18.75" customHeight="1">
      <c r="A3168" s="7" t="s">
        <v>368</v>
      </c>
      <c r="B3168" s="9">
        <v>170.0</v>
      </c>
      <c r="C3168" s="9">
        <v>167.0</v>
      </c>
      <c r="D3168" s="9">
        <v>66.0</v>
      </c>
      <c r="E3168" s="9">
        <v>4.0</v>
      </c>
      <c r="F3168" s="14"/>
      <c r="G3168" s="15"/>
      <c r="H3168" s="15"/>
      <c r="I3168" s="14"/>
      <c r="P3168" s="14"/>
    </row>
    <row r="3169" ht="18.75" customHeight="1">
      <c r="A3169" s="7" t="s">
        <v>366</v>
      </c>
      <c r="B3169" s="9">
        <v>1222.0</v>
      </c>
      <c r="C3169" s="9">
        <v>1201.0</v>
      </c>
      <c r="D3169" s="9">
        <v>494.0</v>
      </c>
      <c r="E3169" s="9">
        <v>22.0</v>
      </c>
      <c r="F3169" s="14"/>
      <c r="G3169" s="15"/>
      <c r="H3169" s="15"/>
      <c r="I3169" s="14"/>
      <c r="P3169" s="14"/>
    </row>
    <row r="3170" ht="18.75" customHeight="1">
      <c r="A3170" s="7" t="s">
        <v>3625</v>
      </c>
      <c r="B3170" s="9">
        <v>117896.0</v>
      </c>
      <c r="C3170" s="9">
        <v>115435.0</v>
      </c>
      <c r="D3170" s="9">
        <v>38913.0</v>
      </c>
      <c r="E3170" s="9">
        <v>1627.0</v>
      </c>
      <c r="F3170" s="14"/>
      <c r="G3170" s="15"/>
      <c r="H3170" s="15"/>
      <c r="I3170" s="14"/>
      <c r="P3170" s="14"/>
    </row>
    <row r="3171" ht="18.75" customHeight="1">
      <c r="A3171" s="7" t="s">
        <v>3569</v>
      </c>
      <c r="B3171" s="9">
        <v>144.0</v>
      </c>
      <c r="C3171" s="9">
        <v>140.0</v>
      </c>
      <c r="D3171" s="9">
        <v>64.0</v>
      </c>
      <c r="E3171" s="9">
        <v>1.0</v>
      </c>
      <c r="F3171" s="14"/>
      <c r="G3171" s="15"/>
      <c r="H3171" s="15"/>
      <c r="I3171" s="14"/>
      <c r="P3171" s="14"/>
    </row>
    <row r="3172" ht="18.75" customHeight="1">
      <c r="A3172" s="7" t="s">
        <v>3610</v>
      </c>
      <c r="B3172" s="9">
        <v>394.0</v>
      </c>
      <c r="C3172" s="9">
        <v>391.0</v>
      </c>
      <c r="D3172" s="9">
        <v>239.0</v>
      </c>
      <c r="E3172" s="9">
        <v>3.0</v>
      </c>
      <c r="F3172" s="14"/>
      <c r="G3172" s="15"/>
      <c r="H3172" s="15"/>
      <c r="I3172" s="14"/>
      <c r="P3172" s="14"/>
    </row>
    <row r="3173" ht="18.75" customHeight="1">
      <c r="A3173" s="7" t="s">
        <v>3559</v>
      </c>
      <c r="B3173" s="9">
        <v>2696.0</v>
      </c>
      <c r="C3173" s="9">
        <v>2686.0</v>
      </c>
      <c r="D3173" s="9">
        <v>1411.0</v>
      </c>
      <c r="E3173" s="9">
        <v>6.0</v>
      </c>
      <c r="F3173" s="14"/>
      <c r="G3173" s="15"/>
      <c r="H3173" s="15"/>
      <c r="I3173" s="14"/>
      <c r="P3173" s="14"/>
    </row>
    <row r="3174" ht="18.75" customHeight="1">
      <c r="A3174" s="7" t="s">
        <v>3559</v>
      </c>
      <c r="B3174" s="9">
        <v>153.0</v>
      </c>
      <c r="C3174" s="9">
        <v>150.0</v>
      </c>
      <c r="D3174" s="9">
        <v>67.0</v>
      </c>
      <c r="E3174" s="9">
        <v>1.0</v>
      </c>
      <c r="F3174" s="14"/>
      <c r="G3174" s="15"/>
      <c r="H3174" s="15"/>
      <c r="I3174" s="14"/>
      <c r="P3174" s="14"/>
    </row>
    <row r="3175" ht="18.75" customHeight="1">
      <c r="A3175" s="7" t="s">
        <v>3612</v>
      </c>
      <c r="B3175" s="9">
        <v>120.0</v>
      </c>
      <c r="C3175" s="9">
        <v>120.0</v>
      </c>
      <c r="D3175" s="9">
        <v>88.0</v>
      </c>
      <c r="E3175" s="9">
        <v>1.0</v>
      </c>
      <c r="F3175" s="14"/>
      <c r="G3175" s="15"/>
      <c r="H3175" s="15"/>
      <c r="I3175" s="14"/>
      <c r="P3175" s="14"/>
    </row>
    <row r="3176" ht="18.75" customHeight="1">
      <c r="A3176" s="7" t="s">
        <v>3613</v>
      </c>
      <c r="B3176" s="9">
        <v>56.0</v>
      </c>
      <c r="C3176" s="9">
        <v>56.0</v>
      </c>
      <c r="D3176" s="9">
        <v>26.0</v>
      </c>
      <c r="E3176" s="9">
        <v>0.0</v>
      </c>
      <c r="F3176" s="14"/>
      <c r="G3176" s="15"/>
      <c r="H3176" s="15"/>
      <c r="I3176" s="14"/>
      <c r="P3176" s="14"/>
    </row>
    <row r="3177" ht="18.75" customHeight="1">
      <c r="A3177" s="7" t="s">
        <v>3614</v>
      </c>
      <c r="B3177" s="9">
        <v>124.0</v>
      </c>
      <c r="C3177" s="9">
        <v>123.0</v>
      </c>
      <c r="D3177" s="9">
        <v>69.0</v>
      </c>
      <c r="E3177" s="9">
        <v>3.0</v>
      </c>
      <c r="F3177" s="14"/>
      <c r="G3177" s="15"/>
      <c r="H3177" s="15"/>
      <c r="I3177" s="14"/>
      <c r="P3177" s="14"/>
    </row>
    <row r="3178" ht="18.75" customHeight="1">
      <c r="A3178" s="7" t="s">
        <v>3616</v>
      </c>
      <c r="B3178" s="9">
        <v>115.0</v>
      </c>
      <c r="C3178" s="9">
        <v>113.0</v>
      </c>
      <c r="D3178" s="9">
        <v>65.0</v>
      </c>
      <c r="E3178" s="9">
        <v>3.0</v>
      </c>
      <c r="F3178" s="14"/>
      <c r="G3178" s="15"/>
      <c r="H3178" s="15"/>
      <c r="I3178" s="14"/>
      <c r="P3178" s="14"/>
    </row>
    <row r="3179" ht="18.75" customHeight="1">
      <c r="A3179" s="7" t="s">
        <v>3605</v>
      </c>
      <c r="B3179" s="9">
        <v>184.0</v>
      </c>
      <c r="C3179" s="9">
        <v>184.0</v>
      </c>
      <c r="D3179" s="9">
        <v>134.0</v>
      </c>
      <c r="E3179" s="9">
        <v>1.0</v>
      </c>
      <c r="F3179" s="14"/>
      <c r="G3179" s="15"/>
      <c r="H3179" s="15"/>
      <c r="I3179" s="14"/>
      <c r="P3179" s="14"/>
    </row>
    <row r="3180" ht="18.75" customHeight="1">
      <c r="A3180" s="7" t="s">
        <v>3626</v>
      </c>
      <c r="B3180" s="9">
        <v>205.0</v>
      </c>
      <c r="C3180" s="9">
        <v>201.0</v>
      </c>
      <c r="D3180" s="9">
        <v>60.0</v>
      </c>
      <c r="E3180" s="9">
        <v>2.0</v>
      </c>
      <c r="F3180" s="14"/>
      <c r="G3180" s="15"/>
      <c r="H3180" s="15"/>
      <c r="I3180" s="14"/>
      <c r="P3180" s="14"/>
    </row>
    <row r="3181" ht="18.75" customHeight="1">
      <c r="A3181" s="7" t="s">
        <v>3067</v>
      </c>
      <c r="B3181" s="9">
        <v>3132.0</v>
      </c>
      <c r="C3181" s="9">
        <v>3074.0</v>
      </c>
      <c r="D3181" s="9">
        <v>942.0</v>
      </c>
      <c r="E3181" s="9">
        <v>36.0</v>
      </c>
      <c r="F3181" s="14"/>
      <c r="G3181" s="15"/>
      <c r="H3181" s="15"/>
      <c r="I3181" s="14"/>
      <c r="P3181" s="14"/>
    </row>
    <row r="3182" ht="18.75" customHeight="1">
      <c r="A3182" s="7" t="s">
        <v>3627</v>
      </c>
      <c r="B3182" s="9">
        <v>24457.0</v>
      </c>
      <c r="C3182" s="9">
        <v>24058.0</v>
      </c>
      <c r="D3182" s="9">
        <v>4542.0</v>
      </c>
      <c r="E3182" s="9">
        <v>101.0</v>
      </c>
      <c r="F3182" s="14"/>
      <c r="G3182" s="15"/>
      <c r="H3182" s="15"/>
      <c r="I3182" s="14"/>
      <c r="P3182" s="14"/>
    </row>
    <row r="3183" ht="18.75" customHeight="1">
      <c r="A3183" s="7" t="s">
        <v>3628</v>
      </c>
      <c r="B3183" s="9">
        <v>62453.0</v>
      </c>
      <c r="C3183" s="9">
        <v>61352.0</v>
      </c>
      <c r="D3183" s="9">
        <v>15650.0</v>
      </c>
      <c r="E3183" s="9">
        <v>240.0</v>
      </c>
      <c r="F3183" s="14"/>
      <c r="G3183" s="15"/>
      <c r="H3183" s="15"/>
      <c r="I3183" s="14"/>
      <c r="P3183" s="14"/>
    </row>
    <row r="3184" ht="18.75" customHeight="1">
      <c r="A3184" s="7" t="s">
        <v>374</v>
      </c>
      <c r="B3184" s="9">
        <v>2974.0</v>
      </c>
      <c r="C3184" s="9">
        <v>2922.0</v>
      </c>
      <c r="D3184" s="9">
        <v>763.0</v>
      </c>
      <c r="E3184" s="9">
        <v>17.0</v>
      </c>
      <c r="F3184" s="14"/>
      <c r="G3184" s="15"/>
      <c r="H3184" s="15"/>
      <c r="I3184" s="14"/>
      <c r="P3184" s="14"/>
    </row>
    <row r="3185" ht="18.75" customHeight="1">
      <c r="A3185" s="7" t="s">
        <v>374</v>
      </c>
      <c r="B3185" s="9">
        <v>3913.0</v>
      </c>
      <c r="C3185" s="9">
        <v>3851.0</v>
      </c>
      <c r="D3185" s="9">
        <v>1322.0</v>
      </c>
      <c r="E3185" s="9">
        <v>80.0</v>
      </c>
      <c r="F3185" s="14"/>
      <c r="G3185" s="15"/>
      <c r="H3185" s="15"/>
      <c r="I3185" s="14"/>
      <c r="P3185" s="14"/>
    </row>
    <row r="3186" ht="18.75" customHeight="1">
      <c r="A3186" s="7" t="s">
        <v>3629</v>
      </c>
      <c r="B3186" s="9">
        <v>17638.0</v>
      </c>
      <c r="C3186" s="9">
        <v>17313.0</v>
      </c>
      <c r="D3186" s="9">
        <v>6342.0</v>
      </c>
      <c r="E3186" s="9">
        <v>229.0</v>
      </c>
      <c r="F3186" s="14"/>
      <c r="G3186" s="15"/>
      <c r="H3186" s="15"/>
      <c r="I3186" s="14"/>
      <c r="P3186" s="14"/>
    </row>
    <row r="3187" ht="18.75" customHeight="1">
      <c r="A3187" s="7" t="s">
        <v>372</v>
      </c>
      <c r="B3187" s="9">
        <v>7297.0</v>
      </c>
      <c r="C3187" s="9">
        <v>7168.0</v>
      </c>
      <c r="D3187" s="9">
        <v>2246.0</v>
      </c>
      <c r="E3187" s="9">
        <v>124.0</v>
      </c>
      <c r="F3187" s="14"/>
      <c r="G3187" s="15"/>
      <c r="H3187" s="15"/>
      <c r="I3187" s="14"/>
      <c r="P3187" s="14"/>
    </row>
    <row r="3188" ht="18.75" customHeight="1">
      <c r="A3188" s="7" t="s">
        <v>3630</v>
      </c>
      <c r="B3188" s="9">
        <v>155857.0</v>
      </c>
      <c r="C3188" s="9">
        <v>153840.0</v>
      </c>
      <c r="D3188" s="9">
        <v>69067.0</v>
      </c>
      <c r="E3188" s="9">
        <v>2291.0</v>
      </c>
      <c r="F3188" s="14"/>
      <c r="G3188" s="15"/>
      <c r="H3188" s="15"/>
      <c r="I3188" s="14"/>
      <c r="P3188" s="14"/>
    </row>
    <row r="3189" ht="18.75" customHeight="1">
      <c r="A3189" s="7" t="s">
        <v>3554</v>
      </c>
      <c r="B3189" s="9">
        <v>13771.0</v>
      </c>
      <c r="C3189" s="9">
        <v>13540.0</v>
      </c>
      <c r="D3189" s="9">
        <v>4896.0</v>
      </c>
      <c r="E3189" s="9">
        <v>95.0</v>
      </c>
      <c r="F3189" s="14"/>
      <c r="G3189" s="15"/>
      <c r="H3189" s="15"/>
      <c r="I3189" s="14"/>
      <c r="P3189" s="14"/>
    </row>
    <row r="3190" ht="18.75" customHeight="1">
      <c r="A3190" s="7" t="s">
        <v>356</v>
      </c>
      <c r="B3190" s="9">
        <v>524.0</v>
      </c>
      <c r="C3190" s="9">
        <v>518.0</v>
      </c>
      <c r="D3190" s="9">
        <v>197.0</v>
      </c>
      <c r="E3190" s="9">
        <v>5.0</v>
      </c>
      <c r="F3190" s="14"/>
      <c r="G3190" s="15"/>
      <c r="H3190" s="15"/>
      <c r="I3190" s="14"/>
      <c r="P3190" s="14"/>
    </row>
    <row r="3191" ht="18.75" customHeight="1">
      <c r="A3191" s="7" t="s">
        <v>3631</v>
      </c>
      <c r="B3191" s="9">
        <v>15648.0</v>
      </c>
      <c r="C3191" s="9">
        <v>15365.0</v>
      </c>
      <c r="D3191" s="9">
        <v>3754.0</v>
      </c>
      <c r="E3191" s="9">
        <v>152.0</v>
      </c>
      <c r="F3191" s="14"/>
      <c r="G3191" s="15"/>
      <c r="H3191" s="15"/>
      <c r="I3191" s="14"/>
      <c r="P3191" s="14"/>
    </row>
    <row r="3192" ht="18.75" customHeight="1">
      <c r="A3192" s="7" t="s">
        <v>3632</v>
      </c>
      <c r="B3192" s="9">
        <v>55060.0</v>
      </c>
      <c r="C3192" s="9">
        <v>54061.0</v>
      </c>
      <c r="D3192" s="9">
        <v>13213.0</v>
      </c>
      <c r="E3192" s="9">
        <v>431.0</v>
      </c>
      <c r="F3192" s="14"/>
      <c r="G3192" s="15"/>
      <c r="H3192" s="15"/>
      <c r="I3192" s="14"/>
      <c r="P3192" s="14"/>
    </row>
    <row r="3193" ht="18.75" customHeight="1">
      <c r="A3193" s="7" t="s">
        <v>3602</v>
      </c>
      <c r="B3193" s="9">
        <v>78.0</v>
      </c>
      <c r="C3193" s="9">
        <v>77.0</v>
      </c>
      <c r="D3193" s="9">
        <v>37.0</v>
      </c>
      <c r="E3193" s="9">
        <v>1.0</v>
      </c>
      <c r="F3193" s="14"/>
      <c r="G3193" s="15"/>
      <c r="H3193" s="15"/>
      <c r="I3193" s="14"/>
      <c r="P3193" s="14"/>
    </row>
    <row r="3194" ht="18.75" customHeight="1">
      <c r="A3194" s="7" t="s">
        <v>3633</v>
      </c>
      <c r="B3194" s="9">
        <v>52913.0</v>
      </c>
      <c r="C3194" s="9">
        <v>51992.0</v>
      </c>
      <c r="D3194" s="9">
        <v>13163.0</v>
      </c>
      <c r="E3194" s="9">
        <v>223.0</v>
      </c>
      <c r="F3194" s="14"/>
      <c r="G3194" s="15"/>
      <c r="H3194" s="15"/>
      <c r="I3194" s="14"/>
      <c r="P3194" s="14"/>
    </row>
    <row r="3195" ht="18.75" customHeight="1">
      <c r="A3195" s="7" t="s">
        <v>3634</v>
      </c>
      <c r="B3195" s="9">
        <v>83763.0</v>
      </c>
      <c r="C3195" s="9">
        <v>82241.0</v>
      </c>
      <c r="D3195" s="9">
        <v>24022.0</v>
      </c>
      <c r="E3195" s="9">
        <v>417.0</v>
      </c>
      <c r="F3195" s="14"/>
      <c r="G3195" s="15"/>
      <c r="H3195" s="15"/>
      <c r="I3195" s="14"/>
      <c r="P3195" s="14"/>
    </row>
    <row r="3196" ht="18.75" customHeight="1">
      <c r="A3196" s="7" t="s">
        <v>3635</v>
      </c>
      <c r="B3196" s="9">
        <v>74173.0</v>
      </c>
      <c r="C3196" s="9">
        <v>72768.0</v>
      </c>
      <c r="D3196" s="9">
        <v>14236.0</v>
      </c>
      <c r="E3196" s="9">
        <v>198.0</v>
      </c>
      <c r="F3196" s="14"/>
      <c r="G3196" s="15"/>
      <c r="H3196" s="15"/>
      <c r="I3196" s="14"/>
      <c r="P3196" s="14"/>
    </row>
    <row r="3197" ht="18.75" customHeight="1">
      <c r="A3197" s="7" t="s">
        <v>3636</v>
      </c>
      <c r="B3197" s="9">
        <v>90164.0</v>
      </c>
      <c r="C3197" s="9">
        <v>88529.0</v>
      </c>
      <c r="D3197" s="9">
        <v>18917.0</v>
      </c>
      <c r="E3197" s="9">
        <v>189.0</v>
      </c>
      <c r="F3197" s="14"/>
      <c r="G3197" s="15"/>
      <c r="H3197" s="15"/>
      <c r="I3197" s="14"/>
      <c r="P3197" s="14"/>
    </row>
    <row r="3198" ht="18.75" customHeight="1">
      <c r="A3198" s="7" t="s">
        <v>3603</v>
      </c>
      <c r="B3198" s="9">
        <v>137.0</v>
      </c>
      <c r="C3198" s="9">
        <v>136.0</v>
      </c>
      <c r="D3198" s="9">
        <v>76.0</v>
      </c>
      <c r="E3198" s="9">
        <v>2.0</v>
      </c>
      <c r="F3198" s="14"/>
      <c r="G3198" s="15"/>
      <c r="H3198" s="15"/>
      <c r="I3198" s="14"/>
      <c r="P3198" s="14"/>
    </row>
    <row r="3199" ht="18.75" customHeight="1">
      <c r="A3199" s="7" t="s">
        <v>3637</v>
      </c>
      <c r="B3199" s="9">
        <v>61100.0</v>
      </c>
      <c r="C3199" s="9">
        <v>59644.0</v>
      </c>
      <c r="D3199" s="9">
        <v>7447.0</v>
      </c>
      <c r="E3199" s="9">
        <v>131.0</v>
      </c>
      <c r="F3199" s="14"/>
      <c r="G3199" s="15"/>
      <c r="H3199" s="15"/>
      <c r="I3199" s="14"/>
      <c r="P3199" s="14"/>
    </row>
    <row r="3200" ht="18.75" customHeight="1">
      <c r="A3200" s="7" t="s">
        <v>3638</v>
      </c>
      <c r="B3200" s="9">
        <v>481.0</v>
      </c>
      <c r="C3200" s="9">
        <v>477.0</v>
      </c>
      <c r="D3200" s="9">
        <v>193.0</v>
      </c>
      <c r="E3200" s="9">
        <v>24.0</v>
      </c>
      <c r="F3200" s="14"/>
      <c r="G3200" s="15"/>
      <c r="H3200" s="15"/>
      <c r="I3200" s="14"/>
      <c r="P3200" s="14"/>
    </row>
    <row r="3201" ht="18.75" customHeight="1">
      <c r="A3201" s="7" t="s">
        <v>3639</v>
      </c>
      <c r="B3201" s="9">
        <v>457.0</v>
      </c>
      <c r="C3201" s="9">
        <v>453.0</v>
      </c>
      <c r="D3201" s="9">
        <v>216.0</v>
      </c>
      <c r="E3201" s="9">
        <v>3.0</v>
      </c>
      <c r="F3201" s="14"/>
      <c r="G3201" s="15"/>
      <c r="H3201" s="15"/>
      <c r="I3201" s="14"/>
      <c r="P3201" s="14"/>
    </row>
    <row r="3202" ht="18.75" customHeight="1">
      <c r="A3202" s="7" t="s">
        <v>2857</v>
      </c>
      <c r="B3202" s="9">
        <v>5820.0</v>
      </c>
      <c r="C3202" s="9">
        <v>5678.0</v>
      </c>
      <c r="D3202" s="9">
        <v>1271.0</v>
      </c>
      <c r="E3202" s="9">
        <v>20.0</v>
      </c>
      <c r="F3202" s="14"/>
      <c r="G3202" s="15"/>
      <c r="H3202" s="15"/>
      <c r="I3202" s="14"/>
      <c r="P3202" s="14"/>
    </row>
    <row r="3203" ht="18.75" customHeight="1">
      <c r="A3203" s="7" t="s">
        <v>2857</v>
      </c>
      <c r="B3203" s="9">
        <v>13488.0</v>
      </c>
      <c r="C3203" s="9">
        <v>13231.0</v>
      </c>
      <c r="D3203" s="9">
        <v>3974.0</v>
      </c>
      <c r="E3203" s="9">
        <v>70.0</v>
      </c>
      <c r="F3203" s="14"/>
      <c r="G3203" s="15"/>
      <c r="H3203" s="15"/>
      <c r="I3203" s="14"/>
      <c r="P3203" s="14"/>
    </row>
    <row r="3204" ht="18.75" customHeight="1">
      <c r="A3204" s="7" t="s">
        <v>2857</v>
      </c>
      <c r="B3204" s="9">
        <v>82282.0</v>
      </c>
      <c r="C3204" s="9">
        <v>80796.0</v>
      </c>
      <c r="D3204" s="9">
        <v>26416.0</v>
      </c>
      <c r="E3204" s="9">
        <v>646.0</v>
      </c>
      <c r="F3204" s="14"/>
      <c r="G3204" s="15"/>
      <c r="H3204" s="15"/>
      <c r="I3204" s="14"/>
      <c r="P3204" s="14"/>
    </row>
    <row r="3205" ht="18.75" customHeight="1">
      <c r="A3205" s="7" t="s">
        <v>3640</v>
      </c>
      <c r="B3205" s="9">
        <v>77639.0</v>
      </c>
      <c r="C3205" s="9">
        <v>76258.0</v>
      </c>
      <c r="D3205" s="9">
        <v>16754.0</v>
      </c>
      <c r="E3205" s="9">
        <v>25.0</v>
      </c>
      <c r="F3205" s="14"/>
      <c r="G3205" s="15"/>
      <c r="H3205" s="15"/>
      <c r="I3205" s="14"/>
      <c r="P3205" s="14"/>
    </row>
    <row r="3206" ht="18.75" customHeight="1">
      <c r="A3206" s="7" t="s">
        <v>3641</v>
      </c>
      <c r="B3206" s="9">
        <v>97886.0</v>
      </c>
      <c r="C3206" s="9">
        <v>95960.0</v>
      </c>
      <c r="D3206" s="9">
        <v>18917.0</v>
      </c>
      <c r="E3206" s="9">
        <v>411.0</v>
      </c>
      <c r="F3206" s="14"/>
      <c r="G3206" s="15"/>
      <c r="H3206" s="15"/>
      <c r="I3206" s="14"/>
      <c r="P3206" s="14"/>
    </row>
    <row r="3207" ht="18.75" customHeight="1">
      <c r="A3207" s="7" t="s">
        <v>3623</v>
      </c>
      <c r="B3207" s="9">
        <v>87917.0</v>
      </c>
      <c r="C3207" s="9">
        <v>86638.0</v>
      </c>
      <c r="D3207" s="9">
        <v>28846.0</v>
      </c>
      <c r="E3207" s="9">
        <v>216.0</v>
      </c>
      <c r="F3207" s="14"/>
      <c r="G3207" s="15"/>
      <c r="H3207" s="15"/>
      <c r="I3207" s="14"/>
      <c r="P3207" s="14"/>
    </row>
    <row r="3208" ht="18.75" customHeight="1">
      <c r="A3208" s="7" t="s">
        <v>385</v>
      </c>
      <c r="B3208" s="9">
        <v>32233.0</v>
      </c>
      <c r="C3208" s="9">
        <v>31639.0</v>
      </c>
      <c r="D3208" s="9">
        <v>12566.0</v>
      </c>
      <c r="E3208" s="9">
        <v>176.0</v>
      </c>
      <c r="F3208" s="14"/>
      <c r="G3208" s="15"/>
      <c r="H3208" s="15"/>
      <c r="I3208" s="14"/>
      <c r="P3208" s="14"/>
    </row>
    <row r="3209" ht="18.75" customHeight="1">
      <c r="A3209" s="7" t="s">
        <v>385</v>
      </c>
      <c r="B3209" s="9">
        <v>30180.0</v>
      </c>
      <c r="C3209" s="9">
        <v>29590.0</v>
      </c>
      <c r="D3209" s="9">
        <v>7722.0</v>
      </c>
      <c r="E3209" s="9">
        <v>175.0</v>
      </c>
      <c r="F3209" s="14"/>
      <c r="G3209" s="15"/>
      <c r="H3209" s="15"/>
      <c r="I3209" s="14"/>
      <c r="P3209" s="14"/>
    </row>
    <row r="3210" ht="18.75" customHeight="1">
      <c r="A3210" s="7" t="s">
        <v>3611</v>
      </c>
      <c r="B3210" s="9">
        <v>29.0</v>
      </c>
      <c r="C3210" s="9">
        <v>29.0</v>
      </c>
      <c r="D3210" s="9">
        <v>12.0</v>
      </c>
      <c r="E3210" s="9">
        <v>3.0</v>
      </c>
      <c r="F3210" s="14"/>
      <c r="G3210" s="15"/>
      <c r="H3210" s="15"/>
      <c r="I3210" s="14"/>
      <c r="P3210" s="14"/>
    </row>
    <row r="3211" ht="18.75" customHeight="1">
      <c r="A3211" s="7" t="s">
        <v>3611</v>
      </c>
      <c r="B3211" s="9">
        <v>143.0</v>
      </c>
      <c r="C3211" s="9">
        <v>143.0</v>
      </c>
      <c r="D3211" s="9">
        <v>95.0</v>
      </c>
      <c r="E3211" s="9">
        <v>1.0</v>
      </c>
      <c r="F3211" s="14"/>
      <c r="G3211" s="15"/>
      <c r="H3211" s="15"/>
      <c r="I3211" s="14"/>
      <c r="P3211" s="14"/>
    </row>
    <row r="3212" ht="18.75" customHeight="1">
      <c r="A3212" s="7" t="s">
        <v>3642</v>
      </c>
      <c r="B3212" s="9">
        <v>93527.0</v>
      </c>
      <c r="C3212" s="9">
        <v>91890.0</v>
      </c>
      <c r="D3212" s="9">
        <v>30841.0</v>
      </c>
      <c r="E3212" s="9">
        <v>313.0</v>
      </c>
      <c r="F3212" s="14"/>
      <c r="G3212" s="15"/>
      <c r="H3212" s="15"/>
      <c r="I3212" s="14"/>
      <c r="P3212" s="14"/>
    </row>
    <row r="3213" ht="18.75" customHeight="1">
      <c r="A3213" s="7" t="s">
        <v>3612</v>
      </c>
      <c r="B3213" s="9">
        <v>120.0</v>
      </c>
      <c r="C3213" s="9">
        <v>120.0</v>
      </c>
      <c r="D3213" s="9">
        <v>75.0</v>
      </c>
      <c r="E3213" s="9">
        <v>1.0</v>
      </c>
      <c r="F3213" s="14"/>
      <c r="G3213" s="15"/>
      <c r="H3213" s="15"/>
      <c r="I3213" s="14"/>
      <c r="P3213" s="14"/>
    </row>
    <row r="3214" ht="18.75" customHeight="1">
      <c r="A3214" s="7" t="s">
        <v>3613</v>
      </c>
      <c r="B3214" s="9">
        <v>56.0</v>
      </c>
      <c r="C3214" s="9">
        <v>56.0</v>
      </c>
      <c r="D3214" s="9">
        <v>22.0</v>
      </c>
      <c r="E3214" s="9">
        <v>0.0</v>
      </c>
      <c r="F3214" s="14"/>
      <c r="G3214" s="15"/>
      <c r="H3214" s="15"/>
      <c r="I3214" s="14"/>
      <c r="P3214" s="14"/>
    </row>
    <row r="3215" ht="18.75" customHeight="1">
      <c r="A3215" s="7" t="s">
        <v>351</v>
      </c>
      <c r="B3215" s="9">
        <v>87.0</v>
      </c>
      <c r="C3215" s="9">
        <v>85.0</v>
      </c>
      <c r="D3215" s="9">
        <v>46.0</v>
      </c>
      <c r="E3215" s="9">
        <v>11.0</v>
      </c>
      <c r="F3215" s="14"/>
      <c r="G3215" s="15"/>
      <c r="H3215" s="15"/>
      <c r="I3215" s="14"/>
      <c r="P3215" s="14"/>
    </row>
    <row r="3216" ht="18.75" customHeight="1">
      <c r="A3216" s="7" t="s">
        <v>3643</v>
      </c>
      <c r="B3216" s="9">
        <v>43834.0</v>
      </c>
      <c r="C3216" s="9">
        <v>43387.0</v>
      </c>
      <c r="D3216" s="9">
        <v>13947.0</v>
      </c>
      <c r="E3216" s="9">
        <v>609.0</v>
      </c>
      <c r="F3216" s="14"/>
      <c r="G3216" s="15"/>
      <c r="H3216" s="15"/>
      <c r="I3216" s="14"/>
      <c r="P3216" s="14"/>
    </row>
    <row r="3217" ht="18.75" customHeight="1">
      <c r="A3217" s="7" t="s">
        <v>3628</v>
      </c>
      <c r="B3217" s="9">
        <v>144.0</v>
      </c>
      <c r="C3217" s="9">
        <v>143.0</v>
      </c>
      <c r="D3217" s="9">
        <v>98.0</v>
      </c>
      <c r="E3217" s="9">
        <v>1.0</v>
      </c>
      <c r="F3217" s="14"/>
      <c r="G3217" s="15"/>
      <c r="H3217" s="15"/>
      <c r="I3217" s="14"/>
      <c r="P3217" s="14"/>
    </row>
    <row r="3218" ht="18.75" customHeight="1">
      <c r="A3218" s="7" t="s">
        <v>3631</v>
      </c>
      <c r="B3218" s="9">
        <v>131.0</v>
      </c>
      <c r="C3218" s="9">
        <v>130.0</v>
      </c>
      <c r="D3218" s="9">
        <v>91.0</v>
      </c>
      <c r="E3218" s="9">
        <v>2.0</v>
      </c>
      <c r="F3218" s="14"/>
      <c r="G3218" s="15"/>
      <c r="H3218" s="15"/>
      <c r="I3218" s="14"/>
      <c r="P3218" s="14"/>
    </row>
    <row r="3219" ht="18.75" customHeight="1">
      <c r="A3219" s="7" t="s">
        <v>3644</v>
      </c>
      <c r="B3219" s="9">
        <v>44143.0</v>
      </c>
      <c r="C3219" s="9">
        <v>44040.0</v>
      </c>
      <c r="D3219" s="9">
        <v>34636.0</v>
      </c>
      <c r="E3219" s="9">
        <v>1389.0</v>
      </c>
      <c r="F3219" s="14"/>
      <c r="G3219" s="15"/>
      <c r="H3219" s="15"/>
      <c r="I3219" s="14"/>
      <c r="P3219" s="14"/>
    </row>
    <row r="3220" ht="18.75" customHeight="1">
      <c r="A3220" s="7" t="s">
        <v>3644</v>
      </c>
      <c r="B3220" s="9">
        <v>187845.0</v>
      </c>
      <c r="C3220" s="9">
        <v>185220.0</v>
      </c>
      <c r="D3220" s="9">
        <v>79551.0</v>
      </c>
      <c r="E3220" s="9">
        <v>5544.0</v>
      </c>
      <c r="F3220" s="14"/>
      <c r="G3220" s="15"/>
      <c r="H3220" s="15"/>
      <c r="I3220" s="14"/>
      <c r="P3220" s="14"/>
    </row>
    <row r="3221" ht="18.75" customHeight="1">
      <c r="A3221" s="7" t="s">
        <v>3604</v>
      </c>
      <c r="B3221" s="9">
        <v>93.0</v>
      </c>
      <c r="C3221" s="9">
        <v>92.0</v>
      </c>
      <c r="D3221" s="9">
        <v>41.0</v>
      </c>
      <c r="E3221" s="9">
        <v>2.0</v>
      </c>
      <c r="F3221" s="14"/>
      <c r="G3221" s="15"/>
      <c r="H3221" s="15"/>
      <c r="I3221" s="14"/>
      <c r="P3221" s="14"/>
    </row>
    <row r="3222" ht="18.75" customHeight="1">
      <c r="A3222" s="7" t="s">
        <v>3645</v>
      </c>
      <c r="B3222" s="9">
        <v>20307.0</v>
      </c>
      <c r="C3222" s="9">
        <v>19943.0</v>
      </c>
      <c r="D3222" s="9">
        <v>2646.0</v>
      </c>
      <c r="E3222" s="9">
        <v>175.0</v>
      </c>
      <c r="F3222" s="14"/>
      <c r="G3222" s="15"/>
      <c r="H3222" s="15"/>
      <c r="I3222" s="14"/>
      <c r="P3222" s="14"/>
    </row>
    <row r="3223" ht="18.75" customHeight="1">
      <c r="A3223" s="7" t="s">
        <v>3618</v>
      </c>
      <c r="B3223" s="9">
        <v>54.0</v>
      </c>
      <c r="C3223" s="9">
        <v>54.0</v>
      </c>
      <c r="D3223" s="9">
        <v>30.0</v>
      </c>
      <c r="E3223" s="9">
        <v>1.0</v>
      </c>
      <c r="F3223" s="14"/>
      <c r="G3223" s="15"/>
      <c r="H3223" s="15"/>
      <c r="I3223" s="14"/>
      <c r="P3223" s="14"/>
    </row>
    <row r="3224" ht="18.75" customHeight="1">
      <c r="A3224" s="7" t="s">
        <v>3637</v>
      </c>
      <c r="B3224" s="9">
        <v>90.0</v>
      </c>
      <c r="C3224" s="9">
        <v>89.0</v>
      </c>
      <c r="D3224" s="9">
        <v>44.0</v>
      </c>
      <c r="E3224" s="9">
        <v>4.0</v>
      </c>
      <c r="F3224" s="14"/>
      <c r="G3224" s="15"/>
      <c r="H3224" s="15"/>
      <c r="I3224" s="14"/>
      <c r="P3224" s="14"/>
    </row>
    <row r="3225" ht="18.75" customHeight="1">
      <c r="A3225" s="7" t="s">
        <v>3646</v>
      </c>
      <c r="B3225" s="9">
        <v>14748.0</v>
      </c>
      <c r="C3225" s="9">
        <v>14435.0</v>
      </c>
      <c r="D3225" s="9">
        <v>2367.0</v>
      </c>
      <c r="E3225" s="9">
        <v>83.0</v>
      </c>
      <c r="F3225" s="14"/>
      <c r="G3225" s="15"/>
      <c r="H3225" s="15"/>
      <c r="I3225" s="14"/>
      <c r="P3225" s="14"/>
    </row>
    <row r="3226" ht="18.75" customHeight="1">
      <c r="A3226" s="7" t="s">
        <v>381</v>
      </c>
      <c r="B3226" s="9">
        <v>34.0</v>
      </c>
      <c r="C3226" s="9">
        <v>34.0</v>
      </c>
      <c r="D3226" s="9">
        <v>12.0</v>
      </c>
      <c r="E3226" s="9">
        <v>1.0</v>
      </c>
      <c r="F3226" s="14"/>
      <c r="G3226" s="15"/>
      <c r="H3226" s="15"/>
      <c r="I3226" s="14"/>
      <c r="P3226" s="14"/>
    </row>
    <row r="3227" ht="18.75" customHeight="1">
      <c r="A3227" s="7" t="s">
        <v>381</v>
      </c>
      <c r="B3227" s="9">
        <v>25.0</v>
      </c>
      <c r="C3227" s="9">
        <v>25.0</v>
      </c>
      <c r="D3227" s="9">
        <v>12.0</v>
      </c>
      <c r="E3227" s="9">
        <v>2.0</v>
      </c>
      <c r="F3227" s="14"/>
      <c r="G3227" s="15"/>
      <c r="H3227" s="15"/>
      <c r="I3227" s="14"/>
      <c r="P3227" s="14"/>
    </row>
    <row r="3228" ht="18.75" customHeight="1">
      <c r="A3228" s="7" t="s">
        <v>381</v>
      </c>
      <c r="B3228" s="9">
        <v>79.0</v>
      </c>
      <c r="C3228" s="9">
        <v>77.0</v>
      </c>
      <c r="D3228" s="9">
        <v>20.0</v>
      </c>
      <c r="E3228" s="9">
        <v>2.0</v>
      </c>
      <c r="F3228" s="14"/>
      <c r="G3228" s="15"/>
      <c r="H3228" s="15"/>
      <c r="I3228" s="14"/>
      <c r="P3228" s="14"/>
    </row>
    <row r="3229" ht="18.75" customHeight="1">
      <c r="A3229" s="7" t="s">
        <v>3647</v>
      </c>
      <c r="B3229" s="9">
        <v>25903.0</v>
      </c>
      <c r="C3229" s="9">
        <v>25501.0</v>
      </c>
      <c r="D3229" s="9">
        <v>11680.0</v>
      </c>
      <c r="E3229" s="9">
        <v>386.0</v>
      </c>
      <c r="F3229" s="14"/>
      <c r="G3229" s="15"/>
      <c r="H3229" s="15"/>
      <c r="I3229" s="14"/>
      <c r="P3229" s="14"/>
    </row>
    <row r="3230" ht="18.75" customHeight="1">
      <c r="A3230" s="7" t="s">
        <v>3648</v>
      </c>
      <c r="B3230" s="9">
        <v>81680.0</v>
      </c>
      <c r="C3230" s="9">
        <v>80169.0</v>
      </c>
      <c r="D3230" s="9">
        <v>15890.0</v>
      </c>
      <c r="E3230" s="9">
        <v>239.0</v>
      </c>
      <c r="F3230" s="14"/>
      <c r="G3230" s="15"/>
      <c r="H3230" s="15"/>
      <c r="I3230" s="14"/>
      <c r="P3230" s="14"/>
    </row>
    <row r="3231" ht="18.75" customHeight="1">
      <c r="A3231" s="7" t="s">
        <v>3649</v>
      </c>
      <c r="B3231" s="9">
        <v>10825.0</v>
      </c>
      <c r="C3231" s="9">
        <v>10606.0</v>
      </c>
      <c r="D3231" s="9">
        <v>1977.0</v>
      </c>
      <c r="E3231" s="9">
        <v>41.0</v>
      </c>
      <c r="F3231" s="14"/>
      <c r="G3231" s="15"/>
      <c r="H3231" s="15"/>
      <c r="I3231" s="14"/>
      <c r="P3231" s="14"/>
    </row>
    <row r="3232" ht="18.75" customHeight="1">
      <c r="A3232" s="7" t="s">
        <v>3627</v>
      </c>
      <c r="B3232" s="9">
        <v>91.0</v>
      </c>
      <c r="C3232" s="9">
        <v>90.0</v>
      </c>
      <c r="D3232" s="9">
        <v>42.0</v>
      </c>
      <c r="E3232" s="9">
        <v>1.0</v>
      </c>
      <c r="F3232" s="14"/>
      <c r="G3232" s="15"/>
      <c r="H3232" s="15"/>
      <c r="I3232" s="14"/>
      <c r="P3232" s="14"/>
    </row>
    <row r="3233" ht="18.75" customHeight="1">
      <c r="A3233" s="7" t="s">
        <v>3650</v>
      </c>
      <c r="B3233" s="9">
        <v>6436.0</v>
      </c>
      <c r="C3233" s="9">
        <v>6324.0</v>
      </c>
      <c r="D3233" s="9">
        <v>2870.0</v>
      </c>
      <c r="E3233" s="9">
        <v>33.0</v>
      </c>
      <c r="F3233" s="14"/>
      <c r="G3233" s="15"/>
      <c r="H3233" s="15"/>
      <c r="I3233" s="14"/>
      <c r="P3233" s="14"/>
    </row>
    <row r="3234" ht="18.75" customHeight="1">
      <c r="A3234" s="7" t="s">
        <v>3651</v>
      </c>
      <c r="B3234" s="9">
        <v>10542.0</v>
      </c>
      <c r="C3234" s="9">
        <v>10336.0</v>
      </c>
      <c r="D3234" s="9">
        <v>4052.0</v>
      </c>
      <c r="E3234" s="9">
        <v>109.0</v>
      </c>
      <c r="F3234" s="14"/>
      <c r="G3234" s="15"/>
      <c r="H3234" s="15"/>
      <c r="I3234" s="14"/>
      <c r="P3234" s="14"/>
    </row>
    <row r="3235" ht="18.75" customHeight="1">
      <c r="A3235" s="7" t="s">
        <v>3632</v>
      </c>
      <c r="B3235" s="9">
        <v>298.0</v>
      </c>
      <c r="C3235" s="9">
        <v>296.0</v>
      </c>
      <c r="D3235" s="9">
        <v>206.0</v>
      </c>
      <c r="E3235" s="9">
        <v>1.0</v>
      </c>
      <c r="F3235" s="14"/>
      <c r="G3235" s="15"/>
      <c r="H3235" s="15"/>
      <c r="I3235" s="14"/>
      <c r="P3235" s="14"/>
    </row>
    <row r="3236" ht="18.75" customHeight="1">
      <c r="A3236" s="7" t="s">
        <v>3601</v>
      </c>
      <c r="B3236" s="9">
        <v>3177.0</v>
      </c>
      <c r="C3236" s="9">
        <v>3172.0</v>
      </c>
      <c r="D3236" s="9">
        <v>1574.0</v>
      </c>
      <c r="E3236" s="9">
        <v>6.0</v>
      </c>
      <c r="F3236" s="14"/>
      <c r="G3236" s="15"/>
      <c r="H3236" s="15"/>
      <c r="I3236" s="14"/>
      <c r="P3236" s="14"/>
    </row>
    <row r="3237" ht="18.75" customHeight="1">
      <c r="A3237" s="7" t="s">
        <v>3601</v>
      </c>
      <c r="B3237" s="9">
        <v>142.0</v>
      </c>
      <c r="C3237" s="9">
        <v>142.0</v>
      </c>
      <c r="D3237" s="9">
        <v>53.0</v>
      </c>
      <c r="E3237" s="9">
        <v>0.0</v>
      </c>
      <c r="F3237" s="14"/>
      <c r="G3237" s="15"/>
      <c r="H3237" s="15"/>
      <c r="I3237" s="14"/>
      <c r="P3237" s="14"/>
    </row>
    <row r="3238" ht="18.75" customHeight="1">
      <c r="A3238" s="7" t="s">
        <v>3652</v>
      </c>
      <c r="B3238" s="9">
        <v>72312.0</v>
      </c>
      <c r="C3238" s="9">
        <v>71110.0</v>
      </c>
      <c r="D3238" s="9">
        <v>9805.0</v>
      </c>
      <c r="E3238" s="9">
        <v>274.0</v>
      </c>
      <c r="F3238" s="14"/>
      <c r="G3238" s="15"/>
      <c r="H3238" s="15"/>
      <c r="I3238" s="14"/>
      <c r="P3238" s="14"/>
    </row>
    <row r="3239" ht="18.75" customHeight="1">
      <c r="A3239" s="7" t="s">
        <v>3642</v>
      </c>
      <c r="B3239" s="9">
        <v>157.0</v>
      </c>
      <c r="C3239" s="9">
        <v>157.0</v>
      </c>
      <c r="D3239" s="9">
        <v>113.0</v>
      </c>
      <c r="E3239" s="9">
        <v>1.0</v>
      </c>
      <c r="F3239" s="14"/>
      <c r="G3239" s="15"/>
      <c r="H3239" s="15"/>
      <c r="I3239" s="14"/>
      <c r="P3239" s="14"/>
    </row>
    <row r="3240" ht="18.75" customHeight="1">
      <c r="A3240" s="7" t="s">
        <v>3634</v>
      </c>
      <c r="B3240" s="9">
        <v>87.0</v>
      </c>
      <c r="C3240" s="9">
        <v>87.0</v>
      </c>
      <c r="D3240" s="9">
        <v>67.0</v>
      </c>
      <c r="E3240" s="9">
        <v>0.0</v>
      </c>
      <c r="F3240" s="14"/>
      <c r="G3240" s="15"/>
      <c r="H3240" s="15"/>
      <c r="I3240" s="14"/>
      <c r="P3240" s="14"/>
    </row>
    <row r="3241" ht="18.75" customHeight="1">
      <c r="A3241" s="7" t="s">
        <v>3614</v>
      </c>
      <c r="B3241" s="9">
        <v>125.0</v>
      </c>
      <c r="C3241" s="9">
        <v>124.0</v>
      </c>
      <c r="D3241" s="9">
        <v>58.0</v>
      </c>
      <c r="E3241" s="9">
        <v>3.0</v>
      </c>
      <c r="F3241" s="14"/>
      <c r="G3241" s="15"/>
      <c r="H3241" s="15"/>
      <c r="I3241" s="14"/>
      <c r="P3241" s="14"/>
    </row>
    <row r="3242" ht="18.75" customHeight="1">
      <c r="A3242" s="7" t="s">
        <v>3635</v>
      </c>
      <c r="B3242" s="9">
        <v>124.0</v>
      </c>
      <c r="C3242" s="9">
        <v>123.0</v>
      </c>
      <c r="D3242" s="9">
        <v>80.0</v>
      </c>
      <c r="E3242" s="9">
        <v>1.0</v>
      </c>
      <c r="F3242" s="14"/>
      <c r="G3242" s="15"/>
      <c r="H3242" s="15"/>
      <c r="I3242" s="14"/>
      <c r="P3242" s="14"/>
    </row>
    <row r="3243" ht="18.75" customHeight="1">
      <c r="A3243" s="7" t="s">
        <v>3616</v>
      </c>
      <c r="B3243" s="9">
        <v>116.0</v>
      </c>
      <c r="C3243" s="9">
        <v>114.0</v>
      </c>
      <c r="D3243" s="9">
        <v>44.0</v>
      </c>
      <c r="E3243" s="9">
        <v>3.0</v>
      </c>
      <c r="F3243" s="14"/>
      <c r="G3243" s="15"/>
      <c r="H3243" s="15"/>
      <c r="I3243" s="14"/>
      <c r="P3243" s="14"/>
    </row>
    <row r="3244" ht="18.75" customHeight="1">
      <c r="A3244" s="7" t="s">
        <v>3636</v>
      </c>
      <c r="B3244" s="9">
        <v>123.0</v>
      </c>
      <c r="C3244" s="9">
        <v>122.0</v>
      </c>
      <c r="D3244" s="9">
        <v>74.0</v>
      </c>
      <c r="E3244" s="9">
        <v>1.0</v>
      </c>
      <c r="F3244" s="14"/>
      <c r="G3244" s="15"/>
      <c r="H3244" s="15"/>
      <c r="I3244" s="14"/>
      <c r="P3244" s="14"/>
    </row>
    <row r="3245" ht="18.75" customHeight="1">
      <c r="A3245" s="7" t="s">
        <v>3653</v>
      </c>
      <c r="B3245" s="9">
        <v>319.0</v>
      </c>
      <c r="C3245" s="9">
        <v>315.0</v>
      </c>
      <c r="D3245" s="9">
        <v>138.0</v>
      </c>
      <c r="E3245" s="9">
        <v>16.0</v>
      </c>
      <c r="F3245" s="14"/>
      <c r="G3245" s="15"/>
      <c r="H3245" s="15"/>
      <c r="I3245" s="14"/>
      <c r="P3245" s="14"/>
    </row>
    <row r="3246" ht="18.75" customHeight="1">
      <c r="A3246" s="7" t="s">
        <v>3648</v>
      </c>
      <c r="B3246" s="9">
        <v>72.0</v>
      </c>
      <c r="C3246" s="9">
        <v>71.0</v>
      </c>
      <c r="D3246" s="9">
        <v>40.0</v>
      </c>
      <c r="E3246" s="9">
        <v>1.0</v>
      </c>
      <c r="F3246" s="14"/>
      <c r="G3246" s="15"/>
      <c r="H3246" s="15"/>
      <c r="I3246" s="14"/>
      <c r="P3246" s="14"/>
    </row>
    <row r="3247" ht="18.75" customHeight="1">
      <c r="A3247" s="7" t="s">
        <v>3654</v>
      </c>
      <c r="B3247" s="9">
        <v>22153.0</v>
      </c>
      <c r="C3247" s="9">
        <v>21760.0</v>
      </c>
      <c r="D3247" s="9">
        <v>4821.0</v>
      </c>
      <c r="E3247" s="9">
        <v>220.0</v>
      </c>
      <c r="F3247" s="14"/>
      <c r="G3247" s="15"/>
      <c r="H3247" s="15"/>
      <c r="I3247" s="14"/>
      <c r="P3247" s="14"/>
    </row>
    <row r="3248" ht="18.75" customHeight="1">
      <c r="A3248" s="7" t="s">
        <v>3645</v>
      </c>
      <c r="B3248" s="9">
        <v>164.0</v>
      </c>
      <c r="C3248" s="9">
        <v>161.0</v>
      </c>
      <c r="D3248" s="9">
        <v>74.0</v>
      </c>
      <c r="E3248" s="9">
        <v>0.0</v>
      </c>
      <c r="F3248" s="14"/>
      <c r="G3248" s="15"/>
      <c r="H3248" s="15"/>
      <c r="I3248" s="14"/>
      <c r="P3248" s="14"/>
    </row>
    <row r="3249" ht="18.75" customHeight="1">
      <c r="A3249" s="7" t="s">
        <v>3652</v>
      </c>
      <c r="B3249" s="9">
        <v>131.0</v>
      </c>
      <c r="C3249" s="9">
        <v>130.0</v>
      </c>
      <c r="D3249" s="9">
        <v>69.0</v>
      </c>
      <c r="E3249" s="9">
        <v>2.0</v>
      </c>
      <c r="F3249" s="14"/>
      <c r="G3249" s="15"/>
      <c r="H3249" s="15"/>
      <c r="I3249" s="14"/>
      <c r="P3249" s="14"/>
    </row>
    <row r="3250" ht="18.75" customHeight="1">
      <c r="A3250" s="7" t="s">
        <v>3655</v>
      </c>
      <c r="B3250" s="9">
        <v>74108.0</v>
      </c>
      <c r="C3250" s="9">
        <v>72768.0</v>
      </c>
      <c r="D3250" s="9">
        <v>12449.0</v>
      </c>
      <c r="E3250" s="9">
        <v>265.0</v>
      </c>
      <c r="F3250" s="14"/>
      <c r="G3250" s="15"/>
      <c r="H3250" s="15"/>
      <c r="I3250" s="14"/>
      <c r="P3250" s="14"/>
    </row>
    <row r="3251" ht="18.75" customHeight="1">
      <c r="A3251" s="7" t="s">
        <v>370</v>
      </c>
      <c r="B3251" s="9">
        <v>416.0</v>
      </c>
      <c r="C3251" s="9">
        <v>407.0</v>
      </c>
      <c r="D3251" s="9">
        <v>155.0</v>
      </c>
      <c r="E3251" s="9">
        <v>4.0</v>
      </c>
      <c r="F3251" s="14"/>
      <c r="G3251" s="15"/>
      <c r="H3251" s="15"/>
      <c r="I3251" s="14"/>
      <c r="P3251" s="14"/>
    </row>
    <row r="3252" ht="18.75" customHeight="1">
      <c r="A3252" s="7" t="s">
        <v>3622</v>
      </c>
      <c r="B3252" s="9">
        <v>21448.0</v>
      </c>
      <c r="C3252" s="9">
        <v>21078.0</v>
      </c>
      <c r="D3252" s="9">
        <v>4407.0</v>
      </c>
      <c r="E3252" s="9">
        <v>10.0</v>
      </c>
      <c r="F3252" s="14"/>
      <c r="G3252" s="15"/>
      <c r="H3252" s="15"/>
      <c r="I3252" s="14"/>
      <c r="P3252" s="14"/>
    </row>
    <row r="3253" ht="18.75" customHeight="1">
      <c r="A3253" s="7" t="s">
        <v>3622</v>
      </c>
      <c r="B3253" s="9">
        <v>71082.0</v>
      </c>
      <c r="C3253" s="9">
        <v>70997.0</v>
      </c>
      <c r="D3253" s="9">
        <v>47381.0</v>
      </c>
      <c r="E3253" s="9">
        <v>72.0</v>
      </c>
      <c r="F3253" s="14"/>
      <c r="G3253" s="15"/>
      <c r="H3253" s="15"/>
      <c r="I3253" s="14"/>
      <c r="P3253" s="14"/>
    </row>
    <row r="3254" ht="18.75" customHeight="1">
      <c r="A3254" s="7" t="s">
        <v>3656</v>
      </c>
      <c r="B3254" s="9">
        <v>113298.0</v>
      </c>
      <c r="C3254" s="9">
        <v>111413.0</v>
      </c>
      <c r="D3254" s="9">
        <v>27040.0</v>
      </c>
      <c r="E3254" s="9">
        <v>70.0</v>
      </c>
      <c r="F3254" s="14"/>
      <c r="G3254" s="15"/>
      <c r="H3254" s="15"/>
      <c r="I3254" s="14"/>
      <c r="P3254" s="14"/>
    </row>
    <row r="3255" ht="18.75" customHeight="1">
      <c r="A3255" s="7" t="s">
        <v>368</v>
      </c>
      <c r="B3255" s="9">
        <v>159.0</v>
      </c>
      <c r="C3255" s="9">
        <v>159.0</v>
      </c>
      <c r="D3255" s="9">
        <v>75.0</v>
      </c>
      <c r="E3255" s="9">
        <v>3.0</v>
      </c>
      <c r="F3255" s="14"/>
      <c r="G3255" s="15"/>
      <c r="H3255" s="15"/>
      <c r="I3255" s="14"/>
      <c r="P3255" s="14"/>
    </row>
    <row r="3256" ht="18.75" customHeight="1">
      <c r="A3256" s="7" t="s">
        <v>368</v>
      </c>
      <c r="B3256" s="9">
        <v>259.0</v>
      </c>
      <c r="C3256" s="9">
        <v>252.0</v>
      </c>
      <c r="D3256" s="9">
        <v>114.0</v>
      </c>
      <c r="E3256" s="9">
        <v>11.0</v>
      </c>
      <c r="F3256" s="14"/>
      <c r="G3256" s="15"/>
      <c r="H3256" s="15"/>
      <c r="I3256" s="14"/>
      <c r="P3256" s="14"/>
    </row>
    <row r="3257" ht="18.75" customHeight="1">
      <c r="A3257" s="7" t="s">
        <v>366</v>
      </c>
      <c r="B3257" s="9">
        <v>1069.0</v>
      </c>
      <c r="C3257" s="9">
        <v>1056.0</v>
      </c>
      <c r="D3257" s="9">
        <v>363.0</v>
      </c>
      <c r="E3257" s="9">
        <v>13.0</v>
      </c>
      <c r="F3257" s="14"/>
      <c r="G3257" s="15"/>
      <c r="H3257" s="15"/>
      <c r="I3257" s="14"/>
      <c r="P3257" s="14"/>
    </row>
    <row r="3258" ht="18.75" customHeight="1">
      <c r="A3258" s="7" t="s">
        <v>366</v>
      </c>
      <c r="B3258" s="9">
        <v>527.0</v>
      </c>
      <c r="C3258" s="9">
        <v>517.0</v>
      </c>
      <c r="D3258" s="9">
        <v>188.0</v>
      </c>
      <c r="E3258" s="9">
        <v>8.0</v>
      </c>
      <c r="F3258" s="14"/>
      <c r="G3258" s="15"/>
      <c r="H3258" s="15"/>
      <c r="I3258" s="14"/>
      <c r="P3258" s="14"/>
    </row>
    <row r="3259" ht="18.75" customHeight="1">
      <c r="A3259" s="7" t="s">
        <v>3657</v>
      </c>
      <c r="B3259" s="9">
        <v>2147.0</v>
      </c>
      <c r="C3259" s="9">
        <v>2127.0</v>
      </c>
      <c r="D3259" s="9">
        <v>1325.0</v>
      </c>
      <c r="E3259" s="9">
        <v>417.0</v>
      </c>
      <c r="F3259" s="14"/>
      <c r="G3259" s="15"/>
      <c r="H3259" s="15"/>
      <c r="I3259" s="14"/>
      <c r="P3259" s="14"/>
    </row>
    <row r="3260" ht="18.75" customHeight="1">
      <c r="A3260" s="7" t="s">
        <v>3658</v>
      </c>
      <c r="B3260" s="9">
        <v>48202.0</v>
      </c>
      <c r="C3260" s="9">
        <v>47397.0</v>
      </c>
      <c r="D3260" s="9">
        <v>9048.0</v>
      </c>
      <c r="E3260" s="9">
        <v>208.0</v>
      </c>
      <c r="F3260" s="14"/>
      <c r="G3260" s="15"/>
      <c r="H3260" s="15"/>
      <c r="I3260" s="14"/>
      <c r="P3260" s="14"/>
    </row>
    <row r="3261" ht="18.75" customHeight="1">
      <c r="A3261" s="7" t="s">
        <v>3649</v>
      </c>
      <c r="B3261" s="9">
        <v>64.0</v>
      </c>
      <c r="C3261" s="9">
        <v>63.0</v>
      </c>
      <c r="D3261" s="9">
        <v>33.0</v>
      </c>
      <c r="E3261" s="9">
        <v>1.0</v>
      </c>
      <c r="F3261" s="14"/>
      <c r="G3261" s="15"/>
      <c r="H3261" s="15"/>
      <c r="I3261" s="14"/>
      <c r="P3261" s="14"/>
    </row>
    <row r="3262" ht="18.75" customHeight="1">
      <c r="A3262" s="7" t="s">
        <v>3628</v>
      </c>
      <c r="B3262" s="9">
        <v>142.0</v>
      </c>
      <c r="C3262" s="9">
        <v>140.0</v>
      </c>
      <c r="D3262" s="9">
        <v>72.0</v>
      </c>
      <c r="E3262" s="9">
        <v>2.0</v>
      </c>
      <c r="F3262" s="14"/>
      <c r="G3262" s="15"/>
      <c r="H3262" s="15"/>
      <c r="I3262" s="14"/>
      <c r="P3262" s="14"/>
    </row>
    <row r="3263" ht="18.75" customHeight="1">
      <c r="A3263" s="7" t="s">
        <v>3659</v>
      </c>
      <c r="B3263" s="9">
        <v>22546.0</v>
      </c>
      <c r="C3263" s="9">
        <v>22152.0</v>
      </c>
      <c r="D3263" s="9">
        <v>6236.0</v>
      </c>
      <c r="E3263" s="9">
        <v>197.0</v>
      </c>
      <c r="F3263" s="14"/>
      <c r="G3263" s="15"/>
      <c r="H3263" s="15"/>
      <c r="I3263" s="14"/>
      <c r="P3263" s="14"/>
    </row>
    <row r="3264" ht="18.75" customHeight="1">
      <c r="A3264" s="7" t="s">
        <v>3660</v>
      </c>
      <c r="B3264" s="9">
        <v>1828.0</v>
      </c>
      <c r="C3264" s="9">
        <v>1757.0</v>
      </c>
      <c r="D3264" s="9">
        <v>424.0</v>
      </c>
      <c r="E3264" s="9">
        <v>40.0</v>
      </c>
      <c r="F3264" s="14"/>
      <c r="G3264" s="15"/>
      <c r="H3264" s="15"/>
      <c r="I3264" s="14"/>
      <c r="P3264" s="14"/>
    </row>
    <row r="3265" ht="18.75" customHeight="1">
      <c r="A3265" s="7" t="s">
        <v>372</v>
      </c>
      <c r="B3265" s="9">
        <v>4288.0</v>
      </c>
      <c r="C3265" s="9">
        <v>4202.0</v>
      </c>
      <c r="D3265" s="9">
        <v>1357.0</v>
      </c>
      <c r="E3265" s="9">
        <v>53.0</v>
      </c>
      <c r="F3265" s="14"/>
      <c r="G3265" s="15"/>
      <c r="H3265" s="15"/>
      <c r="I3265" s="14"/>
      <c r="P3265" s="14"/>
    </row>
    <row r="3266" ht="18.75" customHeight="1">
      <c r="A3266" s="7" t="s">
        <v>3661</v>
      </c>
      <c r="B3266" s="9">
        <v>14220.0</v>
      </c>
      <c r="C3266" s="9">
        <v>13945.0</v>
      </c>
      <c r="D3266" s="9">
        <v>2219.0</v>
      </c>
      <c r="E3266" s="9">
        <v>46.0</v>
      </c>
      <c r="F3266" s="14"/>
      <c r="G3266" s="15"/>
      <c r="H3266" s="15"/>
      <c r="I3266" s="14"/>
      <c r="P3266" s="14"/>
    </row>
    <row r="3267" ht="18.75" customHeight="1">
      <c r="A3267" s="7" t="s">
        <v>3094</v>
      </c>
      <c r="B3267" s="9">
        <v>43137.0</v>
      </c>
      <c r="C3267" s="9">
        <v>42283.0</v>
      </c>
      <c r="D3267" s="9">
        <v>10550.0</v>
      </c>
      <c r="E3267" s="9">
        <v>145.0</v>
      </c>
      <c r="F3267" s="14"/>
      <c r="G3267" s="15"/>
      <c r="H3267" s="15"/>
      <c r="I3267" s="14"/>
      <c r="P3267" s="14"/>
    </row>
    <row r="3268" ht="18.75" customHeight="1">
      <c r="A3268" s="7" t="s">
        <v>3094</v>
      </c>
      <c r="B3268" s="9">
        <v>15546.0</v>
      </c>
      <c r="C3268" s="9">
        <v>15262.0</v>
      </c>
      <c r="D3268" s="9">
        <v>5243.0</v>
      </c>
      <c r="E3268" s="9">
        <v>47.0</v>
      </c>
      <c r="F3268" s="14"/>
      <c r="G3268" s="15"/>
      <c r="H3268" s="15"/>
      <c r="I3268" s="14"/>
      <c r="P3268" s="14"/>
    </row>
    <row r="3269" ht="18.75" customHeight="1">
      <c r="A3269" s="7" t="s">
        <v>3094</v>
      </c>
      <c r="B3269" s="9">
        <v>18291.0</v>
      </c>
      <c r="C3269" s="9">
        <v>17926.0</v>
      </c>
      <c r="D3269" s="9">
        <v>4828.0</v>
      </c>
      <c r="E3269" s="9">
        <v>97.0</v>
      </c>
      <c r="F3269" s="14"/>
      <c r="G3269" s="15"/>
      <c r="H3269" s="15"/>
      <c r="I3269" s="14"/>
      <c r="P3269" s="14"/>
    </row>
    <row r="3270" ht="18.75" customHeight="1">
      <c r="A3270" s="7" t="s">
        <v>3094</v>
      </c>
      <c r="B3270" s="9">
        <v>13822.0</v>
      </c>
      <c r="C3270" s="9">
        <v>13559.0</v>
      </c>
      <c r="D3270" s="9">
        <v>3845.0</v>
      </c>
      <c r="E3270" s="9">
        <v>52.0</v>
      </c>
      <c r="F3270" s="14"/>
      <c r="G3270" s="15"/>
      <c r="H3270" s="15"/>
      <c r="I3270" s="14"/>
      <c r="P3270" s="14"/>
    </row>
    <row r="3271" ht="18.75" customHeight="1">
      <c r="A3271" s="7" t="s">
        <v>3662</v>
      </c>
      <c r="B3271" s="9">
        <v>14415.0</v>
      </c>
      <c r="C3271" s="9">
        <v>14106.0</v>
      </c>
      <c r="D3271" s="9">
        <v>1953.0</v>
      </c>
      <c r="E3271" s="9">
        <v>147.0</v>
      </c>
      <c r="F3271" s="14"/>
      <c r="G3271" s="15"/>
      <c r="H3271" s="15"/>
      <c r="I3271" s="14"/>
      <c r="P3271" s="14"/>
    </row>
    <row r="3272" ht="18.75" customHeight="1">
      <c r="A3272" s="7" t="s">
        <v>3633</v>
      </c>
      <c r="B3272" s="9">
        <v>222.0</v>
      </c>
      <c r="C3272" s="9">
        <v>220.0</v>
      </c>
      <c r="D3272" s="9">
        <v>125.0</v>
      </c>
      <c r="E3272" s="9">
        <v>2.0</v>
      </c>
      <c r="F3272" s="14"/>
      <c r="G3272" s="15"/>
      <c r="H3272" s="15"/>
      <c r="I3272" s="14"/>
      <c r="P3272" s="14"/>
    </row>
    <row r="3273" ht="18.75" customHeight="1">
      <c r="A3273" s="7" t="s">
        <v>3642</v>
      </c>
      <c r="B3273" s="9">
        <v>179.0</v>
      </c>
      <c r="C3273" s="9">
        <v>178.0</v>
      </c>
      <c r="D3273" s="9">
        <v>87.0</v>
      </c>
      <c r="E3273" s="9">
        <v>0.0</v>
      </c>
      <c r="F3273" s="14"/>
      <c r="G3273" s="15"/>
      <c r="H3273" s="15"/>
      <c r="I3273" s="14"/>
      <c r="P3273" s="14"/>
    </row>
    <row r="3274" ht="18.75" customHeight="1">
      <c r="A3274" s="7" t="s">
        <v>3663</v>
      </c>
      <c r="B3274" s="9">
        <v>31648.0</v>
      </c>
      <c r="C3274" s="9">
        <v>30885.0</v>
      </c>
      <c r="D3274" s="9">
        <v>4977.0</v>
      </c>
      <c r="E3274" s="9">
        <v>131.0</v>
      </c>
      <c r="F3274" s="14"/>
      <c r="G3274" s="15"/>
      <c r="H3274" s="15"/>
      <c r="I3274" s="14"/>
      <c r="P3274" s="14"/>
    </row>
    <row r="3275" ht="18.75" customHeight="1">
      <c r="A3275" s="7" t="s">
        <v>3634</v>
      </c>
      <c r="B3275" s="9">
        <v>87.0</v>
      </c>
      <c r="C3275" s="9">
        <v>87.0</v>
      </c>
      <c r="D3275" s="9">
        <v>68.0</v>
      </c>
      <c r="E3275" s="9">
        <v>0.0</v>
      </c>
      <c r="F3275" s="14"/>
      <c r="G3275" s="15"/>
      <c r="H3275" s="15"/>
      <c r="I3275" s="14"/>
      <c r="P3275" s="14"/>
    </row>
    <row r="3276" ht="18.75" customHeight="1">
      <c r="A3276" s="7" t="s">
        <v>3664</v>
      </c>
      <c r="B3276" s="9">
        <v>69050.0</v>
      </c>
      <c r="C3276" s="9">
        <v>67681.0</v>
      </c>
      <c r="D3276" s="9">
        <v>13880.0</v>
      </c>
      <c r="E3276" s="9">
        <v>346.0</v>
      </c>
      <c r="F3276" s="14"/>
      <c r="G3276" s="15"/>
      <c r="H3276" s="15"/>
      <c r="I3276" s="14"/>
      <c r="P3276" s="14"/>
    </row>
    <row r="3277" ht="18.75" customHeight="1">
      <c r="A3277" s="7" t="s">
        <v>3036</v>
      </c>
      <c r="B3277" s="9">
        <v>101494.0</v>
      </c>
      <c r="C3277" s="9">
        <v>101003.0</v>
      </c>
      <c r="D3277" s="9">
        <v>56195.0</v>
      </c>
      <c r="E3277" s="9">
        <v>1917.0</v>
      </c>
      <c r="F3277" s="14"/>
      <c r="G3277" s="15"/>
      <c r="H3277" s="15"/>
      <c r="I3277" s="14"/>
      <c r="P3277" s="14"/>
    </row>
    <row r="3278" ht="18.75" customHeight="1">
      <c r="A3278" s="7" t="s">
        <v>3036</v>
      </c>
      <c r="B3278" s="9">
        <v>34547.0</v>
      </c>
      <c r="C3278" s="9">
        <v>34330.0</v>
      </c>
      <c r="D3278" s="9">
        <v>15729.0</v>
      </c>
      <c r="E3278" s="9">
        <v>876.0</v>
      </c>
      <c r="F3278" s="14"/>
      <c r="G3278" s="15"/>
      <c r="H3278" s="15"/>
      <c r="I3278" s="14"/>
      <c r="P3278" s="14"/>
    </row>
    <row r="3279" ht="18.75" customHeight="1">
      <c r="A3279" s="7" t="s">
        <v>3665</v>
      </c>
      <c r="B3279" s="9">
        <v>13326.0</v>
      </c>
      <c r="C3279" s="9">
        <v>13124.0</v>
      </c>
      <c r="D3279" s="9">
        <v>5641.0</v>
      </c>
      <c r="E3279" s="9">
        <v>125.0</v>
      </c>
      <c r="F3279" s="14"/>
      <c r="G3279" s="15"/>
      <c r="H3279" s="15"/>
      <c r="I3279" s="14"/>
      <c r="P3279" s="14"/>
    </row>
    <row r="3280" ht="18.75" customHeight="1">
      <c r="A3280" s="7" t="s">
        <v>2857</v>
      </c>
      <c r="B3280" s="9">
        <v>14736.0</v>
      </c>
      <c r="C3280" s="9">
        <v>14468.0</v>
      </c>
      <c r="D3280" s="9">
        <v>3954.0</v>
      </c>
      <c r="E3280" s="9">
        <v>116.0</v>
      </c>
      <c r="F3280" s="14"/>
      <c r="G3280" s="15"/>
      <c r="H3280" s="15"/>
      <c r="I3280" s="14"/>
      <c r="P3280" s="14"/>
    </row>
    <row r="3281" ht="18.75" customHeight="1">
      <c r="A3281" s="7" t="s">
        <v>2857</v>
      </c>
      <c r="B3281" s="9">
        <v>18011.0</v>
      </c>
      <c r="C3281" s="9">
        <v>17703.0</v>
      </c>
      <c r="D3281" s="9">
        <v>5544.0</v>
      </c>
      <c r="E3281" s="9">
        <v>45.0</v>
      </c>
      <c r="F3281" s="14"/>
      <c r="G3281" s="15"/>
      <c r="H3281" s="15"/>
      <c r="I3281" s="14"/>
      <c r="P3281" s="14"/>
    </row>
    <row r="3282" ht="18.75" customHeight="1">
      <c r="A3282" s="7" t="s">
        <v>3640</v>
      </c>
      <c r="B3282" s="9">
        <v>118933.0</v>
      </c>
      <c r="C3282" s="9">
        <v>116646.0</v>
      </c>
      <c r="D3282" s="9">
        <v>31133.0</v>
      </c>
      <c r="E3282" s="9">
        <v>66.0</v>
      </c>
      <c r="F3282" s="14"/>
      <c r="G3282" s="15"/>
      <c r="H3282" s="15"/>
      <c r="I3282" s="14"/>
      <c r="P3282" s="14"/>
    </row>
    <row r="3283" ht="18.75" customHeight="1">
      <c r="A3283" s="7" t="s">
        <v>3666</v>
      </c>
      <c r="B3283" s="9">
        <v>79491.0</v>
      </c>
      <c r="C3283" s="9">
        <v>77951.0</v>
      </c>
      <c r="D3283" s="9">
        <v>26845.0</v>
      </c>
      <c r="E3283" s="9">
        <v>5948.0</v>
      </c>
      <c r="F3283" s="14"/>
      <c r="G3283" s="15"/>
      <c r="H3283" s="15"/>
      <c r="I3283" s="14"/>
      <c r="P3283" s="14"/>
    </row>
    <row r="3284" ht="18.75" customHeight="1">
      <c r="A3284" s="7" t="s">
        <v>3652</v>
      </c>
      <c r="B3284" s="9">
        <v>132.0</v>
      </c>
      <c r="C3284" s="9">
        <v>131.0</v>
      </c>
      <c r="D3284" s="9">
        <v>78.0</v>
      </c>
      <c r="E3284" s="9">
        <v>3.0</v>
      </c>
      <c r="F3284" s="14"/>
      <c r="G3284" s="15"/>
      <c r="H3284" s="15"/>
      <c r="I3284" s="14"/>
      <c r="P3284" s="14"/>
    </row>
    <row r="3285" ht="18.75" customHeight="1">
      <c r="A3285" s="7" t="s">
        <v>2803</v>
      </c>
      <c r="B3285" s="9">
        <v>72027.0</v>
      </c>
      <c r="C3285" s="9">
        <v>71535.0</v>
      </c>
      <c r="D3285" s="9">
        <v>30818.0</v>
      </c>
      <c r="E3285" s="9">
        <v>2655.0</v>
      </c>
      <c r="F3285" s="14"/>
      <c r="G3285" s="15"/>
      <c r="H3285" s="15"/>
      <c r="I3285" s="14"/>
      <c r="P3285" s="14"/>
    </row>
    <row r="3286" ht="18.75" customHeight="1">
      <c r="A3286" s="7" t="s">
        <v>3654</v>
      </c>
      <c r="B3286" s="9">
        <v>147.0</v>
      </c>
      <c r="C3286" s="9">
        <v>146.0</v>
      </c>
      <c r="D3286" s="9">
        <v>104.0</v>
      </c>
      <c r="E3286" s="9">
        <v>0.0</v>
      </c>
      <c r="F3286" s="14"/>
      <c r="G3286" s="15"/>
      <c r="H3286" s="15"/>
      <c r="I3286" s="14"/>
      <c r="P3286" s="14"/>
    </row>
    <row r="3287" ht="18.75" customHeight="1">
      <c r="A3287" s="7" t="s">
        <v>3655</v>
      </c>
      <c r="B3287" s="9">
        <v>128.0</v>
      </c>
      <c r="C3287" s="9">
        <v>128.0</v>
      </c>
      <c r="D3287" s="9">
        <v>96.0</v>
      </c>
      <c r="E3287" s="9">
        <v>1.0</v>
      </c>
      <c r="F3287" s="14"/>
      <c r="G3287" s="15"/>
      <c r="H3287" s="15"/>
      <c r="I3287" s="14"/>
      <c r="P3287" s="14"/>
    </row>
    <row r="3288" ht="18.75" customHeight="1">
      <c r="A3288" s="7" t="s">
        <v>3667</v>
      </c>
      <c r="B3288" s="9">
        <v>81655.0</v>
      </c>
      <c r="C3288" s="9">
        <v>80031.0</v>
      </c>
      <c r="D3288" s="9">
        <v>25351.0</v>
      </c>
      <c r="E3288" s="9">
        <v>346.0</v>
      </c>
      <c r="F3288" s="14"/>
      <c r="G3288" s="15"/>
      <c r="H3288" s="15"/>
      <c r="I3288" s="14"/>
      <c r="P3288" s="14"/>
    </row>
    <row r="3289" ht="18.75" customHeight="1">
      <c r="A3289" s="7" t="s">
        <v>3668</v>
      </c>
      <c r="B3289" s="9">
        <v>2409.0</v>
      </c>
      <c r="C3289" s="9">
        <v>2375.0</v>
      </c>
      <c r="D3289" s="9">
        <v>799.0</v>
      </c>
      <c r="E3289" s="9">
        <v>115.0</v>
      </c>
      <c r="F3289" s="14"/>
      <c r="G3289" s="15"/>
      <c r="H3289" s="15"/>
      <c r="I3289" s="14"/>
      <c r="P3289" s="14"/>
    </row>
    <row r="3290" ht="18.75" customHeight="1">
      <c r="A3290" s="7" t="s">
        <v>3658</v>
      </c>
      <c r="B3290" s="9">
        <v>115.0</v>
      </c>
      <c r="C3290" s="9">
        <v>114.0</v>
      </c>
      <c r="D3290" s="9">
        <v>65.0</v>
      </c>
      <c r="E3290" s="9">
        <v>1.0</v>
      </c>
      <c r="F3290" s="14"/>
      <c r="G3290" s="15"/>
      <c r="H3290" s="15"/>
      <c r="I3290" s="14"/>
      <c r="P3290" s="14"/>
    </row>
    <row r="3291" ht="18.75" customHeight="1">
      <c r="A3291" s="7" t="s">
        <v>3627</v>
      </c>
      <c r="B3291" s="9">
        <v>93.0</v>
      </c>
      <c r="C3291" s="9">
        <v>92.0</v>
      </c>
      <c r="D3291" s="9">
        <v>43.0</v>
      </c>
      <c r="E3291" s="9">
        <v>1.0</v>
      </c>
      <c r="F3291" s="14"/>
      <c r="G3291" s="15"/>
      <c r="H3291" s="15"/>
      <c r="I3291" s="14"/>
      <c r="P3291" s="14"/>
    </row>
    <row r="3292" ht="18.75" customHeight="1">
      <c r="A3292" s="7" t="s">
        <v>3661</v>
      </c>
      <c r="B3292" s="9">
        <v>72.0</v>
      </c>
      <c r="C3292" s="9">
        <v>71.0</v>
      </c>
      <c r="D3292" s="9">
        <v>41.0</v>
      </c>
      <c r="E3292" s="9">
        <v>1.0</v>
      </c>
      <c r="F3292" s="14"/>
      <c r="G3292" s="15"/>
      <c r="H3292" s="15"/>
      <c r="I3292" s="14"/>
      <c r="P3292" s="14"/>
    </row>
    <row r="3293" ht="18.75" customHeight="1">
      <c r="A3293" s="7" t="s">
        <v>360</v>
      </c>
      <c r="B3293" s="9">
        <v>19003.0</v>
      </c>
      <c r="C3293" s="9">
        <v>18691.0</v>
      </c>
      <c r="D3293" s="9">
        <v>5705.0</v>
      </c>
      <c r="E3293" s="9">
        <v>43.0</v>
      </c>
      <c r="F3293" s="14"/>
      <c r="G3293" s="15"/>
      <c r="H3293" s="15"/>
      <c r="I3293" s="14"/>
      <c r="P3293" s="14"/>
    </row>
    <row r="3294" ht="18.75" customHeight="1">
      <c r="A3294" s="7" t="s">
        <v>3094</v>
      </c>
      <c r="B3294" s="9">
        <v>238.0</v>
      </c>
      <c r="C3294" s="9">
        <v>231.0</v>
      </c>
      <c r="D3294" s="9">
        <v>77.0</v>
      </c>
      <c r="E3294" s="9">
        <v>0.0</v>
      </c>
      <c r="F3294" s="14"/>
      <c r="G3294" s="15"/>
      <c r="H3294" s="15"/>
      <c r="I3294" s="14"/>
      <c r="P3294" s="14"/>
    </row>
    <row r="3295" ht="18.75" customHeight="1">
      <c r="A3295" s="7" t="s">
        <v>3094</v>
      </c>
      <c r="B3295" s="9">
        <v>2258.0</v>
      </c>
      <c r="C3295" s="9">
        <v>2201.0</v>
      </c>
      <c r="D3295" s="9">
        <v>519.0</v>
      </c>
      <c r="E3295" s="9">
        <v>8.0</v>
      </c>
      <c r="F3295" s="14"/>
      <c r="G3295" s="15"/>
      <c r="H3295" s="15"/>
      <c r="I3295" s="14"/>
      <c r="P3295" s="14"/>
    </row>
    <row r="3296" ht="18.75" customHeight="1">
      <c r="A3296" s="7" t="s">
        <v>3094</v>
      </c>
      <c r="B3296" s="9">
        <v>2827.0</v>
      </c>
      <c r="C3296" s="9">
        <v>2780.0</v>
      </c>
      <c r="D3296" s="9">
        <v>832.0</v>
      </c>
      <c r="E3296" s="9">
        <v>10.0</v>
      </c>
      <c r="F3296" s="14"/>
      <c r="G3296" s="15"/>
      <c r="H3296" s="15"/>
      <c r="I3296" s="14"/>
      <c r="P3296" s="14"/>
    </row>
    <row r="3297" ht="18.75" customHeight="1">
      <c r="A3297" s="7" t="s">
        <v>3094</v>
      </c>
      <c r="B3297" s="9">
        <v>961.0</v>
      </c>
      <c r="C3297" s="9">
        <v>946.0</v>
      </c>
      <c r="D3297" s="9">
        <v>318.0</v>
      </c>
      <c r="E3297" s="9">
        <v>2.0</v>
      </c>
      <c r="F3297" s="14"/>
      <c r="G3297" s="15"/>
      <c r="H3297" s="15"/>
      <c r="I3297" s="14"/>
      <c r="P3297" s="14"/>
    </row>
    <row r="3298" ht="18.75" customHeight="1">
      <c r="A3298" s="7" t="s">
        <v>3094</v>
      </c>
      <c r="B3298" s="9">
        <v>1074.0</v>
      </c>
      <c r="C3298" s="9">
        <v>1052.0</v>
      </c>
      <c r="D3298" s="9">
        <v>294.0</v>
      </c>
      <c r="E3298" s="9">
        <v>0.0</v>
      </c>
      <c r="F3298" s="14"/>
      <c r="G3298" s="15"/>
      <c r="H3298" s="15"/>
      <c r="I3298" s="14"/>
      <c r="P3298" s="14"/>
    </row>
    <row r="3299" ht="18.75" customHeight="1">
      <c r="A3299" s="7" t="s">
        <v>3094</v>
      </c>
      <c r="B3299" s="9">
        <v>448.0</v>
      </c>
      <c r="C3299" s="9">
        <v>441.0</v>
      </c>
      <c r="D3299" s="9">
        <v>143.0</v>
      </c>
      <c r="E3299" s="9">
        <v>2.0</v>
      </c>
      <c r="F3299" s="14"/>
      <c r="G3299" s="15"/>
      <c r="H3299" s="15"/>
      <c r="I3299" s="14"/>
      <c r="P3299" s="14"/>
    </row>
    <row r="3300" ht="18.75" customHeight="1">
      <c r="A3300" s="7" t="s">
        <v>3094</v>
      </c>
      <c r="B3300" s="9">
        <v>1186.0</v>
      </c>
      <c r="C3300" s="9">
        <v>1168.0</v>
      </c>
      <c r="D3300" s="9">
        <v>349.0</v>
      </c>
      <c r="E3300" s="9">
        <v>3.0</v>
      </c>
      <c r="F3300" s="14"/>
      <c r="G3300" s="15"/>
      <c r="H3300" s="15"/>
      <c r="I3300" s="14"/>
      <c r="P3300" s="14"/>
    </row>
    <row r="3301" ht="18.75" customHeight="1">
      <c r="A3301" s="7" t="s">
        <v>3094</v>
      </c>
      <c r="B3301" s="9">
        <v>780.0</v>
      </c>
      <c r="C3301" s="9">
        <v>767.0</v>
      </c>
      <c r="D3301" s="9">
        <v>244.0</v>
      </c>
      <c r="E3301" s="9">
        <v>1.0</v>
      </c>
      <c r="F3301" s="14"/>
      <c r="G3301" s="15"/>
      <c r="H3301" s="15"/>
      <c r="I3301" s="14"/>
      <c r="P3301" s="14"/>
    </row>
    <row r="3302" ht="18.75" customHeight="1">
      <c r="A3302" s="7" t="s">
        <v>3669</v>
      </c>
      <c r="B3302" s="9">
        <v>61622.0</v>
      </c>
      <c r="C3302" s="9">
        <v>60393.0</v>
      </c>
      <c r="D3302" s="9">
        <v>10207.0</v>
      </c>
      <c r="E3302" s="9">
        <v>193.0</v>
      </c>
      <c r="F3302" s="14"/>
      <c r="G3302" s="15"/>
      <c r="H3302" s="15"/>
      <c r="I3302" s="14"/>
      <c r="P3302" s="14"/>
    </row>
    <row r="3303" ht="18.75" customHeight="1">
      <c r="A3303" s="7" t="s">
        <v>3670</v>
      </c>
      <c r="B3303" s="9">
        <v>39786.0</v>
      </c>
      <c r="C3303" s="9">
        <v>38949.0</v>
      </c>
      <c r="D3303" s="9">
        <v>6870.0</v>
      </c>
      <c r="E3303" s="9">
        <v>202.0</v>
      </c>
      <c r="F3303" s="14"/>
      <c r="G3303" s="15"/>
      <c r="H3303" s="15"/>
      <c r="I3303" s="14"/>
      <c r="P3303" s="14"/>
    </row>
    <row r="3304" ht="18.75" customHeight="1">
      <c r="A3304" s="7" t="s">
        <v>3671</v>
      </c>
      <c r="B3304" s="9">
        <v>33968.0</v>
      </c>
      <c r="C3304" s="9">
        <v>33354.0</v>
      </c>
      <c r="D3304" s="9">
        <v>11731.0</v>
      </c>
      <c r="E3304" s="9">
        <v>165.0</v>
      </c>
      <c r="F3304" s="14"/>
      <c r="G3304" s="15"/>
      <c r="H3304" s="15"/>
      <c r="I3304" s="14"/>
      <c r="P3304" s="14"/>
    </row>
    <row r="3305" ht="18.75" customHeight="1">
      <c r="A3305" s="7" t="s">
        <v>3664</v>
      </c>
      <c r="B3305" s="9">
        <v>219.0</v>
      </c>
      <c r="C3305" s="9">
        <v>218.0</v>
      </c>
      <c r="D3305" s="9">
        <v>131.0</v>
      </c>
      <c r="E3305" s="9">
        <v>2.0</v>
      </c>
      <c r="F3305" s="14"/>
      <c r="G3305" s="15"/>
      <c r="H3305" s="15"/>
      <c r="I3305" s="14"/>
      <c r="P3305" s="14"/>
    </row>
    <row r="3306" ht="18.75" customHeight="1">
      <c r="A3306" s="7" t="s">
        <v>3094</v>
      </c>
      <c r="B3306" s="9">
        <v>1718.0</v>
      </c>
      <c r="C3306" s="9">
        <v>1703.0</v>
      </c>
      <c r="D3306" s="9">
        <v>410.0</v>
      </c>
      <c r="E3306" s="9">
        <v>5.0</v>
      </c>
      <c r="F3306" s="14"/>
      <c r="G3306" s="15"/>
      <c r="H3306" s="15"/>
      <c r="I3306" s="14"/>
      <c r="P3306" s="14"/>
    </row>
    <row r="3307" ht="18.75" customHeight="1">
      <c r="A3307" s="7" t="s">
        <v>3672</v>
      </c>
      <c r="B3307" s="9">
        <v>63330.0</v>
      </c>
      <c r="C3307" s="9">
        <v>62204.0</v>
      </c>
      <c r="D3307" s="9">
        <v>24371.0</v>
      </c>
      <c r="E3307" s="9">
        <v>394.0</v>
      </c>
      <c r="F3307" s="14"/>
      <c r="G3307" s="15"/>
      <c r="H3307" s="15"/>
      <c r="I3307" s="14"/>
      <c r="P3307" s="14"/>
    </row>
    <row r="3308" ht="18.75" customHeight="1">
      <c r="A3308" s="7" t="s">
        <v>3672</v>
      </c>
      <c r="B3308" s="9">
        <v>60205.0</v>
      </c>
      <c r="C3308" s="9">
        <v>58767.0</v>
      </c>
      <c r="D3308" s="9">
        <v>16779.0</v>
      </c>
      <c r="E3308" s="9">
        <v>235.0</v>
      </c>
      <c r="F3308" s="14"/>
      <c r="G3308" s="15"/>
      <c r="H3308" s="15"/>
      <c r="I3308" s="14"/>
      <c r="P3308" s="14"/>
    </row>
    <row r="3309" ht="18.75" customHeight="1">
      <c r="A3309" s="7" t="s">
        <v>3672</v>
      </c>
      <c r="B3309" s="9">
        <v>12707.0</v>
      </c>
      <c r="C3309" s="9">
        <v>12481.0</v>
      </c>
      <c r="D3309" s="9">
        <v>4296.0</v>
      </c>
      <c r="E3309" s="9">
        <v>153.0</v>
      </c>
      <c r="F3309" s="14"/>
      <c r="G3309" s="15"/>
      <c r="H3309" s="15"/>
      <c r="I3309" s="14"/>
      <c r="P3309" s="14"/>
    </row>
    <row r="3310" ht="18.75" customHeight="1">
      <c r="A3310" s="7" t="s">
        <v>3656</v>
      </c>
      <c r="B3310" s="9">
        <v>90216.0</v>
      </c>
      <c r="C3310" s="9">
        <v>88518.0</v>
      </c>
      <c r="D3310" s="9">
        <v>25510.0</v>
      </c>
      <c r="E3310" s="9">
        <v>38.0</v>
      </c>
      <c r="F3310" s="14"/>
      <c r="G3310" s="15"/>
      <c r="H3310" s="15"/>
      <c r="I3310" s="14"/>
      <c r="P3310" s="14"/>
    </row>
    <row r="3311" ht="18.75" customHeight="1">
      <c r="A3311" s="7" t="s">
        <v>3656</v>
      </c>
      <c r="B3311" s="9">
        <v>142513.0</v>
      </c>
      <c r="C3311" s="9">
        <v>140186.0</v>
      </c>
      <c r="D3311" s="9">
        <v>27610.0</v>
      </c>
      <c r="E3311" s="9">
        <v>69.0</v>
      </c>
      <c r="F3311" s="14"/>
      <c r="G3311" s="15"/>
      <c r="H3311" s="15"/>
      <c r="I3311" s="14"/>
      <c r="P3311" s="14"/>
    </row>
    <row r="3312" ht="18.75" customHeight="1">
      <c r="A3312" s="7" t="s">
        <v>3648</v>
      </c>
      <c r="B3312" s="9">
        <v>138.0</v>
      </c>
      <c r="C3312" s="9">
        <v>136.0</v>
      </c>
      <c r="D3312" s="9">
        <v>76.0</v>
      </c>
      <c r="E3312" s="9">
        <v>3.0</v>
      </c>
      <c r="F3312" s="14"/>
      <c r="G3312" s="15"/>
      <c r="H3312" s="15"/>
      <c r="I3312" s="14"/>
      <c r="P3312" s="14"/>
    </row>
    <row r="3313" ht="18.75" customHeight="1">
      <c r="A3313" s="7" t="s">
        <v>3658</v>
      </c>
      <c r="B3313" s="9">
        <v>9000.0</v>
      </c>
      <c r="C3313" s="9">
        <v>8988.0</v>
      </c>
      <c r="D3313" s="9">
        <v>6267.0</v>
      </c>
      <c r="E3313" s="9">
        <v>63.0</v>
      </c>
      <c r="F3313" s="14"/>
      <c r="G3313" s="15"/>
      <c r="H3313" s="15"/>
      <c r="I3313" s="14"/>
      <c r="P3313" s="14"/>
    </row>
    <row r="3314" ht="18.75" customHeight="1">
      <c r="A3314" s="7" t="s">
        <v>3658</v>
      </c>
      <c r="B3314" s="9">
        <v>125.0</v>
      </c>
      <c r="C3314" s="9">
        <v>124.0</v>
      </c>
      <c r="D3314" s="9">
        <v>77.0</v>
      </c>
      <c r="E3314" s="9">
        <v>3.0</v>
      </c>
      <c r="F3314" s="14"/>
      <c r="G3314" s="15"/>
      <c r="H3314" s="15"/>
      <c r="I3314" s="14"/>
      <c r="P3314" s="14"/>
    </row>
    <row r="3315" ht="18.75" customHeight="1">
      <c r="A3315" s="7" t="s">
        <v>3673</v>
      </c>
      <c r="B3315" s="9">
        <v>53157.0</v>
      </c>
      <c r="C3315" s="9">
        <v>52090.0</v>
      </c>
      <c r="D3315" s="9">
        <v>14744.0</v>
      </c>
      <c r="E3315" s="9">
        <v>937.0</v>
      </c>
      <c r="F3315" s="14"/>
      <c r="G3315" s="15"/>
      <c r="H3315" s="15"/>
      <c r="I3315" s="14"/>
      <c r="P3315" s="14"/>
    </row>
    <row r="3316" ht="18.75" customHeight="1">
      <c r="A3316" s="7" t="s">
        <v>374</v>
      </c>
      <c r="B3316" s="9">
        <v>3487.0</v>
      </c>
      <c r="C3316" s="9">
        <v>3426.0</v>
      </c>
      <c r="D3316" s="9">
        <v>1039.0</v>
      </c>
      <c r="E3316" s="9">
        <v>42.0</v>
      </c>
      <c r="F3316" s="14"/>
      <c r="G3316" s="15"/>
      <c r="H3316" s="15"/>
      <c r="I3316" s="14"/>
      <c r="P3316" s="14"/>
    </row>
    <row r="3317" ht="18.75" customHeight="1">
      <c r="A3317" s="7" t="s">
        <v>374</v>
      </c>
      <c r="B3317" s="9">
        <v>1781.0</v>
      </c>
      <c r="C3317" s="9">
        <v>1750.0</v>
      </c>
      <c r="D3317" s="9">
        <v>579.0</v>
      </c>
      <c r="E3317" s="9">
        <v>25.0</v>
      </c>
      <c r="F3317" s="14"/>
      <c r="G3317" s="15"/>
      <c r="H3317" s="15"/>
      <c r="I3317" s="14"/>
      <c r="P3317" s="14"/>
    </row>
    <row r="3318" ht="18.75" customHeight="1">
      <c r="A3318" s="7" t="s">
        <v>3674</v>
      </c>
      <c r="B3318" s="9">
        <v>32730.0</v>
      </c>
      <c r="C3318" s="9">
        <v>32154.0</v>
      </c>
      <c r="D3318" s="9">
        <v>11535.0</v>
      </c>
      <c r="E3318" s="9">
        <v>248.0</v>
      </c>
      <c r="F3318" s="14"/>
      <c r="G3318" s="15"/>
      <c r="H3318" s="15"/>
      <c r="I3318" s="14"/>
      <c r="P3318" s="14"/>
    </row>
    <row r="3319" ht="18.75" customHeight="1">
      <c r="A3319" s="7" t="s">
        <v>3067</v>
      </c>
      <c r="B3319" s="9">
        <v>618.0</v>
      </c>
      <c r="C3319" s="9">
        <v>602.0</v>
      </c>
      <c r="D3319" s="9">
        <v>121.0</v>
      </c>
      <c r="E3319" s="9">
        <v>4.0</v>
      </c>
      <c r="F3319" s="14"/>
      <c r="G3319" s="15"/>
      <c r="H3319" s="15"/>
      <c r="I3319" s="14"/>
      <c r="P3319" s="14"/>
    </row>
    <row r="3320" ht="18.75" customHeight="1">
      <c r="A3320" s="7" t="s">
        <v>3094</v>
      </c>
      <c r="B3320" s="9">
        <v>2882.0</v>
      </c>
      <c r="C3320" s="9">
        <v>2815.0</v>
      </c>
      <c r="D3320" s="9">
        <v>753.0</v>
      </c>
      <c r="E3320" s="9">
        <v>26.0</v>
      </c>
      <c r="F3320" s="14"/>
      <c r="G3320" s="15"/>
      <c r="H3320" s="15"/>
      <c r="I3320" s="14"/>
      <c r="P3320" s="14"/>
    </row>
    <row r="3321" ht="18.75" customHeight="1">
      <c r="A3321" s="7" t="s">
        <v>3094</v>
      </c>
      <c r="B3321" s="9">
        <v>11730.0</v>
      </c>
      <c r="C3321" s="9">
        <v>11509.0</v>
      </c>
      <c r="D3321" s="9">
        <v>3028.0</v>
      </c>
      <c r="E3321" s="9">
        <v>46.0</v>
      </c>
      <c r="F3321" s="14"/>
      <c r="G3321" s="15"/>
      <c r="H3321" s="15"/>
      <c r="I3321" s="14"/>
      <c r="P3321" s="14"/>
    </row>
    <row r="3322" ht="18.75" customHeight="1">
      <c r="A3322" s="7" t="s">
        <v>3094</v>
      </c>
      <c r="B3322" s="9">
        <v>2069.0</v>
      </c>
      <c r="C3322" s="9">
        <v>2029.0</v>
      </c>
      <c r="D3322" s="9">
        <v>453.0</v>
      </c>
      <c r="E3322" s="9">
        <v>9.0</v>
      </c>
      <c r="F3322" s="14"/>
      <c r="G3322" s="15"/>
      <c r="H3322" s="15"/>
      <c r="I3322" s="14"/>
      <c r="P3322" s="14"/>
    </row>
    <row r="3323" ht="18.75" customHeight="1">
      <c r="A3323" s="7" t="s">
        <v>3662</v>
      </c>
      <c r="B3323" s="9">
        <v>160.0</v>
      </c>
      <c r="C3323" s="9">
        <v>158.0</v>
      </c>
      <c r="D3323" s="9">
        <v>98.0</v>
      </c>
      <c r="E3323" s="9">
        <v>2.0</v>
      </c>
      <c r="F3323" s="14"/>
      <c r="G3323" s="15"/>
      <c r="H3323" s="15"/>
      <c r="I3323" s="14"/>
      <c r="P3323" s="14"/>
    </row>
    <row r="3324" ht="18.75" customHeight="1">
      <c r="A3324" s="7" t="s">
        <v>3675</v>
      </c>
      <c r="B3324" s="9">
        <v>54954.0</v>
      </c>
      <c r="C3324" s="9">
        <v>53936.0</v>
      </c>
      <c r="D3324" s="9">
        <v>16104.0</v>
      </c>
      <c r="E3324" s="9">
        <v>172.0</v>
      </c>
      <c r="F3324" s="14"/>
      <c r="G3324" s="15"/>
      <c r="H3324" s="15"/>
      <c r="I3324" s="14"/>
      <c r="P3324" s="14"/>
    </row>
    <row r="3325" ht="18.75" customHeight="1">
      <c r="A3325" s="7" t="s">
        <v>3663</v>
      </c>
      <c r="B3325" s="9">
        <v>112.0</v>
      </c>
      <c r="C3325" s="9">
        <v>111.0</v>
      </c>
      <c r="D3325" s="9">
        <v>57.0</v>
      </c>
      <c r="E3325" s="9">
        <v>4.0</v>
      </c>
      <c r="F3325" s="14"/>
      <c r="G3325" s="15"/>
      <c r="H3325" s="15"/>
      <c r="I3325" s="14"/>
      <c r="P3325" s="14"/>
    </row>
    <row r="3326" ht="18.75" customHeight="1">
      <c r="A3326" s="7" t="s">
        <v>3635</v>
      </c>
      <c r="B3326" s="9">
        <v>116.0</v>
      </c>
      <c r="C3326" s="9">
        <v>116.0</v>
      </c>
      <c r="D3326" s="9">
        <v>59.0</v>
      </c>
      <c r="E3326" s="9">
        <v>1.0</v>
      </c>
      <c r="F3326" s="14"/>
      <c r="G3326" s="15"/>
      <c r="H3326" s="15"/>
      <c r="I3326" s="14"/>
      <c r="P3326" s="14"/>
    </row>
    <row r="3327" ht="18.75" customHeight="1">
      <c r="A3327" s="7" t="s">
        <v>3636</v>
      </c>
      <c r="B3327" s="9">
        <v>115.0</v>
      </c>
      <c r="C3327" s="9">
        <v>115.0</v>
      </c>
      <c r="D3327" s="9">
        <v>56.0</v>
      </c>
      <c r="E3327" s="9">
        <v>0.0</v>
      </c>
      <c r="F3327" s="14"/>
      <c r="G3327" s="15"/>
      <c r="H3327" s="15"/>
      <c r="I3327" s="14"/>
      <c r="P3327" s="14"/>
    </row>
    <row r="3328" ht="18.75" customHeight="1">
      <c r="A3328" s="7" t="s">
        <v>3655</v>
      </c>
      <c r="B3328" s="9">
        <v>130.0</v>
      </c>
      <c r="C3328" s="9">
        <v>130.0</v>
      </c>
      <c r="D3328" s="9">
        <v>88.0</v>
      </c>
      <c r="E3328" s="9">
        <v>1.0</v>
      </c>
      <c r="F3328" s="14"/>
      <c r="G3328" s="15"/>
      <c r="H3328" s="15"/>
      <c r="I3328" s="14"/>
      <c r="P3328" s="14"/>
    </row>
    <row r="3329" ht="18.75" customHeight="1">
      <c r="A3329" s="7" t="s">
        <v>3676</v>
      </c>
      <c r="B3329" s="9">
        <v>371.0</v>
      </c>
      <c r="C3329" s="9">
        <v>361.0</v>
      </c>
      <c r="D3329" s="9">
        <v>180.0</v>
      </c>
      <c r="E3329" s="9">
        <v>65.0</v>
      </c>
      <c r="F3329" s="14"/>
      <c r="G3329" s="15"/>
      <c r="H3329" s="15"/>
      <c r="I3329" s="14"/>
      <c r="P3329" s="14"/>
    </row>
    <row r="3330" ht="18.75" customHeight="1">
      <c r="A3330" s="7" t="s">
        <v>351</v>
      </c>
      <c r="B3330" s="9">
        <v>41020.0</v>
      </c>
      <c r="C3330" s="9">
        <v>40132.0</v>
      </c>
      <c r="D3330" s="9">
        <v>13693.0</v>
      </c>
      <c r="E3330" s="9">
        <v>243.0</v>
      </c>
      <c r="F3330" s="14"/>
      <c r="G3330" s="15"/>
      <c r="H3330" s="15"/>
      <c r="I3330" s="14"/>
      <c r="P3330" s="14"/>
    </row>
    <row r="3331" ht="18.75" customHeight="1">
      <c r="A3331" s="7" t="s">
        <v>351</v>
      </c>
      <c r="B3331" s="9">
        <v>48000.0</v>
      </c>
      <c r="C3331" s="9">
        <v>47191.0</v>
      </c>
      <c r="D3331" s="9">
        <v>18938.0</v>
      </c>
      <c r="E3331" s="9">
        <v>272.0</v>
      </c>
      <c r="F3331" s="14"/>
      <c r="G3331" s="15"/>
      <c r="H3331" s="15"/>
      <c r="I3331" s="14"/>
      <c r="P3331" s="14"/>
    </row>
    <row r="3332" ht="18.75" customHeight="1">
      <c r="A3332" s="7" t="s">
        <v>351</v>
      </c>
      <c r="B3332" s="9">
        <v>20299.0</v>
      </c>
      <c r="C3332" s="9">
        <v>19947.0</v>
      </c>
      <c r="D3332" s="9">
        <v>8532.0</v>
      </c>
      <c r="E3332" s="9">
        <v>191.0</v>
      </c>
      <c r="F3332" s="14"/>
      <c r="G3332" s="15"/>
      <c r="H3332" s="15"/>
      <c r="I3332" s="14"/>
      <c r="P3332" s="14"/>
    </row>
    <row r="3333" ht="18.75" customHeight="1">
      <c r="A3333" s="7" t="s">
        <v>351</v>
      </c>
      <c r="B3333" s="9">
        <v>61948.0</v>
      </c>
      <c r="C3333" s="9">
        <v>61122.0</v>
      </c>
      <c r="D3333" s="9">
        <v>29597.0</v>
      </c>
      <c r="E3333" s="9">
        <v>806.0</v>
      </c>
      <c r="F3333" s="14"/>
      <c r="G3333" s="15"/>
      <c r="H3333" s="15"/>
      <c r="I3333" s="14"/>
      <c r="P3333" s="14"/>
    </row>
    <row r="3334" ht="18.75" customHeight="1">
      <c r="A3334" s="7" t="s">
        <v>3677</v>
      </c>
      <c r="B3334" s="9">
        <v>137226.0</v>
      </c>
      <c r="C3334" s="9">
        <v>135316.0</v>
      </c>
      <c r="D3334" s="9">
        <v>55047.0</v>
      </c>
      <c r="E3334" s="9">
        <v>1761.0</v>
      </c>
      <c r="F3334" s="14"/>
      <c r="G3334" s="15"/>
      <c r="H3334" s="15"/>
      <c r="I3334" s="14"/>
      <c r="P3334" s="14"/>
    </row>
    <row r="3335" ht="18.75" customHeight="1">
      <c r="A3335" s="7" t="s">
        <v>3656</v>
      </c>
      <c r="B3335" s="9">
        <v>108197.0</v>
      </c>
      <c r="C3335" s="9">
        <v>106393.0</v>
      </c>
      <c r="D3335" s="9">
        <v>17626.0</v>
      </c>
      <c r="E3335" s="9">
        <v>45.0</v>
      </c>
      <c r="F3335" s="14"/>
      <c r="G3335" s="15"/>
      <c r="H3335" s="15"/>
      <c r="I3335" s="14"/>
      <c r="P3335" s="14"/>
    </row>
    <row r="3336" ht="18.75" customHeight="1">
      <c r="A3336" s="7" t="s">
        <v>3656</v>
      </c>
      <c r="B3336" s="9">
        <v>118253.0</v>
      </c>
      <c r="C3336" s="9">
        <v>116300.0</v>
      </c>
      <c r="D3336" s="9">
        <v>20387.0</v>
      </c>
      <c r="E3336" s="9">
        <v>59.0</v>
      </c>
      <c r="F3336" s="14"/>
      <c r="G3336" s="15"/>
      <c r="H3336" s="15"/>
      <c r="I3336" s="14"/>
      <c r="P3336" s="14"/>
    </row>
    <row r="3337" ht="18.75" customHeight="1">
      <c r="A3337" s="7" t="s">
        <v>3656</v>
      </c>
      <c r="B3337" s="9">
        <v>150570.0</v>
      </c>
      <c r="C3337" s="9">
        <v>147892.0</v>
      </c>
      <c r="D3337" s="9">
        <v>26673.0</v>
      </c>
      <c r="E3337" s="9">
        <v>60.0</v>
      </c>
      <c r="F3337" s="14"/>
      <c r="G3337" s="15"/>
      <c r="H3337" s="15"/>
      <c r="I3337" s="14"/>
      <c r="P3337" s="14"/>
    </row>
    <row r="3338" ht="18.75" customHeight="1">
      <c r="A3338" s="7" t="s">
        <v>3656</v>
      </c>
      <c r="B3338" s="9">
        <v>19697.0</v>
      </c>
      <c r="C3338" s="9">
        <v>19626.0</v>
      </c>
      <c r="D3338" s="9">
        <v>10016.0</v>
      </c>
      <c r="E3338" s="9">
        <v>26.0</v>
      </c>
      <c r="F3338" s="14"/>
      <c r="G3338" s="15"/>
      <c r="H3338" s="15"/>
      <c r="I3338" s="14"/>
      <c r="P3338" s="14"/>
    </row>
    <row r="3339" ht="18.75" customHeight="1">
      <c r="A3339" s="7" t="s">
        <v>381</v>
      </c>
      <c r="B3339" s="9">
        <v>20.0</v>
      </c>
      <c r="C3339" s="9">
        <v>20.0</v>
      </c>
      <c r="D3339" s="9">
        <v>5.0</v>
      </c>
      <c r="E3339" s="9">
        <v>0.0</v>
      </c>
      <c r="F3339" s="14"/>
      <c r="G3339" s="15"/>
      <c r="H3339" s="15"/>
      <c r="I3339" s="14"/>
      <c r="P3339" s="14"/>
    </row>
    <row r="3340" ht="18.75" customHeight="1">
      <c r="A3340" s="7" t="s">
        <v>3678</v>
      </c>
      <c r="B3340" s="9">
        <v>4905.0</v>
      </c>
      <c r="C3340" s="9">
        <v>4772.0</v>
      </c>
      <c r="D3340" s="9">
        <v>1281.0</v>
      </c>
      <c r="E3340" s="9">
        <v>86.0</v>
      </c>
      <c r="F3340" s="14"/>
      <c r="G3340" s="15"/>
      <c r="H3340" s="15"/>
      <c r="I3340" s="14"/>
      <c r="P3340" s="14"/>
    </row>
    <row r="3341" ht="18.75" customHeight="1">
      <c r="A3341" s="7" t="s">
        <v>3094</v>
      </c>
      <c r="B3341" s="9">
        <v>1748.0</v>
      </c>
      <c r="C3341" s="9">
        <v>1725.0</v>
      </c>
      <c r="D3341" s="9">
        <v>416.0</v>
      </c>
      <c r="E3341" s="9">
        <v>5.0</v>
      </c>
      <c r="F3341" s="14"/>
      <c r="G3341" s="15"/>
      <c r="H3341" s="15"/>
      <c r="I3341" s="14"/>
      <c r="P3341" s="14"/>
    </row>
    <row r="3342" ht="18.75" customHeight="1">
      <c r="A3342" s="7" t="s">
        <v>3679</v>
      </c>
      <c r="B3342" s="9">
        <v>41519.0</v>
      </c>
      <c r="C3342" s="9">
        <v>40779.0</v>
      </c>
      <c r="D3342" s="9">
        <v>9502.0</v>
      </c>
      <c r="E3342" s="9">
        <v>178.0</v>
      </c>
      <c r="F3342" s="14"/>
      <c r="G3342" s="15"/>
      <c r="H3342" s="15"/>
      <c r="I3342" s="14"/>
      <c r="P3342" s="14"/>
    </row>
    <row r="3343" ht="18.75" customHeight="1">
      <c r="A3343" s="7" t="s">
        <v>3675</v>
      </c>
      <c r="B3343" s="9">
        <v>76.0</v>
      </c>
      <c r="C3343" s="9">
        <v>76.0</v>
      </c>
      <c r="D3343" s="9">
        <v>59.0</v>
      </c>
      <c r="E3343" s="9">
        <v>2.0</v>
      </c>
      <c r="F3343" s="14"/>
      <c r="G3343" s="15"/>
      <c r="H3343" s="15"/>
      <c r="I3343" s="14"/>
      <c r="P3343" s="14"/>
    </row>
    <row r="3344" ht="18.75" customHeight="1">
      <c r="A3344" s="7" t="s">
        <v>3669</v>
      </c>
      <c r="B3344" s="9">
        <v>126.0</v>
      </c>
      <c r="C3344" s="9">
        <v>126.0</v>
      </c>
      <c r="D3344" s="9">
        <v>87.0</v>
      </c>
      <c r="E3344" s="9">
        <v>0.0</v>
      </c>
      <c r="F3344" s="14"/>
      <c r="G3344" s="15"/>
      <c r="H3344" s="15"/>
      <c r="I3344" s="14"/>
      <c r="P3344" s="14"/>
    </row>
    <row r="3345" ht="18.75" customHeight="1">
      <c r="A3345" s="7" t="s">
        <v>3671</v>
      </c>
      <c r="B3345" s="9">
        <v>85.0</v>
      </c>
      <c r="C3345" s="9">
        <v>84.0</v>
      </c>
      <c r="D3345" s="9">
        <v>50.0</v>
      </c>
      <c r="E3345" s="9">
        <v>0.0</v>
      </c>
      <c r="F3345" s="14"/>
      <c r="G3345" s="15"/>
      <c r="H3345" s="15"/>
      <c r="I3345" s="14"/>
      <c r="P3345" s="14"/>
    </row>
    <row r="3346" ht="18.75" customHeight="1">
      <c r="A3346" s="7" t="s">
        <v>3680</v>
      </c>
      <c r="B3346" s="9">
        <v>34589.0</v>
      </c>
      <c r="C3346" s="9">
        <v>34002.0</v>
      </c>
      <c r="D3346" s="9">
        <v>6886.0</v>
      </c>
      <c r="E3346" s="9">
        <v>114.0</v>
      </c>
      <c r="F3346" s="14"/>
      <c r="G3346" s="15"/>
      <c r="H3346" s="15"/>
      <c r="I3346" s="14"/>
      <c r="P3346" s="14"/>
    </row>
    <row r="3347" ht="18.75" customHeight="1">
      <c r="A3347" s="7" t="s">
        <v>2857</v>
      </c>
      <c r="B3347" s="9">
        <v>81751.0</v>
      </c>
      <c r="C3347" s="9">
        <v>80274.0</v>
      </c>
      <c r="D3347" s="9">
        <v>26048.0</v>
      </c>
      <c r="E3347" s="9">
        <v>582.0</v>
      </c>
      <c r="F3347" s="14"/>
      <c r="G3347" s="15"/>
      <c r="H3347" s="15"/>
      <c r="I3347" s="14"/>
      <c r="P3347" s="14"/>
    </row>
    <row r="3348" ht="18.75" customHeight="1">
      <c r="A3348" s="7" t="s">
        <v>3681</v>
      </c>
      <c r="B3348" s="9">
        <v>81461.0</v>
      </c>
      <c r="C3348" s="9">
        <v>79718.0</v>
      </c>
      <c r="D3348" s="9">
        <v>9276.0</v>
      </c>
      <c r="E3348" s="9">
        <v>434.0</v>
      </c>
      <c r="F3348" s="14"/>
      <c r="G3348" s="15"/>
      <c r="H3348" s="15"/>
      <c r="I3348" s="14"/>
      <c r="P3348" s="14"/>
    </row>
    <row r="3349" ht="18.75" customHeight="1">
      <c r="A3349" s="7" t="s">
        <v>3682</v>
      </c>
      <c r="B3349" s="9">
        <v>39915.0</v>
      </c>
      <c r="C3349" s="9">
        <v>39123.0</v>
      </c>
      <c r="D3349" s="9">
        <v>11087.0</v>
      </c>
      <c r="E3349" s="9">
        <v>125.0</v>
      </c>
      <c r="F3349" s="14"/>
      <c r="G3349" s="15"/>
      <c r="H3349" s="15"/>
      <c r="I3349" s="14"/>
      <c r="P3349" s="14"/>
    </row>
    <row r="3350" ht="18.75" customHeight="1">
      <c r="A3350" s="7" t="s">
        <v>3683</v>
      </c>
      <c r="B3350" s="9">
        <v>226997.0</v>
      </c>
      <c r="C3350" s="9">
        <v>226005.0</v>
      </c>
      <c r="D3350" s="9">
        <v>145703.0</v>
      </c>
      <c r="E3350" s="9">
        <v>554.0</v>
      </c>
      <c r="F3350" s="14"/>
      <c r="G3350" s="15"/>
      <c r="H3350" s="15"/>
      <c r="I3350" s="14"/>
      <c r="P3350" s="14"/>
    </row>
    <row r="3351" ht="18.75" customHeight="1">
      <c r="A3351" s="7" t="s">
        <v>3683</v>
      </c>
      <c r="B3351" s="9">
        <v>83800.0</v>
      </c>
      <c r="C3351" s="9">
        <v>82906.0</v>
      </c>
      <c r="D3351" s="9">
        <v>51615.0</v>
      </c>
      <c r="E3351" s="9">
        <v>218.0</v>
      </c>
      <c r="F3351" s="14"/>
      <c r="G3351" s="15"/>
      <c r="H3351" s="15"/>
      <c r="I3351" s="14"/>
      <c r="P3351" s="14"/>
    </row>
    <row r="3352" ht="18.75" customHeight="1">
      <c r="A3352" s="7" t="s">
        <v>3683</v>
      </c>
      <c r="B3352" s="9">
        <v>123372.0</v>
      </c>
      <c r="C3352" s="9">
        <v>120393.0</v>
      </c>
      <c r="D3352" s="9">
        <v>23856.0</v>
      </c>
      <c r="E3352" s="9">
        <v>164.0</v>
      </c>
      <c r="F3352" s="14"/>
      <c r="G3352" s="15"/>
      <c r="H3352" s="15"/>
      <c r="I3352" s="14"/>
      <c r="P3352" s="14"/>
    </row>
    <row r="3353" ht="18.75" customHeight="1">
      <c r="A3353" s="7" t="s">
        <v>3683</v>
      </c>
      <c r="B3353" s="9">
        <v>124816.0</v>
      </c>
      <c r="C3353" s="9">
        <v>122550.0</v>
      </c>
      <c r="D3353" s="9">
        <v>37033.0</v>
      </c>
      <c r="E3353" s="9">
        <v>508.0</v>
      </c>
      <c r="F3353" s="14"/>
      <c r="G3353" s="15"/>
      <c r="H3353" s="15"/>
      <c r="I3353" s="14"/>
      <c r="P3353" s="14"/>
    </row>
    <row r="3354" ht="18.75" customHeight="1">
      <c r="A3354" s="7" t="s">
        <v>3684</v>
      </c>
      <c r="B3354" s="9">
        <v>17257.0</v>
      </c>
      <c r="C3354" s="9">
        <v>16832.0</v>
      </c>
      <c r="D3354" s="9">
        <v>2603.0</v>
      </c>
      <c r="E3354" s="9">
        <v>121.0</v>
      </c>
      <c r="F3354" s="14"/>
      <c r="G3354" s="15"/>
      <c r="H3354" s="15"/>
      <c r="I3354" s="14"/>
      <c r="P3354" s="14"/>
    </row>
    <row r="3355" ht="18.75" customHeight="1">
      <c r="A3355" s="7" t="s">
        <v>3685</v>
      </c>
      <c r="B3355" s="9">
        <v>37771.0</v>
      </c>
      <c r="C3355" s="9">
        <v>36624.0</v>
      </c>
      <c r="D3355" s="9">
        <v>4536.0</v>
      </c>
      <c r="E3355" s="9">
        <v>193.0</v>
      </c>
      <c r="F3355" s="14"/>
      <c r="G3355" s="15"/>
      <c r="H3355" s="15"/>
      <c r="I3355" s="14"/>
      <c r="P3355" s="14"/>
    </row>
    <row r="3356" ht="18.75" customHeight="1">
      <c r="A3356" s="7" t="s">
        <v>3685</v>
      </c>
      <c r="B3356" s="9">
        <v>64158.0</v>
      </c>
      <c r="C3356" s="9">
        <v>63604.0</v>
      </c>
      <c r="D3356" s="9">
        <v>38713.0</v>
      </c>
      <c r="E3356" s="9">
        <v>936.0</v>
      </c>
      <c r="F3356" s="14"/>
      <c r="G3356" s="15"/>
      <c r="H3356" s="15"/>
      <c r="I3356" s="14"/>
      <c r="P3356" s="14"/>
    </row>
    <row r="3357" ht="18.75" customHeight="1">
      <c r="A3357" s="7" t="s">
        <v>3685</v>
      </c>
      <c r="B3357" s="9">
        <v>39077.0</v>
      </c>
      <c r="C3357" s="9">
        <v>38348.0</v>
      </c>
      <c r="D3357" s="9">
        <v>15193.0</v>
      </c>
      <c r="E3357" s="9">
        <v>444.0</v>
      </c>
      <c r="F3357" s="14"/>
      <c r="G3357" s="15"/>
      <c r="H3357" s="15"/>
      <c r="I3357" s="14"/>
      <c r="P3357" s="14"/>
    </row>
    <row r="3358" ht="18.75" customHeight="1">
      <c r="A3358" s="7" t="s">
        <v>3094</v>
      </c>
      <c r="B3358" s="9">
        <v>7672.0</v>
      </c>
      <c r="C3358" s="9">
        <v>7543.0</v>
      </c>
      <c r="D3358" s="9">
        <v>2318.0</v>
      </c>
      <c r="E3358" s="9">
        <v>39.0</v>
      </c>
      <c r="F3358" s="14"/>
      <c r="G3358" s="15"/>
      <c r="H3358" s="15"/>
      <c r="I3358" s="14"/>
      <c r="P3358" s="14"/>
    </row>
    <row r="3359" ht="18.75" customHeight="1">
      <c r="A3359" s="7" t="s">
        <v>3675</v>
      </c>
      <c r="B3359" s="9">
        <v>74.0</v>
      </c>
      <c r="C3359" s="9">
        <v>74.0</v>
      </c>
      <c r="D3359" s="9">
        <v>50.0</v>
      </c>
      <c r="E3359" s="9">
        <v>2.0</v>
      </c>
      <c r="F3359" s="14"/>
      <c r="G3359" s="15"/>
      <c r="H3359" s="15"/>
      <c r="I3359" s="14"/>
      <c r="P3359" s="14"/>
    </row>
    <row r="3360" ht="18.75" customHeight="1">
      <c r="A3360" s="7" t="s">
        <v>3686</v>
      </c>
      <c r="B3360" s="9">
        <v>37426.0</v>
      </c>
      <c r="C3360" s="9">
        <v>36729.0</v>
      </c>
      <c r="D3360" s="9">
        <v>9853.0</v>
      </c>
      <c r="E3360" s="9">
        <v>231.0</v>
      </c>
      <c r="F3360" s="14"/>
      <c r="G3360" s="15"/>
      <c r="H3360" s="15"/>
      <c r="I3360" s="14"/>
      <c r="P3360" s="14"/>
    </row>
    <row r="3361" ht="18.75" customHeight="1">
      <c r="A3361" s="7" t="s">
        <v>3687</v>
      </c>
      <c r="B3361" s="9">
        <v>465.0</v>
      </c>
      <c r="C3361" s="9">
        <v>461.0</v>
      </c>
      <c r="D3361" s="9">
        <v>193.0</v>
      </c>
      <c r="E3361" s="9">
        <v>0.0</v>
      </c>
      <c r="F3361" s="14"/>
      <c r="G3361" s="15"/>
      <c r="H3361" s="15"/>
      <c r="I3361" s="14"/>
      <c r="P3361" s="14"/>
    </row>
    <row r="3362" ht="18.75" customHeight="1">
      <c r="A3362" s="7" t="s">
        <v>362</v>
      </c>
      <c r="B3362" s="9">
        <v>105759.0</v>
      </c>
      <c r="C3362" s="9">
        <v>102343.0</v>
      </c>
      <c r="D3362" s="9">
        <v>6458.0</v>
      </c>
      <c r="E3362" s="9">
        <v>122.0</v>
      </c>
      <c r="F3362" s="14"/>
      <c r="G3362" s="15"/>
      <c r="H3362" s="15"/>
      <c r="I3362" s="14"/>
      <c r="P3362" s="14"/>
    </row>
    <row r="3363" ht="18.75" customHeight="1">
      <c r="A3363" s="7" t="s">
        <v>368</v>
      </c>
      <c r="B3363" s="9">
        <v>166.0</v>
      </c>
      <c r="C3363" s="9">
        <v>162.0</v>
      </c>
      <c r="D3363" s="9">
        <v>58.0</v>
      </c>
      <c r="E3363" s="9">
        <v>6.0</v>
      </c>
      <c r="F3363" s="14"/>
      <c r="G3363" s="15"/>
      <c r="H3363" s="15"/>
      <c r="I3363" s="14"/>
      <c r="P3363" s="14"/>
    </row>
    <row r="3364" ht="18.75" customHeight="1">
      <c r="A3364" s="7" t="s">
        <v>366</v>
      </c>
      <c r="B3364" s="9">
        <v>707.0</v>
      </c>
      <c r="C3364" s="9">
        <v>699.0</v>
      </c>
      <c r="D3364" s="9">
        <v>220.0</v>
      </c>
      <c r="E3364" s="9">
        <v>10.0</v>
      </c>
      <c r="F3364" s="14"/>
      <c r="G3364" s="15"/>
      <c r="H3364" s="15"/>
      <c r="I3364" s="14"/>
      <c r="P3364" s="14"/>
    </row>
    <row r="3365" ht="18.75" customHeight="1">
      <c r="A3365" s="7" t="s">
        <v>366</v>
      </c>
      <c r="B3365" s="9">
        <v>1596.0</v>
      </c>
      <c r="C3365" s="9">
        <v>1552.0</v>
      </c>
      <c r="D3365" s="9">
        <v>482.0</v>
      </c>
      <c r="E3365" s="9">
        <v>22.0</v>
      </c>
      <c r="F3365" s="14"/>
      <c r="G3365" s="15"/>
      <c r="H3365" s="15"/>
      <c r="I3365" s="14"/>
      <c r="P3365" s="14"/>
    </row>
    <row r="3366" ht="18.75" customHeight="1">
      <c r="A3366" s="7" t="s">
        <v>3688</v>
      </c>
      <c r="B3366" s="9">
        <v>127497.0</v>
      </c>
      <c r="C3366" s="9">
        <v>125305.0</v>
      </c>
      <c r="D3366" s="9">
        <v>45274.0</v>
      </c>
      <c r="E3366" s="9">
        <v>710.0</v>
      </c>
      <c r="F3366" s="14"/>
      <c r="G3366" s="15"/>
      <c r="H3366" s="15"/>
      <c r="I3366" s="14"/>
      <c r="P3366" s="14"/>
    </row>
    <row r="3367" ht="18.75" customHeight="1">
      <c r="A3367" s="7" t="s">
        <v>3689</v>
      </c>
      <c r="B3367" s="9">
        <v>41611.0</v>
      </c>
      <c r="C3367" s="9">
        <v>41025.0</v>
      </c>
      <c r="D3367" s="9">
        <v>15261.0</v>
      </c>
      <c r="E3367" s="9">
        <v>459.0</v>
      </c>
      <c r="F3367" s="14"/>
      <c r="G3367" s="15"/>
      <c r="H3367" s="15"/>
      <c r="I3367" s="14"/>
      <c r="P3367" s="14"/>
    </row>
    <row r="3368" ht="18.75" customHeight="1">
      <c r="A3368" s="7" t="s">
        <v>374</v>
      </c>
      <c r="B3368" s="9">
        <v>2072.0</v>
      </c>
      <c r="C3368" s="9">
        <v>2042.0</v>
      </c>
      <c r="D3368" s="9">
        <v>624.0</v>
      </c>
      <c r="E3368" s="9">
        <v>15.0</v>
      </c>
      <c r="F3368" s="14"/>
      <c r="G3368" s="15"/>
      <c r="H3368" s="15"/>
      <c r="I3368" s="14"/>
      <c r="P3368" s="14"/>
    </row>
    <row r="3369" ht="18.75" customHeight="1">
      <c r="A3369" s="7" t="s">
        <v>3690</v>
      </c>
      <c r="B3369" s="9">
        <v>19110.0</v>
      </c>
      <c r="C3369" s="9">
        <v>18750.0</v>
      </c>
      <c r="D3369" s="9">
        <v>7418.0</v>
      </c>
      <c r="E3369" s="9">
        <v>176.0</v>
      </c>
      <c r="F3369" s="14"/>
      <c r="G3369" s="15"/>
      <c r="H3369" s="15"/>
      <c r="I3369" s="14"/>
      <c r="P3369" s="14"/>
    </row>
    <row r="3370" ht="18.75" customHeight="1">
      <c r="A3370" s="7" t="s">
        <v>3691</v>
      </c>
      <c r="B3370" s="9">
        <v>494.0</v>
      </c>
      <c r="C3370" s="9">
        <v>491.0</v>
      </c>
      <c r="D3370" s="9">
        <v>187.0</v>
      </c>
      <c r="E3370" s="9">
        <v>21.0</v>
      </c>
      <c r="F3370" s="14"/>
      <c r="G3370" s="15"/>
      <c r="H3370" s="15"/>
      <c r="I3370" s="14"/>
      <c r="P3370" s="14"/>
    </row>
    <row r="3371" ht="18.75" customHeight="1">
      <c r="A3371" s="7" t="s">
        <v>372</v>
      </c>
      <c r="B3371" s="9">
        <v>1446.0</v>
      </c>
      <c r="C3371" s="9">
        <v>1424.0</v>
      </c>
      <c r="D3371" s="9">
        <v>442.0</v>
      </c>
      <c r="E3371" s="9">
        <v>25.0</v>
      </c>
      <c r="F3371" s="14"/>
      <c r="G3371" s="15"/>
      <c r="H3371" s="15"/>
      <c r="I3371" s="14"/>
      <c r="P3371" s="14"/>
    </row>
    <row r="3372" ht="18.75" customHeight="1">
      <c r="A3372" s="7" t="s">
        <v>360</v>
      </c>
      <c r="B3372" s="9">
        <v>19910.0</v>
      </c>
      <c r="C3372" s="9">
        <v>19543.0</v>
      </c>
      <c r="D3372" s="9">
        <v>5804.0</v>
      </c>
      <c r="E3372" s="9">
        <v>43.0</v>
      </c>
      <c r="F3372" s="14"/>
      <c r="G3372" s="15"/>
      <c r="H3372" s="15"/>
      <c r="I3372" s="14"/>
      <c r="P3372" s="14"/>
    </row>
    <row r="3373" ht="18.75" customHeight="1">
      <c r="A3373" s="7" t="s">
        <v>3692</v>
      </c>
      <c r="B3373" s="9">
        <v>23952.0</v>
      </c>
      <c r="C3373" s="9">
        <v>23509.0</v>
      </c>
      <c r="D3373" s="9">
        <v>4324.0</v>
      </c>
      <c r="E3373" s="9">
        <v>127.0</v>
      </c>
      <c r="F3373" s="14"/>
      <c r="G3373" s="15"/>
      <c r="H3373" s="15"/>
      <c r="I3373" s="14"/>
      <c r="P3373" s="14"/>
    </row>
    <row r="3374" ht="18.75" customHeight="1">
      <c r="A3374" s="7" t="s">
        <v>3679</v>
      </c>
      <c r="B3374" s="9">
        <v>96.0</v>
      </c>
      <c r="C3374" s="9">
        <v>95.0</v>
      </c>
      <c r="D3374" s="9">
        <v>52.0</v>
      </c>
      <c r="E3374" s="9">
        <v>1.0</v>
      </c>
      <c r="F3374" s="14"/>
      <c r="G3374" s="15"/>
      <c r="H3374" s="15"/>
      <c r="I3374" s="14"/>
      <c r="P3374" s="14"/>
    </row>
    <row r="3375" ht="18.75" customHeight="1">
      <c r="A3375" s="7" t="s">
        <v>3693</v>
      </c>
      <c r="B3375" s="9">
        <v>21867.0</v>
      </c>
      <c r="C3375" s="9">
        <v>21487.0</v>
      </c>
      <c r="D3375" s="9">
        <v>4201.0</v>
      </c>
      <c r="E3375" s="9">
        <v>221.0</v>
      </c>
      <c r="F3375" s="14"/>
      <c r="G3375" s="15"/>
      <c r="H3375" s="15"/>
      <c r="I3375" s="14"/>
      <c r="P3375" s="14"/>
    </row>
    <row r="3376" ht="18.75" customHeight="1">
      <c r="A3376" s="7" t="s">
        <v>3694</v>
      </c>
      <c r="B3376" s="9">
        <v>18377.0</v>
      </c>
      <c r="C3376" s="9">
        <v>18028.0</v>
      </c>
      <c r="D3376" s="9">
        <v>2419.0</v>
      </c>
      <c r="E3376" s="9">
        <v>153.0</v>
      </c>
      <c r="F3376" s="14"/>
      <c r="G3376" s="15"/>
      <c r="H3376" s="15"/>
      <c r="I3376" s="14"/>
      <c r="P3376" s="14"/>
    </row>
    <row r="3377" ht="18.75" customHeight="1">
      <c r="A3377" s="7" t="s">
        <v>3695</v>
      </c>
      <c r="B3377" s="9">
        <v>37672.0</v>
      </c>
      <c r="C3377" s="9">
        <v>37559.0</v>
      </c>
      <c r="D3377" s="9">
        <v>22196.0</v>
      </c>
      <c r="E3377" s="9">
        <v>247.0</v>
      </c>
      <c r="F3377" s="14"/>
      <c r="G3377" s="15"/>
      <c r="H3377" s="15"/>
      <c r="I3377" s="14"/>
      <c r="P3377" s="14"/>
    </row>
    <row r="3378" ht="18.75" customHeight="1">
      <c r="A3378" s="7" t="s">
        <v>3696</v>
      </c>
      <c r="B3378" s="9">
        <v>71941.0</v>
      </c>
      <c r="C3378" s="9">
        <v>70705.0</v>
      </c>
      <c r="D3378" s="9">
        <v>15815.0</v>
      </c>
      <c r="E3378" s="9">
        <v>255.0</v>
      </c>
      <c r="F3378" s="14"/>
      <c r="G3378" s="15"/>
      <c r="H3378" s="15"/>
      <c r="I3378" s="14"/>
      <c r="P3378" s="14"/>
    </row>
    <row r="3379" ht="18.75" customHeight="1">
      <c r="A3379" s="7" t="s">
        <v>3697</v>
      </c>
      <c r="B3379" s="9">
        <v>29003.0</v>
      </c>
      <c r="C3379" s="9">
        <v>28449.0</v>
      </c>
      <c r="D3379" s="9">
        <v>6038.0</v>
      </c>
      <c r="E3379" s="9">
        <v>145.0</v>
      </c>
      <c r="F3379" s="14"/>
      <c r="G3379" s="15"/>
      <c r="H3379" s="15"/>
      <c r="I3379" s="14"/>
      <c r="P3379" s="14"/>
    </row>
    <row r="3380" ht="18.75" customHeight="1">
      <c r="A3380" s="7" t="s">
        <v>3698</v>
      </c>
      <c r="B3380" s="9">
        <v>77539.0</v>
      </c>
      <c r="C3380" s="9">
        <v>76126.0</v>
      </c>
      <c r="D3380" s="9">
        <v>13038.0</v>
      </c>
      <c r="E3380" s="9">
        <v>207.0</v>
      </c>
      <c r="F3380" s="14"/>
      <c r="G3380" s="15"/>
      <c r="H3380" s="15"/>
      <c r="I3380" s="14"/>
      <c r="P3380" s="14"/>
    </row>
    <row r="3381" ht="18.75" customHeight="1">
      <c r="A3381" s="7" t="s">
        <v>3669</v>
      </c>
      <c r="B3381" s="9">
        <v>126.0</v>
      </c>
      <c r="C3381" s="9">
        <v>126.0</v>
      </c>
      <c r="D3381" s="9">
        <v>57.0</v>
      </c>
      <c r="E3381" s="9">
        <v>1.0</v>
      </c>
      <c r="F3381" s="14"/>
      <c r="G3381" s="15"/>
      <c r="H3381" s="15"/>
      <c r="I3381" s="14"/>
      <c r="P3381" s="14"/>
    </row>
    <row r="3382" ht="18.75" customHeight="1">
      <c r="A3382" s="7" t="s">
        <v>3699</v>
      </c>
      <c r="B3382" s="9">
        <v>67199.0</v>
      </c>
      <c r="C3382" s="9">
        <v>66061.0</v>
      </c>
      <c r="D3382" s="9">
        <v>12186.0</v>
      </c>
      <c r="E3382" s="9">
        <v>179.0</v>
      </c>
      <c r="F3382" s="14"/>
      <c r="G3382" s="15"/>
      <c r="H3382" s="15"/>
      <c r="I3382" s="14"/>
      <c r="P3382" s="14"/>
    </row>
    <row r="3383" ht="18.75" customHeight="1">
      <c r="A3383" s="7" t="s">
        <v>3700</v>
      </c>
      <c r="B3383" s="9">
        <v>75928.0</v>
      </c>
      <c r="C3383" s="9">
        <v>74266.0</v>
      </c>
      <c r="D3383" s="9">
        <v>17000.0</v>
      </c>
      <c r="E3383" s="9">
        <v>115.0</v>
      </c>
      <c r="F3383" s="14"/>
      <c r="G3383" s="15"/>
      <c r="H3383" s="15"/>
      <c r="I3383" s="14"/>
      <c r="P3383" s="14"/>
    </row>
    <row r="3384" ht="18.75" customHeight="1">
      <c r="A3384" s="7" t="s">
        <v>3701</v>
      </c>
      <c r="B3384" s="9">
        <v>106616.0</v>
      </c>
      <c r="C3384" s="9">
        <v>104654.0</v>
      </c>
      <c r="D3384" s="9">
        <v>38064.0</v>
      </c>
      <c r="E3384" s="9">
        <v>878.0</v>
      </c>
      <c r="F3384" s="14"/>
      <c r="G3384" s="15"/>
      <c r="H3384" s="15"/>
      <c r="I3384" s="14"/>
      <c r="P3384" s="14"/>
    </row>
    <row r="3385" ht="18.75" customHeight="1">
      <c r="A3385" s="7" t="s">
        <v>3702</v>
      </c>
      <c r="B3385" s="9">
        <v>101750.0</v>
      </c>
      <c r="C3385" s="9">
        <v>100340.0</v>
      </c>
      <c r="D3385" s="9">
        <v>49256.0</v>
      </c>
      <c r="E3385" s="9">
        <v>388.0</v>
      </c>
      <c r="F3385" s="14"/>
      <c r="G3385" s="15"/>
      <c r="H3385" s="15"/>
      <c r="I3385" s="14"/>
      <c r="P3385" s="14"/>
    </row>
    <row r="3386" ht="18.75" customHeight="1">
      <c r="A3386" s="7" t="s">
        <v>3703</v>
      </c>
      <c r="B3386" s="9">
        <v>75850.0</v>
      </c>
      <c r="C3386" s="9">
        <v>74179.0</v>
      </c>
      <c r="D3386" s="9">
        <v>11699.0</v>
      </c>
      <c r="E3386" s="9">
        <v>232.0</v>
      </c>
      <c r="F3386" s="14"/>
      <c r="G3386" s="15"/>
      <c r="H3386" s="15"/>
      <c r="I3386" s="14"/>
      <c r="P3386" s="14"/>
    </row>
    <row r="3387" ht="18.75" customHeight="1">
      <c r="A3387" s="7" t="s">
        <v>3694</v>
      </c>
      <c r="B3387" s="9">
        <v>162.0</v>
      </c>
      <c r="C3387" s="9">
        <v>160.0</v>
      </c>
      <c r="D3387" s="9">
        <v>93.0</v>
      </c>
      <c r="E3387" s="9">
        <v>1.0</v>
      </c>
      <c r="F3387" s="14"/>
      <c r="G3387" s="15"/>
      <c r="H3387" s="15"/>
      <c r="I3387" s="14"/>
      <c r="P3387" s="14"/>
    </row>
    <row r="3388" ht="18.75" customHeight="1">
      <c r="A3388" s="7" t="s">
        <v>3658</v>
      </c>
      <c r="B3388" s="9">
        <v>147.0</v>
      </c>
      <c r="C3388" s="9">
        <v>146.0</v>
      </c>
      <c r="D3388" s="9">
        <v>74.0</v>
      </c>
      <c r="E3388" s="9">
        <v>1.0</v>
      </c>
      <c r="F3388" s="14"/>
      <c r="G3388" s="15"/>
      <c r="H3388" s="15"/>
      <c r="I3388" s="14"/>
      <c r="P3388" s="14"/>
    </row>
    <row r="3389" ht="18.75" customHeight="1">
      <c r="A3389" s="7" t="s">
        <v>3704</v>
      </c>
      <c r="B3389" s="9">
        <v>54274.0</v>
      </c>
      <c r="C3389" s="9">
        <v>53278.0</v>
      </c>
      <c r="D3389" s="9">
        <v>14795.0</v>
      </c>
      <c r="E3389" s="9">
        <v>263.0</v>
      </c>
      <c r="F3389" s="14"/>
      <c r="G3389" s="15"/>
      <c r="H3389" s="15"/>
      <c r="I3389" s="14"/>
      <c r="P3389" s="14"/>
    </row>
    <row r="3390" ht="18.75" customHeight="1">
      <c r="A3390" s="7" t="s">
        <v>3705</v>
      </c>
      <c r="B3390" s="9">
        <v>14251.0</v>
      </c>
      <c r="C3390" s="9">
        <v>13979.0</v>
      </c>
      <c r="D3390" s="9">
        <v>4575.0</v>
      </c>
      <c r="E3390" s="9">
        <v>182.0</v>
      </c>
      <c r="F3390" s="14"/>
      <c r="G3390" s="15"/>
      <c r="H3390" s="15"/>
      <c r="I3390" s="14"/>
      <c r="P3390" s="14"/>
    </row>
    <row r="3391" ht="18.75" customHeight="1">
      <c r="A3391" s="7" t="s">
        <v>3706</v>
      </c>
      <c r="B3391" s="9">
        <v>27370.0</v>
      </c>
      <c r="C3391" s="9">
        <v>26897.0</v>
      </c>
      <c r="D3391" s="9">
        <v>8857.0</v>
      </c>
      <c r="E3391" s="9">
        <v>156.0</v>
      </c>
      <c r="F3391" s="14"/>
      <c r="G3391" s="15"/>
      <c r="H3391" s="15"/>
      <c r="I3391" s="14"/>
      <c r="P3391" s="14"/>
    </row>
    <row r="3392" ht="18.75" customHeight="1">
      <c r="A3392" s="7" t="s">
        <v>3707</v>
      </c>
      <c r="B3392" s="9">
        <v>21669.0</v>
      </c>
      <c r="C3392" s="9">
        <v>21250.0</v>
      </c>
      <c r="D3392" s="9">
        <v>5502.0</v>
      </c>
      <c r="E3392" s="9">
        <v>124.0</v>
      </c>
      <c r="F3392" s="14"/>
      <c r="G3392" s="15"/>
      <c r="H3392" s="15"/>
      <c r="I3392" s="14"/>
      <c r="P3392" s="14"/>
    </row>
    <row r="3393" ht="18.75" customHeight="1">
      <c r="A3393" s="7" t="s">
        <v>3661</v>
      </c>
      <c r="B3393" s="9">
        <v>51.0</v>
      </c>
      <c r="C3393" s="9">
        <v>51.0</v>
      </c>
      <c r="D3393" s="9">
        <v>21.0</v>
      </c>
      <c r="E3393" s="9">
        <v>1.0</v>
      </c>
      <c r="F3393" s="14"/>
      <c r="G3393" s="15"/>
      <c r="H3393" s="15"/>
      <c r="I3393" s="14"/>
      <c r="P3393" s="14"/>
    </row>
    <row r="3394" ht="18.75" customHeight="1">
      <c r="A3394" s="7" t="s">
        <v>3708</v>
      </c>
      <c r="B3394" s="9">
        <v>15544.0</v>
      </c>
      <c r="C3394" s="9">
        <v>15297.0</v>
      </c>
      <c r="D3394" s="9">
        <v>2896.0</v>
      </c>
      <c r="E3394" s="9">
        <v>66.0</v>
      </c>
      <c r="F3394" s="14"/>
      <c r="G3394" s="15"/>
      <c r="H3394" s="15"/>
      <c r="I3394" s="14"/>
      <c r="P3394" s="14"/>
    </row>
    <row r="3395" ht="18.75" customHeight="1">
      <c r="A3395" s="7" t="s">
        <v>3679</v>
      </c>
      <c r="B3395" s="9">
        <v>74.0</v>
      </c>
      <c r="C3395" s="9">
        <v>74.0</v>
      </c>
      <c r="D3395" s="9">
        <v>43.0</v>
      </c>
      <c r="E3395" s="9">
        <v>0.0</v>
      </c>
      <c r="F3395" s="14"/>
      <c r="G3395" s="15"/>
      <c r="H3395" s="15"/>
      <c r="I3395" s="14"/>
      <c r="P3395" s="14"/>
    </row>
    <row r="3396" ht="18.75" customHeight="1">
      <c r="A3396" s="7" t="s">
        <v>3654</v>
      </c>
      <c r="B3396" s="9">
        <v>4857.0</v>
      </c>
      <c r="C3396" s="9">
        <v>4867.0</v>
      </c>
      <c r="D3396" s="9">
        <v>3846.0</v>
      </c>
      <c r="E3396" s="9">
        <v>7.0</v>
      </c>
      <c r="F3396" s="14"/>
      <c r="G3396" s="15"/>
      <c r="H3396" s="15"/>
      <c r="I3396" s="14"/>
      <c r="P3396" s="14"/>
    </row>
    <row r="3397" ht="18.75" customHeight="1">
      <c r="A3397" s="7" t="s">
        <v>3654</v>
      </c>
      <c r="B3397" s="9">
        <v>145.0</v>
      </c>
      <c r="C3397" s="9">
        <v>144.0</v>
      </c>
      <c r="D3397" s="9">
        <v>96.0</v>
      </c>
      <c r="E3397" s="9">
        <v>0.0</v>
      </c>
      <c r="F3397" s="14"/>
      <c r="G3397" s="15"/>
      <c r="H3397" s="15"/>
      <c r="I3397" s="14"/>
      <c r="P3397" s="14"/>
    </row>
    <row r="3398" ht="18.75" customHeight="1">
      <c r="A3398" s="7" t="s">
        <v>3631</v>
      </c>
      <c r="B3398" s="9">
        <v>15576.0</v>
      </c>
      <c r="C3398" s="9">
        <v>15297.0</v>
      </c>
      <c r="D3398" s="9">
        <v>5002.0</v>
      </c>
      <c r="E3398" s="9">
        <v>12.0</v>
      </c>
      <c r="F3398" s="14"/>
      <c r="G3398" s="15"/>
      <c r="H3398" s="15"/>
      <c r="I3398" s="14"/>
      <c r="P3398" s="14"/>
    </row>
    <row r="3399" ht="18.75" customHeight="1">
      <c r="A3399" s="7" t="s">
        <v>3631</v>
      </c>
      <c r="B3399" s="9">
        <v>126.0</v>
      </c>
      <c r="C3399" s="9">
        <v>125.0</v>
      </c>
      <c r="D3399" s="9">
        <v>80.0</v>
      </c>
      <c r="E3399" s="9">
        <v>0.0</v>
      </c>
      <c r="F3399" s="14"/>
      <c r="G3399" s="15"/>
      <c r="H3399" s="15"/>
      <c r="I3399" s="14"/>
      <c r="P3399" s="14"/>
    </row>
    <row r="3400" ht="18.75" customHeight="1">
      <c r="A3400" s="7" t="s">
        <v>3693</v>
      </c>
      <c r="B3400" s="9">
        <v>131.0</v>
      </c>
      <c r="C3400" s="9">
        <v>131.0</v>
      </c>
      <c r="D3400" s="9">
        <v>86.0</v>
      </c>
      <c r="E3400" s="9">
        <v>2.0</v>
      </c>
      <c r="F3400" s="14"/>
      <c r="G3400" s="15"/>
      <c r="H3400" s="15"/>
      <c r="I3400" s="14"/>
      <c r="P3400" s="14"/>
    </row>
    <row r="3401" ht="18.75" customHeight="1">
      <c r="A3401" s="7" t="s">
        <v>3695</v>
      </c>
      <c r="B3401" s="9">
        <v>132.0</v>
      </c>
      <c r="C3401" s="9">
        <v>132.0</v>
      </c>
      <c r="D3401" s="9">
        <v>81.0</v>
      </c>
      <c r="E3401" s="9">
        <v>1.0</v>
      </c>
      <c r="F3401" s="14"/>
      <c r="G3401" s="15"/>
      <c r="H3401" s="15"/>
      <c r="I3401" s="14"/>
      <c r="P3401" s="14"/>
    </row>
    <row r="3402" ht="18.75" customHeight="1">
      <c r="A3402" s="7" t="s">
        <v>3675</v>
      </c>
      <c r="B3402" s="9">
        <v>74.0</v>
      </c>
      <c r="C3402" s="9">
        <v>74.0</v>
      </c>
      <c r="D3402" s="9">
        <v>39.0</v>
      </c>
      <c r="E3402" s="9">
        <v>1.0</v>
      </c>
      <c r="F3402" s="14"/>
      <c r="G3402" s="15"/>
      <c r="H3402" s="15"/>
      <c r="I3402" s="14"/>
      <c r="P3402" s="14"/>
    </row>
    <row r="3403" ht="18.75" customHeight="1">
      <c r="A3403" s="7" t="s">
        <v>3697</v>
      </c>
      <c r="B3403" s="9">
        <v>79.0</v>
      </c>
      <c r="C3403" s="9">
        <v>79.0</v>
      </c>
      <c r="D3403" s="9">
        <v>48.0</v>
      </c>
      <c r="E3403" s="9">
        <v>0.0</v>
      </c>
      <c r="F3403" s="14"/>
      <c r="G3403" s="15"/>
      <c r="H3403" s="15"/>
      <c r="I3403" s="14"/>
      <c r="P3403" s="14"/>
    </row>
    <row r="3404" ht="18.75" customHeight="1">
      <c r="A3404" s="7" t="s">
        <v>3663</v>
      </c>
      <c r="B3404" s="9">
        <v>89.0</v>
      </c>
      <c r="C3404" s="9">
        <v>89.0</v>
      </c>
      <c r="D3404" s="9">
        <v>41.0</v>
      </c>
      <c r="E3404" s="9">
        <v>3.0</v>
      </c>
      <c r="F3404" s="14"/>
      <c r="G3404" s="15"/>
      <c r="H3404" s="15"/>
      <c r="I3404" s="14"/>
      <c r="P3404" s="14"/>
    </row>
    <row r="3405" ht="18.75" customHeight="1">
      <c r="A3405" s="7" t="s">
        <v>3670</v>
      </c>
      <c r="B3405" s="9">
        <v>70.0</v>
      </c>
      <c r="C3405" s="9">
        <v>69.0</v>
      </c>
      <c r="D3405" s="9">
        <v>40.0</v>
      </c>
      <c r="E3405" s="9">
        <v>0.0</v>
      </c>
      <c r="F3405" s="14"/>
      <c r="G3405" s="15"/>
      <c r="H3405" s="15"/>
      <c r="I3405" s="14"/>
      <c r="P3405" s="14"/>
    </row>
    <row r="3406" ht="18.75" customHeight="1">
      <c r="A3406" s="7" t="s">
        <v>3671</v>
      </c>
      <c r="B3406" s="9">
        <v>91.0</v>
      </c>
      <c r="C3406" s="9">
        <v>89.0</v>
      </c>
      <c r="D3406" s="9">
        <v>47.0</v>
      </c>
      <c r="E3406" s="9">
        <v>2.0</v>
      </c>
      <c r="F3406" s="14"/>
      <c r="G3406" s="15"/>
      <c r="H3406" s="15"/>
      <c r="I3406" s="14"/>
      <c r="P3406" s="14"/>
    </row>
    <row r="3407" ht="18.75" customHeight="1">
      <c r="A3407" s="7" t="s">
        <v>3664</v>
      </c>
      <c r="B3407" s="9">
        <v>197.0</v>
      </c>
      <c r="C3407" s="9">
        <v>197.0</v>
      </c>
      <c r="D3407" s="9">
        <v>109.0</v>
      </c>
      <c r="E3407" s="9">
        <v>6.0</v>
      </c>
      <c r="F3407" s="14"/>
      <c r="G3407" s="15"/>
      <c r="H3407" s="15"/>
      <c r="I3407" s="14"/>
      <c r="P3407" s="14"/>
    </row>
    <row r="3408" ht="18.75" customHeight="1">
      <c r="A3408" s="7" t="s">
        <v>3637</v>
      </c>
      <c r="B3408" s="9">
        <v>90.0</v>
      </c>
      <c r="C3408" s="9">
        <v>88.0</v>
      </c>
      <c r="D3408" s="9">
        <v>35.0</v>
      </c>
      <c r="E3408" s="9">
        <v>2.0</v>
      </c>
      <c r="F3408" s="14"/>
      <c r="G3408" s="15"/>
      <c r="H3408" s="15"/>
      <c r="I3408" s="14"/>
      <c r="P3408" s="14"/>
    </row>
    <row r="3409" ht="18.75" customHeight="1">
      <c r="A3409" s="7" t="s">
        <v>3709</v>
      </c>
      <c r="B3409" s="9">
        <v>36841.0</v>
      </c>
      <c r="C3409" s="9">
        <v>36213.0</v>
      </c>
      <c r="D3409" s="9">
        <v>10142.0</v>
      </c>
      <c r="E3409" s="9">
        <v>240.0</v>
      </c>
      <c r="F3409" s="14"/>
      <c r="G3409" s="15"/>
      <c r="H3409" s="15"/>
      <c r="I3409" s="14"/>
      <c r="P3409" s="14"/>
    </row>
    <row r="3410" ht="18.75" customHeight="1">
      <c r="A3410" s="7" t="s">
        <v>2857</v>
      </c>
      <c r="B3410" s="9">
        <v>52288.0</v>
      </c>
      <c r="C3410" s="9">
        <v>51335.0</v>
      </c>
      <c r="D3410" s="9">
        <v>14359.0</v>
      </c>
      <c r="E3410" s="9">
        <v>409.0</v>
      </c>
      <c r="F3410" s="14"/>
      <c r="G3410" s="15"/>
      <c r="H3410" s="15"/>
      <c r="I3410" s="14"/>
      <c r="P3410" s="14"/>
    </row>
    <row r="3411" ht="18.75" customHeight="1">
      <c r="A3411" s="7" t="s">
        <v>3710</v>
      </c>
      <c r="B3411" s="9">
        <v>147840.0</v>
      </c>
      <c r="C3411" s="9">
        <v>145191.0</v>
      </c>
      <c r="D3411" s="9">
        <v>39284.0</v>
      </c>
      <c r="E3411" s="9">
        <v>61.0</v>
      </c>
      <c r="F3411" s="14"/>
      <c r="G3411" s="15"/>
      <c r="H3411" s="15"/>
      <c r="I3411" s="14"/>
      <c r="P3411" s="14"/>
    </row>
    <row r="3412" ht="18.75" customHeight="1">
      <c r="A3412" s="7" t="s">
        <v>3711</v>
      </c>
      <c r="B3412" s="9">
        <v>74442.0</v>
      </c>
      <c r="C3412" s="9">
        <v>72916.0</v>
      </c>
      <c r="D3412" s="9">
        <v>11398.0</v>
      </c>
      <c r="E3412" s="9">
        <v>16.0</v>
      </c>
      <c r="F3412" s="14"/>
      <c r="G3412" s="15"/>
      <c r="H3412" s="15"/>
      <c r="I3412" s="14"/>
      <c r="P3412" s="14"/>
    </row>
    <row r="3413" ht="18.75" customHeight="1">
      <c r="A3413" s="7" t="s">
        <v>3712</v>
      </c>
      <c r="B3413" s="9">
        <v>83908.0</v>
      </c>
      <c r="C3413" s="9">
        <v>82710.0</v>
      </c>
      <c r="D3413" s="9">
        <v>30744.0</v>
      </c>
      <c r="E3413" s="9">
        <v>348.0</v>
      </c>
      <c r="F3413" s="14"/>
      <c r="G3413" s="15"/>
      <c r="H3413" s="15"/>
      <c r="I3413" s="14"/>
      <c r="P3413" s="14"/>
    </row>
    <row r="3414" ht="18.75" customHeight="1">
      <c r="A3414" s="7" t="s">
        <v>3713</v>
      </c>
      <c r="B3414" s="9">
        <v>83253.0</v>
      </c>
      <c r="C3414" s="9">
        <v>81710.0</v>
      </c>
      <c r="D3414" s="9">
        <v>32093.0</v>
      </c>
      <c r="E3414" s="9">
        <v>267.0</v>
      </c>
      <c r="F3414" s="14"/>
      <c r="G3414" s="15"/>
      <c r="H3414" s="15"/>
      <c r="I3414" s="14"/>
      <c r="P3414" s="14"/>
    </row>
    <row r="3415" ht="18.75" customHeight="1">
      <c r="A3415" s="7" t="s">
        <v>3713</v>
      </c>
      <c r="B3415" s="9">
        <v>206203.0</v>
      </c>
      <c r="C3415" s="9">
        <v>203003.0</v>
      </c>
      <c r="D3415" s="9">
        <v>67914.0</v>
      </c>
      <c r="E3415" s="9">
        <v>468.0</v>
      </c>
      <c r="F3415" s="14"/>
      <c r="G3415" s="15"/>
      <c r="H3415" s="15"/>
      <c r="I3415" s="14"/>
      <c r="P3415" s="14"/>
    </row>
    <row r="3416" ht="18.75" customHeight="1">
      <c r="A3416" s="7" t="s">
        <v>3713</v>
      </c>
      <c r="B3416" s="9">
        <v>11171.0</v>
      </c>
      <c r="C3416" s="9">
        <v>10958.0</v>
      </c>
      <c r="D3416" s="9">
        <v>3079.0</v>
      </c>
      <c r="E3416" s="9">
        <v>16.0</v>
      </c>
      <c r="F3416" s="14"/>
      <c r="G3416" s="15"/>
      <c r="H3416" s="15"/>
      <c r="I3416" s="14"/>
      <c r="P3416" s="14"/>
    </row>
    <row r="3417" ht="18.75" customHeight="1">
      <c r="A3417" s="7" t="s">
        <v>3673</v>
      </c>
      <c r="B3417" s="9">
        <v>38170.0</v>
      </c>
      <c r="C3417" s="9">
        <v>37090.0</v>
      </c>
      <c r="D3417" s="9">
        <v>3160.0</v>
      </c>
      <c r="E3417" s="9">
        <v>126.0</v>
      </c>
      <c r="F3417" s="14"/>
      <c r="G3417" s="15"/>
      <c r="H3417" s="15"/>
      <c r="I3417" s="14"/>
      <c r="P3417" s="14"/>
    </row>
    <row r="3418" ht="18.75" customHeight="1">
      <c r="A3418" s="7" t="s">
        <v>3673</v>
      </c>
      <c r="B3418" s="9">
        <v>27793.0</v>
      </c>
      <c r="C3418" s="9">
        <v>27252.0</v>
      </c>
      <c r="D3418" s="9">
        <v>6408.0</v>
      </c>
      <c r="E3418" s="9">
        <v>216.0</v>
      </c>
      <c r="F3418" s="14"/>
      <c r="G3418" s="15"/>
      <c r="H3418" s="15"/>
      <c r="I3418" s="14"/>
      <c r="P3418" s="14"/>
    </row>
    <row r="3419" ht="18.75" customHeight="1">
      <c r="A3419" s="7" t="s">
        <v>402</v>
      </c>
      <c r="B3419" s="9">
        <v>101555.0</v>
      </c>
      <c r="C3419" s="9">
        <v>99335.0</v>
      </c>
      <c r="D3419" s="9">
        <v>29889.0</v>
      </c>
      <c r="E3419" s="9">
        <v>747.0</v>
      </c>
      <c r="F3419" s="14"/>
      <c r="G3419" s="15"/>
      <c r="H3419" s="15"/>
      <c r="I3419" s="14"/>
      <c r="P3419" s="14"/>
    </row>
    <row r="3420" ht="18.75" customHeight="1">
      <c r="A3420" s="7" t="s">
        <v>402</v>
      </c>
      <c r="B3420" s="9">
        <v>98663.0</v>
      </c>
      <c r="C3420" s="9">
        <v>97111.0</v>
      </c>
      <c r="D3420" s="9">
        <v>32684.0</v>
      </c>
      <c r="E3420" s="9">
        <v>2859.0</v>
      </c>
      <c r="F3420" s="14"/>
      <c r="G3420" s="15"/>
      <c r="H3420" s="15"/>
      <c r="I3420" s="14"/>
      <c r="P3420" s="14"/>
    </row>
    <row r="3421" ht="18.75" customHeight="1">
      <c r="A3421" s="7" t="s">
        <v>385</v>
      </c>
      <c r="B3421" s="9">
        <v>5303.0</v>
      </c>
      <c r="C3421" s="9">
        <v>5196.0</v>
      </c>
      <c r="D3421" s="9">
        <v>2154.0</v>
      </c>
      <c r="E3421" s="9">
        <v>56.0</v>
      </c>
      <c r="F3421" s="14"/>
      <c r="G3421" s="15"/>
      <c r="H3421" s="15"/>
      <c r="I3421" s="14"/>
      <c r="P3421" s="14"/>
    </row>
    <row r="3422" ht="18.75" customHeight="1">
      <c r="A3422" s="7" t="s">
        <v>3658</v>
      </c>
      <c r="B3422" s="9">
        <v>125.0</v>
      </c>
      <c r="C3422" s="9">
        <v>125.0</v>
      </c>
      <c r="D3422" s="9">
        <v>79.0</v>
      </c>
      <c r="E3422" s="9">
        <v>1.0</v>
      </c>
      <c r="F3422" s="14"/>
      <c r="G3422" s="15"/>
      <c r="H3422" s="15"/>
      <c r="I3422" s="14"/>
      <c r="P3422" s="14"/>
    </row>
    <row r="3423" ht="18.75" customHeight="1">
      <c r="A3423" s="7" t="s">
        <v>3662</v>
      </c>
      <c r="B3423" s="9">
        <v>2179.0</v>
      </c>
      <c r="C3423" s="9">
        <v>2174.0</v>
      </c>
      <c r="D3423" s="9">
        <v>1502.0</v>
      </c>
      <c r="E3423" s="9">
        <v>5.0</v>
      </c>
      <c r="F3423" s="14"/>
      <c r="G3423" s="15"/>
      <c r="H3423" s="15"/>
      <c r="I3423" s="14"/>
      <c r="P3423" s="14"/>
    </row>
    <row r="3424" ht="18.75" customHeight="1">
      <c r="A3424" s="7" t="s">
        <v>3662</v>
      </c>
      <c r="B3424" s="9">
        <v>135.0</v>
      </c>
      <c r="C3424" s="9">
        <v>134.0</v>
      </c>
      <c r="D3424" s="9">
        <v>69.0</v>
      </c>
      <c r="E3424" s="9">
        <v>2.0</v>
      </c>
      <c r="F3424" s="14"/>
      <c r="G3424" s="15"/>
      <c r="H3424" s="15"/>
      <c r="I3424" s="14"/>
      <c r="P3424" s="14"/>
    </row>
    <row r="3425" ht="18.75" customHeight="1">
      <c r="A3425" s="7" t="s">
        <v>3714</v>
      </c>
      <c r="B3425" s="9">
        <v>6344.0</v>
      </c>
      <c r="C3425" s="9">
        <v>6217.0</v>
      </c>
      <c r="D3425" s="9">
        <v>989.0</v>
      </c>
      <c r="E3425" s="9">
        <v>57.0</v>
      </c>
      <c r="F3425" s="14"/>
      <c r="G3425" s="15"/>
      <c r="H3425" s="15"/>
      <c r="I3425" s="14"/>
      <c r="P3425" s="14"/>
    </row>
    <row r="3426" ht="18.75" customHeight="1">
      <c r="A3426" s="7" t="s">
        <v>3632</v>
      </c>
      <c r="B3426" s="9">
        <v>13686.0</v>
      </c>
      <c r="C3426" s="9">
        <v>13663.0</v>
      </c>
      <c r="D3426" s="9">
        <v>10251.0</v>
      </c>
      <c r="E3426" s="9">
        <v>18.0</v>
      </c>
      <c r="F3426" s="14"/>
      <c r="G3426" s="15"/>
      <c r="H3426" s="15"/>
      <c r="I3426" s="14"/>
      <c r="P3426" s="14"/>
    </row>
    <row r="3427" ht="18.75" customHeight="1">
      <c r="A3427" s="7" t="s">
        <v>3632</v>
      </c>
      <c r="B3427" s="9">
        <v>290.0</v>
      </c>
      <c r="C3427" s="9">
        <v>287.0</v>
      </c>
      <c r="D3427" s="9">
        <v>172.0</v>
      </c>
      <c r="E3427" s="9">
        <v>2.0</v>
      </c>
      <c r="F3427" s="14"/>
      <c r="G3427" s="15"/>
      <c r="H3427" s="15"/>
      <c r="I3427" s="14"/>
      <c r="P3427" s="14"/>
    </row>
    <row r="3428" ht="18.75" customHeight="1">
      <c r="A3428" s="7" t="s">
        <v>3696</v>
      </c>
      <c r="B3428" s="9">
        <v>119.0</v>
      </c>
      <c r="C3428" s="9">
        <v>118.0</v>
      </c>
      <c r="D3428" s="9">
        <v>62.0</v>
      </c>
      <c r="E3428" s="9">
        <v>1.0</v>
      </c>
      <c r="F3428" s="14"/>
      <c r="G3428" s="15"/>
      <c r="H3428" s="15"/>
      <c r="I3428" s="14"/>
      <c r="P3428" s="14"/>
    </row>
    <row r="3429" ht="18.75" customHeight="1">
      <c r="A3429" s="7" t="s">
        <v>3698</v>
      </c>
      <c r="B3429" s="9">
        <v>132.0</v>
      </c>
      <c r="C3429" s="9">
        <v>132.0</v>
      </c>
      <c r="D3429" s="9">
        <v>70.0</v>
      </c>
      <c r="E3429" s="9">
        <v>0.0</v>
      </c>
      <c r="F3429" s="14"/>
      <c r="G3429" s="15"/>
      <c r="H3429" s="15"/>
      <c r="I3429" s="14"/>
      <c r="P3429" s="14"/>
    </row>
    <row r="3430" ht="18.75" customHeight="1">
      <c r="A3430" s="7" t="s">
        <v>3715</v>
      </c>
      <c r="B3430" s="9">
        <v>67094.0</v>
      </c>
      <c r="C3430" s="9">
        <v>65999.0</v>
      </c>
      <c r="D3430" s="9">
        <v>10057.0</v>
      </c>
      <c r="E3430" s="9">
        <v>230.0</v>
      </c>
      <c r="F3430" s="14"/>
      <c r="G3430" s="15"/>
      <c r="H3430" s="15"/>
      <c r="I3430" s="14"/>
      <c r="P3430" s="14"/>
    </row>
    <row r="3431" ht="18.75" customHeight="1">
      <c r="A3431" s="7" t="s">
        <v>3699</v>
      </c>
      <c r="B3431" s="9">
        <v>112.0</v>
      </c>
      <c r="C3431" s="9">
        <v>111.0</v>
      </c>
      <c r="D3431" s="9">
        <v>63.0</v>
      </c>
      <c r="E3431" s="9">
        <v>3.0</v>
      </c>
      <c r="F3431" s="14"/>
      <c r="G3431" s="15"/>
      <c r="H3431" s="15"/>
      <c r="I3431" s="14"/>
      <c r="P3431" s="14"/>
    </row>
    <row r="3432" ht="18.75" customHeight="1">
      <c r="A3432" s="7" t="s">
        <v>3703</v>
      </c>
      <c r="B3432" s="9">
        <v>169.0</v>
      </c>
      <c r="C3432" s="9">
        <v>168.0</v>
      </c>
      <c r="D3432" s="9">
        <v>103.0</v>
      </c>
      <c r="E3432" s="9">
        <v>1.0</v>
      </c>
      <c r="F3432" s="14"/>
      <c r="G3432" s="15"/>
      <c r="H3432" s="15"/>
      <c r="I3432" s="14"/>
      <c r="P3432" s="14"/>
    </row>
    <row r="3433" ht="18.75" customHeight="1">
      <c r="A3433" s="7" t="s">
        <v>3713</v>
      </c>
      <c r="B3433" s="9">
        <v>47475.0</v>
      </c>
      <c r="C3433" s="9">
        <v>46463.0</v>
      </c>
      <c r="D3433" s="9">
        <v>9619.0</v>
      </c>
      <c r="E3433" s="9">
        <v>124.0</v>
      </c>
      <c r="F3433" s="14"/>
      <c r="G3433" s="15"/>
      <c r="H3433" s="15"/>
      <c r="I3433" s="14"/>
      <c r="P3433" s="14"/>
    </row>
    <row r="3434" ht="18.75" customHeight="1">
      <c r="A3434" s="7" t="s">
        <v>3713</v>
      </c>
      <c r="B3434" s="9">
        <v>31547.0</v>
      </c>
      <c r="C3434" s="9">
        <v>30974.0</v>
      </c>
      <c r="D3434" s="9">
        <v>7323.0</v>
      </c>
      <c r="E3434" s="9">
        <v>121.0</v>
      </c>
      <c r="F3434" s="14"/>
      <c r="G3434" s="15"/>
      <c r="H3434" s="15"/>
      <c r="I3434" s="14"/>
      <c r="P3434" s="14"/>
    </row>
    <row r="3435" ht="18.75" customHeight="1">
      <c r="A3435" s="7" t="s">
        <v>3713</v>
      </c>
      <c r="B3435" s="9">
        <v>24008.0</v>
      </c>
      <c r="C3435" s="9">
        <v>23568.0</v>
      </c>
      <c r="D3435" s="9">
        <v>5961.0</v>
      </c>
      <c r="E3435" s="9">
        <v>43.0</v>
      </c>
      <c r="F3435" s="14"/>
      <c r="G3435" s="15"/>
      <c r="H3435" s="15"/>
      <c r="I3435" s="14"/>
      <c r="P3435" s="14"/>
    </row>
    <row r="3436" ht="18.75" customHeight="1">
      <c r="A3436" s="7" t="s">
        <v>3713</v>
      </c>
      <c r="B3436" s="9">
        <v>14408.0</v>
      </c>
      <c r="C3436" s="9">
        <v>14136.0</v>
      </c>
      <c r="D3436" s="9">
        <v>4419.0</v>
      </c>
      <c r="E3436" s="9">
        <v>90.0</v>
      </c>
      <c r="F3436" s="14"/>
      <c r="G3436" s="15"/>
      <c r="H3436" s="15"/>
      <c r="I3436" s="14"/>
      <c r="P3436" s="14"/>
    </row>
    <row r="3437" ht="18.75" customHeight="1">
      <c r="A3437" s="7" t="s">
        <v>3713</v>
      </c>
      <c r="B3437" s="9">
        <v>126007.0</v>
      </c>
      <c r="C3437" s="9">
        <v>123472.0</v>
      </c>
      <c r="D3437" s="9">
        <v>39151.0</v>
      </c>
      <c r="E3437" s="9">
        <v>656.0</v>
      </c>
      <c r="F3437" s="14"/>
      <c r="G3437" s="15"/>
      <c r="H3437" s="15"/>
      <c r="I3437" s="14"/>
      <c r="P3437" s="14"/>
    </row>
    <row r="3438" ht="18.75" customHeight="1">
      <c r="A3438" s="7" t="s">
        <v>3713</v>
      </c>
      <c r="B3438" s="9">
        <v>92723.0</v>
      </c>
      <c r="C3438" s="9">
        <v>90593.0</v>
      </c>
      <c r="D3438" s="9">
        <v>25993.0</v>
      </c>
      <c r="E3438" s="9">
        <v>97.0</v>
      </c>
      <c r="F3438" s="14"/>
      <c r="G3438" s="15"/>
      <c r="H3438" s="15"/>
      <c r="I3438" s="14"/>
      <c r="P3438" s="14"/>
    </row>
    <row r="3439" ht="18.75" customHeight="1">
      <c r="A3439" s="7" t="s">
        <v>3716</v>
      </c>
      <c r="B3439" s="9">
        <v>18605.0</v>
      </c>
      <c r="C3439" s="9">
        <v>18275.0</v>
      </c>
      <c r="D3439" s="9">
        <v>5691.0</v>
      </c>
      <c r="E3439" s="9">
        <v>828.0</v>
      </c>
      <c r="F3439" s="14"/>
      <c r="G3439" s="15"/>
      <c r="H3439" s="15"/>
      <c r="I3439" s="14"/>
      <c r="P3439" s="14"/>
    </row>
    <row r="3440" ht="18.75" customHeight="1">
      <c r="A3440" s="7" t="s">
        <v>402</v>
      </c>
      <c r="B3440" s="9">
        <v>157103.0</v>
      </c>
      <c r="C3440" s="9">
        <v>154190.0</v>
      </c>
      <c r="D3440" s="9">
        <v>40979.0</v>
      </c>
      <c r="E3440" s="9">
        <v>940.0</v>
      </c>
      <c r="F3440" s="14"/>
      <c r="G3440" s="15"/>
      <c r="H3440" s="15"/>
      <c r="I3440" s="14"/>
      <c r="P3440" s="14"/>
    </row>
    <row r="3441" ht="18.75" customHeight="1">
      <c r="A3441" s="7" t="s">
        <v>3717</v>
      </c>
      <c r="B3441" s="9">
        <v>22582.0</v>
      </c>
      <c r="C3441" s="9">
        <v>22317.0</v>
      </c>
      <c r="D3441" s="9">
        <v>7656.0</v>
      </c>
      <c r="E3441" s="9">
        <v>229.0</v>
      </c>
      <c r="F3441" s="14"/>
      <c r="G3441" s="15"/>
      <c r="H3441" s="15"/>
      <c r="I3441" s="14"/>
      <c r="P3441" s="14"/>
    </row>
    <row r="3442" ht="18.75" customHeight="1">
      <c r="A3442" s="7" t="s">
        <v>3718</v>
      </c>
      <c r="B3442" s="9">
        <v>25769.0</v>
      </c>
      <c r="C3442" s="9">
        <v>25309.0</v>
      </c>
      <c r="D3442" s="9">
        <v>8974.0</v>
      </c>
      <c r="E3442" s="9">
        <v>248.0</v>
      </c>
      <c r="F3442" s="14"/>
      <c r="G3442" s="15"/>
      <c r="H3442" s="15"/>
      <c r="I3442" s="14"/>
      <c r="P3442" s="14"/>
    </row>
    <row r="3443" ht="18.75" customHeight="1">
      <c r="A3443" s="7" t="s">
        <v>3719</v>
      </c>
      <c r="B3443" s="9">
        <v>96920.0</v>
      </c>
      <c r="C3443" s="9">
        <v>94586.0</v>
      </c>
      <c r="D3443" s="9">
        <v>26235.0</v>
      </c>
      <c r="E3443" s="9">
        <v>394.0</v>
      </c>
      <c r="F3443" s="14"/>
      <c r="G3443" s="15"/>
      <c r="H3443" s="15"/>
      <c r="I3443" s="14"/>
      <c r="P3443" s="14"/>
    </row>
    <row r="3444" ht="18.75" customHeight="1">
      <c r="A3444" s="7" t="s">
        <v>3719</v>
      </c>
      <c r="B3444" s="9">
        <v>67280.0</v>
      </c>
      <c r="C3444" s="9">
        <v>65876.0</v>
      </c>
      <c r="D3444" s="9">
        <v>23062.0</v>
      </c>
      <c r="E3444" s="9">
        <v>747.0</v>
      </c>
      <c r="F3444" s="14"/>
      <c r="G3444" s="15"/>
      <c r="H3444" s="15"/>
      <c r="I3444" s="14"/>
      <c r="P3444" s="14"/>
    </row>
    <row r="3445" ht="18.75" customHeight="1">
      <c r="A3445" s="7" t="s">
        <v>385</v>
      </c>
      <c r="B3445" s="9">
        <v>24910.0</v>
      </c>
      <c r="C3445" s="9">
        <v>24449.0</v>
      </c>
      <c r="D3445" s="9">
        <v>9334.0</v>
      </c>
      <c r="E3445" s="9">
        <v>239.0</v>
      </c>
      <c r="F3445" s="14"/>
      <c r="G3445" s="15"/>
      <c r="H3445" s="15"/>
      <c r="I3445" s="14"/>
      <c r="P3445" s="14"/>
    </row>
    <row r="3446" ht="18.75" customHeight="1">
      <c r="A3446" s="7" t="s">
        <v>3094</v>
      </c>
      <c r="B3446" s="9">
        <v>19207.0</v>
      </c>
      <c r="C3446" s="9">
        <v>18887.0</v>
      </c>
      <c r="D3446" s="9">
        <v>4336.0</v>
      </c>
      <c r="E3446" s="9">
        <v>91.0</v>
      </c>
      <c r="F3446" s="14"/>
      <c r="G3446" s="15"/>
      <c r="H3446" s="15"/>
      <c r="I3446" s="14"/>
      <c r="P3446" s="14"/>
    </row>
    <row r="3447" ht="18.75" customHeight="1">
      <c r="A3447" s="7" t="s">
        <v>3692</v>
      </c>
      <c r="B3447" s="9">
        <v>89.0</v>
      </c>
      <c r="C3447" s="9">
        <v>89.0</v>
      </c>
      <c r="D3447" s="9">
        <v>53.0</v>
      </c>
      <c r="E3447" s="9">
        <v>0.0</v>
      </c>
      <c r="F3447" s="14"/>
      <c r="G3447" s="15"/>
      <c r="H3447" s="15"/>
      <c r="I3447" s="14"/>
      <c r="P3447" s="14"/>
    </row>
    <row r="3448" ht="18.75" customHeight="1">
      <c r="A3448" s="7" t="s">
        <v>3714</v>
      </c>
      <c r="B3448" s="9">
        <v>126.0</v>
      </c>
      <c r="C3448" s="9">
        <v>124.0</v>
      </c>
      <c r="D3448" s="9">
        <v>72.0</v>
      </c>
      <c r="E3448" s="9">
        <v>1.0</v>
      </c>
      <c r="F3448" s="14"/>
      <c r="G3448" s="15"/>
      <c r="H3448" s="15"/>
      <c r="I3448" s="14"/>
      <c r="P3448" s="14"/>
    </row>
    <row r="3449" ht="18.75" customHeight="1">
      <c r="A3449" s="7" t="s">
        <v>3720</v>
      </c>
      <c r="B3449" s="9">
        <v>71742.0</v>
      </c>
      <c r="C3449" s="9">
        <v>70513.0</v>
      </c>
      <c r="D3449" s="9">
        <v>12155.0</v>
      </c>
      <c r="E3449" s="9">
        <v>579.0</v>
      </c>
      <c r="F3449" s="14"/>
      <c r="G3449" s="15"/>
      <c r="H3449" s="15"/>
      <c r="I3449" s="14"/>
      <c r="P3449" s="14"/>
    </row>
    <row r="3450" ht="18.75" customHeight="1">
      <c r="A3450" s="7" t="s">
        <v>3695</v>
      </c>
      <c r="B3450" s="9">
        <v>154.0</v>
      </c>
      <c r="C3450" s="9">
        <v>153.0</v>
      </c>
      <c r="D3450" s="9">
        <v>91.0</v>
      </c>
      <c r="E3450" s="9">
        <v>2.0</v>
      </c>
      <c r="F3450" s="14"/>
      <c r="G3450" s="15"/>
      <c r="H3450" s="15"/>
      <c r="I3450" s="14"/>
      <c r="P3450" s="14"/>
    </row>
    <row r="3451" ht="18.75" customHeight="1">
      <c r="A3451" s="7" t="s">
        <v>3713</v>
      </c>
      <c r="B3451" s="9">
        <v>32614.0</v>
      </c>
      <c r="C3451" s="9">
        <v>32014.0</v>
      </c>
      <c r="D3451" s="9">
        <v>9023.0</v>
      </c>
      <c r="E3451" s="9">
        <v>73.0</v>
      </c>
      <c r="F3451" s="14"/>
      <c r="G3451" s="15"/>
      <c r="H3451" s="15"/>
      <c r="I3451" s="14"/>
      <c r="P3451" s="14"/>
    </row>
    <row r="3452" ht="18.75" customHeight="1">
      <c r="A3452" s="7" t="s">
        <v>3713</v>
      </c>
      <c r="B3452" s="9">
        <v>78054.0</v>
      </c>
      <c r="C3452" s="9">
        <v>76696.0</v>
      </c>
      <c r="D3452" s="9">
        <v>26446.0</v>
      </c>
      <c r="E3452" s="9">
        <v>957.0</v>
      </c>
      <c r="F3452" s="14"/>
      <c r="G3452" s="15"/>
      <c r="H3452" s="15"/>
      <c r="I3452" s="14"/>
      <c r="P3452" s="14"/>
    </row>
    <row r="3453" ht="18.75" customHeight="1">
      <c r="A3453" s="7" t="s">
        <v>3713</v>
      </c>
      <c r="B3453" s="9">
        <v>32410.0</v>
      </c>
      <c r="C3453" s="9">
        <v>31826.0</v>
      </c>
      <c r="D3453" s="9">
        <v>9872.0</v>
      </c>
      <c r="E3453" s="9">
        <v>283.0</v>
      </c>
      <c r="F3453" s="14"/>
      <c r="G3453" s="15"/>
      <c r="H3453" s="15"/>
      <c r="I3453" s="14"/>
      <c r="P3453" s="14"/>
    </row>
    <row r="3454" ht="18.75" customHeight="1">
      <c r="A3454" s="7" t="s">
        <v>362</v>
      </c>
      <c r="B3454" s="9">
        <v>52495.0</v>
      </c>
      <c r="C3454" s="9">
        <v>51597.0</v>
      </c>
      <c r="D3454" s="9">
        <v>19118.0</v>
      </c>
      <c r="E3454" s="9">
        <v>1321.0</v>
      </c>
      <c r="F3454" s="14"/>
      <c r="G3454" s="15"/>
      <c r="H3454" s="15"/>
      <c r="I3454" s="14"/>
      <c r="P3454" s="14"/>
    </row>
    <row r="3455" ht="18.75" customHeight="1">
      <c r="A3455" s="7" t="s">
        <v>362</v>
      </c>
      <c r="B3455" s="9">
        <v>66258.0</v>
      </c>
      <c r="C3455" s="9">
        <v>65030.0</v>
      </c>
      <c r="D3455" s="9">
        <v>19707.0</v>
      </c>
      <c r="E3455" s="9">
        <v>1218.0</v>
      </c>
      <c r="F3455" s="14"/>
      <c r="G3455" s="15"/>
      <c r="H3455" s="15"/>
      <c r="I3455" s="14"/>
      <c r="P3455" s="14"/>
    </row>
    <row r="3456" ht="18.75" customHeight="1">
      <c r="A3456" s="7" t="s">
        <v>3721</v>
      </c>
      <c r="B3456" s="9">
        <v>27267.0</v>
      </c>
      <c r="C3456" s="9">
        <v>26813.0</v>
      </c>
      <c r="D3456" s="9">
        <v>9150.0</v>
      </c>
      <c r="E3456" s="9">
        <v>388.0</v>
      </c>
      <c r="F3456" s="14"/>
      <c r="G3456" s="15"/>
      <c r="H3456" s="15"/>
      <c r="I3456" s="14"/>
      <c r="P3456" s="14"/>
    </row>
    <row r="3457" ht="18.75" customHeight="1">
      <c r="A3457" s="7" t="s">
        <v>3011</v>
      </c>
      <c r="B3457" s="9">
        <v>93471.0</v>
      </c>
      <c r="C3457" s="9">
        <v>92123.0</v>
      </c>
      <c r="D3457" s="9">
        <v>32977.0</v>
      </c>
      <c r="E3457" s="9">
        <v>2103.0</v>
      </c>
      <c r="F3457" s="14"/>
      <c r="G3457" s="15"/>
      <c r="H3457" s="15"/>
      <c r="I3457" s="14"/>
      <c r="P3457" s="14"/>
    </row>
    <row r="3458" ht="18.75" customHeight="1">
      <c r="A3458" s="7" t="s">
        <v>366</v>
      </c>
      <c r="B3458" s="9">
        <v>30.0</v>
      </c>
      <c r="C3458" s="9">
        <v>30.0</v>
      </c>
      <c r="D3458" s="9">
        <v>13.0</v>
      </c>
      <c r="E3458" s="9">
        <v>1.0</v>
      </c>
      <c r="F3458" s="14"/>
      <c r="G3458" s="15"/>
      <c r="H3458" s="15"/>
      <c r="I3458" s="14"/>
      <c r="P3458" s="14"/>
    </row>
    <row r="3459" ht="18.75" customHeight="1">
      <c r="A3459" s="7" t="s">
        <v>366</v>
      </c>
      <c r="B3459" s="9">
        <v>1169.0</v>
      </c>
      <c r="C3459" s="9">
        <v>1148.0</v>
      </c>
      <c r="D3459" s="9">
        <v>395.0</v>
      </c>
      <c r="E3459" s="9">
        <v>21.0</v>
      </c>
      <c r="F3459" s="14"/>
      <c r="G3459" s="15"/>
      <c r="H3459" s="15"/>
      <c r="I3459" s="14"/>
      <c r="P3459" s="14"/>
    </row>
    <row r="3460" ht="18.75" customHeight="1">
      <c r="A3460" s="7" t="s">
        <v>402</v>
      </c>
      <c r="B3460" s="9">
        <v>173175.0</v>
      </c>
      <c r="C3460" s="9">
        <v>169835.0</v>
      </c>
      <c r="D3460" s="9">
        <v>58332.0</v>
      </c>
      <c r="E3460" s="9">
        <v>5081.0</v>
      </c>
      <c r="F3460" s="14"/>
      <c r="G3460" s="15"/>
      <c r="H3460" s="15"/>
      <c r="I3460" s="14"/>
      <c r="P3460" s="14"/>
    </row>
    <row r="3461" ht="18.75" customHeight="1">
      <c r="A3461" s="7" t="s">
        <v>372</v>
      </c>
      <c r="B3461" s="9">
        <v>1425.0</v>
      </c>
      <c r="C3461" s="9">
        <v>1388.0</v>
      </c>
      <c r="D3461" s="9">
        <v>372.0</v>
      </c>
      <c r="E3461" s="9">
        <v>19.0</v>
      </c>
      <c r="F3461" s="14"/>
      <c r="G3461" s="15"/>
      <c r="H3461" s="15"/>
      <c r="I3461" s="14"/>
      <c r="P3461" s="14"/>
    </row>
    <row r="3462" ht="18.75" customHeight="1">
      <c r="A3462" s="7" t="s">
        <v>3719</v>
      </c>
      <c r="B3462" s="9">
        <v>62411.0</v>
      </c>
      <c r="C3462" s="9">
        <v>61266.0</v>
      </c>
      <c r="D3462" s="9">
        <v>23265.0</v>
      </c>
      <c r="E3462" s="9">
        <v>395.0</v>
      </c>
      <c r="F3462" s="14"/>
      <c r="G3462" s="15"/>
      <c r="H3462" s="15"/>
      <c r="I3462" s="14"/>
      <c r="P3462" s="14"/>
    </row>
    <row r="3463" ht="18.75" customHeight="1">
      <c r="A3463" s="7" t="s">
        <v>3719</v>
      </c>
      <c r="B3463" s="9">
        <v>48730.0</v>
      </c>
      <c r="C3463" s="9">
        <v>47885.0</v>
      </c>
      <c r="D3463" s="9">
        <v>16219.0</v>
      </c>
      <c r="E3463" s="9">
        <v>401.0</v>
      </c>
      <c r="F3463" s="14"/>
      <c r="G3463" s="15"/>
      <c r="H3463" s="15"/>
      <c r="I3463" s="14"/>
      <c r="P3463" s="14"/>
    </row>
    <row r="3464" ht="18.75" customHeight="1">
      <c r="A3464" s="7" t="s">
        <v>385</v>
      </c>
      <c r="B3464" s="9">
        <v>21514.0</v>
      </c>
      <c r="C3464" s="9">
        <v>21093.0</v>
      </c>
      <c r="D3464" s="9">
        <v>6894.0</v>
      </c>
      <c r="E3464" s="9">
        <v>165.0</v>
      </c>
      <c r="F3464" s="14"/>
      <c r="G3464" s="15"/>
      <c r="H3464" s="15"/>
      <c r="I3464" s="14"/>
      <c r="P3464" s="14"/>
    </row>
    <row r="3465" ht="18.75" customHeight="1">
      <c r="A3465" s="7" t="s">
        <v>360</v>
      </c>
      <c r="B3465" s="9">
        <v>20060.0</v>
      </c>
      <c r="C3465" s="9">
        <v>19666.0</v>
      </c>
      <c r="D3465" s="9">
        <v>5124.0</v>
      </c>
      <c r="E3465" s="9">
        <v>35.0</v>
      </c>
      <c r="F3465" s="14"/>
      <c r="G3465" s="15"/>
      <c r="H3465" s="15"/>
      <c r="I3465" s="14"/>
      <c r="P3465" s="14"/>
    </row>
    <row r="3466" ht="18.75" customHeight="1">
      <c r="A3466" s="7" t="s">
        <v>3094</v>
      </c>
      <c r="B3466" s="9">
        <v>47888.0</v>
      </c>
      <c r="C3466" s="9">
        <v>47102.0</v>
      </c>
      <c r="D3466" s="9">
        <v>12904.0</v>
      </c>
      <c r="E3466" s="9">
        <v>190.0</v>
      </c>
      <c r="F3466" s="14"/>
      <c r="G3466" s="15"/>
      <c r="H3466" s="15"/>
      <c r="I3466" s="14"/>
      <c r="P3466" s="14"/>
    </row>
    <row r="3467" ht="18.75" customHeight="1">
      <c r="A3467" s="7" t="s">
        <v>3722</v>
      </c>
      <c r="B3467" s="9">
        <v>72891.0</v>
      </c>
      <c r="C3467" s="9">
        <v>71522.0</v>
      </c>
      <c r="D3467" s="9">
        <v>14909.0</v>
      </c>
      <c r="E3467" s="9">
        <v>281.0</v>
      </c>
      <c r="F3467" s="14"/>
      <c r="G3467" s="15"/>
      <c r="H3467" s="15"/>
      <c r="I3467" s="14"/>
      <c r="P3467" s="14"/>
    </row>
    <row r="3468" ht="18.75" customHeight="1">
      <c r="A3468" s="7" t="s">
        <v>3708</v>
      </c>
      <c r="B3468" s="9">
        <v>61.0</v>
      </c>
      <c r="C3468" s="9">
        <v>60.0</v>
      </c>
      <c r="D3468" s="9">
        <v>24.0</v>
      </c>
      <c r="E3468" s="9">
        <v>1.0</v>
      </c>
      <c r="F3468" s="14"/>
      <c r="G3468" s="15"/>
      <c r="H3468" s="15"/>
      <c r="I3468" s="14"/>
      <c r="P3468" s="14"/>
    </row>
    <row r="3469" ht="18.75" customHeight="1">
      <c r="A3469" s="7" t="s">
        <v>414</v>
      </c>
      <c r="B3469" s="9">
        <v>24929.0</v>
      </c>
      <c r="C3469" s="9">
        <v>24794.0</v>
      </c>
      <c r="D3469" s="9">
        <v>4961.0</v>
      </c>
      <c r="E3469" s="9">
        <v>328.0</v>
      </c>
      <c r="F3469" s="14"/>
      <c r="G3469" s="15"/>
      <c r="H3469" s="15"/>
      <c r="I3469" s="14"/>
      <c r="P3469" s="14"/>
    </row>
    <row r="3470" ht="18.75" customHeight="1">
      <c r="A3470" s="7" t="s">
        <v>3723</v>
      </c>
      <c r="B3470" s="9">
        <v>71935.0</v>
      </c>
      <c r="C3470" s="9">
        <v>70719.0</v>
      </c>
      <c r="D3470" s="9">
        <v>12490.0</v>
      </c>
      <c r="E3470" s="9">
        <v>209.0</v>
      </c>
      <c r="F3470" s="14"/>
      <c r="G3470" s="15"/>
      <c r="H3470" s="15"/>
      <c r="I3470" s="14"/>
      <c r="P3470" s="14"/>
    </row>
    <row r="3471" ht="18.75" customHeight="1">
      <c r="A3471" s="7" t="s">
        <v>3699</v>
      </c>
      <c r="B3471" s="9">
        <v>111.0</v>
      </c>
      <c r="C3471" s="9">
        <v>110.0</v>
      </c>
      <c r="D3471" s="9">
        <v>61.0</v>
      </c>
      <c r="E3471" s="9">
        <v>3.0</v>
      </c>
      <c r="F3471" s="14"/>
      <c r="G3471" s="15"/>
      <c r="H3471" s="15"/>
      <c r="I3471" s="14"/>
      <c r="P3471" s="14"/>
    </row>
    <row r="3472" ht="18.75" customHeight="1">
      <c r="A3472" s="7" t="s">
        <v>3724</v>
      </c>
      <c r="B3472" s="9">
        <v>54629.0</v>
      </c>
      <c r="C3472" s="9">
        <v>53595.0</v>
      </c>
      <c r="D3472" s="9">
        <v>13967.0</v>
      </c>
      <c r="E3472" s="9">
        <v>189.0</v>
      </c>
      <c r="F3472" s="14"/>
      <c r="G3472" s="15"/>
      <c r="H3472" s="15"/>
      <c r="I3472" s="14"/>
      <c r="P3472" s="14"/>
    </row>
    <row r="3473" ht="18.75" customHeight="1">
      <c r="A3473" s="7" t="s">
        <v>3703</v>
      </c>
      <c r="B3473" s="9">
        <v>168.0</v>
      </c>
      <c r="C3473" s="9">
        <v>167.0</v>
      </c>
      <c r="D3473" s="9">
        <v>67.0</v>
      </c>
      <c r="E3473" s="9">
        <v>3.0</v>
      </c>
      <c r="F3473" s="14"/>
      <c r="G3473" s="15"/>
      <c r="H3473" s="15"/>
      <c r="I3473" s="14"/>
      <c r="P3473" s="14"/>
    </row>
    <row r="3474" ht="18.75" customHeight="1">
      <c r="A3474" s="7" t="s">
        <v>3725</v>
      </c>
      <c r="B3474" s="9">
        <v>12791.0</v>
      </c>
      <c r="C3474" s="9">
        <v>12492.0</v>
      </c>
      <c r="D3474" s="9">
        <v>1975.0</v>
      </c>
      <c r="E3474" s="9">
        <v>32.0</v>
      </c>
      <c r="F3474" s="14"/>
      <c r="G3474" s="15"/>
      <c r="H3474" s="15"/>
      <c r="I3474" s="14"/>
      <c r="P3474" s="14"/>
    </row>
    <row r="3475" ht="18.75" customHeight="1">
      <c r="A3475" s="7" t="s">
        <v>3726</v>
      </c>
      <c r="B3475" s="9">
        <v>32652.0</v>
      </c>
      <c r="C3475" s="9">
        <v>32067.0</v>
      </c>
      <c r="D3475" s="9">
        <v>12554.0</v>
      </c>
      <c r="E3475" s="9">
        <v>184.0</v>
      </c>
      <c r="F3475" s="14"/>
      <c r="G3475" s="15"/>
      <c r="H3475" s="15"/>
      <c r="I3475" s="14"/>
      <c r="P3475" s="14"/>
    </row>
    <row r="3476" ht="18.75" customHeight="1">
      <c r="A3476" s="7" t="s">
        <v>3726</v>
      </c>
      <c r="B3476" s="9">
        <v>32652.0</v>
      </c>
      <c r="C3476" s="9">
        <v>32049.0</v>
      </c>
      <c r="D3476" s="9">
        <v>12375.0</v>
      </c>
      <c r="E3476" s="9">
        <v>164.0</v>
      </c>
      <c r="F3476" s="14"/>
      <c r="G3476" s="15"/>
      <c r="H3476" s="15"/>
      <c r="I3476" s="14"/>
      <c r="P3476" s="14"/>
    </row>
    <row r="3477" ht="18.75" customHeight="1">
      <c r="A3477" s="7" t="s">
        <v>351</v>
      </c>
      <c r="B3477" s="9">
        <v>50.0</v>
      </c>
      <c r="C3477" s="9">
        <v>44.0</v>
      </c>
      <c r="D3477" s="9">
        <v>20.0</v>
      </c>
      <c r="E3477" s="9">
        <v>4.0</v>
      </c>
      <c r="F3477" s="14"/>
      <c r="G3477" s="15"/>
      <c r="H3477" s="15"/>
      <c r="I3477" s="14"/>
      <c r="P3477" s="14"/>
    </row>
    <row r="3478" ht="18.75" customHeight="1">
      <c r="A3478" s="7" t="s">
        <v>3094</v>
      </c>
      <c r="B3478" s="9">
        <v>15249.0</v>
      </c>
      <c r="C3478" s="9">
        <v>14939.0</v>
      </c>
      <c r="D3478" s="9">
        <v>3713.0</v>
      </c>
      <c r="E3478" s="9">
        <v>62.0</v>
      </c>
      <c r="F3478" s="14"/>
      <c r="G3478" s="15"/>
      <c r="H3478" s="15"/>
      <c r="I3478" s="14"/>
      <c r="P3478" s="14"/>
    </row>
    <row r="3479" ht="18.75" customHeight="1">
      <c r="A3479" s="7" t="s">
        <v>414</v>
      </c>
      <c r="B3479" s="9">
        <v>169.0</v>
      </c>
      <c r="C3479" s="9">
        <v>169.0</v>
      </c>
      <c r="D3479" s="9">
        <v>126.0</v>
      </c>
      <c r="E3479" s="9">
        <v>1.0</v>
      </c>
      <c r="F3479" s="14"/>
      <c r="G3479" s="15"/>
      <c r="H3479" s="15"/>
      <c r="I3479" s="14"/>
      <c r="P3479" s="14"/>
    </row>
    <row r="3480" ht="18.75" customHeight="1">
      <c r="A3480" s="7" t="s">
        <v>3715</v>
      </c>
      <c r="B3480" s="9">
        <v>122.0</v>
      </c>
      <c r="C3480" s="9">
        <v>120.0</v>
      </c>
      <c r="D3480" s="9">
        <v>86.0</v>
      </c>
      <c r="E3480" s="9">
        <v>2.0</v>
      </c>
      <c r="F3480" s="14"/>
      <c r="G3480" s="15"/>
      <c r="H3480" s="15"/>
      <c r="I3480" s="14"/>
      <c r="P3480" s="14"/>
    </row>
    <row r="3481" ht="18.75" customHeight="1">
      <c r="A3481" s="7" t="s">
        <v>3721</v>
      </c>
      <c r="B3481" s="9">
        <v>161424.0</v>
      </c>
      <c r="C3481" s="9">
        <v>159005.0</v>
      </c>
      <c r="D3481" s="9">
        <v>47537.0</v>
      </c>
      <c r="E3481" s="9">
        <v>224.0</v>
      </c>
      <c r="F3481" s="14"/>
      <c r="G3481" s="15"/>
      <c r="H3481" s="15"/>
      <c r="I3481" s="14"/>
      <c r="P3481" s="14"/>
    </row>
    <row r="3482" ht="18.75" customHeight="1">
      <c r="A3482" s="7" t="s">
        <v>3727</v>
      </c>
      <c r="B3482" s="9">
        <v>156306.0</v>
      </c>
      <c r="C3482" s="9">
        <v>155667.0</v>
      </c>
      <c r="D3482" s="9">
        <v>109233.0</v>
      </c>
      <c r="E3482" s="9">
        <v>1150.0</v>
      </c>
      <c r="F3482" s="14"/>
      <c r="G3482" s="15"/>
      <c r="H3482" s="15"/>
      <c r="I3482" s="14"/>
      <c r="P3482" s="14"/>
    </row>
    <row r="3483" ht="18.75" customHeight="1">
      <c r="A3483" s="7" t="s">
        <v>3728</v>
      </c>
      <c r="B3483" s="9">
        <v>292.0</v>
      </c>
      <c r="C3483" s="9">
        <v>286.0</v>
      </c>
      <c r="D3483" s="9">
        <v>126.0</v>
      </c>
      <c r="E3483" s="9">
        <v>14.0</v>
      </c>
      <c r="F3483" s="14"/>
      <c r="G3483" s="15"/>
      <c r="H3483" s="15"/>
      <c r="I3483" s="14"/>
      <c r="P3483" s="14"/>
    </row>
    <row r="3484" ht="18.75" customHeight="1">
      <c r="A3484" s="7" t="s">
        <v>402</v>
      </c>
      <c r="B3484" s="9">
        <v>127500.0</v>
      </c>
      <c r="C3484" s="9">
        <v>124856.0</v>
      </c>
      <c r="D3484" s="9">
        <v>37055.0</v>
      </c>
      <c r="E3484" s="9">
        <v>449.0</v>
      </c>
      <c r="F3484" s="14"/>
      <c r="G3484" s="15"/>
      <c r="H3484" s="15"/>
      <c r="I3484" s="14"/>
      <c r="P3484" s="14"/>
    </row>
    <row r="3485" ht="18.75" customHeight="1">
      <c r="A3485" s="7" t="s">
        <v>3719</v>
      </c>
      <c r="B3485" s="9">
        <v>43057.0</v>
      </c>
      <c r="C3485" s="9">
        <v>42200.0</v>
      </c>
      <c r="D3485" s="9">
        <v>11755.0</v>
      </c>
      <c r="E3485" s="9">
        <v>455.0</v>
      </c>
      <c r="F3485" s="14"/>
      <c r="G3485" s="15"/>
      <c r="H3485" s="15"/>
      <c r="I3485" s="14"/>
      <c r="P3485" s="14"/>
    </row>
    <row r="3486" ht="18.75" customHeight="1">
      <c r="A3486" s="7" t="s">
        <v>3719</v>
      </c>
      <c r="B3486" s="9">
        <v>5717.0</v>
      </c>
      <c r="C3486" s="9">
        <v>5568.0</v>
      </c>
      <c r="D3486" s="9">
        <v>1387.0</v>
      </c>
      <c r="E3486" s="9">
        <v>58.0</v>
      </c>
      <c r="F3486" s="14"/>
      <c r="G3486" s="15"/>
      <c r="H3486" s="15"/>
      <c r="I3486" s="14"/>
      <c r="P3486" s="14"/>
    </row>
    <row r="3487" ht="18.75" customHeight="1">
      <c r="A3487" s="7" t="s">
        <v>3719</v>
      </c>
      <c r="B3487" s="9">
        <v>50397.0</v>
      </c>
      <c r="C3487" s="9">
        <v>49471.0</v>
      </c>
      <c r="D3487" s="9">
        <v>19072.0</v>
      </c>
      <c r="E3487" s="9">
        <v>373.0</v>
      </c>
      <c r="F3487" s="14"/>
      <c r="G3487" s="15"/>
      <c r="H3487" s="15"/>
      <c r="I3487" s="14"/>
      <c r="P3487" s="14"/>
    </row>
    <row r="3488" ht="18.75" customHeight="1">
      <c r="A3488" s="7" t="s">
        <v>3719</v>
      </c>
      <c r="B3488" s="9">
        <v>16796.0</v>
      </c>
      <c r="C3488" s="9">
        <v>16478.0</v>
      </c>
      <c r="D3488" s="9">
        <v>5136.0</v>
      </c>
      <c r="E3488" s="9">
        <v>103.0</v>
      </c>
      <c r="F3488" s="14"/>
      <c r="G3488" s="15"/>
      <c r="H3488" s="15"/>
      <c r="I3488" s="14"/>
      <c r="P3488" s="14"/>
    </row>
    <row r="3489" ht="18.75" customHeight="1">
      <c r="A3489" s="7" t="s">
        <v>3719</v>
      </c>
      <c r="B3489" s="9">
        <v>41323.0</v>
      </c>
      <c r="C3489" s="9">
        <v>40553.0</v>
      </c>
      <c r="D3489" s="9">
        <v>14493.0</v>
      </c>
      <c r="E3489" s="9">
        <v>553.0</v>
      </c>
      <c r="F3489" s="14"/>
      <c r="G3489" s="15"/>
      <c r="H3489" s="15"/>
      <c r="I3489" s="14"/>
      <c r="P3489" s="14"/>
    </row>
    <row r="3490" ht="18.75" customHeight="1">
      <c r="A3490" s="7" t="s">
        <v>385</v>
      </c>
      <c r="B3490" s="9">
        <v>10250.0</v>
      </c>
      <c r="C3490" s="9">
        <v>10074.0</v>
      </c>
      <c r="D3490" s="9">
        <v>3102.0</v>
      </c>
      <c r="E3490" s="9">
        <v>76.0</v>
      </c>
      <c r="F3490" s="14"/>
      <c r="G3490" s="15"/>
      <c r="H3490" s="15"/>
      <c r="I3490" s="14"/>
      <c r="P3490" s="14"/>
    </row>
    <row r="3491" ht="18.75" customHeight="1">
      <c r="A3491" s="7" t="s">
        <v>385</v>
      </c>
      <c r="B3491" s="9">
        <v>15638.0</v>
      </c>
      <c r="C3491" s="9">
        <v>15325.0</v>
      </c>
      <c r="D3491" s="9">
        <v>4998.0</v>
      </c>
      <c r="E3491" s="9">
        <v>95.0</v>
      </c>
      <c r="F3491" s="14"/>
      <c r="G3491" s="15"/>
      <c r="H3491" s="15"/>
      <c r="I3491" s="14"/>
      <c r="P3491" s="14"/>
    </row>
    <row r="3492" ht="18.75" customHeight="1">
      <c r="A3492" s="7" t="s">
        <v>385</v>
      </c>
      <c r="B3492" s="9">
        <v>13815.0</v>
      </c>
      <c r="C3492" s="9">
        <v>13565.0</v>
      </c>
      <c r="D3492" s="9">
        <v>4229.0</v>
      </c>
      <c r="E3492" s="9">
        <v>94.0</v>
      </c>
      <c r="F3492" s="14"/>
      <c r="G3492" s="15"/>
      <c r="H3492" s="15"/>
      <c r="I3492" s="14"/>
      <c r="P3492" s="14"/>
    </row>
    <row r="3493" ht="18.75" customHeight="1">
      <c r="A3493" s="7" t="s">
        <v>3094</v>
      </c>
      <c r="B3493" s="9">
        <v>24302.0</v>
      </c>
      <c r="C3493" s="9">
        <v>23878.0</v>
      </c>
      <c r="D3493" s="9">
        <v>7189.0</v>
      </c>
      <c r="E3493" s="9">
        <v>75.0</v>
      </c>
      <c r="F3493" s="14"/>
      <c r="G3493" s="15"/>
      <c r="H3493" s="15"/>
      <c r="I3493" s="14"/>
      <c r="P3493" s="14"/>
    </row>
    <row r="3494" ht="18.75" customHeight="1">
      <c r="A3494" s="7" t="s">
        <v>3722</v>
      </c>
      <c r="B3494" s="9">
        <v>170.0</v>
      </c>
      <c r="C3494" s="9">
        <v>168.0</v>
      </c>
      <c r="D3494" s="9">
        <v>102.0</v>
      </c>
      <c r="E3494" s="9">
        <v>3.0</v>
      </c>
      <c r="F3494" s="14"/>
      <c r="G3494" s="15"/>
      <c r="H3494" s="15"/>
      <c r="I3494" s="14"/>
      <c r="P3494" s="14"/>
    </row>
    <row r="3495" ht="18.75" customHeight="1">
      <c r="A3495" s="7" t="s">
        <v>3694</v>
      </c>
      <c r="B3495" s="9">
        <v>2590.0</v>
      </c>
      <c r="C3495" s="9">
        <v>2583.0</v>
      </c>
      <c r="D3495" s="9">
        <v>1711.0</v>
      </c>
      <c r="E3495" s="9">
        <v>5.0</v>
      </c>
      <c r="F3495" s="14"/>
      <c r="G3495" s="15"/>
      <c r="H3495" s="15"/>
      <c r="I3495" s="14"/>
      <c r="P3495" s="14"/>
    </row>
    <row r="3496" ht="18.75" customHeight="1">
      <c r="A3496" s="7" t="s">
        <v>3694</v>
      </c>
      <c r="B3496" s="9">
        <v>148.0</v>
      </c>
      <c r="C3496" s="9">
        <v>147.0</v>
      </c>
      <c r="D3496" s="9">
        <v>75.0</v>
      </c>
      <c r="E3496" s="9">
        <v>1.0</v>
      </c>
      <c r="F3496" s="14"/>
      <c r="G3496" s="15"/>
      <c r="H3496" s="15"/>
      <c r="I3496" s="14"/>
      <c r="P3496" s="14"/>
    </row>
    <row r="3497" ht="18.75" customHeight="1">
      <c r="A3497" s="7" t="s">
        <v>3729</v>
      </c>
      <c r="B3497" s="9">
        <v>81166.0</v>
      </c>
      <c r="C3497" s="9">
        <v>79672.0</v>
      </c>
      <c r="D3497" s="9">
        <v>12691.0</v>
      </c>
      <c r="E3497" s="9">
        <v>118.0</v>
      </c>
      <c r="F3497" s="14"/>
      <c r="G3497" s="15"/>
      <c r="H3497" s="15"/>
      <c r="I3497" s="14"/>
      <c r="P3497" s="14"/>
    </row>
    <row r="3498" ht="18.75" customHeight="1">
      <c r="A3498" s="7" t="s">
        <v>3696</v>
      </c>
      <c r="B3498" s="9">
        <v>97.0</v>
      </c>
      <c r="C3498" s="9">
        <v>97.0</v>
      </c>
      <c r="D3498" s="9">
        <v>54.0</v>
      </c>
      <c r="E3498" s="9">
        <v>0.0</v>
      </c>
      <c r="F3498" s="14"/>
      <c r="G3498" s="15"/>
      <c r="H3498" s="15"/>
      <c r="I3498" s="14"/>
      <c r="P3498" s="14"/>
    </row>
    <row r="3499" ht="18.75" customHeight="1">
      <c r="A3499" s="7" t="s">
        <v>3730</v>
      </c>
      <c r="B3499" s="9">
        <v>68327.0</v>
      </c>
      <c r="C3499" s="9">
        <v>66973.0</v>
      </c>
      <c r="D3499" s="9">
        <v>11376.0</v>
      </c>
      <c r="E3499" s="9">
        <v>197.0</v>
      </c>
      <c r="F3499" s="14"/>
      <c r="G3499" s="15"/>
      <c r="H3499" s="15"/>
      <c r="I3499" s="14"/>
      <c r="P3499" s="14"/>
    </row>
    <row r="3500" ht="18.75" customHeight="1">
      <c r="A3500" s="7" t="s">
        <v>3731</v>
      </c>
      <c r="B3500" s="9">
        <v>73613.0</v>
      </c>
      <c r="C3500" s="9">
        <v>72256.0</v>
      </c>
      <c r="D3500" s="9">
        <v>13827.0</v>
      </c>
      <c r="E3500" s="9">
        <v>192.0</v>
      </c>
      <c r="F3500" s="14"/>
      <c r="G3500" s="15"/>
      <c r="H3500" s="15"/>
      <c r="I3500" s="14"/>
      <c r="P3500" s="14"/>
    </row>
    <row r="3501" ht="18.75" customHeight="1">
      <c r="A3501" s="7" t="s">
        <v>3732</v>
      </c>
      <c r="B3501" s="9">
        <v>81181.0</v>
      </c>
      <c r="C3501" s="9">
        <v>79657.0</v>
      </c>
      <c r="D3501" s="9">
        <v>16218.0</v>
      </c>
      <c r="E3501" s="9">
        <v>228.0</v>
      </c>
      <c r="F3501" s="14"/>
      <c r="G3501" s="15"/>
      <c r="H3501" s="15"/>
      <c r="I3501" s="14"/>
      <c r="P3501" s="14"/>
    </row>
    <row r="3502" ht="18.75" customHeight="1">
      <c r="A3502" s="7" t="s">
        <v>3733</v>
      </c>
      <c r="B3502" s="9">
        <v>60969.0</v>
      </c>
      <c r="C3502" s="9">
        <v>59458.0</v>
      </c>
      <c r="D3502" s="9">
        <v>7739.0</v>
      </c>
      <c r="E3502" s="9">
        <v>130.0</v>
      </c>
      <c r="F3502" s="14"/>
      <c r="G3502" s="15"/>
      <c r="H3502" s="15"/>
      <c r="I3502" s="14"/>
      <c r="P3502" s="14"/>
    </row>
    <row r="3503" ht="18.75" customHeight="1">
      <c r="A3503" s="7" t="s">
        <v>362</v>
      </c>
      <c r="B3503" s="9">
        <v>75932.0</v>
      </c>
      <c r="C3503" s="9">
        <v>75772.0</v>
      </c>
      <c r="D3503" s="9">
        <v>52672.0</v>
      </c>
      <c r="E3503" s="9">
        <v>521.0</v>
      </c>
      <c r="F3503" s="14"/>
      <c r="G3503" s="15"/>
      <c r="H3503" s="15"/>
      <c r="I3503" s="14"/>
      <c r="P3503" s="14"/>
    </row>
    <row r="3504" ht="18.75" customHeight="1">
      <c r="A3504" s="7" t="s">
        <v>362</v>
      </c>
      <c r="B3504" s="9">
        <v>177795.0</v>
      </c>
      <c r="C3504" s="9">
        <v>174014.0</v>
      </c>
      <c r="D3504" s="9">
        <v>34549.0</v>
      </c>
      <c r="E3504" s="9">
        <v>736.0</v>
      </c>
      <c r="F3504" s="14"/>
      <c r="G3504" s="15"/>
      <c r="H3504" s="15"/>
      <c r="I3504" s="14"/>
      <c r="P3504" s="14"/>
    </row>
    <row r="3505" ht="18.75" customHeight="1">
      <c r="A3505" s="7" t="s">
        <v>3734</v>
      </c>
      <c r="B3505" s="9">
        <v>10831.0</v>
      </c>
      <c r="C3505" s="9">
        <v>10643.0</v>
      </c>
      <c r="D3505" s="9">
        <v>3142.0</v>
      </c>
      <c r="E3505" s="9">
        <v>135.0</v>
      </c>
      <c r="F3505" s="14"/>
      <c r="G3505" s="15"/>
      <c r="H3505" s="15"/>
      <c r="I3505" s="14"/>
      <c r="P3505" s="14"/>
    </row>
    <row r="3506" ht="18.75" customHeight="1">
      <c r="A3506" s="7" t="s">
        <v>3719</v>
      </c>
      <c r="B3506" s="9">
        <v>15454.0</v>
      </c>
      <c r="C3506" s="9">
        <v>15205.0</v>
      </c>
      <c r="D3506" s="9">
        <v>4476.0</v>
      </c>
      <c r="E3506" s="9">
        <v>178.0</v>
      </c>
      <c r="F3506" s="14"/>
      <c r="G3506" s="15"/>
      <c r="H3506" s="15"/>
      <c r="I3506" s="14"/>
      <c r="P3506" s="14"/>
    </row>
    <row r="3507" ht="18.75" customHeight="1">
      <c r="A3507" s="7" t="s">
        <v>3719</v>
      </c>
      <c r="B3507" s="9">
        <v>39990.0</v>
      </c>
      <c r="C3507" s="9">
        <v>39272.0</v>
      </c>
      <c r="D3507" s="9">
        <v>11693.0</v>
      </c>
      <c r="E3507" s="9">
        <v>500.0</v>
      </c>
      <c r="F3507" s="14"/>
      <c r="G3507" s="15"/>
      <c r="H3507" s="15"/>
      <c r="I3507" s="14"/>
      <c r="P3507" s="14"/>
    </row>
    <row r="3508" ht="18.75" customHeight="1">
      <c r="A3508" s="7" t="s">
        <v>385</v>
      </c>
      <c r="B3508" s="9">
        <v>32882.0</v>
      </c>
      <c r="C3508" s="9">
        <v>32271.0</v>
      </c>
      <c r="D3508" s="9">
        <v>9062.0</v>
      </c>
      <c r="E3508" s="9">
        <v>221.0</v>
      </c>
      <c r="F3508" s="14"/>
      <c r="G3508" s="15"/>
      <c r="H3508" s="15"/>
      <c r="I3508" s="14"/>
      <c r="P3508" s="14"/>
    </row>
    <row r="3509" ht="18.75" customHeight="1">
      <c r="A3509" s="7" t="s">
        <v>3094</v>
      </c>
      <c r="B3509" s="9">
        <v>13981.0</v>
      </c>
      <c r="C3509" s="9">
        <v>13720.0</v>
      </c>
      <c r="D3509" s="9">
        <v>3748.0</v>
      </c>
      <c r="E3509" s="9">
        <v>39.0</v>
      </c>
      <c r="F3509" s="14"/>
      <c r="G3509" s="15"/>
      <c r="H3509" s="15"/>
      <c r="I3509" s="14"/>
      <c r="P3509" s="14"/>
    </row>
    <row r="3510" ht="18.75" customHeight="1">
      <c r="A3510" s="7" t="s">
        <v>3094</v>
      </c>
      <c r="B3510" s="9">
        <v>15427.0</v>
      </c>
      <c r="C3510" s="9">
        <v>15184.0</v>
      </c>
      <c r="D3510" s="9">
        <v>4162.0</v>
      </c>
      <c r="E3510" s="9">
        <v>69.0</v>
      </c>
      <c r="F3510" s="14"/>
      <c r="G3510" s="15"/>
      <c r="H3510" s="15"/>
      <c r="I3510" s="14"/>
      <c r="P3510" s="14"/>
    </row>
    <row r="3511" ht="18.75" customHeight="1">
      <c r="A3511" s="7" t="s">
        <v>3094</v>
      </c>
      <c r="B3511" s="9">
        <v>16328.0</v>
      </c>
      <c r="C3511" s="9">
        <v>15965.0</v>
      </c>
      <c r="D3511" s="9">
        <v>3543.0</v>
      </c>
      <c r="E3511" s="9">
        <v>76.0</v>
      </c>
      <c r="F3511" s="14"/>
      <c r="G3511" s="15"/>
      <c r="H3511" s="15"/>
      <c r="I3511" s="14"/>
      <c r="P3511" s="14"/>
    </row>
    <row r="3512" ht="18.75" customHeight="1">
      <c r="A3512" s="7" t="s">
        <v>3735</v>
      </c>
      <c r="B3512" s="9">
        <v>15258.0</v>
      </c>
      <c r="C3512" s="9">
        <v>14974.0</v>
      </c>
      <c r="D3512" s="9">
        <v>2324.0</v>
      </c>
      <c r="E3512" s="9">
        <v>71.0</v>
      </c>
      <c r="F3512" s="14"/>
      <c r="G3512" s="15"/>
      <c r="H3512" s="15"/>
      <c r="I3512" s="14"/>
      <c r="P3512" s="14"/>
    </row>
    <row r="3513" ht="18.75" customHeight="1">
      <c r="A3513" s="7" t="s">
        <v>418</v>
      </c>
      <c r="B3513" s="9">
        <v>20583.0</v>
      </c>
      <c r="C3513" s="9">
        <v>20226.0</v>
      </c>
      <c r="D3513" s="9">
        <v>3755.0</v>
      </c>
      <c r="E3513" s="9">
        <v>155.0</v>
      </c>
      <c r="F3513" s="14"/>
      <c r="G3513" s="15"/>
      <c r="H3513" s="15"/>
      <c r="I3513" s="14"/>
      <c r="P3513" s="14"/>
    </row>
    <row r="3514" ht="18.75" customHeight="1">
      <c r="A3514" s="7" t="s">
        <v>3720</v>
      </c>
      <c r="B3514" s="9">
        <v>410.0</v>
      </c>
      <c r="C3514" s="9">
        <v>410.0</v>
      </c>
      <c r="D3514" s="9">
        <v>291.0</v>
      </c>
      <c r="E3514" s="9">
        <v>2.0</v>
      </c>
      <c r="F3514" s="14"/>
      <c r="G3514" s="15"/>
      <c r="H3514" s="15"/>
      <c r="I3514" s="14"/>
      <c r="P3514" s="14"/>
    </row>
    <row r="3515" ht="18.75" customHeight="1">
      <c r="A3515" s="7" t="s">
        <v>3725</v>
      </c>
      <c r="B3515" s="9">
        <v>51.0</v>
      </c>
      <c r="C3515" s="9">
        <v>50.0</v>
      </c>
      <c r="D3515" s="9">
        <v>30.0</v>
      </c>
      <c r="E3515" s="9">
        <v>1.0</v>
      </c>
      <c r="F3515" s="14"/>
      <c r="G3515" s="15"/>
      <c r="H3515" s="15"/>
      <c r="I3515" s="14"/>
      <c r="P3515" s="14"/>
    </row>
    <row r="3516" ht="18.75" customHeight="1">
      <c r="A3516" s="7" t="s">
        <v>3729</v>
      </c>
      <c r="B3516" s="9">
        <v>58.0</v>
      </c>
      <c r="C3516" s="9">
        <v>58.0</v>
      </c>
      <c r="D3516" s="9">
        <v>36.0</v>
      </c>
      <c r="E3516" s="9">
        <v>0.0</v>
      </c>
      <c r="F3516" s="14"/>
      <c r="G3516" s="15"/>
      <c r="H3516" s="15"/>
      <c r="I3516" s="14"/>
      <c r="P3516" s="14"/>
    </row>
    <row r="3517" ht="18.75" customHeight="1">
      <c r="A3517" s="7" t="s">
        <v>3736</v>
      </c>
      <c r="B3517" s="9">
        <v>90931.0</v>
      </c>
      <c r="C3517" s="9">
        <v>89631.0</v>
      </c>
      <c r="D3517" s="9">
        <v>25535.0</v>
      </c>
      <c r="E3517" s="9">
        <v>257.0</v>
      </c>
      <c r="F3517" s="14"/>
      <c r="G3517" s="15"/>
      <c r="H3517" s="15"/>
      <c r="I3517" s="14"/>
      <c r="P3517" s="14"/>
    </row>
    <row r="3518" ht="18.75" customHeight="1">
      <c r="A3518" s="7" t="s">
        <v>3715</v>
      </c>
      <c r="B3518" s="9">
        <v>123.0</v>
      </c>
      <c r="C3518" s="9">
        <v>122.0</v>
      </c>
      <c r="D3518" s="9">
        <v>74.0</v>
      </c>
      <c r="E3518" s="9">
        <v>0.0</v>
      </c>
      <c r="F3518" s="14"/>
      <c r="G3518" s="15"/>
      <c r="H3518" s="15"/>
      <c r="I3518" s="14"/>
      <c r="P3518" s="14"/>
    </row>
    <row r="3519" ht="18.75" customHeight="1">
      <c r="A3519" s="7" t="s">
        <v>3737</v>
      </c>
      <c r="B3519" s="9">
        <v>92632.0</v>
      </c>
      <c r="C3519" s="9">
        <v>90944.0</v>
      </c>
      <c r="D3519" s="9">
        <v>30890.0</v>
      </c>
      <c r="E3519" s="9">
        <v>279.0</v>
      </c>
      <c r="F3519" s="14"/>
      <c r="G3519" s="15"/>
      <c r="H3519" s="15"/>
      <c r="I3519" s="14"/>
      <c r="P3519" s="14"/>
    </row>
    <row r="3520" ht="18.75" customHeight="1">
      <c r="A3520" s="7" t="s">
        <v>3724</v>
      </c>
      <c r="B3520" s="9">
        <v>140.0</v>
      </c>
      <c r="C3520" s="9">
        <v>139.0</v>
      </c>
      <c r="D3520" s="9">
        <v>84.0</v>
      </c>
      <c r="E3520" s="9">
        <v>2.0</v>
      </c>
      <c r="F3520" s="14"/>
      <c r="G3520" s="15"/>
      <c r="H3520" s="15"/>
      <c r="I3520" s="14"/>
      <c r="P3520" s="14"/>
    </row>
    <row r="3521" ht="18.75" customHeight="1">
      <c r="A3521" s="7" t="s">
        <v>3738</v>
      </c>
      <c r="B3521" s="9">
        <v>96794.0</v>
      </c>
      <c r="C3521" s="9">
        <v>95196.0</v>
      </c>
      <c r="D3521" s="9">
        <v>29766.0</v>
      </c>
      <c r="E3521" s="9">
        <v>309.0</v>
      </c>
      <c r="F3521" s="14"/>
      <c r="G3521" s="15"/>
      <c r="H3521" s="15"/>
      <c r="I3521" s="14"/>
      <c r="P3521" s="14"/>
    </row>
    <row r="3522" ht="18.75" customHeight="1">
      <c r="A3522" s="7" t="s">
        <v>351</v>
      </c>
      <c r="B3522" s="9">
        <v>83.0</v>
      </c>
      <c r="C3522" s="9">
        <v>69.0</v>
      </c>
      <c r="D3522" s="9">
        <v>41.0</v>
      </c>
      <c r="E3522" s="9">
        <v>7.0</v>
      </c>
      <c r="F3522" s="14"/>
      <c r="G3522" s="15"/>
      <c r="H3522" s="15"/>
      <c r="I3522" s="14"/>
      <c r="P3522" s="14"/>
    </row>
    <row r="3523" ht="18.75" customHeight="1">
      <c r="A3523" s="7" t="s">
        <v>3710</v>
      </c>
      <c r="B3523" s="9">
        <v>106829.0</v>
      </c>
      <c r="C3523" s="9">
        <v>104828.0</v>
      </c>
      <c r="D3523" s="9">
        <v>6672.0</v>
      </c>
      <c r="E3523" s="9">
        <v>16.0</v>
      </c>
      <c r="F3523" s="14"/>
      <c r="G3523" s="15"/>
      <c r="H3523" s="15"/>
      <c r="I3523" s="14"/>
      <c r="P3523" s="14"/>
    </row>
    <row r="3524" ht="18.75" customHeight="1">
      <c r="A3524" s="7" t="s">
        <v>362</v>
      </c>
      <c r="B3524" s="9">
        <v>219854.0</v>
      </c>
      <c r="C3524" s="9">
        <v>214116.0</v>
      </c>
      <c r="D3524" s="9">
        <v>42666.0</v>
      </c>
      <c r="E3524" s="9">
        <v>438.0</v>
      </c>
      <c r="F3524" s="14"/>
      <c r="G3524" s="15"/>
      <c r="H3524" s="15"/>
      <c r="I3524" s="14"/>
      <c r="P3524" s="14"/>
    </row>
    <row r="3525" ht="18.75" customHeight="1">
      <c r="A3525" s="7" t="s">
        <v>381</v>
      </c>
      <c r="B3525" s="9">
        <v>65.0</v>
      </c>
      <c r="C3525" s="9">
        <v>59.0</v>
      </c>
      <c r="D3525" s="9">
        <v>16.0</v>
      </c>
      <c r="E3525" s="9">
        <v>4.0</v>
      </c>
      <c r="F3525" s="14"/>
      <c r="G3525" s="15"/>
      <c r="H3525" s="15"/>
      <c r="I3525" s="14"/>
      <c r="P3525" s="14"/>
    </row>
    <row r="3526" ht="18.75" customHeight="1">
      <c r="A3526" s="7" t="s">
        <v>3719</v>
      </c>
      <c r="B3526" s="9">
        <v>36534.0</v>
      </c>
      <c r="C3526" s="9">
        <v>35870.0</v>
      </c>
      <c r="D3526" s="9">
        <v>13249.0</v>
      </c>
      <c r="E3526" s="9">
        <v>346.0</v>
      </c>
      <c r="F3526" s="14"/>
      <c r="G3526" s="15"/>
      <c r="H3526" s="15"/>
      <c r="I3526" s="14"/>
      <c r="P3526" s="14"/>
    </row>
    <row r="3527" ht="18.75" customHeight="1">
      <c r="A3527" s="7" t="s">
        <v>3719</v>
      </c>
      <c r="B3527" s="9">
        <v>10689.0</v>
      </c>
      <c r="C3527" s="9">
        <v>10385.0</v>
      </c>
      <c r="D3527" s="9">
        <v>1483.0</v>
      </c>
      <c r="E3527" s="9">
        <v>55.0</v>
      </c>
      <c r="F3527" s="14"/>
      <c r="G3527" s="15"/>
      <c r="H3527" s="15"/>
      <c r="I3527" s="14"/>
      <c r="P3527" s="14"/>
    </row>
    <row r="3528" ht="18.75" customHeight="1">
      <c r="A3528" s="7" t="s">
        <v>3719</v>
      </c>
      <c r="B3528" s="9">
        <v>58522.0</v>
      </c>
      <c r="C3528" s="9">
        <v>57279.0</v>
      </c>
      <c r="D3528" s="9">
        <v>13950.0</v>
      </c>
      <c r="E3528" s="9">
        <v>461.0</v>
      </c>
      <c r="F3528" s="14"/>
      <c r="G3528" s="15"/>
      <c r="H3528" s="15"/>
      <c r="I3528" s="14"/>
      <c r="P3528" s="14"/>
    </row>
    <row r="3529" ht="18.75" customHeight="1">
      <c r="A3529" s="7" t="s">
        <v>3719</v>
      </c>
      <c r="B3529" s="9">
        <v>71804.0</v>
      </c>
      <c r="C3529" s="9">
        <v>70416.0</v>
      </c>
      <c r="D3529" s="9">
        <v>26308.0</v>
      </c>
      <c r="E3529" s="9">
        <v>692.0</v>
      </c>
      <c r="F3529" s="14"/>
      <c r="G3529" s="15"/>
      <c r="H3529" s="15"/>
      <c r="I3529" s="14"/>
      <c r="P3529" s="14"/>
    </row>
    <row r="3530" ht="18.75" customHeight="1">
      <c r="A3530" s="7" t="s">
        <v>374</v>
      </c>
      <c r="B3530" s="9">
        <v>802.0</v>
      </c>
      <c r="C3530" s="9">
        <v>786.0</v>
      </c>
      <c r="D3530" s="9">
        <v>254.0</v>
      </c>
      <c r="E3530" s="9">
        <v>10.0</v>
      </c>
      <c r="F3530" s="14"/>
      <c r="G3530" s="15"/>
      <c r="H3530" s="15"/>
      <c r="I3530" s="14"/>
      <c r="P3530" s="14"/>
    </row>
    <row r="3531" ht="18.75" customHeight="1">
      <c r="A3531" s="7" t="s">
        <v>374</v>
      </c>
      <c r="B3531" s="9">
        <v>1773.0</v>
      </c>
      <c r="C3531" s="9">
        <v>1735.0</v>
      </c>
      <c r="D3531" s="9">
        <v>522.0</v>
      </c>
      <c r="E3531" s="9">
        <v>21.0</v>
      </c>
      <c r="F3531" s="14"/>
      <c r="G3531" s="15"/>
      <c r="H3531" s="15"/>
      <c r="I3531" s="14"/>
      <c r="P3531" s="14"/>
    </row>
    <row r="3532" ht="18.75" customHeight="1">
      <c r="A3532" s="7" t="s">
        <v>3094</v>
      </c>
      <c r="B3532" s="9">
        <v>14722.0</v>
      </c>
      <c r="C3532" s="9">
        <v>14455.0</v>
      </c>
      <c r="D3532" s="9">
        <v>3795.0</v>
      </c>
      <c r="E3532" s="9">
        <v>83.0</v>
      </c>
      <c r="F3532" s="14"/>
      <c r="G3532" s="15"/>
      <c r="H3532" s="15"/>
      <c r="I3532" s="14"/>
      <c r="P3532" s="14"/>
    </row>
    <row r="3533" ht="18.75" customHeight="1">
      <c r="A3533" s="7" t="s">
        <v>3094</v>
      </c>
      <c r="B3533" s="9">
        <v>15042.0</v>
      </c>
      <c r="C3533" s="9">
        <v>14794.0</v>
      </c>
      <c r="D3533" s="9">
        <v>4145.0</v>
      </c>
      <c r="E3533" s="9">
        <v>143.0</v>
      </c>
      <c r="F3533" s="14"/>
      <c r="G3533" s="15"/>
      <c r="H3533" s="15"/>
      <c r="I3533" s="14"/>
      <c r="P3533" s="14"/>
    </row>
    <row r="3534" ht="18.75" customHeight="1">
      <c r="A3534" s="7" t="s">
        <v>3722</v>
      </c>
      <c r="B3534" s="9">
        <v>151.0</v>
      </c>
      <c r="C3534" s="9">
        <v>151.0</v>
      </c>
      <c r="D3534" s="9">
        <v>83.0</v>
      </c>
      <c r="E3534" s="9">
        <v>3.0</v>
      </c>
      <c r="F3534" s="14"/>
      <c r="G3534" s="15"/>
      <c r="H3534" s="15"/>
      <c r="I3534" s="14"/>
      <c r="P3534" s="14"/>
    </row>
    <row r="3535" ht="18.75" customHeight="1">
      <c r="A3535" s="7" t="s">
        <v>3708</v>
      </c>
      <c r="B3535" s="9">
        <v>54.0</v>
      </c>
      <c r="C3535" s="9">
        <v>54.0</v>
      </c>
      <c r="D3535" s="9">
        <v>24.0</v>
      </c>
      <c r="E3535" s="9">
        <v>1.0</v>
      </c>
      <c r="F3535" s="14"/>
      <c r="G3535" s="15"/>
      <c r="H3535" s="15"/>
      <c r="I3535" s="14"/>
      <c r="P3535" s="14"/>
    </row>
    <row r="3536" ht="18.75" customHeight="1">
      <c r="A3536" s="7" t="s">
        <v>3714</v>
      </c>
      <c r="B3536" s="9">
        <v>1013.0</v>
      </c>
      <c r="C3536" s="9">
        <v>1013.0</v>
      </c>
      <c r="D3536" s="9">
        <v>689.0</v>
      </c>
      <c r="E3536" s="9">
        <v>1.0</v>
      </c>
      <c r="F3536" s="14"/>
      <c r="G3536" s="15"/>
      <c r="H3536" s="15"/>
      <c r="I3536" s="14"/>
      <c r="P3536" s="14"/>
    </row>
    <row r="3537" ht="18.75" customHeight="1">
      <c r="A3537" s="7" t="s">
        <v>3714</v>
      </c>
      <c r="B3537" s="9">
        <v>106.0</v>
      </c>
      <c r="C3537" s="9">
        <v>105.0</v>
      </c>
      <c r="D3537" s="9">
        <v>39.0</v>
      </c>
      <c r="E3537" s="9">
        <v>1.0</v>
      </c>
      <c r="F3537" s="14"/>
      <c r="G3537" s="15"/>
      <c r="H3537" s="15"/>
      <c r="I3537" s="14"/>
      <c r="P3537" s="14"/>
    </row>
    <row r="3538" ht="18.75" customHeight="1">
      <c r="A3538" s="7" t="s">
        <v>3693</v>
      </c>
      <c r="B3538" s="9">
        <v>4497.0</v>
      </c>
      <c r="C3538" s="9">
        <v>4492.0</v>
      </c>
      <c r="D3538" s="9">
        <v>3003.0</v>
      </c>
      <c r="E3538" s="9">
        <v>5.0</v>
      </c>
      <c r="F3538" s="14"/>
      <c r="G3538" s="15"/>
      <c r="H3538" s="15"/>
      <c r="I3538" s="14"/>
      <c r="P3538" s="14"/>
    </row>
    <row r="3539" ht="18.75" customHeight="1">
      <c r="A3539" s="7" t="s">
        <v>3693</v>
      </c>
      <c r="B3539" s="9">
        <v>131.0</v>
      </c>
      <c r="C3539" s="9">
        <v>131.0</v>
      </c>
      <c r="D3539" s="9">
        <v>74.0</v>
      </c>
      <c r="E3539" s="9">
        <v>1.0</v>
      </c>
      <c r="F3539" s="14"/>
      <c r="G3539" s="15"/>
      <c r="H3539" s="15"/>
      <c r="I3539" s="14"/>
      <c r="P3539" s="14"/>
    </row>
    <row r="3540" ht="18.75" customHeight="1">
      <c r="A3540" s="7" t="s">
        <v>3730</v>
      </c>
      <c r="B3540" s="9">
        <v>129.0</v>
      </c>
      <c r="C3540" s="9">
        <v>128.0</v>
      </c>
      <c r="D3540" s="9">
        <v>68.0</v>
      </c>
      <c r="E3540" s="9">
        <v>1.0</v>
      </c>
      <c r="F3540" s="14"/>
      <c r="G3540" s="15"/>
      <c r="H3540" s="15"/>
      <c r="I3540" s="14"/>
      <c r="P3540" s="14"/>
    </row>
    <row r="3541" ht="18.75" customHeight="1">
      <c r="A3541" s="7" t="s">
        <v>3723</v>
      </c>
      <c r="B3541" s="9">
        <v>125.0</v>
      </c>
      <c r="C3541" s="9">
        <v>125.0</v>
      </c>
      <c r="D3541" s="9">
        <v>81.0</v>
      </c>
      <c r="E3541" s="9">
        <v>1.0</v>
      </c>
      <c r="F3541" s="14"/>
      <c r="G3541" s="15"/>
      <c r="H3541" s="15"/>
      <c r="I3541" s="14"/>
      <c r="P3541" s="14"/>
    </row>
    <row r="3542" ht="18.75" customHeight="1">
      <c r="A3542" s="7" t="s">
        <v>3732</v>
      </c>
      <c r="B3542" s="9">
        <v>122.0</v>
      </c>
      <c r="C3542" s="9">
        <v>122.0</v>
      </c>
      <c r="D3542" s="9">
        <v>85.0</v>
      </c>
      <c r="E3542" s="9">
        <v>1.0</v>
      </c>
      <c r="F3542" s="14"/>
      <c r="G3542" s="15"/>
      <c r="H3542" s="15"/>
      <c r="I3542" s="14"/>
      <c r="P3542" s="14"/>
    </row>
    <row r="3543" ht="18.75" customHeight="1">
      <c r="A3543" s="7" t="s">
        <v>3733</v>
      </c>
      <c r="B3543" s="9">
        <v>105.0</v>
      </c>
      <c r="C3543" s="9">
        <v>104.0</v>
      </c>
      <c r="D3543" s="9">
        <v>53.0</v>
      </c>
      <c r="E3543" s="9">
        <v>1.0</v>
      </c>
      <c r="F3543" s="14"/>
      <c r="G3543" s="15"/>
      <c r="H3543" s="15"/>
      <c r="I3543" s="14"/>
      <c r="P3543" s="14"/>
    </row>
    <row r="3544" ht="18.75" customHeight="1">
      <c r="A3544" s="7" t="s">
        <v>408</v>
      </c>
      <c r="B3544" s="9">
        <v>13868.0</v>
      </c>
      <c r="C3544" s="9">
        <v>13618.0</v>
      </c>
      <c r="D3544" s="9">
        <v>5062.0</v>
      </c>
      <c r="E3544" s="9">
        <v>133.0</v>
      </c>
      <c r="F3544" s="14"/>
      <c r="G3544" s="15"/>
      <c r="H3544" s="15"/>
      <c r="I3544" s="14"/>
      <c r="P3544" s="14"/>
    </row>
    <row r="3545" ht="18.75" customHeight="1">
      <c r="A3545" s="7" t="s">
        <v>408</v>
      </c>
      <c r="B3545" s="9">
        <v>55806.0</v>
      </c>
      <c r="C3545" s="9">
        <v>55029.0</v>
      </c>
      <c r="D3545" s="9">
        <v>22955.0</v>
      </c>
      <c r="E3545" s="9">
        <v>499.0</v>
      </c>
      <c r="F3545" s="14"/>
      <c r="G3545" s="15"/>
      <c r="H3545" s="15"/>
      <c r="I3545" s="14"/>
      <c r="P3545" s="14"/>
    </row>
    <row r="3546" ht="18.75" customHeight="1">
      <c r="A3546" s="7" t="s">
        <v>408</v>
      </c>
      <c r="B3546" s="9">
        <v>3996.0</v>
      </c>
      <c r="C3546" s="9">
        <v>3903.0</v>
      </c>
      <c r="D3546" s="9">
        <v>651.0</v>
      </c>
      <c r="E3546" s="9">
        <v>20.0</v>
      </c>
      <c r="F3546" s="14"/>
      <c r="G3546" s="15"/>
      <c r="H3546" s="15"/>
      <c r="I3546" s="14"/>
      <c r="P3546" s="14"/>
    </row>
    <row r="3547" ht="18.75" customHeight="1">
      <c r="A3547" s="7" t="s">
        <v>2857</v>
      </c>
      <c r="B3547" s="9">
        <v>36466.0</v>
      </c>
      <c r="C3547" s="9">
        <v>35812.0</v>
      </c>
      <c r="D3547" s="9">
        <v>11290.0</v>
      </c>
      <c r="E3547" s="9">
        <v>208.0</v>
      </c>
      <c r="F3547" s="14"/>
      <c r="G3547" s="15"/>
      <c r="H3547" s="15"/>
      <c r="I3547" s="14"/>
      <c r="P3547" s="14"/>
    </row>
    <row r="3548" ht="18.75" customHeight="1">
      <c r="A3548" s="7" t="s">
        <v>362</v>
      </c>
      <c r="B3548" s="9">
        <v>183269.0</v>
      </c>
      <c r="C3548" s="9">
        <v>182920.0</v>
      </c>
      <c r="D3548" s="9">
        <v>128147.0</v>
      </c>
      <c r="E3548" s="9">
        <v>1110.0</v>
      </c>
      <c r="F3548" s="14"/>
      <c r="G3548" s="15"/>
      <c r="H3548" s="15"/>
      <c r="I3548" s="14"/>
      <c r="P3548" s="14"/>
    </row>
    <row r="3549" ht="18.75" customHeight="1">
      <c r="A3549" s="7" t="s">
        <v>3739</v>
      </c>
      <c r="B3549" s="9">
        <v>1462.0</v>
      </c>
      <c r="C3549" s="9">
        <v>1434.0</v>
      </c>
      <c r="D3549" s="9">
        <v>397.0</v>
      </c>
      <c r="E3549" s="9">
        <v>19.0</v>
      </c>
      <c r="F3549" s="14"/>
      <c r="G3549" s="15"/>
      <c r="H3549" s="15"/>
      <c r="I3549" s="14"/>
      <c r="P3549" s="14"/>
    </row>
    <row r="3550" ht="18.75" customHeight="1">
      <c r="A3550" s="7" t="s">
        <v>3686</v>
      </c>
      <c r="B3550" s="9">
        <v>151501.0</v>
      </c>
      <c r="C3550" s="9">
        <v>149827.0</v>
      </c>
      <c r="D3550" s="9">
        <v>34785.0</v>
      </c>
      <c r="E3550" s="9">
        <v>79.0</v>
      </c>
      <c r="F3550" s="14"/>
      <c r="G3550" s="15"/>
      <c r="H3550" s="15"/>
      <c r="I3550" s="14"/>
      <c r="P3550" s="14"/>
    </row>
    <row r="3551" ht="18.75" customHeight="1">
      <c r="A3551" s="7" t="s">
        <v>3719</v>
      </c>
      <c r="B3551" s="9">
        <v>66692.0</v>
      </c>
      <c r="C3551" s="9">
        <v>65570.0</v>
      </c>
      <c r="D3551" s="9">
        <v>16849.0</v>
      </c>
      <c r="E3551" s="9">
        <v>516.0</v>
      </c>
      <c r="F3551" s="14"/>
      <c r="G3551" s="15"/>
      <c r="H3551" s="15"/>
      <c r="I3551" s="14"/>
      <c r="P3551" s="14"/>
    </row>
    <row r="3552" ht="18.75" customHeight="1">
      <c r="A3552" s="7" t="s">
        <v>3719</v>
      </c>
      <c r="B3552" s="9">
        <v>71501.0</v>
      </c>
      <c r="C3552" s="9">
        <v>70283.0</v>
      </c>
      <c r="D3552" s="9">
        <v>21222.0</v>
      </c>
      <c r="E3552" s="9">
        <v>670.0</v>
      </c>
      <c r="F3552" s="14"/>
      <c r="G3552" s="15"/>
      <c r="H3552" s="15"/>
      <c r="I3552" s="14"/>
      <c r="P3552" s="14"/>
    </row>
    <row r="3553" ht="18.75" customHeight="1">
      <c r="A3553" s="7" t="s">
        <v>3719</v>
      </c>
      <c r="B3553" s="9">
        <v>59445.0</v>
      </c>
      <c r="C3553" s="9">
        <v>58282.0</v>
      </c>
      <c r="D3553" s="9">
        <v>16192.0</v>
      </c>
      <c r="E3553" s="9">
        <v>404.0</v>
      </c>
      <c r="F3553" s="14"/>
      <c r="G3553" s="15"/>
      <c r="H3553" s="15"/>
      <c r="I3553" s="14"/>
      <c r="P3553" s="14"/>
    </row>
    <row r="3554" ht="18.75" customHeight="1">
      <c r="A3554" s="7" t="s">
        <v>3719</v>
      </c>
      <c r="B3554" s="9">
        <v>62366.0</v>
      </c>
      <c r="C3554" s="9">
        <v>61103.0</v>
      </c>
      <c r="D3554" s="9">
        <v>12951.0</v>
      </c>
      <c r="E3554" s="9">
        <v>283.0</v>
      </c>
      <c r="F3554" s="14"/>
      <c r="G3554" s="15"/>
      <c r="H3554" s="15"/>
      <c r="I3554" s="14"/>
      <c r="P3554" s="14"/>
    </row>
    <row r="3555" ht="18.75" customHeight="1">
      <c r="A3555" s="7" t="s">
        <v>3719</v>
      </c>
      <c r="B3555" s="9">
        <v>30439.0</v>
      </c>
      <c r="C3555" s="9">
        <v>29865.0</v>
      </c>
      <c r="D3555" s="9">
        <v>8213.0</v>
      </c>
      <c r="E3555" s="9">
        <v>166.0</v>
      </c>
      <c r="F3555" s="14"/>
      <c r="G3555" s="15"/>
      <c r="H3555" s="15"/>
      <c r="I3555" s="14"/>
      <c r="P3555" s="14"/>
    </row>
    <row r="3556" ht="18.75" customHeight="1">
      <c r="A3556" s="7" t="s">
        <v>3094</v>
      </c>
      <c r="B3556" s="9">
        <v>27074.0</v>
      </c>
      <c r="C3556" s="9">
        <v>26475.0</v>
      </c>
      <c r="D3556" s="9">
        <v>5658.0</v>
      </c>
      <c r="E3556" s="9">
        <v>90.0</v>
      </c>
      <c r="F3556" s="14"/>
      <c r="G3556" s="15"/>
      <c r="H3556" s="15"/>
      <c r="I3556" s="14"/>
      <c r="P3556" s="14"/>
    </row>
    <row r="3557" ht="18.75" customHeight="1">
      <c r="A3557" s="7" t="s">
        <v>3094</v>
      </c>
      <c r="B3557" s="9">
        <v>6294.0</v>
      </c>
      <c r="C3557" s="9">
        <v>6192.0</v>
      </c>
      <c r="D3557" s="9">
        <v>1686.0</v>
      </c>
      <c r="E3557" s="9">
        <v>27.0</v>
      </c>
      <c r="F3557" s="14"/>
      <c r="G3557" s="15"/>
      <c r="H3557" s="15"/>
      <c r="I3557" s="14"/>
      <c r="P3557" s="14"/>
    </row>
    <row r="3558" ht="18.75" customHeight="1">
      <c r="A3558" s="7" t="s">
        <v>3735</v>
      </c>
      <c r="B3558" s="9">
        <v>86.0</v>
      </c>
      <c r="C3558" s="9">
        <v>85.0</v>
      </c>
      <c r="D3558" s="9">
        <v>38.0</v>
      </c>
      <c r="E3558" s="9">
        <v>0.0</v>
      </c>
      <c r="F3558" s="14"/>
      <c r="G3558" s="15"/>
      <c r="H3558" s="15"/>
      <c r="I3558" s="14"/>
      <c r="P3558" s="14"/>
    </row>
    <row r="3559" ht="18.75" customHeight="1">
      <c r="A3559" s="7" t="s">
        <v>418</v>
      </c>
      <c r="B3559" s="9">
        <v>189.0</v>
      </c>
      <c r="C3559" s="9">
        <v>188.0</v>
      </c>
      <c r="D3559" s="9">
        <v>112.0</v>
      </c>
      <c r="E3559" s="9">
        <v>3.0</v>
      </c>
      <c r="F3559" s="14"/>
      <c r="G3559" s="15"/>
      <c r="H3559" s="15"/>
      <c r="I3559" s="14"/>
      <c r="P3559" s="14"/>
    </row>
    <row r="3560" ht="18.75" customHeight="1">
      <c r="A3560" s="7" t="s">
        <v>414</v>
      </c>
      <c r="B3560" s="9">
        <v>5280.0</v>
      </c>
      <c r="C3560" s="9">
        <v>5277.0</v>
      </c>
      <c r="D3560" s="9">
        <v>4121.0</v>
      </c>
      <c r="E3560" s="9">
        <v>6.0</v>
      </c>
      <c r="F3560" s="14"/>
      <c r="G3560" s="15"/>
      <c r="H3560" s="15"/>
      <c r="I3560" s="14"/>
      <c r="P3560" s="14"/>
    </row>
    <row r="3561" ht="18.75" customHeight="1">
      <c r="A3561" s="7" t="s">
        <v>414</v>
      </c>
      <c r="B3561" s="9">
        <v>162.0</v>
      </c>
      <c r="C3561" s="9">
        <v>162.0</v>
      </c>
      <c r="D3561" s="9">
        <v>106.0</v>
      </c>
      <c r="E3561" s="9">
        <v>1.0</v>
      </c>
      <c r="F3561" s="14"/>
      <c r="G3561" s="15"/>
      <c r="H3561" s="15"/>
      <c r="I3561" s="14"/>
      <c r="P3561" s="14"/>
    </row>
    <row r="3562" ht="18.75" customHeight="1">
      <c r="A3562" s="7" t="s">
        <v>3729</v>
      </c>
      <c r="B3562" s="9">
        <v>58.0</v>
      </c>
      <c r="C3562" s="9">
        <v>58.0</v>
      </c>
      <c r="D3562" s="9">
        <v>26.0</v>
      </c>
      <c r="E3562" s="9">
        <v>0.0</v>
      </c>
      <c r="F3562" s="14"/>
      <c r="G3562" s="15"/>
      <c r="H3562" s="15"/>
      <c r="I3562" s="14"/>
      <c r="P3562" s="14"/>
    </row>
    <row r="3563" ht="18.75" customHeight="1">
      <c r="A3563" s="7" t="s">
        <v>3736</v>
      </c>
      <c r="B3563" s="9">
        <v>97.0</v>
      </c>
      <c r="C3563" s="9">
        <v>96.0</v>
      </c>
      <c r="D3563" s="9">
        <v>61.0</v>
      </c>
      <c r="E3563" s="9">
        <v>1.0</v>
      </c>
      <c r="F3563" s="14"/>
      <c r="G3563" s="15"/>
      <c r="H3563" s="15"/>
      <c r="I3563" s="14"/>
      <c r="P3563" s="14"/>
    </row>
    <row r="3564" ht="18.75" customHeight="1">
      <c r="A3564" s="7" t="s">
        <v>3731</v>
      </c>
      <c r="B3564" s="9">
        <v>109.0</v>
      </c>
      <c r="C3564" s="9">
        <v>88.0</v>
      </c>
      <c r="D3564" s="9">
        <v>52.0</v>
      </c>
      <c r="E3564" s="9">
        <v>0.0</v>
      </c>
      <c r="F3564" s="14"/>
      <c r="G3564" s="15"/>
      <c r="H3564" s="15"/>
      <c r="I3564" s="14"/>
      <c r="P3564" s="14"/>
    </row>
    <row r="3565" ht="18.75" customHeight="1">
      <c r="A3565" s="7" t="s">
        <v>3737</v>
      </c>
      <c r="B3565" s="9">
        <v>106.0</v>
      </c>
      <c r="C3565" s="9">
        <v>106.0</v>
      </c>
      <c r="D3565" s="9">
        <v>68.0</v>
      </c>
      <c r="E3565" s="9">
        <v>0.0</v>
      </c>
      <c r="F3565" s="14"/>
      <c r="G3565" s="15"/>
      <c r="H3565" s="15"/>
      <c r="I3565" s="14"/>
      <c r="P3565" s="14"/>
    </row>
    <row r="3566" ht="18.75" customHeight="1">
      <c r="A3566" s="7" t="s">
        <v>3724</v>
      </c>
      <c r="B3566" s="9">
        <v>147.0</v>
      </c>
      <c r="C3566" s="9">
        <v>146.0</v>
      </c>
      <c r="D3566" s="9">
        <v>80.0</v>
      </c>
      <c r="E3566" s="9">
        <v>2.0</v>
      </c>
      <c r="F3566" s="14"/>
      <c r="G3566" s="15"/>
      <c r="H3566" s="15"/>
      <c r="I3566" s="14"/>
      <c r="P3566" s="14"/>
    </row>
    <row r="3567" ht="18.75" customHeight="1">
      <c r="A3567" s="7" t="s">
        <v>3738</v>
      </c>
      <c r="B3567" s="9">
        <v>120.0</v>
      </c>
      <c r="C3567" s="9">
        <v>119.0</v>
      </c>
      <c r="D3567" s="9">
        <v>76.0</v>
      </c>
      <c r="E3567" s="9">
        <v>1.0</v>
      </c>
      <c r="F3567" s="14"/>
      <c r="G3567" s="15"/>
      <c r="H3567" s="15"/>
      <c r="I3567" s="14"/>
      <c r="P3567" s="14"/>
    </row>
    <row r="3568" ht="18.75" customHeight="1">
      <c r="A3568" s="7" t="s">
        <v>408</v>
      </c>
      <c r="B3568" s="9">
        <v>77252.0</v>
      </c>
      <c r="C3568" s="9">
        <v>75685.0</v>
      </c>
      <c r="D3568" s="9">
        <v>23179.0</v>
      </c>
      <c r="E3568" s="9">
        <v>395.0</v>
      </c>
      <c r="F3568" s="14"/>
      <c r="G3568" s="15"/>
      <c r="H3568" s="15"/>
      <c r="I3568" s="14"/>
      <c r="P3568" s="14"/>
    </row>
    <row r="3569" ht="18.75" customHeight="1">
      <c r="A3569" s="7" t="s">
        <v>408</v>
      </c>
      <c r="B3569" s="9">
        <v>33220.0</v>
      </c>
      <c r="C3569" s="9">
        <v>32537.0</v>
      </c>
      <c r="D3569" s="9">
        <v>9936.0</v>
      </c>
      <c r="E3569" s="9">
        <v>308.0</v>
      </c>
      <c r="F3569" s="14"/>
      <c r="G3569" s="15"/>
      <c r="H3569" s="15"/>
      <c r="I3569" s="14"/>
      <c r="P3569" s="14"/>
    </row>
    <row r="3570" ht="18.75" customHeight="1">
      <c r="A3570" s="7" t="s">
        <v>362</v>
      </c>
      <c r="B3570" s="9">
        <v>194931.0</v>
      </c>
      <c r="C3570" s="9">
        <v>190307.0</v>
      </c>
      <c r="D3570" s="9">
        <v>29807.0</v>
      </c>
      <c r="E3570" s="9">
        <v>371.0</v>
      </c>
      <c r="F3570" s="14"/>
      <c r="G3570" s="15"/>
      <c r="H3570" s="15"/>
      <c r="I3570" s="14"/>
      <c r="P3570" s="14"/>
    </row>
    <row r="3571" ht="18.75" customHeight="1">
      <c r="A3571" s="7" t="s">
        <v>3740</v>
      </c>
      <c r="B3571" s="9">
        <v>56333.0</v>
      </c>
      <c r="C3571" s="9">
        <v>55389.0</v>
      </c>
      <c r="D3571" s="9">
        <v>21975.0</v>
      </c>
      <c r="E3571" s="9">
        <v>110.0</v>
      </c>
      <c r="F3571" s="14"/>
      <c r="G3571" s="15"/>
      <c r="H3571" s="15"/>
      <c r="I3571" s="14"/>
      <c r="P3571" s="14"/>
    </row>
    <row r="3572" ht="18.75" customHeight="1">
      <c r="A3572" s="7" t="s">
        <v>3741</v>
      </c>
      <c r="B3572" s="9">
        <v>67047.0</v>
      </c>
      <c r="C3572" s="9">
        <v>65948.0</v>
      </c>
      <c r="D3572" s="9">
        <v>28308.0</v>
      </c>
      <c r="E3572" s="9">
        <v>778.0</v>
      </c>
      <c r="F3572" s="14"/>
      <c r="G3572" s="15"/>
      <c r="H3572" s="15"/>
      <c r="I3572" s="14"/>
      <c r="P3572" s="14"/>
    </row>
    <row r="3573" ht="18.75" customHeight="1">
      <c r="A3573" s="7" t="s">
        <v>424</v>
      </c>
      <c r="B3573" s="9">
        <v>1779.0</v>
      </c>
      <c r="C3573" s="9">
        <v>1751.0</v>
      </c>
      <c r="D3573" s="9">
        <v>494.0</v>
      </c>
      <c r="E3573" s="9">
        <v>14.0</v>
      </c>
      <c r="F3573" s="14"/>
      <c r="G3573" s="15"/>
      <c r="H3573" s="15"/>
      <c r="I3573" s="14"/>
      <c r="P3573" s="14"/>
    </row>
    <row r="3574" ht="18.75" customHeight="1">
      <c r="A3574" s="7" t="s">
        <v>374</v>
      </c>
      <c r="B3574" s="9">
        <v>589.0</v>
      </c>
      <c r="C3574" s="9">
        <v>579.0</v>
      </c>
      <c r="D3574" s="9">
        <v>172.0</v>
      </c>
      <c r="E3574" s="9">
        <v>7.0</v>
      </c>
      <c r="F3574" s="14"/>
      <c r="G3574" s="15"/>
      <c r="H3574" s="15"/>
      <c r="I3574" s="14"/>
      <c r="P3574" s="14"/>
    </row>
    <row r="3575" ht="18.75" customHeight="1">
      <c r="A3575" s="7" t="s">
        <v>374</v>
      </c>
      <c r="B3575" s="9">
        <v>572.0</v>
      </c>
      <c r="C3575" s="9">
        <v>560.0</v>
      </c>
      <c r="D3575" s="9">
        <v>192.0</v>
      </c>
      <c r="E3575" s="9">
        <v>12.0</v>
      </c>
      <c r="F3575" s="14"/>
      <c r="G3575" s="15"/>
      <c r="H3575" s="15"/>
      <c r="I3575" s="14"/>
      <c r="P3575" s="14"/>
    </row>
    <row r="3576" ht="18.75" customHeight="1">
      <c r="A3576" s="7" t="s">
        <v>372</v>
      </c>
      <c r="B3576" s="9">
        <v>2148.0</v>
      </c>
      <c r="C3576" s="9">
        <v>2105.0</v>
      </c>
      <c r="D3576" s="9">
        <v>641.0</v>
      </c>
      <c r="E3576" s="9">
        <v>26.0</v>
      </c>
      <c r="F3576" s="14"/>
      <c r="G3576" s="15"/>
      <c r="H3576" s="15"/>
      <c r="I3576" s="14"/>
      <c r="P3576" s="14"/>
    </row>
    <row r="3577" ht="18.75" customHeight="1">
      <c r="A3577" s="7" t="s">
        <v>3719</v>
      </c>
      <c r="B3577" s="9">
        <v>80160.0</v>
      </c>
      <c r="C3577" s="9">
        <v>79614.0</v>
      </c>
      <c r="D3577" s="9">
        <v>40781.0</v>
      </c>
      <c r="E3577" s="9">
        <v>79.0</v>
      </c>
      <c r="F3577" s="14"/>
      <c r="G3577" s="15"/>
      <c r="H3577" s="15"/>
      <c r="I3577" s="14"/>
      <c r="P3577" s="14"/>
    </row>
    <row r="3578" ht="18.75" customHeight="1">
      <c r="A3578" s="7" t="s">
        <v>3719</v>
      </c>
      <c r="B3578" s="9">
        <v>72032.0</v>
      </c>
      <c r="C3578" s="9">
        <v>70782.0</v>
      </c>
      <c r="D3578" s="9">
        <v>19682.0</v>
      </c>
      <c r="E3578" s="9">
        <v>634.0</v>
      </c>
      <c r="F3578" s="14"/>
      <c r="G3578" s="15"/>
      <c r="H3578" s="15"/>
      <c r="I3578" s="14"/>
      <c r="P3578" s="14"/>
    </row>
    <row r="3579" ht="18.75" customHeight="1">
      <c r="A3579" s="7" t="s">
        <v>3719</v>
      </c>
      <c r="B3579" s="9">
        <v>34277.0</v>
      </c>
      <c r="C3579" s="9">
        <v>33718.0</v>
      </c>
      <c r="D3579" s="9">
        <v>9693.0</v>
      </c>
      <c r="E3579" s="9">
        <v>286.0</v>
      </c>
      <c r="F3579" s="14"/>
      <c r="G3579" s="15"/>
      <c r="H3579" s="15"/>
      <c r="I3579" s="14"/>
      <c r="P3579" s="14"/>
    </row>
    <row r="3580" ht="18.75" customHeight="1">
      <c r="A3580" s="7" t="s">
        <v>3719</v>
      </c>
      <c r="B3580" s="9">
        <v>54368.0</v>
      </c>
      <c r="C3580" s="9">
        <v>53341.0</v>
      </c>
      <c r="D3580" s="9">
        <v>19079.0</v>
      </c>
      <c r="E3580" s="9">
        <v>647.0</v>
      </c>
      <c r="F3580" s="14"/>
      <c r="G3580" s="15"/>
      <c r="H3580" s="15"/>
      <c r="I3580" s="14"/>
      <c r="P3580" s="14"/>
    </row>
    <row r="3581" ht="18.75" customHeight="1">
      <c r="A3581" s="7" t="s">
        <v>360</v>
      </c>
      <c r="B3581" s="9">
        <v>20325.0</v>
      </c>
      <c r="C3581" s="9">
        <v>19920.0</v>
      </c>
      <c r="D3581" s="9">
        <v>5509.0</v>
      </c>
      <c r="E3581" s="9">
        <v>46.0</v>
      </c>
      <c r="F3581" s="14"/>
      <c r="G3581" s="15"/>
      <c r="H3581" s="15"/>
      <c r="I3581" s="14"/>
      <c r="P3581" s="14"/>
    </row>
    <row r="3582" ht="18.75" customHeight="1">
      <c r="A3582" s="7" t="s">
        <v>385</v>
      </c>
      <c r="B3582" s="9">
        <v>24815.0</v>
      </c>
      <c r="C3582" s="9">
        <v>24394.0</v>
      </c>
      <c r="D3582" s="9">
        <v>6522.0</v>
      </c>
      <c r="E3582" s="9">
        <v>101.0</v>
      </c>
      <c r="F3582" s="14"/>
      <c r="G3582" s="15"/>
      <c r="H3582" s="15"/>
      <c r="I3582" s="14"/>
      <c r="P3582" s="14"/>
    </row>
    <row r="3583" ht="18.75" customHeight="1">
      <c r="A3583" s="7" t="s">
        <v>3723</v>
      </c>
      <c r="B3583" s="9">
        <v>127.0</v>
      </c>
      <c r="C3583" s="9">
        <v>127.0</v>
      </c>
      <c r="D3583" s="9">
        <v>56.0</v>
      </c>
      <c r="E3583" s="9">
        <v>1.0</v>
      </c>
      <c r="F3583" s="14"/>
      <c r="G3583" s="15"/>
      <c r="H3583" s="15"/>
      <c r="I3583" s="14"/>
      <c r="P3583" s="14"/>
    </row>
    <row r="3584" ht="18.75" customHeight="1">
      <c r="A3584" s="7" t="s">
        <v>3725</v>
      </c>
      <c r="B3584" s="9">
        <v>52.0</v>
      </c>
      <c r="C3584" s="9">
        <v>51.0</v>
      </c>
      <c r="D3584" s="9">
        <v>23.0</v>
      </c>
      <c r="E3584" s="9">
        <v>1.0</v>
      </c>
      <c r="F3584" s="14"/>
      <c r="G3584" s="15"/>
      <c r="H3584" s="15"/>
      <c r="I3584" s="14"/>
      <c r="P3584" s="14"/>
    </row>
    <row r="3585" ht="18.75" customHeight="1">
      <c r="A3585" s="7" t="s">
        <v>368</v>
      </c>
      <c r="B3585" s="9">
        <v>313.0</v>
      </c>
      <c r="C3585" s="9">
        <v>309.0</v>
      </c>
      <c r="D3585" s="9">
        <v>119.0</v>
      </c>
      <c r="E3585" s="9">
        <v>14.0</v>
      </c>
      <c r="F3585" s="14"/>
      <c r="G3585" s="15"/>
      <c r="H3585" s="15"/>
      <c r="I3585" s="14"/>
      <c r="P3585" s="14"/>
    </row>
    <row r="3586" ht="18.75" customHeight="1">
      <c r="A3586" s="7" t="s">
        <v>368</v>
      </c>
      <c r="B3586" s="9">
        <v>112.0</v>
      </c>
      <c r="C3586" s="9">
        <v>111.0</v>
      </c>
      <c r="D3586" s="9">
        <v>36.0</v>
      </c>
      <c r="E3586" s="9">
        <v>6.0</v>
      </c>
      <c r="F3586" s="14"/>
      <c r="G3586" s="15"/>
      <c r="H3586" s="15"/>
      <c r="I3586" s="14"/>
      <c r="P3586" s="14"/>
    </row>
    <row r="3587" ht="18.75" customHeight="1">
      <c r="A3587" s="7" t="s">
        <v>356</v>
      </c>
      <c r="B3587" s="9">
        <v>92.0</v>
      </c>
      <c r="C3587" s="9">
        <v>91.0</v>
      </c>
      <c r="D3587" s="9">
        <v>27.0</v>
      </c>
      <c r="E3587" s="9">
        <v>4.0</v>
      </c>
      <c r="F3587" s="14"/>
      <c r="G3587" s="15"/>
      <c r="H3587" s="15"/>
      <c r="I3587" s="14"/>
      <c r="P3587" s="14"/>
    </row>
    <row r="3588" ht="18.75" customHeight="1">
      <c r="A3588" s="7" t="s">
        <v>366</v>
      </c>
      <c r="B3588" s="9">
        <v>588.0</v>
      </c>
      <c r="C3588" s="9">
        <v>578.0</v>
      </c>
      <c r="D3588" s="9">
        <v>172.0</v>
      </c>
      <c r="E3588" s="9">
        <v>12.0</v>
      </c>
      <c r="F3588" s="14"/>
      <c r="G3588" s="15"/>
      <c r="H3588" s="15"/>
      <c r="I3588" s="14"/>
      <c r="P3588" s="14"/>
    </row>
    <row r="3589" ht="18.75" customHeight="1">
      <c r="A3589" s="7" t="s">
        <v>3683</v>
      </c>
      <c r="B3589" s="9">
        <v>56151.0</v>
      </c>
      <c r="C3589" s="9">
        <v>54942.0</v>
      </c>
      <c r="D3589" s="9">
        <v>12174.0</v>
      </c>
      <c r="E3589" s="9">
        <v>109.0</v>
      </c>
      <c r="F3589" s="14"/>
      <c r="G3589" s="15"/>
      <c r="H3589" s="15"/>
      <c r="I3589" s="14"/>
      <c r="P3589" s="14"/>
    </row>
    <row r="3590" ht="18.75" customHeight="1">
      <c r="A3590" s="7" t="s">
        <v>3713</v>
      </c>
      <c r="B3590" s="9">
        <v>31701.0</v>
      </c>
      <c r="C3590" s="9">
        <v>31145.0</v>
      </c>
      <c r="D3590" s="9">
        <v>10714.0</v>
      </c>
      <c r="E3590" s="9">
        <v>206.0</v>
      </c>
      <c r="F3590" s="14"/>
      <c r="G3590" s="15"/>
      <c r="H3590" s="15"/>
      <c r="I3590" s="14"/>
      <c r="P3590" s="14"/>
    </row>
    <row r="3591" ht="18.75" customHeight="1">
      <c r="A3591" s="7" t="s">
        <v>3713</v>
      </c>
      <c r="B3591" s="9">
        <v>10212.0</v>
      </c>
      <c r="C3591" s="9">
        <v>10073.0</v>
      </c>
      <c r="D3591" s="9">
        <v>3096.0</v>
      </c>
      <c r="E3591" s="9">
        <v>61.0</v>
      </c>
      <c r="F3591" s="14"/>
      <c r="G3591" s="15"/>
      <c r="H3591" s="15"/>
      <c r="I3591" s="14"/>
      <c r="P3591" s="14"/>
    </row>
    <row r="3592" ht="18.75" customHeight="1">
      <c r="A3592" s="7" t="s">
        <v>3713</v>
      </c>
      <c r="B3592" s="9">
        <v>89013.0</v>
      </c>
      <c r="C3592" s="9">
        <v>87444.0</v>
      </c>
      <c r="D3592" s="9">
        <v>25917.0</v>
      </c>
      <c r="E3592" s="9">
        <v>256.0</v>
      </c>
      <c r="F3592" s="14"/>
      <c r="G3592" s="15"/>
      <c r="H3592" s="15"/>
      <c r="I3592" s="14"/>
      <c r="P3592" s="14"/>
    </row>
    <row r="3593" ht="18.75" customHeight="1">
      <c r="A3593" s="7" t="s">
        <v>362</v>
      </c>
      <c r="B3593" s="9">
        <v>205867.0</v>
      </c>
      <c r="C3593" s="9">
        <v>205004.0</v>
      </c>
      <c r="D3593" s="9">
        <v>136253.0</v>
      </c>
      <c r="E3593" s="9">
        <v>2553.0</v>
      </c>
      <c r="F3593" s="14"/>
      <c r="G3593" s="15"/>
      <c r="H3593" s="15"/>
      <c r="I3593" s="14"/>
      <c r="P3593" s="14"/>
    </row>
    <row r="3594" ht="18.75" customHeight="1">
      <c r="A3594" s="7" t="s">
        <v>3727</v>
      </c>
      <c r="B3594" s="9">
        <v>54986.0</v>
      </c>
      <c r="C3594" s="9">
        <v>53603.0</v>
      </c>
      <c r="D3594" s="9">
        <v>12464.0</v>
      </c>
      <c r="E3594" s="9">
        <v>193.0</v>
      </c>
      <c r="F3594" s="14"/>
      <c r="G3594" s="15"/>
      <c r="H3594" s="15"/>
      <c r="I3594" s="14"/>
      <c r="P3594" s="14"/>
    </row>
    <row r="3595" ht="18.75" customHeight="1">
      <c r="A3595" s="7" t="s">
        <v>3727</v>
      </c>
      <c r="B3595" s="9">
        <v>167182.0</v>
      </c>
      <c r="C3595" s="9">
        <v>163662.0</v>
      </c>
      <c r="D3595" s="9">
        <v>21411.0</v>
      </c>
      <c r="E3595" s="9">
        <v>55.0</v>
      </c>
      <c r="F3595" s="14"/>
      <c r="G3595" s="15"/>
      <c r="H3595" s="15"/>
      <c r="I3595" s="14"/>
      <c r="P3595" s="14"/>
    </row>
    <row r="3596" ht="18.75" customHeight="1">
      <c r="A3596" s="7" t="s">
        <v>385</v>
      </c>
      <c r="B3596" s="9">
        <v>31797.0</v>
      </c>
      <c r="C3596" s="9">
        <v>31217.0</v>
      </c>
      <c r="D3596" s="9">
        <v>9478.0</v>
      </c>
      <c r="E3596" s="9">
        <v>146.0</v>
      </c>
      <c r="F3596" s="14"/>
      <c r="G3596" s="15"/>
      <c r="H3596" s="15"/>
      <c r="I3596" s="14"/>
      <c r="P3596" s="14"/>
    </row>
    <row r="3597" ht="18.75" customHeight="1">
      <c r="A3597" s="7" t="s">
        <v>3094</v>
      </c>
      <c r="B3597" s="9">
        <v>52957.0</v>
      </c>
      <c r="C3597" s="9">
        <v>51945.0</v>
      </c>
      <c r="D3597" s="9">
        <v>13465.0</v>
      </c>
      <c r="E3597" s="9">
        <v>140.0</v>
      </c>
      <c r="F3597" s="14"/>
      <c r="G3597" s="15"/>
      <c r="H3597" s="15"/>
      <c r="I3597" s="14"/>
      <c r="P3597" s="14"/>
    </row>
    <row r="3598" ht="18.75" customHeight="1">
      <c r="A3598" s="7" t="s">
        <v>3094</v>
      </c>
      <c r="B3598" s="9">
        <v>17023.0</v>
      </c>
      <c r="C3598" s="9">
        <v>16612.0</v>
      </c>
      <c r="D3598" s="9">
        <v>3419.0</v>
      </c>
      <c r="E3598" s="9">
        <v>49.0</v>
      </c>
      <c r="F3598" s="14"/>
      <c r="G3598" s="15"/>
      <c r="H3598" s="15"/>
      <c r="I3598" s="14"/>
      <c r="P3598" s="14"/>
    </row>
    <row r="3599" ht="18.75" customHeight="1">
      <c r="A3599" s="7" t="s">
        <v>3094</v>
      </c>
      <c r="B3599" s="9">
        <v>6600.0</v>
      </c>
      <c r="C3599" s="9">
        <v>6494.0</v>
      </c>
      <c r="D3599" s="9">
        <v>2008.0</v>
      </c>
      <c r="E3599" s="9">
        <v>11.0</v>
      </c>
      <c r="F3599" s="14"/>
      <c r="G3599" s="15"/>
      <c r="H3599" s="15"/>
      <c r="I3599" s="14"/>
      <c r="P3599" s="14"/>
    </row>
    <row r="3600" ht="18.75" customHeight="1">
      <c r="A3600" s="7" t="s">
        <v>3730</v>
      </c>
      <c r="B3600" s="9">
        <v>129.0</v>
      </c>
      <c r="C3600" s="9">
        <v>128.0</v>
      </c>
      <c r="D3600" s="9">
        <v>53.0</v>
      </c>
      <c r="E3600" s="9">
        <v>2.0</v>
      </c>
      <c r="F3600" s="14"/>
      <c r="G3600" s="15"/>
      <c r="H3600" s="15"/>
      <c r="I3600" s="14"/>
      <c r="P3600" s="14"/>
    </row>
    <row r="3601" ht="18.75" customHeight="1">
      <c r="A3601" s="7" t="s">
        <v>3736</v>
      </c>
      <c r="B3601" s="9">
        <v>97.0</v>
      </c>
      <c r="C3601" s="9">
        <v>96.0</v>
      </c>
      <c r="D3601" s="9">
        <v>52.0</v>
      </c>
      <c r="E3601" s="9">
        <v>3.0</v>
      </c>
      <c r="F3601" s="14"/>
      <c r="G3601" s="15"/>
      <c r="H3601" s="15"/>
      <c r="I3601" s="14"/>
      <c r="P3601" s="14"/>
    </row>
    <row r="3602" ht="18.75" customHeight="1">
      <c r="A3602" s="7" t="s">
        <v>3731</v>
      </c>
      <c r="B3602" s="9">
        <v>86.0</v>
      </c>
      <c r="C3602" s="9">
        <v>86.0</v>
      </c>
      <c r="D3602" s="9">
        <v>46.0</v>
      </c>
      <c r="E3602" s="9">
        <v>1.0</v>
      </c>
      <c r="F3602" s="14"/>
      <c r="G3602" s="15"/>
      <c r="H3602" s="15"/>
      <c r="I3602" s="14"/>
      <c r="P3602" s="14"/>
    </row>
    <row r="3603" ht="18.75" customHeight="1">
      <c r="A3603" s="7" t="s">
        <v>3732</v>
      </c>
      <c r="B3603" s="9">
        <v>142.0</v>
      </c>
      <c r="C3603" s="9">
        <v>141.0</v>
      </c>
      <c r="D3603" s="9">
        <v>73.0</v>
      </c>
      <c r="E3603" s="9">
        <v>2.0</v>
      </c>
      <c r="F3603" s="14"/>
      <c r="G3603" s="15"/>
      <c r="H3603" s="15"/>
      <c r="I3603" s="14"/>
      <c r="P3603" s="14"/>
    </row>
    <row r="3604" ht="18.75" customHeight="1">
      <c r="A3604" s="7" t="s">
        <v>3737</v>
      </c>
      <c r="B3604" s="9">
        <v>126.0</v>
      </c>
      <c r="C3604" s="9">
        <v>125.0</v>
      </c>
      <c r="D3604" s="9">
        <v>56.0</v>
      </c>
      <c r="E3604" s="9">
        <v>1.0</v>
      </c>
      <c r="F3604" s="14"/>
      <c r="G3604" s="15"/>
      <c r="H3604" s="15"/>
      <c r="I3604" s="14"/>
      <c r="P3604" s="14"/>
    </row>
    <row r="3605" ht="18.75" customHeight="1">
      <c r="A3605" s="7" t="s">
        <v>3733</v>
      </c>
      <c r="B3605" s="9">
        <v>105.0</v>
      </c>
      <c r="C3605" s="9">
        <v>104.0</v>
      </c>
      <c r="D3605" s="9">
        <v>43.0</v>
      </c>
      <c r="E3605" s="9">
        <v>1.0</v>
      </c>
      <c r="F3605" s="14"/>
      <c r="G3605" s="15"/>
      <c r="H3605" s="15"/>
      <c r="I3605" s="14"/>
      <c r="P3605" s="14"/>
    </row>
    <row r="3606" ht="18.75" customHeight="1">
      <c r="A3606" s="7" t="s">
        <v>3738</v>
      </c>
      <c r="B3606" s="9">
        <v>119.0</v>
      </c>
      <c r="C3606" s="9">
        <v>118.0</v>
      </c>
      <c r="D3606" s="9">
        <v>54.0</v>
      </c>
      <c r="E3606" s="9">
        <v>1.0</v>
      </c>
      <c r="F3606" s="14"/>
      <c r="G3606" s="15"/>
      <c r="H3606" s="15"/>
      <c r="I3606" s="14"/>
      <c r="P3606" s="14"/>
    </row>
    <row r="3607" ht="18.75" customHeight="1">
      <c r="A3607" s="7" t="s">
        <v>408</v>
      </c>
      <c r="B3607" s="9">
        <v>57.0</v>
      </c>
      <c r="C3607" s="9">
        <v>46.0</v>
      </c>
      <c r="D3607" s="9">
        <v>18.0</v>
      </c>
      <c r="E3607" s="9">
        <v>4.0</v>
      </c>
      <c r="F3607" s="14"/>
      <c r="G3607" s="15"/>
      <c r="H3607" s="15"/>
      <c r="I3607" s="14"/>
      <c r="P3607" s="14"/>
    </row>
    <row r="3608" ht="18.75" customHeight="1">
      <c r="A3608" s="7" t="s">
        <v>408</v>
      </c>
      <c r="B3608" s="9">
        <v>27527.0</v>
      </c>
      <c r="C3608" s="9">
        <v>26870.0</v>
      </c>
      <c r="D3608" s="9">
        <v>7956.0</v>
      </c>
      <c r="E3608" s="9">
        <v>112.0</v>
      </c>
      <c r="F3608" s="14"/>
      <c r="G3608" s="15"/>
      <c r="H3608" s="15"/>
      <c r="I3608" s="14"/>
      <c r="P3608" s="14"/>
    </row>
    <row r="3609" ht="18.75" customHeight="1">
      <c r="A3609" s="7" t="s">
        <v>3742</v>
      </c>
      <c r="B3609" s="9">
        <v>72956.0</v>
      </c>
      <c r="C3609" s="9">
        <v>71961.0</v>
      </c>
      <c r="D3609" s="9">
        <v>36078.0</v>
      </c>
      <c r="E3609" s="9">
        <v>725.0</v>
      </c>
      <c r="F3609" s="14"/>
      <c r="G3609" s="15"/>
      <c r="H3609" s="15"/>
      <c r="I3609" s="14"/>
      <c r="P3609" s="14"/>
    </row>
    <row r="3610" ht="18.75" customHeight="1">
      <c r="A3610" s="7" t="s">
        <v>420</v>
      </c>
      <c r="B3610" s="9">
        <v>187410.0</v>
      </c>
      <c r="C3610" s="9">
        <v>185928.0</v>
      </c>
      <c r="D3610" s="9">
        <v>98377.0</v>
      </c>
      <c r="E3610" s="9">
        <v>586.0</v>
      </c>
      <c r="F3610" s="14"/>
      <c r="G3610" s="15"/>
      <c r="H3610" s="15"/>
      <c r="I3610" s="14"/>
      <c r="P3610" s="14"/>
    </row>
    <row r="3611" ht="18.75" customHeight="1">
      <c r="A3611" s="7" t="s">
        <v>420</v>
      </c>
      <c r="B3611" s="9">
        <v>76274.0</v>
      </c>
      <c r="C3611" s="9">
        <v>75847.0</v>
      </c>
      <c r="D3611" s="9">
        <v>43495.0</v>
      </c>
      <c r="E3611" s="9">
        <v>360.0</v>
      </c>
      <c r="F3611" s="14"/>
      <c r="G3611" s="15"/>
      <c r="H3611" s="15"/>
      <c r="I3611" s="14"/>
      <c r="P3611" s="14"/>
    </row>
    <row r="3612" ht="18.75" customHeight="1">
      <c r="A3612" s="7" t="s">
        <v>3735</v>
      </c>
      <c r="B3612" s="9">
        <v>77.0</v>
      </c>
      <c r="C3612" s="9">
        <v>77.0</v>
      </c>
      <c r="D3612" s="9">
        <v>27.0</v>
      </c>
      <c r="E3612" s="9">
        <v>0.0</v>
      </c>
      <c r="F3612" s="14"/>
      <c r="G3612" s="15"/>
      <c r="H3612" s="15"/>
      <c r="I3612" s="14"/>
      <c r="P3612" s="14"/>
    </row>
    <row r="3613" ht="18.75" customHeight="1">
      <c r="A3613" s="7" t="s">
        <v>2857</v>
      </c>
      <c r="B3613" s="9">
        <v>26565.0</v>
      </c>
      <c r="C3613" s="9">
        <v>26085.0</v>
      </c>
      <c r="D3613" s="9">
        <v>7713.0</v>
      </c>
      <c r="E3613" s="9">
        <v>182.0</v>
      </c>
      <c r="F3613" s="14"/>
      <c r="G3613" s="15"/>
      <c r="H3613" s="15"/>
      <c r="I3613" s="14"/>
      <c r="P3613" s="14"/>
    </row>
    <row r="3614" ht="18.75" customHeight="1">
      <c r="A3614" s="7" t="s">
        <v>3743</v>
      </c>
      <c r="B3614" s="9">
        <v>45423.0</v>
      </c>
      <c r="C3614" s="9">
        <v>39567.0</v>
      </c>
      <c r="D3614" s="9">
        <v>6946.0</v>
      </c>
      <c r="E3614" s="9">
        <v>218.0</v>
      </c>
      <c r="F3614" s="14"/>
      <c r="G3614" s="15"/>
      <c r="H3614" s="15"/>
      <c r="I3614" s="14"/>
      <c r="P3614" s="14"/>
    </row>
    <row r="3615" ht="18.75" customHeight="1">
      <c r="A3615" s="7" t="s">
        <v>3713</v>
      </c>
      <c r="B3615" s="9">
        <v>58269.0</v>
      </c>
      <c r="C3615" s="9">
        <v>56497.0</v>
      </c>
      <c r="D3615" s="9">
        <v>6455.0</v>
      </c>
      <c r="E3615" s="9">
        <v>58.0</v>
      </c>
      <c r="F3615" s="14"/>
      <c r="G3615" s="15"/>
      <c r="H3615" s="15"/>
      <c r="I3615" s="14"/>
      <c r="P3615" s="14"/>
    </row>
    <row r="3616" ht="18.75" customHeight="1">
      <c r="A3616" s="7" t="s">
        <v>3713</v>
      </c>
      <c r="B3616" s="9">
        <v>106212.0</v>
      </c>
      <c r="C3616" s="9">
        <v>103482.0</v>
      </c>
      <c r="D3616" s="9">
        <v>9980.0</v>
      </c>
      <c r="E3616" s="9">
        <v>165.0</v>
      </c>
      <c r="F3616" s="14"/>
      <c r="G3616" s="15"/>
      <c r="H3616" s="15"/>
      <c r="I3616" s="14"/>
      <c r="P3616" s="14"/>
    </row>
    <row r="3617" ht="18.75" customHeight="1">
      <c r="A3617" s="7" t="s">
        <v>370</v>
      </c>
      <c r="B3617" s="9">
        <v>576.0</v>
      </c>
      <c r="C3617" s="9">
        <v>570.0</v>
      </c>
      <c r="D3617" s="9">
        <v>221.0</v>
      </c>
      <c r="E3617" s="9">
        <v>11.0</v>
      </c>
      <c r="F3617" s="14"/>
      <c r="G3617" s="15"/>
      <c r="H3617" s="15"/>
      <c r="I3617" s="14"/>
      <c r="P3617" s="14"/>
    </row>
    <row r="3618" ht="18.75" customHeight="1">
      <c r="A3618" s="7" t="s">
        <v>376</v>
      </c>
      <c r="B3618" s="9">
        <v>81077.0</v>
      </c>
      <c r="C3618" s="9">
        <v>79591.0</v>
      </c>
      <c r="D3618" s="9">
        <v>31217.0</v>
      </c>
      <c r="E3618" s="9">
        <v>1060.0</v>
      </c>
      <c r="F3618" s="14"/>
      <c r="G3618" s="15"/>
      <c r="H3618" s="15"/>
      <c r="I3618" s="14"/>
      <c r="P3618" s="14"/>
    </row>
    <row r="3619" ht="18.75" customHeight="1">
      <c r="A3619" s="7" t="s">
        <v>392</v>
      </c>
      <c r="B3619" s="9">
        <v>107153.0</v>
      </c>
      <c r="C3619" s="9">
        <v>104947.0</v>
      </c>
      <c r="D3619" s="9">
        <v>26937.0</v>
      </c>
      <c r="E3619" s="9">
        <v>322.0</v>
      </c>
      <c r="F3619" s="14"/>
      <c r="G3619" s="15"/>
      <c r="H3619" s="15"/>
      <c r="I3619" s="14"/>
      <c r="P3619" s="14"/>
    </row>
    <row r="3620" ht="18.75" customHeight="1">
      <c r="A3620" s="7" t="s">
        <v>392</v>
      </c>
      <c r="B3620" s="9">
        <v>159818.0</v>
      </c>
      <c r="C3620" s="9">
        <v>155934.0</v>
      </c>
      <c r="D3620" s="9">
        <v>39863.0</v>
      </c>
      <c r="E3620" s="9">
        <v>53.0</v>
      </c>
      <c r="F3620" s="14"/>
      <c r="G3620" s="15"/>
      <c r="H3620" s="15"/>
      <c r="I3620" s="14"/>
      <c r="P3620" s="14"/>
    </row>
    <row r="3621" ht="18.75" customHeight="1">
      <c r="A3621" s="7" t="s">
        <v>368</v>
      </c>
      <c r="B3621" s="9">
        <v>100.0</v>
      </c>
      <c r="C3621" s="9">
        <v>100.0</v>
      </c>
      <c r="D3621" s="9">
        <v>36.0</v>
      </c>
      <c r="E3621" s="9">
        <v>6.0</v>
      </c>
      <c r="F3621" s="14"/>
      <c r="G3621" s="15"/>
      <c r="H3621" s="15"/>
      <c r="I3621" s="14"/>
      <c r="P3621" s="14"/>
    </row>
    <row r="3622" ht="18.75" customHeight="1">
      <c r="A3622" s="7" t="s">
        <v>3743</v>
      </c>
      <c r="B3622" s="9">
        <v>105365.0</v>
      </c>
      <c r="C3622" s="9">
        <v>104150.0</v>
      </c>
      <c r="D3622" s="9">
        <v>14377.0</v>
      </c>
      <c r="E3622" s="9">
        <v>114.0</v>
      </c>
      <c r="F3622" s="14"/>
      <c r="G3622" s="15"/>
      <c r="H3622" s="15"/>
      <c r="I3622" s="14"/>
      <c r="P3622" s="14"/>
    </row>
    <row r="3623" ht="18.75" customHeight="1">
      <c r="A3623" s="7" t="s">
        <v>372</v>
      </c>
      <c r="B3623" s="9">
        <v>4684.0</v>
      </c>
      <c r="C3623" s="9">
        <v>4594.0</v>
      </c>
      <c r="D3623" s="9">
        <v>1542.0</v>
      </c>
      <c r="E3623" s="9">
        <v>78.0</v>
      </c>
      <c r="F3623" s="14"/>
      <c r="G3623" s="15"/>
      <c r="H3623" s="15"/>
      <c r="I3623" s="14"/>
      <c r="P3623" s="14"/>
    </row>
    <row r="3624" ht="18.75" customHeight="1">
      <c r="A3624" s="7" t="s">
        <v>3719</v>
      </c>
      <c r="B3624" s="9">
        <v>108037.0</v>
      </c>
      <c r="C3624" s="9">
        <v>107770.0</v>
      </c>
      <c r="D3624" s="9">
        <v>45580.0</v>
      </c>
      <c r="E3624" s="9">
        <v>611.0</v>
      </c>
      <c r="F3624" s="14"/>
      <c r="G3624" s="15"/>
      <c r="H3624" s="15"/>
      <c r="I3624" s="14"/>
      <c r="P3624" s="14"/>
    </row>
    <row r="3625" ht="18.75" customHeight="1">
      <c r="A3625" s="7" t="s">
        <v>360</v>
      </c>
      <c r="B3625" s="9">
        <v>13640.0</v>
      </c>
      <c r="C3625" s="9">
        <v>13399.0</v>
      </c>
      <c r="D3625" s="9">
        <v>3726.0</v>
      </c>
      <c r="E3625" s="9">
        <v>48.0</v>
      </c>
      <c r="F3625" s="14"/>
      <c r="G3625" s="15"/>
      <c r="H3625" s="15"/>
      <c r="I3625" s="14"/>
      <c r="P3625" s="14"/>
    </row>
    <row r="3626" ht="18.75" customHeight="1">
      <c r="A3626" s="7" t="s">
        <v>385</v>
      </c>
      <c r="B3626" s="9">
        <v>15274.0</v>
      </c>
      <c r="C3626" s="9">
        <v>14968.0</v>
      </c>
      <c r="D3626" s="9">
        <v>5362.0</v>
      </c>
      <c r="E3626" s="9">
        <v>133.0</v>
      </c>
      <c r="F3626" s="14"/>
      <c r="G3626" s="15"/>
      <c r="H3626" s="15"/>
      <c r="I3626" s="14"/>
      <c r="P3626" s="14"/>
    </row>
    <row r="3627" ht="18.75" customHeight="1">
      <c r="A3627" s="7" t="s">
        <v>418</v>
      </c>
      <c r="B3627" s="9">
        <v>3931.0</v>
      </c>
      <c r="C3627" s="9">
        <v>3927.0</v>
      </c>
      <c r="D3627" s="9">
        <v>2930.0</v>
      </c>
      <c r="E3627" s="9">
        <v>5.0</v>
      </c>
      <c r="F3627" s="14"/>
      <c r="G3627" s="15"/>
      <c r="H3627" s="15"/>
      <c r="I3627" s="14"/>
      <c r="P3627" s="14"/>
    </row>
    <row r="3628" ht="18.75" customHeight="1">
      <c r="A3628" s="7" t="s">
        <v>418</v>
      </c>
      <c r="B3628" s="9">
        <v>175.0</v>
      </c>
      <c r="C3628" s="9">
        <v>174.0</v>
      </c>
      <c r="D3628" s="9">
        <v>82.0</v>
      </c>
      <c r="E3628" s="9">
        <v>0.0</v>
      </c>
      <c r="F3628" s="14"/>
      <c r="G3628" s="15"/>
      <c r="H3628" s="15"/>
      <c r="I3628" s="14"/>
      <c r="P3628" s="14"/>
    </row>
    <row r="3629" ht="18.75" customHeight="1">
      <c r="A3629" s="7" t="s">
        <v>3727</v>
      </c>
      <c r="B3629" s="9">
        <v>146521.0</v>
      </c>
      <c r="C3629" s="9">
        <v>142939.0</v>
      </c>
      <c r="D3629" s="9">
        <v>7667.0</v>
      </c>
      <c r="E3629" s="9">
        <v>33.0</v>
      </c>
      <c r="F3629" s="14"/>
      <c r="G3629" s="15"/>
      <c r="H3629" s="15"/>
      <c r="I3629" s="14"/>
      <c r="P3629" s="14"/>
    </row>
    <row r="3630" ht="18.75" customHeight="1">
      <c r="A3630" s="7" t="s">
        <v>3713</v>
      </c>
      <c r="B3630" s="9">
        <v>224011.0</v>
      </c>
      <c r="C3630" s="9">
        <v>219435.0</v>
      </c>
      <c r="D3630" s="9">
        <v>66805.0</v>
      </c>
      <c r="E3630" s="9">
        <v>893.0</v>
      </c>
      <c r="F3630" s="14"/>
      <c r="G3630" s="15"/>
      <c r="H3630" s="15"/>
      <c r="I3630" s="14"/>
      <c r="P3630" s="14"/>
    </row>
    <row r="3631" ht="18.75" customHeight="1">
      <c r="A3631" s="7" t="s">
        <v>3744</v>
      </c>
      <c r="B3631" s="9">
        <v>57704.0</v>
      </c>
      <c r="C3631" s="9">
        <v>56703.0</v>
      </c>
      <c r="D3631" s="9">
        <v>20527.0</v>
      </c>
      <c r="E3631" s="9">
        <v>533.0</v>
      </c>
      <c r="F3631" s="14"/>
      <c r="G3631" s="15"/>
      <c r="H3631" s="15"/>
      <c r="I3631" s="14"/>
      <c r="P3631" s="14"/>
    </row>
    <row r="3632" ht="18.75" customHeight="1">
      <c r="A3632" s="7" t="s">
        <v>374</v>
      </c>
      <c r="B3632" s="9">
        <v>642.0</v>
      </c>
      <c r="C3632" s="9">
        <v>631.0</v>
      </c>
      <c r="D3632" s="9">
        <v>211.0</v>
      </c>
      <c r="E3632" s="9">
        <v>13.0</v>
      </c>
      <c r="F3632" s="14"/>
      <c r="G3632" s="15"/>
      <c r="H3632" s="15"/>
      <c r="I3632" s="14"/>
      <c r="P3632" s="14"/>
    </row>
    <row r="3633" ht="18.75" customHeight="1">
      <c r="A3633" s="7" t="s">
        <v>3745</v>
      </c>
      <c r="B3633" s="9">
        <v>473.0</v>
      </c>
      <c r="C3633" s="9">
        <v>470.0</v>
      </c>
      <c r="D3633" s="9">
        <v>166.0</v>
      </c>
      <c r="E3633" s="9">
        <v>20.0</v>
      </c>
      <c r="F3633" s="14"/>
      <c r="G3633" s="15"/>
      <c r="H3633" s="15"/>
      <c r="I3633" s="14"/>
      <c r="P3633" s="14"/>
    </row>
    <row r="3634" ht="18.75" customHeight="1">
      <c r="A3634" s="7" t="s">
        <v>385</v>
      </c>
      <c r="B3634" s="9">
        <v>18359.0</v>
      </c>
      <c r="C3634" s="9">
        <v>18030.0</v>
      </c>
      <c r="D3634" s="9">
        <v>6329.0</v>
      </c>
      <c r="E3634" s="9">
        <v>79.0</v>
      </c>
      <c r="F3634" s="14"/>
      <c r="G3634" s="15"/>
      <c r="H3634" s="15"/>
      <c r="I3634" s="14"/>
      <c r="P3634" s="14"/>
    </row>
    <row r="3635" ht="18.75" customHeight="1">
      <c r="A3635" s="7" t="s">
        <v>385</v>
      </c>
      <c r="B3635" s="9">
        <v>3626.0</v>
      </c>
      <c r="C3635" s="9">
        <v>3554.0</v>
      </c>
      <c r="D3635" s="9">
        <v>1657.0</v>
      </c>
      <c r="E3635" s="9">
        <v>30.0</v>
      </c>
      <c r="F3635" s="14"/>
      <c r="G3635" s="15"/>
      <c r="H3635" s="15"/>
      <c r="I3635" s="14"/>
      <c r="P3635" s="14"/>
    </row>
    <row r="3636" ht="18.75" customHeight="1">
      <c r="A3636" s="7" t="s">
        <v>396</v>
      </c>
      <c r="B3636" s="9">
        <v>110845.0</v>
      </c>
      <c r="C3636" s="9">
        <v>108728.0</v>
      </c>
      <c r="D3636" s="9">
        <v>30493.0</v>
      </c>
      <c r="E3636" s="9">
        <v>35.0</v>
      </c>
      <c r="F3636" s="14"/>
      <c r="G3636" s="15"/>
      <c r="H3636" s="15"/>
      <c r="I3636" s="14"/>
      <c r="P3636" s="14"/>
    </row>
    <row r="3637" ht="18.75" customHeight="1">
      <c r="A3637" s="7" t="s">
        <v>420</v>
      </c>
      <c r="B3637" s="9">
        <v>182908.0</v>
      </c>
      <c r="C3637" s="9">
        <v>179140.0</v>
      </c>
      <c r="D3637" s="9">
        <v>49421.0</v>
      </c>
      <c r="E3637" s="9">
        <v>416.0</v>
      </c>
      <c r="F3637" s="14"/>
      <c r="G3637" s="15"/>
      <c r="H3637" s="15"/>
      <c r="I3637" s="14"/>
      <c r="P3637" s="14"/>
    </row>
    <row r="3638" ht="18.75" customHeight="1">
      <c r="A3638" s="7" t="s">
        <v>420</v>
      </c>
      <c r="B3638" s="9">
        <v>50839.0</v>
      </c>
      <c r="C3638" s="9">
        <v>50071.0</v>
      </c>
      <c r="D3638" s="9">
        <v>16940.0</v>
      </c>
      <c r="E3638" s="9">
        <v>107.0</v>
      </c>
      <c r="F3638" s="14"/>
      <c r="G3638" s="15"/>
      <c r="H3638" s="15"/>
      <c r="I3638" s="14"/>
      <c r="P3638" s="14"/>
    </row>
    <row r="3639" ht="18.75" customHeight="1">
      <c r="A3639" s="7" t="s">
        <v>443</v>
      </c>
      <c r="B3639" s="9">
        <v>152261.0</v>
      </c>
      <c r="C3639" s="9">
        <v>149748.0</v>
      </c>
      <c r="D3639" s="9">
        <v>30386.0</v>
      </c>
      <c r="E3639" s="9">
        <v>1354.0</v>
      </c>
      <c r="F3639" s="14"/>
      <c r="G3639" s="15"/>
      <c r="H3639" s="15"/>
      <c r="I3639" s="14"/>
      <c r="P3639" s="14"/>
    </row>
    <row r="3640" ht="18.75" customHeight="1">
      <c r="A3640" s="7" t="s">
        <v>374</v>
      </c>
      <c r="B3640" s="9">
        <v>1033.0</v>
      </c>
      <c r="C3640" s="9">
        <v>1007.0</v>
      </c>
      <c r="D3640" s="9">
        <v>253.0</v>
      </c>
      <c r="E3640" s="9">
        <v>5.0</v>
      </c>
      <c r="F3640" s="14"/>
      <c r="G3640" s="15"/>
      <c r="H3640" s="15"/>
      <c r="I3640" s="14"/>
      <c r="P3640" s="14"/>
    </row>
    <row r="3641" ht="18.75" customHeight="1">
      <c r="A3641" s="7" t="s">
        <v>360</v>
      </c>
      <c r="B3641" s="9">
        <v>30216.0</v>
      </c>
      <c r="C3641" s="9">
        <v>29649.0</v>
      </c>
      <c r="D3641" s="9">
        <v>8202.0</v>
      </c>
      <c r="E3641" s="9">
        <v>35.0</v>
      </c>
      <c r="F3641" s="14"/>
      <c r="G3641" s="15"/>
      <c r="H3641" s="15"/>
      <c r="I3641" s="14"/>
      <c r="P3641" s="14"/>
    </row>
    <row r="3642" ht="18.75" customHeight="1">
      <c r="A3642" s="7" t="s">
        <v>396</v>
      </c>
      <c r="B3642" s="9">
        <v>56392.0</v>
      </c>
      <c r="C3642" s="9">
        <v>56199.0</v>
      </c>
      <c r="D3642" s="9">
        <v>32106.0</v>
      </c>
      <c r="E3642" s="9">
        <v>23.0</v>
      </c>
      <c r="F3642" s="14"/>
      <c r="G3642" s="15"/>
      <c r="H3642" s="15"/>
      <c r="I3642" s="14"/>
      <c r="P3642" s="14"/>
    </row>
    <row r="3643" ht="18.75" customHeight="1">
      <c r="A3643" s="7" t="s">
        <v>396</v>
      </c>
      <c r="B3643" s="9">
        <v>79386.0</v>
      </c>
      <c r="C3643" s="9">
        <v>79051.0</v>
      </c>
      <c r="D3643" s="9">
        <v>54255.0</v>
      </c>
      <c r="E3643" s="9">
        <v>56.0</v>
      </c>
      <c r="F3643" s="14"/>
      <c r="G3643" s="15"/>
      <c r="H3643" s="15"/>
      <c r="I3643" s="14"/>
      <c r="P3643" s="14"/>
    </row>
    <row r="3644" ht="18.75" customHeight="1">
      <c r="A3644" s="7" t="s">
        <v>3746</v>
      </c>
      <c r="B3644" s="9">
        <v>28328.0</v>
      </c>
      <c r="C3644" s="9">
        <v>25609.0</v>
      </c>
      <c r="D3644" s="9">
        <v>4034.0</v>
      </c>
      <c r="E3644" s="9">
        <v>516.0</v>
      </c>
      <c r="F3644" s="14"/>
      <c r="G3644" s="15"/>
      <c r="H3644" s="15"/>
      <c r="I3644" s="14"/>
      <c r="P3644" s="14"/>
    </row>
    <row r="3645" ht="18.75" customHeight="1">
      <c r="A3645" s="7" t="s">
        <v>408</v>
      </c>
      <c r="B3645" s="9">
        <v>68.0</v>
      </c>
      <c r="C3645" s="9">
        <v>64.0</v>
      </c>
      <c r="D3645" s="9">
        <v>23.0</v>
      </c>
      <c r="E3645" s="9">
        <v>4.0</v>
      </c>
      <c r="F3645" s="14"/>
      <c r="G3645" s="15"/>
      <c r="H3645" s="15"/>
      <c r="I3645" s="14"/>
      <c r="P3645" s="14"/>
    </row>
    <row r="3646" ht="18.75" customHeight="1">
      <c r="A3646" s="7" t="s">
        <v>2857</v>
      </c>
      <c r="B3646" s="9">
        <v>44733.0</v>
      </c>
      <c r="C3646" s="9">
        <v>43811.0</v>
      </c>
      <c r="D3646" s="9">
        <v>10912.0</v>
      </c>
      <c r="E3646" s="9">
        <v>281.0</v>
      </c>
      <c r="F3646" s="14"/>
      <c r="G3646" s="15"/>
      <c r="H3646" s="15"/>
      <c r="I3646" s="14"/>
      <c r="P3646" s="14"/>
    </row>
    <row r="3647" ht="18.75" customHeight="1">
      <c r="A3647" s="7" t="s">
        <v>443</v>
      </c>
      <c r="B3647" s="9">
        <v>84329.0</v>
      </c>
      <c r="C3647" s="9">
        <v>83946.0</v>
      </c>
      <c r="D3647" s="9">
        <v>24201.0</v>
      </c>
      <c r="E3647" s="9">
        <v>1388.0</v>
      </c>
      <c r="F3647" s="14"/>
      <c r="G3647" s="15"/>
      <c r="H3647" s="15"/>
      <c r="I3647" s="14"/>
      <c r="P3647" s="14"/>
    </row>
    <row r="3648" ht="18.75" customHeight="1">
      <c r="A3648" s="7" t="s">
        <v>2118</v>
      </c>
      <c r="B3648" s="9">
        <v>137569.0</v>
      </c>
      <c r="C3648" s="9">
        <v>134403.0</v>
      </c>
      <c r="D3648" s="9">
        <v>26069.0</v>
      </c>
      <c r="E3648" s="9">
        <v>203.0</v>
      </c>
      <c r="F3648" s="14"/>
      <c r="G3648" s="15"/>
      <c r="H3648" s="15"/>
      <c r="I3648" s="14"/>
      <c r="P3648" s="14"/>
    </row>
    <row r="3649" ht="18.75" customHeight="1">
      <c r="A3649" s="7" t="s">
        <v>441</v>
      </c>
      <c r="B3649" s="9">
        <v>54350.0</v>
      </c>
      <c r="C3649" s="9">
        <v>53349.0</v>
      </c>
      <c r="D3649" s="9">
        <v>18186.0</v>
      </c>
      <c r="E3649" s="9">
        <v>1783.0</v>
      </c>
      <c r="F3649" s="14"/>
      <c r="G3649" s="15"/>
      <c r="H3649" s="15"/>
      <c r="I3649" s="14"/>
      <c r="P3649" s="14"/>
    </row>
    <row r="3650" ht="18.75" customHeight="1">
      <c r="A3650" s="7" t="s">
        <v>446</v>
      </c>
      <c r="B3650" s="9">
        <v>80433.0</v>
      </c>
      <c r="C3650" s="9">
        <v>79263.0</v>
      </c>
      <c r="D3650" s="9">
        <v>31500.0</v>
      </c>
      <c r="E3650" s="9">
        <v>336.0</v>
      </c>
      <c r="F3650" s="14"/>
      <c r="G3650" s="15"/>
      <c r="H3650" s="15"/>
      <c r="I3650" s="14"/>
      <c r="P3650" s="14"/>
    </row>
    <row r="3651" ht="18.75" customHeight="1">
      <c r="A3651" s="7" t="s">
        <v>366</v>
      </c>
      <c r="B3651" s="9">
        <v>173.0</v>
      </c>
      <c r="C3651" s="9">
        <v>168.0</v>
      </c>
      <c r="D3651" s="9">
        <v>74.0</v>
      </c>
      <c r="E3651" s="9">
        <v>8.0</v>
      </c>
      <c r="F3651" s="14"/>
      <c r="G3651" s="15"/>
      <c r="H3651" s="15"/>
      <c r="I3651" s="14"/>
      <c r="P3651" s="14"/>
    </row>
    <row r="3652" ht="18.75" customHeight="1">
      <c r="A3652" s="7" t="s">
        <v>2123</v>
      </c>
      <c r="B3652" s="9">
        <v>54171.0</v>
      </c>
      <c r="C3652" s="9">
        <v>53129.0</v>
      </c>
      <c r="D3652" s="9">
        <v>14645.0</v>
      </c>
      <c r="E3652" s="9">
        <v>261.0</v>
      </c>
      <c r="F3652" s="14"/>
      <c r="G3652" s="15"/>
      <c r="H3652" s="15"/>
      <c r="I3652" s="14"/>
      <c r="P3652" s="14"/>
    </row>
    <row r="3653" ht="18.75" customHeight="1">
      <c r="A3653" s="7" t="s">
        <v>439</v>
      </c>
      <c r="B3653" s="9">
        <v>40370.0</v>
      </c>
      <c r="C3653" s="9">
        <v>39609.0</v>
      </c>
      <c r="D3653" s="9">
        <v>13209.0</v>
      </c>
      <c r="E3653" s="9">
        <v>1015.0</v>
      </c>
      <c r="F3653" s="14"/>
      <c r="G3653" s="15"/>
      <c r="H3653" s="15"/>
      <c r="I3653" s="14"/>
      <c r="P3653" s="14"/>
    </row>
    <row r="3654" ht="18.75" customHeight="1">
      <c r="A3654" s="7" t="s">
        <v>439</v>
      </c>
      <c r="B3654" s="9">
        <v>49686.0</v>
      </c>
      <c r="C3654" s="9">
        <v>49286.0</v>
      </c>
      <c r="D3654" s="9">
        <v>30603.0</v>
      </c>
      <c r="E3654" s="9">
        <v>1552.0</v>
      </c>
      <c r="F3654" s="14"/>
      <c r="G3654" s="15"/>
      <c r="H3654" s="15"/>
      <c r="I3654" s="14"/>
      <c r="P3654" s="14"/>
    </row>
    <row r="3655" ht="18.75" customHeight="1">
      <c r="A3655" s="7" t="s">
        <v>452</v>
      </c>
      <c r="B3655" s="9">
        <v>19049.0</v>
      </c>
      <c r="C3655" s="9">
        <v>18706.0</v>
      </c>
      <c r="D3655" s="9">
        <v>2801.0</v>
      </c>
      <c r="E3655" s="9">
        <v>180.0</v>
      </c>
      <c r="F3655" s="14"/>
      <c r="G3655" s="15"/>
      <c r="H3655" s="15"/>
      <c r="I3655" s="14"/>
      <c r="P3655" s="14"/>
    </row>
    <row r="3656" ht="18.75" customHeight="1">
      <c r="A3656" s="7" t="s">
        <v>2121</v>
      </c>
      <c r="B3656" s="9">
        <v>21231.0</v>
      </c>
      <c r="C3656" s="9">
        <v>20655.0</v>
      </c>
      <c r="D3656" s="9">
        <v>4087.0</v>
      </c>
      <c r="E3656" s="9">
        <v>126.0</v>
      </c>
      <c r="F3656" s="14"/>
      <c r="G3656" s="15"/>
      <c r="H3656" s="15"/>
      <c r="I3656" s="14"/>
      <c r="P3656" s="14"/>
    </row>
    <row r="3657" ht="18.75" customHeight="1">
      <c r="A3657" s="7" t="s">
        <v>2123</v>
      </c>
      <c r="B3657" s="9">
        <v>35097.0</v>
      </c>
      <c r="C3657" s="9">
        <v>34361.0</v>
      </c>
      <c r="D3657" s="9">
        <v>6945.0</v>
      </c>
      <c r="E3657" s="9">
        <v>169.0</v>
      </c>
      <c r="F3657" s="14"/>
      <c r="G3657" s="15"/>
      <c r="H3657" s="15"/>
      <c r="I3657" s="14"/>
      <c r="P3657" s="14"/>
    </row>
    <row r="3658" ht="18.75" customHeight="1">
      <c r="A3658" s="7" t="s">
        <v>398</v>
      </c>
      <c r="B3658" s="9">
        <v>40099.0</v>
      </c>
      <c r="C3658" s="9">
        <v>39295.0</v>
      </c>
      <c r="D3658" s="9">
        <v>11520.0</v>
      </c>
      <c r="E3658" s="9">
        <v>21.0</v>
      </c>
      <c r="F3658" s="14"/>
      <c r="G3658" s="15"/>
      <c r="H3658" s="15"/>
      <c r="I3658" s="14"/>
      <c r="P3658" s="14"/>
    </row>
    <row r="3659" ht="18.75" customHeight="1">
      <c r="A3659" s="7" t="s">
        <v>398</v>
      </c>
      <c r="B3659" s="9">
        <v>81574.0</v>
      </c>
      <c r="C3659" s="9">
        <v>80110.0</v>
      </c>
      <c r="D3659" s="9">
        <v>29766.0</v>
      </c>
      <c r="E3659" s="9">
        <v>66.0</v>
      </c>
      <c r="F3659" s="14"/>
      <c r="G3659" s="15"/>
      <c r="H3659" s="15"/>
      <c r="I3659" s="14"/>
      <c r="P3659" s="14"/>
    </row>
    <row r="3660" ht="18.75" customHeight="1">
      <c r="A3660" s="7" t="s">
        <v>381</v>
      </c>
      <c r="B3660" s="9">
        <v>77.0</v>
      </c>
      <c r="C3660" s="9">
        <v>74.0</v>
      </c>
      <c r="D3660" s="9">
        <v>30.0</v>
      </c>
      <c r="E3660" s="9">
        <v>7.0</v>
      </c>
      <c r="F3660" s="14"/>
      <c r="G3660" s="15"/>
      <c r="H3660" s="15"/>
      <c r="I3660" s="14"/>
      <c r="P3660" s="14"/>
    </row>
    <row r="3661" ht="18.75" customHeight="1">
      <c r="A3661" s="7" t="s">
        <v>428</v>
      </c>
      <c r="B3661" s="9">
        <v>26990.0</v>
      </c>
      <c r="C3661" s="9">
        <v>26313.0</v>
      </c>
      <c r="D3661" s="9">
        <v>4518.0</v>
      </c>
      <c r="E3661" s="9">
        <v>419.0</v>
      </c>
      <c r="F3661" s="14"/>
      <c r="G3661" s="15"/>
      <c r="H3661" s="15"/>
      <c r="I3661" s="14"/>
      <c r="P3661" s="14"/>
    </row>
    <row r="3662" ht="18.75" customHeight="1">
      <c r="A3662" s="7" t="s">
        <v>464</v>
      </c>
      <c r="B3662" s="9">
        <v>14888.0</v>
      </c>
      <c r="C3662" s="9">
        <v>14619.0</v>
      </c>
      <c r="D3662" s="9">
        <v>4977.0</v>
      </c>
      <c r="E3662" s="9">
        <v>324.0</v>
      </c>
      <c r="F3662" s="14"/>
      <c r="G3662" s="15"/>
      <c r="H3662" s="15"/>
      <c r="I3662" s="14"/>
      <c r="P3662" s="14"/>
    </row>
    <row r="3663" ht="18.75" customHeight="1">
      <c r="A3663" s="7" t="s">
        <v>390</v>
      </c>
      <c r="B3663" s="9">
        <v>119541.0</v>
      </c>
      <c r="C3663" s="9">
        <v>117944.0</v>
      </c>
      <c r="D3663" s="9">
        <v>49846.0</v>
      </c>
      <c r="E3663" s="9">
        <v>364.0</v>
      </c>
      <c r="F3663" s="14"/>
      <c r="G3663" s="15"/>
      <c r="H3663" s="15"/>
      <c r="I3663" s="14"/>
      <c r="P3663" s="14"/>
    </row>
    <row r="3664" ht="18.75" customHeight="1">
      <c r="A3664" s="7" t="s">
        <v>398</v>
      </c>
      <c r="B3664" s="9">
        <v>43377.0</v>
      </c>
      <c r="C3664" s="9">
        <v>42479.0</v>
      </c>
      <c r="D3664" s="9">
        <v>12580.0</v>
      </c>
      <c r="E3664" s="9">
        <v>33.0</v>
      </c>
      <c r="F3664" s="14"/>
      <c r="G3664" s="15"/>
      <c r="H3664" s="15"/>
      <c r="I3664" s="14"/>
      <c r="P3664" s="14"/>
    </row>
    <row r="3665" ht="18.75" customHeight="1">
      <c r="A3665" s="7" t="s">
        <v>398</v>
      </c>
      <c r="B3665" s="9">
        <v>71285.0</v>
      </c>
      <c r="C3665" s="9">
        <v>69950.0</v>
      </c>
      <c r="D3665" s="9">
        <v>27965.0</v>
      </c>
      <c r="E3665" s="9">
        <v>53.0</v>
      </c>
      <c r="F3665" s="14"/>
      <c r="G3665" s="15"/>
      <c r="H3665" s="15"/>
      <c r="I3665" s="14"/>
      <c r="P3665" s="14"/>
    </row>
    <row r="3666" ht="18.75" customHeight="1">
      <c r="A3666" s="7" t="s">
        <v>362</v>
      </c>
      <c r="B3666" s="9">
        <v>96981.0</v>
      </c>
      <c r="C3666" s="9">
        <v>94120.0</v>
      </c>
      <c r="D3666" s="9">
        <v>11169.0</v>
      </c>
      <c r="E3666" s="9">
        <v>362.0</v>
      </c>
      <c r="F3666" s="14"/>
      <c r="G3666" s="15"/>
      <c r="H3666" s="15"/>
      <c r="I3666" s="14"/>
      <c r="P3666" s="14"/>
    </row>
    <row r="3667" ht="18.75" customHeight="1">
      <c r="A3667" s="7" t="s">
        <v>408</v>
      </c>
      <c r="B3667" s="9">
        <v>28.0</v>
      </c>
      <c r="C3667" s="9">
        <v>27.0</v>
      </c>
      <c r="D3667" s="9">
        <v>13.0</v>
      </c>
      <c r="E3667" s="9">
        <v>3.0</v>
      </c>
      <c r="F3667" s="14"/>
      <c r="G3667" s="15"/>
      <c r="H3667" s="15"/>
      <c r="I3667" s="14"/>
      <c r="P3667" s="14"/>
    </row>
    <row r="3668" ht="18.75" customHeight="1">
      <c r="A3668" s="7" t="s">
        <v>426</v>
      </c>
      <c r="B3668" s="9">
        <v>3471.0</v>
      </c>
      <c r="C3668" s="9">
        <v>3443.0</v>
      </c>
      <c r="D3668" s="9">
        <v>1477.0</v>
      </c>
      <c r="E3668" s="9">
        <v>169.0</v>
      </c>
      <c r="F3668" s="14"/>
      <c r="G3668" s="15"/>
      <c r="H3668" s="15"/>
      <c r="I3668" s="14"/>
      <c r="P3668" s="14"/>
    </row>
    <row r="3669" ht="18.75" customHeight="1">
      <c r="A3669" s="7" t="s">
        <v>390</v>
      </c>
      <c r="B3669" s="9">
        <v>56896.0</v>
      </c>
      <c r="C3669" s="9">
        <v>55780.0</v>
      </c>
      <c r="D3669" s="9">
        <v>16057.0</v>
      </c>
      <c r="E3669" s="9">
        <v>139.0</v>
      </c>
      <c r="F3669" s="14"/>
      <c r="G3669" s="15"/>
      <c r="H3669" s="15"/>
      <c r="I3669" s="14"/>
      <c r="P3669" s="14"/>
    </row>
    <row r="3670" ht="18.75" customHeight="1">
      <c r="A3670" s="7" t="s">
        <v>467</v>
      </c>
      <c r="B3670" s="9">
        <v>9889.0</v>
      </c>
      <c r="C3670" s="9">
        <v>9692.0</v>
      </c>
      <c r="D3670" s="9">
        <v>3205.0</v>
      </c>
      <c r="E3670" s="9">
        <v>354.0</v>
      </c>
      <c r="F3670" s="14"/>
      <c r="G3670" s="15"/>
      <c r="H3670" s="15"/>
      <c r="I3670" s="14"/>
      <c r="P3670" s="14"/>
    </row>
    <row r="3671" ht="18.75" customHeight="1">
      <c r="A3671" s="7" t="s">
        <v>362</v>
      </c>
      <c r="B3671" s="9">
        <v>132609.0</v>
      </c>
      <c r="C3671" s="9">
        <v>129222.0</v>
      </c>
      <c r="D3671" s="9">
        <v>24495.0</v>
      </c>
      <c r="E3671" s="9">
        <v>436.0</v>
      </c>
      <c r="F3671" s="14"/>
      <c r="G3671" s="15"/>
      <c r="H3671" s="15"/>
      <c r="I3671" s="14"/>
      <c r="P3671" s="14"/>
    </row>
    <row r="3672" ht="18.75" customHeight="1">
      <c r="A3672" s="7" t="s">
        <v>452</v>
      </c>
      <c r="B3672" s="9">
        <v>254.0</v>
      </c>
      <c r="C3672" s="9">
        <v>254.0</v>
      </c>
      <c r="D3672" s="9">
        <v>159.0</v>
      </c>
      <c r="E3672" s="9">
        <v>1.0</v>
      </c>
      <c r="F3672" s="14"/>
      <c r="G3672" s="15"/>
      <c r="H3672" s="15"/>
      <c r="I3672" s="14"/>
      <c r="P3672" s="14"/>
    </row>
    <row r="3673" ht="18.75" customHeight="1">
      <c r="A3673" s="7" t="s">
        <v>450</v>
      </c>
      <c r="B3673" s="9">
        <v>22406.0</v>
      </c>
      <c r="C3673" s="9">
        <v>21763.0</v>
      </c>
      <c r="D3673" s="9">
        <v>2883.0</v>
      </c>
      <c r="E3673" s="9">
        <v>56.0</v>
      </c>
      <c r="F3673" s="14"/>
      <c r="G3673" s="15"/>
      <c r="H3673" s="15"/>
      <c r="I3673" s="14"/>
      <c r="P3673" s="14"/>
    </row>
    <row r="3674" ht="18.75" customHeight="1">
      <c r="A3674" s="7" t="s">
        <v>471</v>
      </c>
      <c r="B3674" s="9">
        <v>575.0</v>
      </c>
      <c r="C3674" s="9">
        <v>552.0</v>
      </c>
      <c r="D3674" s="9">
        <v>217.0</v>
      </c>
      <c r="E3674" s="9">
        <v>52.0</v>
      </c>
      <c r="F3674" s="14"/>
      <c r="G3674" s="15"/>
      <c r="H3674" s="15"/>
      <c r="I3674" s="14"/>
      <c r="P3674" s="14"/>
    </row>
    <row r="3675" ht="18.75" customHeight="1">
      <c r="A3675" s="7" t="s">
        <v>360</v>
      </c>
      <c r="B3675" s="9">
        <v>8580.0</v>
      </c>
      <c r="C3675" s="9">
        <v>8402.0</v>
      </c>
      <c r="D3675" s="9">
        <v>1957.0</v>
      </c>
      <c r="E3675" s="9">
        <v>17.0</v>
      </c>
      <c r="F3675" s="14"/>
      <c r="G3675" s="15"/>
      <c r="H3675" s="15"/>
      <c r="I3675" s="14"/>
      <c r="P3675" s="14"/>
    </row>
    <row r="3676" ht="18.75" customHeight="1">
      <c r="A3676" s="7" t="s">
        <v>385</v>
      </c>
      <c r="B3676" s="9">
        <v>17659.0</v>
      </c>
      <c r="C3676" s="9">
        <v>17299.0</v>
      </c>
      <c r="D3676" s="9">
        <v>4786.0</v>
      </c>
      <c r="E3676" s="9">
        <v>166.0</v>
      </c>
      <c r="F3676" s="14"/>
      <c r="G3676" s="15"/>
      <c r="H3676" s="15"/>
      <c r="I3676" s="14"/>
      <c r="P3676" s="14"/>
    </row>
    <row r="3677" ht="18.75" customHeight="1">
      <c r="A3677" s="7" t="s">
        <v>385</v>
      </c>
      <c r="B3677" s="9">
        <v>19485.0</v>
      </c>
      <c r="C3677" s="9">
        <v>19113.0</v>
      </c>
      <c r="D3677" s="9">
        <v>5474.0</v>
      </c>
      <c r="E3677" s="9">
        <v>167.0</v>
      </c>
      <c r="F3677" s="14"/>
      <c r="G3677" s="15"/>
      <c r="H3677" s="15"/>
      <c r="I3677" s="14"/>
      <c r="P3677" s="14"/>
    </row>
    <row r="3678" ht="18.75" customHeight="1">
      <c r="A3678" s="7" t="s">
        <v>366</v>
      </c>
      <c r="B3678" s="9">
        <v>157.0</v>
      </c>
      <c r="C3678" s="9">
        <v>155.0</v>
      </c>
      <c r="D3678" s="9">
        <v>45.0</v>
      </c>
      <c r="E3678" s="9">
        <v>7.0</v>
      </c>
      <c r="F3678" s="14"/>
      <c r="G3678" s="15"/>
      <c r="H3678" s="15"/>
      <c r="I3678" s="14"/>
      <c r="P3678" s="14"/>
    </row>
    <row r="3679" ht="18.75" customHeight="1">
      <c r="A3679" s="7" t="s">
        <v>483</v>
      </c>
      <c r="B3679" s="9">
        <v>69307.0</v>
      </c>
      <c r="C3679" s="9">
        <v>68518.0</v>
      </c>
      <c r="D3679" s="9">
        <v>27095.0</v>
      </c>
      <c r="E3679" s="9">
        <v>193.0</v>
      </c>
      <c r="F3679" s="14"/>
      <c r="G3679" s="15"/>
      <c r="H3679" s="15"/>
      <c r="I3679" s="14"/>
      <c r="P3679" s="14"/>
    </row>
    <row r="3680" ht="18.75" customHeight="1">
      <c r="A3680" s="7" t="s">
        <v>368</v>
      </c>
      <c r="B3680" s="9">
        <v>89.0</v>
      </c>
      <c r="C3680" s="9">
        <v>89.0</v>
      </c>
      <c r="D3680" s="9">
        <v>36.0</v>
      </c>
      <c r="E3680" s="9">
        <v>5.0</v>
      </c>
      <c r="F3680" s="14"/>
      <c r="G3680" s="15"/>
      <c r="H3680" s="15"/>
      <c r="I3680" s="14"/>
      <c r="P3680" s="14"/>
    </row>
    <row r="3681" ht="18.75" customHeight="1">
      <c r="A3681" s="7" t="s">
        <v>362</v>
      </c>
      <c r="B3681" s="9">
        <v>75345.0</v>
      </c>
      <c r="C3681" s="9">
        <v>73896.0</v>
      </c>
      <c r="D3681" s="9">
        <v>17809.0</v>
      </c>
      <c r="E3681" s="9">
        <v>396.0</v>
      </c>
      <c r="F3681" s="14"/>
      <c r="G3681" s="15"/>
      <c r="H3681" s="15"/>
      <c r="I3681" s="14"/>
      <c r="P3681" s="14"/>
    </row>
    <row r="3682" ht="18.75" customHeight="1">
      <c r="A3682" s="7" t="s">
        <v>487</v>
      </c>
      <c r="B3682" s="9">
        <v>133380.0</v>
      </c>
      <c r="C3682" s="9">
        <v>131124.0</v>
      </c>
      <c r="D3682" s="9">
        <v>51525.0</v>
      </c>
      <c r="E3682" s="9">
        <v>206.0</v>
      </c>
      <c r="F3682" s="14"/>
      <c r="G3682" s="15"/>
      <c r="H3682" s="15"/>
      <c r="I3682" s="14"/>
      <c r="P3682" s="14"/>
    </row>
    <row r="3683" ht="18.75" customHeight="1">
      <c r="A3683" s="7" t="s">
        <v>362</v>
      </c>
      <c r="B3683" s="9">
        <v>235051.0</v>
      </c>
      <c r="C3683" s="9">
        <v>229098.0</v>
      </c>
      <c r="D3683" s="9">
        <v>36962.0</v>
      </c>
      <c r="E3683" s="9">
        <v>1162.0</v>
      </c>
      <c r="F3683" s="14"/>
      <c r="G3683" s="15"/>
      <c r="H3683" s="15"/>
      <c r="I3683" s="14"/>
      <c r="P3683" s="14"/>
    </row>
    <row r="3684" ht="18.75" customHeight="1">
      <c r="A3684" s="7" t="s">
        <v>3010</v>
      </c>
      <c r="B3684" s="9">
        <v>55245.0</v>
      </c>
      <c r="C3684" s="9">
        <v>54596.0</v>
      </c>
      <c r="D3684" s="9">
        <v>21752.0</v>
      </c>
      <c r="E3684" s="9">
        <v>421.0</v>
      </c>
      <c r="F3684" s="14"/>
      <c r="G3684" s="15"/>
      <c r="H3684" s="15"/>
      <c r="I3684" s="14"/>
      <c r="P3684" s="14"/>
    </row>
    <row r="3685" ht="18.75" customHeight="1">
      <c r="A3685" s="7" t="s">
        <v>3747</v>
      </c>
      <c r="B3685" s="9">
        <v>35386.0</v>
      </c>
      <c r="C3685" s="9">
        <v>34643.0</v>
      </c>
      <c r="D3685" s="9">
        <v>7475.0</v>
      </c>
      <c r="E3685" s="9">
        <v>241.0</v>
      </c>
      <c r="F3685" s="14"/>
      <c r="G3685" s="15"/>
      <c r="H3685" s="15"/>
      <c r="I3685" s="14"/>
      <c r="P3685" s="14"/>
    </row>
    <row r="3686" ht="18.75" customHeight="1">
      <c r="A3686" s="7" t="s">
        <v>3748</v>
      </c>
      <c r="B3686" s="9">
        <v>32497.0</v>
      </c>
      <c r="C3686" s="9">
        <v>31765.0</v>
      </c>
      <c r="D3686" s="9">
        <v>8846.0</v>
      </c>
      <c r="E3686" s="9">
        <v>245.0</v>
      </c>
      <c r="F3686" s="14"/>
      <c r="G3686" s="15"/>
      <c r="H3686" s="15"/>
      <c r="I3686" s="14"/>
      <c r="P3686" s="14"/>
    </row>
    <row r="3687" ht="18.75" customHeight="1">
      <c r="A3687" s="7" t="s">
        <v>2857</v>
      </c>
      <c r="B3687" s="9">
        <v>71468.0</v>
      </c>
      <c r="C3687" s="9">
        <v>70143.0</v>
      </c>
      <c r="D3687" s="9">
        <v>21749.0</v>
      </c>
      <c r="E3687" s="9">
        <v>527.0</v>
      </c>
      <c r="F3687" s="14"/>
      <c r="G3687" s="15"/>
      <c r="H3687" s="15"/>
      <c r="I3687" s="14"/>
      <c r="P3687" s="14"/>
    </row>
    <row r="3688" ht="18.75" customHeight="1">
      <c r="A3688" s="7" t="s">
        <v>448</v>
      </c>
      <c r="B3688" s="9">
        <v>19382.0</v>
      </c>
      <c r="C3688" s="9">
        <v>19018.0</v>
      </c>
      <c r="D3688" s="9">
        <v>6067.0</v>
      </c>
      <c r="E3688" s="9">
        <v>215.0</v>
      </c>
      <c r="F3688" s="14"/>
      <c r="G3688" s="15"/>
      <c r="H3688" s="15"/>
      <c r="I3688" s="14"/>
      <c r="P3688" s="14"/>
    </row>
    <row r="3689" ht="18.75" customHeight="1">
      <c r="A3689" s="7" t="s">
        <v>583</v>
      </c>
      <c r="B3689" s="9">
        <v>36289.0</v>
      </c>
      <c r="C3689" s="9">
        <v>35904.0</v>
      </c>
      <c r="D3689" s="9">
        <v>19875.0</v>
      </c>
      <c r="E3689" s="9">
        <v>251.0</v>
      </c>
      <c r="F3689" s="14"/>
      <c r="G3689" s="15"/>
      <c r="H3689" s="15"/>
      <c r="I3689" s="14"/>
      <c r="P3689" s="14"/>
    </row>
    <row r="3690" ht="18.75" customHeight="1">
      <c r="A3690" s="7" t="s">
        <v>464</v>
      </c>
      <c r="B3690" s="9">
        <v>41.0</v>
      </c>
      <c r="C3690" s="9">
        <v>40.0</v>
      </c>
      <c r="D3690" s="9">
        <v>1.0</v>
      </c>
      <c r="E3690" s="9">
        <v>0.0</v>
      </c>
      <c r="F3690" s="14"/>
      <c r="G3690" s="15"/>
      <c r="H3690" s="15"/>
      <c r="I3690" s="14"/>
      <c r="P3690" s="14"/>
    </row>
    <row r="3691" ht="18.75" customHeight="1">
      <c r="A3691" s="7" t="s">
        <v>467</v>
      </c>
      <c r="B3691" s="9">
        <v>45056.0</v>
      </c>
      <c r="C3691" s="9">
        <v>44063.0</v>
      </c>
      <c r="D3691" s="9">
        <v>5679.0</v>
      </c>
      <c r="E3691" s="9">
        <v>219.0</v>
      </c>
      <c r="F3691" s="14"/>
      <c r="G3691" s="15"/>
      <c r="H3691" s="15"/>
      <c r="I3691" s="14"/>
      <c r="P3691" s="14"/>
    </row>
    <row r="3692" ht="18.75" customHeight="1">
      <c r="A3692" s="7" t="s">
        <v>464</v>
      </c>
      <c r="B3692" s="9">
        <v>111526.0</v>
      </c>
      <c r="C3692" s="9">
        <v>109550.0</v>
      </c>
      <c r="D3692" s="9">
        <v>27537.0</v>
      </c>
      <c r="E3692" s="9">
        <v>869.0</v>
      </c>
      <c r="F3692" s="14"/>
      <c r="G3692" s="15"/>
      <c r="H3692" s="15"/>
      <c r="I3692" s="14"/>
      <c r="P3692" s="14"/>
    </row>
    <row r="3693" ht="18.75" customHeight="1">
      <c r="A3693" s="7" t="s">
        <v>390</v>
      </c>
      <c r="B3693" s="9">
        <v>57628.0</v>
      </c>
      <c r="C3693" s="9">
        <v>56477.0</v>
      </c>
      <c r="D3693" s="9">
        <v>15737.0</v>
      </c>
      <c r="E3693" s="9">
        <v>81.0</v>
      </c>
      <c r="F3693" s="14"/>
      <c r="G3693" s="15"/>
      <c r="H3693" s="15"/>
      <c r="I3693" s="14"/>
      <c r="P3693" s="14"/>
    </row>
    <row r="3694" ht="18.75" customHeight="1">
      <c r="A3694" s="7" t="s">
        <v>392</v>
      </c>
      <c r="B3694" s="9">
        <v>126113.0</v>
      </c>
      <c r="C3694" s="9">
        <v>125616.0</v>
      </c>
      <c r="D3694" s="9">
        <v>61873.0</v>
      </c>
      <c r="E3694" s="9">
        <v>651.0</v>
      </c>
      <c r="F3694" s="14"/>
      <c r="G3694" s="15"/>
      <c r="H3694" s="15"/>
      <c r="I3694" s="14"/>
      <c r="P3694" s="14"/>
    </row>
    <row r="3695" ht="18.75" customHeight="1">
      <c r="A3695" s="7" t="s">
        <v>362</v>
      </c>
      <c r="B3695" s="9">
        <v>218202.0</v>
      </c>
      <c r="C3695" s="9">
        <v>212957.0</v>
      </c>
      <c r="D3695" s="9">
        <v>37957.0</v>
      </c>
      <c r="E3695" s="9">
        <v>1094.0</v>
      </c>
      <c r="F3695" s="14"/>
      <c r="G3695" s="15"/>
      <c r="H3695" s="15"/>
      <c r="I3695" s="14"/>
      <c r="P3695" s="14"/>
    </row>
    <row r="3696" ht="18.75" customHeight="1">
      <c r="A3696" s="7" t="s">
        <v>411</v>
      </c>
      <c r="B3696" s="9">
        <v>82291.0</v>
      </c>
      <c r="C3696" s="9">
        <v>80644.0</v>
      </c>
      <c r="D3696" s="9">
        <v>34390.0</v>
      </c>
      <c r="E3696" s="9">
        <v>427.0</v>
      </c>
      <c r="F3696" s="14"/>
      <c r="G3696" s="15"/>
      <c r="H3696" s="15"/>
      <c r="I3696" s="14"/>
      <c r="P3696" s="14"/>
    </row>
    <row r="3697" ht="18.75" customHeight="1">
      <c r="A3697" s="7" t="s">
        <v>460</v>
      </c>
      <c r="B3697" s="9">
        <v>25908.0</v>
      </c>
      <c r="C3697" s="9">
        <v>25161.0</v>
      </c>
      <c r="D3697" s="9">
        <v>3454.0</v>
      </c>
      <c r="E3697" s="9">
        <v>147.0</v>
      </c>
      <c r="F3697" s="14"/>
      <c r="G3697" s="15"/>
      <c r="H3697" s="15"/>
      <c r="I3697" s="14"/>
      <c r="P3697" s="14"/>
    </row>
    <row r="3698" ht="18.75" customHeight="1">
      <c r="A3698" s="7" t="s">
        <v>477</v>
      </c>
      <c r="B3698" s="9">
        <v>2567.0</v>
      </c>
      <c r="C3698" s="9">
        <v>2526.0</v>
      </c>
      <c r="D3698" s="9">
        <v>990.0</v>
      </c>
      <c r="E3698" s="9">
        <v>81.0</v>
      </c>
      <c r="F3698" s="14"/>
      <c r="G3698" s="15"/>
      <c r="H3698" s="15"/>
      <c r="I3698" s="14"/>
      <c r="P3698" s="14"/>
    </row>
    <row r="3699" ht="18.75" customHeight="1">
      <c r="A3699" s="7" t="s">
        <v>491</v>
      </c>
      <c r="B3699" s="9">
        <v>61921.0</v>
      </c>
      <c r="C3699" s="9">
        <v>61010.0</v>
      </c>
      <c r="D3699" s="9">
        <v>27996.0</v>
      </c>
      <c r="E3699" s="9">
        <v>209.0</v>
      </c>
      <c r="F3699" s="14"/>
      <c r="G3699" s="15"/>
      <c r="H3699" s="15"/>
      <c r="I3699" s="14"/>
      <c r="P3699" s="14"/>
    </row>
    <row r="3700" ht="18.75" customHeight="1">
      <c r="A3700" s="7" t="s">
        <v>635</v>
      </c>
      <c r="B3700" s="9">
        <v>17014.0</v>
      </c>
      <c r="C3700" s="9">
        <v>14377.0</v>
      </c>
      <c r="D3700" s="9">
        <v>2501.0</v>
      </c>
      <c r="E3700" s="9">
        <v>20.0</v>
      </c>
      <c r="F3700" s="14"/>
      <c r="G3700" s="15"/>
      <c r="H3700" s="15"/>
      <c r="I3700" s="14"/>
      <c r="P3700" s="14"/>
    </row>
    <row r="3701" ht="18.75" customHeight="1">
      <c r="A3701" s="7" t="s">
        <v>467</v>
      </c>
      <c r="B3701" s="9">
        <v>145010.0</v>
      </c>
      <c r="C3701" s="9">
        <v>142469.0</v>
      </c>
      <c r="D3701" s="9">
        <v>36180.0</v>
      </c>
      <c r="E3701" s="9">
        <v>391.0</v>
      </c>
      <c r="F3701" s="14"/>
      <c r="G3701" s="15"/>
      <c r="H3701" s="15"/>
      <c r="I3701" s="14"/>
      <c r="P3701" s="14"/>
    </row>
    <row r="3702" ht="18.75" customHeight="1">
      <c r="A3702" s="7" t="s">
        <v>431</v>
      </c>
      <c r="B3702" s="9">
        <v>84929.0</v>
      </c>
      <c r="C3702" s="9">
        <v>83307.0</v>
      </c>
      <c r="D3702" s="9">
        <v>29021.0</v>
      </c>
      <c r="E3702" s="9">
        <v>1805.0</v>
      </c>
      <c r="F3702" s="14"/>
      <c r="G3702" s="15"/>
      <c r="H3702" s="15"/>
      <c r="I3702" s="14"/>
      <c r="P3702" s="14"/>
    </row>
    <row r="3703" ht="18.75" customHeight="1">
      <c r="A3703" s="7" t="s">
        <v>489</v>
      </c>
      <c r="B3703" s="9">
        <v>26442.0</v>
      </c>
      <c r="C3703" s="9">
        <v>26188.0</v>
      </c>
      <c r="D3703" s="9">
        <v>12713.0</v>
      </c>
      <c r="E3703" s="9">
        <v>753.0</v>
      </c>
      <c r="F3703" s="14"/>
      <c r="G3703" s="15"/>
      <c r="H3703" s="15"/>
      <c r="I3703" s="14"/>
      <c r="P3703" s="14"/>
    </row>
    <row r="3704" ht="18.75" customHeight="1">
      <c r="A3704" s="7" t="s">
        <v>374</v>
      </c>
      <c r="B3704" s="9">
        <v>1435.0</v>
      </c>
      <c r="C3704" s="9">
        <v>1408.0</v>
      </c>
      <c r="D3704" s="9">
        <v>455.0</v>
      </c>
      <c r="E3704" s="9">
        <v>30.0</v>
      </c>
      <c r="F3704" s="14"/>
      <c r="G3704" s="15"/>
      <c r="H3704" s="15"/>
      <c r="I3704" s="14"/>
      <c r="P3704" s="14"/>
    </row>
    <row r="3705" ht="18.75" customHeight="1">
      <c r="A3705" s="7" t="s">
        <v>475</v>
      </c>
      <c r="B3705" s="9">
        <v>71838.0</v>
      </c>
      <c r="C3705" s="9">
        <v>70767.0</v>
      </c>
      <c r="D3705" s="9">
        <v>28370.0</v>
      </c>
      <c r="E3705" s="9">
        <v>747.0</v>
      </c>
      <c r="F3705" s="14"/>
      <c r="G3705" s="15"/>
      <c r="H3705" s="15"/>
      <c r="I3705" s="14"/>
      <c r="P3705" s="14"/>
    </row>
    <row r="3706" ht="18.75" customHeight="1">
      <c r="A3706" s="7" t="s">
        <v>462</v>
      </c>
      <c r="B3706" s="9">
        <v>36289.0</v>
      </c>
      <c r="C3706" s="9">
        <v>35904.0</v>
      </c>
      <c r="D3706" s="9">
        <v>19164.0</v>
      </c>
      <c r="E3706" s="9">
        <v>240.0</v>
      </c>
      <c r="F3706" s="14"/>
      <c r="G3706" s="15"/>
      <c r="H3706" s="15"/>
      <c r="I3706" s="14"/>
      <c r="P3706" s="14"/>
    </row>
    <row r="3707" ht="18.75" customHeight="1">
      <c r="A3707" s="7" t="s">
        <v>433</v>
      </c>
      <c r="B3707" s="9">
        <v>175380.0</v>
      </c>
      <c r="C3707" s="9">
        <v>172038.0</v>
      </c>
      <c r="D3707" s="9">
        <v>58466.0</v>
      </c>
      <c r="E3707" s="9">
        <v>3201.0</v>
      </c>
      <c r="F3707" s="14"/>
      <c r="G3707" s="15"/>
      <c r="H3707" s="15"/>
      <c r="I3707" s="14"/>
      <c r="P3707" s="14"/>
    </row>
    <row r="3708" ht="18.75" customHeight="1">
      <c r="A3708" s="7" t="s">
        <v>385</v>
      </c>
      <c r="B3708" s="9">
        <v>13184.0</v>
      </c>
      <c r="C3708" s="9">
        <v>12830.0</v>
      </c>
      <c r="D3708" s="9">
        <v>2996.0</v>
      </c>
      <c r="E3708" s="9">
        <v>69.0</v>
      </c>
      <c r="F3708" s="14"/>
      <c r="G3708" s="15"/>
      <c r="H3708" s="15"/>
      <c r="I3708" s="14"/>
      <c r="P3708" s="14"/>
    </row>
    <row r="3709" ht="18.75" customHeight="1">
      <c r="A3709" s="7" t="s">
        <v>385</v>
      </c>
      <c r="B3709" s="9">
        <v>9326.0</v>
      </c>
      <c r="C3709" s="9">
        <v>9057.0</v>
      </c>
      <c r="D3709" s="9">
        <v>2220.0</v>
      </c>
      <c r="E3709" s="9">
        <v>69.0</v>
      </c>
      <c r="F3709" s="14"/>
      <c r="G3709" s="15"/>
      <c r="H3709" s="15"/>
      <c r="I3709" s="14"/>
      <c r="P3709" s="14"/>
    </row>
    <row r="3710" ht="18.75" customHeight="1">
      <c r="A3710" s="7" t="s">
        <v>381</v>
      </c>
      <c r="B3710" s="9">
        <v>58.0</v>
      </c>
      <c r="C3710" s="9">
        <v>57.0</v>
      </c>
      <c r="D3710" s="9">
        <v>15.0</v>
      </c>
      <c r="E3710" s="9">
        <v>3.0</v>
      </c>
      <c r="F3710" s="14"/>
      <c r="G3710" s="15"/>
      <c r="H3710" s="15"/>
      <c r="I3710" s="14"/>
      <c r="P3710" s="14"/>
    </row>
    <row r="3711" ht="18.75" customHeight="1">
      <c r="A3711" s="7" t="s">
        <v>374</v>
      </c>
      <c r="B3711" s="9">
        <v>886.0</v>
      </c>
      <c r="C3711" s="9">
        <v>874.0</v>
      </c>
      <c r="D3711" s="9">
        <v>279.0</v>
      </c>
      <c r="E3711" s="9">
        <v>14.0</v>
      </c>
      <c r="F3711" s="14"/>
      <c r="G3711" s="15"/>
      <c r="H3711" s="15"/>
      <c r="I3711" s="14"/>
      <c r="P3711" s="14"/>
    </row>
    <row r="3712" ht="18.75" customHeight="1">
      <c r="A3712" s="7" t="s">
        <v>381</v>
      </c>
      <c r="B3712" s="9">
        <v>114.0</v>
      </c>
      <c r="C3712" s="9">
        <v>111.0</v>
      </c>
      <c r="D3712" s="9">
        <v>42.0</v>
      </c>
      <c r="E3712" s="9">
        <v>6.0</v>
      </c>
      <c r="F3712" s="14"/>
      <c r="G3712" s="15"/>
      <c r="H3712" s="15"/>
      <c r="I3712" s="14"/>
      <c r="P3712" s="14"/>
    </row>
    <row r="3713" ht="18.75" customHeight="1">
      <c r="A3713" s="7" t="s">
        <v>385</v>
      </c>
      <c r="B3713" s="9">
        <v>37834.0</v>
      </c>
      <c r="C3713" s="9">
        <v>37115.0</v>
      </c>
      <c r="D3713" s="9">
        <v>15372.0</v>
      </c>
      <c r="E3713" s="9">
        <v>375.0</v>
      </c>
      <c r="F3713" s="14"/>
      <c r="G3713" s="15"/>
      <c r="H3713" s="15"/>
      <c r="I3713" s="14"/>
      <c r="P3713" s="14"/>
    </row>
    <row r="3714" ht="18.75" customHeight="1">
      <c r="A3714" s="7" t="s">
        <v>507</v>
      </c>
      <c r="B3714" s="9">
        <v>311.0</v>
      </c>
      <c r="C3714" s="9">
        <v>305.0</v>
      </c>
      <c r="D3714" s="9">
        <v>146.0</v>
      </c>
      <c r="E3714" s="9">
        <v>17.0</v>
      </c>
      <c r="F3714" s="14"/>
      <c r="G3714" s="15"/>
      <c r="H3714" s="15"/>
      <c r="I3714" s="14"/>
      <c r="P3714" s="14"/>
    </row>
    <row r="3715" ht="18.75" customHeight="1">
      <c r="A3715" s="7" t="s">
        <v>422</v>
      </c>
      <c r="B3715" s="9">
        <v>116130.0</v>
      </c>
      <c r="C3715" s="9">
        <v>113538.0</v>
      </c>
      <c r="D3715" s="9">
        <v>32806.0</v>
      </c>
      <c r="E3715" s="9">
        <v>4183.0</v>
      </c>
      <c r="F3715" s="14"/>
      <c r="G3715" s="15"/>
      <c r="H3715" s="15"/>
      <c r="I3715" s="14"/>
      <c r="P3715" s="14"/>
    </row>
    <row r="3716" ht="18.75" customHeight="1">
      <c r="A3716" s="7" t="s">
        <v>390</v>
      </c>
      <c r="B3716" s="9">
        <v>214741.0</v>
      </c>
      <c r="C3716" s="9">
        <v>211169.0</v>
      </c>
      <c r="D3716" s="9">
        <v>76231.0</v>
      </c>
      <c r="E3716" s="9">
        <v>489.0</v>
      </c>
      <c r="F3716" s="14"/>
      <c r="G3716" s="15"/>
      <c r="H3716" s="15"/>
      <c r="I3716" s="14"/>
      <c r="P3716" s="14"/>
    </row>
    <row r="3717" ht="18.75" customHeight="1">
      <c r="A3717" s="7" t="s">
        <v>422</v>
      </c>
      <c r="B3717" s="9">
        <v>20493.0</v>
      </c>
      <c r="C3717" s="9">
        <v>20277.0</v>
      </c>
      <c r="D3717" s="9">
        <v>11605.0</v>
      </c>
      <c r="E3717" s="9">
        <v>922.0</v>
      </c>
      <c r="F3717" s="14"/>
      <c r="G3717" s="15"/>
      <c r="H3717" s="15"/>
      <c r="I3717" s="14"/>
      <c r="P3717" s="14"/>
    </row>
    <row r="3718" ht="18.75" customHeight="1">
      <c r="A3718" s="7" t="s">
        <v>394</v>
      </c>
      <c r="B3718" s="9">
        <v>61196.0</v>
      </c>
      <c r="C3718" s="9">
        <v>59566.0</v>
      </c>
      <c r="D3718" s="9">
        <v>6863.0</v>
      </c>
      <c r="E3718" s="9">
        <v>48.0</v>
      </c>
      <c r="F3718" s="14"/>
      <c r="G3718" s="15"/>
      <c r="H3718" s="15"/>
      <c r="I3718" s="14"/>
      <c r="P3718" s="14"/>
    </row>
    <row r="3719" ht="18.75" customHeight="1">
      <c r="A3719" s="7" t="s">
        <v>394</v>
      </c>
      <c r="B3719" s="9">
        <v>141563.0</v>
      </c>
      <c r="C3719" s="9">
        <v>138699.0</v>
      </c>
      <c r="D3719" s="9">
        <v>40009.0</v>
      </c>
      <c r="E3719" s="9">
        <v>119.0</v>
      </c>
      <c r="F3719" s="14"/>
      <c r="G3719" s="15"/>
      <c r="H3719" s="15"/>
      <c r="I3719" s="14"/>
      <c r="P3719" s="14"/>
    </row>
    <row r="3720" ht="18.75" customHeight="1">
      <c r="A3720" s="7" t="s">
        <v>385</v>
      </c>
      <c r="B3720" s="9">
        <v>16950.0</v>
      </c>
      <c r="C3720" s="9">
        <v>16653.0</v>
      </c>
      <c r="D3720" s="9">
        <v>5348.0</v>
      </c>
      <c r="E3720" s="9">
        <v>180.0</v>
      </c>
      <c r="F3720" s="14"/>
      <c r="G3720" s="15"/>
      <c r="H3720" s="15"/>
      <c r="I3720" s="14"/>
      <c r="P3720" s="14"/>
    </row>
    <row r="3721" ht="18.75" customHeight="1">
      <c r="A3721" s="7" t="s">
        <v>458</v>
      </c>
      <c r="B3721" s="9">
        <v>33944.0</v>
      </c>
      <c r="C3721" s="9">
        <v>33452.0</v>
      </c>
      <c r="D3721" s="9">
        <v>13502.0</v>
      </c>
      <c r="E3721" s="9">
        <v>579.0</v>
      </c>
      <c r="F3721" s="14"/>
      <c r="G3721" s="15"/>
      <c r="H3721" s="15"/>
      <c r="I3721" s="14"/>
      <c r="P3721" s="14"/>
    </row>
    <row r="3722" ht="18.75" customHeight="1">
      <c r="A3722" s="7" t="s">
        <v>511</v>
      </c>
      <c r="B3722" s="9">
        <v>13400.0</v>
      </c>
      <c r="C3722" s="9">
        <v>13118.0</v>
      </c>
      <c r="D3722" s="9">
        <v>3296.0</v>
      </c>
      <c r="E3722" s="9">
        <v>187.0</v>
      </c>
      <c r="F3722" s="14"/>
      <c r="G3722" s="15"/>
      <c r="H3722" s="15"/>
      <c r="I3722" s="14"/>
      <c r="P3722" s="14"/>
    </row>
    <row r="3723" ht="18.75" customHeight="1">
      <c r="A3723" s="7" t="s">
        <v>495</v>
      </c>
      <c r="B3723" s="9">
        <v>60221.0</v>
      </c>
      <c r="C3723" s="9">
        <v>59233.0</v>
      </c>
      <c r="D3723" s="9">
        <v>16558.0</v>
      </c>
      <c r="E3723" s="9">
        <v>56.0</v>
      </c>
      <c r="F3723" s="14"/>
      <c r="G3723" s="15"/>
      <c r="H3723" s="15"/>
      <c r="I3723" s="14"/>
      <c r="P3723" s="14"/>
    </row>
    <row r="3724" ht="18.75" customHeight="1">
      <c r="A3724" s="7" t="s">
        <v>495</v>
      </c>
      <c r="B3724" s="9">
        <v>19140.0</v>
      </c>
      <c r="C3724" s="9">
        <v>18854.0</v>
      </c>
      <c r="D3724" s="9">
        <v>6187.0</v>
      </c>
      <c r="E3724" s="9">
        <v>31.0</v>
      </c>
      <c r="F3724" s="14"/>
      <c r="G3724" s="15"/>
      <c r="H3724" s="15"/>
      <c r="I3724" s="14"/>
      <c r="P3724" s="14"/>
    </row>
    <row r="3725" ht="18.75" customHeight="1">
      <c r="A3725" s="7" t="s">
        <v>360</v>
      </c>
      <c r="B3725" s="9">
        <v>21194.0</v>
      </c>
      <c r="C3725" s="9">
        <v>20831.0</v>
      </c>
      <c r="D3725" s="9">
        <v>5836.0</v>
      </c>
      <c r="E3725" s="9">
        <v>54.0</v>
      </c>
      <c r="F3725" s="14"/>
      <c r="G3725" s="15"/>
      <c r="H3725" s="15"/>
      <c r="I3725" s="14"/>
      <c r="P3725" s="14"/>
    </row>
    <row r="3726" ht="18.75" customHeight="1">
      <c r="A3726" s="7" t="s">
        <v>385</v>
      </c>
      <c r="B3726" s="9">
        <v>40585.0</v>
      </c>
      <c r="C3726" s="9">
        <v>39810.0</v>
      </c>
      <c r="D3726" s="9">
        <v>12345.0</v>
      </c>
      <c r="E3726" s="9">
        <v>356.0</v>
      </c>
      <c r="F3726" s="14"/>
      <c r="G3726" s="15"/>
      <c r="H3726" s="15"/>
      <c r="I3726" s="14"/>
      <c r="P3726" s="14"/>
    </row>
    <row r="3727" ht="18.75" customHeight="1">
      <c r="A3727" s="7" t="s">
        <v>366</v>
      </c>
      <c r="B3727" s="9">
        <v>687.0</v>
      </c>
      <c r="C3727" s="9">
        <v>675.0</v>
      </c>
      <c r="D3727" s="9">
        <v>226.0</v>
      </c>
      <c r="E3727" s="9">
        <v>18.0</v>
      </c>
      <c r="F3727" s="14"/>
      <c r="G3727" s="15"/>
      <c r="H3727" s="15"/>
      <c r="I3727" s="14"/>
      <c r="P3727" s="14"/>
    </row>
    <row r="3728" ht="18.75" customHeight="1">
      <c r="A3728" s="7" t="s">
        <v>370</v>
      </c>
      <c r="B3728" s="9">
        <v>162.0</v>
      </c>
      <c r="C3728" s="9">
        <v>161.0</v>
      </c>
      <c r="D3728" s="9">
        <v>55.0</v>
      </c>
      <c r="E3728" s="9">
        <v>3.0</v>
      </c>
      <c r="F3728" s="14"/>
      <c r="G3728" s="15"/>
      <c r="H3728" s="15"/>
      <c r="I3728" s="14"/>
      <c r="P3728" s="14"/>
    </row>
    <row r="3729" ht="18.75" customHeight="1">
      <c r="A3729" s="7" t="s">
        <v>374</v>
      </c>
      <c r="B3729" s="9">
        <v>2932.0</v>
      </c>
      <c r="C3729" s="9">
        <v>2865.0</v>
      </c>
      <c r="D3729" s="9">
        <v>984.0</v>
      </c>
      <c r="E3729" s="9">
        <v>44.0</v>
      </c>
      <c r="F3729" s="14"/>
      <c r="G3729" s="15"/>
      <c r="H3729" s="15"/>
      <c r="I3729" s="14"/>
      <c r="P3729" s="14"/>
    </row>
    <row r="3730" ht="18.75" customHeight="1">
      <c r="A3730" s="7" t="s">
        <v>368</v>
      </c>
      <c r="B3730" s="9">
        <v>130.0</v>
      </c>
      <c r="C3730" s="9">
        <v>128.0</v>
      </c>
      <c r="D3730" s="9">
        <v>58.0</v>
      </c>
      <c r="E3730" s="9">
        <v>4.0</v>
      </c>
      <c r="F3730" s="14"/>
      <c r="G3730" s="15"/>
      <c r="H3730" s="15"/>
      <c r="I3730" s="14"/>
      <c r="P3730" s="14"/>
    </row>
    <row r="3731" ht="18.75" customHeight="1">
      <c r="A3731" s="7" t="s">
        <v>368</v>
      </c>
      <c r="B3731" s="9">
        <v>94.0</v>
      </c>
      <c r="C3731" s="9">
        <v>92.0</v>
      </c>
      <c r="D3731" s="9">
        <v>42.0</v>
      </c>
      <c r="E3731" s="9">
        <v>2.0</v>
      </c>
      <c r="F3731" s="14"/>
      <c r="G3731" s="15"/>
      <c r="H3731" s="15"/>
      <c r="I3731" s="14"/>
      <c r="P3731" s="14"/>
    </row>
    <row r="3732" ht="18.75" customHeight="1">
      <c r="A3732" s="7" t="s">
        <v>3749</v>
      </c>
      <c r="B3732" s="9">
        <v>32276.0</v>
      </c>
      <c r="C3732" s="9">
        <v>31677.0</v>
      </c>
      <c r="D3732" s="9">
        <v>13221.0</v>
      </c>
      <c r="E3732" s="9">
        <v>562.0</v>
      </c>
      <c r="F3732" s="14"/>
      <c r="G3732" s="15"/>
      <c r="H3732" s="15"/>
      <c r="I3732" s="14"/>
      <c r="P3732" s="14"/>
    </row>
    <row r="3733" ht="18.75" customHeight="1">
      <c r="A3733" s="7" t="s">
        <v>499</v>
      </c>
      <c r="B3733" s="9">
        <v>13427.0</v>
      </c>
      <c r="C3733" s="9">
        <v>13123.0</v>
      </c>
      <c r="D3733" s="9">
        <v>2286.0</v>
      </c>
      <c r="E3733" s="9">
        <v>83.0</v>
      </c>
      <c r="F3733" s="14"/>
      <c r="G3733" s="15"/>
      <c r="H3733" s="15"/>
      <c r="I3733" s="14"/>
      <c r="P3733" s="14"/>
    </row>
    <row r="3734" ht="18.75" customHeight="1">
      <c r="A3734" s="7" t="s">
        <v>511</v>
      </c>
      <c r="B3734" s="9">
        <v>15282.0</v>
      </c>
      <c r="C3734" s="9">
        <v>14943.0</v>
      </c>
      <c r="D3734" s="9">
        <v>2045.0</v>
      </c>
      <c r="E3734" s="9">
        <v>140.0</v>
      </c>
      <c r="F3734" s="14"/>
      <c r="G3734" s="15"/>
      <c r="H3734" s="15"/>
      <c r="I3734" s="14"/>
      <c r="P3734" s="14"/>
    </row>
    <row r="3735" ht="18.75" customHeight="1">
      <c r="A3735" s="7" t="s">
        <v>511</v>
      </c>
      <c r="B3735" s="9">
        <v>150711.0</v>
      </c>
      <c r="C3735" s="9">
        <v>148040.0</v>
      </c>
      <c r="D3735" s="9">
        <v>36848.0</v>
      </c>
      <c r="E3735" s="9">
        <v>496.0</v>
      </c>
      <c r="F3735" s="14"/>
      <c r="G3735" s="15"/>
      <c r="H3735" s="15"/>
      <c r="I3735" s="14"/>
      <c r="P3735" s="14"/>
    </row>
    <row r="3736" ht="18.75" customHeight="1">
      <c r="A3736" s="7" t="s">
        <v>406</v>
      </c>
      <c r="B3736" s="9">
        <v>34125.0</v>
      </c>
      <c r="C3736" s="9">
        <v>33543.0</v>
      </c>
      <c r="D3736" s="9">
        <v>11623.0</v>
      </c>
      <c r="E3736" s="9">
        <v>221.0</v>
      </c>
      <c r="F3736" s="14"/>
      <c r="G3736" s="15"/>
      <c r="H3736" s="15"/>
      <c r="I3736" s="14"/>
      <c r="P3736" s="14"/>
    </row>
    <row r="3737" ht="18.75" customHeight="1">
      <c r="A3737" s="7" t="s">
        <v>385</v>
      </c>
      <c r="B3737" s="9">
        <v>35243.0</v>
      </c>
      <c r="C3737" s="9">
        <v>34571.0</v>
      </c>
      <c r="D3737" s="9">
        <v>10383.0</v>
      </c>
      <c r="E3737" s="9">
        <v>251.0</v>
      </c>
      <c r="F3737" s="14"/>
      <c r="G3737" s="15"/>
      <c r="H3737" s="15"/>
      <c r="I3737" s="14"/>
      <c r="P3737" s="14"/>
    </row>
    <row r="3738" ht="18.75" customHeight="1">
      <c r="A3738" s="7" t="s">
        <v>385</v>
      </c>
      <c r="B3738" s="9">
        <v>28397.0</v>
      </c>
      <c r="C3738" s="9">
        <v>27873.0</v>
      </c>
      <c r="D3738" s="9">
        <v>8603.0</v>
      </c>
      <c r="E3738" s="9">
        <v>166.0</v>
      </c>
      <c r="F3738" s="14"/>
      <c r="G3738" s="15"/>
      <c r="H3738" s="15"/>
      <c r="I3738" s="14"/>
      <c r="P3738" s="14"/>
    </row>
    <row r="3739" ht="18.75" customHeight="1">
      <c r="A3739" s="7" t="s">
        <v>3749</v>
      </c>
      <c r="B3739" s="9">
        <v>75011.0</v>
      </c>
      <c r="C3739" s="9">
        <v>73589.0</v>
      </c>
      <c r="D3739" s="9">
        <v>18420.0</v>
      </c>
      <c r="E3739" s="9">
        <v>58.0</v>
      </c>
      <c r="F3739" s="14"/>
      <c r="G3739" s="15"/>
      <c r="H3739" s="15"/>
      <c r="I3739" s="14"/>
      <c r="P3739" s="14"/>
    </row>
    <row r="3740" ht="18.75" customHeight="1">
      <c r="A3740" s="7" t="s">
        <v>509</v>
      </c>
      <c r="B3740" s="9">
        <v>8129.0</v>
      </c>
      <c r="C3740" s="9">
        <v>8098.0</v>
      </c>
      <c r="D3740" s="9">
        <v>3082.0</v>
      </c>
      <c r="E3740" s="9">
        <v>614.0</v>
      </c>
      <c r="F3740" s="14"/>
      <c r="G3740" s="15"/>
      <c r="H3740" s="15"/>
      <c r="I3740" s="14"/>
      <c r="P3740" s="14"/>
    </row>
    <row r="3741" ht="18.75" customHeight="1">
      <c r="A3741" s="7" t="s">
        <v>509</v>
      </c>
      <c r="B3741" s="9">
        <v>29949.0</v>
      </c>
      <c r="C3741" s="9">
        <v>29919.0</v>
      </c>
      <c r="D3741" s="9">
        <v>12422.0</v>
      </c>
      <c r="E3741" s="9">
        <v>2629.0</v>
      </c>
      <c r="F3741" s="14"/>
      <c r="G3741" s="15"/>
      <c r="H3741" s="15"/>
      <c r="I3741" s="14"/>
      <c r="P3741" s="14"/>
    </row>
    <row r="3742" ht="18.75" customHeight="1">
      <c r="A3742" s="7" t="s">
        <v>441</v>
      </c>
      <c r="B3742" s="9">
        <v>33.0</v>
      </c>
      <c r="C3742" s="9">
        <v>33.0</v>
      </c>
      <c r="D3742" s="9">
        <v>11.0</v>
      </c>
      <c r="E3742" s="9">
        <v>2.0</v>
      </c>
      <c r="F3742" s="14"/>
      <c r="G3742" s="15"/>
      <c r="H3742" s="15"/>
      <c r="I3742" s="14"/>
      <c r="P3742" s="14"/>
    </row>
    <row r="3743" ht="18.75" customHeight="1">
      <c r="A3743" s="7" t="s">
        <v>441</v>
      </c>
      <c r="B3743" s="9">
        <v>102.0</v>
      </c>
      <c r="C3743" s="9">
        <v>101.0</v>
      </c>
      <c r="D3743" s="9">
        <v>38.0</v>
      </c>
      <c r="E3743" s="9">
        <v>10.0</v>
      </c>
      <c r="F3743" s="14"/>
      <c r="G3743" s="15"/>
      <c r="H3743" s="15"/>
      <c r="I3743" s="14"/>
      <c r="P3743" s="14"/>
    </row>
    <row r="3744" ht="18.75" customHeight="1">
      <c r="A3744" s="7" t="s">
        <v>441</v>
      </c>
      <c r="B3744" s="9">
        <v>153.0</v>
      </c>
      <c r="C3744" s="9">
        <v>151.0</v>
      </c>
      <c r="D3744" s="9">
        <v>59.0</v>
      </c>
      <c r="E3744" s="9">
        <v>4.0</v>
      </c>
      <c r="F3744" s="14"/>
      <c r="G3744" s="15"/>
      <c r="H3744" s="15"/>
      <c r="I3744" s="14"/>
      <c r="P3744" s="14"/>
    </row>
    <row r="3745" ht="18.75" customHeight="1">
      <c r="A3745" s="7" t="s">
        <v>493</v>
      </c>
      <c r="B3745" s="9">
        <v>99866.0</v>
      </c>
      <c r="C3745" s="9">
        <v>97981.0</v>
      </c>
      <c r="D3745" s="9">
        <v>38813.0</v>
      </c>
      <c r="E3745" s="9">
        <v>4158.0</v>
      </c>
      <c r="F3745" s="14"/>
      <c r="G3745" s="15"/>
      <c r="H3745" s="15"/>
      <c r="I3745" s="14"/>
      <c r="P3745" s="14"/>
    </row>
    <row r="3746" ht="18.75" customHeight="1">
      <c r="A3746" s="7" t="s">
        <v>441</v>
      </c>
      <c r="B3746" s="9">
        <v>630.0</v>
      </c>
      <c r="C3746" s="9">
        <v>617.0</v>
      </c>
      <c r="D3746" s="9">
        <v>255.0</v>
      </c>
      <c r="E3746" s="9">
        <v>61.0</v>
      </c>
      <c r="F3746" s="14"/>
      <c r="G3746" s="15"/>
      <c r="H3746" s="15"/>
      <c r="I3746" s="14"/>
      <c r="P3746" s="14"/>
    </row>
    <row r="3747" ht="18.75" customHeight="1">
      <c r="A3747" s="7" t="s">
        <v>441</v>
      </c>
      <c r="B3747" s="9">
        <v>402.0</v>
      </c>
      <c r="C3747" s="9">
        <v>397.0</v>
      </c>
      <c r="D3747" s="9">
        <v>167.0</v>
      </c>
      <c r="E3747" s="9">
        <v>27.0</v>
      </c>
      <c r="F3747" s="14"/>
      <c r="G3747" s="15"/>
      <c r="H3747" s="15"/>
      <c r="I3747" s="14"/>
      <c r="P3747" s="14"/>
    </row>
    <row r="3748" ht="18.75" customHeight="1">
      <c r="A3748" s="7" t="s">
        <v>441</v>
      </c>
      <c r="B3748" s="9">
        <v>60.0</v>
      </c>
      <c r="C3748" s="9">
        <v>59.0</v>
      </c>
      <c r="D3748" s="9">
        <v>25.0</v>
      </c>
      <c r="E3748" s="9">
        <v>3.0</v>
      </c>
      <c r="F3748" s="14"/>
      <c r="G3748" s="15"/>
      <c r="H3748" s="15"/>
      <c r="I3748" s="14"/>
      <c r="P3748" s="14"/>
    </row>
    <row r="3749" ht="18.75" customHeight="1">
      <c r="A3749" s="7" t="s">
        <v>441</v>
      </c>
      <c r="B3749" s="9">
        <v>58.0</v>
      </c>
      <c r="C3749" s="9">
        <v>56.0</v>
      </c>
      <c r="D3749" s="9">
        <v>24.0</v>
      </c>
      <c r="E3749" s="9">
        <v>2.0</v>
      </c>
      <c r="F3749" s="14"/>
      <c r="G3749" s="15"/>
      <c r="H3749" s="15"/>
      <c r="I3749" s="14"/>
      <c r="P3749" s="14"/>
    </row>
    <row r="3750" ht="18.75" customHeight="1">
      <c r="A3750" s="7" t="s">
        <v>441</v>
      </c>
      <c r="B3750" s="9">
        <v>559.0</v>
      </c>
      <c r="C3750" s="9">
        <v>553.0</v>
      </c>
      <c r="D3750" s="9">
        <v>243.0</v>
      </c>
      <c r="E3750" s="9">
        <v>68.0</v>
      </c>
      <c r="F3750" s="14"/>
      <c r="G3750" s="15"/>
      <c r="H3750" s="15"/>
      <c r="I3750" s="14"/>
      <c r="P3750" s="14"/>
    </row>
    <row r="3751" ht="18.75" customHeight="1">
      <c r="A3751" s="7" t="s">
        <v>441</v>
      </c>
      <c r="B3751" s="9">
        <v>213.0</v>
      </c>
      <c r="C3751" s="9">
        <v>204.0</v>
      </c>
      <c r="D3751" s="9">
        <v>91.0</v>
      </c>
      <c r="E3751" s="9">
        <v>24.0</v>
      </c>
      <c r="F3751" s="14"/>
      <c r="G3751" s="15"/>
      <c r="H3751" s="15"/>
      <c r="I3751" s="14"/>
      <c r="P3751" s="14"/>
    </row>
    <row r="3752" ht="18.75" customHeight="1">
      <c r="A3752" s="7" t="s">
        <v>441</v>
      </c>
      <c r="B3752" s="9">
        <v>42.0</v>
      </c>
      <c r="C3752" s="9">
        <v>42.0</v>
      </c>
      <c r="D3752" s="9">
        <v>25.0</v>
      </c>
      <c r="E3752" s="9">
        <v>3.0</v>
      </c>
      <c r="F3752" s="14"/>
      <c r="G3752" s="15"/>
      <c r="H3752" s="15"/>
      <c r="I3752" s="14"/>
      <c r="P3752" s="14"/>
    </row>
    <row r="3753" ht="18.75" customHeight="1">
      <c r="A3753" s="7" t="s">
        <v>398</v>
      </c>
      <c r="B3753" s="9">
        <v>42940.0</v>
      </c>
      <c r="C3753" s="9">
        <v>41966.0</v>
      </c>
      <c r="D3753" s="9">
        <v>10069.0</v>
      </c>
      <c r="E3753" s="9">
        <v>30.0</v>
      </c>
      <c r="F3753" s="14"/>
      <c r="G3753" s="15"/>
      <c r="H3753" s="15"/>
      <c r="I3753" s="14"/>
      <c r="P3753" s="14"/>
    </row>
    <row r="3754" ht="18.75" customHeight="1">
      <c r="A3754" s="7" t="s">
        <v>398</v>
      </c>
      <c r="B3754" s="9">
        <v>38038.0</v>
      </c>
      <c r="C3754" s="9">
        <v>37246.0</v>
      </c>
      <c r="D3754" s="9">
        <v>9277.0</v>
      </c>
      <c r="E3754" s="9">
        <v>23.0</v>
      </c>
      <c r="F3754" s="14"/>
      <c r="G3754" s="15"/>
      <c r="H3754" s="15"/>
      <c r="I3754" s="14"/>
      <c r="P3754" s="14"/>
    </row>
    <row r="3755" ht="18.75" customHeight="1">
      <c r="A3755" s="7" t="s">
        <v>398</v>
      </c>
      <c r="B3755" s="9">
        <v>70880.0</v>
      </c>
      <c r="C3755" s="9">
        <v>69553.0</v>
      </c>
      <c r="D3755" s="9">
        <v>20244.0</v>
      </c>
      <c r="E3755" s="9">
        <v>37.0</v>
      </c>
      <c r="F3755" s="14"/>
      <c r="G3755" s="15"/>
      <c r="H3755" s="15"/>
      <c r="I3755" s="14"/>
      <c r="P3755" s="14"/>
    </row>
    <row r="3756" ht="18.75" customHeight="1">
      <c r="A3756" s="7" t="s">
        <v>398</v>
      </c>
      <c r="B3756" s="9">
        <v>41260.0</v>
      </c>
      <c r="C3756" s="9">
        <v>40602.0</v>
      </c>
      <c r="D3756" s="9">
        <v>13830.0</v>
      </c>
      <c r="E3756" s="9">
        <v>33.0</v>
      </c>
      <c r="F3756" s="14"/>
      <c r="G3756" s="15"/>
      <c r="H3756" s="15"/>
      <c r="I3756" s="14"/>
      <c r="P3756" s="14"/>
    </row>
    <row r="3757" ht="18.75" customHeight="1">
      <c r="A3757" s="7" t="s">
        <v>2857</v>
      </c>
      <c r="B3757" s="9">
        <v>53926.0</v>
      </c>
      <c r="C3757" s="9">
        <v>52918.0</v>
      </c>
      <c r="D3757" s="9">
        <v>17130.0</v>
      </c>
      <c r="E3757" s="9">
        <v>574.0</v>
      </c>
      <c r="F3757" s="14"/>
      <c r="G3757" s="15"/>
      <c r="H3757" s="15"/>
      <c r="I3757" s="14"/>
      <c r="P3757" s="14"/>
    </row>
    <row r="3758" ht="18.75" customHeight="1">
      <c r="A3758" s="7" t="s">
        <v>456</v>
      </c>
      <c r="B3758" s="9">
        <v>34594.0</v>
      </c>
      <c r="C3758" s="9">
        <v>33987.0</v>
      </c>
      <c r="D3758" s="9">
        <v>12229.0</v>
      </c>
      <c r="E3758" s="9">
        <v>105.0</v>
      </c>
      <c r="F3758" s="14"/>
      <c r="G3758" s="15"/>
      <c r="H3758" s="15"/>
      <c r="I3758" s="14"/>
      <c r="P3758" s="14"/>
    </row>
    <row r="3759" ht="18.75" customHeight="1">
      <c r="A3759" s="7" t="s">
        <v>437</v>
      </c>
      <c r="B3759" s="9">
        <v>127724.0</v>
      </c>
      <c r="C3759" s="9">
        <v>124636.0</v>
      </c>
      <c r="D3759" s="9">
        <v>34571.0</v>
      </c>
      <c r="E3759" s="9">
        <v>4394.0</v>
      </c>
      <c r="F3759" s="14"/>
      <c r="G3759" s="15"/>
      <c r="H3759" s="15"/>
      <c r="I3759" s="14"/>
      <c r="P3759" s="14"/>
    </row>
    <row r="3760" ht="18.75" customHeight="1">
      <c r="A3760" s="7" t="s">
        <v>437</v>
      </c>
      <c r="B3760" s="9">
        <v>163991.0</v>
      </c>
      <c r="C3760" s="9">
        <v>161004.0</v>
      </c>
      <c r="D3760" s="9">
        <v>48091.0</v>
      </c>
      <c r="E3760" s="9">
        <v>3872.0</v>
      </c>
      <c r="F3760" s="14"/>
      <c r="G3760" s="15"/>
      <c r="H3760" s="15"/>
      <c r="I3760" s="14"/>
      <c r="P3760" s="14"/>
    </row>
    <row r="3761" ht="18.75" customHeight="1">
      <c r="A3761" s="7" t="s">
        <v>398</v>
      </c>
      <c r="B3761" s="9">
        <v>58849.0</v>
      </c>
      <c r="C3761" s="9">
        <v>57643.0</v>
      </c>
      <c r="D3761" s="9">
        <v>15080.0</v>
      </c>
      <c r="E3761" s="9">
        <v>55.0</v>
      </c>
      <c r="F3761" s="14"/>
      <c r="G3761" s="15"/>
      <c r="H3761" s="15"/>
      <c r="I3761" s="14"/>
      <c r="P3761" s="14"/>
    </row>
    <row r="3762" ht="18.75" customHeight="1">
      <c r="A3762" s="7" t="s">
        <v>398</v>
      </c>
      <c r="B3762" s="9">
        <v>56914.0</v>
      </c>
      <c r="C3762" s="9">
        <v>55919.0</v>
      </c>
      <c r="D3762" s="9">
        <v>17967.0</v>
      </c>
      <c r="E3762" s="9">
        <v>56.0</v>
      </c>
      <c r="F3762" s="14"/>
      <c r="G3762" s="15"/>
      <c r="H3762" s="15"/>
      <c r="I3762" s="14"/>
      <c r="P3762" s="14"/>
    </row>
    <row r="3763" ht="18.75" customHeight="1">
      <c r="A3763" s="7" t="s">
        <v>398</v>
      </c>
      <c r="B3763" s="9">
        <v>99544.0</v>
      </c>
      <c r="C3763" s="9">
        <v>95030.0</v>
      </c>
      <c r="D3763" s="9">
        <v>31238.0</v>
      </c>
      <c r="E3763" s="9">
        <v>51.0</v>
      </c>
      <c r="F3763" s="14"/>
      <c r="G3763" s="15"/>
      <c r="H3763" s="15"/>
      <c r="I3763" s="14"/>
      <c r="P3763" s="14"/>
    </row>
    <row r="3764" ht="18.75" customHeight="1">
      <c r="A3764" s="7" t="s">
        <v>398</v>
      </c>
      <c r="B3764" s="9">
        <v>53164.0</v>
      </c>
      <c r="C3764" s="9">
        <v>52178.0</v>
      </c>
      <c r="D3764" s="9">
        <v>18039.0</v>
      </c>
      <c r="E3764" s="9">
        <v>38.0</v>
      </c>
      <c r="F3764" s="14"/>
      <c r="G3764" s="15"/>
      <c r="H3764" s="15"/>
      <c r="I3764" s="14"/>
      <c r="P3764" s="14"/>
    </row>
    <row r="3765" ht="18.75" customHeight="1">
      <c r="A3765" s="7" t="s">
        <v>398</v>
      </c>
      <c r="B3765" s="9">
        <v>62635.0</v>
      </c>
      <c r="C3765" s="9">
        <v>61449.0</v>
      </c>
      <c r="D3765" s="9">
        <v>23595.0</v>
      </c>
      <c r="E3765" s="9">
        <v>39.0</v>
      </c>
      <c r="F3765" s="14"/>
      <c r="G3765" s="15"/>
      <c r="H3765" s="15"/>
      <c r="I3765" s="14"/>
      <c r="P3765" s="14"/>
    </row>
    <row r="3766" ht="18.75" customHeight="1">
      <c r="A3766" s="7" t="s">
        <v>3748</v>
      </c>
      <c r="B3766" s="9">
        <v>77.0</v>
      </c>
      <c r="C3766" s="9">
        <v>72.0</v>
      </c>
      <c r="D3766" s="9">
        <v>37.0</v>
      </c>
      <c r="E3766" s="9">
        <v>5.0</v>
      </c>
      <c r="F3766" s="14"/>
      <c r="G3766" s="15"/>
      <c r="H3766" s="15"/>
      <c r="I3766" s="14"/>
      <c r="P3766" s="14"/>
    </row>
    <row r="3767" ht="18.75" customHeight="1">
      <c r="A3767" s="7" t="s">
        <v>452</v>
      </c>
      <c r="B3767" s="9">
        <v>248.0</v>
      </c>
      <c r="C3767" s="9">
        <v>247.0</v>
      </c>
      <c r="D3767" s="9">
        <v>148.0</v>
      </c>
      <c r="E3767" s="9">
        <v>1.0</v>
      </c>
      <c r="F3767" s="14"/>
      <c r="G3767" s="15"/>
      <c r="H3767" s="15"/>
      <c r="I3767" s="14"/>
      <c r="P3767" s="14"/>
    </row>
    <row r="3768" ht="18.75" customHeight="1">
      <c r="A3768" s="7" t="s">
        <v>452</v>
      </c>
      <c r="B3768" s="9">
        <v>2749.0</v>
      </c>
      <c r="C3768" s="9">
        <v>2740.0</v>
      </c>
      <c r="D3768" s="9">
        <v>2016.0</v>
      </c>
      <c r="E3768" s="9">
        <v>3.0</v>
      </c>
      <c r="F3768" s="14"/>
      <c r="G3768" s="15"/>
      <c r="H3768" s="15"/>
      <c r="I3768" s="14"/>
      <c r="P3768" s="14"/>
    </row>
    <row r="3769" ht="18.75" customHeight="1">
      <c r="A3769" s="7" t="s">
        <v>437</v>
      </c>
      <c r="B3769" s="9">
        <v>151820.0</v>
      </c>
      <c r="C3769" s="9">
        <v>127014.0</v>
      </c>
      <c r="D3769" s="9">
        <v>43898.0</v>
      </c>
      <c r="E3769" s="9">
        <v>3287.0</v>
      </c>
      <c r="F3769" s="14"/>
      <c r="G3769" s="15"/>
      <c r="H3769" s="15"/>
      <c r="I3769" s="14"/>
      <c r="P3769" s="14"/>
    </row>
    <row r="3770" ht="18.75" customHeight="1">
      <c r="A3770" s="7" t="s">
        <v>435</v>
      </c>
      <c r="B3770" s="9">
        <v>107518.0</v>
      </c>
      <c r="C3770" s="9">
        <v>86557.0</v>
      </c>
      <c r="D3770" s="9">
        <v>31980.0</v>
      </c>
      <c r="E3770" s="9">
        <v>2402.0</v>
      </c>
      <c r="F3770" s="14"/>
      <c r="G3770" s="15"/>
      <c r="H3770" s="15"/>
      <c r="I3770" s="14"/>
      <c r="P3770" s="14"/>
    </row>
    <row r="3771" ht="18.75" customHeight="1">
      <c r="A3771" s="7" t="s">
        <v>441</v>
      </c>
      <c r="B3771" s="9">
        <v>65.0</v>
      </c>
      <c r="C3771" s="9">
        <v>65.0</v>
      </c>
      <c r="D3771" s="9">
        <v>28.0</v>
      </c>
      <c r="E3771" s="9">
        <v>2.0</v>
      </c>
      <c r="F3771" s="14"/>
      <c r="G3771" s="15"/>
      <c r="H3771" s="15"/>
      <c r="I3771" s="14"/>
      <c r="P3771" s="14"/>
    </row>
    <row r="3772" ht="18.75" customHeight="1">
      <c r="A3772" s="7" t="s">
        <v>398</v>
      </c>
      <c r="B3772" s="9">
        <v>51734.0</v>
      </c>
      <c r="C3772" s="9">
        <v>41024.0</v>
      </c>
      <c r="D3772" s="9">
        <v>14854.0</v>
      </c>
      <c r="E3772" s="9">
        <v>29.0</v>
      </c>
      <c r="F3772" s="14"/>
      <c r="G3772" s="15"/>
      <c r="H3772" s="15"/>
      <c r="I3772" s="14"/>
      <c r="P3772" s="14"/>
    </row>
    <row r="3773" ht="18.75" customHeight="1">
      <c r="A3773" s="7" t="s">
        <v>398</v>
      </c>
      <c r="B3773" s="9">
        <v>95297.0</v>
      </c>
      <c r="C3773" s="9">
        <v>78432.0</v>
      </c>
      <c r="D3773" s="9">
        <v>28629.0</v>
      </c>
      <c r="E3773" s="9">
        <v>60.0</v>
      </c>
      <c r="F3773" s="14"/>
      <c r="G3773" s="15"/>
      <c r="H3773" s="15"/>
      <c r="I3773" s="14"/>
      <c r="P3773" s="14"/>
    </row>
    <row r="3774" ht="18.75" customHeight="1">
      <c r="A3774" s="7" t="s">
        <v>385</v>
      </c>
      <c r="B3774" s="9">
        <v>8049.0</v>
      </c>
      <c r="C3774" s="9">
        <v>6018.0</v>
      </c>
      <c r="D3774" s="9">
        <v>2622.0</v>
      </c>
      <c r="E3774" s="9">
        <v>49.0</v>
      </c>
      <c r="F3774" s="14"/>
      <c r="G3774" s="15"/>
      <c r="H3774" s="15"/>
      <c r="I3774" s="14"/>
      <c r="P3774" s="14"/>
    </row>
    <row r="3775" ht="18.75" customHeight="1">
      <c r="A3775" s="7" t="s">
        <v>385</v>
      </c>
      <c r="B3775" s="9">
        <v>8879.0</v>
      </c>
      <c r="C3775" s="9">
        <v>6127.0</v>
      </c>
      <c r="D3775" s="9">
        <v>2882.0</v>
      </c>
      <c r="E3775" s="9">
        <v>138.0</v>
      </c>
      <c r="F3775" s="14"/>
      <c r="G3775" s="15"/>
      <c r="H3775" s="15"/>
      <c r="I3775" s="14"/>
      <c r="P3775" s="14"/>
    </row>
    <row r="3776" ht="18.75" customHeight="1">
      <c r="A3776" s="7" t="s">
        <v>400</v>
      </c>
      <c r="B3776" s="9">
        <v>198215.0</v>
      </c>
      <c r="C3776" s="9">
        <v>195156.0</v>
      </c>
      <c r="D3776" s="9">
        <v>99344.0</v>
      </c>
      <c r="E3776" s="9">
        <v>116.0</v>
      </c>
      <c r="F3776" s="14"/>
      <c r="G3776" s="15"/>
      <c r="H3776" s="15"/>
      <c r="I3776" s="14"/>
      <c r="P3776" s="14"/>
    </row>
    <row r="3777" ht="18.75" customHeight="1">
      <c r="A3777" s="7" t="s">
        <v>539</v>
      </c>
      <c r="B3777" s="9">
        <v>54692.0</v>
      </c>
      <c r="C3777" s="9">
        <v>53633.0</v>
      </c>
      <c r="D3777" s="9">
        <v>7522.0</v>
      </c>
      <c r="E3777" s="9">
        <v>463.0</v>
      </c>
      <c r="F3777" s="14"/>
      <c r="G3777" s="15"/>
      <c r="H3777" s="15"/>
      <c r="I3777" s="14"/>
      <c r="P3777" s="14"/>
    </row>
    <row r="3778" ht="18.75" customHeight="1">
      <c r="A3778" s="7" t="s">
        <v>479</v>
      </c>
      <c r="B3778" s="9">
        <v>95403.0</v>
      </c>
      <c r="C3778" s="9">
        <v>93208.0</v>
      </c>
      <c r="D3778" s="9">
        <v>19551.0</v>
      </c>
      <c r="E3778" s="9">
        <v>731.0</v>
      </c>
      <c r="F3778" s="14"/>
      <c r="G3778" s="15"/>
      <c r="H3778" s="15"/>
      <c r="I3778" s="14"/>
      <c r="P3778" s="14"/>
    </row>
    <row r="3779" ht="18.75" customHeight="1">
      <c r="A3779" s="7" t="s">
        <v>360</v>
      </c>
      <c r="B3779" s="9">
        <v>22163.0</v>
      </c>
      <c r="C3779" s="9">
        <v>21742.0</v>
      </c>
      <c r="D3779" s="9">
        <v>6002.0</v>
      </c>
      <c r="E3779" s="9">
        <v>60.0</v>
      </c>
      <c r="F3779" s="14"/>
      <c r="G3779" s="15"/>
      <c r="H3779" s="15"/>
      <c r="I3779" s="14"/>
      <c r="P3779" s="14"/>
    </row>
    <row r="3780" ht="18.75" customHeight="1">
      <c r="A3780" s="7" t="s">
        <v>368</v>
      </c>
      <c r="B3780" s="9">
        <v>3628.0</v>
      </c>
      <c r="C3780" s="9">
        <v>3541.0</v>
      </c>
      <c r="D3780" s="9">
        <v>1063.0</v>
      </c>
      <c r="E3780" s="9">
        <v>66.0</v>
      </c>
      <c r="F3780" s="14"/>
      <c r="G3780" s="15"/>
      <c r="H3780" s="15"/>
      <c r="I3780" s="14"/>
      <c r="P3780" s="14"/>
    </row>
    <row r="3781" ht="18.75" customHeight="1">
      <c r="A3781" s="7" t="s">
        <v>368</v>
      </c>
      <c r="B3781" s="9">
        <v>295.0</v>
      </c>
      <c r="C3781" s="9">
        <v>293.0</v>
      </c>
      <c r="D3781" s="9">
        <v>117.0</v>
      </c>
      <c r="E3781" s="9">
        <v>12.0</v>
      </c>
      <c r="F3781" s="14"/>
      <c r="G3781" s="15"/>
      <c r="H3781" s="15"/>
      <c r="I3781" s="14"/>
      <c r="P3781" s="14"/>
    </row>
    <row r="3782" ht="18.75" customHeight="1">
      <c r="A3782" s="7" t="s">
        <v>368</v>
      </c>
      <c r="B3782" s="9">
        <v>36.0</v>
      </c>
      <c r="C3782" s="9">
        <v>36.0</v>
      </c>
      <c r="D3782" s="9">
        <v>16.0</v>
      </c>
      <c r="E3782" s="9">
        <v>2.0</v>
      </c>
      <c r="F3782" s="14"/>
      <c r="G3782" s="15"/>
      <c r="H3782" s="15"/>
      <c r="I3782" s="14"/>
      <c r="P3782" s="14"/>
    </row>
    <row r="3783" ht="18.75" customHeight="1">
      <c r="A3783" s="7" t="s">
        <v>400</v>
      </c>
      <c r="B3783" s="9">
        <v>149819.0</v>
      </c>
      <c r="C3783" s="9">
        <v>149279.0</v>
      </c>
      <c r="D3783" s="9">
        <v>78759.0</v>
      </c>
      <c r="E3783" s="9">
        <v>240.0</v>
      </c>
      <c r="F3783" s="14"/>
      <c r="G3783" s="15"/>
      <c r="H3783" s="15"/>
      <c r="I3783" s="14"/>
      <c r="P3783" s="14"/>
    </row>
    <row r="3784" ht="18.75" customHeight="1">
      <c r="A3784" s="7" t="s">
        <v>555</v>
      </c>
      <c r="B3784" s="9">
        <v>22322.0</v>
      </c>
      <c r="C3784" s="9">
        <v>21947.0</v>
      </c>
      <c r="D3784" s="9">
        <v>8823.0</v>
      </c>
      <c r="E3784" s="9">
        <v>203.0</v>
      </c>
      <c r="F3784" s="14"/>
      <c r="G3784" s="15"/>
      <c r="H3784" s="15"/>
      <c r="I3784" s="14"/>
      <c r="P3784" s="14"/>
    </row>
    <row r="3785" ht="18.75" customHeight="1">
      <c r="A3785" s="7" t="s">
        <v>479</v>
      </c>
      <c r="B3785" s="9">
        <v>148115.0</v>
      </c>
      <c r="C3785" s="9">
        <v>144995.0</v>
      </c>
      <c r="D3785" s="9">
        <v>40975.0</v>
      </c>
      <c r="E3785" s="9">
        <v>1979.0</v>
      </c>
      <c r="F3785" s="14"/>
      <c r="G3785" s="15"/>
      <c r="H3785" s="15"/>
      <c r="I3785" s="14"/>
      <c r="P3785" s="14"/>
    </row>
    <row r="3786" ht="18.75" customHeight="1">
      <c r="A3786" s="7" t="s">
        <v>497</v>
      </c>
      <c r="B3786" s="9">
        <v>37639.0</v>
      </c>
      <c r="C3786" s="9">
        <v>36897.0</v>
      </c>
      <c r="D3786" s="9">
        <v>11656.0</v>
      </c>
      <c r="E3786" s="9">
        <v>564.0</v>
      </c>
      <c r="F3786" s="14"/>
      <c r="G3786" s="15"/>
      <c r="H3786" s="15"/>
      <c r="I3786" s="14"/>
      <c r="P3786" s="14"/>
    </row>
    <row r="3787" ht="18.75" customHeight="1">
      <c r="A3787" s="7" t="s">
        <v>374</v>
      </c>
      <c r="B3787" s="9">
        <v>531.0</v>
      </c>
      <c r="C3787" s="9">
        <v>521.0</v>
      </c>
      <c r="D3787" s="9">
        <v>161.0</v>
      </c>
      <c r="E3787" s="9">
        <v>9.0</v>
      </c>
      <c r="F3787" s="14"/>
      <c r="G3787" s="15"/>
      <c r="H3787" s="15"/>
      <c r="I3787" s="14"/>
      <c r="P3787" s="14"/>
    </row>
    <row r="3788" ht="18.75" customHeight="1">
      <c r="A3788" s="7" t="s">
        <v>374</v>
      </c>
      <c r="B3788" s="9">
        <v>1611.0</v>
      </c>
      <c r="C3788" s="9">
        <v>1584.0</v>
      </c>
      <c r="D3788" s="9">
        <v>558.0</v>
      </c>
      <c r="E3788" s="9">
        <v>21.0</v>
      </c>
      <c r="F3788" s="14"/>
      <c r="G3788" s="15"/>
      <c r="H3788" s="15"/>
      <c r="I3788" s="14"/>
      <c r="P3788" s="14"/>
    </row>
    <row r="3789" ht="18.75" customHeight="1">
      <c r="A3789" s="7" t="s">
        <v>366</v>
      </c>
      <c r="B3789" s="9">
        <v>385.0</v>
      </c>
      <c r="C3789" s="9">
        <v>373.0</v>
      </c>
      <c r="D3789" s="9">
        <v>149.0</v>
      </c>
      <c r="E3789" s="9">
        <v>5.0</v>
      </c>
      <c r="F3789" s="14"/>
      <c r="G3789" s="15"/>
      <c r="H3789" s="15"/>
      <c r="I3789" s="14"/>
      <c r="P3789" s="14"/>
    </row>
    <row r="3790" ht="18.75" customHeight="1">
      <c r="A3790" s="7" t="s">
        <v>456</v>
      </c>
      <c r="B3790" s="9">
        <v>30854.0</v>
      </c>
      <c r="C3790" s="9">
        <v>30044.0</v>
      </c>
      <c r="D3790" s="9">
        <v>3438.0</v>
      </c>
      <c r="E3790" s="9">
        <v>63.0</v>
      </c>
      <c r="F3790" s="14"/>
      <c r="G3790" s="15"/>
      <c r="H3790" s="15"/>
      <c r="I3790" s="14"/>
      <c r="P3790" s="14"/>
    </row>
    <row r="3791" ht="18.75" customHeight="1">
      <c r="A3791" s="7" t="s">
        <v>539</v>
      </c>
      <c r="B3791" s="9">
        <v>54588.0</v>
      </c>
      <c r="C3791" s="9">
        <v>53573.0</v>
      </c>
      <c r="D3791" s="9">
        <v>7199.0</v>
      </c>
      <c r="E3791" s="9">
        <v>330.0</v>
      </c>
      <c r="F3791" s="14"/>
      <c r="G3791" s="15"/>
      <c r="H3791" s="15"/>
      <c r="I3791" s="14"/>
      <c r="P3791" s="14"/>
    </row>
    <row r="3792" ht="18.75" customHeight="1">
      <c r="A3792" s="7" t="s">
        <v>541</v>
      </c>
      <c r="B3792" s="9">
        <v>6610.0</v>
      </c>
      <c r="C3792" s="9">
        <v>6518.0</v>
      </c>
      <c r="D3792" s="9">
        <v>1169.0</v>
      </c>
      <c r="E3792" s="9">
        <v>169.0</v>
      </c>
      <c r="F3792" s="14"/>
      <c r="G3792" s="15"/>
      <c r="H3792" s="15"/>
      <c r="I3792" s="14"/>
      <c r="P3792" s="14"/>
    </row>
    <row r="3793" ht="18.75" customHeight="1">
      <c r="A3793" s="7" t="s">
        <v>485</v>
      </c>
      <c r="B3793" s="9">
        <v>62229.0</v>
      </c>
      <c r="C3793" s="9">
        <v>60985.0</v>
      </c>
      <c r="D3793" s="9">
        <v>22156.0</v>
      </c>
      <c r="E3793" s="9">
        <v>231.0</v>
      </c>
      <c r="F3793" s="14"/>
      <c r="G3793" s="15"/>
      <c r="H3793" s="15"/>
      <c r="I3793" s="14"/>
      <c r="P3793" s="14"/>
    </row>
    <row r="3794" ht="18.75" customHeight="1">
      <c r="A3794" s="7" t="s">
        <v>539</v>
      </c>
      <c r="B3794" s="9">
        <v>299.0</v>
      </c>
      <c r="C3794" s="9">
        <v>299.0</v>
      </c>
      <c r="D3794" s="9">
        <v>186.0</v>
      </c>
      <c r="E3794" s="9">
        <v>65.0</v>
      </c>
      <c r="F3794" s="14"/>
      <c r="G3794" s="15"/>
      <c r="H3794" s="15"/>
      <c r="I3794" s="14"/>
      <c r="P3794" s="14"/>
    </row>
    <row r="3795" ht="18.75" customHeight="1">
      <c r="A3795" s="7" t="s">
        <v>553</v>
      </c>
      <c r="B3795" s="9">
        <v>150038.0</v>
      </c>
      <c r="C3795" s="9">
        <v>146815.0</v>
      </c>
      <c r="D3795" s="9">
        <v>34417.0</v>
      </c>
      <c r="E3795" s="9">
        <v>972.0</v>
      </c>
      <c r="F3795" s="14"/>
      <c r="G3795" s="15"/>
      <c r="H3795" s="15"/>
      <c r="I3795" s="14"/>
      <c r="P3795" s="14"/>
    </row>
    <row r="3796" ht="18.75" customHeight="1">
      <c r="A3796" s="7" t="s">
        <v>565</v>
      </c>
      <c r="B3796" s="9">
        <v>54169.0</v>
      </c>
      <c r="C3796" s="9">
        <v>53268.0</v>
      </c>
      <c r="D3796" s="9">
        <v>24607.0</v>
      </c>
      <c r="E3796" s="9">
        <v>1938.0</v>
      </c>
      <c r="F3796" s="14"/>
      <c r="G3796" s="15"/>
      <c r="H3796" s="15"/>
      <c r="I3796" s="14"/>
      <c r="P3796" s="14"/>
    </row>
    <row r="3797" ht="18.75" customHeight="1">
      <c r="A3797" s="7" t="s">
        <v>513</v>
      </c>
      <c r="B3797" s="9">
        <v>82441.0</v>
      </c>
      <c r="C3797" s="9">
        <v>80581.0</v>
      </c>
      <c r="D3797" s="9">
        <v>22327.0</v>
      </c>
      <c r="E3797" s="9">
        <v>5566.0</v>
      </c>
      <c r="F3797" s="14"/>
      <c r="G3797" s="15"/>
      <c r="H3797" s="15"/>
      <c r="I3797" s="14"/>
      <c r="P3797" s="14"/>
    </row>
    <row r="3798" ht="18.75" customHeight="1">
      <c r="A3798" s="7" t="s">
        <v>559</v>
      </c>
      <c r="B3798" s="9">
        <v>7062.0</v>
      </c>
      <c r="C3798" s="9">
        <v>7019.0</v>
      </c>
      <c r="D3798" s="9">
        <v>2964.0</v>
      </c>
      <c r="E3798" s="9">
        <v>229.0</v>
      </c>
      <c r="F3798" s="14"/>
      <c r="G3798" s="15"/>
      <c r="H3798" s="15"/>
      <c r="I3798" s="14"/>
      <c r="P3798" s="14"/>
    </row>
    <row r="3799" ht="18.75" customHeight="1">
      <c r="A3799" s="7" t="s">
        <v>549</v>
      </c>
      <c r="B3799" s="9">
        <v>34666.0</v>
      </c>
      <c r="C3799" s="9">
        <v>33494.0</v>
      </c>
      <c r="D3799" s="9">
        <v>5167.0</v>
      </c>
      <c r="E3799" s="9">
        <v>97.0</v>
      </c>
      <c r="F3799" s="14"/>
      <c r="G3799" s="15"/>
      <c r="H3799" s="15"/>
      <c r="I3799" s="14"/>
      <c r="P3799" s="14"/>
    </row>
    <row r="3800" ht="18.75" customHeight="1">
      <c r="A3800" s="7" t="s">
        <v>2857</v>
      </c>
      <c r="B3800" s="9">
        <v>76703.0</v>
      </c>
      <c r="C3800" s="9">
        <v>75329.0</v>
      </c>
      <c r="D3800" s="9">
        <v>25298.0</v>
      </c>
      <c r="E3800" s="9">
        <v>540.0</v>
      </c>
      <c r="F3800" s="14"/>
      <c r="G3800" s="15"/>
      <c r="H3800" s="15"/>
      <c r="I3800" s="14"/>
      <c r="P3800" s="14"/>
    </row>
    <row r="3801" ht="18.75" customHeight="1">
      <c r="A3801" s="7" t="s">
        <v>485</v>
      </c>
      <c r="B3801" s="9">
        <v>22536.0</v>
      </c>
      <c r="C3801" s="9">
        <v>22151.0</v>
      </c>
      <c r="D3801" s="9">
        <v>8129.0</v>
      </c>
      <c r="E3801" s="9">
        <v>58.0</v>
      </c>
      <c r="F3801" s="14"/>
      <c r="G3801" s="15"/>
      <c r="H3801" s="15"/>
      <c r="I3801" s="14"/>
      <c r="P3801" s="14"/>
    </row>
    <row r="3802" ht="18.75" customHeight="1">
      <c r="A3802" s="7" t="s">
        <v>571</v>
      </c>
      <c r="B3802" s="9">
        <v>87752.0</v>
      </c>
      <c r="C3802" s="9">
        <v>86121.0</v>
      </c>
      <c r="D3802" s="9">
        <v>30858.0</v>
      </c>
      <c r="E3802" s="9">
        <v>133.0</v>
      </c>
      <c r="F3802" s="14"/>
      <c r="G3802" s="15"/>
      <c r="H3802" s="15"/>
      <c r="I3802" s="14"/>
      <c r="P3802" s="14"/>
    </row>
    <row r="3803" ht="18.75" customHeight="1">
      <c r="A3803" s="7" t="s">
        <v>565</v>
      </c>
      <c r="B3803" s="9">
        <v>71462.0</v>
      </c>
      <c r="C3803" s="9">
        <v>70174.0</v>
      </c>
      <c r="D3803" s="9">
        <v>27350.0</v>
      </c>
      <c r="E3803" s="9">
        <v>1353.0</v>
      </c>
      <c r="F3803" s="14"/>
      <c r="G3803" s="15"/>
      <c r="H3803" s="15"/>
      <c r="I3803" s="14"/>
      <c r="P3803" s="14"/>
    </row>
    <row r="3804" ht="18.75" customHeight="1">
      <c r="A3804" s="7" t="s">
        <v>437</v>
      </c>
      <c r="B3804" s="9">
        <v>53930.0</v>
      </c>
      <c r="C3804" s="9">
        <v>52820.0</v>
      </c>
      <c r="D3804" s="9">
        <v>14214.0</v>
      </c>
      <c r="E3804" s="9">
        <v>965.0</v>
      </c>
      <c r="F3804" s="14"/>
      <c r="G3804" s="15"/>
      <c r="H3804" s="15"/>
      <c r="I3804" s="14"/>
      <c r="P3804" s="14"/>
    </row>
    <row r="3805" ht="18.75" customHeight="1">
      <c r="A3805" s="7" t="s">
        <v>437</v>
      </c>
      <c r="B3805" s="9">
        <v>160124.0</v>
      </c>
      <c r="C3805" s="9">
        <v>157043.0</v>
      </c>
      <c r="D3805" s="9">
        <v>42263.0</v>
      </c>
      <c r="E3805" s="9">
        <v>3312.0</v>
      </c>
      <c r="F3805" s="14"/>
      <c r="G3805" s="15"/>
      <c r="H3805" s="15"/>
      <c r="I3805" s="14"/>
      <c r="P3805" s="14"/>
    </row>
    <row r="3806" ht="18.75" customHeight="1">
      <c r="A3806" s="7" t="s">
        <v>497</v>
      </c>
      <c r="B3806" s="9">
        <v>93941.0</v>
      </c>
      <c r="C3806" s="9">
        <v>93357.0</v>
      </c>
      <c r="D3806" s="9">
        <v>56188.0</v>
      </c>
      <c r="E3806" s="9">
        <v>2862.0</v>
      </c>
      <c r="F3806" s="14"/>
      <c r="G3806" s="15"/>
      <c r="H3806" s="15"/>
      <c r="I3806" s="14"/>
      <c r="P3806" s="14"/>
    </row>
    <row r="3807" ht="18.75" customHeight="1">
      <c r="A3807" s="7" t="s">
        <v>481</v>
      </c>
      <c r="B3807" s="9">
        <v>78008.0</v>
      </c>
      <c r="C3807" s="9">
        <v>77628.0</v>
      </c>
      <c r="D3807" s="9">
        <v>55083.0</v>
      </c>
      <c r="E3807" s="9">
        <v>996.0</v>
      </c>
      <c r="F3807" s="14"/>
      <c r="G3807" s="15"/>
      <c r="H3807" s="15"/>
      <c r="I3807" s="14"/>
      <c r="P3807" s="14"/>
    </row>
    <row r="3808" ht="18.75" customHeight="1">
      <c r="A3808" s="7" t="s">
        <v>547</v>
      </c>
      <c r="B3808" s="9">
        <v>57099.0</v>
      </c>
      <c r="C3808" s="9">
        <v>56035.0</v>
      </c>
      <c r="D3808" s="9">
        <v>16960.0</v>
      </c>
      <c r="E3808" s="9">
        <v>393.0</v>
      </c>
      <c r="F3808" s="14"/>
      <c r="G3808" s="15"/>
      <c r="H3808" s="15"/>
      <c r="I3808" s="14"/>
      <c r="P3808" s="14"/>
    </row>
    <row r="3809" ht="18.75" customHeight="1">
      <c r="A3809" s="7" t="s">
        <v>551</v>
      </c>
      <c r="B3809" s="9">
        <v>49880.0</v>
      </c>
      <c r="C3809" s="9">
        <v>48946.0</v>
      </c>
      <c r="D3809" s="9">
        <v>15010.0</v>
      </c>
      <c r="E3809" s="9">
        <v>433.0</v>
      </c>
      <c r="F3809" s="14"/>
      <c r="G3809" s="15"/>
      <c r="H3809" s="15"/>
      <c r="I3809" s="14"/>
      <c r="P3809" s="14"/>
    </row>
    <row r="3810" ht="18.75" customHeight="1">
      <c r="A3810" s="7" t="s">
        <v>515</v>
      </c>
      <c r="B3810" s="9">
        <v>15253.0</v>
      </c>
      <c r="C3810" s="9">
        <v>14992.0</v>
      </c>
      <c r="D3810" s="9">
        <v>5465.0</v>
      </c>
      <c r="E3810" s="9">
        <v>252.0</v>
      </c>
      <c r="F3810" s="14"/>
      <c r="G3810" s="15"/>
      <c r="H3810" s="15"/>
      <c r="I3810" s="14"/>
      <c r="P3810" s="14"/>
    </row>
    <row r="3811" ht="18.75" customHeight="1">
      <c r="A3811" s="7" t="s">
        <v>557</v>
      </c>
      <c r="B3811" s="9">
        <v>61689.0</v>
      </c>
      <c r="C3811" s="9">
        <v>60748.0</v>
      </c>
      <c r="D3811" s="9">
        <v>22171.0</v>
      </c>
      <c r="E3811" s="9">
        <v>874.0</v>
      </c>
      <c r="F3811" s="14"/>
      <c r="G3811" s="15"/>
      <c r="H3811" s="15"/>
      <c r="I3811" s="14"/>
      <c r="P3811" s="14"/>
    </row>
    <row r="3812" ht="18.75" customHeight="1">
      <c r="A3812" s="7" t="s">
        <v>599</v>
      </c>
      <c r="B3812" s="9">
        <v>15028.0</v>
      </c>
      <c r="C3812" s="9">
        <v>14698.0</v>
      </c>
      <c r="D3812" s="9">
        <v>1910.0</v>
      </c>
      <c r="E3812" s="9">
        <v>307.0</v>
      </c>
      <c r="F3812" s="14"/>
      <c r="G3812" s="15"/>
      <c r="H3812" s="15"/>
      <c r="I3812" s="14"/>
      <c r="P3812" s="14"/>
    </row>
    <row r="3813" ht="18.75" customHeight="1">
      <c r="A3813" s="7" t="s">
        <v>437</v>
      </c>
      <c r="B3813" s="9">
        <v>53129.0</v>
      </c>
      <c r="C3813" s="9">
        <v>52063.0</v>
      </c>
      <c r="D3813" s="9">
        <v>14065.0</v>
      </c>
      <c r="E3813" s="9">
        <v>591.0</v>
      </c>
      <c r="F3813" s="14"/>
      <c r="G3813" s="15"/>
      <c r="H3813" s="15"/>
      <c r="I3813" s="14"/>
      <c r="P3813" s="14"/>
    </row>
    <row r="3814" ht="18.75" customHeight="1">
      <c r="A3814" s="7" t="s">
        <v>585</v>
      </c>
      <c r="B3814" s="9">
        <v>24473.0</v>
      </c>
      <c r="C3814" s="9">
        <v>24008.0</v>
      </c>
      <c r="D3814" s="9">
        <v>8014.0</v>
      </c>
      <c r="E3814" s="9">
        <v>320.0</v>
      </c>
      <c r="F3814" s="14"/>
      <c r="G3814" s="15"/>
      <c r="H3814" s="15"/>
      <c r="I3814" s="14"/>
      <c r="P3814" s="14"/>
    </row>
    <row r="3815" ht="18.75" customHeight="1">
      <c r="A3815" s="7" t="s">
        <v>603</v>
      </c>
      <c r="B3815" s="9">
        <v>71032.0</v>
      </c>
      <c r="C3815" s="9">
        <v>69815.0</v>
      </c>
      <c r="D3815" s="9">
        <v>14194.0</v>
      </c>
      <c r="E3815" s="9">
        <v>429.0</v>
      </c>
      <c r="F3815" s="14"/>
      <c r="G3815" s="15"/>
      <c r="H3815" s="15"/>
      <c r="I3815" s="14"/>
      <c r="P3815" s="14"/>
    </row>
    <row r="3816" ht="18.75" customHeight="1">
      <c r="A3816" s="7" t="s">
        <v>383</v>
      </c>
      <c r="B3816" s="9">
        <v>100614.0</v>
      </c>
      <c r="C3816" s="9">
        <v>99157.0</v>
      </c>
      <c r="D3816" s="9">
        <v>42370.0</v>
      </c>
      <c r="E3816" s="9">
        <v>787.0</v>
      </c>
      <c r="F3816" s="14"/>
      <c r="G3816" s="15"/>
      <c r="H3816" s="15"/>
      <c r="I3816" s="14"/>
      <c r="P3816" s="14"/>
    </row>
    <row r="3817" ht="18.75" customHeight="1">
      <c r="A3817" s="7" t="s">
        <v>385</v>
      </c>
      <c r="B3817" s="9">
        <v>24009.0</v>
      </c>
      <c r="C3817" s="9">
        <v>23645.0</v>
      </c>
      <c r="D3817" s="9">
        <v>11450.0</v>
      </c>
      <c r="E3817" s="9">
        <v>190.0</v>
      </c>
      <c r="F3817" s="14"/>
      <c r="G3817" s="15"/>
      <c r="H3817" s="15"/>
      <c r="I3817" s="14"/>
      <c r="P3817" s="14"/>
    </row>
    <row r="3818" ht="18.75" customHeight="1">
      <c r="A3818" s="7" t="s">
        <v>581</v>
      </c>
      <c r="B3818" s="9">
        <v>22101.0</v>
      </c>
      <c r="C3818" s="9">
        <v>21495.0</v>
      </c>
      <c r="D3818" s="9">
        <v>4375.0</v>
      </c>
      <c r="E3818" s="9">
        <v>220.0</v>
      </c>
      <c r="F3818" s="14"/>
      <c r="G3818" s="15"/>
      <c r="H3818" s="15"/>
      <c r="I3818" s="14"/>
      <c r="P3818" s="14"/>
    </row>
    <row r="3819" ht="18.75" customHeight="1">
      <c r="A3819" s="7" t="s">
        <v>517</v>
      </c>
      <c r="B3819" s="9">
        <v>30581.0</v>
      </c>
      <c r="C3819" s="9">
        <v>30053.0</v>
      </c>
      <c r="D3819" s="9">
        <v>10808.0</v>
      </c>
      <c r="E3819" s="9">
        <v>399.0</v>
      </c>
      <c r="F3819" s="14"/>
      <c r="G3819" s="15"/>
      <c r="H3819" s="15"/>
      <c r="I3819" s="14"/>
      <c r="P3819" s="14"/>
    </row>
    <row r="3820" ht="18.75" customHeight="1">
      <c r="A3820" s="7" t="s">
        <v>1019</v>
      </c>
      <c r="B3820" s="9">
        <v>20.0</v>
      </c>
      <c r="C3820" s="9">
        <v>19.0</v>
      </c>
      <c r="D3820" s="9">
        <v>8.0</v>
      </c>
      <c r="E3820" s="9">
        <v>1.0</v>
      </c>
      <c r="F3820" s="14"/>
      <c r="G3820" s="15"/>
      <c r="H3820" s="15"/>
      <c r="I3820" s="14"/>
      <c r="P3820" s="14"/>
    </row>
    <row r="3821" ht="18.75" customHeight="1">
      <c r="A3821" s="7" t="s">
        <v>592</v>
      </c>
      <c r="B3821" s="9">
        <v>7284.0</v>
      </c>
      <c r="C3821" s="9">
        <v>7148.0</v>
      </c>
      <c r="D3821" s="9">
        <v>1259.0</v>
      </c>
      <c r="E3821" s="9">
        <v>74.0</v>
      </c>
      <c r="F3821" s="14"/>
      <c r="G3821" s="15"/>
      <c r="H3821" s="15"/>
      <c r="I3821" s="14"/>
      <c r="P3821" s="14"/>
    </row>
    <row r="3822" ht="18.75" customHeight="1">
      <c r="A3822" s="7" t="s">
        <v>557</v>
      </c>
      <c r="B3822" s="9">
        <v>157195.0</v>
      </c>
      <c r="C3822" s="9">
        <v>154343.0</v>
      </c>
      <c r="D3822" s="9">
        <v>46807.0</v>
      </c>
      <c r="E3822" s="9">
        <v>1769.0</v>
      </c>
      <c r="F3822" s="14"/>
      <c r="G3822" s="15"/>
      <c r="H3822" s="15"/>
      <c r="I3822" s="14"/>
      <c r="P3822" s="14"/>
    </row>
    <row r="3823" ht="18.75" customHeight="1">
      <c r="A3823" s="7" t="s">
        <v>569</v>
      </c>
      <c r="B3823" s="9">
        <v>75358.0</v>
      </c>
      <c r="C3823" s="9">
        <v>74094.0</v>
      </c>
      <c r="D3823" s="9">
        <v>27113.0</v>
      </c>
      <c r="E3823" s="9">
        <v>1359.0</v>
      </c>
      <c r="F3823" s="14"/>
      <c r="G3823" s="15"/>
      <c r="H3823" s="15"/>
      <c r="I3823" s="14"/>
      <c r="P3823" s="14"/>
    </row>
    <row r="3824" ht="18.75" customHeight="1">
      <c r="A3824" s="7" t="s">
        <v>481</v>
      </c>
      <c r="B3824" s="9">
        <v>113888.0</v>
      </c>
      <c r="C3824" s="9">
        <v>110546.0</v>
      </c>
      <c r="D3824" s="9">
        <v>8751.0</v>
      </c>
      <c r="E3824" s="9">
        <v>361.0</v>
      </c>
      <c r="F3824" s="14"/>
      <c r="G3824" s="15"/>
      <c r="H3824" s="15"/>
      <c r="I3824" s="14"/>
      <c r="P3824" s="14"/>
    </row>
    <row r="3825" ht="18.75" customHeight="1">
      <c r="A3825" s="7" t="s">
        <v>590</v>
      </c>
      <c r="B3825" s="9">
        <v>150632.0</v>
      </c>
      <c r="C3825" s="9">
        <v>149572.0</v>
      </c>
      <c r="D3825" s="9">
        <v>99911.0</v>
      </c>
      <c r="E3825" s="9">
        <v>886.0</v>
      </c>
      <c r="F3825" s="14"/>
      <c r="G3825" s="15"/>
      <c r="H3825" s="15"/>
      <c r="I3825" s="14"/>
      <c r="P3825" s="14"/>
    </row>
    <row r="3826" ht="18.75" customHeight="1">
      <c r="A3826" s="7" t="s">
        <v>597</v>
      </c>
      <c r="B3826" s="9">
        <v>41513.0</v>
      </c>
      <c r="C3826" s="9">
        <v>40777.0</v>
      </c>
      <c r="D3826" s="9">
        <v>7276.0</v>
      </c>
      <c r="E3826" s="9">
        <v>422.0</v>
      </c>
      <c r="F3826" s="14"/>
      <c r="G3826" s="15"/>
      <c r="H3826" s="15"/>
      <c r="I3826" s="14"/>
      <c r="P3826" s="14"/>
    </row>
    <row r="3827" ht="18.75" customHeight="1">
      <c r="A3827" s="7" t="s">
        <v>356</v>
      </c>
      <c r="B3827" s="9">
        <v>83.0</v>
      </c>
      <c r="C3827" s="9">
        <v>82.0</v>
      </c>
      <c r="D3827" s="9">
        <v>20.0</v>
      </c>
      <c r="E3827" s="9">
        <v>2.0</v>
      </c>
      <c r="F3827" s="14"/>
      <c r="G3827" s="15"/>
      <c r="H3827" s="15"/>
      <c r="I3827" s="14"/>
      <c r="P3827" s="14"/>
    </row>
    <row r="3828" ht="18.75" customHeight="1">
      <c r="A3828" s="7" t="s">
        <v>368</v>
      </c>
      <c r="B3828" s="9">
        <v>2464.0</v>
      </c>
      <c r="C3828" s="9">
        <v>2434.0</v>
      </c>
      <c r="D3828" s="9">
        <v>669.0</v>
      </c>
      <c r="E3828" s="9">
        <v>41.0</v>
      </c>
      <c r="F3828" s="14"/>
      <c r="G3828" s="15"/>
      <c r="H3828" s="15"/>
      <c r="I3828" s="14"/>
      <c r="P3828" s="14"/>
    </row>
    <row r="3829" ht="18.75" customHeight="1">
      <c r="A3829" s="7" t="s">
        <v>360</v>
      </c>
      <c r="B3829" s="9">
        <v>21883.0</v>
      </c>
      <c r="C3829" s="9">
        <v>21438.0</v>
      </c>
      <c r="D3829" s="9">
        <v>6005.0</v>
      </c>
      <c r="E3829" s="9">
        <v>35.0</v>
      </c>
      <c r="F3829" s="14"/>
      <c r="G3829" s="15"/>
      <c r="H3829" s="15"/>
      <c r="I3829" s="14"/>
      <c r="P3829" s="14"/>
    </row>
    <row r="3830" ht="18.75" customHeight="1">
      <c r="A3830" s="7" t="s">
        <v>366</v>
      </c>
      <c r="B3830" s="9">
        <v>807.0</v>
      </c>
      <c r="C3830" s="9">
        <v>797.0</v>
      </c>
      <c r="D3830" s="9">
        <v>251.0</v>
      </c>
      <c r="E3830" s="9">
        <v>16.0</v>
      </c>
      <c r="F3830" s="14"/>
      <c r="G3830" s="15"/>
      <c r="H3830" s="15"/>
      <c r="I3830" s="14"/>
      <c r="P3830" s="14"/>
    </row>
    <row r="3831" ht="18.75" customHeight="1">
      <c r="A3831" s="7" t="s">
        <v>356</v>
      </c>
      <c r="B3831" s="9">
        <v>2138.0</v>
      </c>
      <c r="C3831" s="9">
        <v>2099.0</v>
      </c>
      <c r="D3831" s="9">
        <v>674.0</v>
      </c>
      <c r="E3831" s="9">
        <v>64.0</v>
      </c>
      <c r="F3831" s="14"/>
      <c r="G3831" s="15"/>
      <c r="H3831" s="15"/>
      <c r="I3831" s="14"/>
      <c r="P3831" s="14"/>
    </row>
    <row r="3832" ht="18.75" customHeight="1">
      <c r="A3832" s="7" t="s">
        <v>374</v>
      </c>
      <c r="B3832" s="9">
        <v>1462.0</v>
      </c>
      <c r="C3832" s="9">
        <v>1426.0</v>
      </c>
      <c r="D3832" s="9">
        <v>482.0</v>
      </c>
      <c r="E3832" s="9">
        <v>14.0</v>
      </c>
      <c r="F3832" s="14"/>
      <c r="G3832" s="15"/>
      <c r="H3832" s="15"/>
      <c r="I3832" s="14"/>
      <c r="P3832" s="14"/>
    </row>
    <row r="3833" ht="18.75" customHeight="1">
      <c r="A3833" s="7" t="s">
        <v>385</v>
      </c>
      <c r="B3833" s="9">
        <v>36124.0</v>
      </c>
      <c r="C3833" s="9">
        <v>35484.0</v>
      </c>
      <c r="D3833" s="9">
        <v>12412.0</v>
      </c>
      <c r="E3833" s="9">
        <v>357.0</v>
      </c>
      <c r="F3833" s="14"/>
      <c r="G3833" s="15"/>
      <c r="H3833" s="15"/>
      <c r="I3833" s="14"/>
      <c r="P3833" s="14"/>
    </row>
    <row r="3834" ht="18.75" customHeight="1">
      <c r="A3834" s="7" t="s">
        <v>374</v>
      </c>
      <c r="B3834" s="9">
        <v>3037.0</v>
      </c>
      <c r="C3834" s="9">
        <v>2977.0</v>
      </c>
      <c r="D3834" s="9">
        <v>1083.0</v>
      </c>
      <c r="E3834" s="9">
        <v>40.0</v>
      </c>
      <c r="F3834" s="14"/>
      <c r="G3834" s="15"/>
      <c r="H3834" s="15"/>
      <c r="I3834" s="14"/>
      <c r="P3834" s="14"/>
    </row>
    <row r="3835" ht="18.75" customHeight="1">
      <c r="A3835" s="7" t="s">
        <v>370</v>
      </c>
      <c r="B3835" s="9">
        <v>349.0</v>
      </c>
      <c r="C3835" s="9">
        <v>345.0</v>
      </c>
      <c r="D3835" s="9">
        <v>136.0</v>
      </c>
      <c r="E3835" s="9">
        <v>1.0</v>
      </c>
      <c r="F3835" s="14"/>
      <c r="G3835" s="15"/>
      <c r="H3835" s="15"/>
      <c r="I3835" s="14"/>
      <c r="P3835" s="14"/>
    </row>
    <row r="3836" ht="18.75" customHeight="1">
      <c r="A3836" s="7" t="s">
        <v>408</v>
      </c>
      <c r="B3836" s="9">
        <v>64204.0</v>
      </c>
      <c r="C3836" s="9">
        <v>63993.0</v>
      </c>
      <c r="D3836" s="9">
        <v>44050.0</v>
      </c>
      <c r="E3836" s="9">
        <v>756.0</v>
      </c>
      <c r="F3836" s="14"/>
      <c r="G3836" s="15"/>
      <c r="H3836" s="15"/>
      <c r="I3836" s="14"/>
      <c r="P3836" s="14"/>
    </row>
    <row r="3837" ht="18.75" customHeight="1">
      <c r="A3837" s="7" t="s">
        <v>597</v>
      </c>
      <c r="B3837" s="9">
        <v>225.0</v>
      </c>
      <c r="C3837" s="9">
        <v>225.0</v>
      </c>
      <c r="D3837" s="9">
        <v>143.0</v>
      </c>
      <c r="E3837" s="9">
        <v>1.0</v>
      </c>
      <c r="F3837" s="14"/>
      <c r="G3837" s="15"/>
      <c r="H3837" s="15"/>
      <c r="I3837" s="14"/>
      <c r="P3837" s="14"/>
    </row>
    <row r="3838" ht="18.75" customHeight="1">
      <c r="A3838" s="7" t="s">
        <v>543</v>
      </c>
      <c r="B3838" s="9">
        <v>31878.0</v>
      </c>
      <c r="C3838" s="9">
        <v>31183.0</v>
      </c>
      <c r="D3838" s="9">
        <v>5171.0</v>
      </c>
      <c r="E3838" s="9">
        <v>112.0</v>
      </c>
      <c r="F3838" s="14"/>
      <c r="G3838" s="15"/>
      <c r="H3838" s="15"/>
      <c r="I3838" s="14"/>
      <c r="P3838" s="14"/>
    </row>
    <row r="3839" ht="18.75" customHeight="1">
      <c r="A3839" s="7" t="s">
        <v>619</v>
      </c>
      <c r="B3839" s="9">
        <v>60382.0</v>
      </c>
      <c r="C3839" s="9">
        <v>59097.0</v>
      </c>
      <c r="D3839" s="9">
        <v>16375.0</v>
      </c>
      <c r="E3839" s="9">
        <v>347.0</v>
      </c>
      <c r="F3839" s="14"/>
      <c r="G3839" s="15"/>
      <c r="H3839" s="15"/>
      <c r="I3839" s="14"/>
      <c r="P3839" s="14"/>
    </row>
    <row r="3840" ht="18.75" customHeight="1">
      <c r="A3840" s="7" t="s">
        <v>579</v>
      </c>
      <c r="B3840" s="9">
        <v>56748.0</v>
      </c>
      <c r="C3840" s="9">
        <v>55873.0</v>
      </c>
      <c r="D3840" s="9">
        <v>15970.0</v>
      </c>
      <c r="E3840" s="9">
        <v>469.0</v>
      </c>
      <c r="F3840" s="14"/>
      <c r="G3840" s="15"/>
      <c r="H3840" s="15"/>
      <c r="I3840" s="14"/>
      <c r="P3840" s="14"/>
    </row>
    <row r="3841" ht="18.75" customHeight="1">
      <c r="A3841" s="7" t="s">
        <v>2857</v>
      </c>
      <c r="B3841" s="9">
        <v>49818.0</v>
      </c>
      <c r="C3841" s="9">
        <v>48926.0</v>
      </c>
      <c r="D3841" s="9">
        <v>14406.0</v>
      </c>
      <c r="E3841" s="9">
        <v>422.0</v>
      </c>
      <c r="F3841" s="14"/>
      <c r="G3841" s="15"/>
      <c r="H3841" s="15"/>
      <c r="I3841" s="14"/>
      <c r="P3841" s="14"/>
    </row>
    <row r="3842" ht="18.75" customHeight="1">
      <c r="A3842" s="7" t="s">
        <v>519</v>
      </c>
      <c r="B3842" s="9">
        <v>10310.0</v>
      </c>
      <c r="C3842" s="9">
        <v>10090.0</v>
      </c>
      <c r="D3842" s="9">
        <v>2994.0</v>
      </c>
      <c r="E3842" s="9">
        <v>170.0</v>
      </c>
      <c r="F3842" s="14"/>
      <c r="G3842" s="15"/>
      <c r="H3842" s="15"/>
      <c r="I3842" s="14"/>
      <c r="P3842" s="14"/>
    </row>
    <row r="3843" ht="18.75" customHeight="1">
      <c r="A3843" s="7" t="s">
        <v>385</v>
      </c>
      <c r="B3843" s="9">
        <v>36829.0</v>
      </c>
      <c r="C3843" s="9">
        <v>36099.0</v>
      </c>
      <c r="D3843" s="9">
        <v>9441.0</v>
      </c>
      <c r="E3843" s="9">
        <v>144.0</v>
      </c>
      <c r="F3843" s="14"/>
      <c r="G3843" s="15"/>
      <c r="H3843" s="15"/>
      <c r="I3843" s="14"/>
      <c r="P3843" s="14"/>
    </row>
    <row r="3844" ht="18.75" customHeight="1">
      <c r="A3844" s="7" t="s">
        <v>385</v>
      </c>
      <c r="B3844" s="9">
        <v>15843.0</v>
      </c>
      <c r="C3844" s="9">
        <v>15478.0</v>
      </c>
      <c r="D3844" s="9">
        <v>4415.0</v>
      </c>
      <c r="E3844" s="9">
        <v>49.0</v>
      </c>
      <c r="F3844" s="14"/>
      <c r="G3844" s="15"/>
      <c r="H3844" s="15"/>
      <c r="I3844" s="14"/>
      <c r="P3844" s="14"/>
    </row>
    <row r="3845" ht="18.75" customHeight="1">
      <c r="A3845" s="7" t="s">
        <v>617</v>
      </c>
      <c r="B3845" s="9">
        <v>53359.0</v>
      </c>
      <c r="C3845" s="9">
        <v>52330.0</v>
      </c>
      <c r="D3845" s="9">
        <v>15746.0</v>
      </c>
      <c r="E3845" s="9">
        <v>238.0</v>
      </c>
      <c r="F3845" s="14"/>
      <c r="G3845" s="15"/>
      <c r="H3845" s="15"/>
      <c r="I3845" s="14"/>
      <c r="P3845" s="14"/>
    </row>
    <row r="3846" ht="18.75" customHeight="1">
      <c r="A3846" s="7" t="s">
        <v>603</v>
      </c>
      <c r="B3846" s="9">
        <v>287.0</v>
      </c>
      <c r="C3846" s="9">
        <v>286.0</v>
      </c>
      <c r="D3846" s="9">
        <v>226.0</v>
      </c>
      <c r="E3846" s="9">
        <v>1.0</v>
      </c>
      <c r="F3846" s="14"/>
      <c r="G3846" s="15"/>
      <c r="H3846" s="15"/>
      <c r="I3846" s="14"/>
      <c r="P3846" s="14"/>
    </row>
    <row r="3847" ht="18.75" customHeight="1">
      <c r="A3847" s="7" t="s">
        <v>613</v>
      </c>
      <c r="B3847" s="9">
        <v>38159.0</v>
      </c>
      <c r="C3847" s="9">
        <v>37358.0</v>
      </c>
      <c r="D3847" s="9">
        <v>6861.0</v>
      </c>
      <c r="E3847" s="9">
        <v>295.0</v>
      </c>
      <c r="F3847" s="14"/>
      <c r="G3847" s="15"/>
      <c r="H3847" s="15"/>
      <c r="I3847" s="14"/>
      <c r="P3847" s="14"/>
    </row>
    <row r="3848" ht="18.75" customHeight="1">
      <c r="A3848" s="7" t="s">
        <v>595</v>
      </c>
      <c r="B3848" s="9">
        <v>8460.0</v>
      </c>
      <c r="C3848" s="9">
        <v>8308.0</v>
      </c>
      <c r="D3848" s="9">
        <v>2163.0</v>
      </c>
      <c r="E3848" s="9">
        <v>80.0</v>
      </c>
      <c r="F3848" s="14"/>
      <c r="G3848" s="15"/>
      <c r="H3848" s="15"/>
      <c r="I3848" s="14"/>
      <c r="P3848" s="14"/>
    </row>
    <row r="3849" ht="18.75" customHeight="1">
      <c r="A3849" s="7" t="s">
        <v>615</v>
      </c>
      <c r="B3849" s="9">
        <v>32770.0</v>
      </c>
      <c r="C3849" s="9">
        <v>32123.0</v>
      </c>
      <c r="D3849" s="9">
        <v>8509.0</v>
      </c>
      <c r="E3849" s="9">
        <v>239.0</v>
      </c>
      <c r="F3849" s="14"/>
      <c r="G3849" s="15"/>
      <c r="H3849" s="15"/>
      <c r="I3849" s="14"/>
      <c r="P3849" s="14"/>
    </row>
    <row r="3850" ht="18.75" customHeight="1">
      <c r="A3850" s="7" t="s">
        <v>607</v>
      </c>
      <c r="B3850" s="9">
        <v>452.0</v>
      </c>
      <c r="C3850" s="9">
        <v>451.0</v>
      </c>
      <c r="D3850" s="9">
        <v>169.0</v>
      </c>
      <c r="E3850" s="9">
        <v>24.0</v>
      </c>
      <c r="F3850" s="14"/>
      <c r="G3850" s="15"/>
      <c r="H3850" s="15"/>
      <c r="I3850" s="14"/>
      <c r="P3850" s="14"/>
    </row>
    <row r="3851" ht="18.75" customHeight="1">
      <c r="A3851" s="7" t="s">
        <v>601</v>
      </c>
      <c r="B3851" s="9">
        <v>7310.0</v>
      </c>
      <c r="C3851" s="9">
        <v>7143.0</v>
      </c>
      <c r="D3851" s="9">
        <v>992.0</v>
      </c>
      <c r="E3851" s="9">
        <v>111.0</v>
      </c>
      <c r="F3851" s="14"/>
      <c r="G3851" s="15"/>
      <c r="H3851" s="15"/>
      <c r="I3851" s="14"/>
      <c r="P3851" s="14"/>
    </row>
    <row r="3852" ht="18.75" customHeight="1">
      <c r="A3852" s="7" t="s">
        <v>631</v>
      </c>
      <c r="B3852" s="9">
        <v>66973.0</v>
      </c>
      <c r="C3852" s="9">
        <v>65577.0</v>
      </c>
      <c r="D3852" s="9">
        <v>11309.0</v>
      </c>
      <c r="E3852" s="9">
        <v>250.0</v>
      </c>
      <c r="F3852" s="14"/>
      <c r="G3852" s="15"/>
      <c r="H3852" s="15"/>
      <c r="I3852" s="14"/>
      <c r="P3852" s="14"/>
    </row>
    <row r="3853" ht="18.75" customHeight="1">
      <c r="A3853" s="7" t="s">
        <v>575</v>
      </c>
      <c r="B3853" s="9">
        <v>69825.0</v>
      </c>
      <c r="C3853" s="9">
        <v>68319.0</v>
      </c>
      <c r="D3853" s="9">
        <v>12604.0</v>
      </c>
      <c r="E3853" s="9">
        <v>977.0</v>
      </c>
      <c r="F3853" s="14"/>
      <c r="G3853" s="15"/>
      <c r="H3853" s="15"/>
      <c r="I3853" s="14"/>
      <c r="P3853" s="14"/>
    </row>
    <row r="3854" ht="18.75" customHeight="1">
      <c r="A3854" s="7" t="s">
        <v>577</v>
      </c>
      <c r="B3854" s="9">
        <v>92020.0</v>
      </c>
      <c r="C3854" s="9">
        <v>90328.0</v>
      </c>
      <c r="D3854" s="9">
        <v>24881.0</v>
      </c>
      <c r="E3854" s="9">
        <v>459.0</v>
      </c>
      <c r="F3854" s="14"/>
      <c r="G3854" s="15"/>
      <c r="H3854" s="15"/>
      <c r="I3854" s="14"/>
      <c r="P3854" s="14"/>
    </row>
    <row r="3855" ht="18.75" customHeight="1">
      <c r="A3855" s="7" t="s">
        <v>592</v>
      </c>
      <c r="B3855" s="9">
        <v>61.0</v>
      </c>
      <c r="C3855" s="9">
        <v>61.0</v>
      </c>
      <c r="D3855" s="9">
        <v>29.0</v>
      </c>
      <c r="E3855" s="9">
        <v>0.0</v>
      </c>
      <c r="F3855" s="14"/>
      <c r="G3855" s="15"/>
      <c r="H3855" s="15"/>
      <c r="I3855" s="14"/>
      <c r="P3855" s="14"/>
    </row>
    <row r="3856" ht="18.75" customHeight="1">
      <c r="A3856" s="7" t="s">
        <v>599</v>
      </c>
      <c r="B3856" s="9">
        <v>14937.0</v>
      </c>
      <c r="C3856" s="9">
        <v>14615.0</v>
      </c>
      <c r="D3856" s="9">
        <v>1697.0</v>
      </c>
      <c r="E3856" s="9">
        <v>142.0</v>
      </c>
      <c r="F3856" s="14"/>
      <c r="G3856" s="15"/>
      <c r="H3856" s="15"/>
      <c r="I3856" s="14"/>
      <c r="P3856" s="14"/>
    </row>
    <row r="3857" ht="18.75" customHeight="1">
      <c r="A3857" s="7" t="s">
        <v>431</v>
      </c>
      <c r="B3857" s="9">
        <v>146852.0</v>
      </c>
      <c r="C3857" s="9">
        <v>143998.0</v>
      </c>
      <c r="D3857" s="9">
        <v>47946.0</v>
      </c>
      <c r="E3857" s="9">
        <v>1524.0</v>
      </c>
      <c r="F3857" s="14"/>
      <c r="G3857" s="15"/>
      <c r="H3857" s="15"/>
      <c r="I3857" s="14"/>
      <c r="P3857" s="14"/>
    </row>
    <row r="3858" ht="18.75" customHeight="1">
      <c r="A3858" s="7" t="s">
        <v>599</v>
      </c>
      <c r="B3858" s="9">
        <v>104.0</v>
      </c>
      <c r="C3858" s="9">
        <v>104.0</v>
      </c>
      <c r="D3858" s="9">
        <v>62.0</v>
      </c>
      <c r="E3858" s="9">
        <v>63.0</v>
      </c>
      <c r="F3858" s="14"/>
      <c r="G3858" s="15"/>
      <c r="H3858" s="15"/>
      <c r="I3858" s="14"/>
      <c r="P3858" s="14"/>
    </row>
    <row r="3859" ht="18.75" customHeight="1">
      <c r="A3859" s="7" t="s">
        <v>561</v>
      </c>
      <c r="B3859" s="9">
        <v>26962.0</v>
      </c>
      <c r="C3859" s="9">
        <v>26396.0</v>
      </c>
      <c r="D3859" s="9">
        <v>5693.0</v>
      </c>
      <c r="E3859" s="9">
        <v>547.0</v>
      </c>
      <c r="F3859" s="14"/>
      <c r="G3859" s="15"/>
      <c r="H3859" s="15"/>
      <c r="I3859" s="14"/>
      <c r="P3859" s="14"/>
    </row>
    <row r="3860" ht="18.75" customHeight="1">
      <c r="A3860" s="7" t="s">
        <v>385</v>
      </c>
      <c r="B3860" s="9">
        <v>16259.0</v>
      </c>
      <c r="C3860" s="9">
        <v>15954.0</v>
      </c>
      <c r="D3860" s="9">
        <v>5889.0</v>
      </c>
      <c r="E3860" s="9">
        <v>144.0</v>
      </c>
      <c r="F3860" s="14"/>
      <c r="G3860" s="15"/>
      <c r="H3860" s="15"/>
      <c r="I3860" s="14"/>
      <c r="P3860" s="14"/>
    </row>
    <row r="3861" ht="18.75" customHeight="1">
      <c r="A3861" s="7" t="s">
        <v>509</v>
      </c>
      <c r="B3861" s="9">
        <v>7890.0</v>
      </c>
      <c r="C3861" s="9">
        <v>7859.0</v>
      </c>
      <c r="D3861" s="9">
        <v>3110.0</v>
      </c>
      <c r="E3861" s="9">
        <v>548.0</v>
      </c>
      <c r="F3861" s="14"/>
      <c r="G3861" s="15"/>
      <c r="H3861" s="15"/>
      <c r="I3861" s="14"/>
      <c r="P3861" s="14"/>
    </row>
    <row r="3862" ht="18.75" customHeight="1">
      <c r="A3862" s="7" t="s">
        <v>509</v>
      </c>
      <c r="B3862" s="9">
        <v>28181.0</v>
      </c>
      <c r="C3862" s="9">
        <v>28143.0</v>
      </c>
      <c r="D3862" s="9">
        <v>12096.0</v>
      </c>
      <c r="E3862" s="9">
        <v>2469.0</v>
      </c>
      <c r="F3862" s="14"/>
      <c r="G3862" s="15"/>
      <c r="H3862" s="15"/>
      <c r="I3862" s="14"/>
      <c r="P3862" s="14"/>
    </row>
    <row r="3863" ht="18.75" customHeight="1">
      <c r="A3863" s="7" t="s">
        <v>603</v>
      </c>
      <c r="B3863" s="9">
        <v>284.0</v>
      </c>
      <c r="C3863" s="9">
        <v>283.0</v>
      </c>
      <c r="D3863" s="9">
        <v>174.0</v>
      </c>
      <c r="E3863" s="9">
        <v>2.0</v>
      </c>
      <c r="F3863" s="14"/>
      <c r="G3863" s="15"/>
      <c r="H3863" s="15"/>
      <c r="I3863" s="14"/>
      <c r="P3863" s="14"/>
    </row>
    <row r="3864" ht="18.75" customHeight="1">
      <c r="A3864" s="7" t="s">
        <v>617</v>
      </c>
      <c r="B3864" s="9">
        <v>119.0</v>
      </c>
      <c r="C3864" s="9">
        <v>119.0</v>
      </c>
      <c r="D3864" s="9">
        <v>88.0</v>
      </c>
      <c r="E3864" s="9">
        <v>0.0</v>
      </c>
      <c r="F3864" s="14"/>
      <c r="G3864" s="15"/>
      <c r="H3864" s="15"/>
      <c r="I3864" s="14"/>
      <c r="P3864" s="14"/>
    </row>
    <row r="3865" ht="18.75" customHeight="1">
      <c r="A3865" s="7" t="s">
        <v>613</v>
      </c>
      <c r="B3865" s="9">
        <v>147.0</v>
      </c>
      <c r="C3865" s="9">
        <v>147.0</v>
      </c>
      <c r="D3865" s="9">
        <v>94.0</v>
      </c>
      <c r="E3865" s="9">
        <v>1.0</v>
      </c>
      <c r="F3865" s="14"/>
      <c r="G3865" s="15"/>
      <c r="H3865" s="15"/>
      <c r="I3865" s="14"/>
      <c r="P3865" s="14"/>
    </row>
    <row r="3866" ht="18.75" customHeight="1">
      <c r="A3866" s="7" t="s">
        <v>615</v>
      </c>
      <c r="B3866" s="9">
        <v>97.0</v>
      </c>
      <c r="C3866" s="9">
        <v>97.0</v>
      </c>
      <c r="D3866" s="9">
        <v>69.0</v>
      </c>
      <c r="E3866" s="9">
        <v>0.0</v>
      </c>
      <c r="F3866" s="14"/>
      <c r="G3866" s="15"/>
      <c r="H3866" s="15"/>
      <c r="I3866" s="14"/>
      <c r="P3866" s="14"/>
    </row>
    <row r="3867" ht="18.75" customHeight="1">
      <c r="A3867" s="7" t="s">
        <v>605</v>
      </c>
      <c r="B3867" s="9">
        <v>2420.0</v>
      </c>
      <c r="C3867" s="9">
        <v>2403.0</v>
      </c>
      <c r="D3867" s="9">
        <v>972.0</v>
      </c>
      <c r="E3867" s="9">
        <v>121.0</v>
      </c>
      <c r="F3867" s="14"/>
      <c r="G3867" s="15"/>
      <c r="H3867" s="15"/>
      <c r="I3867" s="14"/>
      <c r="P3867" s="14"/>
    </row>
    <row r="3868" ht="18.75" customHeight="1">
      <c r="A3868" s="7" t="s">
        <v>672</v>
      </c>
      <c r="B3868" s="9">
        <v>65276.0</v>
      </c>
      <c r="C3868" s="9">
        <v>64114.0</v>
      </c>
      <c r="D3868" s="9">
        <v>12638.0</v>
      </c>
      <c r="E3868" s="9">
        <v>356.0</v>
      </c>
      <c r="F3868" s="14"/>
      <c r="G3868" s="15"/>
      <c r="H3868" s="15"/>
      <c r="I3868" s="14"/>
      <c r="P3868" s="14"/>
    </row>
    <row r="3869" ht="18.75" customHeight="1">
      <c r="A3869" s="7" t="s">
        <v>587</v>
      </c>
      <c r="B3869" s="9">
        <v>32778.0</v>
      </c>
      <c r="C3869" s="9">
        <v>32330.0</v>
      </c>
      <c r="D3869" s="9">
        <v>12651.0</v>
      </c>
      <c r="E3869" s="9">
        <v>232.0</v>
      </c>
      <c r="F3869" s="14"/>
      <c r="G3869" s="15"/>
      <c r="H3869" s="15"/>
      <c r="I3869" s="14"/>
      <c r="P3869" s="14"/>
    </row>
    <row r="3870" ht="18.75" customHeight="1">
      <c r="A3870" s="7" t="s">
        <v>385</v>
      </c>
      <c r="B3870" s="9">
        <v>21179.0</v>
      </c>
      <c r="C3870" s="9">
        <v>20747.0</v>
      </c>
      <c r="D3870" s="9">
        <v>6531.0</v>
      </c>
      <c r="E3870" s="9">
        <v>281.0</v>
      </c>
      <c r="F3870" s="14"/>
      <c r="G3870" s="15"/>
      <c r="H3870" s="15"/>
      <c r="I3870" s="14"/>
      <c r="P3870" s="14"/>
    </row>
    <row r="3871" ht="18.75" customHeight="1">
      <c r="A3871" s="7" t="s">
        <v>639</v>
      </c>
      <c r="B3871" s="9">
        <v>90205.0</v>
      </c>
      <c r="C3871" s="9">
        <v>88775.0</v>
      </c>
      <c r="D3871" s="9">
        <v>31917.0</v>
      </c>
      <c r="E3871" s="9">
        <v>887.0</v>
      </c>
      <c r="F3871" s="14"/>
      <c r="G3871" s="15"/>
      <c r="H3871" s="15"/>
      <c r="I3871" s="14"/>
      <c r="P3871" s="14"/>
    </row>
    <row r="3872" ht="18.75" customHeight="1">
      <c r="A3872" s="7" t="s">
        <v>592</v>
      </c>
      <c r="B3872" s="9">
        <v>61.0</v>
      </c>
      <c r="C3872" s="9">
        <v>61.0</v>
      </c>
      <c r="D3872" s="9">
        <v>30.0</v>
      </c>
      <c r="E3872" s="9">
        <v>0.0</v>
      </c>
      <c r="F3872" s="14"/>
      <c r="G3872" s="15"/>
      <c r="H3872" s="15"/>
      <c r="I3872" s="14"/>
      <c r="P3872" s="14"/>
    </row>
    <row r="3873" ht="18.75" customHeight="1">
      <c r="A3873" s="7" t="s">
        <v>597</v>
      </c>
      <c r="B3873" s="9">
        <v>219.0</v>
      </c>
      <c r="C3873" s="9">
        <v>218.0</v>
      </c>
      <c r="D3873" s="9">
        <v>134.0</v>
      </c>
      <c r="E3873" s="9">
        <v>1.0</v>
      </c>
      <c r="F3873" s="14"/>
      <c r="G3873" s="15"/>
      <c r="H3873" s="15"/>
      <c r="I3873" s="14"/>
      <c r="P3873" s="14"/>
    </row>
    <row r="3874" ht="18.75" customHeight="1">
      <c r="A3874" s="7" t="s">
        <v>597</v>
      </c>
      <c r="B3874" s="9">
        <v>7572.0</v>
      </c>
      <c r="C3874" s="9">
        <v>7565.0</v>
      </c>
      <c r="D3874" s="9">
        <v>5564.0</v>
      </c>
      <c r="E3874" s="9">
        <v>3.0</v>
      </c>
      <c r="F3874" s="14"/>
      <c r="G3874" s="15"/>
      <c r="H3874" s="15"/>
      <c r="I3874" s="14"/>
      <c r="P3874" s="14"/>
    </row>
    <row r="3875" ht="18.75" customHeight="1">
      <c r="A3875" s="7" t="s">
        <v>595</v>
      </c>
      <c r="B3875" s="9">
        <v>52.0</v>
      </c>
      <c r="C3875" s="9">
        <v>52.0</v>
      </c>
      <c r="D3875" s="9">
        <v>30.0</v>
      </c>
      <c r="E3875" s="9">
        <v>1.0</v>
      </c>
      <c r="F3875" s="14"/>
      <c r="G3875" s="15"/>
      <c r="H3875" s="15"/>
      <c r="I3875" s="14"/>
      <c r="P3875" s="14"/>
    </row>
    <row r="3876" ht="18.75" customHeight="1">
      <c r="A3876" s="7" t="s">
        <v>599</v>
      </c>
      <c r="B3876" s="9">
        <v>261.0</v>
      </c>
      <c r="C3876" s="9">
        <v>261.0</v>
      </c>
      <c r="D3876" s="9">
        <v>157.0</v>
      </c>
      <c r="E3876" s="9">
        <v>2.0</v>
      </c>
      <c r="F3876" s="14"/>
      <c r="G3876" s="15"/>
      <c r="H3876" s="15"/>
      <c r="I3876" s="14"/>
      <c r="P3876" s="14"/>
    </row>
    <row r="3877" ht="18.75" customHeight="1">
      <c r="A3877" s="7" t="s">
        <v>589</v>
      </c>
      <c r="B3877" s="9">
        <v>50847.0</v>
      </c>
      <c r="C3877" s="9">
        <v>49873.0</v>
      </c>
      <c r="D3877" s="9">
        <v>14321.0</v>
      </c>
      <c r="E3877" s="9">
        <v>157.0</v>
      </c>
      <c r="F3877" s="14"/>
      <c r="G3877" s="15"/>
      <c r="H3877" s="15"/>
      <c r="I3877" s="14"/>
      <c r="P3877" s="14"/>
    </row>
    <row r="3878" ht="18.75" customHeight="1">
      <c r="A3878" s="7" t="s">
        <v>631</v>
      </c>
      <c r="B3878" s="9">
        <v>145.0</v>
      </c>
      <c r="C3878" s="9">
        <v>144.0</v>
      </c>
      <c r="D3878" s="9">
        <v>73.0</v>
      </c>
      <c r="E3878" s="9">
        <v>1.0</v>
      </c>
      <c r="F3878" s="14"/>
      <c r="G3878" s="15"/>
      <c r="H3878" s="15"/>
      <c r="I3878" s="14"/>
      <c r="P3878" s="14"/>
    </row>
    <row r="3879" ht="18.75" customHeight="1">
      <c r="A3879" s="7" t="s">
        <v>356</v>
      </c>
      <c r="B3879" s="9">
        <v>452.0</v>
      </c>
      <c r="C3879" s="9">
        <v>440.0</v>
      </c>
      <c r="D3879" s="9">
        <v>148.0</v>
      </c>
      <c r="E3879" s="9">
        <v>33.0</v>
      </c>
      <c r="F3879" s="14"/>
      <c r="G3879" s="15"/>
      <c r="H3879" s="15"/>
      <c r="I3879" s="14"/>
      <c r="P3879" s="14"/>
    </row>
    <row r="3880" ht="18.75" customHeight="1">
      <c r="A3880" s="7" t="s">
        <v>366</v>
      </c>
      <c r="B3880" s="9">
        <v>2000.0</v>
      </c>
      <c r="C3880" s="9">
        <v>1959.0</v>
      </c>
      <c r="D3880" s="9">
        <v>665.0</v>
      </c>
      <c r="E3880" s="9">
        <v>42.0</v>
      </c>
      <c r="F3880" s="14"/>
      <c r="G3880" s="15"/>
      <c r="H3880" s="15"/>
      <c r="I3880" s="14"/>
      <c r="P3880" s="14"/>
    </row>
    <row r="3881" ht="18.75" customHeight="1">
      <c r="A3881" s="7" t="s">
        <v>655</v>
      </c>
      <c r="B3881" s="9">
        <v>19424.0</v>
      </c>
      <c r="C3881" s="9">
        <v>18983.0</v>
      </c>
      <c r="D3881" s="9">
        <v>3496.0</v>
      </c>
      <c r="E3881" s="9">
        <v>48.0</v>
      </c>
      <c r="F3881" s="14"/>
      <c r="G3881" s="15"/>
      <c r="H3881" s="15"/>
      <c r="I3881" s="14"/>
      <c r="P3881" s="14"/>
    </row>
    <row r="3882" ht="18.75" customHeight="1">
      <c r="A3882" s="7" t="s">
        <v>665</v>
      </c>
      <c r="B3882" s="9">
        <v>37197.0</v>
      </c>
      <c r="C3882" s="9">
        <v>36554.0</v>
      </c>
      <c r="D3882" s="9">
        <v>10075.0</v>
      </c>
      <c r="E3882" s="9">
        <v>173.0</v>
      </c>
      <c r="F3882" s="14"/>
      <c r="G3882" s="15"/>
      <c r="H3882" s="15"/>
      <c r="I3882" s="14"/>
      <c r="P3882" s="14"/>
    </row>
    <row r="3883" ht="18.75" customHeight="1">
      <c r="A3883" s="7" t="s">
        <v>653</v>
      </c>
      <c r="B3883" s="9">
        <v>201663.0</v>
      </c>
      <c r="C3883" s="9">
        <v>198068.0</v>
      </c>
      <c r="D3883" s="9">
        <v>58342.0</v>
      </c>
      <c r="E3883" s="9">
        <v>472.0</v>
      </c>
      <c r="F3883" s="14"/>
      <c r="G3883" s="15"/>
      <c r="H3883" s="15"/>
      <c r="I3883" s="14"/>
      <c r="P3883" s="14"/>
    </row>
    <row r="3884" ht="18.75" customHeight="1">
      <c r="A3884" s="7" t="s">
        <v>645</v>
      </c>
      <c r="B3884" s="9">
        <v>146537.0</v>
      </c>
      <c r="C3884" s="9">
        <v>144208.0</v>
      </c>
      <c r="D3884" s="9">
        <v>58970.0</v>
      </c>
      <c r="E3884" s="9">
        <v>1222.0</v>
      </c>
      <c r="F3884" s="14"/>
      <c r="G3884" s="15"/>
      <c r="H3884" s="15"/>
      <c r="I3884" s="14"/>
      <c r="P3884" s="14"/>
    </row>
    <row r="3885" ht="18.75" customHeight="1">
      <c r="A3885" s="7" t="s">
        <v>676</v>
      </c>
      <c r="B3885" s="9">
        <v>16068.0</v>
      </c>
      <c r="C3885" s="9">
        <v>15711.0</v>
      </c>
      <c r="D3885" s="9">
        <v>2165.0</v>
      </c>
      <c r="E3885" s="9">
        <v>135.0</v>
      </c>
      <c r="F3885" s="14"/>
      <c r="G3885" s="15"/>
      <c r="H3885" s="15"/>
      <c r="I3885" s="14"/>
      <c r="P3885" s="14"/>
    </row>
    <row r="3886" ht="18.75" customHeight="1">
      <c r="A3886" s="7" t="s">
        <v>674</v>
      </c>
      <c r="B3886" s="9">
        <v>19212.0</v>
      </c>
      <c r="C3886" s="9">
        <v>18768.0</v>
      </c>
      <c r="D3886" s="9">
        <v>2728.0</v>
      </c>
      <c r="E3886" s="9">
        <v>107.0</v>
      </c>
      <c r="F3886" s="14"/>
      <c r="G3886" s="15"/>
      <c r="H3886" s="15"/>
      <c r="I3886" s="14"/>
      <c r="P3886" s="14"/>
    </row>
    <row r="3887" ht="18.75" customHeight="1">
      <c r="A3887" s="7" t="s">
        <v>678</v>
      </c>
      <c r="B3887" s="9">
        <v>12017.0</v>
      </c>
      <c r="C3887" s="9">
        <v>11722.0</v>
      </c>
      <c r="D3887" s="9">
        <v>1885.0</v>
      </c>
      <c r="E3887" s="9">
        <v>79.0</v>
      </c>
      <c r="F3887" s="14"/>
      <c r="G3887" s="15"/>
      <c r="H3887" s="15"/>
      <c r="I3887" s="14"/>
      <c r="P3887" s="14"/>
    </row>
    <row r="3888" ht="18.75" customHeight="1">
      <c r="A3888" s="7" t="s">
        <v>469</v>
      </c>
      <c r="B3888" s="9">
        <v>165205.0</v>
      </c>
      <c r="C3888" s="9">
        <v>161928.0</v>
      </c>
      <c r="D3888" s="9">
        <v>45115.0</v>
      </c>
      <c r="E3888" s="9">
        <v>4265.0</v>
      </c>
      <c r="F3888" s="14"/>
      <c r="G3888" s="15"/>
      <c r="H3888" s="15"/>
      <c r="I3888" s="14"/>
      <c r="P3888" s="14"/>
    </row>
    <row r="3889" ht="18.75" customHeight="1">
      <c r="A3889" s="7" t="s">
        <v>374</v>
      </c>
      <c r="B3889" s="9">
        <v>845.0</v>
      </c>
      <c r="C3889" s="9">
        <v>833.0</v>
      </c>
      <c r="D3889" s="9">
        <v>278.0</v>
      </c>
      <c r="E3889" s="9">
        <v>16.0</v>
      </c>
      <c r="F3889" s="14"/>
      <c r="G3889" s="15"/>
      <c r="H3889" s="15"/>
      <c r="I3889" s="14"/>
      <c r="P3889" s="14"/>
    </row>
    <row r="3890" ht="18.75" customHeight="1">
      <c r="A3890" s="7" t="s">
        <v>627</v>
      </c>
      <c r="B3890" s="9">
        <v>76606.0</v>
      </c>
      <c r="C3890" s="9">
        <v>75219.0</v>
      </c>
      <c r="D3890" s="9">
        <v>25975.0</v>
      </c>
      <c r="E3890" s="9">
        <v>3256.0</v>
      </c>
      <c r="F3890" s="14"/>
      <c r="G3890" s="15"/>
      <c r="H3890" s="15"/>
      <c r="I3890" s="14"/>
      <c r="P3890" s="14"/>
    </row>
    <row r="3891" ht="18.75" customHeight="1">
      <c r="A3891" s="7" t="s">
        <v>374</v>
      </c>
      <c r="B3891" s="9">
        <v>3267.0</v>
      </c>
      <c r="C3891" s="9">
        <v>3207.0</v>
      </c>
      <c r="D3891" s="9">
        <v>1145.0</v>
      </c>
      <c r="E3891" s="9">
        <v>86.0</v>
      </c>
      <c r="F3891" s="14"/>
      <c r="G3891" s="15"/>
      <c r="H3891" s="15"/>
      <c r="I3891" s="14"/>
      <c r="P3891" s="14"/>
    </row>
    <row r="3892" ht="18.75" customHeight="1">
      <c r="A3892" s="7" t="s">
        <v>627</v>
      </c>
      <c r="B3892" s="9">
        <v>21143.0</v>
      </c>
      <c r="C3892" s="9">
        <v>21043.0</v>
      </c>
      <c r="D3892" s="9">
        <v>14520.0</v>
      </c>
      <c r="E3892" s="9">
        <v>709.0</v>
      </c>
      <c r="F3892" s="14"/>
      <c r="G3892" s="15"/>
      <c r="H3892" s="15"/>
      <c r="I3892" s="14"/>
      <c r="P3892" s="14"/>
    </row>
    <row r="3893" ht="18.75" customHeight="1">
      <c r="A3893" s="7" t="s">
        <v>590</v>
      </c>
      <c r="B3893" s="9">
        <v>377156.0</v>
      </c>
      <c r="C3893" s="9">
        <v>370906.0</v>
      </c>
      <c r="D3893" s="9">
        <v>83180.0</v>
      </c>
      <c r="E3893" s="9">
        <v>570.0</v>
      </c>
      <c r="F3893" s="14"/>
      <c r="G3893" s="15"/>
      <c r="H3893" s="15"/>
      <c r="I3893" s="14"/>
      <c r="P3893" s="14"/>
    </row>
    <row r="3894" ht="18.75" customHeight="1">
      <c r="A3894" s="7" t="s">
        <v>360</v>
      </c>
      <c r="B3894" s="9">
        <v>21780.0</v>
      </c>
      <c r="C3894" s="9">
        <v>21406.0</v>
      </c>
      <c r="D3894" s="9">
        <v>6268.0</v>
      </c>
      <c r="E3894" s="9">
        <v>57.0</v>
      </c>
      <c r="F3894" s="14"/>
      <c r="G3894" s="15"/>
      <c r="H3894" s="15"/>
      <c r="I3894" s="14"/>
      <c r="P3894" s="14"/>
    </row>
    <row r="3895" ht="18.75" customHeight="1">
      <c r="A3895" s="7" t="s">
        <v>672</v>
      </c>
      <c r="B3895" s="9">
        <v>198.0</v>
      </c>
      <c r="C3895" s="9">
        <v>197.0</v>
      </c>
      <c r="D3895" s="9">
        <v>112.0</v>
      </c>
      <c r="E3895" s="9">
        <v>2.0</v>
      </c>
      <c r="F3895" s="14"/>
      <c r="G3895" s="15"/>
      <c r="H3895" s="15"/>
      <c r="I3895" s="14"/>
      <c r="P3895" s="14"/>
    </row>
    <row r="3896" ht="18.75" customHeight="1">
      <c r="A3896" s="7" t="s">
        <v>521</v>
      </c>
      <c r="B3896" s="9">
        <v>10019.0</v>
      </c>
      <c r="C3896" s="9">
        <v>9829.0</v>
      </c>
      <c r="D3896" s="9">
        <v>4405.0</v>
      </c>
      <c r="E3896" s="9">
        <v>210.0</v>
      </c>
      <c r="F3896" s="14"/>
      <c r="G3896" s="15"/>
      <c r="H3896" s="15"/>
      <c r="I3896" s="14"/>
      <c r="P3896" s="14"/>
    </row>
    <row r="3897" ht="18.75" customHeight="1">
      <c r="A3897" s="7" t="s">
        <v>523</v>
      </c>
      <c r="B3897" s="9">
        <v>9931.0</v>
      </c>
      <c r="C3897" s="9">
        <v>9762.0</v>
      </c>
      <c r="D3897" s="9">
        <v>3403.0</v>
      </c>
      <c r="E3897" s="9">
        <v>223.0</v>
      </c>
      <c r="F3897" s="14"/>
      <c r="G3897" s="15"/>
      <c r="H3897" s="15"/>
      <c r="I3897" s="14"/>
      <c r="P3897" s="14"/>
    </row>
    <row r="3898" ht="18.75" customHeight="1">
      <c r="A3898" s="7" t="s">
        <v>672</v>
      </c>
      <c r="B3898" s="9">
        <v>197.0</v>
      </c>
      <c r="C3898" s="9">
        <v>195.0</v>
      </c>
      <c r="D3898" s="9">
        <v>105.0</v>
      </c>
      <c r="E3898" s="9">
        <v>3.0</v>
      </c>
      <c r="F3898" s="14"/>
      <c r="G3898" s="15"/>
      <c r="H3898" s="15"/>
      <c r="I3898" s="14"/>
      <c r="P3898" s="14"/>
    </row>
    <row r="3899" ht="18.75" customHeight="1">
      <c r="A3899" s="7" t="s">
        <v>637</v>
      </c>
      <c r="B3899" s="9">
        <v>52237.0</v>
      </c>
      <c r="C3899" s="9">
        <v>51225.0</v>
      </c>
      <c r="D3899" s="9">
        <v>13345.0</v>
      </c>
      <c r="E3899" s="9">
        <v>309.0</v>
      </c>
      <c r="F3899" s="14"/>
      <c r="G3899" s="15"/>
      <c r="H3899" s="15"/>
      <c r="I3899" s="14"/>
      <c r="P3899" s="14"/>
    </row>
    <row r="3900" ht="18.75" customHeight="1">
      <c r="A3900" s="7" t="s">
        <v>668</v>
      </c>
      <c r="B3900" s="9">
        <v>23493.0</v>
      </c>
      <c r="C3900" s="9">
        <v>23068.0</v>
      </c>
      <c r="D3900" s="9">
        <v>4316.0</v>
      </c>
      <c r="E3900" s="9">
        <v>275.0</v>
      </c>
      <c r="F3900" s="14"/>
      <c r="G3900" s="15"/>
      <c r="H3900" s="15"/>
      <c r="I3900" s="14"/>
      <c r="P3900" s="14"/>
    </row>
    <row r="3901" ht="18.75" customHeight="1">
      <c r="A3901" s="7" t="s">
        <v>670</v>
      </c>
      <c r="B3901" s="9">
        <v>13466.0</v>
      </c>
      <c r="C3901" s="9">
        <v>13077.0</v>
      </c>
      <c r="D3901" s="9">
        <v>1480.0</v>
      </c>
      <c r="E3901" s="9">
        <v>143.0</v>
      </c>
      <c r="F3901" s="14"/>
      <c r="G3901" s="15"/>
      <c r="H3901" s="15"/>
      <c r="I3901" s="14"/>
      <c r="P3901" s="14"/>
    </row>
    <row r="3902" ht="18.75" customHeight="1">
      <c r="A3902" s="7" t="s">
        <v>631</v>
      </c>
      <c r="B3902" s="9">
        <v>145.0</v>
      </c>
      <c r="C3902" s="9">
        <v>144.0</v>
      </c>
      <c r="D3902" s="9">
        <v>66.0</v>
      </c>
      <c r="E3902" s="9">
        <v>2.0</v>
      </c>
      <c r="F3902" s="14"/>
      <c r="G3902" s="15"/>
      <c r="H3902" s="15"/>
      <c r="I3902" s="14"/>
      <c r="P3902" s="14"/>
    </row>
    <row r="3903" ht="18.75" customHeight="1">
      <c r="A3903" s="7" t="s">
        <v>661</v>
      </c>
      <c r="B3903" s="9">
        <v>77003.0</v>
      </c>
      <c r="C3903" s="9">
        <v>75538.0</v>
      </c>
      <c r="D3903" s="9">
        <v>14429.0</v>
      </c>
      <c r="E3903" s="9">
        <v>291.0</v>
      </c>
      <c r="F3903" s="14"/>
      <c r="G3903" s="15"/>
      <c r="H3903" s="15"/>
      <c r="I3903" s="14"/>
      <c r="P3903" s="14"/>
    </row>
    <row r="3904" ht="18.75" customHeight="1">
      <c r="A3904" s="7" t="s">
        <v>356</v>
      </c>
      <c r="B3904" s="9">
        <v>3246.0</v>
      </c>
      <c r="C3904" s="9">
        <v>3175.0</v>
      </c>
      <c r="D3904" s="9">
        <v>1252.0</v>
      </c>
      <c r="E3904" s="9">
        <v>40.0</v>
      </c>
      <c r="F3904" s="14"/>
      <c r="G3904" s="15"/>
      <c r="H3904" s="15"/>
      <c r="I3904" s="14"/>
      <c r="P3904" s="14"/>
    </row>
    <row r="3905" ht="18.75" customHeight="1">
      <c r="A3905" s="7" t="s">
        <v>385</v>
      </c>
      <c r="B3905" s="9">
        <v>9908.0</v>
      </c>
      <c r="C3905" s="9">
        <v>9659.0</v>
      </c>
      <c r="D3905" s="9">
        <v>2482.0</v>
      </c>
      <c r="E3905" s="9">
        <v>56.0</v>
      </c>
      <c r="F3905" s="14"/>
      <c r="G3905" s="15"/>
      <c r="H3905" s="15"/>
      <c r="I3905" s="14"/>
      <c r="P3905" s="14"/>
    </row>
    <row r="3906" ht="18.75" customHeight="1">
      <c r="A3906" s="7" t="s">
        <v>611</v>
      </c>
      <c r="B3906" s="9">
        <v>131400.0</v>
      </c>
      <c r="C3906" s="9">
        <v>129013.0</v>
      </c>
      <c r="D3906" s="9">
        <v>46501.0</v>
      </c>
      <c r="E3906" s="9">
        <v>4711.0</v>
      </c>
      <c r="F3906" s="14"/>
      <c r="G3906" s="15"/>
      <c r="H3906" s="15"/>
      <c r="I3906" s="14"/>
      <c r="P3906" s="14"/>
    </row>
    <row r="3907" ht="18.75" customHeight="1">
      <c r="A3907" s="7" t="s">
        <v>617</v>
      </c>
      <c r="B3907" s="9">
        <v>119.0</v>
      </c>
      <c r="C3907" s="9">
        <v>119.0</v>
      </c>
      <c r="D3907" s="9">
        <v>59.0</v>
      </c>
      <c r="E3907" s="9">
        <v>1.0</v>
      </c>
      <c r="F3907" s="14"/>
      <c r="G3907" s="15"/>
      <c r="H3907" s="15"/>
      <c r="I3907" s="14"/>
      <c r="P3907" s="14"/>
    </row>
    <row r="3908" ht="18.75" customHeight="1">
      <c r="A3908" s="7" t="s">
        <v>663</v>
      </c>
      <c r="B3908" s="9">
        <v>76469.0</v>
      </c>
      <c r="C3908" s="9">
        <v>74779.0</v>
      </c>
      <c r="D3908" s="9">
        <v>11791.0</v>
      </c>
      <c r="E3908" s="9">
        <v>252.0</v>
      </c>
      <c r="F3908" s="14"/>
      <c r="G3908" s="15"/>
      <c r="H3908" s="15"/>
      <c r="I3908" s="14"/>
      <c r="P3908" s="14"/>
    </row>
    <row r="3909" ht="18.75" customHeight="1">
      <c r="A3909" s="7" t="s">
        <v>595</v>
      </c>
      <c r="B3909" s="9">
        <v>52.0</v>
      </c>
      <c r="C3909" s="9">
        <v>52.0</v>
      </c>
      <c r="D3909" s="9">
        <v>23.0</v>
      </c>
      <c r="E3909" s="9">
        <v>0.0</v>
      </c>
      <c r="F3909" s="14"/>
      <c r="G3909" s="15"/>
      <c r="H3909" s="15"/>
      <c r="I3909" s="14"/>
      <c r="P3909" s="14"/>
    </row>
    <row r="3910" ht="18.75" customHeight="1">
      <c r="A3910" s="7" t="s">
        <v>615</v>
      </c>
      <c r="B3910" s="9">
        <v>96.0</v>
      </c>
      <c r="C3910" s="9">
        <v>96.0</v>
      </c>
      <c r="D3910" s="9">
        <v>49.0</v>
      </c>
      <c r="E3910" s="9">
        <v>1.0</v>
      </c>
      <c r="F3910" s="14"/>
      <c r="G3910" s="15"/>
      <c r="H3910" s="15"/>
      <c r="I3910" s="14"/>
      <c r="P3910" s="14"/>
    </row>
    <row r="3911" ht="18.75" customHeight="1">
      <c r="A3911" s="7" t="s">
        <v>613</v>
      </c>
      <c r="B3911" s="9">
        <v>147.0</v>
      </c>
      <c r="C3911" s="9">
        <v>147.0</v>
      </c>
      <c r="D3911" s="9">
        <v>78.0</v>
      </c>
      <c r="E3911" s="9">
        <v>1.0</v>
      </c>
      <c r="F3911" s="14"/>
      <c r="G3911" s="15"/>
      <c r="H3911" s="15"/>
      <c r="I3911" s="14"/>
      <c r="P3911" s="14"/>
    </row>
    <row r="3912" ht="18.75" customHeight="1">
      <c r="A3912" s="7" t="s">
        <v>674</v>
      </c>
      <c r="B3912" s="9">
        <v>49.0</v>
      </c>
      <c r="C3912" s="9">
        <v>49.0</v>
      </c>
      <c r="D3912" s="9">
        <v>23.0</v>
      </c>
      <c r="E3912" s="9">
        <v>2.0</v>
      </c>
      <c r="F3912" s="14"/>
      <c r="G3912" s="15"/>
      <c r="H3912" s="15"/>
      <c r="I3912" s="14"/>
      <c r="P3912" s="14"/>
    </row>
    <row r="3913" ht="18.75" customHeight="1">
      <c r="A3913" s="7" t="s">
        <v>678</v>
      </c>
      <c r="B3913" s="9">
        <v>66.0</v>
      </c>
      <c r="C3913" s="9">
        <v>66.0</v>
      </c>
      <c r="D3913" s="9">
        <v>38.0</v>
      </c>
      <c r="E3913" s="9">
        <v>3.0</v>
      </c>
      <c r="F3913" s="14"/>
      <c r="G3913" s="15"/>
      <c r="H3913" s="15"/>
      <c r="I3913" s="14"/>
      <c r="P3913" s="14"/>
    </row>
    <row r="3914" ht="18.75" customHeight="1">
      <c r="A3914" s="7" t="s">
        <v>585</v>
      </c>
      <c r="B3914" s="9">
        <v>158591.0</v>
      </c>
      <c r="C3914" s="9">
        <v>155666.0</v>
      </c>
      <c r="D3914" s="9">
        <v>36007.0</v>
      </c>
      <c r="E3914" s="9">
        <v>699.0</v>
      </c>
      <c r="F3914" s="14"/>
      <c r="G3914" s="15"/>
      <c r="H3914" s="15"/>
      <c r="I3914" s="14"/>
      <c r="P3914" s="14"/>
    </row>
    <row r="3915" ht="18.75" customHeight="1">
      <c r="A3915" s="7" t="s">
        <v>659</v>
      </c>
      <c r="B3915" s="9">
        <v>65149.0</v>
      </c>
      <c r="C3915" s="9">
        <v>64013.0</v>
      </c>
      <c r="D3915" s="9">
        <v>11515.0</v>
      </c>
      <c r="E3915" s="9">
        <v>257.0</v>
      </c>
      <c r="F3915" s="14"/>
      <c r="G3915" s="15"/>
      <c r="H3915" s="15"/>
      <c r="I3915" s="14"/>
      <c r="P3915" s="14"/>
    </row>
    <row r="3916" ht="18.75" customHeight="1">
      <c r="A3916" s="7" t="s">
        <v>680</v>
      </c>
      <c r="B3916" s="9">
        <v>23282.0</v>
      </c>
      <c r="C3916" s="9">
        <v>22813.0</v>
      </c>
      <c r="D3916" s="9">
        <v>7285.0</v>
      </c>
      <c r="E3916" s="9">
        <v>465.0</v>
      </c>
      <c r="F3916" s="14"/>
      <c r="G3916" s="15"/>
      <c r="H3916" s="15"/>
      <c r="I3916" s="14"/>
      <c r="P3916" s="14"/>
    </row>
    <row r="3917" ht="18.75" customHeight="1">
      <c r="A3917" s="7" t="s">
        <v>657</v>
      </c>
      <c r="B3917" s="9">
        <v>70062.0</v>
      </c>
      <c r="C3917" s="9">
        <v>68812.0</v>
      </c>
      <c r="D3917" s="9">
        <v>14666.0</v>
      </c>
      <c r="E3917" s="9">
        <v>247.0</v>
      </c>
      <c r="F3917" s="14"/>
      <c r="G3917" s="15"/>
      <c r="H3917" s="15"/>
      <c r="I3917" s="14"/>
      <c r="P3917" s="14"/>
    </row>
    <row r="3918" ht="18.75" customHeight="1">
      <c r="A3918" s="7" t="s">
        <v>525</v>
      </c>
      <c r="B3918" s="9">
        <v>19496.0</v>
      </c>
      <c r="C3918" s="9">
        <v>19166.0</v>
      </c>
      <c r="D3918" s="9">
        <v>6746.0</v>
      </c>
      <c r="E3918" s="9">
        <v>239.0</v>
      </c>
      <c r="F3918" s="14"/>
      <c r="G3918" s="15"/>
      <c r="H3918" s="15"/>
      <c r="I3918" s="14"/>
      <c r="P3918" s="14"/>
    </row>
    <row r="3919" ht="18.75" customHeight="1">
      <c r="A3919" s="7" t="s">
        <v>691</v>
      </c>
      <c r="B3919" s="9">
        <v>51912.0</v>
      </c>
      <c r="C3919" s="9">
        <v>50925.0</v>
      </c>
      <c r="D3919" s="9">
        <v>13115.0</v>
      </c>
      <c r="E3919" s="9">
        <v>275.0</v>
      </c>
      <c r="F3919" s="14"/>
      <c r="G3919" s="15"/>
      <c r="H3919" s="15"/>
      <c r="I3919" s="14"/>
      <c r="P3919" s="14"/>
    </row>
    <row r="3920" ht="18.75" customHeight="1">
      <c r="A3920" s="7" t="s">
        <v>619</v>
      </c>
      <c r="B3920" s="9">
        <v>155.0</v>
      </c>
      <c r="C3920" s="9">
        <v>155.0</v>
      </c>
      <c r="D3920" s="9">
        <v>64.0</v>
      </c>
      <c r="E3920" s="9">
        <v>1.0</v>
      </c>
      <c r="F3920" s="14"/>
      <c r="G3920" s="15"/>
      <c r="H3920" s="15"/>
      <c r="I3920" s="14"/>
      <c r="P3920" s="14"/>
    </row>
    <row r="3921" ht="18.75" customHeight="1">
      <c r="A3921" s="7" t="s">
        <v>356</v>
      </c>
      <c r="B3921" s="9">
        <v>3246.0</v>
      </c>
      <c r="C3921" s="9">
        <v>3175.0</v>
      </c>
      <c r="D3921" s="9">
        <v>1252.0</v>
      </c>
      <c r="E3921" s="9">
        <v>40.0</v>
      </c>
      <c r="F3921" s="14"/>
      <c r="G3921" s="15"/>
      <c r="H3921" s="15"/>
      <c r="I3921" s="14"/>
      <c r="P3921" s="14"/>
    </row>
    <row r="3922" ht="18.75" customHeight="1">
      <c r="A3922" s="7" t="s">
        <v>668</v>
      </c>
      <c r="B3922" s="9">
        <v>239.0</v>
      </c>
      <c r="C3922" s="9">
        <v>238.0</v>
      </c>
      <c r="D3922" s="9">
        <v>137.0</v>
      </c>
      <c r="E3922" s="9">
        <v>3.0</v>
      </c>
      <c r="F3922" s="14"/>
      <c r="G3922" s="15"/>
      <c r="H3922" s="15"/>
      <c r="I3922" s="14"/>
      <c r="P3922" s="14"/>
    </row>
    <row r="3923" ht="18.75" customHeight="1">
      <c r="A3923" s="7" t="s">
        <v>539</v>
      </c>
      <c r="B3923" s="9">
        <v>8209.0</v>
      </c>
      <c r="C3923" s="9">
        <v>8179.0</v>
      </c>
      <c r="D3923" s="9">
        <v>5301.0</v>
      </c>
      <c r="E3923" s="9">
        <v>14.0</v>
      </c>
      <c r="F3923" s="14"/>
      <c r="G3923" s="15"/>
      <c r="H3923" s="15"/>
      <c r="I3923" s="14"/>
      <c r="P3923" s="14"/>
    </row>
    <row r="3924" ht="18.75" customHeight="1">
      <c r="A3924" s="7" t="s">
        <v>539</v>
      </c>
      <c r="B3924" s="9">
        <v>247.0</v>
      </c>
      <c r="C3924" s="9">
        <v>244.0</v>
      </c>
      <c r="D3924" s="9">
        <v>125.0</v>
      </c>
      <c r="E3924" s="9">
        <v>1.0</v>
      </c>
      <c r="F3924" s="14"/>
      <c r="G3924" s="15"/>
      <c r="H3924" s="15"/>
      <c r="I3924" s="14"/>
      <c r="P3924" s="14"/>
    </row>
    <row r="3925" ht="18.75" customHeight="1">
      <c r="A3925" s="7" t="s">
        <v>366</v>
      </c>
      <c r="B3925" s="9">
        <v>28.0</v>
      </c>
      <c r="C3925" s="9">
        <v>28.0</v>
      </c>
      <c r="D3925" s="9">
        <v>15.0</v>
      </c>
      <c r="E3925" s="9">
        <v>5.0</v>
      </c>
      <c r="F3925" s="14"/>
      <c r="G3925" s="15"/>
      <c r="H3925" s="15"/>
      <c r="I3925" s="14"/>
      <c r="P3925" s="14"/>
    </row>
    <row r="3926" ht="18.75" customHeight="1">
      <c r="A3926" s="7" t="s">
        <v>368</v>
      </c>
      <c r="B3926" s="9">
        <v>412.0</v>
      </c>
      <c r="C3926" s="9">
        <v>401.0</v>
      </c>
      <c r="D3926" s="9">
        <v>188.0</v>
      </c>
      <c r="E3926" s="9">
        <v>15.0</v>
      </c>
      <c r="F3926" s="14"/>
      <c r="G3926" s="15"/>
      <c r="H3926" s="15"/>
      <c r="I3926" s="14"/>
      <c r="P3926" s="14"/>
    </row>
    <row r="3927" ht="18.75" customHeight="1">
      <c r="A3927" s="7" t="s">
        <v>370</v>
      </c>
      <c r="B3927" s="9">
        <v>248.0</v>
      </c>
      <c r="C3927" s="9">
        <v>244.0</v>
      </c>
      <c r="D3927" s="9">
        <v>97.0</v>
      </c>
      <c r="E3927" s="9">
        <v>4.0</v>
      </c>
      <c r="F3927" s="14"/>
      <c r="G3927" s="15"/>
      <c r="H3927" s="15"/>
      <c r="I3927" s="14"/>
      <c r="P3927" s="14"/>
    </row>
    <row r="3928" ht="18.75" customHeight="1">
      <c r="A3928" s="7" t="s">
        <v>633</v>
      </c>
      <c r="B3928" s="9">
        <v>348.0</v>
      </c>
      <c r="C3928" s="9">
        <v>337.0</v>
      </c>
      <c r="D3928" s="9">
        <v>163.0</v>
      </c>
      <c r="E3928" s="9">
        <v>66.0</v>
      </c>
      <c r="F3928" s="14"/>
      <c r="G3928" s="15"/>
      <c r="H3928" s="15"/>
      <c r="I3928" s="14"/>
      <c r="P3928" s="14"/>
    </row>
    <row r="3929" ht="18.75" customHeight="1">
      <c r="A3929" s="7" t="s">
        <v>665</v>
      </c>
      <c r="B3929" s="9">
        <v>97.0</v>
      </c>
      <c r="C3929" s="9">
        <v>97.0</v>
      </c>
      <c r="D3929" s="9">
        <v>62.0</v>
      </c>
      <c r="E3929" s="9">
        <v>1.0</v>
      </c>
      <c r="F3929" s="14"/>
      <c r="G3929" s="15"/>
      <c r="H3929" s="15"/>
      <c r="I3929" s="14"/>
      <c r="P3929" s="14"/>
    </row>
    <row r="3930" ht="18.75" customHeight="1">
      <c r="A3930" s="7" t="s">
        <v>385</v>
      </c>
      <c r="B3930" s="9">
        <v>2019.0</v>
      </c>
      <c r="C3930" s="9">
        <v>2008.0</v>
      </c>
      <c r="D3930" s="9">
        <v>1558.0</v>
      </c>
      <c r="E3930" s="9">
        <v>57.0</v>
      </c>
      <c r="F3930" s="14"/>
      <c r="G3930" s="15"/>
      <c r="H3930" s="15"/>
      <c r="I3930" s="14"/>
      <c r="P3930" s="14"/>
    </row>
    <row r="3931" ht="18.75" customHeight="1">
      <c r="A3931" s="7" t="s">
        <v>408</v>
      </c>
      <c r="B3931" s="9">
        <v>114300.0</v>
      </c>
      <c r="C3931" s="9">
        <v>111108.0</v>
      </c>
      <c r="D3931" s="9">
        <v>18765.0</v>
      </c>
      <c r="E3931" s="9">
        <v>613.0</v>
      </c>
      <c r="F3931" s="14"/>
      <c r="G3931" s="15"/>
      <c r="H3931" s="15"/>
      <c r="I3931" s="14"/>
      <c r="P3931" s="14"/>
    </row>
    <row r="3932" ht="18.75" customHeight="1">
      <c r="A3932" s="7" t="s">
        <v>676</v>
      </c>
      <c r="B3932" s="9">
        <v>84.0</v>
      </c>
      <c r="C3932" s="9">
        <v>84.0</v>
      </c>
      <c r="D3932" s="9">
        <v>46.0</v>
      </c>
      <c r="E3932" s="9">
        <v>1.0</v>
      </c>
      <c r="F3932" s="14"/>
      <c r="G3932" s="15"/>
      <c r="H3932" s="15"/>
      <c r="I3932" s="14"/>
      <c r="P3932" s="14"/>
    </row>
    <row r="3933" ht="18.75" customHeight="1">
      <c r="A3933" s="7" t="s">
        <v>599</v>
      </c>
      <c r="B3933" s="9">
        <v>2530.0</v>
      </c>
      <c r="C3933" s="9">
        <v>2523.0</v>
      </c>
      <c r="D3933" s="9">
        <v>1432.0</v>
      </c>
      <c r="E3933" s="9">
        <v>8.0</v>
      </c>
      <c r="F3933" s="14"/>
      <c r="G3933" s="15"/>
      <c r="H3933" s="15"/>
      <c r="I3933" s="14"/>
      <c r="P3933" s="14"/>
    </row>
    <row r="3934" ht="18.75" customHeight="1">
      <c r="A3934" s="7" t="s">
        <v>599</v>
      </c>
      <c r="B3934" s="9">
        <v>264.0</v>
      </c>
      <c r="C3934" s="9">
        <v>263.0</v>
      </c>
      <c r="D3934" s="9">
        <v>111.0</v>
      </c>
      <c r="E3934" s="9">
        <v>4.0</v>
      </c>
      <c r="F3934" s="14"/>
      <c r="G3934" s="15"/>
      <c r="H3934" s="15"/>
      <c r="I3934" s="14"/>
      <c r="P3934" s="14"/>
    </row>
    <row r="3935" ht="18.75" customHeight="1">
      <c r="A3935" s="7" t="s">
        <v>635</v>
      </c>
      <c r="B3935" s="9">
        <v>24538.0</v>
      </c>
      <c r="C3935" s="9">
        <v>24146.0</v>
      </c>
      <c r="D3935" s="9">
        <v>8488.0</v>
      </c>
      <c r="E3935" s="9">
        <v>85.0</v>
      </c>
      <c r="F3935" s="14"/>
      <c r="G3935" s="15"/>
      <c r="H3935" s="15"/>
      <c r="I3935" s="14"/>
      <c r="P3935" s="14"/>
    </row>
    <row r="3936" ht="18.75" customHeight="1">
      <c r="A3936" s="7" t="s">
        <v>670</v>
      </c>
      <c r="B3936" s="9">
        <v>180.0</v>
      </c>
      <c r="C3936" s="9">
        <v>179.0</v>
      </c>
      <c r="D3936" s="9">
        <v>98.0</v>
      </c>
      <c r="E3936" s="9">
        <v>2.0</v>
      </c>
      <c r="F3936" s="14"/>
      <c r="G3936" s="15"/>
      <c r="H3936" s="15"/>
      <c r="I3936" s="14"/>
      <c r="P3936" s="14"/>
    </row>
    <row r="3937" ht="18.75" customHeight="1">
      <c r="A3937" s="7" t="s">
        <v>661</v>
      </c>
      <c r="B3937" s="9">
        <v>165.0</v>
      </c>
      <c r="C3937" s="9">
        <v>164.0</v>
      </c>
      <c r="D3937" s="9">
        <v>96.0</v>
      </c>
      <c r="E3937" s="9">
        <v>2.0</v>
      </c>
      <c r="F3937" s="14"/>
      <c r="G3937" s="15"/>
      <c r="H3937" s="15"/>
      <c r="I3937" s="14"/>
      <c r="P3937" s="14"/>
    </row>
    <row r="3938" ht="18.75" customHeight="1">
      <c r="A3938" s="7" t="s">
        <v>589</v>
      </c>
      <c r="B3938" s="9">
        <v>15068.0</v>
      </c>
      <c r="C3938" s="9">
        <v>15042.0</v>
      </c>
      <c r="D3938" s="9">
        <v>11549.0</v>
      </c>
      <c r="E3938" s="9">
        <v>80.0</v>
      </c>
      <c r="F3938" s="14"/>
      <c r="G3938" s="15"/>
      <c r="H3938" s="15"/>
      <c r="I3938" s="14"/>
      <c r="P3938" s="14"/>
    </row>
    <row r="3939" ht="18.75" customHeight="1">
      <c r="A3939" s="7" t="s">
        <v>647</v>
      </c>
      <c r="B3939" s="9">
        <v>84050.0</v>
      </c>
      <c r="C3939" s="9">
        <v>82502.0</v>
      </c>
      <c r="D3939" s="9">
        <v>32905.0</v>
      </c>
      <c r="E3939" s="9">
        <v>1404.0</v>
      </c>
      <c r="F3939" s="14"/>
      <c r="G3939" s="15"/>
      <c r="H3939" s="15"/>
      <c r="I3939" s="14"/>
      <c r="P3939" s="14"/>
    </row>
    <row r="3940" ht="18.75" customHeight="1">
      <c r="A3940" s="7" t="s">
        <v>663</v>
      </c>
      <c r="B3940" s="9">
        <v>146.0</v>
      </c>
      <c r="C3940" s="9">
        <v>146.0</v>
      </c>
      <c r="D3940" s="9">
        <v>101.0</v>
      </c>
      <c r="E3940" s="9">
        <v>1.0</v>
      </c>
      <c r="F3940" s="14"/>
      <c r="G3940" s="15"/>
      <c r="H3940" s="15"/>
      <c r="I3940" s="14"/>
      <c r="P3940" s="14"/>
    </row>
    <row r="3941" ht="18.75" customHeight="1">
      <c r="A3941" s="7" t="s">
        <v>715</v>
      </c>
      <c r="B3941" s="9">
        <v>67744.0</v>
      </c>
      <c r="C3941" s="9">
        <v>66507.0</v>
      </c>
      <c r="D3941" s="9">
        <v>20295.0</v>
      </c>
      <c r="E3941" s="9">
        <v>65.0</v>
      </c>
      <c r="F3941" s="14"/>
      <c r="G3941" s="15"/>
      <c r="H3941" s="15"/>
      <c r="I3941" s="14"/>
      <c r="P3941" s="14"/>
    </row>
    <row r="3942" ht="18.75" customHeight="1">
      <c r="A3942" s="7" t="s">
        <v>695</v>
      </c>
      <c r="B3942" s="9">
        <v>16231.0</v>
      </c>
      <c r="C3942" s="9">
        <v>15917.0</v>
      </c>
      <c r="D3942" s="9">
        <v>6271.0</v>
      </c>
      <c r="E3942" s="9">
        <v>276.0</v>
      </c>
      <c r="F3942" s="14"/>
      <c r="G3942" s="15"/>
      <c r="H3942" s="15"/>
      <c r="I3942" s="14"/>
      <c r="P3942" s="14"/>
    </row>
    <row r="3943" ht="18.75" customHeight="1">
      <c r="A3943" s="7" t="s">
        <v>590</v>
      </c>
      <c r="B3943" s="9">
        <v>115451.0</v>
      </c>
      <c r="C3943" s="9">
        <v>112722.0</v>
      </c>
      <c r="D3943" s="9">
        <v>6447.0</v>
      </c>
      <c r="E3943" s="9">
        <v>65.0</v>
      </c>
      <c r="F3943" s="14"/>
      <c r="G3943" s="15"/>
      <c r="H3943" s="15"/>
      <c r="I3943" s="14"/>
      <c r="P3943" s="14"/>
    </row>
    <row r="3944" ht="18.75" customHeight="1">
      <c r="A3944" s="7" t="s">
        <v>659</v>
      </c>
      <c r="B3944" s="9">
        <v>96.0</v>
      </c>
      <c r="C3944" s="9">
        <v>96.0</v>
      </c>
      <c r="D3944" s="9">
        <v>62.0</v>
      </c>
      <c r="E3944" s="9">
        <v>1.0</v>
      </c>
      <c r="F3944" s="14"/>
      <c r="G3944" s="15"/>
      <c r="H3944" s="15"/>
      <c r="I3944" s="14"/>
      <c r="P3944" s="14"/>
    </row>
    <row r="3945" ht="18.75" customHeight="1">
      <c r="A3945" s="7" t="s">
        <v>674</v>
      </c>
      <c r="B3945" s="9">
        <v>69.0</v>
      </c>
      <c r="C3945" s="9">
        <v>68.0</v>
      </c>
      <c r="D3945" s="9">
        <v>30.0</v>
      </c>
      <c r="E3945" s="9">
        <v>3.0</v>
      </c>
      <c r="F3945" s="14"/>
      <c r="G3945" s="15"/>
      <c r="H3945" s="15"/>
      <c r="I3945" s="14"/>
      <c r="P3945" s="14"/>
    </row>
    <row r="3946" ht="18.75" customHeight="1">
      <c r="A3946" s="7" t="s">
        <v>678</v>
      </c>
      <c r="B3946" s="9">
        <v>85.0</v>
      </c>
      <c r="C3946" s="9">
        <v>84.0</v>
      </c>
      <c r="D3946" s="9">
        <v>32.0</v>
      </c>
      <c r="E3946" s="9">
        <v>5.0</v>
      </c>
      <c r="F3946" s="14"/>
      <c r="G3946" s="15"/>
      <c r="H3946" s="15"/>
      <c r="I3946" s="14"/>
      <c r="P3946" s="14"/>
    </row>
    <row r="3947" ht="18.75" customHeight="1">
      <c r="A3947" s="7" t="s">
        <v>657</v>
      </c>
      <c r="B3947" s="9">
        <v>115.0</v>
      </c>
      <c r="C3947" s="9">
        <v>114.0</v>
      </c>
      <c r="D3947" s="9">
        <v>63.0</v>
      </c>
      <c r="E3947" s="9">
        <v>1.0</v>
      </c>
      <c r="F3947" s="14"/>
      <c r="G3947" s="15"/>
      <c r="H3947" s="15"/>
      <c r="I3947" s="14"/>
      <c r="P3947" s="14"/>
    </row>
    <row r="3948" ht="18.75" customHeight="1">
      <c r="A3948" s="7" t="s">
        <v>629</v>
      </c>
      <c r="B3948" s="9">
        <v>66232.0</v>
      </c>
      <c r="C3948" s="9">
        <v>65037.0</v>
      </c>
      <c r="D3948" s="9">
        <v>23174.0</v>
      </c>
      <c r="E3948" s="9">
        <v>725.0</v>
      </c>
      <c r="F3948" s="14"/>
      <c r="G3948" s="15"/>
      <c r="H3948" s="15"/>
      <c r="I3948" s="14"/>
      <c r="P3948" s="14"/>
    </row>
    <row r="3949" ht="18.75" customHeight="1">
      <c r="A3949" s="7" t="s">
        <v>691</v>
      </c>
      <c r="B3949" s="9">
        <v>168.0</v>
      </c>
      <c r="C3949" s="9">
        <v>167.0</v>
      </c>
      <c r="D3949" s="9">
        <v>106.0</v>
      </c>
      <c r="E3949" s="9">
        <v>1.0</v>
      </c>
      <c r="F3949" s="14"/>
      <c r="G3949" s="15"/>
      <c r="H3949" s="15"/>
      <c r="I3949" s="14"/>
      <c r="P3949" s="14"/>
    </row>
    <row r="3950" ht="18.75" customHeight="1">
      <c r="A3950" s="7" t="s">
        <v>2857</v>
      </c>
      <c r="B3950" s="9">
        <v>47952.0</v>
      </c>
      <c r="C3950" s="9">
        <v>47052.0</v>
      </c>
      <c r="D3950" s="9">
        <v>14257.0</v>
      </c>
      <c r="E3950" s="9">
        <v>30.0</v>
      </c>
      <c r="F3950" s="14"/>
      <c r="G3950" s="15"/>
      <c r="H3950" s="15"/>
      <c r="I3950" s="14"/>
      <c r="P3950" s="14"/>
    </row>
    <row r="3951" ht="18.75" customHeight="1">
      <c r="A3951" s="7" t="s">
        <v>643</v>
      </c>
      <c r="B3951" s="9">
        <v>97071.0</v>
      </c>
      <c r="C3951" s="9">
        <v>95148.0</v>
      </c>
      <c r="D3951" s="9">
        <v>25444.0</v>
      </c>
      <c r="E3951" s="9">
        <v>420.0</v>
      </c>
      <c r="F3951" s="14"/>
      <c r="G3951" s="15"/>
      <c r="H3951" s="15"/>
      <c r="I3951" s="14"/>
      <c r="P3951" s="14"/>
    </row>
    <row r="3952" ht="18.75" customHeight="1">
      <c r="A3952" s="7" t="s">
        <v>682</v>
      </c>
      <c r="B3952" s="9">
        <v>1169.0</v>
      </c>
      <c r="C3952" s="9">
        <v>1152.0</v>
      </c>
      <c r="D3952" s="9">
        <v>465.0</v>
      </c>
      <c r="E3952" s="9">
        <v>61.0</v>
      </c>
      <c r="F3952" s="14"/>
      <c r="G3952" s="15"/>
      <c r="H3952" s="15"/>
      <c r="I3952" s="14"/>
      <c r="P3952" s="14"/>
    </row>
    <row r="3953" ht="18.75" customHeight="1">
      <c r="A3953" s="7" t="s">
        <v>665</v>
      </c>
      <c r="B3953" s="9">
        <v>96.0</v>
      </c>
      <c r="C3953" s="9">
        <v>96.0</v>
      </c>
      <c r="D3953" s="9">
        <v>54.0</v>
      </c>
      <c r="E3953" s="9">
        <v>0.0</v>
      </c>
      <c r="F3953" s="14"/>
      <c r="G3953" s="15"/>
      <c r="H3953" s="15"/>
      <c r="I3953" s="14"/>
      <c r="P3953" s="14"/>
    </row>
    <row r="3954" ht="18.75" customHeight="1">
      <c r="A3954" s="7" t="s">
        <v>726</v>
      </c>
      <c r="B3954" s="9">
        <v>39555.0</v>
      </c>
      <c r="C3954" s="9">
        <v>38622.0</v>
      </c>
      <c r="D3954" s="9">
        <v>3892.0</v>
      </c>
      <c r="E3954" s="9">
        <v>319.0</v>
      </c>
      <c r="F3954" s="14"/>
      <c r="G3954" s="15"/>
      <c r="H3954" s="15"/>
      <c r="I3954" s="14"/>
      <c r="P3954" s="14"/>
    </row>
    <row r="3955" ht="18.75" customHeight="1">
      <c r="A3955" s="7" t="s">
        <v>744</v>
      </c>
      <c r="B3955" s="9">
        <v>94165.0</v>
      </c>
      <c r="C3955" s="9">
        <v>92373.0</v>
      </c>
      <c r="D3955" s="9">
        <v>26577.0</v>
      </c>
      <c r="E3955" s="9">
        <v>483.0</v>
      </c>
      <c r="F3955" s="14"/>
      <c r="G3955" s="15"/>
      <c r="H3955" s="15"/>
      <c r="I3955" s="14"/>
      <c r="P3955" s="14"/>
    </row>
    <row r="3956" ht="18.75" customHeight="1">
      <c r="A3956" s="7" t="s">
        <v>717</v>
      </c>
      <c r="B3956" s="9">
        <v>76187.0</v>
      </c>
      <c r="C3956" s="9">
        <v>74855.0</v>
      </c>
      <c r="D3956" s="9">
        <v>30536.0</v>
      </c>
      <c r="E3956" s="9">
        <v>661.0</v>
      </c>
      <c r="F3956" s="14"/>
      <c r="G3956" s="15"/>
      <c r="H3956" s="15"/>
      <c r="I3956" s="14"/>
      <c r="P3956" s="14"/>
    </row>
    <row r="3957" ht="18.75" customHeight="1">
      <c r="A3957" s="7" t="s">
        <v>676</v>
      </c>
      <c r="B3957" s="9">
        <v>104.0</v>
      </c>
      <c r="C3957" s="9">
        <v>103.0</v>
      </c>
      <c r="D3957" s="9">
        <v>46.0</v>
      </c>
      <c r="E3957" s="9">
        <v>2.0</v>
      </c>
      <c r="F3957" s="14"/>
      <c r="G3957" s="15"/>
      <c r="H3957" s="15"/>
      <c r="I3957" s="14"/>
      <c r="P3957" s="14"/>
    </row>
    <row r="3958" ht="18.75" customHeight="1">
      <c r="A3958" s="7" t="s">
        <v>649</v>
      </c>
      <c r="B3958" s="9">
        <v>147633.0</v>
      </c>
      <c r="C3958" s="9">
        <v>125246.0</v>
      </c>
      <c r="D3958" s="9">
        <v>54292.0</v>
      </c>
      <c r="E3958" s="9">
        <v>1241.0</v>
      </c>
      <c r="F3958" s="14"/>
      <c r="G3958" s="15"/>
      <c r="H3958" s="15"/>
      <c r="I3958" s="14"/>
      <c r="P3958" s="14"/>
    </row>
    <row r="3959" ht="18.75" customHeight="1">
      <c r="A3959" s="7" t="s">
        <v>732</v>
      </c>
      <c r="B3959" s="9">
        <v>88092.0</v>
      </c>
      <c r="C3959" s="9">
        <v>75473.0</v>
      </c>
      <c r="D3959" s="9">
        <v>16024.0</v>
      </c>
      <c r="E3959" s="9">
        <v>319.0</v>
      </c>
      <c r="F3959" s="14"/>
      <c r="G3959" s="15"/>
      <c r="H3959" s="15"/>
      <c r="I3959" s="14"/>
      <c r="P3959" s="14"/>
    </row>
    <row r="3960" ht="18.75" customHeight="1">
      <c r="A3960" s="7" t="s">
        <v>742</v>
      </c>
      <c r="B3960" s="9">
        <v>70011.0</v>
      </c>
      <c r="C3960" s="9">
        <v>64413.0</v>
      </c>
      <c r="D3960" s="9">
        <v>13345.0</v>
      </c>
      <c r="E3960" s="9">
        <v>250.0</v>
      </c>
      <c r="F3960" s="14"/>
      <c r="G3960" s="15"/>
      <c r="H3960" s="15"/>
      <c r="I3960" s="14"/>
      <c r="P3960" s="14"/>
    </row>
    <row r="3961" ht="18.75" customHeight="1">
      <c r="A3961" s="7" t="s">
        <v>641</v>
      </c>
      <c r="B3961" s="9">
        <v>8682.0</v>
      </c>
      <c r="C3961" s="9">
        <v>5653.0</v>
      </c>
      <c r="D3961" s="9">
        <v>2421.0</v>
      </c>
      <c r="E3961" s="9">
        <v>227.0</v>
      </c>
      <c r="F3961" s="14"/>
      <c r="G3961" s="15"/>
      <c r="H3961" s="15"/>
      <c r="I3961" s="14"/>
      <c r="P3961" s="14"/>
    </row>
    <row r="3962" ht="18.75" customHeight="1">
      <c r="A3962" s="7" t="s">
        <v>641</v>
      </c>
      <c r="B3962" s="9">
        <v>10557.0</v>
      </c>
      <c r="C3962" s="9">
        <v>8020.0</v>
      </c>
      <c r="D3962" s="9">
        <v>3386.0</v>
      </c>
      <c r="E3962" s="9">
        <v>293.0</v>
      </c>
      <c r="F3962" s="14"/>
      <c r="G3962" s="15"/>
      <c r="H3962" s="15"/>
      <c r="I3962" s="14"/>
      <c r="P3962" s="14"/>
    </row>
    <row r="3963" ht="18.75" customHeight="1">
      <c r="A3963" s="7" t="s">
        <v>641</v>
      </c>
      <c r="B3963" s="9">
        <v>8611.0</v>
      </c>
      <c r="C3963" s="9">
        <v>5504.0</v>
      </c>
      <c r="D3963" s="9">
        <v>2410.0</v>
      </c>
      <c r="E3963" s="9">
        <v>343.0</v>
      </c>
      <c r="F3963" s="14"/>
      <c r="G3963" s="15"/>
      <c r="H3963" s="15"/>
      <c r="I3963" s="14"/>
      <c r="P3963" s="14"/>
    </row>
    <row r="3964" ht="18.75" customHeight="1">
      <c r="A3964" s="7" t="s">
        <v>641</v>
      </c>
      <c r="B3964" s="9">
        <v>7714.0</v>
      </c>
      <c r="C3964" s="9">
        <v>4664.0</v>
      </c>
      <c r="D3964" s="9">
        <v>1582.0</v>
      </c>
      <c r="E3964" s="9">
        <v>127.0</v>
      </c>
      <c r="F3964" s="14"/>
      <c r="G3964" s="15"/>
      <c r="H3964" s="15"/>
      <c r="I3964" s="14"/>
      <c r="P3964" s="14"/>
    </row>
    <row r="3965" ht="18.75" customHeight="1">
      <c r="A3965" s="7" t="s">
        <v>663</v>
      </c>
      <c r="B3965" s="9">
        <v>146.0</v>
      </c>
      <c r="C3965" s="9">
        <v>125.0</v>
      </c>
      <c r="D3965" s="9">
        <v>59.0</v>
      </c>
      <c r="E3965" s="9">
        <v>1.0</v>
      </c>
      <c r="F3965" s="14"/>
      <c r="G3965" s="15"/>
      <c r="H3965" s="15"/>
      <c r="I3965" s="14"/>
      <c r="P3965" s="14"/>
    </row>
    <row r="3966" ht="18.75" customHeight="1">
      <c r="A3966" s="7" t="s">
        <v>740</v>
      </c>
      <c r="B3966" s="9">
        <v>59927.0</v>
      </c>
      <c r="C3966" s="9">
        <v>48932.0</v>
      </c>
      <c r="D3966" s="9">
        <v>6431.0</v>
      </c>
      <c r="E3966" s="9">
        <v>133.0</v>
      </c>
      <c r="F3966" s="14"/>
      <c r="G3966" s="15"/>
      <c r="H3966" s="15"/>
      <c r="I3966" s="14"/>
      <c r="P3966" s="14"/>
    </row>
    <row r="3967" ht="18.75" customHeight="1">
      <c r="A3967" s="7" t="s">
        <v>697</v>
      </c>
      <c r="B3967" s="9">
        <v>186518.0</v>
      </c>
      <c r="C3967" s="9">
        <v>173572.0</v>
      </c>
      <c r="D3967" s="9">
        <v>72559.0</v>
      </c>
      <c r="E3967" s="9">
        <v>1344.0</v>
      </c>
      <c r="F3967" s="14"/>
      <c r="G3967" s="15"/>
      <c r="H3967" s="15"/>
      <c r="I3967" s="14"/>
      <c r="P3967" s="14"/>
    </row>
    <row r="3968" ht="18.75" customHeight="1">
      <c r="A3968" s="7" t="s">
        <v>360</v>
      </c>
      <c r="B3968" s="9">
        <v>19715.0</v>
      </c>
      <c r="C3968" s="9">
        <v>16230.0</v>
      </c>
      <c r="D3968" s="9">
        <v>5108.0</v>
      </c>
      <c r="E3968" s="9">
        <v>43.0</v>
      </c>
      <c r="F3968" s="14"/>
      <c r="G3968" s="15"/>
      <c r="H3968" s="15"/>
      <c r="I3968" s="14"/>
      <c r="P3968" s="14"/>
    </row>
    <row r="3969" ht="18.75" customHeight="1">
      <c r="A3969" s="7" t="s">
        <v>537</v>
      </c>
      <c r="B3969" s="9">
        <v>181226.0</v>
      </c>
      <c r="C3969" s="9">
        <v>180694.0</v>
      </c>
      <c r="D3969" s="9">
        <v>113730.0</v>
      </c>
      <c r="E3969" s="9">
        <v>1220.0</v>
      </c>
      <c r="F3969" s="14"/>
      <c r="G3969" s="15"/>
      <c r="H3969" s="15"/>
      <c r="I3969" s="14"/>
      <c r="P3969" s="14"/>
    </row>
    <row r="3970" ht="18.75" customHeight="1">
      <c r="A3970" s="7" t="s">
        <v>728</v>
      </c>
      <c r="B3970" s="9">
        <v>14788.0</v>
      </c>
      <c r="C3970" s="9">
        <v>12296.0</v>
      </c>
      <c r="D3970" s="9">
        <v>2133.0</v>
      </c>
      <c r="E3970" s="9">
        <v>185.0</v>
      </c>
      <c r="F3970" s="14"/>
      <c r="G3970" s="15"/>
      <c r="H3970" s="15"/>
      <c r="I3970" s="14"/>
      <c r="P3970" s="14"/>
    </row>
    <row r="3971" ht="18.75" customHeight="1">
      <c r="A3971" s="7" t="s">
        <v>527</v>
      </c>
      <c r="B3971" s="9">
        <v>11830.0</v>
      </c>
      <c r="C3971" s="9">
        <v>11398.0</v>
      </c>
      <c r="D3971" s="9">
        <v>4126.0</v>
      </c>
      <c r="E3971" s="9">
        <v>15.0</v>
      </c>
      <c r="F3971" s="14"/>
      <c r="G3971" s="15"/>
      <c r="H3971" s="15"/>
      <c r="I3971" s="14"/>
      <c r="P3971" s="14"/>
    </row>
    <row r="3972" ht="18.75" customHeight="1">
      <c r="A3972" s="7" t="s">
        <v>748</v>
      </c>
      <c r="B3972" s="9">
        <v>41452.0</v>
      </c>
      <c r="C3972" s="9">
        <v>37635.0</v>
      </c>
      <c r="D3972" s="9">
        <v>5961.0</v>
      </c>
      <c r="E3972" s="9">
        <v>228.0</v>
      </c>
      <c r="F3972" s="14"/>
      <c r="G3972" s="15"/>
      <c r="H3972" s="15"/>
      <c r="I3972" s="14"/>
      <c r="P3972" s="14"/>
    </row>
    <row r="3973" ht="18.75" customHeight="1">
      <c r="A3973" s="7" t="s">
        <v>734</v>
      </c>
      <c r="B3973" s="9">
        <v>52227.0</v>
      </c>
      <c r="C3973" s="9">
        <v>48737.0</v>
      </c>
      <c r="D3973" s="9">
        <v>13396.0</v>
      </c>
      <c r="E3973" s="9">
        <v>134.0</v>
      </c>
      <c r="F3973" s="14"/>
      <c r="G3973" s="15"/>
      <c r="H3973" s="15"/>
      <c r="I3973" s="14"/>
      <c r="P3973" s="14"/>
    </row>
    <row r="3974" ht="18.75" customHeight="1">
      <c r="A3974" s="7" t="s">
        <v>765</v>
      </c>
      <c r="B3974" s="9">
        <v>124236.0</v>
      </c>
      <c r="C3974" s="9">
        <v>121869.0</v>
      </c>
      <c r="D3974" s="9">
        <v>49175.0</v>
      </c>
      <c r="E3974" s="9">
        <v>69.0</v>
      </c>
      <c r="F3974" s="14"/>
      <c r="G3974" s="15"/>
      <c r="H3974" s="15"/>
      <c r="I3974" s="14"/>
      <c r="P3974" s="14"/>
    </row>
    <row r="3975" ht="18.75" customHeight="1">
      <c r="A3975" s="7" t="s">
        <v>422</v>
      </c>
      <c r="B3975" s="9">
        <v>169903.0</v>
      </c>
      <c r="C3975" s="9">
        <v>169384.0</v>
      </c>
      <c r="D3975" s="9">
        <v>107155.0</v>
      </c>
      <c r="E3975" s="9">
        <v>2128.0</v>
      </c>
      <c r="F3975" s="14"/>
      <c r="G3975" s="15"/>
      <c r="H3975" s="15"/>
      <c r="I3975" s="14"/>
      <c r="P3975" s="14"/>
    </row>
    <row r="3976" ht="18.75" customHeight="1">
      <c r="A3976" s="7" t="s">
        <v>625</v>
      </c>
      <c r="B3976" s="9">
        <v>69710.0</v>
      </c>
      <c r="C3976" s="9">
        <v>67839.0</v>
      </c>
      <c r="D3976" s="9">
        <v>23434.0</v>
      </c>
      <c r="E3976" s="9">
        <v>3982.0</v>
      </c>
      <c r="F3976" s="14"/>
      <c r="G3976" s="15"/>
      <c r="H3976" s="15"/>
      <c r="I3976" s="14"/>
      <c r="P3976" s="14"/>
    </row>
    <row r="3977" ht="18.75" customHeight="1">
      <c r="A3977" s="7" t="s">
        <v>746</v>
      </c>
      <c r="B3977" s="9">
        <v>6208.0</v>
      </c>
      <c r="C3977" s="9">
        <v>5539.0</v>
      </c>
      <c r="D3977" s="9">
        <v>1260.0</v>
      </c>
      <c r="E3977" s="9">
        <v>76.0</v>
      </c>
      <c r="F3977" s="14"/>
      <c r="G3977" s="15"/>
      <c r="H3977" s="15"/>
      <c r="I3977" s="14"/>
      <c r="P3977" s="14"/>
    </row>
    <row r="3978" ht="18.75" customHeight="1">
      <c r="A3978" s="7" t="s">
        <v>719</v>
      </c>
      <c r="B3978" s="9">
        <v>140958.0</v>
      </c>
      <c r="C3978" s="9">
        <v>140235.0</v>
      </c>
      <c r="D3978" s="9">
        <v>105393.0</v>
      </c>
      <c r="E3978" s="9">
        <v>1424.0</v>
      </c>
      <c r="F3978" s="14"/>
      <c r="G3978" s="15"/>
      <c r="H3978" s="15"/>
      <c r="I3978" s="14"/>
      <c r="P3978" s="14"/>
    </row>
    <row r="3979" ht="18.75" customHeight="1">
      <c r="A3979" s="7" t="s">
        <v>374</v>
      </c>
      <c r="B3979" s="9">
        <v>3978.0</v>
      </c>
      <c r="C3979" s="9">
        <v>3670.0</v>
      </c>
      <c r="D3979" s="9">
        <v>1390.0</v>
      </c>
      <c r="E3979" s="9">
        <v>78.0</v>
      </c>
      <c r="F3979" s="14"/>
      <c r="G3979" s="15"/>
      <c r="H3979" s="15"/>
      <c r="I3979" s="14"/>
      <c r="P3979" s="14"/>
    </row>
    <row r="3980" ht="18.75" customHeight="1">
      <c r="A3980" s="7" t="s">
        <v>736</v>
      </c>
      <c r="B3980" s="9">
        <v>79707.0</v>
      </c>
      <c r="C3980" s="9">
        <v>77867.0</v>
      </c>
      <c r="D3980" s="9">
        <v>16353.0</v>
      </c>
      <c r="E3980" s="9">
        <v>452.0</v>
      </c>
      <c r="F3980" s="14"/>
      <c r="G3980" s="15"/>
      <c r="H3980" s="15"/>
      <c r="I3980" s="14"/>
      <c r="P3980" s="14"/>
    </row>
    <row r="3981" ht="18.75" customHeight="1">
      <c r="A3981" s="7" t="s">
        <v>738</v>
      </c>
      <c r="B3981" s="9">
        <v>71306.0</v>
      </c>
      <c r="C3981" s="9">
        <v>68339.0</v>
      </c>
      <c r="D3981" s="9">
        <v>9967.0</v>
      </c>
      <c r="E3981" s="9">
        <v>244.0</v>
      </c>
      <c r="F3981" s="14"/>
      <c r="G3981" s="15"/>
      <c r="H3981" s="15"/>
      <c r="I3981" s="14"/>
      <c r="P3981" s="14"/>
    </row>
    <row r="3982" ht="18.75" customHeight="1">
      <c r="A3982" s="7" t="s">
        <v>732</v>
      </c>
      <c r="B3982" s="9">
        <v>186.0</v>
      </c>
      <c r="C3982" s="9">
        <v>185.0</v>
      </c>
      <c r="D3982" s="9">
        <v>129.0</v>
      </c>
      <c r="E3982" s="9">
        <v>1.0</v>
      </c>
      <c r="F3982" s="14"/>
      <c r="G3982" s="15"/>
      <c r="H3982" s="15"/>
      <c r="I3982" s="14"/>
      <c r="P3982" s="14"/>
    </row>
    <row r="3983" ht="18.75" customHeight="1">
      <c r="A3983" s="7" t="s">
        <v>744</v>
      </c>
      <c r="B3983" s="9">
        <v>252.0</v>
      </c>
      <c r="C3983" s="9">
        <v>252.0</v>
      </c>
      <c r="D3983" s="9">
        <v>176.0</v>
      </c>
      <c r="E3983" s="9">
        <v>2.0</v>
      </c>
      <c r="F3983" s="14"/>
      <c r="G3983" s="15"/>
      <c r="H3983" s="15"/>
      <c r="I3983" s="14"/>
      <c r="P3983" s="14"/>
    </row>
    <row r="3984" ht="18.75" customHeight="1">
      <c r="A3984" s="7" t="s">
        <v>589</v>
      </c>
      <c r="B3984" s="9">
        <v>38700.0</v>
      </c>
      <c r="C3984" s="9">
        <v>38018.0</v>
      </c>
      <c r="D3984" s="9">
        <v>4518.0</v>
      </c>
      <c r="E3984" s="9">
        <v>82.0</v>
      </c>
      <c r="F3984" s="14"/>
      <c r="G3984" s="15"/>
      <c r="H3984" s="15"/>
      <c r="I3984" s="14"/>
      <c r="P3984" s="14"/>
    </row>
    <row r="3985" ht="18.75" customHeight="1">
      <c r="A3985" s="7" t="s">
        <v>742</v>
      </c>
      <c r="B3985" s="9">
        <v>164.0</v>
      </c>
      <c r="C3985" s="9">
        <v>163.0</v>
      </c>
      <c r="D3985" s="9">
        <v>92.0</v>
      </c>
      <c r="E3985" s="9">
        <v>2.0</v>
      </c>
      <c r="F3985" s="14"/>
      <c r="G3985" s="15"/>
      <c r="H3985" s="15"/>
      <c r="I3985" s="14"/>
      <c r="P3985" s="14"/>
    </row>
    <row r="3986" ht="18.75" customHeight="1">
      <c r="A3986" s="7" t="s">
        <v>750</v>
      </c>
      <c r="B3986" s="9">
        <v>287.0</v>
      </c>
      <c r="C3986" s="9">
        <v>283.0</v>
      </c>
      <c r="D3986" s="9">
        <v>135.0</v>
      </c>
      <c r="E3986" s="9">
        <v>14.0</v>
      </c>
      <c r="F3986" s="14"/>
      <c r="G3986" s="15"/>
      <c r="H3986" s="15"/>
      <c r="I3986" s="14"/>
      <c r="P3986" s="14"/>
    </row>
    <row r="3987" ht="18.75" customHeight="1">
      <c r="A3987" s="7" t="s">
        <v>752</v>
      </c>
      <c r="B3987" s="9">
        <v>7006.0</v>
      </c>
      <c r="C3987" s="9">
        <v>6982.0</v>
      </c>
      <c r="D3987" s="9">
        <v>3055.0</v>
      </c>
      <c r="E3987" s="9">
        <v>1.0</v>
      </c>
      <c r="F3987" s="14"/>
      <c r="G3987" s="15"/>
      <c r="H3987" s="15"/>
      <c r="I3987" s="14"/>
      <c r="P3987" s="14"/>
    </row>
    <row r="3988" ht="18.75" customHeight="1">
      <c r="A3988" s="7" t="s">
        <v>726</v>
      </c>
      <c r="B3988" s="9">
        <v>232.0</v>
      </c>
      <c r="C3988" s="9">
        <v>231.0</v>
      </c>
      <c r="D3988" s="9">
        <v>145.0</v>
      </c>
      <c r="E3988" s="9">
        <v>3.0</v>
      </c>
      <c r="F3988" s="14"/>
      <c r="G3988" s="15"/>
      <c r="H3988" s="15"/>
      <c r="I3988" s="14"/>
      <c r="P3988" s="14"/>
    </row>
    <row r="3989" ht="18.75" customHeight="1">
      <c r="A3989" s="7" t="s">
        <v>368</v>
      </c>
      <c r="B3989" s="9">
        <v>238.0</v>
      </c>
      <c r="C3989" s="9">
        <v>235.0</v>
      </c>
      <c r="D3989" s="9">
        <v>96.0</v>
      </c>
      <c r="E3989" s="9">
        <v>4.0</v>
      </c>
      <c r="F3989" s="14"/>
      <c r="G3989" s="15"/>
      <c r="H3989" s="15"/>
      <c r="I3989" s="14"/>
      <c r="P3989" s="14"/>
    </row>
    <row r="3990" ht="18.75" customHeight="1">
      <c r="A3990" s="7" t="s">
        <v>711</v>
      </c>
      <c r="B3990" s="9">
        <v>12011.0</v>
      </c>
      <c r="C3990" s="9">
        <v>11876.0</v>
      </c>
      <c r="D3990" s="9">
        <v>3808.0</v>
      </c>
      <c r="E3990" s="9">
        <v>165.0</v>
      </c>
      <c r="F3990" s="14"/>
      <c r="G3990" s="15"/>
      <c r="H3990" s="15"/>
      <c r="I3990" s="14"/>
      <c r="P3990" s="14"/>
    </row>
    <row r="3991" ht="18.75" customHeight="1">
      <c r="A3991" s="7" t="s">
        <v>740</v>
      </c>
      <c r="B3991" s="9">
        <v>95.0</v>
      </c>
      <c r="C3991" s="9">
        <v>95.0</v>
      </c>
      <c r="D3991" s="9">
        <v>55.0</v>
      </c>
      <c r="E3991" s="9">
        <v>0.0</v>
      </c>
      <c r="F3991" s="14"/>
      <c r="G3991" s="15"/>
      <c r="H3991" s="15"/>
      <c r="I3991" s="14"/>
      <c r="P3991" s="14"/>
    </row>
    <row r="3992" ht="18.75" customHeight="1">
      <c r="A3992" s="7" t="s">
        <v>372</v>
      </c>
      <c r="B3992" s="9">
        <v>2601.0</v>
      </c>
      <c r="C3992" s="9">
        <v>2558.0</v>
      </c>
      <c r="D3992" s="9">
        <v>789.0</v>
      </c>
      <c r="E3992" s="9">
        <v>5.0</v>
      </c>
      <c r="F3992" s="14"/>
      <c r="G3992" s="15"/>
      <c r="H3992" s="15"/>
      <c r="I3992" s="14"/>
      <c r="P3992" s="14"/>
    </row>
    <row r="3993" ht="18.75" customHeight="1">
      <c r="A3993" s="7" t="s">
        <v>385</v>
      </c>
      <c r="B3993" s="9">
        <v>14167.0</v>
      </c>
      <c r="C3993" s="9">
        <v>14004.0</v>
      </c>
      <c r="D3993" s="9">
        <v>3441.0</v>
      </c>
      <c r="E3993" s="9">
        <v>81.0</v>
      </c>
      <c r="F3993" s="14"/>
      <c r="G3993" s="15"/>
      <c r="H3993" s="15"/>
      <c r="I3993" s="14"/>
      <c r="P3993" s="14"/>
    </row>
    <row r="3994" ht="18.75" customHeight="1">
      <c r="A3994" s="7" t="s">
        <v>730</v>
      </c>
      <c r="B3994" s="9">
        <v>13549.0</v>
      </c>
      <c r="C3994" s="9">
        <v>13400.0</v>
      </c>
      <c r="D3994" s="9">
        <v>1982.0</v>
      </c>
      <c r="E3994" s="9">
        <v>143.0</v>
      </c>
      <c r="F3994" s="14"/>
      <c r="G3994" s="15"/>
      <c r="H3994" s="15"/>
      <c r="I3994" s="14"/>
      <c r="P3994" s="14"/>
    </row>
    <row r="3995" ht="18.75" customHeight="1">
      <c r="A3995" s="7" t="s">
        <v>736</v>
      </c>
      <c r="B3995" s="9">
        <v>169.0</v>
      </c>
      <c r="C3995" s="9">
        <v>169.0</v>
      </c>
      <c r="D3995" s="9">
        <v>127.0</v>
      </c>
      <c r="E3995" s="9">
        <v>3.0</v>
      </c>
      <c r="F3995" s="14"/>
      <c r="G3995" s="15"/>
      <c r="H3995" s="15"/>
      <c r="I3995" s="14"/>
      <c r="P3995" s="14"/>
    </row>
    <row r="3996" ht="18.75" customHeight="1">
      <c r="A3996" s="7" t="s">
        <v>738</v>
      </c>
      <c r="B3996" s="9">
        <v>118.0</v>
      </c>
      <c r="C3996" s="9">
        <v>118.0</v>
      </c>
      <c r="D3996" s="9">
        <v>75.0</v>
      </c>
      <c r="E3996" s="9">
        <v>2.0</v>
      </c>
      <c r="F3996" s="14"/>
      <c r="G3996" s="15"/>
      <c r="H3996" s="15"/>
      <c r="I3996" s="14"/>
      <c r="P3996" s="14"/>
    </row>
    <row r="3997" ht="18.75" customHeight="1">
      <c r="A3997" s="7" t="s">
        <v>623</v>
      </c>
      <c r="B3997" s="9">
        <v>106330.0</v>
      </c>
      <c r="C3997" s="9">
        <v>104182.0</v>
      </c>
      <c r="D3997" s="9">
        <v>44326.0</v>
      </c>
      <c r="E3997" s="9">
        <v>7635.0</v>
      </c>
      <c r="F3997" s="14"/>
      <c r="G3997" s="15"/>
      <c r="H3997" s="15"/>
      <c r="I3997" s="14"/>
      <c r="P3997" s="14"/>
    </row>
    <row r="3998" ht="18.75" customHeight="1">
      <c r="A3998" s="7" t="s">
        <v>721</v>
      </c>
      <c r="B3998" s="9">
        <v>178014.0</v>
      </c>
      <c r="C3998" s="9">
        <v>176828.0</v>
      </c>
      <c r="D3998" s="9">
        <v>82703.0</v>
      </c>
      <c r="E3998" s="9">
        <v>410.0</v>
      </c>
      <c r="F3998" s="14"/>
      <c r="G3998" s="15"/>
      <c r="H3998" s="15"/>
      <c r="I3998" s="14"/>
      <c r="P3998" s="14"/>
    </row>
    <row r="3999" ht="18.75" customHeight="1">
      <c r="A3999" s="7" t="s">
        <v>767</v>
      </c>
      <c r="B3999" s="9">
        <v>14041.0</v>
      </c>
      <c r="C3999" s="9">
        <v>13888.0</v>
      </c>
      <c r="D3999" s="9">
        <v>5200.0</v>
      </c>
      <c r="E3999" s="9">
        <v>176.0</v>
      </c>
      <c r="F3999" s="14"/>
      <c r="G3999" s="15"/>
      <c r="H3999" s="15"/>
      <c r="I3999" s="14"/>
      <c r="P3999" s="14"/>
    </row>
    <row r="4000" ht="18.75" customHeight="1">
      <c r="A4000" s="7" t="s">
        <v>661</v>
      </c>
      <c r="B4000" s="9">
        <v>164.0</v>
      </c>
      <c r="C4000" s="9">
        <v>163.0</v>
      </c>
      <c r="D4000" s="9">
        <v>76.0</v>
      </c>
      <c r="E4000" s="9">
        <v>2.0</v>
      </c>
      <c r="F4000" s="14"/>
      <c r="G4000" s="15"/>
      <c r="H4000" s="15"/>
      <c r="I4000" s="14"/>
      <c r="P4000" s="14"/>
    </row>
    <row r="4001" ht="18.75" customHeight="1">
      <c r="A4001" s="7" t="s">
        <v>535</v>
      </c>
      <c r="B4001" s="9">
        <v>87630.0</v>
      </c>
      <c r="C4001" s="9">
        <v>86596.0</v>
      </c>
      <c r="D4001" s="9">
        <v>33826.0</v>
      </c>
      <c r="E4001" s="9">
        <v>192.0</v>
      </c>
      <c r="F4001" s="14"/>
      <c r="G4001" s="15"/>
      <c r="H4001" s="15"/>
      <c r="I4001" s="14"/>
      <c r="P4001" s="14"/>
    </row>
    <row r="4002" ht="18.75" customHeight="1">
      <c r="A4002" s="7" t="s">
        <v>668</v>
      </c>
      <c r="B4002" s="9">
        <v>4366.0</v>
      </c>
      <c r="C4002" s="9">
        <v>4358.0</v>
      </c>
      <c r="D4002" s="9">
        <v>3170.0</v>
      </c>
      <c r="E4002" s="9">
        <v>6.0</v>
      </c>
      <c r="F4002" s="14"/>
      <c r="G4002" s="15"/>
      <c r="H4002" s="15"/>
      <c r="I4002" s="14"/>
      <c r="P4002" s="14"/>
    </row>
    <row r="4003" ht="18.75" customHeight="1">
      <c r="A4003" s="7" t="s">
        <v>668</v>
      </c>
      <c r="B4003" s="9">
        <v>210.0</v>
      </c>
      <c r="C4003" s="9">
        <v>210.0</v>
      </c>
      <c r="D4003" s="9">
        <v>108.0</v>
      </c>
      <c r="E4003" s="9">
        <v>2.0</v>
      </c>
      <c r="F4003" s="14"/>
      <c r="G4003" s="15"/>
      <c r="H4003" s="15"/>
      <c r="I4003" s="14"/>
      <c r="P4003" s="14"/>
    </row>
    <row r="4004" ht="18.75" customHeight="1">
      <c r="A4004" s="7" t="s">
        <v>705</v>
      </c>
      <c r="B4004" s="9">
        <v>70551.0</v>
      </c>
      <c r="C4004" s="9">
        <v>69711.0</v>
      </c>
      <c r="D4004" s="9">
        <v>23779.0</v>
      </c>
      <c r="E4004" s="9">
        <v>46.0</v>
      </c>
      <c r="F4004" s="14"/>
      <c r="G4004" s="15"/>
      <c r="H4004" s="15"/>
      <c r="I4004" s="14"/>
      <c r="P4004" s="14"/>
    </row>
    <row r="4005" ht="18.75" customHeight="1">
      <c r="A4005" s="7" t="s">
        <v>691</v>
      </c>
      <c r="B4005" s="9">
        <v>165.0</v>
      </c>
      <c r="C4005" s="9">
        <v>164.0</v>
      </c>
      <c r="D4005" s="9">
        <v>94.0</v>
      </c>
      <c r="E4005" s="9">
        <v>2.0</v>
      </c>
      <c r="F4005" s="14"/>
      <c r="G4005" s="15"/>
      <c r="H4005" s="15"/>
      <c r="I4005" s="14"/>
      <c r="P4005" s="14"/>
    </row>
    <row r="4006" ht="18.75" customHeight="1">
      <c r="A4006" s="7" t="s">
        <v>732</v>
      </c>
      <c r="B4006" s="9">
        <v>194.0</v>
      </c>
      <c r="C4006" s="9">
        <v>193.0</v>
      </c>
      <c r="D4006" s="9">
        <v>106.0</v>
      </c>
      <c r="E4006" s="9">
        <v>0.0</v>
      </c>
      <c r="F4006" s="14"/>
      <c r="G4006" s="15"/>
      <c r="H4006" s="15"/>
      <c r="I4006" s="14"/>
      <c r="P4006" s="14"/>
    </row>
    <row r="4007" ht="18.75" customHeight="1">
      <c r="A4007" s="7" t="s">
        <v>728</v>
      </c>
      <c r="B4007" s="9">
        <v>234.0</v>
      </c>
      <c r="C4007" s="9">
        <v>233.0</v>
      </c>
      <c r="D4007" s="9">
        <v>157.0</v>
      </c>
      <c r="E4007" s="9">
        <v>2.0</v>
      </c>
      <c r="F4007" s="14"/>
      <c r="G4007" s="15"/>
      <c r="H4007" s="15"/>
      <c r="I4007" s="14"/>
      <c r="P4007" s="14"/>
    </row>
    <row r="4008" ht="18.75" customHeight="1">
      <c r="A4008" s="7" t="s">
        <v>734</v>
      </c>
      <c r="B4008" s="9">
        <v>76.0</v>
      </c>
      <c r="C4008" s="9">
        <v>76.0</v>
      </c>
      <c r="D4008" s="9">
        <v>54.0</v>
      </c>
      <c r="E4008" s="9">
        <v>0.0</v>
      </c>
      <c r="F4008" s="14"/>
      <c r="G4008" s="15"/>
      <c r="H4008" s="15"/>
      <c r="I4008" s="14"/>
      <c r="P4008" s="14"/>
    </row>
    <row r="4009" ht="18.75" customHeight="1">
      <c r="A4009" s="7" t="s">
        <v>744</v>
      </c>
      <c r="B4009" s="9">
        <v>251.0</v>
      </c>
      <c r="C4009" s="9">
        <v>251.0</v>
      </c>
      <c r="D4009" s="9">
        <v>157.0</v>
      </c>
      <c r="E4009" s="9">
        <v>0.0</v>
      </c>
      <c r="F4009" s="14"/>
      <c r="G4009" s="15"/>
      <c r="H4009" s="15"/>
      <c r="I4009" s="14"/>
      <c r="P4009" s="14"/>
    </row>
    <row r="4010" ht="18.75" customHeight="1">
      <c r="A4010" s="7" t="s">
        <v>748</v>
      </c>
      <c r="B4010" s="9">
        <v>123.0</v>
      </c>
      <c r="C4010" s="9">
        <v>123.0</v>
      </c>
      <c r="D4010" s="9">
        <v>68.0</v>
      </c>
      <c r="E4010" s="9">
        <v>0.0</v>
      </c>
      <c r="F4010" s="14"/>
      <c r="G4010" s="15"/>
      <c r="H4010" s="15"/>
      <c r="I4010" s="14"/>
      <c r="P4010" s="14"/>
    </row>
    <row r="4011" ht="18.75" customHeight="1">
      <c r="A4011" s="7" t="s">
        <v>786</v>
      </c>
      <c r="B4011" s="9">
        <v>24635.0</v>
      </c>
      <c r="C4011" s="9">
        <v>24275.0</v>
      </c>
      <c r="D4011" s="9">
        <v>4498.0</v>
      </c>
      <c r="E4011" s="9">
        <v>134.0</v>
      </c>
      <c r="F4011" s="14"/>
      <c r="G4011" s="15"/>
      <c r="H4011" s="15"/>
      <c r="I4011" s="14"/>
      <c r="P4011" s="14"/>
    </row>
    <row r="4012" ht="18.75" customHeight="1">
      <c r="A4012" s="7" t="s">
        <v>643</v>
      </c>
      <c r="B4012" s="9">
        <v>71216.0</v>
      </c>
      <c r="C4012" s="9">
        <v>69964.0</v>
      </c>
      <c r="D4012" s="9">
        <v>7422.0</v>
      </c>
      <c r="E4012" s="9">
        <v>98.0</v>
      </c>
      <c r="F4012" s="14"/>
      <c r="G4012" s="15"/>
      <c r="H4012" s="15"/>
      <c r="I4012" s="14"/>
      <c r="P4012" s="14"/>
    </row>
    <row r="4013" ht="18.75" customHeight="1">
      <c r="A4013" s="7" t="s">
        <v>356</v>
      </c>
      <c r="B4013" s="9">
        <v>277.0</v>
      </c>
      <c r="C4013" s="9">
        <v>273.0</v>
      </c>
      <c r="D4013" s="9">
        <v>86.0</v>
      </c>
      <c r="E4013" s="9">
        <v>4.0</v>
      </c>
      <c r="F4013" s="14"/>
      <c r="G4013" s="15"/>
      <c r="H4013" s="15"/>
      <c r="I4013" s="14"/>
      <c r="P4013" s="14"/>
    </row>
    <row r="4014" ht="18.75" customHeight="1">
      <c r="A4014" s="7" t="s">
        <v>695</v>
      </c>
      <c r="B4014" s="9">
        <v>176380.0</v>
      </c>
      <c r="C4014" s="9">
        <v>174591.0</v>
      </c>
      <c r="D4014" s="9">
        <v>57452.0</v>
      </c>
      <c r="E4014" s="9">
        <v>1118.0</v>
      </c>
      <c r="F4014" s="14"/>
      <c r="G4014" s="15"/>
      <c r="H4014" s="15"/>
      <c r="I4014" s="14"/>
      <c r="P4014" s="14"/>
    </row>
    <row r="4015" ht="18.75" customHeight="1">
      <c r="A4015" s="7" t="s">
        <v>659</v>
      </c>
      <c r="B4015" s="9">
        <v>96.0</v>
      </c>
      <c r="C4015" s="9">
        <v>96.0</v>
      </c>
      <c r="D4015" s="9">
        <v>52.0</v>
      </c>
      <c r="E4015" s="9">
        <v>0.0</v>
      </c>
      <c r="F4015" s="14"/>
      <c r="G4015" s="15"/>
      <c r="H4015" s="15"/>
      <c r="I4015" s="14"/>
      <c r="P4015" s="14"/>
    </row>
    <row r="4016" ht="18.75" customHeight="1">
      <c r="A4016" s="7" t="s">
        <v>746</v>
      </c>
      <c r="B4016" s="9">
        <v>50.0</v>
      </c>
      <c r="C4016" s="9">
        <v>50.0</v>
      </c>
      <c r="D4016" s="9">
        <v>35.0</v>
      </c>
      <c r="E4016" s="9">
        <v>1.0</v>
      </c>
      <c r="F4016" s="14"/>
      <c r="G4016" s="15"/>
      <c r="H4016" s="15"/>
      <c r="I4016" s="14"/>
      <c r="P4016" s="14"/>
    </row>
    <row r="4017" ht="18.75" customHeight="1">
      <c r="A4017" s="7" t="s">
        <v>707</v>
      </c>
      <c r="B4017" s="9">
        <v>185244.0</v>
      </c>
      <c r="C4017" s="9">
        <v>183070.0</v>
      </c>
      <c r="D4017" s="9">
        <v>76523.0</v>
      </c>
      <c r="E4017" s="9">
        <v>756.0</v>
      </c>
      <c r="F4017" s="14"/>
      <c r="G4017" s="15"/>
      <c r="H4017" s="15"/>
      <c r="I4017" s="14"/>
      <c r="P4017" s="14"/>
    </row>
    <row r="4018" ht="18.75" customHeight="1">
      <c r="A4018" s="7" t="s">
        <v>779</v>
      </c>
      <c r="B4018" s="9">
        <v>13852.0</v>
      </c>
      <c r="C4018" s="9">
        <v>13699.0</v>
      </c>
      <c r="D4018" s="9">
        <v>2562.0</v>
      </c>
      <c r="E4018" s="9">
        <v>50.0</v>
      </c>
      <c r="F4018" s="14"/>
      <c r="G4018" s="15"/>
      <c r="H4018" s="15"/>
      <c r="I4018" s="14"/>
      <c r="P4018" s="14"/>
    </row>
    <row r="4019" ht="18.75" customHeight="1">
      <c r="A4019" s="7" t="s">
        <v>657</v>
      </c>
      <c r="B4019" s="9">
        <v>94.0</v>
      </c>
      <c r="C4019" s="9">
        <v>93.0</v>
      </c>
      <c r="D4019" s="9">
        <v>48.0</v>
      </c>
      <c r="E4019" s="9">
        <v>0.0</v>
      </c>
      <c r="F4019" s="14"/>
      <c r="G4019" s="15"/>
      <c r="H4019" s="15"/>
      <c r="I4019" s="14"/>
      <c r="P4019" s="14"/>
    </row>
    <row r="4020" ht="18.75" customHeight="1">
      <c r="A4020" s="7" t="s">
        <v>621</v>
      </c>
      <c r="B4020" s="9">
        <v>81118.0</v>
      </c>
      <c r="C4020" s="9">
        <v>80173.0</v>
      </c>
      <c r="D4020" s="9">
        <v>31927.0</v>
      </c>
      <c r="E4020" s="9">
        <v>4350.0</v>
      </c>
      <c r="F4020" s="14"/>
      <c r="G4020" s="15"/>
      <c r="H4020" s="15"/>
      <c r="I4020" s="14"/>
      <c r="P4020" s="14"/>
    </row>
    <row r="4021" ht="18.75" customHeight="1">
      <c r="A4021" s="7" t="s">
        <v>374</v>
      </c>
      <c r="B4021" s="9">
        <v>2237.0</v>
      </c>
      <c r="C4021" s="9">
        <v>2216.0</v>
      </c>
      <c r="D4021" s="9">
        <v>776.0</v>
      </c>
      <c r="E4021" s="9">
        <v>16.0</v>
      </c>
      <c r="F4021" s="14"/>
      <c r="G4021" s="15"/>
      <c r="H4021" s="15"/>
      <c r="I4021" s="14"/>
      <c r="P4021" s="14"/>
    </row>
    <row r="4022" ht="18.75" customHeight="1">
      <c r="A4022" s="7" t="s">
        <v>670</v>
      </c>
      <c r="B4022" s="9">
        <v>1484.0</v>
      </c>
      <c r="C4022" s="9">
        <v>1473.0</v>
      </c>
      <c r="D4022" s="9">
        <v>812.0</v>
      </c>
      <c r="E4022" s="9">
        <v>2.0</v>
      </c>
      <c r="F4022" s="14"/>
      <c r="G4022" s="15"/>
      <c r="H4022" s="15"/>
      <c r="I4022" s="14"/>
      <c r="P4022" s="14"/>
    </row>
    <row r="4023" ht="18.75" customHeight="1">
      <c r="A4023" s="7" t="s">
        <v>670</v>
      </c>
      <c r="B4023" s="9">
        <v>149.0</v>
      </c>
      <c r="C4023" s="9">
        <v>149.0</v>
      </c>
      <c r="D4023" s="9">
        <v>57.0</v>
      </c>
      <c r="E4023" s="9">
        <v>0.0</v>
      </c>
      <c r="F4023" s="14"/>
      <c r="G4023" s="15"/>
      <c r="H4023" s="15"/>
      <c r="I4023" s="14"/>
      <c r="P4023" s="14"/>
    </row>
    <row r="4024" ht="18.75" customHeight="1">
      <c r="A4024" s="7" t="s">
        <v>781</v>
      </c>
      <c r="B4024" s="9">
        <v>16276.0</v>
      </c>
      <c r="C4024" s="9">
        <v>15958.0</v>
      </c>
      <c r="D4024" s="9">
        <v>2354.0</v>
      </c>
      <c r="E4024" s="9">
        <v>22.0</v>
      </c>
      <c r="F4024" s="14"/>
      <c r="G4024" s="15"/>
      <c r="H4024" s="15"/>
      <c r="I4024" s="14"/>
      <c r="P4024" s="14"/>
    </row>
    <row r="4025" ht="18.75" customHeight="1">
      <c r="A4025" s="7" t="s">
        <v>533</v>
      </c>
      <c r="B4025" s="9">
        <v>64818.0</v>
      </c>
      <c r="C4025" s="9">
        <v>64476.0</v>
      </c>
      <c r="D4025" s="9">
        <v>36540.0</v>
      </c>
      <c r="E4025" s="9">
        <v>161.0</v>
      </c>
      <c r="F4025" s="14"/>
      <c r="G4025" s="15"/>
      <c r="H4025" s="15"/>
      <c r="I4025" s="14"/>
      <c r="P4025" s="14"/>
    </row>
    <row r="4026" ht="18.75" customHeight="1">
      <c r="A4026" s="7" t="s">
        <v>533</v>
      </c>
      <c r="B4026" s="9">
        <v>39143.0</v>
      </c>
      <c r="C4026" s="9">
        <v>38810.0</v>
      </c>
      <c r="D4026" s="9">
        <v>15995.0</v>
      </c>
      <c r="E4026" s="9">
        <v>199.0</v>
      </c>
      <c r="F4026" s="14"/>
      <c r="G4026" s="15"/>
      <c r="H4026" s="15"/>
      <c r="I4026" s="14"/>
      <c r="P4026" s="14"/>
    </row>
    <row r="4027" ht="18.75" customHeight="1">
      <c r="A4027" s="7" t="s">
        <v>740</v>
      </c>
      <c r="B4027" s="9">
        <v>95.0</v>
      </c>
      <c r="C4027" s="9">
        <v>95.0</v>
      </c>
      <c r="D4027" s="9">
        <v>36.0</v>
      </c>
      <c r="E4027" s="9">
        <v>0.0</v>
      </c>
      <c r="F4027" s="14"/>
      <c r="G4027" s="15"/>
      <c r="H4027" s="15"/>
      <c r="I4027" s="14"/>
      <c r="P4027" s="14"/>
    </row>
    <row r="4028" ht="18.75" customHeight="1">
      <c r="A4028" s="7" t="s">
        <v>372</v>
      </c>
      <c r="B4028" s="9">
        <v>5371.0</v>
      </c>
      <c r="C4028" s="9">
        <v>5315.0</v>
      </c>
      <c r="D4028" s="9">
        <v>1571.0</v>
      </c>
      <c r="E4028" s="9">
        <v>11.0</v>
      </c>
      <c r="F4028" s="14"/>
      <c r="G4028" s="15"/>
      <c r="H4028" s="15"/>
      <c r="I4028" s="14"/>
      <c r="P4028" s="14"/>
    </row>
    <row r="4029" ht="18.75" customHeight="1">
      <c r="A4029" s="7" t="s">
        <v>368</v>
      </c>
      <c r="B4029" s="9">
        <v>129.0</v>
      </c>
      <c r="C4029" s="9">
        <v>128.0</v>
      </c>
      <c r="D4029" s="9">
        <v>47.0</v>
      </c>
      <c r="E4029" s="9">
        <v>6.0</v>
      </c>
      <c r="F4029" s="14"/>
      <c r="G4029" s="15"/>
      <c r="H4029" s="15"/>
      <c r="I4029" s="14"/>
      <c r="P4029" s="14"/>
    </row>
    <row r="4030" ht="18.75" customHeight="1">
      <c r="A4030" s="7" t="s">
        <v>370</v>
      </c>
      <c r="B4030" s="9">
        <v>302.0</v>
      </c>
      <c r="C4030" s="9">
        <v>298.0</v>
      </c>
      <c r="D4030" s="9">
        <v>100.0</v>
      </c>
      <c r="E4030" s="9">
        <v>11.0</v>
      </c>
      <c r="F4030" s="14"/>
      <c r="G4030" s="15"/>
      <c r="H4030" s="15"/>
      <c r="I4030" s="14"/>
      <c r="P4030" s="14"/>
    </row>
    <row r="4031" ht="18.75" customHeight="1">
      <c r="A4031" s="7" t="s">
        <v>356</v>
      </c>
      <c r="B4031" s="9">
        <v>286.0</v>
      </c>
      <c r="C4031" s="9">
        <v>284.0</v>
      </c>
      <c r="D4031" s="9">
        <v>89.0</v>
      </c>
      <c r="E4031" s="9">
        <v>5.0</v>
      </c>
      <c r="F4031" s="14"/>
      <c r="G4031" s="15"/>
      <c r="H4031" s="15"/>
      <c r="I4031" s="14"/>
      <c r="P4031" s="14"/>
    </row>
    <row r="4032" ht="18.75" customHeight="1">
      <c r="A4032" s="7" t="s">
        <v>573</v>
      </c>
      <c r="B4032" s="9">
        <v>71308.0</v>
      </c>
      <c r="C4032" s="9">
        <v>70661.0</v>
      </c>
      <c r="D4032" s="9">
        <v>27302.0</v>
      </c>
      <c r="E4032" s="9">
        <v>200.0</v>
      </c>
      <c r="F4032" s="14"/>
      <c r="G4032" s="15"/>
      <c r="H4032" s="15"/>
      <c r="I4032" s="14"/>
      <c r="P4032" s="14"/>
    </row>
    <row r="4033" ht="18.75" customHeight="1">
      <c r="A4033" s="7" t="s">
        <v>726</v>
      </c>
      <c r="B4033" s="9">
        <v>3735.0</v>
      </c>
      <c r="C4033" s="9">
        <v>3725.0</v>
      </c>
      <c r="D4033" s="9">
        <v>2206.0</v>
      </c>
      <c r="E4033" s="9">
        <v>4.0</v>
      </c>
      <c r="F4033" s="14"/>
      <c r="G4033" s="15"/>
      <c r="H4033" s="15"/>
      <c r="I4033" s="14"/>
      <c r="P4033" s="14"/>
    </row>
    <row r="4034" ht="18.75" customHeight="1">
      <c r="A4034" s="7" t="s">
        <v>726</v>
      </c>
      <c r="B4034" s="9">
        <v>226.0</v>
      </c>
      <c r="C4034" s="9">
        <v>225.0</v>
      </c>
      <c r="D4034" s="9">
        <v>89.0</v>
      </c>
      <c r="E4034" s="9">
        <v>1.0</v>
      </c>
      <c r="F4034" s="14"/>
      <c r="G4034" s="15"/>
      <c r="H4034" s="15"/>
      <c r="I4034" s="14"/>
      <c r="P4034" s="14"/>
    </row>
    <row r="4035" ht="18.75" customHeight="1">
      <c r="A4035" s="7" t="s">
        <v>370</v>
      </c>
      <c r="B4035" s="9">
        <v>128.0</v>
      </c>
      <c r="C4035" s="9">
        <v>126.0</v>
      </c>
      <c r="D4035" s="9">
        <v>50.0</v>
      </c>
      <c r="E4035" s="9">
        <v>1.0</v>
      </c>
      <c r="F4035" s="14"/>
      <c r="G4035" s="15"/>
      <c r="H4035" s="15"/>
      <c r="I4035" s="14"/>
      <c r="P4035" s="14"/>
    </row>
    <row r="4036" ht="18.75" customHeight="1">
      <c r="A4036" s="7" t="s">
        <v>366</v>
      </c>
      <c r="B4036" s="9">
        <v>263.0</v>
      </c>
      <c r="C4036" s="9">
        <v>261.0</v>
      </c>
      <c r="D4036" s="9">
        <v>93.0</v>
      </c>
      <c r="E4036" s="9">
        <v>3.0</v>
      </c>
      <c r="F4036" s="14"/>
      <c r="G4036" s="15"/>
      <c r="H4036" s="15"/>
      <c r="I4036" s="14"/>
      <c r="P4036" s="14"/>
    </row>
    <row r="4037" ht="18.75" customHeight="1">
      <c r="A4037" s="7" t="s">
        <v>680</v>
      </c>
      <c r="B4037" s="9">
        <v>166462.0</v>
      </c>
      <c r="C4037" s="9">
        <v>164771.0</v>
      </c>
      <c r="D4037" s="9">
        <v>36650.0</v>
      </c>
      <c r="E4037" s="9">
        <v>280.0</v>
      </c>
      <c r="F4037" s="14"/>
      <c r="G4037" s="15"/>
      <c r="H4037" s="15"/>
      <c r="I4037" s="14"/>
      <c r="P4037" s="14"/>
    </row>
    <row r="4038" ht="18.75" customHeight="1">
      <c r="A4038" s="7" t="s">
        <v>721</v>
      </c>
      <c r="B4038" s="9">
        <v>109343.0</v>
      </c>
      <c r="C4038" s="9">
        <v>108816.0</v>
      </c>
      <c r="D4038" s="9">
        <v>47948.0</v>
      </c>
      <c r="E4038" s="9">
        <v>92.0</v>
      </c>
      <c r="F4038" s="14"/>
      <c r="G4038" s="15"/>
      <c r="H4038" s="15"/>
      <c r="I4038" s="14"/>
      <c r="P4038" s="14"/>
    </row>
    <row r="4039" ht="18.75" customHeight="1">
      <c r="A4039" s="7" t="s">
        <v>736</v>
      </c>
      <c r="B4039" s="9">
        <v>169.0</v>
      </c>
      <c r="C4039" s="9">
        <v>169.0</v>
      </c>
      <c r="D4039" s="9">
        <v>93.0</v>
      </c>
      <c r="E4039" s="9">
        <v>1.0</v>
      </c>
      <c r="F4039" s="14"/>
      <c r="G4039" s="15"/>
      <c r="H4039" s="15"/>
      <c r="I4039" s="14"/>
      <c r="P4039" s="14"/>
    </row>
    <row r="4040" ht="18.75" customHeight="1">
      <c r="A4040" s="7" t="s">
        <v>738</v>
      </c>
      <c r="B4040" s="9">
        <v>118.0</v>
      </c>
      <c r="C4040" s="9">
        <v>118.0</v>
      </c>
      <c r="D4040" s="9">
        <v>57.0</v>
      </c>
      <c r="E4040" s="9">
        <v>0.0</v>
      </c>
      <c r="F4040" s="14"/>
      <c r="G4040" s="15"/>
      <c r="H4040" s="15"/>
      <c r="I4040" s="14"/>
      <c r="P4040" s="14"/>
    </row>
    <row r="4041" ht="18.75" customHeight="1">
      <c r="A4041" s="7" t="s">
        <v>730</v>
      </c>
      <c r="B4041" s="9">
        <v>154.0</v>
      </c>
      <c r="C4041" s="9">
        <v>154.0</v>
      </c>
      <c r="D4041" s="9">
        <v>80.0</v>
      </c>
      <c r="E4041" s="9">
        <v>1.0</v>
      </c>
      <c r="F4041" s="14"/>
      <c r="G4041" s="15"/>
      <c r="H4041" s="15"/>
      <c r="I4041" s="14"/>
      <c r="P4041" s="14"/>
    </row>
    <row r="4042" ht="18.75" customHeight="1">
      <c r="A4042" s="7" t="s">
        <v>788</v>
      </c>
      <c r="B4042" s="9">
        <v>26856.0</v>
      </c>
      <c r="C4042" s="9">
        <v>26457.0</v>
      </c>
      <c r="D4042" s="9">
        <v>4645.0</v>
      </c>
      <c r="E4042" s="9">
        <v>175.0</v>
      </c>
      <c r="F4042" s="14"/>
      <c r="G4042" s="15"/>
      <c r="H4042" s="15"/>
      <c r="I4042" s="14"/>
      <c r="P4042" s="14"/>
    </row>
    <row r="4043" ht="18.75" customHeight="1">
      <c r="A4043" s="7" t="s">
        <v>374</v>
      </c>
      <c r="B4043" s="9">
        <v>6150.0</v>
      </c>
      <c r="C4043" s="9">
        <v>6082.0</v>
      </c>
      <c r="D4043" s="9">
        <v>1965.0</v>
      </c>
      <c r="E4043" s="9">
        <v>85.0</v>
      </c>
      <c r="F4043" s="14"/>
      <c r="G4043" s="15"/>
      <c r="H4043" s="15"/>
      <c r="I4043" s="14"/>
      <c r="P4043" s="14"/>
    </row>
    <row r="4044" ht="18.75" customHeight="1">
      <c r="A4044" s="7" t="s">
        <v>374</v>
      </c>
      <c r="B4044" s="9">
        <v>1960.0</v>
      </c>
      <c r="C4044" s="9">
        <v>1936.0</v>
      </c>
      <c r="D4044" s="9">
        <v>571.0</v>
      </c>
      <c r="E4044" s="9">
        <v>9.0</v>
      </c>
      <c r="F4044" s="14"/>
      <c r="G4044" s="15"/>
      <c r="H4044" s="15"/>
      <c r="I4044" s="14"/>
      <c r="P4044" s="14"/>
    </row>
    <row r="4045" ht="18.75" customHeight="1">
      <c r="A4045" s="7" t="s">
        <v>360</v>
      </c>
      <c r="B4045" s="9">
        <v>22972.0</v>
      </c>
      <c r="C4045" s="9">
        <v>22685.0</v>
      </c>
      <c r="D4045" s="9">
        <v>6365.0</v>
      </c>
      <c r="E4045" s="9">
        <v>59.0</v>
      </c>
      <c r="F4045" s="14"/>
      <c r="G4045" s="15"/>
      <c r="H4045" s="15"/>
      <c r="I4045" s="14"/>
      <c r="P4045" s="14"/>
    </row>
    <row r="4046" ht="18.75" customHeight="1">
      <c r="A4046" s="7" t="s">
        <v>381</v>
      </c>
      <c r="B4046" s="9">
        <v>112.0</v>
      </c>
      <c r="C4046" s="9">
        <v>109.0</v>
      </c>
      <c r="D4046" s="9">
        <v>34.0</v>
      </c>
      <c r="E4046" s="9">
        <v>3.0</v>
      </c>
      <c r="F4046" s="14"/>
      <c r="G4046" s="15"/>
      <c r="H4046" s="15"/>
      <c r="I4046" s="14"/>
      <c r="P4046" s="14"/>
    </row>
    <row r="4047" ht="18.75" customHeight="1">
      <c r="A4047" s="7" t="s">
        <v>734</v>
      </c>
      <c r="B4047" s="9">
        <v>96.0</v>
      </c>
      <c r="C4047" s="9">
        <v>95.0</v>
      </c>
      <c r="D4047" s="9">
        <v>57.0</v>
      </c>
      <c r="E4047" s="9">
        <v>2.0</v>
      </c>
      <c r="F4047" s="14"/>
      <c r="G4047" s="15"/>
      <c r="H4047" s="15"/>
      <c r="I4047" s="14"/>
      <c r="P4047" s="14"/>
    </row>
    <row r="4048" ht="18.75" customHeight="1">
      <c r="A4048" s="7" t="s">
        <v>781</v>
      </c>
      <c r="B4048" s="9">
        <v>59.0</v>
      </c>
      <c r="C4048" s="9">
        <v>58.0</v>
      </c>
      <c r="D4048" s="9">
        <v>21.0</v>
      </c>
      <c r="E4048" s="9">
        <v>2.0</v>
      </c>
      <c r="F4048" s="14"/>
      <c r="G4048" s="15"/>
      <c r="H4048" s="15"/>
      <c r="I4048" s="14"/>
      <c r="P4048" s="14"/>
    </row>
    <row r="4049" ht="18.75" customHeight="1">
      <c r="A4049" s="7" t="s">
        <v>786</v>
      </c>
      <c r="B4049" s="9">
        <v>108.0</v>
      </c>
      <c r="C4049" s="9">
        <v>107.0</v>
      </c>
      <c r="D4049" s="9">
        <v>61.0</v>
      </c>
      <c r="E4049" s="9">
        <v>4.0</v>
      </c>
      <c r="F4049" s="14"/>
      <c r="G4049" s="15"/>
      <c r="H4049" s="15"/>
      <c r="I4049" s="14"/>
      <c r="P4049" s="14"/>
    </row>
    <row r="4050" ht="18.75" customHeight="1">
      <c r="A4050" s="7" t="s">
        <v>779</v>
      </c>
      <c r="B4050" s="9">
        <v>70.0</v>
      </c>
      <c r="C4050" s="9">
        <v>69.0</v>
      </c>
      <c r="D4050" s="9">
        <v>34.0</v>
      </c>
      <c r="E4050" s="9">
        <v>2.0</v>
      </c>
      <c r="F4050" s="14"/>
      <c r="G4050" s="15"/>
      <c r="H4050" s="15"/>
      <c r="I4050" s="14"/>
      <c r="P4050" s="14"/>
    </row>
    <row r="4051" ht="18.75" customHeight="1">
      <c r="A4051" s="7" t="s">
        <v>784</v>
      </c>
      <c r="B4051" s="9">
        <v>76715.0</v>
      </c>
      <c r="C4051" s="9">
        <v>75795.0</v>
      </c>
      <c r="D4051" s="9">
        <v>10985.0</v>
      </c>
      <c r="E4051" s="9">
        <v>271.0</v>
      </c>
      <c r="F4051" s="14"/>
      <c r="G4051" s="15"/>
      <c r="H4051" s="15"/>
      <c r="I4051" s="14"/>
      <c r="P4051" s="14"/>
    </row>
    <row r="4052" ht="18.75" customHeight="1">
      <c r="A4052" s="7" t="s">
        <v>798</v>
      </c>
      <c r="B4052" s="9">
        <v>93649.0</v>
      </c>
      <c r="C4052" s="9">
        <v>92593.0</v>
      </c>
      <c r="D4052" s="9">
        <v>26109.0</v>
      </c>
      <c r="E4052" s="9">
        <v>299.0</v>
      </c>
      <c r="F4052" s="14"/>
      <c r="G4052" s="15"/>
      <c r="H4052" s="15"/>
      <c r="I4052" s="14"/>
      <c r="P4052" s="14"/>
    </row>
    <row r="4053" ht="18.75" customHeight="1">
      <c r="A4053" s="7" t="s">
        <v>802</v>
      </c>
      <c r="B4053" s="9">
        <v>7603.0</v>
      </c>
      <c r="C4053" s="9">
        <v>7513.0</v>
      </c>
      <c r="D4053" s="9">
        <v>1334.0</v>
      </c>
      <c r="E4053" s="9">
        <v>124.0</v>
      </c>
      <c r="F4053" s="14"/>
      <c r="G4053" s="15"/>
      <c r="H4053" s="15"/>
      <c r="I4053" s="14"/>
      <c r="P4053" s="14"/>
    </row>
    <row r="4054" ht="18.75" customHeight="1">
      <c r="A4054" s="7" t="s">
        <v>794</v>
      </c>
      <c r="B4054" s="9">
        <v>91002.0</v>
      </c>
      <c r="C4054" s="9">
        <v>90081.0</v>
      </c>
      <c r="D4054" s="9">
        <v>25190.0</v>
      </c>
      <c r="E4054" s="9">
        <v>352.0</v>
      </c>
      <c r="F4054" s="14"/>
      <c r="G4054" s="15"/>
      <c r="H4054" s="15"/>
      <c r="I4054" s="14"/>
      <c r="P4054" s="14"/>
    </row>
    <row r="4055" ht="18.75" customHeight="1">
      <c r="A4055" s="7" t="s">
        <v>796</v>
      </c>
      <c r="B4055" s="9">
        <v>105805.0</v>
      </c>
      <c r="C4055" s="9">
        <v>104798.0</v>
      </c>
      <c r="D4055" s="9">
        <v>37951.0</v>
      </c>
      <c r="E4055" s="9">
        <v>543.0</v>
      </c>
      <c r="F4055" s="14"/>
      <c r="G4055" s="15"/>
      <c r="H4055" s="15"/>
      <c r="I4055" s="14"/>
      <c r="P4055" s="14"/>
    </row>
    <row r="4056" ht="18.75" customHeight="1">
      <c r="A4056" s="7" t="s">
        <v>651</v>
      </c>
      <c r="B4056" s="9">
        <v>66779.0</v>
      </c>
      <c r="C4056" s="9">
        <v>65841.0</v>
      </c>
      <c r="D4056" s="9">
        <v>22134.0</v>
      </c>
      <c r="E4056" s="9">
        <v>981.0</v>
      </c>
      <c r="F4056" s="14"/>
      <c r="G4056" s="15"/>
      <c r="H4056" s="15"/>
      <c r="I4056" s="14"/>
      <c r="P4056" s="14"/>
    </row>
    <row r="4057" ht="18.75" customHeight="1">
      <c r="A4057" s="7" t="s">
        <v>792</v>
      </c>
      <c r="B4057" s="9">
        <v>135869.0</v>
      </c>
      <c r="C4057" s="9">
        <v>134744.0</v>
      </c>
      <c r="D4057" s="9">
        <v>57691.0</v>
      </c>
      <c r="E4057" s="9">
        <v>1342.0</v>
      </c>
      <c r="F4057" s="14"/>
      <c r="G4057" s="15"/>
      <c r="H4057" s="15"/>
      <c r="I4057" s="14"/>
      <c r="P4057" s="14"/>
    </row>
    <row r="4058" ht="18.75" customHeight="1">
      <c r="A4058" s="7" t="s">
        <v>792</v>
      </c>
      <c r="B4058" s="9">
        <v>35479.0</v>
      </c>
      <c r="C4058" s="9">
        <v>35037.0</v>
      </c>
      <c r="D4058" s="9">
        <v>8089.0</v>
      </c>
      <c r="E4058" s="9">
        <v>171.0</v>
      </c>
      <c r="F4058" s="14"/>
      <c r="G4058" s="15"/>
      <c r="H4058" s="15"/>
      <c r="I4058" s="14"/>
      <c r="P4058" s="14"/>
    </row>
    <row r="4059" ht="18.75" customHeight="1">
      <c r="A4059" s="7" t="s">
        <v>746</v>
      </c>
      <c r="B4059" s="9">
        <v>70.0</v>
      </c>
      <c r="C4059" s="9">
        <v>69.0</v>
      </c>
      <c r="D4059" s="9">
        <v>29.0</v>
      </c>
      <c r="E4059" s="9">
        <v>4.0</v>
      </c>
      <c r="F4059" s="14"/>
      <c r="G4059" s="15"/>
      <c r="H4059" s="15"/>
      <c r="I4059" s="14"/>
      <c r="P4059" s="14"/>
    </row>
    <row r="4060" ht="18.75" customHeight="1">
      <c r="A4060" s="7" t="s">
        <v>623</v>
      </c>
      <c r="B4060" s="9">
        <v>48180.0</v>
      </c>
      <c r="C4060" s="9">
        <v>47577.0</v>
      </c>
      <c r="D4060" s="9">
        <v>16598.0</v>
      </c>
      <c r="E4060" s="9">
        <v>1571.0</v>
      </c>
      <c r="F4060" s="14"/>
      <c r="G4060" s="15"/>
      <c r="H4060" s="15"/>
      <c r="I4060" s="14"/>
      <c r="P4060" s="14"/>
    </row>
    <row r="4061" ht="18.75" customHeight="1">
      <c r="A4061" s="7" t="s">
        <v>719</v>
      </c>
      <c r="B4061" s="9">
        <v>134959.0</v>
      </c>
      <c r="C4061" s="9">
        <v>134677.0</v>
      </c>
      <c r="D4061" s="9">
        <v>63853.0</v>
      </c>
      <c r="E4061" s="9">
        <v>1450.0</v>
      </c>
      <c r="F4061" s="14"/>
      <c r="G4061" s="15"/>
      <c r="H4061" s="15"/>
      <c r="I4061" s="14"/>
      <c r="P4061" s="14"/>
    </row>
    <row r="4062" ht="18.75" customHeight="1">
      <c r="A4062" s="7" t="s">
        <v>531</v>
      </c>
      <c r="B4062" s="9">
        <v>33785.0</v>
      </c>
      <c r="C4062" s="9">
        <v>33409.0</v>
      </c>
      <c r="D4062" s="9">
        <v>13633.0</v>
      </c>
      <c r="E4062" s="9">
        <v>347.0</v>
      </c>
      <c r="F4062" s="14"/>
      <c r="G4062" s="15"/>
      <c r="H4062" s="15"/>
      <c r="I4062" s="14"/>
      <c r="P4062" s="14"/>
    </row>
    <row r="4063" ht="18.75" customHeight="1">
      <c r="A4063" s="7" t="s">
        <v>728</v>
      </c>
      <c r="B4063" s="9">
        <v>2219.0</v>
      </c>
      <c r="C4063" s="9">
        <v>2215.0</v>
      </c>
      <c r="D4063" s="9">
        <v>1479.0</v>
      </c>
      <c r="E4063" s="9">
        <v>5.0</v>
      </c>
      <c r="F4063" s="14"/>
      <c r="G4063" s="15"/>
      <c r="H4063" s="15"/>
      <c r="I4063" s="14"/>
      <c r="P4063" s="14"/>
    </row>
    <row r="4064" ht="18.75" customHeight="1">
      <c r="A4064" s="7" t="s">
        <v>728</v>
      </c>
      <c r="B4064" s="9">
        <v>198.0</v>
      </c>
      <c r="C4064" s="9">
        <v>198.0</v>
      </c>
      <c r="D4064" s="9">
        <v>96.0</v>
      </c>
      <c r="E4064" s="9">
        <v>0.0</v>
      </c>
      <c r="F4064" s="14"/>
      <c r="G4064" s="15"/>
      <c r="H4064" s="15"/>
      <c r="I4064" s="14"/>
      <c r="P4064" s="14"/>
    </row>
    <row r="4065" ht="18.75" customHeight="1">
      <c r="A4065" s="7" t="s">
        <v>771</v>
      </c>
      <c r="B4065" s="9">
        <v>79646.0</v>
      </c>
      <c r="C4065" s="9">
        <v>78754.0</v>
      </c>
      <c r="D4065" s="9">
        <v>27862.0</v>
      </c>
      <c r="E4065" s="9">
        <v>229.0</v>
      </c>
      <c r="F4065" s="14"/>
      <c r="G4065" s="15"/>
      <c r="H4065" s="15"/>
      <c r="I4065" s="14"/>
      <c r="P4065" s="14"/>
    </row>
    <row r="4066" ht="18.75" customHeight="1">
      <c r="A4066" s="7" t="s">
        <v>769</v>
      </c>
      <c r="B4066" s="9">
        <v>196563.0</v>
      </c>
      <c r="C4066" s="9">
        <v>193295.0</v>
      </c>
      <c r="D4066" s="9">
        <v>65089.0</v>
      </c>
      <c r="E4066" s="9">
        <v>1007.0</v>
      </c>
      <c r="F4066" s="14"/>
      <c r="G4066" s="15"/>
      <c r="H4066" s="15"/>
      <c r="I4066" s="14"/>
      <c r="P4066" s="14"/>
    </row>
    <row r="4067" ht="18.75" customHeight="1">
      <c r="A4067" s="7" t="s">
        <v>689</v>
      </c>
      <c r="B4067" s="9">
        <v>105784.0</v>
      </c>
      <c r="C4067" s="9">
        <v>104725.0</v>
      </c>
      <c r="D4067" s="9">
        <v>40872.0</v>
      </c>
      <c r="E4067" s="9">
        <v>900.0</v>
      </c>
      <c r="F4067" s="14"/>
      <c r="G4067" s="15"/>
      <c r="H4067" s="15"/>
      <c r="I4067" s="14"/>
      <c r="P4067" s="14"/>
    </row>
    <row r="4068" ht="18.75" customHeight="1">
      <c r="A4068" s="7" t="s">
        <v>730</v>
      </c>
      <c r="B4068" s="9">
        <v>1976.0</v>
      </c>
      <c r="C4068" s="9">
        <v>1972.0</v>
      </c>
      <c r="D4068" s="9">
        <v>1298.0</v>
      </c>
      <c r="E4068" s="9">
        <v>1.0</v>
      </c>
      <c r="F4068" s="14"/>
      <c r="G4068" s="15"/>
      <c r="H4068" s="15"/>
      <c r="I4068" s="14"/>
      <c r="P4068" s="14"/>
    </row>
    <row r="4069" ht="18.75" customHeight="1">
      <c r="A4069" s="7" t="s">
        <v>730</v>
      </c>
      <c r="B4069" s="9">
        <v>156.0</v>
      </c>
      <c r="C4069" s="9">
        <v>156.0</v>
      </c>
      <c r="D4069" s="9">
        <v>53.0</v>
      </c>
      <c r="E4069" s="9">
        <v>2.0</v>
      </c>
      <c r="F4069" s="14"/>
      <c r="G4069" s="15"/>
      <c r="H4069" s="15"/>
      <c r="I4069" s="14"/>
      <c r="P4069" s="14"/>
    </row>
    <row r="4070" ht="18.75" customHeight="1">
      <c r="A4070" s="7" t="s">
        <v>779</v>
      </c>
      <c r="B4070" s="9">
        <v>62.0</v>
      </c>
      <c r="C4070" s="9">
        <v>61.0</v>
      </c>
      <c r="D4070" s="9">
        <v>25.0</v>
      </c>
      <c r="E4070" s="9">
        <v>2.0</v>
      </c>
      <c r="F4070" s="14"/>
      <c r="G4070" s="15"/>
      <c r="H4070" s="15"/>
      <c r="I4070" s="14"/>
      <c r="P4070" s="14"/>
    </row>
    <row r="4071" ht="18.75" customHeight="1">
      <c r="A4071" s="7" t="s">
        <v>788</v>
      </c>
      <c r="B4071" s="9">
        <v>154.0</v>
      </c>
      <c r="C4071" s="9">
        <v>153.0</v>
      </c>
      <c r="D4071" s="9">
        <v>66.0</v>
      </c>
      <c r="E4071" s="9">
        <v>1.0</v>
      </c>
      <c r="F4071" s="14"/>
      <c r="G4071" s="15"/>
      <c r="H4071" s="15"/>
      <c r="I4071" s="14"/>
      <c r="P4071" s="14"/>
    </row>
    <row r="4072" ht="18.75" customHeight="1">
      <c r="A4072" s="7" t="s">
        <v>786</v>
      </c>
      <c r="B4072" s="9">
        <v>108.0</v>
      </c>
      <c r="C4072" s="9">
        <v>107.0</v>
      </c>
      <c r="D4072" s="9">
        <v>53.0</v>
      </c>
      <c r="E4072" s="9">
        <v>2.0</v>
      </c>
      <c r="F4072" s="14"/>
      <c r="G4072" s="15"/>
      <c r="H4072" s="15"/>
      <c r="I4072" s="14"/>
      <c r="P4072" s="14"/>
    </row>
    <row r="4073" ht="18.75" customHeight="1">
      <c r="A4073" s="7" t="s">
        <v>817</v>
      </c>
      <c r="B4073" s="9">
        <v>186511.0</v>
      </c>
      <c r="C4073" s="9">
        <v>185053.0</v>
      </c>
      <c r="D4073" s="9">
        <v>73839.0</v>
      </c>
      <c r="E4073" s="9">
        <v>1472.0</v>
      </c>
      <c r="F4073" s="14"/>
      <c r="G4073" s="15"/>
      <c r="H4073" s="15"/>
      <c r="I4073" s="14"/>
      <c r="P4073" s="14"/>
    </row>
    <row r="4074" ht="18.75" customHeight="1">
      <c r="A4074" s="7" t="s">
        <v>374</v>
      </c>
      <c r="B4074" s="9">
        <v>1275.0</v>
      </c>
      <c r="C4074" s="9">
        <v>1263.0</v>
      </c>
      <c r="D4074" s="9">
        <v>388.0</v>
      </c>
      <c r="E4074" s="9">
        <v>15.0</v>
      </c>
      <c r="F4074" s="14"/>
      <c r="G4074" s="15"/>
      <c r="H4074" s="15"/>
      <c r="I4074" s="14"/>
      <c r="P4074" s="14"/>
    </row>
    <row r="4075" ht="18.75" customHeight="1">
      <c r="A4075" s="7" t="s">
        <v>719</v>
      </c>
      <c r="B4075" s="9">
        <v>81964.0</v>
      </c>
      <c r="C4075" s="9">
        <v>81644.0</v>
      </c>
      <c r="D4075" s="9">
        <v>30123.0</v>
      </c>
      <c r="E4075" s="9">
        <v>400.0</v>
      </c>
      <c r="F4075" s="14"/>
      <c r="G4075" s="15"/>
      <c r="H4075" s="15"/>
      <c r="I4075" s="14"/>
      <c r="P4075" s="14"/>
    </row>
    <row r="4076" ht="18.75" customHeight="1">
      <c r="A4076" s="7" t="s">
        <v>719</v>
      </c>
      <c r="B4076" s="9">
        <v>31871.0</v>
      </c>
      <c r="C4076" s="9">
        <v>31381.0</v>
      </c>
      <c r="D4076" s="9">
        <v>7398.0</v>
      </c>
      <c r="E4076" s="9">
        <v>120.0</v>
      </c>
      <c r="F4076" s="14"/>
      <c r="G4076" s="15"/>
      <c r="H4076" s="15"/>
      <c r="I4076" s="14"/>
      <c r="P4076" s="14"/>
    </row>
    <row r="4077" ht="18.75" customHeight="1">
      <c r="A4077" s="7" t="s">
        <v>767</v>
      </c>
      <c r="B4077" s="9">
        <v>80356.0</v>
      </c>
      <c r="C4077" s="9">
        <v>80143.0</v>
      </c>
      <c r="D4077" s="9">
        <v>38938.0</v>
      </c>
      <c r="E4077" s="9">
        <v>70.0</v>
      </c>
      <c r="F4077" s="14"/>
      <c r="G4077" s="15"/>
      <c r="H4077" s="15"/>
      <c r="I4077" s="14"/>
      <c r="P4077" s="14"/>
    </row>
    <row r="4078" ht="18.75" customHeight="1">
      <c r="A4078" s="7" t="s">
        <v>804</v>
      </c>
      <c r="B4078" s="9">
        <v>21450.0</v>
      </c>
      <c r="C4078" s="9">
        <v>21230.0</v>
      </c>
      <c r="D4078" s="9">
        <v>5731.0</v>
      </c>
      <c r="E4078" s="9">
        <v>108.0</v>
      </c>
      <c r="F4078" s="14"/>
      <c r="G4078" s="15"/>
      <c r="H4078" s="15"/>
      <c r="I4078" s="14"/>
      <c r="P4078" s="14"/>
    </row>
    <row r="4079" ht="18.75" customHeight="1">
      <c r="A4079" s="7" t="s">
        <v>2857</v>
      </c>
      <c r="B4079" s="9">
        <v>67204.0</v>
      </c>
      <c r="C4079" s="9">
        <v>66407.0</v>
      </c>
      <c r="D4079" s="9">
        <v>22517.0</v>
      </c>
      <c r="E4079" s="9">
        <v>495.0</v>
      </c>
      <c r="F4079" s="14"/>
      <c r="G4079" s="15"/>
      <c r="H4079" s="15"/>
      <c r="I4079" s="14"/>
      <c r="P4079" s="14"/>
    </row>
    <row r="4080" ht="18.75" customHeight="1">
      <c r="A4080" s="7" t="s">
        <v>821</v>
      </c>
      <c r="B4080" s="9">
        <v>26507.0</v>
      </c>
      <c r="C4080" s="9">
        <v>26256.0</v>
      </c>
      <c r="D4080" s="9">
        <v>6982.0</v>
      </c>
      <c r="E4080" s="9">
        <v>108.0</v>
      </c>
      <c r="F4080" s="14"/>
      <c r="G4080" s="15"/>
      <c r="H4080" s="15"/>
      <c r="I4080" s="14"/>
      <c r="P4080" s="14"/>
    </row>
    <row r="4081" ht="18.75" customHeight="1">
      <c r="A4081" s="7" t="s">
        <v>796</v>
      </c>
      <c r="B4081" s="9">
        <v>250.0</v>
      </c>
      <c r="C4081" s="9">
        <v>249.0</v>
      </c>
      <c r="D4081" s="9">
        <v>189.0</v>
      </c>
      <c r="E4081" s="9">
        <v>2.0</v>
      </c>
      <c r="F4081" s="14"/>
      <c r="G4081" s="15"/>
      <c r="H4081" s="15"/>
      <c r="I4081" s="14"/>
      <c r="P4081" s="14"/>
    </row>
    <row r="4082" ht="18.75" customHeight="1">
      <c r="A4082" s="7" t="s">
        <v>798</v>
      </c>
      <c r="B4082" s="9">
        <v>132.0</v>
      </c>
      <c r="C4082" s="9">
        <v>131.0</v>
      </c>
      <c r="D4082" s="9">
        <v>88.0</v>
      </c>
      <c r="E4082" s="9">
        <v>1.0</v>
      </c>
      <c r="F4082" s="14"/>
      <c r="G4082" s="15"/>
      <c r="H4082" s="15"/>
      <c r="I4082" s="14"/>
      <c r="P4082" s="14"/>
    </row>
    <row r="4083" ht="18.75" customHeight="1">
      <c r="A4083" s="7" t="s">
        <v>794</v>
      </c>
      <c r="B4083" s="9">
        <v>178.0</v>
      </c>
      <c r="C4083" s="9">
        <v>177.0</v>
      </c>
      <c r="D4083" s="9">
        <v>128.0</v>
      </c>
      <c r="E4083" s="9">
        <v>2.0</v>
      </c>
      <c r="F4083" s="14"/>
      <c r="G4083" s="15"/>
      <c r="H4083" s="15"/>
      <c r="I4083" s="14"/>
      <c r="P4083" s="14"/>
    </row>
    <row r="4084" ht="18.75" customHeight="1">
      <c r="A4084" s="7" t="s">
        <v>800</v>
      </c>
      <c r="B4084" s="9">
        <v>196.0</v>
      </c>
      <c r="C4084" s="9">
        <v>195.0</v>
      </c>
      <c r="D4084" s="9">
        <v>138.0</v>
      </c>
      <c r="E4084" s="9">
        <v>1.0</v>
      </c>
      <c r="F4084" s="14"/>
      <c r="G4084" s="15"/>
      <c r="H4084" s="15"/>
      <c r="I4084" s="14"/>
      <c r="P4084" s="14"/>
    </row>
    <row r="4085" ht="18.75" customHeight="1">
      <c r="A4085" s="7" t="s">
        <v>809</v>
      </c>
      <c r="B4085" s="9">
        <v>14880.0</v>
      </c>
      <c r="C4085" s="9">
        <v>14695.0</v>
      </c>
      <c r="D4085" s="9">
        <v>5441.0</v>
      </c>
      <c r="E4085" s="9">
        <v>319.0</v>
      </c>
      <c r="F4085" s="14"/>
      <c r="G4085" s="15"/>
      <c r="H4085" s="15"/>
      <c r="I4085" s="14"/>
      <c r="P4085" s="14"/>
    </row>
    <row r="4086" ht="18.75" customHeight="1">
      <c r="A4086" s="7" t="s">
        <v>703</v>
      </c>
      <c r="B4086" s="9">
        <v>87731.0</v>
      </c>
      <c r="C4086" s="9">
        <v>86854.0</v>
      </c>
      <c r="D4086" s="9">
        <v>26924.0</v>
      </c>
      <c r="E4086" s="9">
        <v>2103.0</v>
      </c>
      <c r="F4086" s="14"/>
      <c r="G4086" s="15"/>
      <c r="H4086" s="15"/>
      <c r="I4086" s="14"/>
      <c r="P4086" s="14"/>
    </row>
    <row r="4087" ht="18.75" customHeight="1">
      <c r="A4087" s="7" t="s">
        <v>802</v>
      </c>
      <c r="B4087" s="9">
        <v>155.0</v>
      </c>
      <c r="C4087" s="9">
        <v>154.0</v>
      </c>
      <c r="D4087" s="9">
        <v>100.0</v>
      </c>
      <c r="E4087" s="9">
        <v>1.0</v>
      </c>
      <c r="F4087" s="14"/>
      <c r="G4087" s="15"/>
      <c r="H4087" s="15"/>
      <c r="I4087" s="14"/>
      <c r="P4087" s="14"/>
    </row>
    <row r="4088" ht="18.75" customHeight="1">
      <c r="A4088" s="7" t="s">
        <v>788</v>
      </c>
      <c r="B4088" s="9">
        <v>154.0</v>
      </c>
      <c r="C4088" s="9">
        <v>153.0</v>
      </c>
      <c r="D4088" s="9">
        <v>65.0</v>
      </c>
      <c r="E4088" s="9">
        <v>2.0</v>
      </c>
      <c r="F4088" s="14"/>
      <c r="G4088" s="15"/>
      <c r="H4088" s="15"/>
      <c r="I4088" s="14"/>
      <c r="P4088" s="14"/>
    </row>
    <row r="4089" ht="18.75" customHeight="1">
      <c r="A4089" s="7" t="s">
        <v>723</v>
      </c>
      <c r="B4089" s="9">
        <v>17833.0</v>
      </c>
      <c r="C4089" s="9">
        <v>17587.0</v>
      </c>
      <c r="D4089" s="9">
        <v>3184.0</v>
      </c>
      <c r="E4089" s="9">
        <v>139.0</v>
      </c>
      <c r="F4089" s="14"/>
      <c r="G4089" s="15"/>
      <c r="H4089" s="15"/>
      <c r="I4089" s="14"/>
      <c r="P4089" s="14"/>
    </row>
    <row r="4090" ht="18.75" customHeight="1">
      <c r="A4090" s="7" t="s">
        <v>784</v>
      </c>
      <c r="B4090" s="9">
        <v>165.0</v>
      </c>
      <c r="C4090" s="9">
        <v>164.0</v>
      </c>
      <c r="D4090" s="9">
        <v>99.0</v>
      </c>
      <c r="E4090" s="9">
        <v>1.0</v>
      </c>
      <c r="F4090" s="14"/>
      <c r="G4090" s="15"/>
      <c r="H4090" s="15"/>
      <c r="I4090" s="14"/>
      <c r="P4090" s="14"/>
    </row>
    <row r="4091" ht="18.75" customHeight="1">
      <c r="A4091" s="7" t="s">
        <v>827</v>
      </c>
      <c r="B4091" s="9">
        <v>18446.0</v>
      </c>
      <c r="C4091" s="9">
        <v>18314.0</v>
      </c>
      <c r="D4091" s="9">
        <v>7885.0</v>
      </c>
      <c r="E4091" s="9">
        <v>385.0</v>
      </c>
      <c r="F4091" s="14"/>
      <c r="G4091" s="15"/>
      <c r="H4091" s="15"/>
      <c r="I4091" s="14"/>
      <c r="P4091" s="14"/>
    </row>
    <row r="4092" ht="18.75" customHeight="1">
      <c r="A4092" s="7" t="s">
        <v>823</v>
      </c>
      <c r="B4092" s="9">
        <v>63777.0</v>
      </c>
      <c r="C4092" s="9">
        <v>63003.0</v>
      </c>
      <c r="D4092" s="9">
        <v>12745.0</v>
      </c>
      <c r="E4092" s="9">
        <v>1386.0</v>
      </c>
      <c r="F4092" s="14"/>
      <c r="G4092" s="15"/>
      <c r="H4092" s="15"/>
      <c r="I4092" s="14"/>
      <c r="P4092" s="14"/>
    </row>
    <row r="4093" ht="18.75" customHeight="1">
      <c r="A4093" s="7" t="s">
        <v>798</v>
      </c>
      <c r="B4093" s="9">
        <v>132.0</v>
      </c>
      <c r="C4093" s="9">
        <v>131.0</v>
      </c>
      <c r="D4093" s="9">
        <v>76.0</v>
      </c>
      <c r="E4093" s="9">
        <v>1.0</v>
      </c>
      <c r="F4093" s="14"/>
      <c r="G4093" s="15"/>
      <c r="H4093" s="15"/>
      <c r="I4093" s="14"/>
      <c r="P4093" s="14"/>
    </row>
    <row r="4094" ht="18.75" customHeight="1">
      <c r="A4094" s="7" t="s">
        <v>794</v>
      </c>
      <c r="B4094" s="9">
        <v>250.0</v>
      </c>
      <c r="C4094" s="9">
        <v>249.0</v>
      </c>
      <c r="D4094" s="9">
        <v>127.0</v>
      </c>
      <c r="E4094" s="9">
        <v>2.0</v>
      </c>
      <c r="F4094" s="14"/>
      <c r="G4094" s="15"/>
      <c r="H4094" s="15"/>
      <c r="I4094" s="14"/>
      <c r="P4094" s="14"/>
    </row>
    <row r="4095" ht="18.75" customHeight="1">
      <c r="A4095" s="7" t="s">
        <v>796</v>
      </c>
      <c r="B4095" s="9">
        <v>178.0</v>
      </c>
      <c r="C4095" s="9">
        <v>177.0</v>
      </c>
      <c r="D4095" s="9">
        <v>86.0</v>
      </c>
      <c r="E4095" s="9">
        <v>1.0</v>
      </c>
      <c r="F4095" s="14"/>
      <c r="G4095" s="15"/>
      <c r="H4095" s="15"/>
      <c r="I4095" s="14"/>
      <c r="P4095" s="14"/>
    </row>
    <row r="4096" ht="18.75" customHeight="1">
      <c r="A4096" s="7" t="s">
        <v>819</v>
      </c>
      <c r="B4096" s="9">
        <v>53695.0</v>
      </c>
      <c r="C4096" s="9">
        <v>53077.0</v>
      </c>
      <c r="D4096" s="9">
        <v>18225.0</v>
      </c>
      <c r="E4096" s="9">
        <v>288.0</v>
      </c>
      <c r="F4096" s="14"/>
      <c r="G4096" s="15"/>
      <c r="H4096" s="15"/>
      <c r="I4096" s="14"/>
      <c r="P4096" s="14"/>
    </row>
    <row r="4097" ht="18.75" customHeight="1">
      <c r="A4097" s="7" t="s">
        <v>838</v>
      </c>
      <c r="B4097" s="9">
        <v>78228.0</v>
      </c>
      <c r="C4097" s="9">
        <v>77342.0</v>
      </c>
      <c r="D4097" s="9">
        <v>14738.0</v>
      </c>
      <c r="E4097" s="9">
        <v>284.0</v>
      </c>
      <c r="F4097" s="14"/>
      <c r="G4097" s="15"/>
      <c r="H4097" s="15"/>
      <c r="I4097" s="14"/>
      <c r="P4097" s="14"/>
    </row>
    <row r="4098" ht="18.75" customHeight="1">
      <c r="A4098" s="7" t="s">
        <v>701</v>
      </c>
      <c r="B4098" s="9">
        <v>55919.0</v>
      </c>
      <c r="C4098" s="9">
        <v>55365.0</v>
      </c>
      <c r="D4098" s="9">
        <v>16389.0</v>
      </c>
      <c r="E4098" s="9">
        <v>432.0</v>
      </c>
      <c r="F4098" s="14"/>
      <c r="G4098" s="15"/>
      <c r="H4098" s="15"/>
      <c r="I4098" s="14"/>
      <c r="P4098" s="14"/>
    </row>
    <row r="4099" ht="18.75" customHeight="1">
      <c r="A4099" s="7" t="s">
        <v>829</v>
      </c>
      <c r="B4099" s="9">
        <v>167233.0</v>
      </c>
      <c r="C4099" s="9">
        <v>166235.0</v>
      </c>
      <c r="D4099" s="9">
        <v>71318.0</v>
      </c>
      <c r="E4099" s="9">
        <v>327.0</v>
      </c>
      <c r="F4099" s="14"/>
      <c r="G4099" s="15"/>
      <c r="H4099" s="15"/>
      <c r="I4099" s="14"/>
      <c r="P4099" s="14"/>
    </row>
    <row r="4100" ht="18.75" customHeight="1">
      <c r="A4100" s="7" t="s">
        <v>723</v>
      </c>
      <c r="B4100" s="9">
        <v>86.0</v>
      </c>
      <c r="C4100" s="9">
        <v>85.0</v>
      </c>
      <c r="D4100" s="9">
        <v>58.0</v>
      </c>
      <c r="E4100" s="9">
        <v>2.0</v>
      </c>
      <c r="F4100" s="14"/>
      <c r="G4100" s="15"/>
      <c r="H4100" s="15"/>
      <c r="I4100" s="14"/>
      <c r="P4100" s="14"/>
    </row>
    <row r="4101" ht="18.75" customHeight="1">
      <c r="A4101" s="7" t="s">
        <v>713</v>
      </c>
      <c r="B4101" s="9">
        <v>50302.0</v>
      </c>
      <c r="C4101" s="9">
        <v>49808.0</v>
      </c>
      <c r="D4101" s="9">
        <v>18524.0</v>
      </c>
      <c r="E4101" s="9">
        <v>1483.0</v>
      </c>
      <c r="F4101" s="14"/>
      <c r="G4101" s="15"/>
      <c r="H4101" s="15"/>
      <c r="I4101" s="14"/>
      <c r="P4101" s="14"/>
    </row>
    <row r="4102" ht="18.75" customHeight="1">
      <c r="A4102" s="7" t="s">
        <v>368</v>
      </c>
      <c r="B4102" s="9">
        <v>433.0</v>
      </c>
      <c r="C4102" s="9">
        <v>431.0</v>
      </c>
      <c r="D4102" s="9">
        <v>159.0</v>
      </c>
      <c r="E4102" s="9">
        <v>10.0</v>
      </c>
      <c r="F4102" s="14"/>
      <c r="G4102" s="15"/>
      <c r="H4102" s="15"/>
      <c r="I4102" s="14"/>
      <c r="P4102" s="14"/>
    </row>
    <row r="4103" ht="18.75" customHeight="1">
      <c r="A4103" s="7" t="s">
        <v>372</v>
      </c>
      <c r="B4103" s="9">
        <v>4905.0</v>
      </c>
      <c r="C4103" s="9">
        <v>4853.0</v>
      </c>
      <c r="D4103" s="9">
        <v>1372.0</v>
      </c>
      <c r="E4103" s="9">
        <v>5.0</v>
      </c>
      <c r="F4103" s="14"/>
      <c r="G4103" s="15"/>
      <c r="H4103" s="15"/>
      <c r="I4103" s="14"/>
      <c r="P4103" s="14"/>
    </row>
    <row r="4104" ht="18.75" customHeight="1">
      <c r="A4104" s="7" t="s">
        <v>356</v>
      </c>
      <c r="B4104" s="9">
        <v>588.0</v>
      </c>
      <c r="C4104" s="9">
        <v>580.0</v>
      </c>
      <c r="D4104" s="9">
        <v>222.0</v>
      </c>
      <c r="E4104" s="9">
        <v>4.0</v>
      </c>
      <c r="F4104" s="14"/>
      <c r="G4104" s="15"/>
      <c r="H4104" s="15"/>
      <c r="I4104" s="14"/>
      <c r="P4104" s="14"/>
    </row>
    <row r="4105" ht="18.75" customHeight="1">
      <c r="A4105" s="7" t="s">
        <v>366</v>
      </c>
      <c r="B4105" s="9">
        <v>1274.0</v>
      </c>
      <c r="C4105" s="9">
        <v>1263.0</v>
      </c>
      <c r="D4105" s="9">
        <v>374.0</v>
      </c>
      <c r="E4105" s="9">
        <v>23.0</v>
      </c>
      <c r="F4105" s="14"/>
      <c r="G4105" s="15"/>
      <c r="H4105" s="15"/>
      <c r="I4105" s="14"/>
      <c r="P4105" s="14"/>
    </row>
    <row r="4106" ht="18.75" customHeight="1">
      <c r="A4106" s="7" t="s">
        <v>846</v>
      </c>
      <c r="B4106" s="9">
        <v>70761.0</v>
      </c>
      <c r="C4106" s="9">
        <v>69527.0</v>
      </c>
      <c r="D4106" s="9">
        <v>17258.0</v>
      </c>
      <c r="E4106" s="9">
        <v>478.0</v>
      </c>
      <c r="F4106" s="14"/>
      <c r="G4106" s="15"/>
      <c r="H4106" s="15"/>
      <c r="I4106" s="14"/>
      <c r="P4106" s="14"/>
    </row>
    <row r="4107" ht="18.75" customHeight="1">
      <c r="A4107" s="7" t="s">
        <v>360</v>
      </c>
      <c r="B4107" s="9">
        <v>19084.0</v>
      </c>
      <c r="C4107" s="9">
        <v>18888.0</v>
      </c>
      <c r="D4107" s="9">
        <v>5688.0</v>
      </c>
      <c r="E4107" s="9">
        <v>41.0</v>
      </c>
      <c r="F4107" s="14"/>
      <c r="G4107" s="15"/>
      <c r="H4107" s="15"/>
      <c r="I4107" s="14"/>
      <c r="P4107" s="14"/>
    </row>
    <row r="4108" ht="18.75" customHeight="1">
      <c r="A4108" s="7" t="s">
        <v>804</v>
      </c>
      <c r="B4108" s="9">
        <v>79.0</v>
      </c>
      <c r="C4108" s="9">
        <v>78.0</v>
      </c>
      <c r="D4108" s="9">
        <v>37.0</v>
      </c>
      <c r="E4108" s="9">
        <v>1.0</v>
      </c>
      <c r="F4108" s="14"/>
      <c r="G4108" s="15"/>
      <c r="H4108" s="15"/>
      <c r="I4108" s="14"/>
      <c r="P4108" s="14"/>
    </row>
    <row r="4109" ht="18.75" customHeight="1">
      <c r="A4109" s="7" t="s">
        <v>840</v>
      </c>
      <c r="B4109" s="9">
        <v>72787.0</v>
      </c>
      <c r="C4109" s="9">
        <v>72084.0</v>
      </c>
      <c r="D4109" s="9">
        <v>16315.0</v>
      </c>
      <c r="E4109" s="9">
        <v>331.0</v>
      </c>
      <c r="F4109" s="14"/>
      <c r="G4109" s="15"/>
      <c r="H4109" s="15"/>
      <c r="I4109" s="14"/>
      <c r="P4109" s="14"/>
    </row>
    <row r="4110" ht="18.75" customHeight="1">
      <c r="A4110" s="7" t="s">
        <v>800</v>
      </c>
      <c r="B4110" s="9">
        <v>196.0</v>
      </c>
      <c r="C4110" s="9">
        <v>194.0</v>
      </c>
      <c r="D4110" s="9">
        <v>89.0</v>
      </c>
      <c r="E4110" s="9">
        <v>1.0</v>
      </c>
      <c r="F4110" s="14"/>
      <c r="G4110" s="15"/>
      <c r="H4110" s="15"/>
      <c r="I4110" s="14"/>
      <c r="P4110" s="14"/>
    </row>
    <row r="4111" ht="18.75" customHeight="1">
      <c r="A4111" s="7" t="s">
        <v>842</v>
      </c>
      <c r="B4111" s="9">
        <v>51970.0</v>
      </c>
      <c r="C4111" s="9">
        <v>51422.0</v>
      </c>
      <c r="D4111" s="9">
        <v>14333.0</v>
      </c>
      <c r="E4111" s="9">
        <v>301.0</v>
      </c>
      <c r="F4111" s="14"/>
      <c r="G4111" s="15"/>
      <c r="H4111" s="15"/>
      <c r="I4111" s="14"/>
      <c r="P4111" s="14"/>
    </row>
    <row r="4112" ht="18.75" customHeight="1">
      <c r="A4112" s="7" t="s">
        <v>844</v>
      </c>
      <c r="B4112" s="9">
        <v>71805.0</v>
      </c>
      <c r="C4112" s="9">
        <v>70963.0</v>
      </c>
      <c r="D4112" s="9">
        <v>12600.0</v>
      </c>
      <c r="E4112" s="9">
        <v>301.0</v>
      </c>
      <c r="F4112" s="14"/>
      <c r="G4112" s="15"/>
      <c r="H4112" s="15"/>
      <c r="I4112" s="14"/>
      <c r="P4112" s="14"/>
    </row>
    <row r="4113" ht="18.75" customHeight="1">
      <c r="A4113" s="7" t="s">
        <v>821</v>
      </c>
      <c r="B4113" s="9">
        <v>73.0</v>
      </c>
      <c r="C4113" s="9">
        <v>72.0</v>
      </c>
      <c r="D4113" s="9">
        <v>45.0</v>
      </c>
      <c r="E4113" s="9">
        <v>2.0</v>
      </c>
      <c r="F4113" s="14"/>
      <c r="G4113" s="15"/>
      <c r="H4113" s="15"/>
      <c r="I4113" s="14"/>
      <c r="P4113" s="14"/>
    </row>
    <row r="4114" ht="18.75" customHeight="1">
      <c r="A4114" s="7" t="s">
        <v>840</v>
      </c>
      <c r="B4114" s="9">
        <v>154.0</v>
      </c>
      <c r="C4114" s="9">
        <v>153.0</v>
      </c>
      <c r="D4114" s="9">
        <v>76.0</v>
      </c>
      <c r="E4114" s="9">
        <v>1.0</v>
      </c>
      <c r="F4114" s="14"/>
      <c r="G4114" s="15"/>
      <c r="H4114" s="15"/>
      <c r="I4114" s="14"/>
      <c r="P4114" s="14"/>
    </row>
    <row r="4115" ht="18.75" customHeight="1">
      <c r="A4115" s="7" t="s">
        <v>842</v>
      </c>
      <c r="B4115" s="9">
        <v>157.0</v>
      </c>
      <c r="C4115" s="9">
        <v>156.0</v>
      </c>
      <c r="D4115" s="9">
        <v>105.0</v>
      </c>
      <c r="E4115" s="9">
        <v>2.0</v>
      </c>
      <c r="F4115" s="14"/>
      <c r="G4115" s="15"/>
      <c r="H4115" s="15"/>
      <c r="I4115" s="14"/>
      <c r="P4115" s="14"/>
    </row>
    <row r="4116" ht="18.75" customHeight="1">
      <c r="A4116" s="7" t="s">
        <v>838</v>
      </c>
      <c r="B4116" s="9">
        <v>135.0</v>
      </c>
      <c r="C4116" s="9">
        <v>135.0</v>
      </c>
      <c r="D4116" s="9">
        <v>1.0</v>
      </c>
      <c r="E4116" s="9">
        <v>0.0</v>
      </c>
      <c r="F4116" s="14"/>
      <c r="G4116" s="15"/>
      <c r="H4116" s="15"/>
      <c r="I4116" s="14"/>
      <c r="P4116" s="14"/>
    </row>
    <row r="4117" ht="18.75" customHeight="1">
      <c r="A4117" s="7" t="s">
        <v>811</v>
      </c>
      <c r="B4117" s="9">
        <v>20913.0</v>
      </c>
      <c r="C4117" s="9">
        <v>20637.0</v>
      </c>
      <c r="D4117" s="9">
        <v>5984.0</v>
      </c>
      <c r="E4117" s="9">
        <v>272.0</v>
      </c>
      <c r="F4117" s="14"/>
      <c r="G4117" s="15"/>
      <c r="H4117" s="15"/>
      <c r="I4117" s="14"/>
      <c r="P4117" s="14"/>
    </row>
    <row r="4118" ht="18.75" customHeight="1">
      <c r="A4118" s="7" t="s">
        <v>742</v>
      </c>
      <c r="B4118" s="9">
        <v>156.0</v>
      </c>
      <c r="C4118" s="9">
        <v>155.0</v>
      </c>
      <c r="D4118" s="9">
        <v>81.0</v>
      </c>
      <c r="E4118" s="9">
        <v>1.0</v>
      </c>
      <c r="F4118" s="14"/>
      <c r="G4118" s="15"/>
      <c r="H4118" s="15"/>
      <c r="I4118" s="14"/>
      <c r="P4118" s="14"/>
    </row>
    <row r="4119" ht="18.75" customHeight="1">
      <c r="A4119" s="7" t="s">
        <v>844</v>
      </c>
      <c r="B4119" s="9">
        <v>178.0</v>
      </c>
      <c r="C4119" s="9">
        <v>177.0</v>
      </c>
      <c r="D4119" s="9">
        <v>118.0</v>
      </c>
      <c r="E4119" s="9">
        <v>0.0</v>
      </c>
      <c r="F4119" s="14"/>
      <c r="G4119" s="15"/>
      <c r="H4119" s="15"/>
      <c r="I4119" s="14"/>
      <c r="P4119" s="14"/>
    </row>
    <row r="4120" ht="18.75" customHeight="1">
      <c r="A4120" s="7" t="s">
        <v>777</v>
      </c>
      <c r="B4120" s="9">
        <v>108914.0</v>
      </c>
      <c r="C4120" s="9">
        <v>107550.0</v>
      </c>
      <c r="D4120" s="9">
        <v>35198.0</v>
      </c>
      <c r="E4120" s="9">
        <v>2534.0</v>
      </c>
      <c r="F4120" s="14"/>
      <c r="G4120" s="15"/>
      <c r="H4120" s="15"/>
      <c r="I4120" s="14"/>
      <c r="P4120" s="14"/>
    </row>
    <row r="4121" ht="18.75" customHeight="1">
      <c r="A4121" s="7" t="s">
        <v>848</v>
      </c>
      <c r="B4121" s="9">
        <v>37217.0</v>
      </c>
      <c r="C4121" s="9">
        <v>36667.0</v>
      </c>
      <c r="D4121" s="9">
        <v>6427.0</v>
      </c>
      <c r="E4121" s="9">
        <v>199.0</v>
      </c>
      <c r="F4121" s="14"/>
      <c r="G4121" s="15"/>
      <c r="H4121" s="15"/>
      <c r="I4121" s="14"/>
      <c r="P4121" s="14"/>
    </row>
    <row r="4122" ht="18.75" customHeight="1">
      <c r="A4122" s="7" t="s">
        <v>2857</v>
      </c>
      <c r="B4122" s="9">
        <v>20.0</v>
      </c>
      <c r="C4122" s="9">
        <v>20.0</v>
      </c>
      <c r="D4122" s="9">
        <v>6.0</v>
      </c>
      <c r="E4122" s="9">
        <v>3.0</v>
      </c>
      <c r="F4122" s="14"/>
      <c r="G4122" s="15"/>
      <c r="H4122" s="15"/>
      <c r="I4122" s="14"/>
      <c r="P4122" s="14"/>
    </row>
    <row r="4123" ht="18.75" customHeight="1">
      <c r="A4123" s="7" t="s">
        <v>370</v>
      </c>
      <c r="B4123" s="9">
        <v>258.0</v>
      </c>
      <c r="C4123" s="9">
        <v>255.0</v>
      </c>
      <c r="D4123" s="9">
        <v>85.0</v>
      </c>
      <c r="E4123" s="9">
        <v>6.0</v>
      </c>
      <c r="F4123" s="14"/>
      <c r="G4123" s="15"/>
      <c r="H4123" s="15"/>
      <c r="I4123" s="14"/>
      <c r="P4123" s="14"/>
    </row>
    <row r="4124" ht="18.75" customHeight="1">
      <c r="A4124" s="7" t="s">
        <v>723</v>
      </c>
      <c r="B4124" s="9">
        <v>10965.0</v>
      </c>
      <c r="C4124" s="9">
        <v>10822.0</v>
      </c>
      <c r="D4124" s="9">
        <v>2428.0</v>
      </c>
      <c r="E4124" s="9">
        <v>79.0</v>
      </c>
      <c r="F4124" s="14"/>
      <c r="G4124" s="15"/>
      <c r="H4124" s="15"/>
      <c r="I4124" s="14"/>
      <c r="P4124" s="14"/>
    </row>
    <row r="4125" ht="18.75" customHeight="1">
      <c r="A4125" s="7" t="s">
        <v>850</v>
      </c>
      <c r="B4125" s="9">
        <v>353.0</v>
      </c>
      <c r="C4125" s="9">
        <v>353.0</v>
      </c>
      <c r="D4125" s="9">
        <v>0.0</v>
      </c>
      <c r="E4125" s="9">
        <v>0.0</v>
      </c>
      <c r="F4125" s="14"/>
      <c r="G4125" s="15"/>
      <c r="H4125" s="15"/>
      <c r="I4125" s="14"/>
      <c r="P4125" s="14"/>
    </row>
    <row r="4126" ht="18.75" customHeight="1">
      <c r="A4126" s="7" t="s">
        <v>854</v>
      </c>
      <c r="B4126" s="9">
        <v>66847.0</v>
      </c>
      <c r="C4126" s="9">
        <v>65922.0</v>
      </c>
      <c r="D4126" s="9">
        <v>11201.0</v>
      </c>
      <c r="E4126" s="9">
        <v>248.0</v>
      </c>
      <c r="F4126" s="14"/>
      <c r="G4126" s="15"/>
      <c r="H4126" s="15"/>
      <c r="I4126" s="14"/>
      <c r="P4126" s="14"/>
    </row>
    <row r="4127" ht="18.75" customHeight="1">
      <c r="A4127" s="7" t="s">
        <v>836</v>
      </c>
      <c r="B4127" s="9">
        <v>13444.0</v>
      </c>
      <c r="C4127" s="9">
        <v>13275.0</v>
      </c>
      <c r="D4127" s="9">
        <v>1841.0</v>
      </c>
      <c r="E4127" s="9">
        <v>139.0</v>
      </c>
      <c r="F4127" s="14"/>
      <c r="G4127" s="15"/>
      <c r="H4127" s="15"/>
      <c r="I4127" s="14"/>
      <c r="P4127" s="14"/>
    </row>
    <row r="4128" ht="18.75" customHeight="1">
      <c r="A4128" s="7" t="s">
        <v>804</v>
      </c>
      <c r="B4128" s="9">
        <v>79.0</v>
      </c>
      <c r="C4128" s="9">
        <v>78.0</v>
      </c>
      <c r="D4128" s="9">
        <v>37.0</v>
      </c>
      <c r="E4128" s="9">
        <v>1.0</v>
      </c>
      <c r="F4128" s="14"/>
      <c r="G4128" s="15"/>
      <c r="H4128" s="15"/>
      <c r="I4128" s="14"/>
      <c r="P4128" s="14"/>
    </row>
    <row r="4129" ht="18.75" customHeight="1">
      <c r="A4129" s="7" t="s">
        <v>852</v>
      </c>
      <c r="B4129" s="9">
        <v>61768.0</v>
      </c>
      <c r="C4129" s="9">
        <v>61092.0</v>
      </c>
      <c r="D4129" s="9">
        <v>16487.0</v>
      </c>
      <c r="E4129" s="9">
        <v>190.0</v>
      </c>
      <c r="F4129" s="14"/>
      <c r="G4129" s="15"/>
      <c r="H4129" s="15"/>
      <c r="I4129" s="14"/>
      <c r="P4129" s="14"/>
    </row>
    <row r="4130" ht="18.75" customHeight="1">
      <c r="A4130" s="7" t="s">
        <v>813</v>
      </c>
      <c r="B4130" s="9">
        <v>11310.0</v>
      </c>
      <c r="C4130" s="9">
        <v>11182.0</v>
      </c>
      <c r="D4130" s="9">
        <v>4356.0</v>
      </c>
      <c r="E4130" s="9">
        <v>311.0</v>
      </c>
      <c r="F4130" s="14"/>
      <c r="G4130" s="15"/>
      <c r="H4130" s="15"/>
      <c r="I4130" s="14"/>
      <c r="P4130" s="14"/>
    </row>
    <row r="4131" ht="18.75" customHeight="1">
      <c r="A4131" s="7" t="s">
        <v>815</v>
      </c>
      <c r="B4131" s="9">
        <v>131620.0</v>
      </c>
      <c r="C4131" s="9">
        <v>129983.0</v>
      </c>
      <c r="D4131" s="9">
        <v>42837.0</v>
      </c>
      <c r="E4131" s="9">
        <v>4670.0</v>
      </c>
      <c r="F4131" s="14"/>
      <c r="G4131" s="15"/>
      <c r="H4131" s="15"/>
      <c r="I4131" s="14"/>
      <c r="P4131" s="14"/>
    </row>
    <row r="4132" ht="18.75" customHeight="1">
      <c r="A4132" s="7" t="s">
        <v>825</v>
      </c>
      <c r="B4132" s="9">
        <v>55946.0</v>
      </c>
      <c r="C4132" s="9">
        <v>55315.0</v>
      </c>
      <c r="D4132" s="9">
        <v>15609.0</v>
      </c>
      <c r="E4132" s="9">
        <v>272.0</v>
      </c>
      <c r="F4132" s="14"/>
      <c r="G4132" s="15"/>
      <c r="H4132" s="15"/>
      <c r="I4132" s="14"/>
      <c r="P4132" s="14"/>
    </row>
    <row r="4133" ht="18.75" customHeight="1">
      <c r="A4133" s="7" t="s">
        <v>505</v>
      </c>
      <c r="B4133" s="9">
        <v>10370.0</v>
      </c>
      <c r="C4133" s="9">
        <v>10174.0</v>
      </c>
      <c r="D4133" s="9">
        <v>2757.0</v>
      </c>
      <c r="E4133" s="9">
        <v>178.0</v>
      </c>
      <c r="F4133" s="14"/>
      <c r="G4133" s="15"/>
      <c r="H4133" s="15"/>
      <c r="I4133" s="14"/>
      <c r="P4133" s="14"/>
    </row>
    <row r="4134" ht="18.75" customHeight="1">
      <c r="A4134" s="7" t="s">
        <v>838</v>
      </c>
      <c r="B4134" s="9">
        <v>270618.0</v>
      </c>
      <c r="C4134" s="9">
        <v>270618.0</v>
      </c>
      <c r="D4134" s="9">
        <v>63.0</v>
      </c>
      <c r="E4134" s="9">
        <v>1.0</v>
      </c>
      <c r="F4134" s="14"/>
      <c r="G4134" s="15"/>
      <c r="H4134" s="15"/>
      <c r="I4134" s="14"/>
      <c r="P4134" s="14"/>
    </row>
    <row r="4135" ht="18.75" customHeight="1">
      <c r="A4135" s="7" t="s">
        <v>802</v>
      </c>
      <c r="B4135" s="9">
        <v>1368.0</v>
      </c>
      <c r="C4135" s="9">
        <v>1367.0</v>
      </c>
      <c r="D4135" s="9">
        <v>919.0</v>
      </c>
      <c r="E4135" s="9">
        <v>4.0</v>
      </c>
      <c r="F4135" s="14"/>
      <c r="G4135" s="15"/>
      <c r="H4135" s="15"/>
      <c r="I4135" s="14"/>
      <c r="P4135" s="14"/>
    </row>
    <row r="4136" ht="18.75" customHeight="1">
      <c r="A4136" s="7" t="s">
        <v>802</v>
      </c>
      <c r="B4136" s="9">
        <v>135.0</v>
      </c>
      <c r="C4136" s="9">
        <v>135.0</v>
      </c>
      <c r="D4136" s="9">
        <v>67.0</v>
      </c>
      <c r="E4136" s="9">
        <v>3.0</v>
      </c>
      <c r="F4136" s="14"/>
      <c r="G4136" s="15"/>
      <c r="H4136" s="15"/>
      <c r="I4136" s="14"/>
      <c r="P4136" s="14"/>
    </row>
    <row r="4137" ht="18.75" customHeight="1">
      <c r="A4137" s="7" t="s">
        <v>866</v>
      </c>
      <c r="B4137" s="9">
        <v>13884.0</v>
      </c>
      <c r="C4137" s="9">
        <v>13711.0</v>
      </c>
      <c r="D4137" s="9">
        <v>2733.0</v>
      </c>
      <c r="E4137" s="9">
        <v>103.0</v>
      </c>
      <c r="F4137" s="14"/>
      <c r="G4137" s="15"/>
      <c r="H4137" s="15"/>
      <c r="I4137" s="14"/>
      <c r="P4137" s="14"/>
    </row>
    <row r="4138" ht="18.75" customHeight="1">
      <c r="A4138" s="7" t="s">
        <v>836</v>
      </c>
      <c r="B4138" s="9">
        <v>128.0</v>
      </c>
      <c r="C4138" s="9">
        <v>127.0</v>
      </c>
      <c r="D4138" s="9">
        <v>70.0</v>
      </c>
      <c r="E4138" s="9">
        <v>1.0</v>
      </c>
      <c r="F4138" s="14"/>
      <c r="G4138" s="15"/>
      <c r="H4138" s="15"/>
      <c r="I4138" s="14"/>
      <c r="P4138" s="14"/>
    </row>
    <row r="4139" ht="18.75" customHeight="1">
      <c r="A4139" s="7" t="s">
        <v>858</v>
      </c>
      <c r="B4139" s="9">
        <v>19628.0</v>
      </c>
      <c r="C4139" s="9">
        <v>19404.0</v>
      </c>
      <c r="D4139" s="9">
        <v>3782.0</v>
      </c>
      <c r="E4139" s="9">
        <v>69.0</v>
      </c>
      <c r="F4139" s="14"/>
      <c r="G4139" s="15"/>
      <c r="H4139" s="15"/>
      <c r="I4139" s="14"/>
      <c r="P4139" s="14"/>
    </row>
    <row r="4140" ht="18.75" customHeight="1">
      <c r="A4140" s="7" t="s">
        <v>848</v>
      </c>
      <c r="B4140" s="9">
        <v>151.0</v>
      </c>
      <c r="C4140" s="9">
        <v>150.0</v>
      </c>
      <c r="D4140" s="9">
        <v>90.0</v>
      </c>
      <c r="E4140" s="9">
        <v>0.0</v>
      </c>
      <c r="F4140" s="14"/>
      <c r="G4140" s="15"/>
      <c r="H4140" s="15"/>
      <c r="I4140" s="14"/>
      <c r="P4140" s="14"/>
    </row>
    <row r="4141" ht="18.75" customHeight="1">
      <c r="A4141" s="7" t="s">
        <v>842</v>
      </c>
      <c r="B4141" s="9">
        <v>165.0</v>
      </c>
      <c r="C4141" s="9">
        <v>164.0</v>
      </c>
      <c r="D4141" s="9">
        <v>81.0</v>
      </c>
      <c r="E4141" s="9">
        <v>2.0</v>
      </c>
      <c r="F4141" s="14"/>
      <c r="G4141" s="15"/>
      <c r="H4141" s="15"/>
      <c r="I4141" s="14"/>
      <c r="P4141" s="14"/>
    </row>
    <row r="4142" ht="18.75" customHeight="1">
      <c r="A4142" s="7" t="s">
        <v>699</v>
      </c>
      <c r="B4142" s="9">
        <v>51337.0</v>
      </c>
      <c r="C4142" s="9">
        <v>50761.0</v>
      </c>
      <c r="D4142" s="9">
        <v>17323.0</v>
      </c>
      <c r="E4142" s="9">
        <v>357.0</v>
      </c>
      <c r="F4142" s="14"/>
      <c r="G4142" s="15"/>
      <c r="H4142" s="15"/>
      <c r="I4142" s="14"/>
      <c r="P4142" s="14"/>
    </row>
    <row r="4143" ht="18.75" customHeight="1">
      <c r="A4143" s="7" t="s">
        <v>850</v>
      </c>
      <c r="B4143" s="9">
        <v>120.0</v>
      </c>
      <c r="C4143" s="9">
        <v>119.0</v>
      </c>
      <c r="D4143" s="9">
        <v>79.0</v>
      </c>
      <c r="E4143" s="9">
        <v>2.0</v>
      </c>
      <c r="F4143" s="14"/>
      <c r="G4143" s="15"/>
      <c r="H4143" s="15"/>
      <c r="I4143" s="14"/>
      <c r="P4143" s="14"/>
    </row>
    <row r="4144" ht="18.75" customHeight="1">
      <c r="A4144" s="7" t="s">
        <v>854</v>
      </c>
      <c r="B4144" s="9">
        <v>178.0</v>
      </c>
      <c r="C4144" s="9">
        <v>178.0</v>
      </c>
      <c r="D4144" s="9">
        <v>97.0</v>
      </c>
      <c r="E4144" s="9">
        <v>3.0</v>
      </c>
      <c r="F4144" s="14"/>
      <c r="G4144" s="15"/>
      <c r="H4144" s="15"/>
      <c r="I4144" s="14"/>
      <c r="P4144" s="14"/>
    </row>
    <row r="4145" ht="18.75" customHeight="1">
      <c r="A4145" s="7" t="s">
        <v>852</v>
      </c>
      <c r="B4145" s="9">
        <v>106.0</v>
      </c>
      <c r="C4145" s="9">
        <v>105.0</v>
      </c>
      <c r="D4145" s="9">
        <v>64.0</v>
      </c>
      <c r="E4145" s="9">
        <v>3.0</v>
      </c>
      <c r="F4145" s="14"/>
      <c r="G4145" s="15"/>
      <c r="H4145" s="15"/>
      <c r="I4145" s="14"/>
      <c r="P4145" s="14"/>
    </row>
    <row r="4146" ht="18.75" customHeight="1">
      <c r="A4146" s="7" t="s">
        <v>876</v>
      </c>
      <c r="B4146" s="9">
        <v>13718.0</v>
      </c>
      <c r="C4146" s="9">
        <v>13590.0</v>
      </c>
      <c r="D4146" s="9">
        <v>3124.0</v>
      </c>
      <c r="E4146" s="9">
        <v>43.0</v>
      </c>
      <c r="F4146" s="14"/>
      <c r="G4146" s="15"/>
      <c r="H4146" s="15"/>
      <c r="I4146" s="14"/>
      <c r="P4146" s="14"/>
    </row>
    <row r="4147" ht="18.75" customHeight="1">
      <c r="A4147" s="7" t="s">
        <v>844</v>
      </c>
      <c r="B4147" s="9">
        <v>177.0</v>
      </c>
      <c r="C4147" s="9">
        <v>176.0</v>
      </c>
      <c r="D4147" s="9">
        <v>101.0</v>
      </c>
      <c r="E4147" s="9">
        <v>2.0</v>
      </c>
      <c r="F4147" s="14"/>
      <c r="G4147" s="15"/>
      <c r="H4147" s="15"/>
      <c r="I4147" s="14"/>
      <c r="P4147" s="14"/>
    </row>
    <row r="4148" ht="18.75" customHeight="1">
      <c r="A4148" s="7" t="s">
        <v>900</v>
      </c>
      <c r="B4148" s="9">
        <v>16722.0</v>
      </c>
      <c r="C4148" s="9">
        <v>16512.0</v>
      </c>
      <c r="D4148" s="9">
        <v>5901.0</v>
      </c>
      <c r="E4148" s="9">
        <v>739.0</v>
      </c>
      <c r="F4148" s="14"/>
      <c r="G4148" s="15"/>
      <c r="H4148" s="15"/>
      <c r="I4148" s="14"/>
      <c r="P4148" s="14"/>
    </row>
    <row r="4149" ht="18.75" customHeight="1">
      <c r="A4149" s="7" t="s">
        <v>723</v>
      </c>
      <c r="B4149" s="9">
        <v>71.0</v>
      </c>
      <c r="C4149" s="9">
        <v>70.0</v>
      </c>
      <c r="D4149" s="9">
        <v>37.0</v>
      </c>
      <c r="E4149" s="9">
        <v>2.0</v>
      </c>
      <c r="F4149" s="14"/>
      <c r="G4149" s="15"/>
      <c r="H4149" s="15"/>
      <c r="I4149" s="14"/>
      <c r="P4149" s="14"/>
    </row>
    <row r="4150" ht="18.75" customHeight="1">
      <c r="A4150" s="7" t="s">
        <v>864</v>
      </c>
      <c r="B4150" s="9">
        <v>102349.0</v>
      </c>
      <c r="C4150" s="9">
        <v>101176.0</v>
      </c>
      <c r="D4150" s="9">
        <v>39235.0</v>
      </c>
      <c r="E4150" s="9">
        <v>2249.0</v>
      </c>
      <c r="F4150" s="14"/>
      <c r="G4150" s="15"/>
      <c r="H4150" s="15"/>
      <c r="I4150" s="14"/>
      <c r="P4150" s="14"/>
    </row>
    <row r="4151" ht="18.75" customHeight="1">
      <c r="A4151" s="7" t="s">
        <v>509</v>
      </c>
      <c r="B4151" s="9">
        <v>28665.0</v>
      </c>
      <c r="C4151" s="9">
        <v>28647.0</v>
      </c>
      <c r="D4151" s="9">
        <v>11701.0</v>
      </c>
      <c r="E4151" s="9">
        <v>2148.0</v>
      </c>
      <c r="F4151" s="14"/>
      <c r="G4151" s="15"/>
      <c r="H4151" s="15"/>
      <c r="I4151" s="14"/>
      <c r="P4151" s="14"/>
    </row>
    <row r="4152" ht="18.75" customHeight="1">
      <c r="A4152" s="7" t="s">
        <v>509</v>
      </c>
      <c r="B4152" s="9">
        <v>7969.0</v>
      </c>
      <c r="C4152" s="9">
        <v>7947.0</v>
      </c>
      <c r="D4152" s="9">
        <v>2887.0</v>
      </c>
      <c r="E4152" s="9">
        <v>491.0</v>
      </c>
      <c r="F4152" s="14"/>
      <c r="G4152" s="15"/>
      <c r="H4152" s="15"/>
      <c r="I4152" s="14"/>
      <c r="P4152" s="14"/>
    </row>
    <row r="4153" ht="18.75" customHeight="1">
      <c r="A4153" s="7" t="s">
        <v>866</v>
      </c>
      <c r="B4153" s="9">
        <v>75.0</v>
      </c>
      <c r="C4153" s="9">
        <v>75.0</v>
      </c>
      <c r="D4153" s="9">
        <v>31.0</v>
      </c>
      <c r="E4153" s="9">
        <v>1.0</v>
      </c>
      <c r="F4153" s="14"/>
      <c r="G4153" s="15"/>
      <c r="H4153" s="15"/>
      <c r="I4153" s="14"/>
      <c r="P4153" s="14"/>
    </row>
    <row r="4154" ht="18.75" customHeight="1">
      <c r="A4154" s="7" t="s">
        <v>3750</v>
      </c>
      <c r="B4154" s="9">
        <v>5688.0</v>
      </c>
      <c r="C4154" s="9">
        <v>5631.0</v>
      </c>
      <c r="D4154" s="9">
        <v>1197.0</v>
      </c>
      <c r="E4154" s="9">
        <v>55.0</v>
      </c>
      <c r="F4154" s="14"/>
      <c r="G4154" s="15"/>
      <c r="H4154" s="15"/>
      <c r="I4154" s="14"/>
      <c r="P4154" s="14"/>
    </row>
    <row r="4155" ht="18.75" customHeight="1">
      <c r="A4155" s="7" t="s">
        <v>880</v>
      </c>
      <c r="B4155" s="9">
        <v>82.0</v>
      </c>
      <c r="C4155" s="9">
        <v>81.0</v>
      </c>
      <c r="D4155" s="9">
        <v>24.0</v>
      </c>
      <c r="E4155" s="9">
        <v>1.0</v>
      </c>
      <c r="F4155" s="14"/>
      <c r="G4155" s="15"/>
      <c r="H4155" s="15"/>
      <c r="I4155" s="14"/>
      <c r="P4155" s="14"/>
    </row>
    <row r="4156" ht="18.75" customHeight="1">
      <c r="A4156" s="7" t="s">
        <v>880</v>
      </c>
      <c r="B4156" s="9">
        <v>721.0</v>
      </c>
      <c r="C4156" s="9">
        <v>697.0</v>
      </c>
      <c r="D4156" s="9">
        <v>266.0</v>
      </c>
      <c r="E4156" s="9">
        <v>28.0</v>
      </c>
      <c r="F4156" s="14"/>
      <c r="G4156" s="15"/>
      <c r="H4156" s="15"/>
      <c r="I4156" s="14"/>
      <c r="P4156" s="14"/>
    </row>
    <row r="4157" ht="18.75" customHeight="1">
      <c r="A4157" s="7" t="s">
        <v>880</v>
      </c>
      <c r="B4157" s="9">
        <v>45.0</v>
      </c>
      <c r="C4157" s="9">
        <v>45.0</v>
      </c>
      <c r="D4157" s="9">
        <v>21.0</v>
      </c>
      <c r="E4157" s="9">
        <v>0.0</v>
      </c>
      <c r="F4157" s="14"/>
      <c r="G4157" s="15"/>
      <c r="H4157" s="15"/>
      <c r="I4157" s="14"/>
      <c r="P4157" s="14"/>
    </row>
    <row r="4158" ht="18.75" customHeight="1">
      <c r="A4158" s="7" t="s">
        <v>374</v>
      </c>
      <c r="B4158" s="9">
        <v>409.0</v>
      </c>
      <c r="C4158" s="9">
        <v>402.0</v>
      </c>
      <c r="D4158" s="9">
        <v>141.0</v>
      </c>
      <c r="E4158" s="9">
        <v>10.0</v>
      </c>
      <c r="F4158" s="14"/>
      <c r="G4158" s="15"/>
      <c r="H4158" s="15"/>
      <c r="I4158" s="14"/>
      <c r="P4158" s="14"/>
    </row>
    <row r="4159" ht="18.75" customHeight="1">
      <c r="A4159" s="7" t="s">
        <v>858</v>
      </c>
      <c r="B4159" s="9">
        <v>69.0</v>
      </c>
      <c r="C4159" s="9">
        <v>68.0</v>
      </c>
      <c r="D4159" s="9">
        <v>23.0</v>
      </c>
      <c r="E4159" s="9">
        <v>1.0</v>
      </c>
      <c r="F4159" s="14"/>
      <c r="G4159" s="15"/>
      <c r="H4159" s="15"/>
      <c r="I4159" s="14"/>
      <c r="P4159" s="14"/>
    </row>
    <row r="4160" ht="18.75" customHeight="1">
      <c r="A4160" s="7" t="s">
        <v>868</v>
      </c>
      <c r="B4160" s="9">
        <v>52304.0</v>
      </c>
      <c r="C4160" s="9">
        <v>52059.0</v>
      </c>
      <c r="D4160" s="9">
        <v>31070.0</v>
      </c>
      <c r="E4160" s="9">
        <v>287.0</v>
      </c>
      <c r="F4160" s="14"/>
      <c r="G4160" s="15"/>
      <c r="H4160" s="15"/>
      <c r="I4160" s="14"/>
      <c r="P4160" s="14"/>
    </row>
    <row r="4161" ht="18.75" customHeight="1">
      <c r="A4161" s="7" t="s">
        <v>860</v>
      </c>
      <c r="B4161" s="9">
        <v>17983.0</v>
      </c>
      <c r="C4161" s="9">
        <v>17579.0</v>
      </c>
      <c r="D4161" s="9">
        <v>3750.0</v>
      </c>
      <c r="E4161" s="9">
        <v>59.0</v>
      </c>
      <c r="F4161" s="14"/>
      <c r="G4161" s="15"/>
      <c r="H4161" s="15"/>
      <c r="I4161" s="14"/>
      <c r="P4161" s="14"/>
    </row>
    <row r="4162" ht="18.75" customHeight="1">
      <c r="A4162" s="7" t="s">
        <v>862</v>
      </c>
      <c r="B4162" s="9">
        <v>50411.0</v>
      </c>
      <c r="C4162" s="9">
        <v>49856.0</v>
      </c>
      <c r="D4162" s="9">
        <v>11020.0</v>
      </c>
      <c r="E4162" s="9">
        <v>275.0</v>
      </c>
      <c r="F4162" s="14"/>
      <c r="G4162" s="15"/>
      <c r="H4162" s="15"/>
      <c r="I4162" s="14"/>
      <c r="P4162" s="14"/>
    </row>
    <row r="4163" ht="18.75" customHeight="1">
      <c r="A4163" s="7" t="s">
        <v>761</v>
      </c>
      <c r="B4163" s="9">
        <v>146552.0</v>
      </c>
      <c r="C4163" s="9">
        <v>144520.0</v>
      </c>
      <c r="D4163" s="9">
        <v>47760.0</v>
      </c>
      <c r="E4163" s="9">
        <v>4113.0</v>
      </c>
      <c r="F4163" s="14"/>
      <c r="G4163" s="15"/>
      <c r="H4163" s="15"/>
      <c r="I4163" s="14"/>
      <c r="P4163" s="14"/>
    </row>
    <row r="4164" ht="18.75" customHeight="1">
      <c r="A4164" s="7" t="s">
        <v>888</v>
      </c>
      <c r="B4164" s="9">
        <v>14351.0</v>
      </c>
      <c r="C4164" s="9">
        <v>14029.0</v>
      </c>
      <c r="D4164" s="9">
        <v>1921.0</v>
      </c>
      <c r="E4164" s="9">
        <v>25.0</v>
      </c>
      <c r="F4164" s="14"/>
      <c r="G4164" s="15"/>
      <c r="H4164" s="15"/>
      <c r="I4164" s="14"/>
      <c r="P4164" s="14"/>
    </row>
    <row r="4165" ht="18.75" customHeight="1">
      <c r="A4165" s="7" t="s">
        <v>3751</v>
      </c>
      <c r="B4165" s="9">
        <v>10618.0</v>
      </c>
      <c r="C4165" s="9">
        <v>10508.0</v>
      </c>
      <c r="D4165" s="9">
        <v>1317.0</v>
      </c>
      <c r="E4165" s="9">
        <v>88.0</v>
      </c>
      <c r="F4165" s="14"/>
      <c r="G4165" s="15"/>
      <c r="H4165" s="15"/>
      <c r="I4165" s="14"/>
      <c r="P4165" s="14"/>
    </row>
    <row r="4166" ht="18.75" customHeight="1">
      <c r="A4166" s="7" t="s">
        <v>850</v>
      </c>
      <c r="B4166" s="9">
        <v>120.0</v>
      </c>
      <c r="C4166" s="9">
        <v>119.0</v>
      </c>
      <c r="D4166" s="9">
        <v>64.0</v>
      </c>
      <c r="E4166" s="9">
        <v>3.0</v>
      </c>
      <c r="F4166" s="14"/>
      <c r="G4166" s="15"/>
      <c r="H4166" s="15"/>
      <c r="I4166" s="14"/>
      <c r="P4166" s="14"/>
    </row>
    <row r="4167" ht="18.75" customHeight="1">
      <c r="A4167" s="7" t="s">
        <v>916</v>
      </c>
      <c r="B4167" s="9">
        <v>120953.0</v>
      </c>
      <c r="C4167" s="9">
        <v>119704.0</v>
      </c>
      <c r="D4167" s="9">
        <v>48551.0</v>
      </c>
      <c r="E4167" s="9">
        <v>57.0</v>
      </c>
      <c r="F4167" s="14"/>
      <c r="G4167" s="15"/>
      <c r="H4167" s="15"/>
      <c r="I4167" s="14"/>
      <c r="P4167" s="14"/>
    </row>
    <row r="4168" ht="18.75" customHeight="1">
      <c r="A4168" s="7" t="s">
        <v>908</v>
      </c>
      <c r="B4168" s="9">
        <v>58816.0</v>
      </c>
      <c r="C4168" s="9">
        <v>57879.0</v>
      </c>
      <c r="D4168" s="9">
        <v>14357.0</v>
      </c>
      <c r="E4168" s="9">
        <v>465.0</v>
      </c>
      <c r="F4168" s="14"/>
      <c r="G4168" s="15"/>
      <c r="H4168" s="15"/>
      <c r="I4168" s="14"/>
      <c r="P4168" s="14"/>
    </row>
    <row r="4169" ht="18.75" customHeight="1">
      <c r="A4169" s="7" t="s">
        <v>854</v>
      </c>
      <c r="B4169" s="9">
        <v>180.0</v>
      </c>
      <c r="C4169" s="9">
        <v>179.0</v>
      </c>
      <c r="D4169" s="9">
        <v>77.0</v>
      </c>
      <c r="E4169" s="9">
        <v>0.0</v>
      </c>
      <c r="F4169" s="14"/>
      <c r="G4169" s="15"/>
      <c r="H4169" s="15"/>
      <c r="I4169" s="14"/>
      <c r="P4169" s="14"/>
    </row>
    <row r="4170" ht="18.75" customHeight="1">
      <c r="A4170" s="7" t="s">
        <v>3750</v>
      </c>
      <c r="B4170" s="9">
        <v>55.0</v>
      </c>
      <c r="C4170" s="9">
        <v>54.0</v>
      </c>
      <c r="D4170" s="9">
        <v>30.0</v>
      </c>
      <c r="E4170" s="9">
        <v>2.0</v>
      </c>
      <c r="F4170" s="14"/>
      <c r="G4170" s="15"/>
      <c r="H4170" s="15"/>
      <c r="I4170" s="14"/>
      <c r="P4170" s="14"/>
    </row>
    <row r="4171" ht="18.75" customHeight="1">
      <c r="A4171" s="7" t="s">
        <v>779</v>
      </c>
      <c r="B4171" s="9">
        <v>12028.0</v>
      </c>
      <c r="C4171" s="9">
        <v>11891.0</v>
      </c>
      <c r="D4171" s="9">
        <v>2641.0</v>
      </c>
      <c r="E4171" s="9">
        <v>40.0</v>
      </c>
      <c r="F4171" s="14"/>
      <c r="G4171" s="15"/>
      <c r="H4171" s="15"/>
      <c r="I4171" s="14"/>
      <c r="P4171" s="14"/>
    </row>
    <row r="4172" ht="18.75" customHeight="1">
      <c r="A4172" s="7" t="s">
        <v>918</v>
      </c>
      <c r="B4172" s="9">
        <v>6303.0</v>
      </c>
      <c r="C4172" s="9">
        <v>6219.0</v>
      </c>
      <c r="D4172" s="9">
        <v>914.0</v>
      </c>
      <c r="E4172" s="9">
        <v>40.0</v>
      </c>
      <c r="F4172" s="14"/>
      <c r="G4172" s="15"/>
      <c r="H4172" s="15"/>
      <c r="I4172" s="14"/>
      <c r="P4172" s="14"/>
    </row>
    <row r="4173" ht="18.75" customHeight="1">
      <c r="A4173" s="7" t="s">
        <v>374</v>
      </c>
      <c r="B4173" s="9">
        <v>1173.0</v>
      </c>
      <c r="C4173" s="9">
        <v>1159.0</v>
      </c>
      <c r="D4173" s="9">
        <v>355.0</v>
      </c>
      <c r="E4173" s="9">
        <v>6.0</v>
      </c>
      <c r="F4173" s="14"/>
      <c r="G4173" s="15"/>
      <c r="H4173" s="15"/>
      <c r="I4173" s="14"/>
      <c r="P4173" s="14"/>
    </row>
    <row r="4174" ht="18.75" customHeight="1">
      <c r="A4174" s="7" t="s">
        <v>374</v>
      </c>
      <c r="B4174" s="9">
        <v>1325.0</v>
      </c>
      <c r="C4174" s="9">
        <v>1308.0</v>
      </c>
      <c r="D4174" s="9">
        <v>460.0</v>
      </c>
      <c r="E4174" s="9">
        <v>20.0</v>
      </c>
      <c r="F4174" s="14"/>
      <c r="G4174" s="15"/>
      <c r="H4174" s="15"/>
      <c r="I4174" s="14"/>
      <c r="P4174" s="14"/>
    </row>
    <row r="4175" ht="18.75" customHeight="1">
      <c r="A4175" s="7" t="s">
        <v>356</v>
      </c>
      <c r="B4175" s="9">
        <v>395.0</v>
      </c>
      <c r="C4175" s="9">
        <v>392.0</v>
      </c>
      <c r="D4175" s="9">
        <v>128.0</v>
      </c>
      <c r="E4175" s="9">
        <v>5.0</v>
      </c>
      <c r="F4175" s="14"/>
      <c r="G4175" s="15"/>
      <c r="H4175" s="15"/>
      <c r="I4175" s="14"/>
      <c r="P4175" s="14"/>
    </row>
    <row r="4176" ht="18.75" customHeight="1">
      <c r="A4176" s="7" t="s">
        <v>366</v>
      </c>
      <c r="B4176" s="9">
        <v>111.0</v>
      </c>
      <c r="C4176" s="9">
        <v>108.0</v>
      </c>
      <c r="D4176" s="9">
        <v>32.0</v>
      </c>
      <c r="E4176" s="9">
        <v>4.0</v>
      </c>
      <c r="F4176" s="14"/>
      <c r="G4176" s="15"/>
      <c r="H4176" s="15"/>
      <c r="I4176" s="14"/>
      <c r="P4176" s="14"/>
    </row>
    <row r="4177" ht="18.75" customHeight="1">
      <c r="A4177" s="7" t="s">
        <v>360</v>
      </c>
      <c r="B4177" s="9">
        <v>23130.0</v>
      </c>
      <c r="C4177" s="9">
        <v>22886.0</v>
      </c>
      <c r="D4177" s="9">
        <v>6518.0</v>
      </c>
      <c r="E4177" s="9">
        <v>76.0</v>
      </c>
      <c r="F4177" s="14"/>
      <c r="G4177" s="15"/>
      <c r="H4177" s="15"/>
      <c r="I4177" s="14"/>
      <c r="P4177" s="14"/>
    </row>
    <row r="4178" ht="18.75" customHeight="1">
      <c r="A4178" s="7" t="s">
        <v>370</v>
      </c>
      <c r="B4178" s="9">
        <v>116.0</v>
      </c>
      <c r="C4178" s="9">
        <v>115.0</v>
      </c>
      <c r="D4178" s="9">
        <v>39.0</v>
      </c>
      <c r="E4178" s="9">
        <v>4.0</v>
      </c>
      <c r="F4178" s="14"/>
      <c r="G4178" s="15"/>
      <c r="H4178" s="15"/>
      <c r="I4178" s="14"/>
      <c r="P4178" s="14"/>
    </row>
    <row r="4179" ht="18.75" customHeight="1">
      <c r="A4179" s="7" t="s">
        <v>372</v>
      </c>
      <c r="B4179" s="9">
        <v>2035.0</v>
      </c>
      <c r="C4179" s="9">
        <v>2011.0</v>
      </c>
      <c r="D4179" s="9">
        <v>658.0</v>
      </c>
      <c r="E4179" s="9">
        <v>3.0</v>
      </c>
      <c r="F4179" s="14"/>
      <c r="G4179" s="15"/>
      <c r="H4179" s="15"/>
      <c r="I4179" s="14"/>
      <c r="P4179" s="14"/>
    </row>
    <row r="4180" ht="18.75" customHeight="1">
      <c r="A4180" s="7" t="s">
        <v>368</v>
      </c>
      <c r="B4180" s="9">
        <v>120.0</v>
      </c>
      <c r="C4180" s="9">
        <v>120.0</v>
      </c>
      <c r="D4180" s="9">
        <v>47.0</v>
      </c>
      <c r="E4180" s="9">
        <v>5.0</v>
      </c>
      <c r="F4180" s="14"/>
      <c r="G4180" s="15"/>
      <c r="H4180" s="15"/>
      <c r="I4180" s="14"/>
      <c r="P4180" s="14"/>
    </row>
    <row r="4181" ht="18.75" customHeight="1">
      <c r="A4181" s="7" t="s">
        <v>836</v>
      </c>
      <c r="B4181" s="9">
        <v>1900.0</v>
      </c>
      <c r="C4181" s="9">
        <v>1899.0</v>
      </c>
      <c r="D4181" s="9">
        <v>1234.0</v>
      </c>
      <c r="E4181" s="9">
        <v>1.0</v>
      </c>
      <c r="F4181" s="14"/>
      <c r="G4181" s="15"/>
      <c r="H4181" s="15"/>
      <c r="I4181" s="14"/>
      <c r="P4181" s="14"/>
    </row>
    <row r="4182" ht="18.75" customHeight="1">
      <c r="A4182" s="7" t="s">
        <v>836</v>
      </c>
      <c r="B4182" s="9">
        <v>110.0</v>
      </c>
      <c r="C4182" s="9">
        <v>110.0</v>
      </c>
      <c r="D4182" s="9">
        <v>42.0</v>
      </c>
      <c r="E4182" s="9">
        <v>3.0</v>
      </c>
      <c r="F4182" s="14"/>
      <c r="G4182" s="15"/>
      <c r="H4182" s="15"/>
      <c r="I4182" s="14"/>
      <c r="P4182" s="14"/>
    </row>
    <row r="4183" ht="18.75" customHeight="1">
      <c r="A4183" s="7" t="s">
        <v>902</v>
      </c>
      <c r="B4183" s="9">
        <v>18034.0</v>
      </c>
      <c r="C4183" s="9">
        <v>17712.0</v>
      </c>
      <c r="D4183" s="9">
        <v>1998.0</v>
      </c>
      <c r="E4183" s="9">
        <v>146.0</v>
      </c>
      <c r="F4183" s="14"/>
      <c r="G4183" s="15"/>
      <c r="H4183" s="15"/>
      <c r="I4183" s="14"/>
      <c r="P4183" s="14"/>
    </row>
    <row r="4184" ht="18.75" customHeight="1">
      <c r="A4184" s="7" t="s">
        <v>888</v>
      </c>
      <c r="B4184" s="9">
        <v>44.0</v>
      </c>
      <c r="C4184" s="9">
        <v>43.0</v>
      </c>
      <c r="D4184" s="9">
        <v>18.0</v>
      </c>
      <c r="E4184" s="9">
        <v>2.0</v>
      </c>
      <c r="F4184" s="14"/>
      <c r="G4184" s="15"/>
      <c r="H4184" s="15"/>
      <c r="I4184" s="14"/>
      <c r="P4184" s="14"/>
    </row>
    <row r="4185" ht="18.75" customHeight="1">
      <c r="A4185" s="7" t="s">
        <v>894</v>
      </c>
      <c r="B4185" s="9">
        <v>69742.0</v>
      </c>
      <c r="C4185" s="9">
        <v>69048.0</v>
      </c>
      <c r="D4185" s="9">
        <v>21767.0</v>
      </c>
      <c r="E4185" s="9">
        <v>254.0</v>
      </c>
      <c r="F4185" s="14"/>
      <c r="G4185" s="15"/>
      <c r="H4185" s="15"/>
      <c r="I4185" s="14"/>
      <c r="P4185" s="14"/>
    </row>
    <row r="4186" ht="18.75" customHeight="1">
      <c r="A4186" s="7" t="s">
        <v>892</v>
      </c>
      <c r="B4186" s="9">
        <v>67240.0</v>
      </c>
      <c r="C4186" s="9">
        <v>66465.0</v>
      </c>
      <c r="D4186" s="9">
        <v>12333.0</v>
      </c>
      <c r="E4186" s="9">
        <v>200.0</v>
      </c>
      <c r="F4186" s="14"/>
      <c r="G4186" s="15"/>
      <c r="H4186" s="15"/>
      <c r="I4186" s="14"/>
      <c r="P4186" s="14"/>
    </row>
    <row r="4187" ht="18.75" customHeight="1">
      <c r="A4187" s="7" t="s">
        <v>682</v>
      </c>
      <c r="B4187" s="9">
        <v>688.0</v>
      </c>
      <c r="C4187" s="9">
        <v>677.0</v>
      </c>
      <c r="D4187" s="9">
        <v>96.0</v>
      </c>
      <c r="E4187" s="9">
        <v>20.0</v>
      </c>
      <c r="F4187" s="14"/>
      <c r="G4187" s="15"/>
      <c r="H4187" s="15"/>
      <c r="I4187" s="14"/>
      <c r="P4187" s="14"/>
    </row>
    <row r="4188" ht="18.75" customHeight="1">
      <c r="A4188" s="7" t="s">
        <v>910</v>
      </c>
      <c r="B4188" s="9">
        <v>54521.0</v>
      </c>
      <c r="C4188" s="9">
        <v>53978.0</v>
      </c>
      <c r="D4188" s="9">
        <v>15611.0</v>
      </c>
      <c r="E4188" s="9">
        <v>314.0</v>
      </c>
      <c r="F4188" s="14"/>
      <c r="G4188" s="15"/>
      <c r="H4188" s="15"/>
      <c r="I4188" s="14"/>
      <c r="P4188" s="14"/>
    </row>
    <row r="4189" ht="18.75" customHeight="1">
      <c r="A4189" s="7" t="s">
        <v>866</v>
      </c>
      <c r="B4189" s="9">
        <v>91.0</v>
      </c>
      <c r="C4189" s="9">
        <v>90.0</v>
      </c>
      <c r="D4189" s="9">
        <v>37.0</v>
      </c>
      <c r="E4189" s="9">
        <v>3.0</v>
      </c>
      <c r="F4189" s="14"/>
      <c r="G4189" s="15"/>
      <c r="H4189" s="15"/>
      <c r="I4189" s="14"/>
      <c r="P4189" s="14"/>
    </row>
    <row r="4190" ht="18.75" customHeight="1">
      <c r="A4190" s="7" t="s">
        <v>779</v>
      </c>
      <c r="B4190" s="9">
        <v>71.0</v>
      </c>
      <c r="C4190" s="9">
        <v>70.0</v>
      </c>
      <c r="D4190" s="9">
        <v>27.0</v>
      </c>
      <c r="E4190" s="9">
        <v>2.0</v>
      </c>
      <c r="F4190" s="14"/>
      <c r="G4190" s="15"/>
      <c r="H4190" s="15"/>
      <c r="I4190" s="14"/>
      <c r="P4190" s="14"/>
    </row>
    <row r="4191" ht="18.75" customHeight="1">
      <c r="A4191" s="7" t="s">
        <v>918</v>
      </c>
      <c r="B4191" s="9">
        <v>57.0</v>
      </c>
      <c r="C4191" s="9">
        <v>56.0</v>
      </c>
      <c r="D4191" s="9">
        <v>21.0</v>
      </c>
      <c r="E4191" s="9">
        <v>2.0</v>
      </c>
      <c r="F4191" s="14"/>
      <c r="G4191" s="15"/>
      <c r="H4191" s="15"/>
      <c r="I4191" s="14"/>
      <c r="P4191" s="14"/>
    </row>
    <row r="4192" ht="18.75" customHeight="1">
      <c r="A4192" s="7" t="s">
        <v>890</v>
      </c>
      <c r="B4192" s="9">
        <v>75067.0</v>
      </c>
      <c r="C4192" s="9">
        <v>73861.0</v>
      </c>
      <c r="D4192" s="9">
        <v>11599.0</v>
      </c>
      <c r="E4192" s="9">
        <v>246.0</v>
      </c>
      <c r="F4192" s="14"/>
      <c r="G4192" s="15"/>
      <c r="H4192" s="15"/>
      <c r="I4192" s="14"/>
      <c r="P4192" s="14"/>
    </row>
    <row r="4193" ht="18.75" customHeight="1">
      <c r="A4193" s="7" t="s">
        <v>366</v>
      </c>
      <c r="B4193" s="9">
        <v>227.0</v>
      </c>
      <c r="C4193" s="9">
        <v>221.0</v>
      </c>
      <c r="D4193" s="9">
        <v>65.0</v>
      </c>
      <c r="E4193" s="9">
        <v>7.0</v>
      </c>
      <c r="F4193" s="14"/>
      <c r="G4193" s="15"/>
      <c r="H4193" s="15"/>
      <c r="I4193" s="14"/>
      <c r="P4193" s="14"/>
    </row>
    <row r="4194" ht="18.75" customHeight="1">
      <c r="A4194" s="7" t="s">
        <v>368</v>
      </c>
      <c r="B4194" s="9">
        <v>132.0</v>
      </c>
      <c r="C4194" s="9">
        <v>132.0</v>
      </c>
      <c r="D4194" s="9">
        <v>42.0</v>
      </c>
      <c r="E4194" s="9">
        <v>3.0</v>
      </c>
      <c r="F4194" s="14"/>
      <c r="G4194" s="15"/>
      <c r="H4194" s="15"/>
      <c r="I4194" s="14"/>
      <c r="P4194" s="14"/>
    </row>
    <row r="4195" ht="18.75" customHeight="1">
      <c r="A4195" s="7" t="s">
        <v>896</v>
      </c>
      <c r="B4195" s="9">
        <v>34.0</v>
      </c>
      <c r="C4195" s="9">
        <v>34.0</v>
      </c>
      <c r="D4195" s="9">
        <v>6.0</v>
      </c>
      <c r="E4195" s="9">
        <v>1.0</v>
      </c>
      <c r="F4195" s="14"/>
      <c r="G4195" s="15"/>
      <c r="H4195" s="15"/>
      <c r="I4195" s="14"/>
      <c r="P4195" s="14"/>
    </row>
    <row r="4196" ht="18.75" customHeight="1">
      <c r="A4196" s="7" t="s">
        <v>852</v>
      </c>
      <c r="B4196" s="9">
        <v>130.0</v>
      </c>
      <c r="C4196" s="9">
        <v>129.0</v>
      </c>
      <c r="D4196" s="9">
        <v>47.0</v>
      </c>
      <c r="E4196" s="9">
        <v>1.0</v>
      </c>
      <c r="F4196" s="14"/>
      <c r="G4196" s="15"/>
      <c r="H4196" s="15"/>
      <c r="I4196" s="14"/>
      <c r="P4196" s="14"/>
    </row>
    <row r="4197" ht="18.75" customHeight="1">
      <c r="A4197" s="7" t="s">
        <v>876</v>
      </c>
      <c r="B4197" s="9">
        <v>54.0</v>
      </c>
      <c r="C4197" s="9">
        <v>53.0</v>
      </c>
      <c r="D4197" s="9">
        <v>25.0</v>
      </c>
      <c r="E4197" s="9">
        <v>1.0</v>
      </c>
      <c r="F4197" s="14"/>
      <c r="G4197" s="15"/>
      <c r="H4197" s="15"/>
      <c r="I4197" s="14"/>
      <c r="P4197" s="14"/>
    </row>
    <row r="4198" ht="18.75" customHeight="1">
      <c r="A4198" s="7" t="s">
        <v>858</v>
      </c>
      <c r="B4198" s="9">
        <v>68.0</v>
      </c>
      <c r="C4198" s="9">
        <v>67.0</v>
      </c>
      <c r="D4198" s="9">
        <v>26.0</v>
      </c>
      <c r="E4198" s="9">
        <v>2.0</v>
      </c>
      <c r="F4198" s="14"/>
      <c r="G4198" s="15"/>
      <c r="H4198" s="15"/>
      <c r="I4198" s="14"/>
      <c r="P4198" s="14"/>
    </row>
    <row r="4199" ht="18.75" customHeight="1">
      <c r="A4199" s="7" t="s">
        <v>910</v>
      </c>
      <c r="B4199" s="9">
        <v>1537.0</v>
      </c>
      <c r="C4199" s="9">
        <v>1536.0</v>
      </c>
      <c r="D4199" s="9">
        <v>1000.0</v>
      </c>
      <c r="E4199" s="9">
        <v>67.0</v>
      </c>
      <c r="F4199" s="14"/>
      <c r="G4199" s="15"/>
      <c r="H4199" s="15"/>
      <c r="I4199" s="14"/>
      <c r="P4199" s="14"/>
    </row>
    <row r="4200" ht="18.75" customHeight="1">
      <c r="A4200" s="7" t="s">
        <v>565</v>
      </c>
      <c r="B4200" s="9">
        <v>110349.0</v>
      </c>
      <c r="C4200" s="9">
        <v>109271.0</v>
      </c>
      <c r="D4200" s="9">
        <v>43603.0</v>
      </c>
      <c r="E4200" s="9">
        <v>1489.0</v>
      </c>
      <c r="F4200" s="14"/>
      <c r="G4200" s="15"/>
      <c r="H4200" s="15"/>
      <c r="I4200" s="14"/>
      <c r="P4200" s="14"/>
    </row>
    <row r="4201" ht="18.75" customHeight="1">
      <c r="A4201" s="7" t="s">
        <v>922</v>
      </c>
      <c r="B4201" s="9">
        <v>10183.0</v>
      </c>
      <c r="C4201" s="9">
        <v>10042.0</v>
      </c>
      <c r="D4201" s="9">
        <v>1898.0</v>
      </c>
      <c r="E4201" s="9">
        <v>96.0</v>
      </c>
      <c r="F4201" s="14"/>
      <c r="G4201" s="15"/>
      <c r="H4201" s="15"/>
      <c r="I4201" s="14"/>
      <c r="P4201" s="14"/>
    </row>
    <row r="4202" ht="18.75" customHeight="1">
      <c r="A4202" s="7" t="s">
        <v>898</v>
      </c>
      <c r="B4202" s="9">
        <v>74428.0</v>
      </c>
      <c r="C4202" s="9">
        <v>73648.0</v>
      </c>
      <c r="D4202" s="9">
        <v>11984.0</v>
      </c>
      <c r="E4202" s="9">
        <v>310.0</v>
      </c>
      <c r="F4202" s="14"/>
      <c r="G4202" s="15"/>
      <c r="H4202" s="15"/>
      <c r="I4202" s="14"/>
      <c r="P4202" s="14"/>
    </row>
    <row r="4203" ht="18.75" customHeight="1">
      <c r="A4203" s="7" t="s">
        <v>2857</v>
      </c>
      <c r="B4203" s="9">
        <v>54029.0</v>
      </c>
      <c r="C4203" s="9">
        <v>53366.0</v>
      </c>
      <c r="D4203" s="9">
        <v>16984.0</v>
      </c>
      <c r="E4203" s="9">
        <v>425.0</v>
      </c>
      <c r="F4203" s="14"/>
      <c r="G4203" s="15"/>
      <c r="H4203" s="15"/>
      <c r="I4203" s="14"/>
      <c r="P4203" s="14"/>
    </row>
    <row r="4204" ht="18.75" customHeight="1">
      <c r="A4204" s="7" t="s">
        <v>924</v>
      </c>
      <c r="B4204" s="9">
        <v>69274.0</v>
      </c>
      <c r="C4204" s="9">
        <v>68729.0</v>
      </c>
      <c r="D4204" s="9">
        <v>33551.0</v>
      </c>
      <c r="E4204" s="9">
        <v>634.0</v>
      </c>
      <c r="F4204" s="14"/>
      <c r="G4204" s="15"/>
      <c r="H4204" s="15"/>
      <c r="I4204" s="14"/>
      <c r="P4204" s="14"/>
    </row>
    <row r="4205" ht="18.75" customHeight="1">
      <c r="A4205" s="7" t="s">
        <v>848</v>
      </c>
      <c r="B4205" s="9">
        <v>160.0</v>
      </c>
      <c r="C4205" s="9">
        <v>159.0</v>
      </c>
      <c r="D4205" s="9">
        <v>79.0</v>
      </c>
      <c r="E4205" s="9">
        <v>4.0</v>
      </c>
      <c r="F4205" s="14"/>
      <c r="G4205" s="15"/>
      <c r="H4205" s="15"/>
      <c r="I4205" s="14"/>
      <c r="P4205" s="14"/>
    </row>
    <row r="4206" ht="18.75" customHeight="1">
      <c r="A4206" s="7" t="s">
        <v>894</v>
      </c>
      <c r="B4206" s="9">
        <v>142.0</v>
      </c>
      <c r="C4206" s="9">
        <v>141.0</v>
      </c>
      <c r="D4206" s="9">
        <v>99.0</v>
      </c>
      <c r="E4206" s="9">
        <v>3.0</v>
      </c>
      <c r="F4206" s="14"/>
      <c r="G4206" s="15"/>
      <c r="H4206" s="15"/>
      <c r="I4206" s="14"/>
      <c r="P4206" s="14"/>
    </row>
    <row r="4207" ht="18.75" customHeight="1">
      <c r="A4207" s="7" t="s">
        <v>949</v>
      </c>
      <c r="B4207" s="9">
        <v>82535.0</v>
      </c>
      <c r="C4207" s="9">
        <v>81698.0</v>
      </c>
      <c r="D4207" s="9">
        <v>29536.0</v>
      </c>
      <c r="E4207" s="9">
        <v>525.0</v>
      </c>
      <c r="F4207" s="14"/>
      <c r="G4207" s="15"/>
      <c r="H4207" s="15"/>
      <c r="I4207" s="14"/>
      <c r="P4207" s="14"/>
    </row>
    <row r="4208" ht="18.75" customHeight="1">
      <c r="A4208" s="7" t="s">
        <v>892</v>
      </c>
      <c r="B4208" s="9">
        <v>14353.0</v>
      </c>
      <c r="C4208" s="9">
        <v>14353.0</v>
      </c>
      <c r="D4208" s="9">
        <v>1.0</v>
      </c>
      <c r="E4208" s="9">
        <v>0.0</v>
      </c>
      <c r="F4208" s="14"/>
      <c r="G4208" s="15"/>
      <c r="H4208" s="15"/>
      <c r="I4208" s="14"/>
      <c r="P4208" s="14"/>
    </row>
    <row r="4209" ht="18.75" customHeight="1">
      <c r="A4209" s="7" t="s">
        <v>918</v>
      </c>
      <c r="B4209" s="9">
        <v>57.0</v>
      </c>
      <c r="C4209" s="9">
        <v>56.0</v>
      </c>
      <c r="D4209" s="9">
        <v>14.0</v>
      </c>
      <c r="E4209" s="9">
        <v>2.0</v>
      </c>
      <c r="F4209" s="14"/>
      <c r="G4209" s="15"/>
      <c r="H4209" s="15"/>
      <c r="I4209" s="14"/>
      <c r="P4209" s="14"/>
    </row>
    <row r="4210" ht="18.75" customHeight="1">
      <c r="A4210" s="7" t="s">
        <v>920</v>
      </c>
      <c r="B4210" s="9">
        <v>20705.0</v>
      </c>
      <c r="C4210" s="9">
        <v>20492.0</v>
      </c>
      <c r="D4210" s="9">
        <v>4274.0</v>
      </c>
      <c r="E4210" s="9">
        <v>109.0</v>
      </c>
      <c r="F4210" s="14"/>
      <c r="G4210" s="15"/>
      <c r="H4210" s="15"/>
      <c r="I4210" s="14"/>
      <c r="P4210" s="14"/>
    </row>
    <row r="4211" ht="18.75" customHeight="1">
      <c r="A4211" s="7" t="s">
        <v>890</v>
      </c>
      <c r="B4211" s="9">
        <v>162.0</v>
      </c>
      <c r="C4211" s="9">
        <v>160.0</v>
      </c>
      <c r="D4211" s="9">
        <v>83.0</v>
      </c>
      <c r="E4211" s="9">
        <v>3.0</v>
      </c>
      <c r="F4211" s="14"/>
      <c r="G4211" s="15"/>
      <c r="H4211" s="15"/>
      <c r="I4211" s="14"/>
      <c r="P4211" s="14"/>
    </row>
    <row r="4212" ht="18.75" customHeight="1">
      <c r="A4212" s="7" t="s">
        <v>886</v>
      </c>
      <c r="B4212" s="9">
        <v>41317.0</v>
      </c>
      <c r="C4212" s="9">
        <v>40762.0</v>
      </c>
      <c r="D4212" s="9">
        <v>5092.0</v>
      </c>
      <c r="E4212" s="9">
        <v>13.0</v>
      </c>
      <c r="F4212" s="14"/>
      <c r="G4212" s="15"/>
      <c r="H4212" s="15"/>
      <c r="I4212" s="14"/>
      <c r="P4212" s="14"/>
    </row>
    <row r="4213" ht="18.75" customHeight="1">
      <c r="A4213" s="7" t="s">
        <v>896</v>
      </c>
      <c r="B4213" s="9">
        <v>167.0</v>
      </c>
      <c r="C4213" s="9">
        <v>166.0</v>
      </c>
      <c r="D4213" s="9">
        <v>97.0</v>
      </c>
      <c r="E4213" s="9">
        <v>1.0</v>
      </c>
      <c r="F4213" s="14"/>
      <c r="G4213" s="15"/>
      <c r="H4213" s="15"/>
      <c r="I4213" s="14"/>
      <c r="P4213" s="14"/>
    </row>
    <row r="4214" ht="18.75" customHeight="1">
      <c r="A4214" s="7" t="s">
        <v>902</v>
      </c>
      <c r="B4214" s="9">
        <v>176.0</v>
      </c>
      <c r="C4214" s="9">
        <v>175.0</v>
      </c>
      <c r="D4214" s="9">
        <v>94.0</v>
      </c>
      <c r="E4214" s="9">
        <v>2.0</v>
      </c>
      <c r="F4214" s="14"/>
      <c r="G4214" s="15"/>
      <c r="H4214" s="15"/>
      <c r="I4214" s="14"/>
      <c r="P4214" s="14"/>
    </row>
    <row r="4215" ht="18.75" customHeight="1">
      <c r="A4215" s="7" t="s">
        <v>888</v>
      </c>
      <c r="B4215" s="9">
        <v>47.0</v>
      </c>
      <c r="C4215" s="9">
        <v>46.0</v>
      </c>
      <c r="D4215" s="9">
        <v>12.0</v>
      </c>
      <c r="E4215" s="9">
        <v>2.0</v>
      </c>
      <c r="F4215" s="14"/>
      <c r="G4215" s="15"/>
      <c r="H4215" s="15"/>
      <c r="I4215" s="14"/>
      <c r="P4215" s="14"/>
    </row>
    <row r="4216" ht="18.75" customHeight="1">
      <c r="A4216" s="7" t="s">
        <v>860</v>
      </c>
      <c r="B4216" s="9">
        <v>13923.0</v>
      </c>
      <c r="C4216" s="9">
        <v>13536.0</v>
      </c>
      <c r="D4216" s="9">
        <v>1461.0</v>
      </c>
      <c r="E4216" s="9">
        <v>19.0</v>
      </c>
      <c r="F4216" s="14"/>
      <c r="G4216" s="15"/>
      <c r="H4216" s="15"/>
      <c r="I4216" s="14"/>
      <c r="P4216" s="14"/>
    </row>
    <row r="4217" ht="18.75" customHeight="1">
      <c r="A4217" s="7" t="s">
        <v>910</v>
      </c>
      <c r="B4217" s="9">
        <v>38663.0</v>
      </c>
      <c r="C4217" s="9">
        <v>38131.0</v>
      </c>
      <c r="D4217" s="9">
        <v>2496.0</v>
      </c>
      <c r="E4217" s="9">
        <v>90.0</v>
      </c>
      <c r="F4217" s="14"/>
      <c r="G4217" s="15"/>
      <c r="H4217" s="15"/>
      <c r="I4217" s="14"/>
      <c r="P4217" s="14"/>
    </row>
    <row r="4218" ht="18.75" customHeight="1">
      <c r="A4218" s="7" t="s">
        <v>385</v>
      </c>
      <c r="B4218" s="9">
        <v>34521.0</v>
      </c>
      <c r="C4218" s="9">
        <v>34094.0</v>
      </c>
      <c r="D4218" s="9">
        <v>9282.0</v>
      </c>
      <c r="E4218" s="9">
        <v>160.0</v>
      </c>
      <c r="F4218" s="14"/>
      <c r="G4218" s="15"/>
      <c r="H4218" s="15"/>
      <c r="I4218" s="14"/>
      <c r="P4218" s="14"/>
    </row>
    <row r="4219" ht="18.75" customHeight="1">
      <c r="A4219" s="7" t="s">
        <v>3751</v>
      </c>
      <c r="B4219" s="9">
        <v>132.0</v>
      </c>
      <c r="C4219" s="9">
        <v>128.0</v>
      </c>
      <c r="D4219" s="9">
        <v>63.0</v>
      </c>
      <c r="E4219" s="9">
        <v>3.0</v>
      </c>
      <c r="F4219" s="14"/>
      <c r="G4219" s="15"/>
      <c r="H4219" s="15"/>
      <c r="I4219" s="14"/>
      <c r="P4219" s="14"/>
    </row>
    <row r="4220" ht="18.75" customHeight="1">
      <c r="A4220" s="7" t="s">
        <v>922</v>
      </c>
      <c r="B4220" s="9">
        <v>96.0</v>
      </c>
      <c r="C4220" s="9">
        <v>95.0</v>
      </c>
      <c r="D4220" s="9">
        <v>45.0</v>
      </c>
      <c r="E4220" s="9">
        <v>1.0</v>
      </c>
      <c r="F4220" s="14"/>
      <c r="G4220" s="15"/>
      <c r="H4220" s="15"/>
      <c r="I4220" s="14"/>
      <c r="P4220" s="14"/>
    </row>
    <row r="4221" ht="18.75" customHeight="1">
      <c r="A4221" s="7" t="s">
        <v>886</v>
      </c>
      <c r="B4221" s="9">
        <v>280164.0</v>
      </c>
      <c r="C4221" s="9">
        <v>278252.0</v>
      </c>
      <c r="D4221" s="9">
        <v>97827.0</v>
      </c>
      <c r="E4221" s="9">
        <v>146.0</v>
      </c>
      <c r="F4221" s="14"/>
      <c r="G4221" s="15"/>
      <c r="H4221" s="15"/>
      <c r="I4221" s="14"/>
      <c r="P4221" s="14"/>
    </row>
    <row r="4222" ht="18.75" customHeight="1">
      <c r="A4222" s="7" t="s">
        <v>898</v>
      </c>
      <c r="B4222" s="9">
        <v>188.0</v>
      </c>
      <c r="C4222" s="9">
        <v>187.0</v>
      </c>
      <c r="D4222" s="9">
        <v>122.0</v>
      </c>
      <c r="E4222" s="9">
        <v>2.0</v>
      </c>
      <c r="F4222" s="14"/>
      <c r="G4222" s="15"/>
      <c r="H4222" s="15"/>
      <c r="I4222" s="14"/>
      <c r="P4222" s="14"/>
    </row>
    <row r="4223" ht="18.75" customHeight="1">
      <c r="A4223" s="7" t="s">
        <v>904</v>
      </c>
      <c r="B4223" s="9">
        <v>224.0</v>
      </c>
      <c r="C4223" s="9">
        <v>223.0</v>
      </c>
      <c r="D4223" s="9">
        <v>105.0</v>
      </c>
      <c r="E4223" s="9">
        <v>38.0</v>
      </c>
      <c r="F4223" s="14"/>
      <c r="G4223" s="15"/>
      <c r="H4223" s="15"/>
      <c r="I4223" s="14"/>
      <c r="P4223" s="14"/>
    </row>
    <row r="4224" ht="18.75" customHeight="1">
      <c r="A4224" s="7" t="s">
        <v>945</v>
      </c>
      <c r="B4224" s="9">
        <v>74309.0</v>
      </c>
      <c r="C4224" s="9">
        <v>73553.0</v>
      </c>
      <c r="D4224" s="9">
        <v>11956.0</v>
      </c>
      <c r="E4224" s="9">
        <v>130.0</v>
      </c>
      <c r="F4224" s="14"/>
      <c r="G4224" s="15"/>
      <c r="H4224" s="15"/>
      <c r="I4224" s="14"/>
      <c r="P4224" s="14"/>
    </row>
    <row r="4225" ht="18.75" customHeight="1">
      <c r="A4225" s="7" t="s">
        <v>902</v>
      </c>
      <c r="B4225" s="9">
        <v>2172.0</v>
      </c>
      <c r="C4225" s="9">
        <v>2168.0</v>
      </c>
      <c r="D4225" s="9">
        <v>1515.0</v>
      </c>
      <c r="E4225" s="9">
        <v>3.0</v>
      </c>
      <c r="F4225" s="14"/>
      <c r="G4225" s="15"/>
      <c r="H4225" s="15"/>
      <c r="I4225" s="14"/>
      <c r="P4225" s="14"/>
    </row>
    <row r="4226" ht="18.75" customHeight="1">
      <c r="A4226" s="7" t="s">
        <v>902</v>
      </c>
      <c r="B4226" s="9">
        <v>157.0</v>
      </c>
      <c r="C4226" s="9">
        <v>157.0</v>
      </c>
      <c r="D4226" s="9">
        <v>79.0</v>
      </c>
      <c r="E4226" s="9">
        <v>1.0</v>
      </c>
      <c r="F4226" s="14"/>
      <c r="G4226" s="15"/>
      <c r="H4226" s="15"/>
      <c r="I4226" s="14"/>
      <c r="P4226" s="14"/>
    </row>
    <row r="4227" ht="18.75" customHeight="1">
      <c r="A4227" s="7" t="s">
        <v>761</v>
      </c>
      <c r="B4227" s="9">
        <v>163904.0</v>
      </c>
      <c r="C4227" s="9">
        <v>161165.0</v>
      </c>
      <c r="D4227" s="9">
        <v>38899.0</v>
      </c>
      <c r="E4227" s="9">
        <v>3183.0</v>
      </c>
      <c r="F4227" s="14"/>
      <c r="G4227" s="15"/>
      <c r="H4227" s="15"/>
      <c r="I4227" s="14"/>
      <c r="P4227" s="14"/>
    </row>
    <row r="4228" ht="18.75" customHeight="1">
      <c r="A4228" s="7" t="s">
        <v>761</v>
      </c>
      <c r="B4228" s="9">
        <v>5743.0</v>
      </c>
      <c r="C4228" s="9">
        <v>5524.0</v>
      </c>
      <c r="D4228" s="9">
        <v>1782.0</v>
      </c>
      <c r="E4228" s="9">
        <v>339.0</v>
      </c>
      <c r="F4228" s="14"/>
      <c r="G4228" s="15"/>
      <c r="H4228" s="15"/>
      <c r="I4228" s="14"/>
      <c r="P4228" s="14"/>
    </row>
    <row r="4229" ht="18.75" customHeight="1">
      <c r="A4229" s="7" t="s">
        <v>758</v>
      </c>
      <c r="B4229" s="9">
        <v>74361.0</v>
      </c>
      <c r="C4229" s="9">
        <v>73242.0</v>
      </c>
      <c r="D4229" s="9">
        <v>21848.0</v>
      </c>
      <c r="E4229" s="9">
        <v>487.0</v>
      </c>
      <c r="F4229" s="14"/>
      <c r="G4229" s="15"/>
      <c r="H4229" s="15"/>
      <c r="I4229" s="14"/>
      <c r="P4229" s="14"/>
    </row>
    <row r="4230" ht="18.75" customHeight="1">
      <c r="A4230" s="7" t="s">
        <v>931</v>
      </c>
      <c r="B4230" s="9">
        <v>35111.0</v>
      </c>
      <c r="C4230" s="9">
        <v>34667.0</v>
      </c>
      <c r="D4230" s="9">
        <v>7451.0</v>
      </c>
      <c r="E4230" s="9">
        <v>256.0</v>
      </c>
      <c r="F4230" s="14"/>
      <c r="G4230" s="15"/>
      <c r="H4230" s="15"/>
      <c r="I4230" s="14"/>
      <c r="P4230" s="14"/>
    </row>
    <row r="4231" ht="18.75" customHeight="1">
      <c r="A4231" s="7" t="s">
        <v>935</v>
      </c>
      <c r="B4231" s="9">
        <v>31555.0</v>
      </c>
      <c r="C4231" s="9">
        <v>30828.0</v>
      </c>
      <c r="D4231" s="9">
        <v>5403.0</v>
      </c>
      <c r="E4231" s="9">
        <v>172.0</v>
      </c>
      <c r="F4231" s="14"/>
      <c r="G4231" s="15"/>
      <c r="H4231" s="15"/>
      <c r="I4231" s="14"/>
      <c r="P4231" s="14"/>
    </row>
    <row r="4232" ht="18.75" customHeight="1">
      <c r="A4232" s="7" t="s">
        <v>937</v>
      </c>
      <c r="B4232" s="9">
        <v>40265.0</v>
      </c>
      <c r="C4232" s="9">
        <v>39991.0</v>
      </c>
      <c r="D4232" s="9">
        <v>18566.0</v>
      </c>
      <c r="E4232" s="9">
        <v>641.0</v>
      </c>
      <c r="F4232" s="14"/>
      <c r="G4232" s="15"/>
      <c r="H4232" s="15"/>
      <c r="I4232" s="14"/>
      <c r="P4232" s="14"/>
    </row>
    <row r="4233" ht="18.75" customHeight="1">
      <c r="A4233" s="7" t="s">
        <v>884</v>
      </c>
      <c r="B4233" s="9">
        <v>169496.0</v>
      </c>
      <c r="C4233" s="9">
        <v>167792.0</v>
      </c>
      <c r="D4233" s="9">
        <v>48793.0</v>
      </c>
      <c r="E4233" s="9">
        <v>769.0</v>
      </c>
      <c r="F4233" s="14"/>
      <c r="G4233" s="15"/>
      <c r="H4233" s="15"/>
      <c r="I4233" s="14"/>
      <c r="P4233" s="14"/>
    </row>
    <row r="4234" ht="18.75" customHeight="1">
      <c r="A4234" s="7" t="s">
        <v>910</v>
      </c>
      <c r="B4234" s="9">
        <v>440.0</v>
      </c>
      <c r="C4234" s="9">
        <v>415.0</v>
      </c>
      <c r="D4234" s="9">
        <v>246.0</v>
      </c>
      <c r="E4234" s="9">
        <v>3.0</v>
      </c>
      <c r="F4234" s="14"/>
      <c r="G4234" s="15"/>
      <c r="H4234" s="15"/>
      <c r="I4234" s="14"/>
      <c r="P4234" s="14"/>
    </row>
    <row r="4235" ht="18.75" customHeight="1">
      <c r="A4235" s="7" t="s">
        <v>892</v>
      </c>
      <c r="B4235" s="9">
        <v>109.0</v>
      </c>
      <c r="C4235" s="9">
        <v>108.0</v>
      </c>
      <c r="D4235" s="9">
        <v>44.0</v>
      </c>
      <c r="E4235" s="9">
        <v>2.0</v>
      </c>
      <c r="F4235" s="14"/>
      <c r="G4235" s="15"/>
      <c r="H4235" s="15"/>
      <c r="I4235" s="14"/>
      <c r="P4235" s="14"/>
    </row>
    <row r="4236" ht="18.75" customHeight="1">
      <c r="A4236" s="7" t="s">
        <v>947</v>
      </c>
      <c r="B4236" s="9">
        <v>59440.0</v>
      </c>
      <c r="C4236" s="9">
        <v>58654.0</v>
      </c>
      <c r="D4236" s="9">
        <v>9168.0</v>
      </c>
      <c r="E4236" s="9">
        <v>226.0</v>
      </c>
      <c r="F4236" s="14"/>
      <c r="G4236" s="15"/>
      <c r="H4236" s="15"/>
      <c r="I4236" s="14"/>
      <c r="P4236" s="14"/>
    </row>
    <row r="4237" ht="18.75" customHeight="1">
      <c r="A4237" s="7" t="s">
        <v>959</v>
      </c>
      <c r="B4237" s="9">
        <v>87418.0</v>
      </c>
      <c r="C4237" s="9">
        <v>86588.0</v>
      </c>
      <c r="D4237" s="9">
        <v>34574.0</v>
      </c>
      <c r="E4237" s="9">
        <v>1674.0</v>
      </c>
      <c r="F4237" s="14"/>
      <c r="G4237" s="15"/>
      <c r="H4237" s="15"/>
      <c r="I4237" s="14"/>
      <c r="P4237" s="14"/>
    </row>
    <row r="4238" ht="18.75" customHeight="1">
      <c r="A4238" s="7" t="s">
        <v>920</v>
      </c>
      <c r="B4238" s="9">
        <v>83.0</v>
      </c>
      <c r="C4238" s="9">
        <v>82.0</v>
      </c>
      <c r="D4238" s="9">
        <v>38.0</v>
      </c>
      <c r="E4238" s="9">
        <v>2.0</v>
      </c>
      <c r="F4238" s="14"/>
      <c r="G4238" s="15"/>
      <c r="H4238" s="15"/>
      <c r="I4238" s="14"/>
      <c r="P4238" s="14"/>
    </row>
    <row r="4239" ht="18.75" customHeight="1">
      <c r="A4239" s="7" t="s">
        <v>360</v>
      </c>
      <c r="B4239" s="9">
        <v>22235.0</v>
      </c>
      <c r="C4239" s="9">
        <v>21956.0</v>
      </c>
      <c r="D4239" s="9">
        <v>5733.0</v>
      </c>
      <c r="E4239" s="9">
        <v>59.0</v>
      </c>
      <c r="F4239" s="14"/>
      <c r="G4239" s="15"/>
      <c r="H4239" s="15"/>
      <c r="I4239" s="14"/>
      <c r="P4239" s="14"/>
    </row>
    <row r="4240" ht="18.75" customHeight="1">
      <c r="A4240" s="7" t="s">
        <v>933</v>
      </c>
      <c r="B4240" s="9">
        <v>7007.0</v>
      </c>
      <c r="C4240" s="9">
        <v>6985.0</v>
      </c>
      <c r="D4240" s="9">
        <v>2556.0</v>
      </c>
      <c r="E4240" s="9">
        <v>176.0</v>
      </c>
      <c r="F4240" s="14"/>
      <c r="G4240" s="15"/>
      <c r="H4240" s="15"/>
      <c r="I4240" s="14"/>
      <c r="P4240" s="14"/>
    </row>
    <row r="4241" ht="18.75" customHeight="1">
      <c r="A4241" s="7" t="s">
        <v>366</v>
      </c>
      <c r="B4241" s="9">
        <v>108.0</v>
      </c>
      <c r="C4241" s="9">
        <v>106.0</v>
      </c>
      <c r="D4241" s="9">
        <v>29.0</v>
      </c>
      <c r="E4241" s="9">
        <v>7.0</v>
      </c>
      <c r="F4241" s="14"/>
      <c r="G4241" s="15"/>
      <c r="H4241" s="15"/>
      <c r="I4241" s="14"/>
      <c r="P4241" s="14"/>
    </row>
    <row r="4242" ht="18.75" customHeight="1">
      <c r="A4242" s="7" t="s">
        <v>370</v>
      </c>
      <c r="B4242" s="9">
        <v>769.0</v>
      </c>
      <c r="C4242" s="9">
        <v>764.0</v>
      </c>
      <c r="D4242" s="9">
        <v>234.0</v>
      </c>
      <c r="E4242" s="9">
        <v>13.0</v>
      </c>
      <c r="F4242" s="14"/>
      <c r="G4242" s="15"/>
      <c r="H4242" s="15"/>
      <c r="I4242" s="14"/>
      <c r="P4242" s="14"/>
    </row>
    <row r="4243" ht="18.75" customHeight="1">
      <c r="A4243" s="7" t="s">
        <v>368</v>
      </c>
      <c r="B4243" s="9">
        <v>268.0</v>
      </c>
      <c r="C4243" s="9">
        <v>267.0</v>
      </c>
      <c r="D4243" s="9">
        <v>95.0</v>
      </c>
      <c r="E4243" s="9">
        <v>7.0</v>
      </c>
      <c r="F4243" s="14"/>
      <c r="G4243" s="15"/>
      <c r="H4243" s="15"/>
      <c r="I4243" s="14"/>
      <c r="P4243" s="14"/>
    </row>
    <row r="4244" ht="18.75" customHeight="1">
      <c r="A4244" s="7" t="s">
        <v>372</v>
      </c>
      <c r="B4244" s="9">
        <v>4288.0</v>
      </c>
      <c r="C4244" s="9">
        <v>4240.0</v>
      </c>
      <c r="D4244" s="9">
        <v>1070.0</v>
      </c>
      <c r="E4244" s="9">
        <v>5.0</v>
      </c>
      <c r="F4244" s="14"/>
      <c r="G4244" s="15"/>
      <c r="H4244" s="15"/>
      <c r="I4244" s="14"/>
      <c r="P4244" s="14"/>
    </row>
    <row r="4245" ht="18.75" customHeight="1">
      <c r="A4245" s="7" t="s">
        <v>961</v>
      </c>
      <c r="B4245" s="9">
        <v>8215.0</v>
      </c>
      <c r="C4245" s="9">
        <v>8121.0</v>
      </c>
      <c r="D4245" s="9">
        <v>1274.0</v>
      </c>
      <c r="E4245" s="9">
        <v>92.0</v>
      </c>
      <c r="F4245" s="14"/>
      <c r="G4245" s="15"/>
      <c r="H4245" s="15"/>
      <c r="I4245" s="14"/>
      <c r="P4245" s="14"/>
    </row>
    <row r="4246" ht="18.75" customHeight="1">
      <c r="A4246" s="7" t="s">
        <v>374</v>
      </c>
      <c r="B4246" s="9">
        <v>245.0</v>
      </c>
      <c r="C4246" s="9">
        <v>244.0</v>
      </c>
      <c r="D4246" s="9">
        <v>76.0</v>
      </c>
      <c r="E4246" s="9">
        <v>8.0</v>
      </c>
      <c r="F4246" s="14"/>
      <c r="G4246" s="15"/>
      <c r="H4246" s="15"/>
      <c r="I4246" s="14"/>
      <c r="P4246" s="14"/>
    </row>
    <row r="4247" ht="18.75" customHeight="1">
      <c r="A4247" s="7" t="s">
        <v>945</v>
      </c>
      <c r="B4247" s="9">
        <v>70.0</v>
      </c>
      <c r="C4247" s="9">
        <v>69.0</v>
      </c>
      <c r="D4247" s="9">
        <v>33.0</v>
      </c>
      <c r="E4247" s="9">
        <v>2.0</v>
      </c>
      <c r="F4247" s="14"/>
      <c r="G4247" s="15"/>
      <c r="H4247" s="15"/>
      <c r="I4247" s="14"/>
      <c r="P4247" s="14"/>
    </row>
    <row r="4248" ht="18.75" customHeight="1">
      <c r="A4248" s="7" t="s">
        <v>961</v>
      </c>
      <c r="B4248" s="9">
        <v>100.0</v>
      </c>
      <c r="C4248" s="9">
        <v>99.0</v>
      </c>
      <c r="D4248" s="9">
        <v>51.0</v>
      </c>
      <c r="E4248" s="9">
        <v>2.0</v>
      </c>
      <c r="F4248" s="14"/>
      <c r="G4248" s="15"/>
      <c r="H4248" s="15"/>
      <c r="I4248" s="14"/>
      <c r="P4248" s="14"/>
    </row>
    <row r="4249" ht="18.75" customHeight="1">
      <c r="A4249" s="7" t="s">
        <v>963</v>
      </c>
      <c r="B4249" s="9">
        <v>16186.0</v>
      </c>
      <c r="C4249" s="9">
        <v>15874.0</v>
      </c>
      <c r="D4249" s="9">
        <v>1714.0</v>
      </c>
      <c r="E4249" s="9">
        <v>132.0</v>
      </c>
      <c r="F4249" s="14"/>
      <c r="G4249" s="15"/>
      <c r="H4249" s="15"/>
      <c r="I4249" s="14"/>
      <c r="P4249" s="14"/>
    </row>
    <row r="4250" ht="18.75" customHeight="1">
      <c r="A4250" s="7" t="s">
        <v>971</v>
      </c>
      <c r="B4250" s="9">
        <v>65021.0</v>
      </c>
      <c r="C4250" s="9">
        <v>64335.0</v>
      </c>
      <c r="D4250" s="9">
        <v>11976.0</v>
      </c>
      <c r="E4250" s="9">
        <v>208.0</v>
      </c>
      <c r="F4250" s="14"/>
      <c r="G4250" s="15"/>
      <c r="H4250" s="15"/>
      <c r="I4250" s="14"/>
      <c r="P4250" s="14"/>
    </row>
    <row r="4251" ht="18.75" customHeight="1">
      <c r="A4251" s="7" t="s">
        <v>910</v>
      </c>
      <c r="B4251" s="9">
        <v>406.0</v>
      </c>
      <c r="C4251" s="9">
        <v>394.0</v>
      </c>
      <c r="D4251" s="9">
        <v>257.0</v>
      </c>
      <c r="E4251" s="9">
        <v>4.0</v>
      </c>
      <c r="F4251" s="14"/>
      <c r="G4251" s="15"/>
      <c r="H4251" s="15"/>
      <c r="I4251" s="14"/>
      <c r="P4251" s="14"/>
    </row>
    <row r="4252" ht="18.75" customHeight="1">
      <c r="A4252" s="7" t="s">
        <v>920</v>
      </c>
      <c r="B4252" s="9">
        <v>83.0</v>
      </c>
      <c r="C4252" s="9">
        <v>82.0</v>
      </c>
      <c r="D4252" s="9">
        <v>40.0</v>
      </c>
      <c r="E4252" s="9">
        <v>3.0</v>
      </c>
      <c r="F4252" s="14"/>
      <c r="G4252" s="15"/>
      <c r="H4252" s="15"/>
      <c r="I4252" s="14"/>
      <c r="P4252" s="14"/>
    </row>
    <row r="4253" ht="18.75" customHeight="1">
      <c r="A4253" s="7" t="s">
        <v>969</v>
      </c>
      <c r="B4253" s="9">
        <v>65488.0</v>
      </c>
      <c r="C4253" s="9">
        <v>64584.0</v>
      </c>
      <c r="D4253" s="9">
        <v>10721.0</v>
      </c>
      <c r="E4253" s="9">
        <v>174.0</v>
      </c>
      <c r="F4253" s="14"/>
      <c r="G4253" s="15"/>
      <c r="H4253" s="15"/>
      <c r="I4253" s="14"/>
      <c r="P4253" s="14"/>
    </row>
    <row r="4254" ht="18.75" customHeight="1">
      <c r="A4254" s="7" t="s">
        <v>912</v>
      </c>
      <c r="B4254" s="9">
        <v>161847.0</v>
      </c>
      <c r="C4254" s="9">
        <v>160135.0</v>
      </c>
      <c r="D4254" s="9">
        <v>35171.0</v>
      </c>
      <c r="E4254" s="9">
        <v>394.0</v>
      </c>
      <c r="F4254" s="14"/>
      <c r="G4254" s="15"/>
      <c r="H4254" s="15"/>
      <c r="I4254" s="14"/>
      <c r="P4254" s="14"/>
    </row>
    <row r="4255" ht="18.75" customHeight="1">
      <c r="A4255" s="7" t="s">
        <v>914</v>
      </c>
      <c r="B4255" s="9">
        <v>372.0</v>
      </c>
      <c r="C4255" s="9">
        <v>362.0</v>
      </c>
      <c r="D4255" s="9">
        <v>175.0</v>
      </c>
      <c r="E4255" s="9">
        <v>61.0</v>
      </c>
      <c r="F4255" s="14"/>
      <c r="G4255" s="15"/>
      <c r="H4255" s="15"/>
      <c r="I4255" s="14"/>
      <c r="P4255" s="14"/>
    </row>
    <row r="4256" ht="18.75" customHeight="1">
      <c r="A4256" s="7" t="s">
        <v>898</v>
      </c>
      <c r="B4256" s="9">
        <v>187.0</v>
      </c>
      <c r="C4256" s="9">
        <v>186.0</v>
      </c>
      <c r="D4256" s="9">
        <v>104.0</v>
      </c>
      <c r="E4256" s="9">
        <v>1.0</v>
      </c>
      <c r="F4256" s="14"/>
      <c r="G4256" s="15"/>
      <c r="H4256" s="15"/>
      <c r="I4256" s="14"/>
      <c r="P4256" s="14"/>
    </row>
    <row r="4257" ht="18.75" customHeight="1">
      <c r="A4257" s="7" t="s">
        <v>370</v>
      </c>
      <c r="B4257" s="9">
        <v>234.0</v>
      </c>
      <c r="C4257" s="9">
        <v>232.0</v>
      </c>
      <c r="D4257" s="9">
        <v>86.0</v>
      </c>
      <c r="E4257" s="9">
        <v>10.0</v>
      </c>
      <c r="F4257" s="14"/>
      <c r="G4257" s="15"/>
      <c r="H4257" s="15"/>
      <c r="I4257" s="14"/>
      <c r="P4257" s="14"/>
    </row>
    <row r="4258" ht="18.75" customHeight="1">
      <c r="A4258" s="7" t="s">
        <v>356</v>
      </c>
      <c r="B4258" s="9">
        <v>825.0</v>
      </c>
      <c r="C4258" s="9">
        <v>823.0</v>
      </c>
      <c r="D4258" s="9">
        <v>303.0</v>
      </c>
      <c r="E4258" s="9">
        <v>4.0</v>
      </c>
      <c r="F4258" s="14"/>
      <c r="G4258" s="15"/>
      <c r="H4258" s="15"/>
      <c r="I4258" s="14"/>
      <c r="P4258" s="14"/>
    </row>
    <row r="4259" ht="18.75" customHeight="1">
      <c r="A4259" s="7" t="s">
        <v>955</v>
      </c>
      <c r="B4259" s="9">
        <v>6744.0</v>
      </c>
      <c r="C4259" s="9">
        <v>6680.0</v>
      </c>
      <c r="D4259" s="9">
        <v>1437.0</v>
      </c>
      <c r="E4259" s="9">
        <v>63.0</v>
      </c>
      <c r="F4259" s="14"/>
      <c r="G4259" s="15"/>
      <c r="H4259" s="15"/>
      <c r="I4259" s="14"/>
      <c r="P4259" s="14"/>
    </row>
    <row r="4260" ht="18.75" customHeight="1">
      <c r="A4260" s="7" t="s">
        <v>973</v>
      </c>
      <c r="B4260" s="9">
        <v>79217.0</v>
      </c>
      <c r="C4260" s="9">
        <v>78374.0</v>
      </c>
      <c r="D4260" s="9">
        <v>23872.0</v>
      </c>
      <c r="E4260" s="9">
        <v>331.0</v>
      </c>
      <c r="F4260" s="14"/>
      <c r="G4260" s="15"/>
      <c r="H4260" s="15"/>
      <c r="I4260" s="14"/>
      <c r="P4260" s="14"/>
    </row>
    <row r="4261" ht="18.75" customHeight="1">
      <c r="A4261" s="7" t="s">
        <v>894</v>
      </c>
      <c r="B4261" s="9">
        <v>10.0</v>
      </c>
      <c r="C4261" s="9">
        <v>10.0</v>
      </c>
      <c r="D4261" s="9">
        <v>2.0</v>
      </c>
      <c r="E4261" s="9">
        <v>2.0</v>
      </c>
      <c r="F4261" s="14"/>
      <c r="G4261" s="15"/>
      <c r="H4261" s="15"/>
      <c r="I4261" s="14"/>
      <c r="P4261" s="14"/>
    </row>
    <row r="4262" ht="18.75" customHeight="1">
      <c r="A4262" s="7" t="s">
        <v>2857</v>
      </c>
      <c r="B4262" s="9">
        <v>40551.0</v>
      </c>
      <c r="C4262" s="9">
        <v>39947.0</v>
      </c>
      <c r="D4262" s="9">
        <v>11153.0</v>
      </c>
      <c r="E4262" s="9">
        <v>381.0</v>
      </c>
      <c r="F4262" s="14"/>
      <c r="G4262" s="15"/>
      <c r="H4262" s="15"/>
      <c r="I4262" s="14"/>
      <c r="P4262" s="14"/>
    </row>
    <row r="4263" ht="18.75" customHeight="1">
      <c r="A4263" s="7" t="s">
        <v>963</v>
      </c>
      <c r="B4263" s="9">
        <v>190.0</v>
      </c>
      <c r="C4263" s="9">
        <v>189.0</v>
      </c>
      <c r="D4263" s="9">
        <v>93.0</v>
      </c>
      <c r="E4263" s="9">
        <v>2.0</v>
      </c>
      <c r="F4263" s="14"/>
      <c r="G4263" s="15"/>
      <c r="H4263" s="15"/>
      <c r="I4263" s="14"/>
      <c r="P4263" s="14"/>
    </row>
    <row r="4264" ht="18.75" customHeight="1">
      <c r="A4264" s="7" t="s">
        <v>995</v>
      </c>
      <c r="B4264" s="9">
        <v>21007.0</v>
      </c>
      <c r="C4264" s="9">
        <v>20803.0</v>
      </c>
      <c r="D4264" s="9">
        <v>5332.0</v>
      </c>
      <c r="E4264" s="9">
        <v>73.0</v>
      </c>
      <c r="F4264" s="14"/>
      <c r="G4264" s="15"/>
      <c r="H4264" s="15"/>
      <c r="I4264" s="14"/>
      <c r="P4264" s="14"/>
    </row>
    <row r="4265" ht="18.75" customHeight="1">
      <c r="A4265" s="7" t="s">
        <v>947</v>
      </c>
      <c r="B4265" s="9">
        <v>168.0</v>
      </c>
      <c r="C4265" s="9">
        <v>167.0</v>
      </c>
      <c r="D4265" s="9">
        <v>93.0</v>
      </c>
      <c r="E4265" s="9">
        <v>3.0</v>
      </c>
      <c r="F4265" s="14"/>
      <c r="G4265" s="15"/>
      <c r="H4265" s="15"/>
      <c r="I4265" s="14"/>
      <c r="P4265" s="14"/>
    </row>
    <row r="4266" ht="18.75" customHeight="1">
      <c r="A4266" s="7" t="s">
        <v>713</v>
      </c>
      <c r="B4266" s="9">
        <v>117747.0</v>
      </c>
      <c r="C4266" s="9">
        <v>116365.0</v>
      </c>
      <c r="D4266" s="9">
        <v>19670.0</v>
      </c>
      <c r="E4266" s="9">
        <v>88.0</v>
      </c>
      <c r="F4266" s="14"/>
      <c r="G4266" s="15"/>
      <c r="H4266" s="15"/>
      <c r="I4266" s="14"/>
      <c r="P4266" s="14"/>
    </row>
    <row r="4267" ht="18.75" customHeight="1">
      <c r="A4267" s="7" t="s">
        <v>929</v>
      </c>
      <c r="B4267" s="9">
        <v>31197.0</v>
      </c>
      <c r="C4267" s="9">
        <v>30916.0</v>
      </c>
      <c r="D4267" s="9">
        <v>10327.0</v>
      </c>
      <c r="E4267" s="9">
        <v>159.0</v>
      </c>
      <c r="F4267" s="14"/>
      <c r="G4267" s="15"/>
      <c r="H4267" s="15"/>
      <c r="I4267" s="14"/>
      <c r="P4267" s="14"/>
    </row>
    <row r="4268" ht="18.75" customHeight="1">
      <c r="A4268" s="7" t="s">
        <v>890</v>
      </c>
      <c r="B4268" s="9">
        <v>152.0</v>
      </c>
      <c r="C4268" s="9">
        <v>150.0</v>
      </c>
      <c r="D4268" s="9">
        <v>68.0</v>
      </c>
      <c r="E4268" s="9">
        <v>3.0</v>
      </c>
      <c r="F4268" s="14"/>
      <c r="G4268" s="15"/>
      <c r="H4268" s="15"/>
      <c r="I4268" s="14"/>
      <c r="P4268" s="14"/>
    </row>
    <row r="4269" ht="18.75" customHeight="1">
      <c r="A4269" s="7" t="s">
        <v>987</v>
      </c>
      <c r="B4269" s="9">
        <v>2464.0</v>
      </c>
      <c r="C4269" s="9">
        <v>2439.0</v>
      </c>
      <c r="D4269" s="9">
        <v>914.0</v>
      </c>
      <c r="E4269" s="9">
        <v>25.0</v>
      </c>
      <c r="F4269" s="14"/>
      <c r="G4269" s="15"/>
      <c r="H4269" s="15"/>
      <c r="I4269" s="14"/>
      <c r="P4269" s="14"/>
    </row>
    <row r="4270" ht="18.75" customHeight="1">
      <c r="A4270" s="7" t="s">
        <v>922</v>
      </c>
      <c r="B4270" s="9">
        <v>101.0</v>
      </c>
      <c r="C4270" s="9">
        <v>100.0</v>
      </c>
      <c r="D4270" s="9">
        <v>38.0</v>
      </c>
      <c r="E4270" s="9">
        <v>1.0</v>
      </c>
      <c r="F4270" s="14"/>
      <c r="G4270" s="15"/>
      <c r="H4270" s="15"/>
      <c r="I4270" s="14"/>
      <c r="P4270" s="14"/>
    </row>
    <row r="4271" ht="18.75" customHeight="1">
      <c r="A4271" s="7" t="s">
        <v>981</v>
      </c>
      <c r="B4271" s="9">
        <v>469.0</v>
      </c>
      <c r="C4271" s="9">
        <v>466.0</v>
      </c>
      <c r="D4271" s="9">
        <v>191.0</v>
      </c>
      <c r="E4271" s="9">
        <v>28.0</v>
      </c>
      <c r="F4271" s="14"/>
      <c r="G4271" s="15"/>
      <c r="H4271" s="15"/>
      <c r="I4271" s="14"/>
      <c r="P4271" s="14"/>
    </row>
    <row r="4272" ht="18.75" customHeight="1">
      <c r="A4272" s="7" t="s">
        <v>896</v>
      </c>
      <c r="B4272" s="9">
        <v>177.0</v>
      </c>
      <c r="C4272" s="9">
        <v>176.0</v>
      </c>
      <c r="D4272" s="9">
        <v>79.0</v>
      </c>
      <c r="E4272" s="9">
        <v>1.0</v>
      </c>
      <c r="F4272" s="14"/>
      <c r="G4272" s="15"/>
      <c r="H4272" s="15"/>
      <c r="I4272" s="14"/>
      <c r="P4272" s="14"/>
    </row>
    <row r="4273" ht="18.75" customHeight="1">
      <c r="A4273" s="7" t="s">
        <v>967</v>
      </c>
      <c r="B4273" s="9">
        <v>58713.0</v>
      </c>
      <c r="C4273" s="9">
        <v>57578.0</v>
      </c>
      <c r="D4273" s="9">
        <v>7816.0</v>
      </c>
      <c r="E4273" s="9">
        <v>148.0</v>
      </c>
      <c r="F4273" s="14"/>
      <c r="G4273" s="15"/>
      <c r="H4273" s="15"/>
      <c r="I4273" s="14"/>
      <c r="P4273" s="14"/>
    </row>
    <row r="4274" ht="18.75" customHeight="1">
      <c r="A4274" s="7" t="s">
        <v>945</v>
      </c>
      <c r="B4274" s="9">
        <v>68.0</v>
      </c>
      <c r="C4274" s="9">
        <v>67.0</v>
      </c>
      <c r="D4274" s="9">
        <v>25.0</v>
      </c>
      <c r="E4274" s="9">
        <v>2.0</v>
      </c>
      <c r="F4274" s="14"/>
      <c r="G4274" s="15"/>
      <c r="H4274" s="15"/>
      <c r="I4274" s="14"/>
      <c r="P4274" s="14"/>
    </row>
    <row r="4275" ht="18.75" customHeight="1">
      <c r="A4275" s="7" t="s">
        <v>366</v>
      </c>
      <c r="B4275" s="9">
        <v>435.0</v>
      </c>
      <c r="C4275" s="9">
        <v>430.0</v>
      </c>
      <c r="D4275" s="9">
        <v>124.0</v>
      </c>
      <c r="E4275" s="9">
        <v>7.0</v>
      </c>
      <c r="F4275" s="14"/>
      <c r="G4275" s="15"/>
      <c r="H4275" s="15"/>
      <c r="I4275" s="14"/>
      <c r="P4275" s="14"/>
    </row>
    <row r="4276" ht="18.75" customHeight="1">
      <c r="A4276" s="7" t="s">
        <v>370</v>
      </c>
      <c r="B4276" s="9">
        <v>183.0</v>
      </c>
      <c r="C4276" s="9">
        <v>182.0</v>
      </c>
      <c r="D4276" s="9">
        <v>51.0</v>
      </c>
      <c r="E4276" s="9">
        <v>7.0</v>
      </c>
      <c r="F4276" s="14"/>
      <c r="G4276" s="15"/>
      <c r="H4276" s="15"/>
      <c r="I4276" s="14"/>
      <c r="P4276" s="14"/>
    </row>
    <row r="4277" ht="18.75" customHeight="1">
      <c r="A4277" s="7" t="s">
        <v>951</v>
      </c>
      <c r="B4277" s="9">
        <v>86045.0</v>
      </c>
      <c r="C4277" s="9">
        <v>85145.0</v>
      </c>
      <c r="D4277" s="9">
        <v>18392.0</v>
      </c>
      <c r="E4277" s="9">
        <v>237.0</v>
      </c>
      <c r="F4277" s="14"/>
      <c r="G4277" s="15"/>
      <c r="H4277" s="15"/>
      <c r="I4277" s="14"/>
      <c r="P4277" s="14"/>
    </row>
    <row r="4278" ht="18.75" customHeight="1">
      <c r="A4278" s="7" t="s">
        <v>965</v>
      </c>
      <c r="B4278" s="9">
        <v>32653.0</v>
      </c>
      <c r="C4278" s="9">
        <v>32300.0</v>
      </c>
      <c r="D4278" s="9">
        <v>6248.0</v>
      </c>
      <c r="E4278" s="9">
        <v>130.0</v>
      </c>
      <c r="F4278" s="14"/>
      <c r="G4278" s="15"/>
      <c r="H4278" s="15"/>
      <c r="I4278" s="14"/>
      <c r="P4278" s="14"/>
    </row>
    <row r="4279" ht="18.75" customHeight="1">
      <c r="A4279" s="7" t="s">
        <v>973</v>
      </c>
      <c r="B4279" s="9">
        <v>172.0</v>
      </c>
      <c r="C4279" s="9">
        <v>171.0</v>
      </c>
      <c r="D4279" s="9">
        <v>105.0</v>
      </c>
      <c r="E4279" s="9">
        <v>2.0</v>
      </c>
      <c r="F4279" s="14"/>
      <c r="G4279" s="15"/>
      <c r="H4279" s="15"/>
      <c r="I4279" s="14"/>
      <c r="P4279" s="14"/>
    </row>
    <row r="4280" ht="18.75" customHeight="1">
      <c r="A4280" s="7" t="s">
        <v>971</v>
      </c>
      <c r="B4280" s="9">
        <v>127.0</v>
      </c>
      <c r="C4280" s="9">
        <v>126.0</v>
      </c>
      <c r="D4280" s="9">
        <v>78.0</v>
      </c>
      <c r="E4280" s="9">
        <v>3.0</v>
      </c>
      <c r="F4280" s="14"/>
      <c r="G4280" s="15"/>
      <c r="H4280" s="15"/>
      <c r="I4280" s="14"/>
      <c r="P4280" s="14"/>
    </row>
    <row r="4281" ht="18.75" customHeight="1">
      <c r="A4281" s="7" t="s">
        <v>969</v>
      </c>
      <c r="B4281" s="9">
        <v>122.0</v>
      </c>
      <c r="C4281" s="9">
        <v>121.0</v>
      </c>
      <c r="D4281" s="9">
        <v>69.0</v>
      </c>
      <c r="E4281" s="9">
        <v>1.0</v>
      </c>
      <c r="F4281" s="14"/>
      <c r="G4281" s="15"/>
      <c r="H4281" s="15"/>
      <c r="I4281" s="14"/>
      <c r="P4281" s="14"/>
    </row>
    <row r="4282" ht="18.75" customHeight="1">
      <c r="A4282" s="7" t="s">
        <v>993</v>
      </c>
      <c r="B4282" s="9">
        <v>191928.0</v>
      </c>
      <c r="C4282" s="9">
        <v>191169.0</v>
      </c>
      <c r="D4282" s="9">
        <v>104775.0</v>
      </c>
      <c r="E4282" s="9">
        <v>670.0</v>
      </c>
      <c r="F4282" s="14"/>
      <c r="G4282" s="15"/>
      <c r="H4282" s="15"/>
      <c r="I4282" s="14"/>
      <c r="P4282" s="14"/>
    </row>
    <row r="4283" ht="18.75" customHeight="1">
      <c r="A4283" s="7" t="s">
        <v>967</v>
      </c>
      <c r="B4283" s="9">
        <v>100.0</v>
      </c>
      <c r="C4283" s="9">
        <v>99.0</v>
      </c>
      <c r="D4283" s="9">
        <v>39.0</v>
      </c>
      <c r="E4283" s="9">
        <v>3.0</v>
      </c>
      <c r="F4283" s="14"/>
      <c r="G4283" s="15"/>
      <c r="H4283" s="15"/>
      <c r="I4283" s="14"/>
      <c r="P4283" s="14"/>
    </row>
    <row r="4284" ht="18.75" customHeight="1">
      <c r="A4284" s="7" t="s">
        <v>381</v>
      </c>
      <c r="B4284" s="9">
        <v>93.0</v>
      </c>
      <c r="C4284" s="9">
        <v>92.0</v>
      </c>
      <c r="D4284" s="9">
        <v>27.0</v>
      </c>
      <c r="E4284" s="9">
        <v>5.0</v>
      </c>
      <c r="F4284" s="14"/>
      <c r="G4284" s="15"/>
      <c r="H4284" s="15"/>
      <c r="I4284" s="14"/>
      <c r="P4284" s="14"/>
    </row>
    <row r="4285" ht="18.75" customHeight="1">
      <c r="A4285" s="7" t="s">
        <v>374</v>
      </c>
      <c r="B4285" s="9">
        <v>1828.0</v>
      </c>
      <c r="C4285" s="9">
        <v>1813.0</v>
      </c>
      <c r="D4285" s="9">
        <v>534.0</v>
      </c>
      <c r="E4285" s="9">
        <v>30.0</v>
      </c>
      <c r="F4285" s="14"/>
      <c r="G4285" s="15"/>
      <c r="H4285" s="15"/>
      <c r="I4285" s="14"/>
      <c r="P4285" s="14"/>
    </row>
    <row r="4286" ht="18.75" customHeight="1">
      <c r="A4286" s="7" t="s">
        <v>374</v>
      </c>
      <c r="B4286" s="9">
        <v>1558.0</v>
      </c>
      <c r="C4286" s="9">
        <v>1536.0</v>
      </c>
      <c r="D4286" s="9">
        <v>478.0</v>
      </c>
      <c r="E4286" s="9">
        <v>24.0</v>
      </c>
      <c r="F4286" s="14"/>
      <c r="G4286" s="15"/>
      <c r="H4286" s="15"/>
      <c r="I4286" s="14"/>
      <c r="P4286" s="14"/>
    </row>
    <row r="4287" ht="18.75" customHeight="1">
      <c r="A4287" s="7" t="s">
        <v>961</v>
      </c>
      <c r="B4287" s="9">
        <v>1357.0</v>
      </c>
      <c r="C4287" s="9">
        <v>1357.0</v>
      </c>
      <c r="D4287" s="9">
        <v>961.0</v>
      </c>
      <c r="E4287" s="9">
        <v>3.0</v>
      </c>
      <c r="F4287" s="14"/>
      <c r="G4287" s="15"/>
      <c r="H4287" s="15"/>
      <c r="I4287" s="14"/>
      <c r="P4287" s="14"/>
    </row>
    <row r="4288" ht="18.75" customHeight="1">
      <c r="A4288" s="7" t="s">
        <v>961</v>
      </c>
      <c r="B4288" s="9">
        <v>82.0</v>
      </c>
      <c r="C4288" s="9">
        <v>82.0</v>
      </c>
      <c r="D4288" s="9">
        <v>33.0</v>
      </c>
      <c r="E4288" s="9">
        <v>1.0</v>
      </c>
      <c r="F4288" s="14"/>
      <c r="G4288" s="15"/>
      <c r="H4288" s="15"/>
      <c r="I4288" s="14"/>
      <c r="P4288" s="14"/>
    </row>
    <row r="4289" ht="18.75" customHeight="1">
      <c r="A4289" s="7" t="s">
        <v>951</v>
      </c>
      <c r="B4289" s="9">
        <v>96.0</v>
      </c>
      <c r="C4289" s="9">
        <v>95.0</v>
      </c>
      <c r="D4289" s="9">
        <v>39.0</v>
      </c>
      <c r="E4289" s="9">
        <v>1.0</v>
      </c>
      <c r="F4289" s="14"/>
      <c r="G4289" s="15"/>
      <c r="H4289" s="15"/>
      <c r="I4289" s="14"/>
      <c r="P4289" s="14"/>
    </row>
    <row r="4290" ht="18.75" customHeight="1">
      <c r="A4290" s="7" t="s">
        <v>947</v>
      </c>
      <c r="B4290" s="9">
        <v>167.0</v>
      </c>
      <c r="C4290" s="9">
        <v>166.0</v>
      </c>
      <c r="D4290" s="9">
        <v>96.0</v>
      </c>
      <c r="E4290" s="9">
        <v>2.0</v>
      </c>
      <c r="F4290" s="14"/>
      <c r="G4290" s="15"/>
      <c r="H4290" s="15"/>
      <c r="I4290" s="14"/>
      <c r="P4290" s="14"/>
    </row>
    <row r="4291" ht="18.75" customHeight="1">
      <c r="A4291" s="7" t="s">
        <v>979</v>
      </c>
      <c r="B4291" s="9">
        <v>192906.0</v>
      </c>
      <c r="C4291" s="9">
        <v>190348.0</v>
      </c>
      <c r="D4291" s="9">
        <v>57816.0</v>
      </c>
      <c r="E4291" s="9">
        <v>719.0</v>
      </c>
      <c r="F4291" s="14"/>
      <c r="G4291" s="15"/>
      <c r="H4291" s="15"/>
      <c r="I4291" s="14"/>
      <c r="P4291" s="14"/>
    </row>
    <row r="4292" ht="18.75" customHeight="1">
      <c r="A4292" s="7" t="s">
        <v>1015</v>
      </c>
      <c r="B4292" s="9">
        <v>24980.0</v>
      </c>
      <c r="C4292" s="9">
        <v>24618.0</v>
      </c>
      <c r="D4292" s="9">
        <v>5208.0</v>
      </c>
      <c r="E4292" s="9">
        <v>155.0</v>
      </c>
      <c r="F4292" s="14"/>
      <c r="G4292" s="15"/>
      <c r="H4292" s="15"/>
      <c r="I4292" s="14"/>
      <c r="P4292" s="14"/>
    </row>
    <row r="4293" ht="18.75" customHeight="1">
      <c r="A4293" s="7" t="s">
        <v>1023</v>
      </c>
      <c r="B4293" s="9">
        <v>75246.0</v>
      </c>
      <c r="C4293" s="9">
        <v>74364.0</v>
      </c>
      <c r="D4293" s="9">
        <v>14011.0</v>
      </c>
      <c r="E4293" s="9">
        <v>216.0</v>
      </c>
      <c r="F4293" s="14"/>
      <c r="G4293" s="15"/>
      <c r="H4293" s="15"/>
      <c r="I4293" s="14"/>
      <c r="P4293" s="14"/>
    </row>
    <row r="4294" ht="18.75" customHeight="1">
      <c r="A4294" s="7" t="s">
        <v>987</v>
      </c>
      <c r="B4294" s="9">
        <v>65.0</v>
      </c>
      <c r="C4294" s="9">
        <v>64.0</v>
      </c>
      <c r="D4294" s="9">
        <v>27.0</v>
      </c>
      <c r="E4294" s="9">
        <v>1.0</v>
      </c>
      <c r="F4294" s="14"/>
      <c r="G4294" s="15"/>
      <c r="H4294" s="15"/>
      <c r="I4294" s="14"/>
      <c r="P4294" s="14"/>
    </row>
    <row r="4295" ht="18.75" customHeight="1">
      <c r="A4295" s="7" t="s">
        <v>1017</v>
      </c>
      <c r="B4295" s="9">
        <v>85953.0</v>
      </c>
      <c r="C4295" s="9">
        <v>85074.0</v>
      </c>
      <c r="D4295" s="9">
        <v>21347.0</v>
      </c>
      <c r="E4295" s="9">
        <v>247.0</v>
      </c>
      <c r="F4295" s="14"/>
      <c r="G4295" s="15"/>
      <c r="H4295" s="15"/>
      <c r="I4295" s="14"/>
      <c r="P4295" s="14"/>
    </row>
    <row r="4296" ht="18.75" customHeight="1">
      <c r="A4296" s="7" t="s">
        <v>872</v>
      </c>
      <c r="B4296" s="9">
        <v>56998.0</v>
      </c>
      <c r="C4296" s="9">
        <v>56066.0</v>
      </c>
      <c r="D4296" s="9">
        <v>16825.0</v>
      </c>
      <c r="E4296" s="9">
        <v>730.0</v>
      </c>
      <c r="F4296" s="14"/>
      <c r="G4296" s="15"/>
      <c r="H4296" s="15"/>
      <c r="I4296" s="14"/>
      <c r="P4296" s="14"/>
    </row>
    <row r="4297" ht="18.75" customHeight="1">
      <c r="A4297" s="7" t="s">
        <v>1011</v>
      </c>
      <c r="B4297" s="9">
        <v>67238.0</v>
      </c>
      <c r="C4297" s="9">
        <v>66462.0</v>
      </c>
      <c r="D4297" s="9">
        <v>9740.0</v>
      </c>
      <c r="E4297" s="9">
        <v>246.0</v>
      </c>
      <c r="F4297" s="14"/>
      <c r="G4297" s="15"/>
      <c r="H4297" s="15"/>
      <c r="I4297" s="14"/>
      <c r="P4297" s="14"/>
    </row>
    <row r="4298" ht="18.75" customHeight="1">
      <c r="A4298" s="7" t="s">
        <v>1021</v>
      </c>
      <c r="B4298" s="9">
        <v>78045.0</v>
      </c>
      <c r="C4298" s="9">
        <v>77147.0</v>
      </c>
      <c r="D4298" s="9">
        <v>21529.0</v>
      </c>
      <c r="E4298" s="9">
        <v>254.0</v>
      </c>
      <c r="F4298" s="14"/>
      <c r="G4298" s="15"/>
      <c r="H4298" s="15"/>
      <c r="I4298" s="14"/>
      <c r="P4298" s="14"/>
    </row>
    <row r="4299" ht="18.75" customHeight="1">
      <c r="A4299" s="7" t="s">
        <v>955</v>
      </c>
      <c r="B4299" s="9">
        <v>96.0</v>
      </c>
      <c r="C4299" s="9">
        <v>95.0</v>
      </c>
      <c r="D4299" s="9">
        <v>41.0</v>
      </c>
      <c r="E4299" s="9">
        <v>1.0</v>
      </c>
      <c r="F4299" s="14"/>
      <c r="G4299" s="15"/>
      <c r="H4299" s="15"/>
      <c r="I4299" s="14"/>
      <c r="P4299" s="14"/>
    </row>
    <row r="4300" ht="18.75" customHeight="1">
      <c r="A4300" s="7" t="s">
        <v>1013</v>
      </c>
      <c r="B4300" s="9">
        <v>20438.0</v>
      </c>
      <c r="C4300" s="9">
        <v>20239.0</v>
      </c>
      <c r="D4300" s="9">
        <v>4500.0</v>
      </c>
      <c r="E4300" s="9">
        <v>143.0</v>
      </c>
      <c r="F4300" s="14"/>
      <c r="G4300" s="15"/>
      <c r="H4300" s="15"/>
      <c r="I4300" s="14"/>
      <c r="P4300" s="14"/>
    </row>
    <row r="4301" ht="18.75" customHeight="1">
      <c r="A4301" s="7" t="s">
        <v>1013</v>
      </c>
      <c r="B4301" s="9">
        <v>11021.0</v>
      </c>
      <c r="C4301" s="9">
        <v>11008.0</v>
      </c>
      <c r="D4301" s="9">
        <v>5278.0</v>
      </c>
      <c r="E4301" s="9">
        <v>47.0</v>
      </c>
      <c r="F4301" s="14"/>
      <c r="G4301" s="15"/>
      <c r="H4301" s="15"/>
      <c r="I4301" s="14"/>
      <c r="P4301" s="14"/>
    </row>
    <row r="4302" ht="18.75" customHeight="1">
      <c r="A4302" s="7" t="s">
        <v>1019</v>
      </c>
      <c r="B4302" s="9">
        <v>89917.0</v>
      </c>
      <c r="C4302" s="9">
        <v>89055.0</v>
      </c>
      <c r="D4302" s="9">
        <v>31626.0</v>
      </c>
      <c r="E4302" s="9">
        <v>362.0</v>
      </c>
      <c r="F4302" s="14"/>
      <c r="G4302" s="15"/>
      <c r="H4302" s="15"/>
      <c r="I4302" s="14"/>
      <c r="P4302" s="14"/>
    </row>
    <row r="4303" ht="18.75" customHeight="1">
      <c r="A4303" s="7" t="s">
        <v>1035</v>
      </c>
      <c r="B4303" s="9">
        <v>10506.0</v>
      </c>
      <c r="C4303" s="9">
        <v>10373.0</v>
      </c>
      <c r="D4303" s="9">
        <v>1646.0</v>
      </c>
      <c r="E4303" s="9">
        <v>95.0</v>
      </c>
      <c r="F4303" s="14"/>
      <c r="G4303" s="15"/>
      <c r="H4303" s="15"/>
      <c r="I4303" s="14"/>
      <c r="P4303" s="14"/>
    </row>
    <row r="4304" ht="18.75" customHeight="1">
      <c r="A4304" s="7" t="s">
        <v>971</v>
      </c>
      <c r="B4304" s="9">
        <v>127.0</v>
      </c>
      <c r="C4304" s="9">
        <v>126.0</v>
      </c>
      <c r="D4304" s="9">
        <v>54.0</v>
      </c>
      <c r="E4304" s="9">
        <v>1.0</v>
      </c>
      <c r="F4304" s="14"/>
      <c r="G4304" s="15"/>
      <c r="H4304" s="15"/>
      <c r="I4304" s="14"/>
      <c r="P4304" s="14"/>
    </row>
    <row r="4305" ht="18.75" customHeight="1">
      <c r="A4305" s="7" t="s">
        <v>1037</v>
      </c>
      <c r="B4305" s="9">
        <v>16850.0</v>
      </c>
      <c r="C4305" s="9">
        <v>16640.0</v>
      </c>
      <c r="D4305" s="9">
        <v>1844.0</v>
      </c>
      <c r="E4305" s="9">
        <v>45.0</v>
      </c>
      <c r="F4305" s="14"/>
      <c r="G4305" s="15"/>
      <c r="H4305" s="15"/>
      <c r="I4305" s="14"/>
      <c r="P4305" s="14"/>
    </row>
    <row r="4306" ht="18.75" customHeight="1">
      <c r="A4306" s="7" t="s">
        <v>1037</v>
      </c>
      <c r="B4306" s="9">
        <v>45086.0</v>
      </c>
      <c r="C4306" s="9">
        <v>44504.0</v>
      </c>
      <c r="D4306" s="9">
        <v>5396.0</v>
      </c>
      <c r="E4306" s="9">
        <v>94.0</v>
      </c>
      <c r="F4306" s="14"/>
      <c r="G4306" s="15"/>
      <c r="H4306" s="15"/>
      <c r="I4306" s="14"/>
      <c r="P4306" s="14"/>
    </row>
    <row r="4307" ht="18.75" customHeight="1">
      <c r="A4307" s="7" t="s">
        <v>1037</v>
      </c>
      <c r="B4307" s="9">
        <v>2879.0</v>
      </c>
      <c r="C4307" s="9">
        <v>2850.0</v>
      </c>
      <c r="D4307" s="9">
        <v>661.0</v>
      </c>
      <c r="E4307" s="9">
        <v>60.0</v>
      </c>
      <c r="F4307" s="14"/>
      <c r="G4307" s="15"/>
      <c r="H4307" s="15"/>
      <c r="I4307" s="14"/>
      <c r="P4307" s="14"/>
    </row>
    <row r="4308" ht="18.75" customHeight="1">
      <c r="A4308" s="7" t="s">
        <v>1029</v>
      </c>
      <c r="B4308" s="9">
        <v>13396.0</v>
      </c>
      <c r="C4308" s="9">
        <v>13250.0</v>
      </c>
      <c r="D4308" s="9">
        <v>5034.0</v>
      </c>
      <c r="E4308" s="9">
        <v>494.0</v>
      </c>
      <c r="F4308" s="14"/>
      <c r="G4308" s="15"/>
      <c r="H4308" s="15"/>
      <c r="I4308" s="14"/>
      <c r="P4308" s="14"/>
    </row>
    <row r="4309" ht="18.75" customHeight="1">
      <c r="A4309" s="7" t="s">
        <v>912</v>
      </c>
      <c r="B4309" s="9">
        <v>16984.0</v>
      </c>
      <c r="C4309" s="9">
        <v>16718.0</v>
      </c>
      <c r="D4309" s="9">
        <v>4177.0</v>
      </c>
      <c r="E4309" s="9">
        <v>151.0</v>
      </c>
      <c r="F4309" s="14"/>
      <c r="G4309" s="15"/>
      <c r="H4309" s="15"/>
      <c r="I4309" s="14"/>
      <c r="P4309" s="14"/>
    </row>
    <row r="4310" ht="18.75" customHeight="1">
      <c r="A4310" s="7" t="s">
        <v>969</v>
      </c>
      <c r="B4310" s="9">
        <v>122.0</v>
      </c>
      <c r="C4310" s="9">
        <v>121.0</v>
      </c>
      <c r="D4310" s="9">
        <v>51.0</v>
      </c>
      <c r="E4310" s="9">
        <v>1.0</v>
      </c>
      <c r="F4310" s="14"/>
      <c r="G4310" s="15"/>
      <c r="H4310" s="15"/>
      <c r="I4310" s="14"/>
      <c r="P4310" s="14"/>
    </row>
    <row r="4311" ht="18.75" customHeight="1">
      <c r="A4311" s="7" t="s">
        <v>1025</v>
      </c>
      <c r="B4311" s="9">
        <v>72618.0</v>
      </c>
      <c r="C4311" s="9">
        <v>71889.0</v>
      </c>
      <c r="D4311" s="9">
        <v>14347.0</v>
      </c>
      <c r="E4311" s="9">
        <v>368.0</v>
      </c>
      <c r="F4311" s="14"/>
      <c r="G4311" s="15"/>
      <c r="H4311" s="15"/>
      <c r="I4311" s="14"/>
      <c r="P4311" s="14"/>
    </row>
    <row r="4312" ht="18.75" customHeight="1">
      <c r="A4312" s="7" t="s">
        <v>360</v>
      </c>
      <c r="B4312" s="9">
        <v>20039.0</v>
      </c>
      <c r="C4312" s="9">
        <v>19815.0</v>
      </c>
      <c r="D4312" s="9">
        <v>5710.0</v>
      </c>
      <c r="E4312" s="9">
        <v>57.0</v>
      </c>
      <c r="F4312" s="14"/>
      <c r="G4312" s="15"/>
      <c r="H4312" s="15"/>
      <c r="I4312" s="14"/>
      <c r="P4312" s="14"/>
    </row>
    <row r="4313" ht="18.75" customHeight="1">
      <c r="A4313" s="7" t="s">
        <v>356</v>
      </c>
      <c r="B4313" s="9">
        <v>55.0</v>
      </c>
      <c r="C4313" s="9">
        <v>55.0</v>
      </c>
      <c r="D4313" s="9">
        <v>18.0</v>
      </c>
      <c r="E4313" s="9">
        <v>2.0</v>
      </c>
      <c r="F4313" s="14"/>
      <c r="G4313" s="15"/>
      <c r="H4313" s="15"/>
      <c r="I4313" s="14"/>
      <c r="P4313" s="14"/>
    </row>
    <row r="4314" ht="18.75" customHeight="1">
      <c r="A4314" s="7" t="s">
        <v>372</v>
      </c>
      <c r="B4314" s="9">
        <v>120065.0</v>
      </c>
      <c r="C4314" s="9">
        <v>118757.0</v>
      </c>
      <c r="D4314" s="9">
        <v>34075.0</v>
      </c>
      <c r="E4314" s="9">
        <v>166.0</v>
      </c>
      <c r="F4314" s="14"/>
      <c r="G4314" s="15"/>
      <c r="H4314" s="15"/>
      <c r="I4314" s="14"/>
      <c r="P4314" s="14"/>
    </row>
    <row r="4315" ht="18.75" customHeight="1">
      <c r="A4315" s="7" t="s">
        <v>368</v>
      </c>
      <c r="B4315" s="9">
        <v>78.0</v>
      </c>
      <c r="C4315" s="9">
        <v>78.0</v>
      </c>
      <c r="D4315" s="9">
        <v>25.0</v>
      </c>
      <c r="E4315" s="9">
        <v>6.0</v>
      </c>
      <c r="F4315" s="14"/>
      <c r="G4315" s="15"/>
      <c r="H4315" s="15"/>
      <c r="I4315" s="14"/>
      <c r="P4315" s="14"/>
    </row>
    <row r="4316" ht="18.75" customHeight="1">
      <c r="A4316" s="7" t="s">
        <v>366</v>
      </c>
      <c r="B4316" s="9">
        <v>542.0</v>
      </c>
      <c r="C4316" s="9">
        <v>536.0</v>
      </c>
      <c r="D4316" s="9">
        <v>165.0</v>
      </c>
      <c r="E4316" s="9">
        <v>18.0</v>
      </c>
      <c r="F4316" s="14"/>
      <c r="G4316" s="15"/>
      <c r="H4316" s="15"/>
      <c r="I4316" s="14"/>
      <c r="P4316" s="14"/>
    </row>
    <row r="4317" ht="18.75" customHeight="1">
      <c r="A4317" s="7" t="s">
        <v>1009</v>
      </c>
      <c r="B4317" s="9">
        <v>310.0</v>
      </c>
      <c r="C4317" s="9">
        <v>303.0</v>
      </c>
      <c r="D4317" s="9">
        <v>107.0</v>
      </c>
      <c r="E4317" s="9">
        <v>8.0</v>
      </c>
      <c r="F4317" s="14"/>
      <c r="G4317" s="15"/>
      <c r="H4317" s="15"/>
      <c r="I4317" s="14"/>
      <c r="P4317" s="14"/>
    </row>
    <row r="4318" ht="18.75" customHeight="1">
      <c r="A4318" s="7" t="s">
        <v>366</v>
      </c>
      <c r="B4318" s="9">
        <v>628.0</v>
      </c>
      <c r="C4318" s="9">
        <v>621.0</v>
      </c>
      <c r="D4318" s="9">
        <v>178.0</v>
      </c>
      <c r="E4318" s="9">
        <v>8.0</v>
      </c>
      <c r="F4318" s="14"/>
      <c r="G4318" s="15"/>
      <c r="H4318" s="15"/>
      <c r="I4318" s="14"/>
      <c r="P4318" s="14"/>
    </row>
    <row r="4319" ht="18.75" customHeight="1">
      <c r="A4319" s="7" t="s">
        <v>1043</v>
      </c>
      <c r="B4319" s="9">
        <v>446.0</v>
      </c>
      <c r="C4319" s="9">
        <v>445.0</v>
      </c>
      <c r="D4319" s="9">
        <v>144.0</v>
      </c>
      <c r="E4319" s="9">
        <v>2.0</v>
      </c>
      <c r="F4319" s="14"/>
      <c r="G4319" s="15"/>
      <c r="H4319" s="15"/>
      <c r="I4319" s="14"/>
      <c r="P4319" s="14"/>
    </row>
    <row r="4320" ht="18.75" customHeight="1">
      <c r="A4320" s="7" t="s">
        <v>1043</v>
      </c>
      <c r="B4320" s="9">
        <v>296.0</v>
      </c>
      <c r="C4320" s="9">
        <v>295.0</v>
      </c>
      <c r="D4320" s="9">
        <v>112.0</v>
      </c>
      <c r="E4320" s="9">
        <v>6.0</v>
      </c>
      <c r="F4320" s="14"/>
      <c r="G4320" s="15"/>
      <c r="H4320" s="15"/>
      <c r="I4320" s="14"/>
      <c r="P4320" s="14"/>
    </row>
    <row r="4321" ht="18.75" customHeight="1">
      <c r="A4321" s="7" t="s">
        <v>754</v>
      </c>
      <c r="B4321" s="9">
        <v>189329.0</v>
      </c>
      <c r="C4321" s="9">
        <v>186575.0</v>
      </c>
      <c r="D4321" s="9">
        <v>50991.0</v>
      </c>
      <c r="E4321" s="9">
        <v>1234.0</v>
      </c>
      <c r="F4321" s="14"/>
      <c r="G4321" s="15"/>
      <c r="H4321" s="15"/>
      <c r="I4321" s="14"/>
      <c r="P4321" s="14"/>
    </row>
    <row r="4322" ht="18.75" customHeight="1">
      <c r="A4322" s="7" t="s">
        <v>955</v>
      </c>
      <c r="B4322" s="9">
        <v>90.0</v>
      </c>
      <c r="C4322" s="9">
        <v>89.0</v>
      </c>
      <c r="D4322" s="9">
        <v>37.0</v>
      </c>
      <c r="E4322" s="9">
        <v>1.0</v>
      </c>
      <c r="F4322" s="14"/>
      <c r="G4322" s="15"/>
      <c r="H4322" s="15"/>
      <c r="I4322" s="14"/>
      <c r="P4322" s="14"/>
    </row>
    <row r="4323" ht="18.75" customHeight="1">
      <c r="A4323" s="7" t="s">
        <v>1033</v>
      </c>
      <c r="B4323" s="9">
        <v>17667.0</v>
      </c>
      <c r="C4323" s="9">
        <v>17498.0</v>
      </c>
      <c r="D4323" s="9">
        <v>2578.0</v>
      </c>
      <c r="E4323" s="9">
        <v>117.0</v>
      </c>
      <c r="F4323" s="14"/>
      <c r="G4323" s="15"/>
      <c r="H4323" s="15"/>
      <c r="I4323" s="14"/>
      <c r="P4323" s="14"/>
    </row>
    <row r="4324" ht="18.75" customHeight="1">
      <c r="A4324" s="7" t="s">
        <v>999</v>
      </c>
      <c r="B4324" s="9">
        <v>50512.0</v>
      </c>
      <c r="C4324" s="9">
        <v>49840.0</v>
      </c>
      <c r="D4324" s="9">
        <v>11444.0</v>
      </c>
      <c r="E4324" s="9">
        <v>282.0</v>
      </c>
      <c r="F4324" s="14"/>
      <c r="G4324" s="15"/>
      <c r="H4324" s="15"/>
      <c r="I4324" s="14"/>
      <c r="P4324" s="14"/>
    </row>
    <row r="4325" ht="18.75" customHeight="1">
      <c r="A4325" s="7" t="s">
        <v>1003</v>
      </c>
      <c r="B4325" s="9">
        <v>38772.0</v>
      </c>
      <c r="C4325" s="9">
        <v>38537.0</v>
      </c>
      <c r="D4325" s="9">
        <v>20861.0</v>
      </c>
      <c r="E4325" s="9">
        <v>332.0</v>
      </c>
      <c r="F4325" s="14"/>
      <c r="G4325" s="15"/>
      <c r="H4325" s="15"/>
      <c r="I4325" s="14"/>
      <c r="P4325" s="14"/>
    </row>
    <row r="4326" ht="18.75" customHeight="1">
      <c r="A4326" s="7" t="s">
        <v>761</v>
      </c>
      <c r="B4326" s="9">
        <v>137577.0</v>
      </c>
      <c r="C4326" s="9">
        <v>136292.0</v>
      </c>
      <c r="D4326" s="9">
        <v>53797.0</v>
      </c>
      <c r="E4326" s="9">
        <v>751.0</v>
      </c>
      <c r="F4326" s="14"/>
      <c r="G4326" s="15"/>
      <c r="H4326" s="15"/>
      <c r="I4326" s="14"/>
      <c r="P4326" s="14"/>
    </row>
    <row r="4327" ht="18.75" customHeight="1">
      <c r="A4327" s="7" t="s">
        <v>987</v>
      </c>
      <c r="B4327" s="9">
        <v>54.0</v>
      </c>
      <c r="C4327" s="9">
        <v>53.0</v>
      </c>
      <c r="D4327" s="9">
        <v>20.0</v>
      </c>
      <c r="E4327" s="9">
        <v>2.0</v>
      </c>
      <c r="F4327" s="14"/>
      <c r="G4327" s="15"/>
      <c r="H4327" s="15"/>
      <c r="I4327" s="14"/>
      <c r="P4327" s="14"/>
    </row>
    <row r="4328" ht="18.75" customHeight="1">
      <c r="A4328" s="7" t="s">
        <v>985</v>
      </c>
      <c r="B4328" s="9">
        <v>260828.0</v>
      </c>
      <c r="C4328" s="9">
        <v>258018.0</v>
      </c>
      <c r="D4328" s="9">
        <v>58223.0</v>
      </c>
      <c r="E4328" s="9">
        <v>627.0</v>
      </c>
      <c r="F4328" s="14"/>
      <c r="G4328" s="15"/>
      <c r="H4328" s="15"/>
      <c r="I4328" s="14"/>
      <c r="P4328" s="14"/>
    </row>
    <row r="4329" ht="18.75" customHeight="1">
      <c r="A4329" s="7" t="s">
        <v>985</v>
      </c>
      <c r="B4329" s="9">
        <v>81463.0</v>
      </c>
      <c r="C4329" s="9">
        <v>81061.0</v>
      </c>
      <c r="D4329" s="9">
        <v>24188.0</v>
      </c>
      <c r="E4329" s="9">
        <v>182.0</v>
      </c>
      <c r="F4329" s="14"/>
      <c r="G4329" s="15"/>
      <c r="H4329" s="15"/>
      <c r="I4329" s="14"/>
      <c r="P4329" s="14"/>
    </row>
    <row r="4330" ht="18.75" customHeight="1">
      <c r="A4330" s="7" t="s">
        <v>967</v>
      </c>
      <c r="B4330" s="9">
        <v>101.0</v>
      </c>
      <c r="C4330" s="9">
        <v>100.0</v>
      </c>
      <c r="D4330" s="9">
        <v>30.0</v>
      </c>
      <c r="E4330" s="9">
        <v>0.0</v>
      </c>
      <c r="F4330" s="14"/>
      <c r="G4330" s="15"/>
      <c r="H4330" s="15"/>
      <c r="I4330" s="14"/>
      <c r="P4330" s="14"/>
    </row>
    <row r="4331" ht="18.75" customHeight="1">
      <c r="A4331" s="7" t="s">
        <v>1055</v>
      </c>
      <c r="B4331" s="9">
        <v>189496.0</v>
      </c>
      <c r="C4331" s="9">
        <v>188344.0</v>
      </c>
      <c r="D4331" s="9">
        <v>61271.0</v>
      </c>
      <c r="E4331" s="9">
        <v>84.0</v>
      </c>
      <c r="F4331" s="14"/>
      <c r="G4331" s="15"/>
      <c r="H4331" s="15"/>
      <c r="I4331" s="14"/>
      <c r="P4331" s="14"/>
    </row>
    <row r="4332" ht="18.75" customHeight="1">
      <c r="A4332" s="7" t="s">
        <v>951</v>
      </c>
      <c r="B4332" s="9">
        <v>152.0</v>
      </c>
      <c r="C4332" s="9">
        <v>151.0</v>
      </c>
      <c r="D4332" s="9">
        <v>73.0</v>
      </c>
      <c r="E4332" s="9">
        <v>1.0</v>
      </c>
      <c r="F4332" s="14"/>
      <c r="G4332" s="15"/>
      <c r="H4332" s="15"/>
      <c r="I4332" s="14"/>
      <c r="P4332" s="14"/>
    </row>
    <row r="4333" ht="18.75" customHeight="1">
      <c r="A4333" s="7" t="s">
        <v>1033</v>
      </c>
      <c r="B4333" s="9">
        <v>147.0</v>
      </c>
      <c r="C4333" s="9">
        <v>146.0</v>
      </c>
      <c r="D4333" s="9">
        <v>70.0</v>
      </c>
      <c r="E4333" s="9">
        <v>3.0</v>
      </c>
      <c r="F4333" s="14"/>
      <c r="G4333" s="15"/>
      <c r="H4333" s="15"/>
      <c r="I4333" s="14"/>
      <c r="P4333" s="14"/>
    </row>
    <row r="4334" ht="18.75" customHeight="1">
      <c r="A4334" s="7" t="s">
        <v>1037</v>
      </c>
      <c r="B4334" s="9">
        <v>56657.0</v>
      </c>
      <c r="C4334" s="9">
        <v>55842.0</v>
      </c>
      <c r="D4334" s="9">
        <v>2681.0</v>
      </c>
      <c r="E4334" s="9">
        <v>146.0</v>
      </c>
      <c r="F4334" s="14"/>
      <c r="G4334" s="15"/>
      <c r="H4334" s="15"/>
      <c r="I4334" s="14"/>
      <c r="P4334" s="14"/>
    </row>
    <row r="4335" ht="18.75" customHeight="1">
      <c r="A4335" s="7" t="s">
        <v>1035</v>
      </c>
      <c r="B4335" s="9">
        <v>134.0</v>
      </c>
      <c r="C4335" s="9">
        <v>134.0</v>
      </c>
      <c r="D4335" s="9">
        <v>72.0</v>
      </c>
      <c r="E4335" s="9">
        <v>1.0</v>
      </c>
      <c r="F4335" s="14"/>
      <c r="G4335" s="15"/>
      <c r="H4335" s="15"/>
      <c r="I4335" s="14"/>
      <c r="P4335" s="14"/>
    </row>
    <row r="4336" ht="18.75" customHeight="1">
      <c r="A4336" s="7" t="s">
        <v>1015</v>
      </c>
      <c r="B4336" s="9">
        <v>120.0</v>
      </c>
      <c r="C4336" s="9">
        <v>119.0</v>
      </c>
      <c r="D4336" s="9">
        <v>68.0</v>
      </c>
      <c r="E4336" s="9">
        <v>2.0</v>
      </c>
      <c r="F4336" s="14"/>
      <c r="G4336" s="15"/>
      <c r="H4336" s="15"/>
      <c r="I4336" s="14"/>
      <c r="P4336" s="14"/>
    </row>
    <row r="4337" ht="18.75" customHeight="1">
      <c r="A4337" s="7" t="s">
        <v>1025</v>
      </c>
      <c r="B4337" s="9">
        <v>241.0</v>
      </c>
      <c r="C4337" s="9">
        <v>239.0</v>
      </c>
      <c r="D4337" s="9">
        <v>141.0</v>
      </c>
      <c r="E4337" s="9">
        <v>5.0</v>
      </c>
      <c r="F4337" s="14"/>
      <c r="G4337" s="15"/>
      <c r="H4337" s="15"/>
      <c r="I4337" s="14"/>
      <c r="P4337" s="14"/>
    </row>
    <row r="4338" ht="18.75" customHeight="1">
      <c r="A4338" s="7" t="s">
        <v>1011</v>
      </c>
      <c r="B4338" s="9">
        <v>141.0</v>
      </c>
      <c r="C4338" s="9">
        <v>140.0</v>
      </c>
      <c r="D4338" s="9">
        <v>82.0</v>
      </c>
      <c r="E4338" s="9">
        <v>6.0</v>
      </c>
      <c r="F4338" s="14"/>
      <c r="G4338" s="15"/>
      <c r="H4338" s="15"/>
      <c r="I4338" s="14"/>
      <c r="P4338" s="14"/>
    </row>
    <row r="4339" ht="18.75" customHeight="1">
      <c r="A4339" s="7" t="s">
        <v>1019</v>
      </c>
      <c r="B4339" s="9">
        <v>210.0</v>
      </c>
      <c r="C4339" s="9">
        <v>209.0</v>
      </c>
      <c r="D4339" s="9">
        <v>151.0</v>
      </c>
      <c r="E4339" s="9">
        <v>1.0</v>
      </c>
      <c r="F4339" s="14"/>
      <c r="G4339" s="15"/>
      <c r="H4339" s="15"/>
      <c r="I4339" s="14"/>
      <c r="P4339" s="14"/>
    </row>
    <row r="4340" ht="18.75" customHeight="1">
      <c r="A4340" s="7" t="s">
        <v>1023</v>
      </c>
      <c r="B4340" s="9">
        <v>148.0</v>
      </c>
      <c r="C4340" s="9">
        <v>147.0</v>
      </c>
      <c r="D4340" s="9">
        <v>94.0</v>
      </c>
      <c r="E4340" s="9">
        <v>1.0</v>
      </c>
      <c r="F4340" s="14"/>
      <c r="G4340" s="15"/>
      <c r="H4340" s="15"/>
      <c r="I4340" s="14"/>
      <c r="P4340" s="14"/>
    </row>
    <row r="4341" ht="18.75" customHeight="1">
      <c r="A4341" s="7" t="s">
        <v>1037</v>
      </c>
      <c r="B4341" s="9">
        <v>527.0</v>
      </c>
      <c r="C4341" s="9">
        <v>505.0</v>
      </c>
      <c r="D4341" s="9">
        <v>295.0</v>
      </c>
      <c r="E4341" s="9">
        <v>5.0</v>
      </c>
      <c r="F4341" s="14"/>
      <c r="G4341" s="15"/>
      <c r="H4341" s="15"/>
      <c r="I4341" s="14"/>
      <c r="P4341" s="14"/>
    </row>
    <row r="4342" ht="18.75" customHeight="1">
      <c r="A4342" s="7" t="s">
        <v>385</v>
      </c>
      <c r="B4342" s="9">
        <v>29784.0</v>
      </c>
      <c r="C4342" s="9">
        <v>29420.0</v>
      </c>
      <c r="D4342" s="9">
        <v>10857.0</v>
      </c>
      <c r="E4342" s="9">
        <v>188.0</v>
      </c>
      <c r="F4342" s="14"/>
      <c r="G4342" s="15"/>
      <c r="H4342" s="15"/>
      <c r="I4342" s="14"/>
      <c r="P4342" s="14"/>
    </row>
    <row r="4343" ht="18.75" customHeight="1">
      <c r="A4343" s="7" t="s">
        <v>1029</v>
      </c>
      <c r="B4343" s="9">
        <v>615.0</v>
      </c>
      <c r="C4343" s="9">
        <v>613.0</v>
      </c>
      <c r="D4343" s="9">
        <v>465.0</v>
      </c>
      <c r="E4343" s="9">
        <v>89.0</v>
      </c>
      <c r="F4343" s="14"/>
      <c r="G4343" s="15"/>
      <c r="H4343" s="15"/>
      <c r="I4343" s="14"/>
      <c r="P4343" s="14"/>
    </row>
    <row r="4344" ht="18.75" customHeight="1">
      <c r="A4344" s="7" t="s">
        <v>1017</v>
      </c>
      <c r="B4344" s="9">
        <v>172.0</v>
      </c>
      <c r="C4344" s="9">
        <v>171.0</v>
      </c>
      <c r="D4344" s="9">
        <v>109.0</v>
      </c>
      <c r="E4344" s="9">
        <v>3.0</v>
      </c>
      <c r="F4344" s="14"/>
      <c r="G4344" s="15"/>
      <c r="H4344" s="15"/>
      <c r="I4344" s="14"/>
      <c r="P4344" s="14"/>
    </row>
    <row r="4345" ht="18.75" customHeight="1">
      <c r="A4345" s="7" t="s">
        <v>3752</v>
      </c>
      <c r="B4345" s="9">
        <v>17663.0</v>
      </c>
      <c r="C4345" s="9">
        <v>17413.0</v>
      </c>
      <c r="D4345" s="9">
        <v>2918.0</v>
      </c>
      <c r="E4345" s="9">
        <v>85.0</v>
      </c>
      <c r="F4345" s="14"/>
      <c r="G4345" s="15"/>
      <c r="H4345" s="15"/>
      <c r="I4345" s="14"/>
      <c r="P4345" s="14"/>
    </row>
    <row r="4346" ht="18.75" customHeight="1">
      <c r="A4346" s="7" t="s">
        <v>993</v>
      </c>
      <c r="B4346" s="9">
        <v>166201.0</v>
      </c>
      <c r="C4346" s="9">
        <v>164047.0</v>
      </c>
      <c r="D4346" s="9">
        <v>28847.0</v>
      </c>
      <c r="E4346" s="9">
        <v>305.0</v>
      </c>
      <c r="F4346" s="14"/>
      <c r="G4346" s="15"/>
      <c r="H4346" s="15"/>
      <c r="I4346" s="14"/>
      <c r="P4346" s="14"/>
    </row>
    <row r="4347" ht="18.75" customHeight="1">
      <c r="A4347" s="7" t="s">
        <v>1011</v>
      </c>
      <c r="B4347" s="9">
        <v>140.0</v>
      </c>
      <c r="C4347" s="9">
        <v>139.0</v>
      </c>
      <c r="D4347" s="9">
        <v>91.0</v>
      </c>
      <c r="E4347" s="9">
        <v>1.0</v>
      </c>
      <c r="F4347" s="14"/>
      <c r="G4347" s="15"/>
      <c r="H4347" s="15"/>
      <c r="I4347" s="14"/>
      <c r="P4347" s="14"/>
    </row>
    <row r="4348" ht="18.75" customHeight="1">
      <c r="A4348" s="7" t="s">
        <v>1021</v>
      </c>
      <c r="B4348" s="9">
        <v>153.0</v>
      </c>
      <c r="C4348" s="9">
        <v>152.0</v>
      </c>
      <c r="D4348" s="9">
        <v>109.0</v>
      </c>
      <c r="E4348" s="9">
        <v>1.0</v>
      </c>
      <c r="F4348" s="14"/>
      <c r="G4348" s="15"/>
      <c r="H4348" s="15"/>
      <c r="I4348" s="14"/>
      <c r="P4348" s="14"/>
    </row>
    <row r="4349" ht="18.75" customHeight="1">
      <c r="A4349" s="7" t="s">
        <v>1049</v>
      </c>
      <c r="B4349" s="9">
        <v>436.0</v>
      </c>
      <c r="C4349" s="9">
        <v>435.0</v>
      </c>
      <c r="D4349" s="9">
        <v>188.0</v>
      </c>
      <c r="E4349" s="9">
        <v>2.0</v>
      </c>
      <c r="F4349" s="14"/>
      <c r="G4349" s="15"/>
      <c r="H4349" s="15"/>
      <c r="I4349" s="14"/>
      <c r="P4349" s="14"/>
    </row>
    <row r="4350" ht="18.75" customHeight="1">
      <c r="A4350" s="7" t="s">
        <v>1049</v>
      </c>
      <c r="B4350" s="9">
        <v>297.0</v>
      </c>
      <c r="C4350" s="9">
        <v>296.0</v>
      </c>
      <c r="D4350" s="9">
        <v>122.0</v>
      </c>
      <c r="E4350" s="9">
        <v>7.0</v>
      </c>
      <c r="F4350" s="14"/>
      <c r="G4350" s="15"/>
      <c r="H4350" s="15"/>
      <c r="I4350" s="14"/>
      <c r="P4350" s="14"/>
    </row>
    <row r="4351" ht="18.75" customHeight="1">
      <c r="A4351" s="7" t="s">
        <v>963</v>
      </c>
      <c r="B4351" s="9">
        <v>16020.0</v>
      </c>
      <c r="C4351" s="9">
        <v>15699.0</v>
      </c>
      <c r="D4351" s="9">
        <v>1765.0</v>
      </c>
      <c r="E4351" s="9">
        <v>5.0</v>
      </c>
      <c r="F4351" s="14"/>
      <c r="G4351" s="15"/>
      <c r="H4351" s="15"/>
      <c r="I4351" s="14"/>
      <c r="P4351" s="14"/>
    </row>
    <row r="4352" ht="18.75" customHeight="1">
      <c r="A4352" s="7" t="s">
        <v>963</v>
      </c>
      <c r="B4352" s="9">
        <v>188.0</v>
      </c>
      <c r="C4352" s="9">
        <v>186.0</v>
      </c>
      <c r="D4352" s="9">
        <v>53.0</v>
      </c>
      <c r="E4352" s="9">
        <v>1.0</v>
      </c>
      <c r="F4352" s="14"/>
      <c r="G4352" s="15"/>
      <c r="H4352" s="15"/>
      <c r="I4352" s="14"/>
      <c r="P4352" s="14"/>
    </row>
    <row r="4353" ht="18.75" customHeight="1">
      <c r="A4353" s="7" t="s">
        <v>973</v>
      </c>
      <c r="B4353" s="9">
        <v>171.0</v>
      </c>
      <c r="C4353" s="9">
        <v>170.0</v>
      </c>
      <c r="D4353" s="9">
        <v>70.0</v>
      </c>
      <c r="E4353" s="9">
        <v>1.0</v>
      </c>
      <c r="F4353" s="14"/>
      <c r="G4353" s="15"/>
      <c r="H4353" s="15"/>
      <c r="I4353" s="14"/>
      <c r="P4353" s="14"/>
    </row>
    <row r="4354" ht="18.75" customHeight="1">
      <c r="A4354" s="7" t="s">
        <v>1071</v>
      </c>
      <c r="B4354" s="9">
        <v>13838.0</v>
      </c>
      <c r="C4354" s="9">
        <v>13676.0</v>
      </c>
      <c r="D4354" s="9">
        <v>1908.0</v>
      </c>
      <c r="E4354" s="9">
        <v>123.0</v>
      </c>
      <c r="F4354" s="14"/>
      <c r="G4354" s="15"/>
      <c r="H4354" s="15"/>
      <c r="I4354" s="14"/>
      <c r="P4354" s="14"/>
    </row>
    <row r="4355" ht="18.75" customHeight="1">
      <c r="A4355" s="7" t="s">
        <v>1025</v>
      </c>
      <c r="B4355" s="9">
        <v>238.0</v>
      </c>
      <c r="C4355" s="9">
        <v>236.0</v>
      </c>
      <c r="D4355" s="9">
        <v>124.0</v>
      </c>
      <c r="E4355" s="9">
        <v>1.0</v>
      </c>
      <c r="F4355" s="14"/>
      <c r="G4355" s="15"/>
      <c r="H4355" s="15"/>
      <c r="I4355" s="14"/>
      <c r="P4355" s="14"/>
    </row>
    <row r="4356" ht="18.75" customHeight="1">
      <c r="A4356" s="7" t="s">
        <v>834</v>
      </c>
      <c r="B4356" s="9">
        <v>212479.0</v>
      </c>
      <c r="C4356" s="9">
        <v>209349.0</v>
      </c>
      <c r="D4356" s="9">
        <v>64997.0</v>
      </c>
      <c r="E4356" s="9">
        <v>5277.0</v>
      </c>
      <c r="F4356" s="14"/>
      <c r="G4356" s="15"/>
      <c r="H4356" s="15"/>
      <c r="I4356" s="14"/>
      <c r="P4356" s="14"/>
    </row>
    <row r="4357" ht="18.75" customHeight="1">
      <c r="A4357" s="7" t="s">
        <v>3752</v>
      </c>
      <c r="B4357" s="9">
        <v>102.0</v>
      </c>
      <c r="C4357" s="9">
        <v>101.0</v>
      </c>
      <c r="D4357" s="9">
        <v>47.0</v>
      </c>
      <c r="E4357" s="9">
        <v>2.0</v>
      </c>
      <c r="F4357" s="14"/>
      <c r="G4357" s="15"/>
      <c r="H4357" s="15"/>
      <c r="I4357" s="14"/>
      <c r="P4357" s="14"/>
    </row>
    <row r="4358" ht="18.75" customHeight="1">
      <c r="A4358" s="7" t="s">
        <v>993</v>
      </c>
      <c r="B4358" s="9">
        <v>230560.0</v>
      </c>
      <c r="C4358" s="9">
        <v>228153.0</v>
      </c>
      <c r="D4358" s="9">
        <v>45924.0</v>
      </c>
      <c r="E4358" s="9">
        <v>213.0</v>
      </c>
      <c r="F4358" s="14"/>
      <c r="G4358" s="15"/>
      <c r="H4358" s="15"/>
      <c r="I4358" s="14"/>
      <c r="P4358" s="14"/>
    </row>
    <row r="4359" ht="18.75" customHeight="1">
      <c r="A4359" s="7" t="s">
        <v>1063</v>
      </c>
      <c r="B4359" s="9">
        <v>28622.0</v>
      </c>
      <c r="C4359" s="9">
        <v>28263.0</v>
      </c>
      <c r="D4359" s="9">
        <v>4346.0</v>
      </c>
      <c r="E4359" s="9">
        <v>130.0</v>
      </c>
      <c r="F4359" s="14"/>
      <c r="G4359" s="15"/>
      <c r="H4359" s="15"/>
      <c r="I4359" s="14"/>
      <c r="P4359" s="14"/>
    </row>
    <row r="4360" ht="18.75" customHeight="1">
      <c r="A4360" s="7" t="s">
        <v>1073</v>
      </c>
      <c r="B4360" s="9">
        <v>5982.0</v>
      </c>
      <c r="C4360" s="9">
        <v>5913.0</v>
      </c>
      <c r="D4360" s="9">
        <v>1392.0</v>
      </c>
      <c r="E4360" s="9">
        <v>25.0</v>
      </c>
      <c r="F4360" s="14"/>
      <c r="G4360" s="15"/>
      <c r="H4360" s="15"/>
      <c r="I4360" s="14"/>
      <c r="P4360" s="14"/>
    </row>
    <row r="4361" ht="18.75" customHeight="1">
      <c r="A4361" s="7" t="s">
        <v>870</v>
      </c>
      <c r="B4361" s="9">
        <v>88912.0</v>
      </c>
      <c r="C4361" s="9">
        <v>88177.0</v>
      </c>
      <c r="D4361" s="9">
        <v>33609.0</v>
      </c>
      <c r="E4361" s="9">
        <v>3891.0</v>
      </c>
      <c r="F4361" s="14"/>
      <c r="G4361" s="15"/>
      <c r="H4361" s="15"/>
      <c r="I4361" s="14"/>
      <c r="P4361" s="14"/>
    </row>
    <row r="4362" ht="18.75" customHeight="1">
      <c r="A4362" s="7" t="s">
        <v>1013</v>
      </c>
      <c r="B4362" s="9">
        <v>140.0</v>
      </c>
      <c r="C4362" s="9">
        <v>139.0</v>
      </c>
      <c r="D4362" s="9">
        <v>79.0</v>
      </c>
      <c r="E4362" s="9">
        <v>4.0</v>
      </c>
      <c r="F4362" s="14"/>
      <c r="G4362" s="15"/>
      <c r="H4362" s="15"/>
      <c r="I4362" s="14"/>
      <c r="P4362" s="14"/>
    </row>
    <row r="4363" ht="18.75" customHeight="1">
      <c r="A4363" s="7" t="s">
        <v>1033</v>
      </c>
      <c r="B4363" s="9">
        <v>2551.0</v>
      </c>
      <c r="C4363" s="9">
        <v>2545.0</v>
      </c>
      <c r="D4363" s="9">
        <v>1874.0</v>
      </c>
      <c r="E4363" s="9">
        <v>2.0</v>
      </c>
      <c r="F4363" s="14"/>
      <c r="G4363" s="15"/>
      <c r="H4363" s="15"/>
      <c r="I4363" s="14"/>
      <c r="P4363" s="14"/>
    </row>
    <row r="4364" ht="18.75" customHeight="1">
      <c r="A4364" s="7" t="s">
        <v>1033</v>
      </c>
      <c r="B4364" s="9">
        <v>127.0</v>
      </c>
      <c r="C4364" s="9">
        <v>127.0</v>
      </c>
      <c r="D4364" s="9">
        <v>56.0</v>
      </c>
      <c r="E4364" s="9">
        <v>2.0</v>
      </c>
      <c r="F4364" s="14"/>
      <c r="G4364" s="15"/>
      <c r="H4364" s="15"/>
      <c r="I4364" s="14"/>
      <c r="P4364" s="14"/>
    </row>
    <row r="4365" ht="18.75" customHeight="1">
      <c r="A4365" s="7" t="s">
        <v>1057</v>
      </c>
      <c r="B4365" s="9">
        <v>36640.0</v>
      </c>
      <c r="C4365" s="9">
        <v>35833.0</v>
      </c>
      <c r="D4365" s="9">
        <v>3994.0</v>
      </c>
      <c r="E4365" s="9">
        <v>33.0</v>
      </c>
      <c r="F4365" s="14"/>
      <c r="G4365" s="15"/>
      <c r="H4365" s="15"/>
      <c r="I4365" s="14"/>
      <c r="P4365" s="14"/>
    </row>
    <row r="4366" ht="18.75" customHeight="1">
      <c r="A4366" s="7" t="s">
        <v>1057</v>
      </c>
      <c r="B4366" s="9">
        <v>34177.0</v>
      </c>
      <c r="C4366" s="9">
        <v>33851.0</v>
      </c>
      <c r="D4366" s="9">
        <v>7520.0</v>
      </c>
      <c r="E4366" s="9">
        <v>35.0</v>
      </c>
      <c r="F4366" s="14"/>
      <c r="G4366" s="15"/>
      <c r="H4366" s="15"/>
      <c r="I4366" s="14"/>
      <c r="P4366" s="14"/>
    </row>
    <row r="4367" ht="18.75" customHeight="1">
      <c r="A4367" s="7" t="s">
        <v>1057</v>
      </c>
      <c r="B4367" s="9">
        <v>19902.0</v>
      </c>
      <c r="C4367" s="9">
        <v>19663.0</v>
      </c>
      <c r="D4367" s="9">
        <v>4688.0</v>
      </c>
      <c r="E4367" s="9">
        <v>88.0</v>
      </c>
      <c r="F4367" s="14"/>
      <c r="G4367" s="15"/>
      <c r="H4367" s="15"/>
      <c r="I4367" s="14"/>
      <c r="P4367" s="14"/>
    </row>
    <row r="4368" ht="18.75" customHeight="1">
      <c r="A4368" s="7" t="s">
        <v>1035</v>
      </c>
      <c r="B4368" s="9">
        <v>1652.0</v>
      </c>
      <c r="C4368" s="9">
        <v>1652.0</v>
      </c>
      <c r="D4368" s="9">
        <v>1167.0</v>
      </c>
      <c r="E4368" s="9">
        <v>3.0</v>
      </c>
      <c r="F4368" s="14"/>
      <c r="G4368" s="15"/>
      <c r="H4368" s="15"/>
      <c r="I4368" s="14"/>
      <c r="P4368" s="14"/>
    </row>
    <row r="4369" ht="18.75" customHeight="1">
      <c r="A4369" s="7" t="s">
        <v>1035</v>
      </c>
      <c r="B4369" s="9">
        <v>121.0</v>
      </c>
      <c r="C4369" s="9">
        <v>121.0</v>
      </c>
      <c r="D4369" s="9">
        <v>54.0</v>
      </c>
      <c r="E4369" s="9">
        <v>0.0</v>
      </c>
      <c r="F4369" s="14"/>
      <c r="G4369" s="15"/>
      <c r="H4369" s="15"/>
      <c r="I4369" s="14"/>
      <c r="P4369" s="14"/>
    </row>
    <row r="4370" ht="18.75" customHeight="1">
      <c r="A4370" s="7" t="s">
        <v>1075</v>
      </c>
      <c r="B4370" s="9">
        <v>13926.0</v>
      </c>
      <c r="C4370" s="9">
        <v>13678.0</v>
      </c>
      <c r="D4370" s="9">
        <v>2587.0</v>
      </c>
      <c r="E4370" s="9">
        <v>33.0</v>
      </c>
      <c r="F4370" s="14"/>
      <c r="G4370" s="15"/>
      <c r="H4370" s="15"/>
      <c r="I4370" s="14"/>
      <c r="P4370" s="14"/>
    </row>
    <row r="4371" ht="18.75" customHeight="1">
      <c r="A4371" s="7" t="s">
        <v>1061</v>
      </c>
      <c r="B4371" s="9">
        <v>76501.0</v>
      </c>
      <c r="C4371" s="9">
        <v>75517.0</v>
      </c>
      <c r="D4371" s="9">
        <v>13318.0</v>
      </c>
      <c r="E4371" s="9">
        <v>320.0</v>
      </c>
      <c r="F4371" s="14"/>
      <c r="G4371" s="15"/>
      <c r="H4371" s="15"/>
      <c r="I4371" s="14"/>
      <c r="P4371" s="14"/>
    </row>
    <row r="4372" ht="18.75" customHeight="1">
      <c r="A4372" s="7" t="s">
        <v>2857</v>
      </c>
      <c r="B4372" s="9">
        <v>10195.0</v>
      </c>
      <c r="C4372" s="9">
        <v>10055.0</v>
      </c>
      <c r="D4372" s="9">
        <v>2877.0</v>
      </c>
      <c r="E4372" s="9">
        <v>168.0</v>
      </c>
      <c r="F4372" s="14"/>
      <c r="G4372" s="15"/>
      <c r="H4372" s="15"/>
      <c r="I4372" s="14"/>
      <c r="P4372" s="14"/>
    </row>
    <row r="4373" ht="18.75" customHeight="1">
      <c r="A4373" s="7" t="s">
        <v>2857</v>
      </c>
      <c r="B4373" s="9">
        <v>10458.0</v>
      </c>
      <c r="C4373" s="9">
        <v>10343.0</v>
      </c>
      <c r="D4373" s="9">
        <v>3911.0</v>
      </c>
      <c r="E4373" s="9">
        <v>51.0</v>
      </c>
      <c r="F4373" s="14"/>
      <c r="G4373" s="15"/>
      <c r="H4373" s="15"/>
      <c r="I4373" s="14"/>
      <c r="P4373" s="14"/>
    </row>
    <row r="4374" ht="18.75" customHeight="1">
      <c r="A4374" s="7" t="s">
        <v>1015</v>
      </c>
      <c r="B4374" s="9">
        <v>119.0</v>
      </c>
      <c r="C4374" s="9">
        <v>118.0</v>
      </c>
      <c r="D4374" s="9">
        <v>62.0</v>
      </c>
      <c r="E4374" s="9">
        <v>3.0</v>
      </c>
      <c r="F4374" s="14"/>
      <c r="G4374" s="15"/>
      <c r="H4374" s="15"/>
      <c r="I4374" s="14"/>
      <c r="P4374" s="14"/>
    </row>
    <row r="4375" ht="18.75" customHeight="1">
      <c r="A4375" s="7" t="s">
        <v>1023</v>
      </c>
      <c r="B4375" s="9">
        <v>148.0</v>
      </c>
      <c r="C4375" s="9">
        <v>147.0</v>
      </c>
      <c r="D4375" s="9">
        <v>57.0</v>
      </c>
      <c r="E4375" s="9">
        <v>1.0</v>
      </c>
      <c r="F4375" s="14"/>
      <c r="G4375" s="15"/>
      <c r="H4375" s="15"/>
      <c r="I4375" s="14"/>
      <c r="P4375" s="14"/>
    </row>
    <row r="4376" ht="18.75" customHeight="1">
      <c r="A4376" s="7" t="s">
        <v>1067</v>
      </c>
      <c r="B4376" s="9">
        <v>85726.0</v>
      </c>
      <c r="C4376" s="9">
        <v>84813.0</v>
      </c>
      <c r="D4376" s="9">
        <v>16752.0</v>
      </c>
      <c r="E4376" s="9">
        <v>258.0</v>
      </c>
      <c r="F4376" s="14"/>
      <c r="G4376" s="15"/>
      <c r="H4376" s="15"/>
      <c r="I4376" s="14"/>
      <c r="P4376" s="14"/>
    </row>
    <row r="4377" ht="18.75" customHeight="1">
      <c r="A4377" s="7" t="s">
        <v>385</v>
      </c>
      <c r="B4377" s="9">
        <v>12033.0</v>
      </c>
      <c r="C4377" s="9">
        <v>11882.0</v>
      </c>
      <c r="D4377" s="9">
        <v>4032.0</v>
      </c>
      <c r="E4377" s="9">
        <v>84.0</v>
      </c>
      <c r="F4377" s="14"/>
      <c r="G4377" s="15"/>
      <c r="H4377" s="15"/>
      <c r="I4377" s="14"/>
      <c r="P4377" s="14"/>
    </row>
    <row r="4378" ht="18.75" customHeight="1">
      <c r="A4378" s="7" t="s">
        <v>1027</v>
      </c>
      <c r="B4378" s="9">
        <v>153770.0</v>
      </c>
      <c r="C4378" s="9">
        <v>152337.0</v>
      </c>
      <c r="D4378" s="9">
        <v>57563.0</v>
      </c>
      <c r="E4378" s="9">
        <v>422.0</v>
      </c>
      <c r="F4378" s="14"/>
      <c r="G4378" s="15"/>
      <c r="H4378" s="15"/>
      <c r="I4378" s="14"/>
      <c r="P4378" s="14"/>
    </row>
    <row r="4379" ht="18.75" customHeight="1">
      <c r="A4379" s="7" t="s">
        <v>1017</v>
      </c>
      <c r="B4379" s="9">
        <v>162.0</v>
      </c>
      <c r="C4379" s="9">
        <v>161.0</v>
      </c>
      <c r="D4379" s="9">
        <v>63.0</v>
      </c>
      <c r="E4379" s="9">
        <v>5.0</v>
      </c>
      <c r="F4379" s="14"/>
      <c r="G4379" s="15"/>
      <c r="H4379" s="15"/>
      <c r="I4379" s="14"/>
      <c r="P4379" s="14"/>
    </row>
    <row r="4380" ht="18.75" customHeight="1">
      <c r="A4380" s="7" t="s">
        <v>360</v>
      </c>
      <c r="B4380" s="9">
        <v>7.0</v>
      </c>
      <c r="C4380" s="9">
        <v>7.0</v>
      </c>
      <c r="D4380" s="9">
        <v>0.0</v>
      </c>
      <c r="E4380" s="9">
        <v>0.0</v>
      </c>
      <c r="F4380" s="14"/>
      <c r="G4380" s="15"/>
      <c r="H4380" s="15"/>
      <c r="I4380" s="14"/>
      <c r="P4380" s="14"/>
    </row>
    <row r="4381" ht="18.75" customHeight="1">
      <c r="A4381" s="7" t="s">
        <v>366</v>
      </c>
      <c r="B4381" s="9">
        <v>1190.0</v>
      </c>
      <c r="C4381" s="9">
        <v>1178.0</v>
      </c>
      <c r="D4381" s="9">
        <v>393.0</v>
      </c>
      <c r="E4381" s="9">
        <v>18.0</v>
      </c>
      <c r="F4381" s="14"/>
      <c r="G4381" s="15"/>
      <c r="H4381" s="15"/>
      <c r="I4381" s="14"/>
      <c r="P4381" s="14"/>
    </row>
    <row r="4382" ht="18.75" customHeight="1">
      <c r="A4382" s="7" t="s">
        <v>356</v>
      </c>
      <c r="B4382" s="9">
        <v>301.0</v>
      </c>
      <c r="C4382" s="9">
        <v>296.0</v>
      </c>
      <c r="D4382" s="9">
        <v>95.0</v>
      </c>
      <c r="E4382" s="9">
        <v>5.0</v>
      </c>
      <c r="F4382" s="14"/>
      <c r="G4382" s="15"/>
      <c r="H4382" s="15"/>
      <c r="I4382" s="14"/>
      <c r="P4382" s="14"/>
    </row>
    <row r="4383" ht="18.75" customHeight="1">
      <c r="A4383" s="7" t="s">
        <v>368</v>
      </c>
      <c r="B4383" s="9">
        <v>292.0</v>
      </c>
      <c r="C4383" s="9">
        <v>288.0</v>
      </c>
      <c r="D4383" s="9">
        <v>87.0</v>
      </c>
      <c r="E4383" s="9">
        <v>4.0</v>
      </c>
      <c r="F4383" s="14"/>
      <c r="G4383" s="15"/>
      <c r="H4383" s="15"/>
      <c r="I4383" s="14"/>
      <c r="P4383" s="14"/>
    </row>
    <row r="4384" ht="18.75" customHeight="1">
      <c r="A4384" s="7" t="s">
        <v>372</v>
      </c>
      <c r="B4384" s="9">
        <v>3672.0</v>
      </c>
      <c r="C4384" s="9">
        <v>3636.0</v>
      </c>
      <c r="D4384" s="9">
        <v>1198.0</v>
      </c>
      <c r="E4384" s="9">
        <v>6.0</v>
      </c>
      <c r="F4384" s="14"/>
      <c r="G4384" s="15"/>
      <c r="H4384" s="15"/>
      <c r="I4384" s="14"/>
      <c r="P4384" s="14"/>
    </row>
    <row r="4385" ht="18.75" customHeight="1">
      <c r="A4385" s="7" t="s">
        <v>1021</v>
      </c>
      <c r="B4385" s="9">
        <v>154.0</v>
      </c>
      <c r="C4385" s="9">
        <v>153.0</v>
      </c>
      <c r="D4385" s="9">
        <v>74.0</v>
      </c>
      <c r="E4385" s="9">
        <v>2.0</v>
      </c>
      <c r="F4385" s="14"/>
      <c r="G4385" s="15"/>
      <c r="H4385" s="15"/>
      <c r="I4385" s="14"/>
      <c r="P4385" s="14"/>
    </row>
    <row r="4386" ht="18.75" customHeight="1">
      <c r="A4386" s="7" t="s">
        <v>360</v>
      </c>
      <c r="B4386" s="9">
        <v>10392.0</v>
      </c>
      <c r="C4386" s="9">
        <v>10277.0</v>
      </c>
      <c r="D4386" s="9">
        <v>3099.0</v>
      </c>
      <c r="E4386" s="9">
        <v>33.0</v>
      </c>
      <c r="F4386" s="14"/>
      <c r="G4386" s="15"/>
      <c r="H4386" s="15"/>
      <c r="I4386" s="14"/>
      <c r="P4386" s="14"/>
    </row>
    <row r="4387" ht="18.75" customHeight="1">
      <c r="A4387" s="7" t="s">
        <v>1065</v>
      </c>
      <c r="B4387" s="9">
        <v>77761.0</v>
      </c>
      <c r="C4387" s="9">
        <v>76865.0</v>
      </c>
      <c r="D4387" s="9">
        <v>13486.0</v>
      </c>
      <c r="E4387" s="9">
        <v>193.0</v>
      </c>
      <c r="F4387" s="14"/>
      <c r="G4387" s="15"/>
      <c r="H4387" s="15"/>
      <c r="I4387" s="14"/>
      <c r="P4387" s="14"/>
    </row>
    <row r="4388" ht="18.75" customHeight="1">
      <c r="A4388" s="7" t="s">
        <v>1069</v>
      </c>
      <c r="B4388" s="9">
        <v>77772.0</v>
      </c>
      <c r="C4388" s="9">
        <v>76877.0</v>
      </c>
      <c r="D4388" s="9">
        <v>13976.0</v>
      </c>
      <c r="E4388" s="9">
        <v>89.0</v>
      </c>
      <c r="F4388" s="14"/>
      <c r="G4388" s="15"/>
      <c r="H4388" s="15"/>
      <c r="I4388" s="14"/>
      <c r="P4388" s="14"/>
    </row>
    <row r="4389" ht="18.75" customHeight="1">
      <c r="A4389" s="7" t="s">
        <v>1085</v>
      </c>
      <c r="B4389" s="9">
        <v>108304.0</v>
      </c>
      <c r="C4389" s="9">
        <v>106905.0</v>
      </c>
      <c r="D4389" s="9">
        <v>39728.0</v>
      </c>
      <c r="E4389" s="9">
        <v>428.0</v>
      </c>
      <c r="F4389" s="14"/>
      <c r="G4389" s="15"/>
      <c r="H4389" s="15"/>
      <c r="I4389" s="14"/>
      <c r="P4389" s="14"/>
    </row>
    <row r="4390" ht="18.75" customHeight="1">
      <c r="A4390" s="7" t="s">
        <v>1089</v>
      </c>
      <c r="B4390" s="9">
        <v>146476.0</v>
      </c>
      <c r="C4390" s="9">
        <v>145059.0</v>
      </c>
      <c r="D4390" s="9">
        <v>57719.0</v>
      </c>
      <c r="E4390" s="9">
        <v>252.0</v>
      </c>
      <c r="F4390" s="14"/>
      <c r="G4390" s="15"/>
      <c r="H4390" s="15"/>
      <c r="I4390" s="14"/>
      <c r="P4390" s="14"/>
    </row>
    <row r="4391" ht="18.75" customHeight="1">
      <c r="A4391" s="7" t="s">
        <v>1055</v>
      </c>
      <c r="B4391" s="9">
        <v>212246.0</v>
      </c>
      <c r="C4391" s="9">
        <v>209700.0</v>
      </c>
      <c r="D4391" s="9">
        <v>34833.0</v>
      </c>
      <c r="E4391" s="9">
        <v>231.0</v>
      </c>
      <c r="F4391" s="14"/>
      <c r="G4391" s="15"/>
      <c r="H4391" s="15"/>
      <c r="I4391" s="14"/>
      <c r="P4391" s="14"/>
    </row>
    <row r="4392" ht="18.75" customHeight="1">
      <c r="A4392" s="7" t="s">
        <v>1055</v>
      </c>
      <c r="B4392" s="9">
        <v>70677.0</v>
      </c>
      <c r="C4392" s="9">
        <v>69997.0</v>
      </c>
      <c r="D4392" s="9">
        <v>10445.0</v>
      </c>
      <c r="E4392" s="9">
        <v>36.0</v>
      </c>
      <c r="F4392" s="14"/>
      <c r="G4392" s="15"/>
      <c r="H4392" s="15"/>
      <c r="I4392" s="14"/>
      <c r="P4392" s="14"/>
    </row>
    <row r="4393" ht="18.75" customHeight="1">
      <c r="A4393" s="7" t="s">
        <v>1055</v>
      </c>
      <c r="B4393" s="9">
        <v>219117.0</v>
      </c>
      <c r="C4393" s="9">
        <v>216689.0</v>
      </c>
      <c r="D4393" s="9">
        <v>53068.0</v>
      </c>
      <c r="E4393" s="9">
        <v>384.0</v>
      </c>
      <c r="F4393" s="14"/>
      <c r="G4393" s="15"/>
      <c r="H4393" s="15"/>
      <c r="I4393" s="14"/>
      <c r="P4393" s="14"/>
    </row>
    <row r="4394" ht="18.75" customHeight="1">
      <c r="A4394" s="7" t="s">
        <v>1071</v>
      </c>
      <c r="B4394" s="9">
        <v>162.0</v>
      </c>
      <c r="C4394" s="9">
        <v>161.0</v>
      </c>
      <c r="D4394" s="9">
        <v>85.0</v>
      </c>
      <c r="E4394" s="9">
        <v>1.0</v>
      </c>
      <c r="F4394" s="14"/>
      <c r="G4394" s="15"/>
      <c r="H4394" s="15"/>
      <c r="I4394" s="14"/>
      <c r="P4394" s="14"/>
    </row>
    <row r="4395" ht="18.75" customHeight="1">
      <c r="A4395" s="7" t="s">
        <v>1075</v>
      </c>
      <c r="B4395" s="9">
        <v>50.0</v>
      </c>
      <c r="C4395" s="9">
        <v>49.0</v>
      </c>
      <c r="D4395" s="9">
        <v>21.0</v>
      </c>
      <c r="E4395" s="9">
        <v>2.0</v>
      </c>
      <c r="F4395" s="14"/>
      <c r="G4395" s="15"/>
      <c r="H4395" s="15"/>
      <c r="I4395" s="14"/>
      <c r="P4395" s="14"/>
    </row>
    <row r="4396" ht="18.75" customHeight="1">
      <c r="A4396" s="7" t="s">
        <v>1061</v>
      </c>
      <c r="B4396" s="9">
        <v>186.0</v>
      </c>
      <c r="C4396" s="9">
        <v>185.0</v>
      </c>
      <c r="D4396" s="9">
        <v>90.0</v>
      </c>
      <c r="E4396" s="9">
        <v>1.0</v>
      </c>
      <c r="F4396" s="14"/>
      <c r="G4396" s="15"/>
      <c r="H4396" s="15"/>
      <c r="I4396" s="14"/>
      <c r="P4396" s="14"/>
    </row>
    <row r="4397" ht="18.75" customHeight="1">
      <c r="A4397" s="7" t="s">
        <v>1063</v>
      </c>
      <c r="B4397" s="9">
        <v>122.0</v>
      </c>
      <c r="C4397" s="9">
        <v>121.0</v>
      </c>
      <c r="D4397" s="9">
        <v>52.0</v>
      </c>
      <c r="E4397" s="9">
        <v>2.0</v>
      </c>
      <c r="F4397" s="14"/>
      <c r="G4397" s="15"/>
      <c r="H4397" s="15"/>
      <c r="I4397" s="14"/>
      <c r="P4397" s="14"/>
    </row>
    <row r="4398" ht="18.75" customHeight="1">
      <c r="A4398" s="7" t="s">
        <v>1073</v>
      </c>
      <c r="B4398" s="9">
        <v>47.0</v>
      </c>
      <c r="C4398" s="9">
        <v>46.0</v>
      </c>
      <c r="D4398" s="9">
        <v>20.0</v>
      </c>
      <c r="E4398" s="9">
        <v>1.0</v>
      </c>
      <c r="F4398" s="14"/>
      <c r="G4398" s="15"/>
      <c r="H4398" s="15"/>
      <c r="I4398" s="14"/>
      <c r="P4398" s="14"/>
    </row>
    <row r="4399" ht="18.75" customHeight="1">
      <c r="A4399" s="7" t="s">
        <v>941</v>
      </c>
      <c r="B4399" s="9">
        <v>177189.0</v>
      </c>
      <c r="C4399" s="9">
        <v>175088.0</v>
      </c>
      <c r="D4399" s="9">
        <v>62153.0</v>
      </c>
      <c r="E4399" s="9">
        <v>2650.0</v>
      </c>
      <c r="F4399" s="14"/>
      <c r="G4399" s="15"/>
      <c r="H4399" s="15"/>
      <c r="I4399" s="14"/>
      <c r="P4399" s="14"/>
    </row>
    <row r="4400" ht="18.75" customHeight="1">
      <c r="A4400" s="7" t="s">
        <v>1091</v>
      </c>
      <c r="B4400" s="9">
        <v>119340.0</v>
      </c>
      <c r="C4400" s="9">
        <v>117943.0</v>
      </c>
      <c r="D4400" s="9">
        <v>20725.0</v>
      </c>
      <c r="E4400" s="9">
        <v>195.0</v>
      </c>
      <c r="F4400" s="14"/>
      <c r="G4400" s="15"/>
      <c r="H4400" s="15"/>
      <c r="I4400" s="14"/>
      <c r="P4400" s="14"/>
    </row>
    <row r="4401" ht="18.75" customHeight="1">
      <c r="A4401" s="7" t="s">
        <v>1091</v>
      </c>
      <c r="B4401" s="9">
        <v>244019.0</v>
      </c>
      <c r="C4401" s="9">
        <v>241792.0</v>
      </c>
      <c r="D4401" s="9">
        <v>52785.0</v>
      </c>
      <c r="E4401" s="9">
        <v>771.0</v>
      </c>
      <c r="F4401" s="14"/>
      <c r="G4401" s="15"/>
      <c r="H4401" s="15"/>
      <c r="I4401" s="14"/>
      <c r="P4401" s="14"/>
    </row>
    <row r="4402" ht="18.75" customHeight="1">
      <c r="A4402" s="7" t="s">
        <v>1031</v>
      </c>
      <c r="B4402" s="9">
        <v>369.0</v>
      </c>
      <c r="C4402" s="9">
        <v>359.0</v>
      </c>
      <c r="D4402" s="9">
        <v>165.0</v>
      </c>
      <c r="E4402" s="9">
        <v>59.0</v>
      </c>
      <c r="F4402" s="14"/>
      <c r="G4402" s="15"/>
      <c r="H4402" s="15"/>
      <c r="I4402" s="14"/>
      <c r="P4402" s="14"/>
    </row>
    <row r="4403" ht="18.75" customHeight="1">
      <c r="A4403" s="7" t="s">
        <v>983</v>
      </c>
      <c r="B4403" s="9">
        <v>6215.0</v>
      </c>
      <c r="C4403" s="9">
        <v>6198.0</v>
      </c>
      <c r="D4403" s="9">
        <v>1177.0</v>
      </c>
      <c r="E4403" s="9">
        <v>143.0</v>
      </c>
      <c r="F4403" s="14"/>
      <c r="G4403" s="15"/>
      <c r="H4403" s="15"/>
      <c r="I4403" s="14"/>
      <c r="P4403" s="14"/>
    </row>
    <row r="4404" ht="18.75" customHeight="1">
      <c r="A4404" s="7" t="s">
        <v>1075</v>
      </c>
      <c r="B4404" s="9">
        <v>50.0</v>
      </c>
      <c r="C4404" s="9">
        <v>49.0</v>
      </c>
      <c r="D4404" s="9">
        <v>21.0</v>
      </c>
      <c r="E4404" s="9">
        <v>2.0</v>
      </c>
      <c r="F4404" s="14"/>
      <c r="G4404" s="15"/>
      <c r="H4404" s="15"/>
      <c r="I4404" s="14"/>
      <c r="P4404" s="14"/>
    </row>
    <row r="4405" ht="18.75" customHeight="1">
      <c r="A4405" s="7" t="s">
        <v>1061</v>
      </c>
      <c r="B4405" s="9">
        <v>196.0</v>
      </c>
      <c r="C4405" s="9">
        <v>195.0</v>
      </c>
      <c r="D4405" s="9">
        <v>100.0</v>
      </c>
      <c r="E4405" s="9">
        <v>3.0</v>
      </c>
      <c r="F4405" s="14"/>
      <c r="G4405" s="15"/>
      <c r="H4405" s="15"/>
      <c r="I4405" s="14"/>
      <c r="P4405" s="14"/>
    </row>
    <row r="4406" ht="18.75" customHeight="1">
      <c r="A4406" s="7" t="s">
        <v>1071</v>
      </c>
      <c r="B4406" s="9">
        <v>1243.0</v>
      </c>
      <c r="C4406" s="9">
        <v>1243.0</v>
      </c>
      <c r="D4406" s="9">
        <v>988.0</v>
      </c>
      <c r="E4406" s="9">
        <v>2.0</v>
      </c>
      <c r="F4406" s="14"/>
      <c r="G4406" s="15"/>
      <c r="H4406" s="15"/>
      <c r="I4406" s="14"/>
      <c r="P4406" s="14"/>
    </row>
    <row r="4407" ht="18.75" customHeight="1">
      <c r="A4407" s="7" t="s">
        <v>1071</v>
      </c>
      <c r="B4407" s="9">
        <v>137.0</v>
      </c>
      <c r="C4407" s="9">
        <v>137.0</v>
      </c>
      <c r="D4407" s="9">
        <v>54.0</v>
      </c>
      <c r="E4407" s="9">
        <v>1.0</v>
      </c>
      <c r="F4407" s="14"/>
      <c r="G4407" s="15"/>
      <c r="H4407" s="15"/>
      <c r="I4407" s="14"/>
      <c r="P4407" s="14"/>
    </row>
    <row r="4408" ht="18.75" customHeight="1">
      <c r="A4408" s="7" t="s">
        <v>1067</v>
      </c>
      <c r="B4408" s="9">
        <v>188.0</v>
      </c>
      <c r="C4408" s="9">
        <v>187.0</v>
      </c>
      <c r="D4408" s="9">
        <v>98.0</v>
      </c>
      <c r="E4408" s="9">
        <v>2.0</v>
      </c>
      <c r="F4408" s="14"/>
      <c r="G4408" s="15"/>
      <c r="H4408" s="15"/>
      <c r="I4408" s="14"/>
      <c r="P4408" s="14"/>
    </row>
    <row r="4409" ht="18.75" customHeight="1">
      <c r="A4409" s="7" t="s">
        <v>713</v>
      </c>
      <c r="B4409" s="9">
        <v>128033.0</v>
      </c>
      <c r="C4409" s="9">
        <v>125301.0</v>
      </c>
      <c r="D4409" s="9">
        <v>14645.0</v>
      </c>
      <c r="E4409" s="9">
        <v>91.0</v>
      </c>
      <c r="F4409" s="14"/>
      <c r="G4409" s="15"/>
      <c r="H4409" s="15"/>
      <c r="I4409" s="14"/>
      <c r="P4409" s="14"/>
    </row>
    <row r="4410" ht="18.75" customHeight="1">
      <c r="A4410" s="7" t="s">
        <v>713</v>
      </c>
      <c r="B4410" s="9">
        <v>144931.0</v>
      </c>
      <c r="C4410" s="9">
        <v>143438.0</v>
      </c>
      <c r="D4410" s="9">
        <v>18460.0</v>
      </c>
      <c r="E4410" s="9">
        <v>57.0</v>
      </c>
      <c r="F4410" s="14"/>
      <c r="G4410" s="15"/>
      <c r="H4410" s="15"/>
      <c r="I4410" s="14"/>
      <c r="P4410" s="14"/>
    </row>
    <row r="4411" ht="18.75" customHeight="1">
      <c r="A4411" s="7" t="s">
        <v>1063</v>
      </c>
      <c r="B4411" s="9">
        <v>121.0</v>
      </c>
      <c r="C4411" s="9">
        <v>120.0</v>
      </c>
      <c r="D4411" s="9">
        <v>49.0</v>
      </c>
      <c r="E4411" s="9">
        <v>2.0</v>
      </c>
      <c r="F4411" s="14"/>
      <c r="G4411" s="15"/>
      <c r="H4411" s="15"/>
      <c r="I4411" s="14"/>
      <c r="P4411" s="14"/>
    </row>
    <row r="4412" ht="18.75" customHeight="1">
      <c r="A4412" s="7" t="s">
        <v>1073</v>
      </c>
      <c r="B4412" s="9">
        <v>47.0</v>
      </c>
      <c r="C4412" s="9">
        <v>46.0</v>
      </c>
      <c r="D4412" s="9">
        <v>16.0</v>
      </c>
      <c r="E4412" s="9">
        <v>2.0</v>
      </c>
      <c r="F4412" s="14"/>
      <c r="G4412" s="15"/>
      <c r="H4412" s="15"/>
      <c r="I4412" s="14"/>
      <c r="P4412" s="14"/>
    </row>
    <row r="4413" ht="18.75" customHeight="1">
      <c r="A4413" s="7" t="s">
        <v>1091</v>
      </c>
      <c r="B4413" s="9">
        <v>242464.0</v>
      </c>
      <c r="C4413" s="9">
        <v>240134.0</v>
      </c>
      <c r="D4413" s="9">
        <v>52045.0</v>
      </c>
      <c r="E4413" s="9">
        <v>317.0</v>
      </c>
      <c r="F4413" s="14"/>
      <c r="G4413" s="15"/>
      <c r="H4413" s="15"/>
      <c r="I4413" s="14"/>
      <c r="P4413" s="14"/>
    </row>
    <row r="4414" ht="18.75" customHeight="1">
      <c r="A4414" s="7" t="s">
        <v>989</v>
      </c>
      <c r="B4414" s="9">
        <v>83371.0</v>
      </c>
      <c r="C4414" s="9">
        <v>82579.0</v>
      </c>
      <c r="D4414" s="9">
        <v>28645.0</v>
      </c>
      <c r="E4414" s="9">
        <v>1089.0</v>
      </c>
      <c r="F4414" s="14"/>
      <c r="G4414" s="15"/>
      <c r="H4414" s="15"/>
      <c r="I4414" s="14"/>
      <c r="P4414" s="14"/>
    </row>
    <row r="4415" ht="18.75" customHeight="1">
      <c r="A4415" s="7" t="s">
        <v>1065</v>
      </c>
      <c r="B4415" s="9">
        <v>109.0</v>
      </c>
      <c r="C4415" s="9">
        <v>108.0</v>
      </c>
      <c r="D4415" s="9">
        <v>58.0</v>
      </c>
      <c r="E4415" s="9">
        <v>1.0</v>
      </c>
      <c r="F4415" s="14"/>
      <c r="G4415" s="15"/>
      <c r="H4415" s="15"/>
      <c r="I4415" s="14"/>
      <c r="P4415" s="14"/>
    </row>
    <row r="4416" ht="18.75" customHeight="1">
      <c r="A4416" s="7" t="s">
        <v>1065</v>
      </c>
      <c r="B4416" s="9">
        <v>113.0</v>
      </c>
      <c r="C4416" s="9">
        <v>112.0</v>
      </c>
      <c r="D4416" s="9">
        <v>59.0</v>
      </c>
      <c r="E4416" s="9">
        <v>3.0</v>
      </c>
      <c r="F4416" s="14"/>
      <c r="G4416" s="15"/>
      <c r="H4416" s="15"/>
      <c r="I4416" s="14"/>
      <c r="P4416" s="14"/>
    </row>
    <row r="4417" ht="18.75" customHeight="1">
      <c r="A4417" s="7" t="s">
        <v>1069</v>
      </c>
      <c r="B4417" s="9">
        <v>65.0</v>
      </c>
      <c r="C4417" s="9">
        <v>64.0</v>
      </c>
      <c r="D4417" s="9">
        <v>29.0</v>
      </c>
      <c r="E4417" s="9">
        <v>1.0</v>
      </c>
      <c r="F4417" s="14"/>
      <c r="G4417" s="15"/>
      <c r="H4417" s="15"/>
      <c r="I4417" s="14"/>
      <c r="P4417" s="14"/>
    </row>
    <row r="4418" ht="18.75" customHeight="1">
      <c r="A4418" s="7" t="s">
        <v>1095</v>
      </c>
      <c r="B4418" s="9">
        <v>113612.0</v>
      </c>
      <c r="C4418" s="9">
        <v>112351.0</v>
      </c>
      <c r="D4418" s="9">
        <v>21968.0</v>
      </c>
      <c r="E4418" s="9">
        <v>46.0</v>
      </c>
      <c r="F4418" s="14"/>
      <c r="G4418" s="15"/>
      <c r="H4418" s="15"/>
      <c r="I4418" s="14"/>
      <c r="P4418" s="14"/>
    </row>
    <row r="4419" ht="18.75" customHeight="1">
      <c r="A4419" s="7" t="s">
        <v>1095</v>
      </c>
      <c r="B4419" s="9">
        <v>10869.0</v>
      </c>
      <c r="C4419" s="9">
        <v>10728.0</v>
      </c>
      <c r="D4419" s="9">
        <v>1878.0</v>
      </c>
      <c r="E4419" s="9">
        <v>5.0</v>
      </c>
      <c r="F4419" s="14"/>
      <c r="G4419" s="15"/>
      <c r="H4419" s="15"/>
      <c r="I4419" s="14"/>
      <c r="P4419" s="14"/>
    </row>
    <row r="4420" ht="18.75" customHeight="1">
      <c r="A4420" s="7" t="s">
        <v>1109</v>
      </c>
      <c r="B4420" s="9">
        <v>18549.0</v>
      </c>
      <c r="C4420" s="9">
        <v>18351.0</v>
      </c>
      <c r="D4420" s="9">
        <v>3397.0</v>
      </c>
      <c r="E4420" s="9">
        <v>94.0</v>
      </c>
      <c r="F4420" s="14"/>
      <c r="G4420" s="15"/>
      <c r="H4420" s="15"/>
      <c r="I4420" s="14"/>
      <c r="P4420" s="14"/>
    </row>
    <row r="4421" ht="18.75" customHeight="1">
      <c r="A4421" s="7" t="s">
        <v>939</v>
      </c>
      <c r="B4421" s="9">
        <v>121454.0</v>
      </c>
      <c r="C4421" s="9">
        <v>120052.0</v>
      </c>
      <c r="D4421" s="9">
        <v>35370.0</v>
      </c>
      <c r="E4421" s="9">
        <v>904.0</v>
      </c>
      <c r="F4421" s="14"/>
      <c r="G4421" s="15"/>
      <c r="H4421" s="15"/>
      <c r="I4421" s="14"/>
      <c r="P4421" s="14"/>
    </row>
    <row r="4422" ht="18.75" customHeight="1">
      <c r="A4422" s="7" t="s">
        <v>939</v>
      </c>
      <c r="B4422" s="9">
        <v>235708.0</v>
      </c>
      <c r="C4422" s="9">
        <v>233218.0</v>
      </c>
      <c r="D4422" s="9">
        <v>68726.0</v>
      </c>
      <c r="E4422" s="9">
        <v>4179.0</v>
      </c>
      <c r="F4422" s="14"/>
      <c r="G4422" s="15"/>
      <c r="H4422" s="15"/>
      <c r="I4422" s="14"/>
      <c r="P4422" s="14"/>
    </row>
    <row r="4423" ht="18.75" customHeight="1">
      <c r="A4423" s="7" t="s">
        <v>1107</v>
      </c>
      <c r="B4423" s="9">
        <v>19362.0</v>
      </c>
      <c r="C4423" s="9">
        <v>19098.0</v>
      </c>
      <c r="D4423" s="9">
        <v>2826.0</v>
      </c>
      <c r="E4423" s="9">
        <v>103.0</v>
      </c>
      <c r="F4423" s="14"/>
      <c r="G4423" s="15"/>
      <c r="H4423" s="15"/>
      <c r="I4423" s="14"/>
      <c r="P4423" s="14"/>
    </row>
    <row r="4424" ht="18.75" customHeight="1">
      <c r="A4424" s="7" t="s">
        <v>356</v>
      </c>
      <c r="B4424" s="9">
        <v>1701.0</v>
      </c>
      <c r="C4424" s="9">
        <v>1683.0</v>
      </c>
      <c r="D4424" s="9">
        <v>494.0</v>
      </c>
      <c r="E4424" s="9">
        <v>39.0</v>
      </c>
      <c r="F4424" s="14"/>
      <c r="G4424" s="15"/>
      <c r="H4424" s="15"/>
      <c r="I4424" s="14"/>
      <c r="P4424" s="14"/>
    </row>
    <row r="4425" ht="18.75" customHeight="1">
      <c r="A4425" s="7" t="s">
        <v>1113</v>
      </c>
      <c r="B4425" s="9">
        <v>61770.0</v>
      </c>
      <c r="C4425" s="9">
        <v>60465.0</v>
      </c>
      <c r="D4425" s="9">
        <v>6628.0</v>
      </c>
      <c r="E4425" s="9">
        <v>178.0</v>
      </c>
      <c r="F4425" s="14"/>
      <c r="G4425" s="15"/>
      <c r="H4425" s="15"/>
      <c r="I4425" s="14"/>
      <c r="P4425" s="14"/>
    </row>
    <row r="4426" ht="18.75" customHeight="1">
      <c r="A4426" s="7" t="s">
        <v>1111</v>
      </c>
      <c r="B4426" s="9">
        <v>34902.0</v>
      </c>
      <c r="C4426" s="9">
        <v>34583.0</v>
      </c>
      <c r="D4426" s="9">
        <v>5307.0</v>
      </c>
      <c r="E4426" s="9">
        <v>274.0</v>
      </c>
      <c r="F4426" s="14"/>
      <c r="G4426" s="15"/>
      <c r="H4426" s="15"/>
      <c r="I4426" s="14"/>
      <c r="P4426" s="14"/>
    </row>
    <row r="4427" ht="18.75" customHeight="1">
      <c r="A4427" s="7" t="s">
        <v>1103</v>
      </c>
      <c r="B4427" s="9">
        <v>143038.0</v>
      </c>
      <c r="C4427" s="9">
        <v>141494.0</v>
      </c>
      <c r="D4427" s="9">
        <v>20753.0</v>
      </c>
      <c r="E4427" s="9">
        <v>467.0</v>
      </c>
      <c r="F4427" s="14"/>
      <c r="G4427" s="15"/>
      <c r="H4427" s="15"/>
      <c r="I4427" s="14"/>
      <c r="P4427" s="14"/>
    </row>
    <row r="4428" ht="18.75" customHeight="1">
      <c r="A4428" s="7" t="s">
        <v>1115</v>
      </c>
      <c r="B4428" s="9">
        <v>60153.0</v>
      </c>
      <c r="C4428" s="9">
        <v>59590.0</v>
      </c>
      <c r="D4428" s="9">
        <v>14757.0</v>
      </c>
      <c r="E4428" s="9">
        <v>410.0</v>
      </c>
      <c r="F4428" s="14"/>
      <c r="G4428" s="15"/>
      <c r="H4428" s="15"/>
      <c r="I4428" s="14"/>
      <c r="P4428" s="14"/>
    </row>
    <row r="4429" ht="18.75" customHeight="1">
      <c r="A4429" s="7" t="s">
        <v>1007</v>
      </c>
      <c r="B4429" s="9">
        <v>28012.0</v>
      </c>
      <c r="C4429" s="9">
        <v>27672.0</v>
      </c>
      <c r="D4429" s="9">
        <v>6722.0</v>
      </c>
      <c r="E4429" s="9">
        <v>249.0</v>
      </c>
      <c r="F4429" s="14"/>
      <c r="G4429" s="15"/>
      <c r="H4429" s="15"/>
      <c r="I4429" s="14"/>
      <c r="P4429" s="14"/>
    </row>
    <row r="4430" ht="18.75" customHeight="1">
      <c r="A4430" s="7" t="s">
        <v>1067</v>
      </c>
      <c r="B4430" s="9">
        <v>187.0</v>
      </c>
      <c r="C4430" s="9">
        <v>186.0</v>
      </c>
      <c r="D4430" s="9">
        <v>87.0</v>
      </c>
      <c r="E4430" s="9">
        <v>2.0</v>
      </c>
      <c r="F4430" s="14"/>
      <c r="G4430" s="15"/>
      <c r="H4430" s="15"/>
      <c r="I4430" s="14"/>
      <c r="P4430" s="14"/>
    </row>
    <row r="4431" ht="18.75" customHeight="1">
      <c r="A4431" s="7" t="s">
        <v>370</v>
      </c>
      <c r="B4431" s="9">
        <v>917.0</v>
      </c>
      <c r="C4431" s="9">
        <v>911.0</v>
      </c>
      <c r="D4431" s="9">
        <v>258.0</v>
      </c>
      <c r="E4431" s="9">
        <v>27.0</v>
      </c>
      <c r="F4431" s="14"/>
      <c r="G4431" s="15"/>
      <c r="H4431" s="15"/>
      <c r="I4431" s="14"/>
      <c r="P4431" s="14"/>
    </row>
    <row r="4432" ht="18.75" customHeight="1">
      <c r="A4432" s="7" t="s">
        <v>356</v>
      </c>
      <c r="B4432" s="9">
        <v>116.0</v>
      </c>
      <c r="C4432" s="9">
        <v>115.0</v>
      </c>
      <c r="D4432" s="9">
        <v>43.0</v>
      </c>
      <c r="E4432" s="9">
        <v>2.0</v>
      </c>
      <c r="F4432" s="14"/>
      <c r="G4432" s="15"/>
      <c r="H4432" s="15"/>
      <c r="I4432" s="14"/>
      <c r="P4432" s="14"/>
    </row>
    <row r="4433" ht="18.75" customHeight="1">
      <c r="A4433" s="7" t="s">
        <v>360</v>
      </c>
      <c r="B4433" s="9">
        <v>26556.0</v>
      </c>
      <c r="C4433" s="9">
        <v>26229.0</v>
      </c>
      <c r="D4433" s="9">
        <v>7212.0</v>
      </c>
      <c r="E4433" s="9">
        <v>77.0</v>
      </c>
      <c r="F4433" s="14"/>
      <c r="G4433" s="15"/>
      <c r="H4433" s="15"/>
      <c r="I4433" s="14"/>
      <c r="P4433" s="14"/>
    </row>
    <row r="4434" ht="18.75" customHeight="1">
      <c r="A4434" s="7" t="s">
        <v>1069</v>
      </c>
      <c r="B4434" s="9">
        <v>65.0</v>
      </c>
      <c r="C4434" s="9">
        <v>64.0</v>
      </c>
      <c r="D4434" s="9">
        <v>37.0</v>
      </c>
      <c r="E4434" s="9">
        <v>1.0</v>
      </c>
      <c r="F4434" s="14"/>
      <c r="G4434" s="15"/>
      <c r="H4434" s="15"/>
      <c r="I4434" s="14"/>
      <c r="P4434" s="14"/>
    </row>
    <row r="4435" ht="18.75" customHeight="1">
      <c r="A4435" s="7" t="s">
        <v>1107</v>
      </c>
      <c r="B4435" s="9">
        <v>120.0</v>
      </c>
      <c r="C4435" s="9">
        <v>119.0</v>
      </c>
      <c r="D4435" s="9">
        <v>48.0</v>
      </c>
      <c r="E4435" s="9">
        <v>3.0</v>
      </c>
      <c r="F4435" s="14"/>
      <c r="G4435" s="15"/>
      <c r="H4435" s="15"/>
      <c r="I4435" s="14"/>
      <c r="P4435" s="14"/>
    </row>
    <row r="4436" ht="18.75" customHeight="1">
      <c r="A4436" s="7" t="s">
        <v>1105</v>
      </c>
      <c r="B4436" s="9">
        <v>53894.0</v>
      </c>
      <c r="C4436" s="9">
        <v>52979.0</v>
      </c>
      <c r="D4436" s="9">
        <v>12777.0</v>
      </c>
      <c r="E4436" s="9">
        <v>152.0</v>
      </c>
      <c r="F4436" s="14"/>
      <c r="G4436" s="15"/>
      <c r="H4436" s="15"/>
      <c r="I4436" s="14"/>
      <c r="P4436" s="14"/>
    </row>
    <row r="4437" ht="18.75" customHeight="1">
      <c r="A4437" s="7" t="s">
        <v>1117</v>
      </c>
      <c r="B4437" s="9">
        <v>33257.0</v>
      </c>
      <c r="C4437" s="9">
        <v>32804.0</v>
      </c>
      <c r="D4437" s="9">
        <v>11501.0</v>
      </c>
      <c r="E4437" s="9">
        <v>229.0</v>
      </c>
      <c r="F4437" s="14"/>
      <c r="G4437" s="15"/>
      <c r="H4437" s="15"/>
      <c r="I4437" s="14"/>
      <c r="P4437" s="14"/>
    </row>
    <row r="4438" ht="18.75" customHeight="1">
      <c r="A4438" s="7" t="s">
        <v>1109</v>
      </c>
      <c r="B4438" s="9">
        <v>102.0</v>
      </c>
      <c r="C4438" s="9">
        <v>101.0</v>
      </c>
      <c r="D4438" s="9">
        <v>56.0</v>
      </c>
      <c r="E4438" s="9">
        <v>3.0</v>
      </c>
      <c r="F4438" s="14"/>
      <c r="G4438" s="15"/>
      <c r="H4438" s="15"/>
      <c r="I4438" s="14"/>
      <c r="P4438" s="14"/>
    </row>
    <row r="4439" ht="18.75" customHeight="1">
      <c r="A4439" s="7" t="s">
        <v>1119</v>
      </c>
      <c r="B4439" s="9">
        <v>37727.0</v>
      </c>
      <c r="C4439" s="9">
        <v>37224.0</v>
      </c>
      <c r="D4439" s="9">
        <v>6210.0</v>
      </c>
      <c r="E4439" s="9">
        <v>171.0</v>
      </c>
      <c r="F4439" s="14"/>
      <c r="G4439" s="15"/>
      <c r="H4439" s="15"/>
      <c r="I4439" s="14"/>
      <c r="P4439" s="14"/>
    </row>
    <row r="4440" ht="18.75" customHeight="1">
      <c r="A4440" s="7" t="s">
        <v>1125</v>
      </c>
      <c r="B4440" s="9">
        <v>65479.0</v>
      </c>
      <c r="C4440" s="9">
        <v>64614.0</v>
      </c>
      <c r="D4440" s="9">
        <v>10964.0</v>
      </c>
      <c r="E4440" s="9">
        <v>241.0</v>
      </c>
      <c r="F4440" s="14"/>
      <c r="G4440" s="15"/>
      <c r="H4440" s="15"/>
      <c r="I4440" s="14"/>
      <c r="P4440" s="14"/>
    </row>
    <row r="4441" ht="18.75" customHeight="1">
      <c r="A4441" s="7" t="s">
        <v>372</v>
      </c>
      <c r="B4441" s="9">
        <v>138888.0</v>
      </c>
      <c r="C4441" s="9">
        <v>137342.0</v>
      </c>
      <c r="D4441" s="9">
        <v>43138.0</v>
      </c>
      <c r="E4441" s="9">
        <v>280.0</v>
      </c>
      <c r="F4441" s="14"/>
      <c r="G4441" s="15"/>
      <c r="H4441" s="15"/>
      <c r="I4441" s="14"/>
      <c r="P4441" s="14"/>
    </row>
    <row r="4442" ht="18.75" customHeight="1">
      <c r="A4442" s="7" t="s">
        <v>366</v>
      </c>
      <c r="B4442" s="9">
        <v>1203.0</v>
      </c>
      <c r="C4442" s="9">
        <v>1196.0</v>
      </c>
      <c r="D4442" s="9">
        <v>446.0</v>
      </c>
      <c r="E4442" s="9">
        <v>28.0</v>
      </c>
      <c r="F4442" s="14"/>
      <c r="G4442" s="15"/>
      <c r="H4442" s="15"/>
      <c r="I4442" s="14"/>
      <c r="P4442" s="14"/>
    </row>
    <row r="4443" ht="18.75" customHeight="1">
      <c r="A4443" s="7" t="s">
        <v>370</v>
      </c>
      <c r="B4443" s="9">
        <v>177.0</v>
      </c>
      <c r="C4443" s="9">
        <v>174.0</v>
      </c>
      <c r="D4443" s="9">
        <v>78.0</v>
      </c>
      <c r="E4443" s="9">
        <v>9.0</v>
      </c>
      <c r="F4443" s="14"/>
      <c r="G4443" s="15"/>
      <c r="H4443" s="15"/>
      <c r="I4443" s="14"/>
      <c r="P4443" s="14"/>
    </row>
    <row r="4444" ht="18.75" customHeight="1">
      <c r="A4444" s="7" t="s">
        <v>1113</v>
      </c>
      <c r="B4444" s="9">
        <v>173.0</v>
      </c>
      <c r="C4444" s="9">
        <v>172.0</v>
      </c>
      <c r="D4444" s="9">
        <v>84.0</v>
      </c>
      <c r="E4444" s="9">
        <v>1.0</v>
      </c>
      <c r="F4444" s="14"/>
      <c r="G4444" s="15"/>
      <c r="H4444" s="15"/>
      <c r="I4444" s="14"/>
      <c r="P4444" s="14"/>
    </row>
    <row r="4445" ht="18.75" customHeight="1">
      <c r="A4445" s="7" t="s">
        <v>1121</v>
      </c>
      <c r="B4445" s="9">
        <v>61664.0</v>
      </c>
      <c r="C4445" s="9">
        <v>60425.0</v>
      </c>
      <c r="D4445" s="9">
        <v>9739.0</v>
      </c>
      <c r="E4445" s="9">
        <v>126.0</v>
      </c>
      <c r="F4445" s="14"/>
      <c r="G4445" s="15"/>
      <c r="H4445" s="15"/>
      <c r="I4445" s="14"/>
      <c r="P4445" s="14"/>
    </row>
    <row r="4446" ht="18.75" customHeight="1">
      <c r="A4446" s="7" t="s">
        <v>1103</v>
      </c>
      <c r="B4446" s="9">
        <v>73967.0</v>
      </c>
      <c r="C4446" s="9">
        <v>73048.0</v>
      </c>
      <c r="D4446" s="9">
        <v>3455.0</v>
      </c>
      <c r="E4446" s="9">
        <v>182.0</v>
      </c>
      <c r="F4446" s="14"/>
      <c r="G4446" s="15"/>
      <c r="H4446" s="15"/>
      <c r="I4446" s="14"/>
      <c r="P4446" s="14"/>
    </row>
    <row r="4447" ht="18.75" customHeight="1">
      <c r="A4447" s="7" t="s">
        <v>1103</v>
      </c>
      <c r="B4447" s="9">
        <v>118214.0</v>
      </c>
      <c r="C4447" s="9">
        <v>117044.0</v>
      </c>
      <c r="D4447" s="9">
        <v>17897.0</v>
      </c>
      <c r="E4447" s="9">
        <v>373.0</v>
      </c>
      <c r="F4447" s="14"/>
      <c r="G4447" s="15"/>
      <c r="H4447" s="15"/>
      <c r="I4447" s="14"/>
      <c r="P4447" s="14"/>
    </row>
    <row r="4448" ht="18.75" customHeight="1">
      <c r="A4448" s="7" t="s">
        <v>1139</v>
      </c>
      <c r="B4448" s="9">
        <v>23737.0</v>
      </c>
      <c r="C4448" s="9">
        <v>23525.0</v>
      </c>
      <c r="D4448" s="9">
        <v>8692.0</v>
      </c>
      <c r="E4448" s="9">
        <v>155.0</v>
      </c>
      <c r="F4448" s="14"/>
      <c r="G4448" s="15"/>
      <c r="H4448" s="15"/>
      <c r="I4448" s="14"/>
      <c r="P4448" s="14"/>
    </row>
    <row r="4449" ht="18.75" customHeight="1">
      <c r="A4449" s="7" t="s">
        <v>991</v>
      </c>
      <c r="B4449" s="9">
        <v>238045.0</v>
      </c>
      <c r="C4449" s="9">
        <v>235777.0</v>
      </c>
      <c r="D4449" s="9">
        <v>74294.0</v>
      </c>
      <c r="E4449" s="9">
        <v>4502.0</v>
      </c>
      <c r="F4449" s="14"/>
      <c r="G4449" s="15"/>
      <c r="H4449" s="15"/>
      <c r="I4449" s="14"/>
      <c r="P4449" s="14"/>
    </row>
    <row r="4450" ht="18.75" customHeight="1">
      <c r="A4450" s="7" t="s">
        <v>1037</v>
      </c>
      <c r="B4450" s="9">
        <v>502.0</v>
      </c>
      <c r="C4450" s="9">
        <v>497.0</v>
      </c>
      <c r="D4450" s="9">
        <v>285.0</v>
      </c>
      <c r="E4450" s="9">
        <v>10.0</v>
      </c>
      <c r="F4450" s="14"/>
      <c r="G4450" s="15"/>
      <c r="H4450" s="15"/>
      <c r="I4450" s="14"/>
      <c r="P4450" s="14"/>
    </row>
    <row r="4451" ht="18.75" customHeight="1">
      <c r="A4451" s="7" t="s">
        <v>1029</v>
      </c>
      <c r="B4451" s="9">
        <v>92515.0</v>
      </c>
      <c r="C4451" s="9">
        <v>91698.0</v>
      </c>
      <c r="D4451" s="9">
        <v>28321.0</v>
      </c>
      <c r="E4451" s="9">
        <v>437.0</v>
      </c>
      <c r="F4451" s="14"/>
      <c r="G4451" s="15"/>
      <c r="H4451" s="15"/>
      <c r="I4451" s="14"/>
      <c r="P4451" s="14"/>
    </row>
    <row r="4452" ht="18.75" customHeight="1">
      <c r="A4452" s="7" t="s">
        <v>1107</v>
      </c>
      <c r="B4452" s="9">
        <v>100.0</v>
      </c>
      <c r="C4452" s="9">
        <v>99.0</v>
      </c>
      <c r="D4452" s="9">
        <v>49.0</v>
      </c>
      <c r="E4452" s="9">
        <v>2.0</v>
      </c>
      <c r="F4452" s="14"/>
      <c r="G4452" s="15"/>
      <c r="H4452" s="15"/>
      <c r="I4452" s="14"/>
      <c r="P4452" s="14"/>
    </row>
    <row r="4453" ht="18.75" customHeight="1">
      <c r="A4453" s="7" t="s">
        <v>370</v>
      </c>
      <c r="B4453" s="9">
        <v>55.0</v>
      </c>
      <c r="C4453" s="9">
        <v>55.0</v>
      </c>
      <c r="D4453" s="9">
        <v>20.0</v>
      </c>
      <c r="E4453" s="9">
        <v>3.0</v>
      </c>
      <c r="F4453" s="14"/>
      <c r="G4453" s="15"/>
      <c r="H4453" s="15"/>
      <c r="I4453" s="14"/>
      <c r="P4453" s="14"/>
    </row>
    <row r="4454" ht="18.75" customHeight="1">
      <c r="A4454" s="7" t="s">
        <v>366</v>
      </c>
      <c r="B4454" s="9">
        <v>584.0</v>
      </c>
      <c r="C4454" s="9">
        <v>583.0</v>
      </c>
      <c r="D4454" s="9">
        <v>178.0</v>
      </c>
      <c r="E4454" s="9">
        <v>10.0</v>
      </c>
      <c r="F4454" s="14"/>
      <c r="G4454" s="15"/>
      <c r="H4454" s="15"/>
      <c r="I4454" s="14"/>
      <c r="P4454" s="14"/>
    </row>
    <row r="4455" ht="18.75" customHeight="1">
      <c r="A4455" s="7" t="s">
        <v>1111</v>
      </c>
      <c r="B4455" s="9">
        <v>248.0</v>
      </c>
      <c r="C4455" s="9">
        <v>247.0</v>
      </c>
      <c r="D4455" s="9">
        <v>161.0</v>
      </c>
      <c r="E4455" s="9">
        <v>4.0</v>
      </c>
      <c r="F4455" s="14"/>
      <c r="G4455" s="15"/>
      <c r="H4455" s="15"/>
      <c r="I4455" s="14"/>
      <c r="P4455" s="14"/>
    </row>
    <row r="4456" ht="18.75" customHeight="1">
      <c r="A4456" s="7" t="s">
        <v>1117</v>
      </c>
      <c r="B4456" s="9">
        <v>147.0</v>
      </c>
      <c r="C4456" s="9">
        <v>146.0</v>
      </c>
      <c r="D4456" s="9">
        <v>78.0</v>
      </c>
      <c r="E4456" s="9">
        <v>2.0</v>
      </c>
      <c r="F4456" s="14"/>
      <c r="G4456" s="15"/>
      <c r="H4456" s="15"/>
      <c r="I4456" s="14"/>
      <c r="P4456" s="14"/>
    </row>
    <row r="4457" ht="18.75" customHeight="1">
      <c r="A4457" s="7" t="s">
        <v>1141</v>
      </c>
      <c r="B4457" s="9">
        <v>77728.0</v>
      </c>
      <c r="C4457" s="9">
        <v>77015.0</v>
      </c>
      <c r="D4457" s="9">
        <v>18982.0</v>
      </c>
      <c r="E4457" s="9">
        <v>279.0</v>
      </c>
      <c r="F4457" s="14"/>
      <c r="G4457" s="15"/>
      <c r="H4457" s="15"/>
      <c r="I4457" s="14"/>
      <c r="P4457" s="14"/>
    </row>
    <row r="4458" ht="18.75" customHeight="1">
      <c r="A4458" s="7" t="s">
        <v>1119</v>
      </c>
      <c r="B4458" s="9">
        <v>159.0</v>
      </c>
      <c r="C4458" s="9">
        <v>158.0</v>
      </c>
      <c r="D4458" s="9">
        <v>98.0</v>
      </c>
      <c r="E4458" s="9">
        <v>3.0</v>
      </c>
      <c r="F4458" s="14"/>
      <c r="G4458" s="15"/>
      <c r="H4458" s="15"/>
      <c r="I4458" s="14"/>
      <c r="P4458" s="14"/>
    </row>
    <row r="4459" ht="18.75" customHeight="1">
      <c r="A4459" s="7" t="s">
        <v>1109</v>
      </c>
      <c r="B4459" s="9">
        <v>101.0</v>
      </c>
      <c r="C4459" s="9">
        <v>100.0</v>
      </c>
      <c r="D4459" s="9">
        <v>46.0</v>
      </c>
      <c r="E4459" s="9">
        <v>2.0</v>
      </c>
      <c r="F4459" s="14"/>
      <c r="G4459" s="15"/>
      <c r="H4459" s="15"/>
      <c r="I4459" s="14"/>
      <c r="P4459" s="14"/>
    </row>
    <row r="4460" ht="18.75" customHeight="1">
      <c r="A4460" s="7" t="s">
        <v>1125</v>
      </c>
      <c r="B4460" s="9">
        <v>194.0</v>
      </c>
      <c r="C4460" s="9">
        <v>192.0</v>
      </c>
      <c r="D4460" s="9">
        <v>120.0</v>
      </c>
      <c r="E4460" s="9">
        <v>2.0</v>
      </c>
      <c r="F4460" s="14"/>
      <c r="G4460" s="15"/>
      <c r="H4460" s="15"/>
      <c r="I4460" s="14"/>
      <c r="P4460" s="14"/>
    </row>
    <row r="4461" ht="18.75" customHeight="1">
      <c r="A4461" s="7" t="s">
        <v>1113</v>
      </c>
      <c r="B4461" s="9">
        <v>172.0</v>
      </c>
      <c r="C4461" s="9">
        <v>171.0</v>
      </c>
      <c r="D4461" s="9">
        <v>62.0</v>
      </c>
      <c r="E4461" s="9">
        <v>1.0</v>
      </c>
      <c r="F4461" s="14"/>
      <c r="G4461" s="15"/>
      <c r="H4461" s="15"/>
      <c r="I4461" s="14"/>
      <c r="P4461" s="14"/>
    </row>
    <row r="4462" ht="18.75" customHeight="1">
      <c r="A4462" s="7" t="s">
        <v>1121</v>
      </c>
      <c r="B4462" s="9">
        <v>101.0</v>
      </c>
      <c r="C4462" s="9">
        <v>100.0</v>
      </c>
      <c r="D4462" s="9">
        <v>46.0</v>
      </c>
      <c r="E4462" s="9">
        <v>4.0</v>
      </c>
      <c r="F4462" s="14"/>
      <c r="G4462" s="15"/>
      <c r="H4462" s="15"/>
      <c r="I4462" s="14"/>
      <c r="P4462" s="14"/>
    </row>
    <row r="4463" ht="18.75" customHeight="1">
      <c r="A4463" s="7" t="s">
        <v>1103</v>
      </c>
      <c r="B4463" s="9">
        <v>615.0</v>
      </c>
      <c r="C4463" s="9">
        <v>614.0</v>
      </c>
      <c r="D4463" s="9">
        <v>381.0</v>
      </c>
      <c r="E4463" s="9">
        <v>6.0</v>
      </c>
      <c r="F4463" s="14"/>
      <c r="G4463" s="15"/>
      <c r="H4463" s="15"/>
      <c r="I4463" s="14"/>
      <c r="P4463" s="14"/>
    </row>
    <row r="4464" ht="18.75" customHeight="1">
      <c r="A4464" s="7" t="s">
        <v>1133</v>
      </c>
      <c r="B4464" s="9">
        <v>18202.0</v>
      </c>
      <c r="C4464" s="9">
        <v>17957.0</v>
      </c>
      <c r="D4464" s="9">
        <v>3179.0</v>
      </c>
      <c r="E4464" s="9">
        <v>62.0</v>
      </c>
      <c r="F4464" s="14"/>
      <c r="G4464" s="15"/>
      <c r="H4464" s="15"/>
      <c r="I4464" s="14"/>
      <c r="P4464" s="14"/>
    </row>
    <row r="4465" ht="18.75" customHeight="1">
      <c r="A4465" s="7" t="s">
        <v>1127</v>
      </c>
      <c r="B4465" s="9">
        <v>197079.0</v>
      </c>
      <c r="C4465" s="9">
        <v>195935.0</v>
      </c>
      <c r="D4465" s="9">
        <v>124790.0</v>
      </c>
      <c r="E4465" s="9">
        <v>2949.0</v>
      </c>
      <c r="F4465" s="14"/>
      <c r="G4465" s="15"/>
      <c r="H4465" s="15"/>
      <c r="I4465" s="14"/>
      <c r="P4465" s="14"/>
    </row>
    <row r="4466" ht="18.75" customHeight="1">
      <c r="A4466" s="7" t="s">
        <v>1165</v>
      </c>
      <c r="B4466" s="9">
        <v>17002.0</v>
      </c>
      <c r="C4466" s="9">
        <v>16769.0</v>
      </c>
      <c r="D4466" s="9">
        <v>5755.0</v>
      </c>
      <c r="E4466" s="9">
        <v>292.0</v>
      </c>
      <c r="F4466" s="14"/>
      <c r="G4466" s="15"/>
      <c r="H4466" s="15"/>
      <c r="I4466" s="14"/>
      <c r="P4466" s="14"/>
    </row>
    <row r="4467" ht="18.75" customHeight="1">
      <c r="A4467" s="7" t="s">
        <v>1173</v>
      </c>
      <c r="B4467" s="9">
        <v>28041.0</v>
      </c>
      <c r="C4467" s="9">
        <v>27773.0</v>
      </c>
      <c r="D4467" s="9">
        <v>9931.0</v>
      </c>
      <c r="E4467" s="9">
        <v>418.0</v>
      </c>
      <c r="F4467" s="14"/>
      <c r="G4467" s="15"/>
      <c r="H4467" s="15"/>
      <c r="I4467" s="14"/>
      <c r="P4467" s="14"/>
    </row>
    <row r="4468" ht="18.75" customHeight="1">
      <c r="A4468" s="7" t="s">
        <v>1175</v>
      </c>
      <c r="B4468" s="9">
        <v>7283.0</v>
      </c>
      <c r="C4468" s="9">
        <v>7145.0</v>
      </c>
      <c r="D4468" s="9">
        <v>2006.0</v>
      </c>
      <c r="E4468" s="9">
        <v>98.0</v>
      </c>
      <c r="F4468" s="14"/>
      <c r="G4468" s="15"/>
      <c r="H4468" s="15"/>
      <c r="I4468" s="14"/>
      <c r="P4468" s="14"/>
    </row>
    <row r="4469" ht="18.75" customHeight="1">
      <c r="A4469" s="7" t="s">
        <v>1101</v>
      </c>
      <c r="B4469" s="9">
        <v>122515.0</v>
      </c>
      <c r="C4469" s="9">
        <v>121455.0</v>
      </c>
      <c r="D4469" s="9">
        <v>28479.0</v>
      </c>
      <c r="E4469" s="9">
        <v>203.0</v>
      </c>
      <c r="F4469" s="14"/>
      <c r="G4469" s="15"/>
      <c r="H4469" s="15"/>
      <c r="I4469" s="14"/>
      <c r="P4469" s="14"/>
    </row>
    <row r="4470" ht="18.75" customHeight="1">
      <c r="A4470" s="7" t="s">
        <v>1153</v>
      </c>
      <c r="B4470" s="9">
        <v>1686.0</v>
      </c>
      <c r="C4470" s="9">
        <v>1683.0</v>
      </c>
      <c r="D4470" s="9">
        <v>753.0</v>
      </c>
      <c r="E4470" s="9">
        <v>122.0</v>
      </c>
      <c r="F4470" s="14"/>
      <c r="G4470" s="15"/>
      <c r="H4470" s="15"/>
      <c r="I4470" s="14"/>
      <c r="P4470" s="14"/>
    </row>
    <row r="4471" ht="18.75" customHeight="1">
      <c r="A4471" s="7" t="s">
        <v>1111</v>
      </c>
      <c r="B4471" s="9">
        <v>236.0</v>
      </c>
      <c r="C4471" s="9">
        <v>235.0</v>
      </c>
      <c r="D4471" s="9">
        <v>100.0</v>
      </c>
      <c r="E4471" s="9">
        <v>3.0</v>
      </c>
      <c r="F4471" s="14"/>
      <c r="G4471" s="15"/>
      <c r="H4471" s="15"/>
      <c r="I4471" s="14"/>
      <c r="P4471" s="14"/>
    </row>
    <row r="4472" ht="18.75" customHeight="1">
      <c r="A4472" s="7" t="s">
        <v>1111</v>
      </c>
      <c r="B4472" s="9">
        <v>5688.0</v>
      </c>
      <c r="C4472" s="9">
        <v>5686.0</v>
      </c>
      <c r="D4472" s="9">
        <v>4146.0</v>
      </c>
      <c r="E4472" s="9">
        <v>23.0</v>
      </c>
      <c r="F4472" s="14"/>
      <c r="G4472" s="15"/>
      <c r="H4472" s="15"/>
      <c r="I4472" s="14"/>
      <c r="P4472" s="14"/>
    </row>
    <row r="4473" ht="18.75" customHeight="1">
      <c r="A4473" s="7" t="s">
        <v>1115</v>
      </c>
      <c r="B4473" s="9">
        <v>228.0</v>
      </c>
      <c r="C4473" s="9">
        <v>227.0</v>
      </c>
      <c r="D4473" s="9">
        <v>148.0</v>
      </c>
      <c r="E4473" s="9">
        <v>3.0</v>
      </c>
      <c r="F4473" s="14"/>
      <c r="G4473" s="15"/>
      <c r="H4473" s="15"/>
      <c r="I4473" s="14"/>
      <c r="P4473" s="14"/>
    </row>
    <row r="4474" ht="18.75" customHeight="1">
      <c r="A4474" s="7" t="s">
        <v>1157</v>
      </c>
      <c r="B4474" s="9">
        <v>71243.0</v>
      </c>
      <c r="C4474" s="9">
        <v>70465.0</v>
      </c>
      <c r="D4474" s="9">
        <v>13348.0</v>
      </c>
      <c r="E4474" s="9">
        <v>229.0</v>
      </c>
      <c r="F4474" s="14"/>
      <c r="G4474" s="15"/>
      <c r="H4474" s="15"/>
      <c r="I4474" s="14"/>
      <c r="P4474" s="14"/>
    </row>
    <row r="4475" ht="18.75" customHeight="1">
      <c r="A4475" s="7" t="s">
        <v>1119</v>
      </c>
      <c r="B4475" s="9">
        <v>159.0</v>
      </c>
      <c r="C4475" s="9">
        <v>158.0</v>
      </c>
      <c r="D4475" s="9">
        <v>75.0</v>
      </c>
      <c r="E4475" s="9">
        <v>3.0</v>
      </c>
      <c r="F4475" s="14"/>
      <c r="G4475" s="15"/>
      <c r="H4475" s="15"/>
      <c r="I4475" s="14"/>
      <c r="P4475" s="14"/>
    </row>
    <row r="4476" ht="18.75" customHeight="1">
      <c r="A4476" s="7" t="s">
        <v>1097</v>
      </c>
      <c r="B4476" s="9">
        <v>204.0</v>
      </c>
      <c r="C4476" s="9">
        <v>204.0</v>
      </c>
      <c r="D4476" s="9">
        <v>76.0</v>
      </c>
      <c r="E4476" s="9">
        <v>39.0</v>
      </c>
      <c r="F4476" s="14"/>
      <c r="G4476" s="15"/>
      <c r="H4476" s="15"/>
      <c r="I4476" s="14"/>
      <c r="P4476" s="14"/>
    </row>
    <row r="4477" ht="18.75" customHeight="1">
      <c r="A4477" s="7" t="s">
        <v>1097</v>
      </c>
      <c r="B4477" s="9">
        <v>13018.0</v>
      </c>
      <c r="C4477" s="9">
        <v>12973.0</v>
      </c>
      <c r="D4477" s="9">
        <v>6356.0</v>
      </c>
      <c r="E4477" s="9">
        <v>3119.0</v>
      </c>
      <c r="F4477" s="14"/>
      <c r="G4477" s="15"/>
      <c r="H4477" s="15"/>
      <c r="I4477" s="14"/>
      <c r="P4477" s="14"/>
    </row>
    <row r="4478" ht="18.75" customHeight="1">
      <c r="A4478" s="7" t="s">
        <v>1147</v>
      </c>
      <c r="B4478" s="9">
        <v>127033.0</v>
      </c>
      <c r="C4478" s="9">
        <v>125617.0</v>
      </c>
      <c r="D4478" s="9">
        <v>40055.0</v>
      </c>
      <c r="E4478" s="9">
        <v>5831.0</v>
      </c>
      <c r="F4478" s="14"/>
      <c r="G4478" s="15"/>
      <c r="H4478" s="15"/>
      <c r="I4478" s="14"/>
      <c r="P4478" s="14"/>
    </row>
    <row r="4479" ht="18.75" customHeight="1">
      <c r="A4479" s="7" t="s">
        <v>509</v>
      </c>
      <c r="B4479" s="9">
        <v>26182.0</v>
      </c>
      <c r="C4479" s="9">
        <v>26169.0</v>
      </c>
      <c r="D4479" s="9">
        <v>10228.0</v>
      </c>
      <c r="E4479" s="9">
        <v>1727.0</v>
      </c>
      <c r="F4479" s="14"/>
      <c r="G4479" s="15"/>
      <c r="H4479" s="15"/>
      <c r="I4479" s="14"/>
      <c r="P4479" s="14"/>
    </row>
    <row r="4480" ht="18.75" customHeight="1">
      <c r="A4480" s="7" t="s">
        <v>509</v>
      </c>
      <c r="B4480" s="9">
        <v>6961.0</v>
      </c>
      <c r="C4480" s="9">
        <v>6943.0</v>
      </c>
      <c r="D4480" s="9">
        <v>2300.0</v>
      </c>
      <c r="E4480" s="9">
        <v>346.0</v>
      </c>
      <c r="F4480" s="14"/>
      <c r="G4480" s="15"/>
      <c r="H4480" s="15"/>
      <c r="I4480" s="14"/>
      <c r="P4480" s="14"/>
    </row>
    <row r="4481" ht="18.75" customHeight="1">
      <c r="A4481" s="7" t="s">
        <v>1183</v>
      </c>
      <c r="B4481" s="9">
        <v>24418.0</v>
      </c>
      <c r="C4481" s="9">
        <v>24127.0</v>
      </c>
      <c r="D4481" s="9">
        <v>3584.0</v>
      </c>
      <c r="E4481" s="9">
        <v>214.0</v>
      </c>
      <c r="F4481" s="14"/>
      <c r="G4481" s="15"/>
      <c r="H4481" s="15"/>
      <c r="I4481" s="14"/>
      <c r="P4481" s="14"/>
    </row>
    <row r="4482" ht="18.75" customHeight="1">
      <c r="A4482" s="7" t="s">
        <v>1125</v>
      </c>
      <c r="B4482" s="9">
        <v>173.0</v>
      </c>
      <c r="C4482" s="9">
        <v>172.0</v>
      </c>
      <c r="D4482" s="9">
        <v>81.0</v>
      </c>
      <c r="E4482" s="9">
        <v>2.0</v>
      </c>
      <c r="F4482" s="14"/>
      <c r="G4482" s="15"/>
      <c r="H4482" s="15"/>
      <c r="I4482" s="14"/>
      <c r="P4482" s="14"/>
    </row>
    <row r="4483" ht="18.75" customHeight="1">
      <c r="A4483" s="7" t="s">
        <v>926</v>
      </c>
      <c r="B4483" s="9">
        <v>119965.0</v>
      </c>
      <c r="C4483" s="9">
        <v>118884.0</v>
      </c>
      <c r="D4483" s="9">
        <v>49015.0</v>
      </c>
      <c r="E4483" s="9">
        <v>2026.0</v>
      </c>
      <c r="F4483" s="14"/>
      <c r="G4483" s="15"/>
      <c r="H4483" s="15"/>
      <c r="I4483" s="14"/>
      <c r="P4483" s="14"/>
    </row>
    <row r="4484" ht="18.75" customHeight="1">
      <c r="A4484" s="7" t="s">
        <v>926</v>
      </c>
      <c r="B4484" s="9">
        <v>240019.0</v>
      </c>
      <c r="C4484" s="9">
        <v>237863.0</v>
      </c>
      <c r="D4484" s="9">
        <v>99871.0</v>
      </c>
      <c r="E4484" s="9">
        <v>7088.0</v>
      </c>
      <c r="F4484" s="14"/>
      <c r="G4484" s="15"/>
      <c r="H4484" s="15"/>
      <c r="I4484" s="14"/>
      <c r="P4484" s="14"/>
    </row>
    <row r="4485" ht="18.75" customHeight="1">
      <c r="A4485" s="7" t="s">
        <v>1161</v>
      </c>
      <c r="B4485" s="9">
        <v>15467.0</v>
      </c>
      <c r="C4485" s="9">
        <v>15255.0</v>
      </c>
      <c r="D4485" s="9">
        <v>3913.0</v>
      </c>
      <c r="E4485" s="9">
        <v>97.0</v>
      </c>
      <c r="F4485" s="14"/>
      <c r="G4485" s="15"/>
      <c r="H4485" s="15"/>
      <c r="I4485" s="14"/>
      <c r="P4485" s="14"/>
    </row>
    <row r="4486" ht="18.75" customHeight="1">
      <c r="A4486" s="7" t="s">
        <v>370</v>
      </c>
      <c r="B4486" s="9">
        <v>1011.0</v>
      </c>
      <c r="C4486" s="9">
        <v>999.0</v>
      </c>
      <c r="D4486" s="9">
        <v>314.0</v>
      </c>
      <c r="E4486" s="9">
        <v>13.0</v>
      </c>
      <c r="F4486" s="14"/>
      <c r="G4486" s="15"/>
      <c r="H4486" s="15"/>
      <c r="I4486" s="14"/>
      <c r="P4486" s="14"/>
    </row>
    <row r="4487" ht="18.75" customHeight="1">
      <c r="A4487" s="7" t="s">
        <v>372</v>
      </c>
      <c r="B4487" s="9">
        <v>6089.0</v>
      </c>
      <c r="C4487" s="9">
        <v>6017.0</v>
      </c>
      <c r="D4487" s="9">
        <v>1904.0</v>
      </c>
      <c r="E4487" s="9">
        <v>14.0</v>
      </c>
      <c r="F4487" s="14"/>
      <c r="G4487" s="15"/>
      <c r="H4487" s="15"/>
      <c r="I4487" s="14"/>
      <c r="P4487" s="14"/>
    </row>
    <row r="4488" ht="18.75" customHeight="1">
      <c r="A4488" s="7" t="s">
        <v>366</v>
      </c>
      <c r="B4488" s="9">
        <v>1651.0</v>
      </c>
      <c r="C4488" s="9">
        <v>1632.0</v>
      </c>
      <c r="D4488" s="9">
        <v>605.0</v>
      </c>
      <c r="E4488" s="9">
        <v>33.0</v>
      </c>
      <c r="F4488" s="14"/>
      <c r="G4488" s="15"/>
      <c r="H4488" s="15"/>
      <c r="I4488" s="14"/>
      <c r="P4488" s="14"/>
    </row>
    <row r="4489" ht="18.75" customHeight="1">
      <c r="A4489" s="7" t="s">
        <v>366</v>
      </c>
      <c r="B4489" s="9">
        <v>926.0</v>
      </c>
      <c r="C4489" s="9">
        <v>913.0</v>
      </c>
      <c r="D4489" s="9">
        <v>281.0</v>
      </c>
      <c r="E4489" s="9">
        <v>15.0</v>
      </c>
      <c r="F4489" s="14"/>
      <c r="G4489" s="15"/>
      <c r="H4489" s="15"/>
      <c r="I4489" s="14"/>
      <c r="P4489" s="14"/>
    </row>
    <row r="4490" ht="18.75" customHeight="1">
      <c r="A4490" s="7" t="s">
        <v>356</v>
      </c>
      <c r="B4490" s="9">
        <v>991.0</v>
      </c>
      <c r="C4490" s="9">
        <v>983.0</v>
      </c>
      <c r="D4490" s="9">
        <v>448.0</v>
      </c>
      <c r="E4490" s="9">
        <v>10.0</v>
      </c>
      <c r="F4490" s="14"/>
      <c r="G4490" s="15"/>
      <c r="H4490" s="15"/>
      <c r="I4490" s="14"/>
      <c r="P4490" s="14"/>
    </row>
    <row r="4491" ht="18.75" customHeight="1">
      <c r="A4491" s="7" t="s">
        <v>368</v>
      </c>
      <c r="B4491" s="9">
        <v>110.0</v>
      </c>
      <c r="C4491" s="9">
        <v>108.0</v>
      </c>
      <c r="D4491" s="9">
        <v>33.0</v>
      </c>
      <c r="E4491" s="9">
        <v>5.0</v>
      </c>
      <c r="F4491" s="14"/>
      <c r="G4491" s="15"/>
      <c r="H4491" s="15"/>
      <c r="I4491" s="14"/>
      <c r="P4491" s="14"/>
    </row>
    <row r="4492" ht="18.75" customHeight="1">
      <c r="A4492" s="7" t="s">
        <v>360</v>
      </c>
      <c r="B4492" s="9">
        <v>21930.0</v>
      </c>
      <c r="C4492" s="9">
        <v>21691.0</v>
      </c>
      <c r="D4492" s="9">
        <v>6031.0</v>
      </c>
      <c r="E4492" s="9">
        <v>64.0</v>
      </c>
      <c r="F4492" s="14"/>
      <c r="G4492" s="15"/>
      <c r="H4492" s="15"/>
      <c r="I4492" s="14"/>
      <c r="P4492" s="14"/>
    </row>
    <row r="4493" ht="18.75" customHeight="1">
      <c r="A4493" s="7" t="s">
        <v>1159</v>
      </c>
      <c r="B4493" s="9">
        <v>66963.0</v>
      </c>
      <c r="C4493" s="9">
        <v>66064.0</v>
      </c>
      <c r="D4493" s="9">
        <v>9496.0</v>
      </c>
      <c r="E4493" s="9">
        <v>257.0</v>
      </c>
      <c r="F4493" s="14"/>
      <c r="G4493" s="15"/>
      <c r="H4493" s="15"/>
      <c r="I4493" s="14"/>
      <c r="P4493" s="14"/>
    </row>
    <row r="4494" ht="18.75" customHeight="1">
      <c r="A4494" s="7" t="s">
        <v>1191</v>
      </c>
      <c r="B4494" s="9">
        <v>226292.0</v>
      </c>
      <c r="C4494" s="9">
        <v>223872.0</v>
      </c>
      <c r="D4494" s="9">
        <v>84657.0</v>
      </c>
      <c r="E4494" s="9">
        <v>2588.0</v>
      </c>
      <c r="F4494" s="14"/>
      <c r="G4494" s="15"/>
      <c r="H4494" s="15"/>
      <c r="I4494" s="14"/>
      <c r="P4494" s="14"/>
    </row>
    <row r="4495" ht="18.75" customHeight="1">
      <c r="A4495" s="7" t="s">
        <v>926</v>
      </c>
      <c r="B4495" s="9">
        <v>196816.0</v>
      </c>
      <c r="C4495" s="9">
        <v>194565.0</v>
      </c>
      <c r="D4495" s="9">
        <v>68304.0</v>
      </c>
      <c r="E4495" s="9">
        <v>1144.0</v>
      </c>
      <c r="F4495" s="14"/>
      <c r="G4495" s="15"/>
      <c r="H4495" s="15"/>
      <c r="I4495" s="14"/>
      <c r="P4495" s="14"/>
    </row>
    <row r="4496" ht="18.75" customHeight="1">
      <c r="A4496" s="7" t="s">
        <v>926</v>
      </c>
      <c r="B4496" s="9">
        <v>263863.0</v>
      </c>
      <c r="C4496" s="9">
        <v>261456.0</v>
      </c>
      <c r="D4496" s="9">
        <v>97476.0</v>
      </c>
      <c r="E4496" s="9">
        <v>2836.0</v>
      </c>
      <c r="F4496" s="14"/>
      <c r="G4496" s="15"/>
      <c r="H4496" s="15"/>
      <c r="I4496" s="14"/>
      <c r="P4496" s="14"/>
    </row>
    <row r="4497" ht="18.75" customHeight="1">
      <c r="A4497" s="7" t="s">
        <v>1159</v>
      </c>
      <c r="B4497" s="9">
        <v>136.0</v>
      </c>
      <c r="C4497" s="9">
        <v>135.0</v>
      </c>
      <c r="D4497" s="9">
        <v>88.0</v>
      </c>
      <c r="E4497" s="9">
        <v>1.0</v>
      </c>
      <c r="F4497" s="14"/>
      <c r="G4497" s="15"/>
      <c r="H4497" s="15"/>
      <c r="I4497" s="14"/>
      <c r="P4497" s="14"/>
    </row>
    <row r="4498" ht="18.75" customHeight="1">
      <c r="A4498" s="7" t="s">
        <v>1117</v>
      </c>
      <c r="B4498" s="9">
        <v>147.0</v>
      </c>
      <c r="C4498" s="9">
        <v>145.0</v>
      </c>
      <c r="D4498" s="9">
        <v>50.0</v>
      </c>
      <c r="E4498" s="9">
        <v>0.0</v>
      </c>
      <c r="F4498" s="14"/>
      <c r="G4498" s="15"/>
      <c r="H4498" s="15"/>
      <c r="I4498" s="14"/>
      <c r="P4498" s="14"/>
    </row>
    <row r="4499" ht="18.75" customHeight="1">
      <c r="A4499" s="7" t="s">
        <v>1169</v>
      </c>
      <c r="B4499" s="9">
        <v>81642.0</v>
      </c>
      <c r="C4499" s="9">
        <v>80863.0</v>
      </c>
      <c r="D4499" s="9">
        <v>20781.0</v>
      </c>
      <c r="E4499" s="9">
        <v>377.0</v>
      </c>
      <c r="F4499" s="14"/>
      <c r="G4499" s="15"/>
      <c r="H4499" s="15"/>
      <c r="I4499" s="14"/>
      <c r="P4499" s="14"/>
    </row>
    <row r="4500" ht="18.75" customHeight="1">
      <c r="A4500" s="7" t="s">
        <v>1177</v>
      </c>
      <c r="B4500" s="9">
        <v>9882.0</v>
      </c>
      <c r="C4500" s="9">
        <v>9778.0</v>
      </c>
      <c r="D4500" s="9">
        <v>4012.0</v>
      </c>
      <c r="E4500" s="9">
        <v>256.0</v>
      </c>
      <c r="F4500" s="14"/>
      <c r="G4500" s="15"/>
      <c r="H4500" s="15"/>
      <c r="I4500" s="14"/>
      <c r="P4500" s="14"/>
    </row>
    <row r="4501" ht="18.75" customHeight="1">
      <c r="A4501" s="7" t="s">
        <v>1179</v>
      </c>
      <c r="B4501" s="9">
        <v>16967.0</v>
      </c>
      <c r="C4501" s="9">
        <v>16777.0</v>
      </c>
      <c r="D4501" s="9">
        <v>6262.0</v>
      </c>
      <c r="E4501" s="9">
        <v>347.0</v>
      </c>
      <c r="F4501" s="14"/>
      <c r="G4501" s="15"/>
      <c r="H4501" s="15"/>
      <c r="I4501" s="14"/>
      <c r="P4501" s="14"/>
    </row>
    <row r="4502" ht="18.75" customHeight="1">
      <c r="A4502" s="7" t="s">
        <v>1181</v>
      </c>
      <c r="B4502" s="9">
        <v>15329.0</v>
      </c>
      <c r="C4502" s="9">
        <v>15173.0</v>
      </c>
      <c r="D4502" s="9">
        <v>6234.0</v>
      </c>
      <c r="E4502" s="9">
        <v>238.0</v>
      </c>
      <c r="F4502" s="14"/>
      <c r="G4502" s="15"/>
      <c r="H4502" s="15"/>
      <c r="I4502" s="14"/>
      <c r="P4502" s="14"/>
    </row>
    <row r="4503" ht="18.75" customHeight="1">
      <c r="A4503" s="7" t="s">
        <v>1189</v>
      </c>
      <c r="B4503" s="9">
        <v>5974.0</v>
      </c>
      <c r="C4503" s="9">
        <v>5825.0</v>
      </c>
      <c r="D4503" s="9">
        <v>1751.0</v>
      </c>
      <c r="E4503" s="9">
        <v>166.0</v>
      </c>
      <c r="F4503" s="14"/>
      <c r="G4503" s="15"/>
      <c r="H4503" s="15"/>
      <c r="I4503" s="14"/>
      <c r="P4503" s="14"/>
    </row>
    <row r="4504" ht="18.75" customHeight="1">
      <c r="A4504" s="7" t="s">
        <v>1203</v>
      </c>
      <c r="B4504" s="9">
        <v>174291.0</v>
      </c>
      <c r="C4504" s="9">
        <v>172584.0</v>
      </c>
      <c r="D4504" s="9">
        <v>68787.0</v>
      </c>
      <c r="E4504" s="9">
        <v>609.0</v>
      </c>
      <c r="F4504" s="14"/>
      <c r="G4504" s="15"/>
      <c r="H4504" s="15"/>
      <c r="I4504" s="14"/>
      <c r="P4504" s="14"/>
    </row>
    <row r="4505" ht="18.75" customHeight="1">
      <c r="A4505" s="7" t="s">
        <v>1161</v>
      </c>
      <c r="B4505" s="9">
        <v>112.0</v>
      </c>
      <c r="C4505" s="9">
        <v>109.0</v>
      </c>
      <c r="D4505" s="9">
        <v>59.0</v>
      </c>
      <c r="E4505" s="9">
        <v>1.0</v>
      </c>
      <c r="F4505" s="14"/>
      <c r="G4505" s="15"/>
      <c r="H4505" s="15"/>
      <c r="I4505" s="14"/>
      <c r="P4505" s="14"/>
    </row>
    <row r="4506" ht="18.75" customHeight="1">
      <c r="A4506" s="7" t="s">
        <v>1171</v>
      </c>
      <c r="B4506" s="9">
        <v>85460.0</v>
      </c>
      <c r="C4506" s="9">
        <v>84362.0</v>
      </c>
      <c r="D4506" s="9">
        <v>15454.0</v>
      </c>
      <c r="E4506" s="9">
        <v>302.0</v>
      </c>
      <c r="F4506" s="14"/>
      <c r="G4506" s="15"/>
      <c r="H4506" s="15"/>
      <c r="I4506" s="14"/>
      <c r="P4506" s="14"/>
    </row>
    <row r="4507" ht="18.75" customHeight="1">
      <c r="A4507" s="7" t="s">
        <v>1163</v>
      </c>
      <c r="B4507" s="9">
        <v>81792.0</v>
      </c>
      <c r="C4507" s="9">
        <v>80412.0</v>
      </c>
      <c r="D4507" s="9">
        <v>13216.0</v>
      </c>
      <c r="E4507" s="9">
        <v>326.0</v>
      </c>
      <c r="F4507" s="14"/>
      <c r="G4507" s="15"/>
      <c r="H4507" s="15"/>
      <c r="I4507" s="14"/>
      <c r="P4507" s="14"/>
    </row>
    <row r="4508" ht="18.75" customHeight="1">
      <c r="A4508" s="7" t="s">
        <v>1121</v>
      </c>
      <c r="B4508" s="9">
        <v>80.0</v>
      </c>
      <c r="C4508" s="9">
        <v>79.0</v>
      </c>
      <c r="D4508" s="9">
        <v>35.0</v>
      </c>
      <c r="E4508" s="9">
        <v>0.0</v>
      </c>
      <c r="F4508" s="14"/>
      <c r="G4508" s="15"/>
      <c r="H4508" s="15"/>
      <c r="I4508" s="14"/>
      <c r="P4508" s="14"/>
    </row>
    <row r="4509" ht="18.75" customHeight="1">
      <c r="A4509" s="7" t="s">
        <v>1157</v>
      </c>
      <c r="B4509" s="9">
        <v>110.0</v>
      </c>
      <c r="C4509" s="9">
        <v>109.0</v>
      </c>
      <c r="D4509" s="9">
        <v>53.0</v>
      </c>
      <c r="E4509" s="9">
        <v>1.0</v>
      </c>
      <c r="F4509" s="14"/>
      <c r="G4509" s="15"/>
      <c r="H4509" s="15"/>
      <c r="I4509" s="14"/>
      <c r="P4509" s="14"/>
    </row>
    <row r="4510" ht="18.75" customHeight="1">
      <c r="A4510" s="7" t="s">
        <v>1205</v>
      </c>
      <c r="B4510" s="9">
        <v>66292.0</v>
      </c>
      <c r="C4510" s="9">
        <v>65412.0</v>
      </c>
      <c r="D4510" s="9">
        <v>19048.0</v>
      </c>
      <c r="E4510" s="9">
        <v>80.0</v>
      </c>
      <c r="F4510" s="14"/>
      <c r="G4510" s="15"/>
      <c r="H4510" s="15"/>
      <c r="I4510" s="14"/>
      <c r="P4510" s="14"/>
    </row>
    <row r="4511" ht="18.75" customHeight="1">
      <c r="A4511" s="7" t="s">
        <v>1227</v>
      </c>
      <c r="B4511" s="9">
        <v>124025.0</v>
      </c>
      <c r="C4511" s="9">
        <v>122808.0</v>
      </c>
      <c r="D4511" s="9">
        <v>50903.0</v>
      </c>
      <c r="E4511" s="9">
        <v>333.0</v>
      </c>
      <c r="F4511" s="14"/>
      <c r="G4511" s="15"/>
      <c r="H4511" s="15"/>
      <c r="I4511" s="14"/>
      <c r="P4511" s="14"/>
    </row>
    <row r="4512" ht="18.75" customHeight="1">
      <c r="A4512" s="7" t="s">
        <v>1199</v>
      </c>
      <c r="B4512" s="9">
        <v>90621.0</v>
      </c>
      <c r="C4512" s="9">
        <v>89620.0</v>
      </c>
      <c r="D4512" s="9">
        <v>26150.0</v>
      </c>
      <c r="E4512" s="9">
        <v>662.0</v>
      </c>
      <c r="F4512" s="14"/>
      <c r="G4512" s="15"/>
      <c r="H4512" s="15"/>
      <c r="I4512" s="14"/>
      <c r="P4512" s="14"/>
    </row>
    <row r="4513" ht="18.75" customHeight="1">
      <c r="A4513" s="7" t="s">
        <v>989</v>
      </c>
      <c r="B4513" s="9">
        <v>189235.0</v>
      </c>
      <c r="C4513" s="9">
        <v>186951.0</v>
      </c>
      <c r="D4513" s="9">
        <v>34843.0</v>
      </c>
      <c r="E4513" s="9">
        <v>283.0</v>
      </c>
      <c r="F4513" s="14"/>
      <c r="G4513" s="15"/>
      <c r="H4513" s="15"/>
      <c r="I4513" s="14"/>
      <c r="P4513" s="14"/>
    </row>
    <row r="4514" ht="18.75" customHeight="1">
      <c r="A4514" s="7" t="s">
        <v>1159</v>
      </c>
      <c r="B4514" s="9">
        <v>143.0</v>
      </c>
      <c r="C4514" s="9">
        <v>142.0</v>
      </c>
      <c r="D4514" s="9">
        <v>63.0</v>
      </c>
      <c r="E4514" s="9">
        <v>2.0</v>
      </c>
      <c r="F4514" s="14"/>
      <c r="G4514" s="15"/>
      <c r="H4514" s="15"/>
      <c r="I4514" s="14"/>
      <c r="P4514" s="14"/>
    </row>
    <row r="4515" ht="18.75" customHeight="1">
      <c r="A4515" s="7" t="s">
        <v>1185</v>
      </c>
      <c r="B4515" s="9">
        <v>34601.0</v>
      </c>
      <c r="C4515" s="9">
        <v>34228.0</v>
      </c>
      <c r="D4515" s="9">
        <v>6152.0</v>
      </c>
      <c r="E4515" s="9">
        <v>183.0</v>
      </c>
      <c r="F4515" s="14"/>
      <c r="G4515" s="15"/>
      <c r="H4515" s="15"/>
      <c r="I4515" s="14"/>
      <c r="P4515" s="14"/>
    </row>
    <row r="4516" ht="18.75" customHeight="1">
      <c r="A4516" s="7" t="s">
        <v>1185</v>
      </c>
      <c r="B4516" s="9">
        <v>31033.0</v>
      </c>
      <c r="C4516" s="9">
        <v>30982.0</v>
      </c>
      <c r="D4516" s="9">
        <v>19456.0</v>
      </c>
      <c r="E4516" s="9">
        <v>396.0</v>
      </c>
      <c r="F4516" s="14"/>
      <c r="G4516" s="15"/>
      <c r="H4516" s="15"/>
      <c r="I4516" s="14"/>
      <c r="P4516" s="14"/>
    </row>
    <row r="4517" ht="18.75" customHeight="1">
      <c r="A4517" s="7" t="s">
        <v>1185</v>
      </c>
      <c r="B4517" s="9">
        <v>207341.0</v>
      </c>
      <c r="C4517" s="9">
        <v>204980.0</v>
      </c>
      <c r="D4517" s="9">
        <v>40749.0</v>
      </c>
      <c r="E4517" s="9">
        <v>659.0</v>
      </c>
      <c r="F4517" s="14"/>
      <c r="G4517" s="15"/>
      <c r="H4517" s="15"/>
      <c r="I4517" s="14"/>
      <c r="P4517" s="14"/>
    </row>
    <row r="4518" ht="18.75" customHeight="1">
      <c r="A4518" s="7" t="s">
        <v>1229</v>
      </c>
      <c r="B4518" s="9">
        <v>3435.0</v>
      </c>
      <c r="C4518" s="9">
        <v>3399.0</v>
      </c>
      <c r="D4518" s="9">
        <v>818.0</v>
      </c>
      <c r="E4518" s="9">
        <v>25.0</v>
      </c>
      <c r="F4518" s="14"/>
      <c r="G4518" s="15"/>
      <c r="H4518" s="15"/>
      <c r="I4518" s="14"/>
      <c r="P4518" s="14"/>
    </row>
    <row r="4519" ht="18.75" customHeight="1">
      <c r="A4519" s="7" t="s">
        <v>1103</v>
      </c>
      <c r="B4519" s="9">
        <v>1285.0</v>
      </c>
      <c r="C4519" s="9">
        <v>1285.0</v>
      </c>
      <c r="D4519" s="9">
        <v>2.0</v>
      </c>
      <c r="E4519" s="9">
        <v>0.0</v>
      </c>
      <c r="F4519" s="14"/>
      <c r="G4519" s="15"/>
      <c r="H4519" s="15"/>
      <c r="I4519" s="14"/>
      <c r="P4519" s="14"/>
    </row>
    <row r="4520" ht="18.75" customHeight="1">
      <c r="A4520" s="7" t="s">
        <v>1103</v>
      </c>
      <c r="B4520" s="9">
        <v>566.0</v>
      </c>
      <c r="C4520" s="9">
        <v>565.0</v>
      </c>
      <c r="D4520" s="9">
        <v>386.0</v>
      </c>
      <c r="E4520" s="9">
        <v>5.0</v>
      </c>
      <c r="F4520" s="14"/>
      <c r="G4520" s="15"/>
      <c r="H4520" s="15"/>
      <c r="I4520" s="14"/>
      <c r="P4520" s="14"/>
    </row>
    <row r="4521" ht="18.75" customHeight="1">
      <c r="A4521" s="7" t="s">
        <v>1183</v>
      </c>
      <c r="B4521" s="9">
        <v>210.0</v>
      </c>
      <c r="C4521" s="9">
        <v>208.0</v>
      </c>
      <c r="D4521" s="9">
        <v>137.0</v>
      </c>
      <c r="E4521" s="9">
        <v>4.0</v>
      </c>
      <c r="F4521" s="14"/>
      <c r="G4521" s="15"/>
      <c r="H4521" s="15"/>
      <c r="I4521" s="14"/>
      <c r="P4521" s="14"/>
    </row>
    <row r="4522" ht="18.75" customHeight="1">
      <c r="A4522" s="7" t="s">
        <v>1213</v>
      </c>
      <c r="B4522" s="9">
        <v>18712.0</v>
      </c>
      <c r="C4522" s="9">
        <v>18529.0</v>
      </c>
      <c r="D4522" s="9">
        <v>7301.0</v>
      </c>
      <c r="E4522" s="9">
        <v>320.0</v>
      </c>
      <c r="F4522" s="14"/>
      <c r="G4522" s="15"/>
      <c r="H4522" s="15"/>
      <c r="I4522" s="14"/>
      <c r="P4522" s="14"/>
    </row>
    <row r="4523" ht="18.75" customHeight="1">
      <c r="A4523" s="7" t="s">
        <v>2857</v>
      </c>
      <c r="B4523" s="9">
        <v>38309.0</v>
      </c>
      <c r="C4523" s="9">
        <v>37733.0</v>
      </c>
      <c r="D4523" s="9">
        <v>10625.0</v>
      </c>
      <c r="E4523" s="9">
        <v>380.0</v>
      </c>
      <c r="F4523" s="14"/>
      <c r="G4523" s="15"/>
      <c r="H4523" s="15"/>
      <c r="I4523" s="14"/>
      <c r="P4523" s="14"/>
    </row>
    <row r="4524" ht="18.75" customHeight="1">
      <c r="A4524" s="7" t="s">
        <v>1167</v>
      </c>
      <c r="B4524" s="9">
        <v>73765.0</v>
      </c>
      <c r="C4524" s="9">
        <v>72941.0</v>
      </c>
      <c r="D4524" s="9">
        <v>12783.0</v>
      </c>
      <c r="E4524" s="9">
        <v>203.0</v>
      </c>
      <c r="F4524" s="14"/>
      <c r="G4524" s="15"/>
      <c r="H4524" s="15"/>
      <c r="I4524" s="14"/>
      <c r="P4524" s="14"/>
    </row>
    <row r="4525" ht="18.75" customHeight="1">
      <c r="A4525" s="7" t="s">
        <v>1167</v>
      </c>
      <c r="B4525" s="9">
        <v>80.0</v>
      </c>
      <c r="C4525" s="9">
        <v>79.0</v>
      </c>
      <c r="D4525" s="9">
        <v>37.0</v>
      </c>
      <c r="E4525" s="9">
        <v>1.0</v>
      </c>
      <c r="F4525" s="14"/>
      <c r="G4525" s="15"/>
      <c r="H4525" s="15"/>
      <c r="I4525" s="14"/>
      <c r="P4525" s="14"/>
    </row>
    <row r="4526" ht="18.75" customHeight="1">
      <c r="A4526" s="7" t="s">
        <v>1169</v>
      </c>
      <c r="B4526" s="9">
        <v>159.0</v>
      </c>
      <c r="C4526" s="9">
        <v>157.0</v>
      </c>
      <c r="D4526" s="9">
        <v>94.0</v>
      </c>
      <c r="E4526" s="9">
        <v>2.0</v>
      </c>
      <c r="F4526" s="14"/>
      <c r="G4526" s="15"/>
      <c r="H4526" s="15"/>
      <c r="I4526" s="14"/>
      <c r="P4526" s="14"/>
    </row>
    <row r="4527" ht="18.75" customHeight="1">
      <c r="A4527" s="7" t="s">
        <v>1161</v>
      </c>
      <c r="B4527" s="9">
        <v>111.0</v>
      </c>
      <c r="C4527" s="9">
        <v>110.0</v>
      </c>
      <c r="D4527" s="9">
        <v>50.0</v>
      </c>
      <c r="E4527" s="9">
        <v>3.0</v>
      </c>
      <c r="F4527" s="14"/>
      <c r="G4527" s="15"/>
      <c r="H4527" s="15"/>
      <c r="I4527" s="14"/>
      <c r="P4527" s="14"/>
    </row>
    <row r="4528" ht="18.75" customHeight="1">
      <c r="A4528" s="7" t="s">
        <v>1171</v>
      </c>
      <c r="B4528" s="9">
        <v>163.0</v>
      </c>
      <c r="C4528" s="9">
        <v>162.0</v>
      </c>
      <c r="D4528" s="9">
        <v>84.0</v>
      </c>
      <c r="E4528" s="9">
        <v>1.0</v>
      </c>
      <c r="F4528" s="14"/>
      <c r="G4528" s="15"/>
      <c r="H4528" s="15"/>
      <c r="I4528" s="14"/>
      <c r="P4528" s="14"/>
    </row>
    <row r="4529" ht="18.75" customHeight="1">
      <c r="A4529" s="7" t="s">
        <v>1243</v>
      </c>
      <c r="B4529" s="9">
        <v>156317.0</v>
      </c>
      <c r="C4529" s="9">
        <v>154719.0</v>
      </c>
      <c r="D4529" s="9">
        <v>40355.0</v>
      </c>
      <c r="E4529" s="9">
        <v>299.0</v>
      </c>
      <c r="F4529" s="14"/>
      <c r="G4529" s="15"/>
      <c r="H4529" s="15"/>
      <c r="I4529" s="14"/>
      <c r="P4529" s="14"/>
    </row>
    <row r="4530" ht="18.75" customHeight="1">
      <c r="A4530" s="7" t="s">
        <v>943</v>
      </c>
      <c r="B4530" s="9">
        <v>107059.0</v>
      </c>
      <c r="C4530" s="9">
        <v>105880.0</v>
      </c>
      <c r="D4530" s="9">
        <v>32775.0</v>
      </c>
      <c r="E4530" s="9">
        <v>689.0</v>
      </c>
      <c r="F4530" s="14"/>
      <c r="G4530" s="15"/>
      <c r="H4530" s="15"/>
      <c r="I4530" s="14"/>
      <c r="P4530" s="14"/>
    </row>
    <row r="4531" ht="18.75" customHeight="1">
      <c r="A4531" s="7" t="s">
        <v>1001</v>
      </c>
      <c r="B4531" s="9">
        <v>15564.0</v>
      </c>
      <c r="C4531" s="9">
        <v>15314.0</v>
      </c>
      <c r="D4531" s="9">
        <v>5058.0</v>
      </c>
      <c r="E4531" s="9">
        <v>286.0</v>
      </c>
      <c r="F4531" s="14"/>
      <c r="G4531" s="15"/>
      <c r="H4531" s="15"/>
      <c r="I4531" s="14"/>
      <c r="P4531" s="14"/>
    </row>
    <row r="4532" ht="18.75" customHeight="1">
      <c r="A4532" s="7" t="s">
        <v>1001</v>
      </c>
      <c r="B4532" s="9">
        <v>240757.0</v>
      </c>
      <c r="C4532" s="9">
        <v>238624.0</v>
      </c>
      <c r="D4532" s="9">
        <v>95303.0</v>
      </c>
      <c r="E4532" s="9">
        <v>16521.0</v>
      </c>
      <c r="F4532" s="14"/>
      <c r="G4532" s="15"/>
      <c r="H4532" s="15"/>
      <c r="I4532" s="14"/>
      <c r="P4532" s="14"/>
    </row>
    <row r="4533" ht="18.75" customHeight="1">
      <c r="A4533" s="7" t="s">
        <v>1163</v>
      </c>
      <c r="B4533" s="9">
        <v>174.0</v>
      </c>
      <c r="C4533" s="9">
        <v>173.0</v>
      </c>
      <c r="D4533" s="9">
        <v>90.0</v>
      </c>
      <c r="E4533" s="9">
        <v>1.0</v>
      </c>
      <c r="F4533" s="14"/>
      <c r="G4533" s="15"/>
      <c r="H4533" s="15"/>
      <c r="I4533" s="14"/>
      <c r="P4533" s="14"/>
    </row>
    <row r="4534" ht="18.75" customHeight="1">
      <c r="A4534" s="7" t="s">
        <v>1207</v>
      </c>
      <c r="B4534" s="9">
        <v>177823.0</v>
      </c>
      <c r="C4534" s="9">
        <v>176057.0</v>
      </c>
      <c r="D4534" s="9">
        <v>37274.0</v>
      </c>
      <c r="E4534" s="9">
        <v>475.0</v>
      </c>
      <c r="F4534" s="14"/>
      <c r="G4534" s="15"/>
      <c r="H4534" s="15"/>
      <c r="I4534" s="14"/>
      <c r="P4534" s="14"/>
    </row>
    <row r="4535" ht="18.75" customHeight="1">
      <c r="A4535" s="7" t="s">
        <v>1197</v>
      </c>
      <c r="B4535" s="9">
        <v>20288.0</v>
      </c>
      <c r="C4535" s="9">
        <v>19950.0</v>
      </c>
      <c r="D4535" s="9">
        <v>3177.0</v>
      </c>
      <c r="E4535" s="9">
        <v>128.0</v>
      </c>
      <c r="F4535" s="14"/>
      <c r="G4535" s="15"/>
      <c r="H4535" s="15"/>
      <c r="I4535" s="14"/>
      <c r="P4535" s="14"/>
    </row>
    <row r="4536" ht="18.75" customHeight="1">
      <c r="A4536" s="7" t="s">
        <v>1249</v>
      </c>
      <c r="B4536" s="9">
        <v>72265.0</v>
      </c>
      <c r="C4536" s="9">
        <v>71265.0</v>
      </c>
      <c r="D4536" s="9">
        <v>15100.0</v>
      </c>
      <c r="E4536" s="9">
        <v>423.0</v>
      </c>
      <c r="F4536" s="14"/>
      <c r="G4536" s="15"/>
      <c r="H4536" s="15"/>
      <c r="I4536" s="14"/>
      <c r="P4536" s="14"/>
    </row>
    <row r="4537" ht="18.75" customHeight="1">
      <c r="A4537" s="7" t="s">
        <v>1245</v>
      </c>
      <c r="B4537" s="9">
        <v>18680.0</v>
      </c>
      <c r="C4537" s="9">
        <v>18327.0</v>
      </c>
      <c r="D4537" s="9">
        <v>3007.0</v>
      </c>
      <c r="E4537" s="9">
        <v>49.0</v>
      </c>
      <c r="F4537" s="14"/>
      <c r="G4537" s="15"/>
      <c r="H4537" s="15"/>
      <c r="I4537" s="14"/>
      <c r="P4537" s="14"/>
    </row>
    <row r="4538" ht="18.75" customHeight="1">
      <c r="A4538" s="7" t="s">
        <v>882</v>
      </c>
      <c r="B4538" s="9">
        <v>6692.0</v>
      </c>
      <c r="C4538" s="9">
        <v>6584.0</v>
      </c>
      <c r="D4538" s="9">
        <v>1635.0</v>
      </c>
      <c r="E4538" s="9">
        <v>90.0</v>
      </c>
      <c r="F4538" s="14"/>
      <c r="G4538" s="15"/>
      <c r="H4538" s="15"/>
      <c r="I4538" s="14"/>
      <c r="P4538" s="14"/>
    </row>
    <row r="4539" ht="18.75" customHeight="1">
      <c r="A4539" s="7" t="s">
        <v>1289</v>
      </c>
      <c r="B4539" s="9">
        <v>196010.0</v>
      </c>
      <c r="C4539" s="9">
        <v>194141.0</v>
      </c>
      <c r="D4539" s="9">
        <v>68191.0</v>
      </c>
      <c r="E4539" s="9">
        <v>1839.0</v>
      </c>
      <c r="F4539" s="14"/>
      <c r="G4539" s="15"/>
      <c r="H4539" s="15"/>
      <c r="I4539" s="14"/>
      <c r="P4539" s="14"/>
    </row>
    <row r="4540" ht="18.75" customHeight="1">
      <c r="A4540" s="7" t="s">
        <v>1241</v>
      </c>
      <c r="B4540" s="9">
        <v>162828.0</v>
      </c>
      <c r="C4540" s="9">
        <v>161254.0</v>
      </c>
      <c r="D4540" s="9">
        <v>66675.0</v>
      </c>
      <c r="E4540" s="9">
        <v>973.0</v>
      </c>
      <c r="F4540" s="14"/>
      <c r="G4540" s="15"/>
      <c r="H4540" s="15"/>
      <c r="I4540" s="14"/>
      <c r="P4540" s="14"/>
    </row>
    <row r="4541" ht="18.75" customHeight="1">
      <c r="A4541" s="7" t="s">
        <v>1247</v>
      </c>
      <c r="B4541" s="9">
        <v>69239.0</v>
      </c>
      <c r="C4541" s="9">
        <v>68279.0</v>
      </c>
      <c r="D4541" s="9">
        <v>12170.0</v>
      </c>
      <c r="E4541" s="9">
        <v>330.0</v>
      </c>
      <c r="F4541" s="14"/>
      <c r="G4541" s="15"/>
      <c r="H4541" s="15"/>
      <c r="I4541" s="14"/>
      <c r="P4541" s="14"/>
    </row>
    <row r="4542" ht="18.75" customHeight="1">
      <c r="A4542" s="7" t="s">
        <v>1199</v>
      </c>
      <c r="B4542" s="9">
        <v>273.0</v>
      </c>
      <c r="C4542" s="9">
        <v>272.0</v>
      </c>
      <c r="D4542" s="9">
        <v>172.0</v>
      </c>
      <c r="E4542" s="9">
        <v>1.0</v>
      </c>
      <c r="F4542" s="14"/>
      <c r="G4542" s="15"/>
      <c r="H4542" s="15"/>
      <c r="I4542" s="14"/>
      <c r="P4542" s="14"/>
    </row>
    <row r="4543" ht="18.75" customHeight="1">
      <c r="A4543" s="7" t="s">
        <v>1243</v>
      </c>
      <c r="B4543" s="9">
        <v>20069.0</v>
      </c>
      <c r="C4543" s="9">
        <v>19766.0</v>
      </c>
      <c r="D4543" s="9">
        <v>5226.0</v>
      </c>
      <c r="E4543" s="9">
        <v>256.0</v>
      </c>
      <c r="F4543" s="14"/>
      <c r="G4543" s="15"/>
      <c r="H4543" s="15"/>
      <c r="I4543" s="14"/>
      <c r="P4543" s="14"/>
    </row>
    <row r="4544" ht="18.75" customHeight="1">
      <c r="A4544" s="7" t="s">
        <v>1235</v>
      </c>
      <c r="B4544" s="9">
        <v>497.0</v>
      </c>
      <c r="C4544" s="9">
        <v>493.0</v>
      </c>
      <c r="D4544" s="9">
        <v>182.0</v>
      </c>
      <c r="E4544" s="9">
        <v>37.0</v>
      </c>
      <c r="F4544" s="14"/>
      <c r="G4544" s="15"/>
      <c r="H4544" s="15"/>
      <c r="I4544" s="14"/>
      <c r="P4544" s="14"/>
    </row>
    <row r="4545" ht="18.75" customHeight="1">
      <c r="A4545" s="7" t="s">
        <v>1237</v>
      </c>
      <c r="B4545" s="9">
        <v>6577.0</v>
      </c>
      <c r="C4545" s="9">
        <v>6551.0</v>
      </c>
      <c r="D4545" s="9">
        <v>1125.0</v>
      </c>
      <c r="E4545" s="9">
        <v>86.0</v>
      </c>
      <c r="F4545" s="14"/>
      <c r="G4545" s="15"/>
      <c r="H4545" s="15"/>
      <c r="I4545" s="14"/>
      <c r="P4545" s="14"/>
    </row>
    <row r="4546" ht="18.75" customHeight="1">
      <c r="A4546" s="7" t="s">
        <v>1271</v>
      </c>
      <c r="B4546" s="9">
        <v>81764.0</v>
      </c>
      <c r="C4546" s="9">
        <v>80417.0</v>
      </c>
      <c r="D4546" s="9">
        <v>10724.0</v>
      </c>
      <c r="E4546" s="9">
        <v>305.0</v>
      </c>
      <c r="F4546" s="14"/>
      <c r="G4546" s="15"/>
      <c r="H4546" s="15"/>
      <c r="I4546" s="14"/>
      <c r="P4546" s="14"/>
    </row>
    <row r="4547" ht="18.75" customHeight="1">
      <c r="A4547" s="7" t="s">
        <v>1207</v>
      </c>
      <c r="B4547" s="9">
        <v>230863.0</v>
      </c>
      <c r="C4547" s="9">
        <v>228722.0</v>
      </c>
      <c r="D4547" s="9">
        <v>52758.0</v>
      </c>
      <c r="E4547" s="9">
        <v>303.0</v>
      </c>
      <c r="F4547" s="14"/>
      <c r="G4547" s="15"/>
      <c r="H4547" s="15"/>
      <c r="I4547" s="14"/>
      <c r="P4547" s="14"/>
    </row>
    <row r="4548" ht="18.75" customHeight="1">
      <c r="A4548" s="7" t="s">
        <v>1155</v>
      </c>
      <c r="B4548" s="9">
        <v>43682.0</v>
      </c>
      <c r="C4548" s="9">
        <v>42844.0</v>
      </c>
      <c r="D4548" s="9">
        <v>11367.0</v>
      </c>
      <c r="E4548" s="9">
        <v>192.0</v>
      </c>
      <c r="F4548" s="14"/>
      <c r="G4548" s="15"/>
      <c r="H4548" s="15"/>
      <c r="I4548" s="14"/>
      <c r="P4548" s="14"/>
    </row>
    <row r="4549" ht="18.75" customHeight="1">
      <c r="A4549" s="7" t="s">
        <v>1155</v>
      </c>
      <c r="B4549" s="9">
        <v>5952.0</v>
      </c>
      <c r="C4549" s="9">
        <v>5825.0</v>
      </c>
      <c r="D4549" s="9">
        <v>1695.0</v>
      </c>
      <c r="E4549" s="9">
        <v>26.0</v>
      </c>
      <c r="F4549" s="14"/>
      <c r="G4549" s="15"/>
      <c r="H4549" s="15"/>
      <c r="I4549" s="14"/>
      <c r="P4549" s="14"/>
    </row>
    <row r="4550" ht="18.75" customHeight="1">
      <c r="A4550" s="7" t="s">
        <v>1265</v>
      </c>
      <c r="B4550" s="9">
        <v>96709.0</v>
      </c>
      <c r="C4550" s="9">
        <v>95762.0</v>
      </c>
      <c r="D4550" s="9">
        <v>40295.0</v>
      </c>
      <c r="E4550" s="9">
        <v>685.0</v>
      </c>
      <c r="F4550" s="14"/>
      <c r="G4550" s="15"/>
      <c r="H4550" s="15"/>
      <c r="I4550" s="14"/>
      <c r="P4550" s="14"/>
    </row>
    <row r="4551" ht="18.75" customHeight="1">
      <c r="A4551" s="7" t="s">
        <v>1169</v>
      </c>
      <c r="B4551" s="9">
        <v>158.0</v>
      </c>
      <c r="C4551" s="9">
        <v>157.0</v>
      </c>
      <c r="D4551" s="9">
        <v>59.0</v>
      </c>
      <c r="E4551" s="9">
        <v>1.0</v>
      </c>
      <c r="F4551" s="14"/>
      <c r="G4551" s="15"/>
      <c r="H4551" s="15"/>
      <c r="I4551" s="14"/>
      <c r="P4551" s="14"/>
    </row>
    <row r="4552" ht="18.75" customHeight="1">
      <c r="A4552" s="7" t="s">
        <v>1255</v>
      </c>
      <c r="B4552" s="9">
        <v>32045.0</v>
      </c>
      <c r="C4552" s="9">
        <v>31685.0</v>
      </c>
      <c r="D4552" s="9">
        <v>8567.0</v>
      </c>
      <c r="E4552" s="9">
        <v>161.0</v>
      </c>
      <c r="F4552" s="14"/>
      <c r="G4552" s="15"/>
      <c r="H4552" s="15"/>
      <c r="I4552" s="14"/>
      <c r="P4552" s="14"/>
    </row>
    <row r="4553" ht="18.75" customHeight="1">
      <c r="A4553" s="7" t="s">
        <v>1293</v>
      </c>
      <c r="B4553" s="9">
        <v>146320.0</v>
      </c>
      <c r="C4553" s="9">
        <v>144859.0</v>
      </c>
      <c r="D4553" s="9">
        <v>54131.0</v>
      </c>
      <c r="E4553" s="9">
        <v>524.0</v>
      </c>
      <c r="F4553" s="14"/>
      <c r="G4553" s="15"/>
      <c r="H4553" s="15"/>
      <c r="I4553" s="14"/>
      <c r="P4553" s="14"/>
    </row>
    <row r="4554" ht="18.75" customHeight="1">
      <c r="A4554" s="7" t="s">
        <v>1171</v>
      </c>
      <c r="B4554" s="9">
        <v>163.0</v>
      </c>
      <c r="C4554" s="9">
        <v>162.0</v>
      </c>
      <c r="D4554" s="9">
        <v>70.0</v>
      </c>
      <c r="E4554" s="9">
        <v>3.0</v>
      </c>
      <c r="F4554" s="14"/>
      <c r="G4554" s="15"/>
      <c r="H4554" s="15"/>
      <c r="I4554" s="14"/>
      <c r="P4554" s="14"/>
    </row>
    <row r="4555" ht="18.75" customHeight="1">
      <c r="A4555" s="7" t="s">
        <v>3753</v>
      </c>
      <c r="B4555" s="9">
        <v>15498.0</v>
      </c>
      <c r="C4555" s="9">
        <v>15301.0</v>
      </c>
      <c r="D4555" s="9">
        <v>2529.0</v>
      </c>
      <c r="E4555" s="9">
        <v>70.0</v>
      </c>
      <c r="F4555" s="14"/>
      <c r="G4555" s="15"/>
      <c r="H4555" s="15"/>
      <c r="I4555" s="14"/>
      <c r="P4555" s="14"/>
    </row>
    <row r="4556" ht="18.75" customHeight="1">
      <c r="A4556" s="7" t="s">
        <v>1283</v>
      </c>
      <c r="B4556" s="9">
        <v>184958.0</v>
      </c>
      <c r="C4556" s="9">
        <v>184682.0</v>
      </c>
      <c r="D4556" s="9">
        <v>117117.0</v>
      </c>
      <c r="E4556" s="9">
        <v>1949.0</v>
      </c>
      <c r="F4556" s="14"/>
      <c r="G4556" s="15"/>
      <c r="H4556" s="15"/>
      <c r="I4556" s="14"/>
      <c r="P4556" s="14"/>
    </row>
    <row r="4557" ht="18.75" customHeight="1">
      <c r="A4557" s="7" t="s">
        <v>370</v>
      </c>
      <c r="B4557" s="9">
        <v>319.0</v>
      </c>
      <c r="C4557" s="9">
        <v>317.0</v>
      </c>
      <c r="D4557" s="9">
        <v>111.0</v>
      </c>
      <c r="E4557" s="9">
        <v>13.0</v>
      </c>
      <c r="F4557" s="14"/>
      <c r="G4557" s="15"/>
      <c r="H4557" s="15"/>
      <c r="I4557" s="14"/>
      <c r="P4557" s="14"/>
    </row>
    <row r="4558" ht="18.75" customHeight="1">
      <c r="A4558" s="7" t="s">
        <v>356</v>
      </c>
      <c r="B4558" s="9">
        <v>295.0</v>
      </c>
      <c r="C4558" s="9">
        <v>291.0</v>
      </c>
      <c r="D4558" s="9">
        <v>88.0</v>
      </c>
      <c r="E4558" s="9">
        <v>8.0</v>
      </c>
      <c r="F4558" s="14"/>
      <c r="G4558" s="15"/>
      <c r="H4558" s="15"/>
      <c r="I4558" s="14"/>
      <c r="P4558" s="14"/>
    </row>
    <row r="4559" ht="18.75" customHeight="1">
      <c r="A4559" s="7" t="s">
        <v>368</v>
      </c>
      <c r="B4559" s="9">
        <v>116.0</v>
      </c>
      <c r="C4559" s="9">
        <v>114.0</v>
      </c>
      <c r="D4559" s="9">
        <v>44.0</v>
      </c>
      <c r="E4559" s="9">
        <v>3.0</v>
      </c>
      <c r="F4559" s="14"/>
      <c r="G4559" s="15"/>
      <c r="H4559" s="15"/>
      <c r="I4559" s="14"/>
      <c r="P4559" s="14"/>
    </row>
    <row r="4560" ht="18.75" customHeight="1">
      <c r="A4560" s="7" t="s">
        <v>366</v>
      </c>
      <c r="B4560" s="9">
        <v>716.0</v>
      </c>
      <c r="C4560" s="9">
        <v>709.0</v>
      </c>
      <c r="D4560" s="9">
        <v>106.0</v>
      </c>
      <c r="E4560" s="9">
        <v>7.0</v>
      </c>
      <c r="F4560" s="14"/>
      <c r="G4560" s="15"/>
      <c r="H4560" s="15"/>
      <c r="I4560" s="14"/>
      <c r="P4560" s="14"/>
    </row>
    <row r="4561" ht="18.75" customHeight="1">
      <c r="A4561" s="7" t="s">
        <v>372</v>
      </c>
      <c r="B4561" s="9">
        <v>5213.0</v>
      </c>
      <c r="C4561" s="9">
        <v>5171.0</v>
      </c>
      <c r="D4561" s="9">
        <v>1416.0</v>
      </c>
      <c r="E4561" s="9">
        <v>11.0</v>
      </c>
      <c r="F4561" s="14"/>
      <c r="G4561" s="15"/>
      <c r="H4561" s="15"/>
      <c r="I4561" s="14"/>
      <c r="P4561" s="14"/>
    </row>
    <row r="4562" ht="18.75" customHeight="1">
      <c r="A4562" s="7" t="s">
        <v>360</v>
      </c>
      <c r="B4562" s="9">
        <v>24488.0</v>
      </c>
      <c r="C4562" s="9">
        <v>24227.0</v>
      </c>
      <c r="D4562" s="9">
        <v>7113.0</v>
      </c>
      <c r="E4562" s="9">
        <v>78.0</v>
      </c>
      <c r="F4562" s="14"/>
      <c r="G4562" s="15"/>
      <c r="H4562" s="15"/>
      <c r="I4562" s="14"/>
      <c r="P4562" s="14"/>
    </row>
    <row r="4563" ht="18.75" customHeight="1">
      <c r="A4563" s="7" t="s">
        <v>1155</v>
      </c>
      <c r="B4563" s="9">
        <v>2539.0</v>
      </c>
      <c r="C4563" s="9">
        <v>2512.0</v>
      </c>
      <c r="D4563" s="9">
        <v>585.0</v>
      </c>
      <c r="E4563" s="9">
        <v>16.0</v>
      </c>
      <c r="F4563" s="14"/>
      <c r="G4563" s="15"/>
      <c r="H4563" s="15"/>
      <c r="I4563" s="14"/>
      <c r="P4563" s="14"/>
    </row>
    <row r="4564" ht="18.75" customHeight="1">
      <c r="A4564" s="7" t="s">
        <v>1251</v>
      </c>
      <c r="B4564" s="9">
        <v>19164.0</v>
      </c>
      <c r="C4564" s="9">
        <v>18981.0</v>
      </c>
      <c r="D4564" s="9">
        <v>3693.0</v>
      </c>
      <c r="E4564" s="9">
        <v>112.0</v>
      </c>
      <c r="F4564" s="14"/>
      <c r="G4564" s="15"/>
      <c r="H4564" s="15"/>
      <c r="I4564" s="14"/>
      <c r="P4564" s="14"/>
    </row>
    <row r="4565" ht="18.75" customHeight="1">
      <c r="A4565" s="7" t="s">
        <v>1155</v>
      </c>
      <c r="B4565" s="9">
        <v>68317.0</v>
      </c>
      <c r="C4565" s="9">
        <v>67114.0</v>
      </c>
      <c r="D4565" s="9">
        <v>16188.0</v>
      </c>
      <c r="E4565" s="9">
        <v>153.0</v>
      </c>
      <c r="F4565" s="14"/>
      <c r="G4565" s="15"/>
      <c r="H4565" s="15"/>
      <c r="I4565" s="14"/>
      <c r="P4565" s="14"/>
    </row>
    <row r="4566" ht="18.75" customHeight="1">
      <c r="A4566" s="7" t="s">
        <v>1295</v>
      </c>
      <c r="B4566" s="9">
        <v>115260.0</v>
      </c>
      <c r="C4566" s="9">
        <v>114063.0</v>
      </c>
      <c r="D4566" s="9">
        <v>34449.0</v>
      </c>
      <c r="E4566" s="9">
        <v>345.0</v>
      </c>
      <c r="F4566" s="14"/>
      <c r="G4566" s="15"/>
      <c r="H4566" s="15"/>
      <c r="I4566" s="14"/>
      <c r="P4566" s="14"/>
    </row>
    <row r="4567" ht="18.75" customHeight="1">
      <c r="A4567" s="7" t="s">
        <v>1249</v>
      </c>
      <c r="B4567" s="9">
        <v>235.0</v>
      </c>
      <c r="C4567" s="9">
        <v>234.0</v>
      </c>
      <c r="D4567" s="9">
        <v>145.0</v>
      </c>
      <c r="E4567" s="9">
        <v>4.0</v>
      </c>
      <c r="F4567" s="14"/>
      <c r="G4567" s="15"/>
      <c r="H4567" s="15"/>
      <c r="I4567" s="14"/>
      <c r="P4567" s="14"/>
    </row>
    <row r="4568" ht="18.75" customHeight="1">
      <c r="A4568" s="7" t="s">
        <v>1245</v>
      </c>
      <c r="B4568" s="9">
        <v>52.0</v>
      </c>
      <c r="C4568" s="9">
        <v>51.0</v>
      </c>
      <c r="D4568" s="9">
        <v>21.0</v>
      </c>
      <c r="E4568" s="9">
        <v>3.0</v>
      </c>
      <c r="F4568" s="14"/>
      <c r="G4568" s="15"/>
      <c r="H4568" s="15"/>
      <c r="I4568" s="14"/>
      <c r="P4568" s="14"/>
    </row>
    <row r="4569" ht="18.75" customHeight="1">
      <c r="A4569" s="7" t="s">
        <v>1247</v>
      </c>
      <c r="B4569" s="9">
        <v>199.0</v>
      </c>
      <c r="C4569" s="9">
        <v>198.0</v>
      </c>
      <c r="D4569" s="9">
        <v>103.0</v>
      </c>
      <c r="E4569" s="9">
        <v>3.0</v>
      </c>
      <c r="F4569" s="14"/>
      <c r="G4569" s="15"/>
      <c r="H4569" s="15"/>
      <c r="I4569" s="14"/>
      <c r="P4569" s="14"/>
    </row>
    <row r="4570" ht="18.75" customHeight="1">
      <c r="A4570" s="7" t="s">
        <v>1269</v>
      </c>
      <c r="B4570" s="9">
        <v>35587.0</v>
      </c>
      <c r="C4570" s="9">
        <v>34683.0</v>
      </c>
      <c r="D4570" s="9">
        <v>4559.0</v>
      </c>
      <c r="E4570" s="9">
        <v>201.0</v>
      </c>
      <c r="F4570" s="14"/>
      <c r="G4570" s="15"/>
      <c r="H4570" s="15"/>
      <c r="I4570" s="14"/>
      <c r="P4570" s="14"/>
    </row>
    <row r="4571" ht="18.75" customHeight="1">
      <c r="A4571" s="7" t="s">
        <v>1263</v>
      </c>
      <c r="B4571" s="9">
        <v>81545.0</v>
      </c>
      <c r="C4571" s="9">
        <v>80714.0</v>
      </c>
      <c r="D4571" s="9">
        <v>18172.0</v>
      </c>
      <c r="E4571" s="9">
        <v>337.0</v>
      </c>
      <c r="F4571" s="14"/>
      <c r="G4571" s="15"/>
      <c r="H4571" s="15"/>
      <c r="I4571" s="14"/>
      <c r="P4571" s="14"/>
    </row>
    <row r="4572" ht="18.75" customHeight="1">
      <c r="A4572" s="7" t="s">
        <v>385</v>
      </c>
      <c r="B4572" s="9">
        <v>40559.0</v>
      </c>
      <c r="C4572" s="9">
        <v>40067.0</v>
      </c>
      <c r="D4572" s="9">
        <v>16187.0</v>
      </c>
      <c r="E4572" s="9">
        <v>456.0</v>
      </c>
      <c r="F4572" s="14"/>
      <c r="G4572" s="15"/>
      <c r="H4572" s="15"/>
      <c r="I4572" s="14"/>
      <c r="P4572" s="14"/>
    </row>
    <row r="4573" ht="18.75" customHeight="1">
      <c r="A4573" s="7" t="s">
        <v>1199</v>
      </c>
      <c r="B4573" s="9">
        <v>272.0</v>
      </c>
      <c r="C4573" s="9">
        <v>271.0</v>
      </c>
      <c r="D4573" s="9">
        <v>140.0</v>
      </c>
      <c r="E4573" s="9">
        <v>3.0</v>
      </c>
      <c r="F4573" s="14"/>
      <c r="G4573" s="15"/>
      <c r="H4573" s="15"/>
      <c r="I4573" s="14"/>
      <c r="P4573" s="14"/>
    </row>
    <row r="4574" ht="18.75" customHeight="1">
      <c r="A4574" s="7" t="s">
        <v>1039</v>
      </c>
      <c r="B4574" s="9">
        <v>108725.0</v>
      </c>
      <c r="C4574" s="9">
        <v>107765.0</v>
      </c>
      <c r="D4574" s="9">
        <v>38247.0</v>
      </c>
      <c r="E4574" s="9">
        <v>850.0</v>
      </c>
      <c r="F4574" s="14"/>
      <c r="G4574" s="15"/>
      <c r="H4574" s="15"/>
      <c r="I4574" s="14"/>
      <c r="P4574" s="14"/>
    </row>
    <row r="4575" ht="18.75" customHeight="1">
      <c r="A4575" s="7" t="s">
        <v>3753</v>
      </c>
      <c r="B4575" s="9">
        <v>77.0</v>
      </c>
      <c r="C4575" s="9">
        <v>76.0</v>
      </c>
      <c r="D4575" s="9">
        <v>42.0</v>
      </c>
      <c r="E4575" s="9">
        <v>1.0</v>
      </c>
      <c r="F4575" s="14"/>
      <c r="G4575" s="15"/>
      <c r="H4575" s="15"/>
      <c r="I4575" s="14"/>
      <c r="P4575" s="14"/>
    </row>
    <row r="4576" ht="18.75" customHeight="1">
      <c r="A4576" s="7" t="s">
        <v>1261</v>
      </c>
      <c r="B4576" s="9">
        <v>69070.0</v>
      </c>
      <c r="C4576" s="9">
        <v>68327.0</v>
      </c>
      <c r="D4576" s="9">
        <v>13120.0</v>
      </c>
      <c r="E4576" s="9">
        <v>259.0</v>
      </c>
      <c r="F4576" s="14"/>
      <c r="G4576" s="15"/>
      <c r="H4576" s="15"/>
      <c r="I4576" s="14"/>
      <c r="P4576" s="14"/>
    </row>
    <row r="4577" ht="18.75" customHeight="1">
      <c r="A4577" s="7" t="s">
        <v>1253</v>
      </c>
      <c r="B4577" s="9">
        <v>63066.0</v>
      </c>
      <c r="C4577" s="9">
        <v>62476.0</v>
      </c>
      <c r="D4577" s="9">
        <v>18555.0</v>
      </c>
      <c r="E4577" s="9">
        <v>579.0</v>
      </c>
      <c r="F4577" s="14"/>
      <c r="G4577" s="15"/>
      <c r="H4577" s="15"/>
      <c r="I4577" s="14"/>
      <c r="P4577" s="14"/>
    </row>
    <row r="4578" ht="18.75" customHeight="1">
      <c r="A4578" s="7" t="s">
        <v>1271</v>
      </c>
      <c r="B4578" s="9">
        <v>175.0</v>
      </c>
      <c r="C4578" s="9">
        <v>174.0</v>
      </c>
      <c r="D4578" s="9">
        <v>94.0</v>
      </c>
      <c r="E4578" s="9">
        <v>4.0</v>
      </c>
      <c r="F4578" s="14"/>
      <c r="G4578" s="15"/>
      <c r="H4578" s="15"/>
      <c r="I4578" s="14"/>
      <c r="P4578" s="14"/>
    </row>
    <row r="4579" ht="18.75" customHeight="1">
      <c r="A4579" s="7" t="s">
        <v>1273</v>
      </c>
      <c r="B4579" s="9">
        <v>3490.0</v>
      </c>
      <c r="C4579" s="9">
        <v>3486.0</v>
      </c>
      <c r="D4579" s="9">
        <v>1279.0</v>
      </c>
      <c r="E4579" s="9">
        <v>81.0</v>
      </c>
      <c r="F4579" s="14"/>
      <c r="G4579" s="15"/>
      <c r="H4579" s="15"/>
      <c r="I4579" s="14"/>
      <c r="P4579" s="14"/>
    </row>
    <row r="4580" ht="18.75" customHeight="1">
      <c r="A4580" s="7" t="s">
        <v>366</v>
      </c>
      <c r="B4580" s="9">
        <v>716.0</v>
      </c>
      <c r="C4580" s="9">
        <v>707.0</v>
      </c>
      <c r="D4580" s="9">
        <v>238.0</v>
      </c>
      <c r="E4580" s="9">
        <v>15.0</v>
      </c>
      <c r="F4580" s="14"/>
      <c r="G4580" s="15"/>
      <c r="H4580" s="15"/>
      <c r="I4580" s="14"/>
      <c r="P4580" s="14"/>
    </row>
    <row r="4581" ht="18.75" customHeight="1">
      <c r="A4581" s="7" t="s">
        <v>3754</v>
      </c>
      <c r="B4581" s="9">
        <v>32588.0</v>
      </c>
      <c r="C4581" s="9">
        <v>32075.0</v>
      </c>
      <c r="D4581" s="9">
        <v>4322.0</v>
      </c>
      <c r="E4581" s="9">
        <v>232.0</v>
      </c>
      <c r="F4581" s="14"/>
      <c r="G4581" s="15"/>
      <c r="H4581" s="15"/>
      <c r="I4581" s="14"/>
      <c r="P4581" s="14"/>
    </row>
    <row r="4582" ht="18.75" customHeight="1">
      <c r="A4582" s="7" t="s">
        <v>1251</v>
      </c>
      <c r="B4582" s="9">
        <v>86.0</v>
      </c>
      <c r="C4582" s="9">
        <v>85.0</v>
      </c>
      <c r="D4582" s="9">
        <v>47.0</v>
      </c>
      <c r="E4582" s="9">
        <v>3.0</v>
      </c>
      <c r="F4582" s="14"/>
      <c r="G4582" s="15"/>
      <c r="H4582" s="15"/>
      <c r="I4582" s="14"/>
      <c r="P4582" s="14"/>
    </row>
    <row r="4583" ht="18.75" customHeight="1">
      <c r="A4583" s="7" t="s">
        <v>1155</v>
      </c>
      <c r="B4583" s="9">
        <v>32099.0</v>
      </c>
      <c r="C4583" s="9">
        <v>31285.0</v>
      </c>
      <c r="D4583" s="9">
        <v>3358.0</v>
      </c>
      <c r="E4583" s="9">
        <v>43.0</v>
      </c>
      <c r="F4583" s="14"/>
      <c r="G4583" s="15"/>
      <c r="H4583" s="15"/>
      <c r="I4583" s="14"/>
      <c r="P4583" s="14"/>
    </row>
    <row r="4584" ht="18.75" customHeight="1">
      <c r="A4584" s="7" t="s">
        <v>1155</v>
      </c>
      <c r="B4584" s="9">
        <v>4226.0</v>
      </c>
      <c r="C4584" s="9">
        <v>4124.0</v>
      </c>
      <c r="D4584" s="9">
        <v>422.0</v>
      </c>
      <c r="E4584" s="9">
        <v>7.0</v>
      </c>
      <c r="F4584" s="14"/>
      <c r="G4584" s="15"/>
      <c r="H4584" s="15"/>
      <c r="I4584" s="14"/>
      <c r="P4584" s="14"/>
    </row>
    <row r="4585" ht="18.75" customHeight="1">
      <c r="A4585" s="7" t="s">
        <v>1155</v>
      </c>
      <c r="B4585" s="9">
        <v>1910.0</v>
      </c>
      <c r="C4585" s="9">
        <v>1885.0</v>
      </c>
      <c r="D4585" s="9">
        <v>173.0</v>
      </c>
      <c r="E4585" s="9">
        <v>4.0</v>
      </c>
      <c r="F4585" s="14"/>
      <c r="G4585" s="15"/>
      <c r="H4585" s="15"/>
      <c r="I4585" s="14"/>
      <c r="P4585" s="14"/>
    </row>
    <row r="4586" ht="18.75" customHeight="1">
      <c r="A4586" s="7" t="s">
        <v>1155</v>
      </c>
      <c r="B4586" s="9">
        <v>51498.0</v>
      </c>
      <c r="C4586" s="9">
        <v>50324.0</v>
      </c>
      <c r="D4586" s="9">
        <v>4722.0</v>
      </c>
      <c r="E4586" s="9">
        <v>61.0</v>
      </c>
      <c r="F4586" s="14"/>
      <c r="G4586" s="15"/>
      <c r="H4586" s="15"/>
      <c r="I4586" s="14"/>
      <c r="P4586" s="14"/>
    </row>
    <row r="4587" ht="18.75" customHeight="1">
      <c r="A4587" s="7" t="s">
        <v>1257</v>
      </c>
      <c r="B4587" s="9">
        <v>62418.0</v>
      </c>
      <c r="C4587" s="9">
        <v>61137.0</v>
      </c>
      <c r="D4587" s="9">
        <v>7896.0</v>
      </c>
      <c r="E4587" s="9">
        <v>153.0</v>
      </c>
      <c r="F4587" s="14"/>
      <c r="G4587" s="15"/>
      <c r="H4587" s="15"/>
      <c r="I4587" s="14"/>
      <c r="P4587" s="14"/>
    </row>
    <row r="4588" ht="18.75" customHeight="1">
      <c r="A4588" s="7" t="s">
        <v>1269</v>
      </c>
      <c r="B4588" s="9">
        <v>81438.0</v>
      </c>
      <c r="C4588" s="9">
        <v>80424.0</v>
      </c>
      <c r="D4588" s="9">
        <v>14817.0</v>
      </c>
      <c r="E4588" s="9">
        <v>149.0</v>
      </c>
      <c r="F4588" s="14"/>
      <c r="G4588" s="15"/>
      <c r="H4588" s="15"/>
      <c r="I4588" s="14"/>
      <c r="P4588" s="14"/>
    </row>
    <row r="4589" ht="18.75" customHeight="1">
      <c r="A4589" s="7" t="s">
        <v>1215</v>
      </c>
      <c r="B4589" s="9">
        <v>15439.0</v>
      </c>
      <c r="C4589" s="9">
        <v>15246.0</v>
      </c>
      <c r="D4589" s="9">
        <v>6124.0</v>
      </c>
      <c r="E4589" s="9">
        <v>312.0</v>
      </c>
      <c r="F4589" s="14"/>
      <c r="G4589" s="15"/>
      <c r="H4589" s="15"/>
      <c r="I4589" s="14"/>
      <c r="P4589" s="14"/>
    </row>
    <row r="4590" ht="18.75" customHeight="1">
      <c r="A4590" s="7" t="s">
        <v>1217</v>
      </c>
      <c r="B4590" s="9">
        <v>20581.0</v>
      </c>
      <c r="C4590" s="9">
        <v>20300.0</v>
      </c>
      <c r="D4590" s="9">
        <v>6563.0</v>
      </c>
      <c r="E4590" s="9">
        <v>286.0</v>
      </c>
      <c r="F4590" s="14"/>
      <c r="G4590" s="15"/>
      <c r="H4590" s="15"/>
      <c r="I4590" s="14"/>
      <c r="P4590" s="14"/>
    </row>
    <row r="4591" ht="18.75" customHeight="1">
      <c r="A4591" s="7" t="s">
        <v>1201</v>
      </c>
      <c r="B4591" s="9">
        <v>148776.0</v>
      </c>
      <c r="C4591" s="9">
        <v>147275.0</v>
      </c>
      <c r="D4591" s="9">
        <v>61882.0</v>
      </c>
      <c r="E4591" s="9">
        <v>1141.0</v>
      </c>
      <c r="F4591" s="14"/>
      <c r="G4591" s="15"/>
      <c r="H4591" s="15"/>
      <c r="I4591" s="14"/>
      <c r="P4591" s="14"/>
    </row>
    <row r="4592" ht="18.75" customHeight="1">
      <c r="A4592" s="7" t="s">
        <v>1285</v>
      </c>
      <c r="B4592" s="9">
        <v>333.0</v>
      </c>
      <c r="C4592" s="9">
        <v>316.0</v>
      </c>
      <c r="D4592" s="9">
        <v>137.0</v>
      </c>
      <c r="E4592" s="9">
        <v>19.0</v>
      </c>
      <c r="F4592" s="14"/>
      <c r="G4592" s="15"/>
      <c r="H4592" s="15"/>
      <c r="I4592" s="14"/>
      <c r="P4592" s="14"/>
    </row>
    <row r="4593" ht="18.75" customHeight="1">
      <c r="A4593" s="7" t="s">
        <v>1255</v>
      </c>
      <c r="B4593" s="9">
        <v>85.0</v>
      </c>
      <c r="C4593" s="9">
        <v>84.0</v>
      </c>
      <c r="D4593" s="9">
        <v>45.0</v>
      </c>
      <c r="E4593" s="9">
        <v>1.0</v>
      </c>
      <c r="F4593" s="14"/>
      <c r="G4593" s="15"/>
      <c r="H4593" s="15"/>
      <c r="I4593" s="14"/>
      <c r="P4593" s="14"/>
    </row>
    <row r="4594" ht="18.75" customHeight="1">
      <c r="A4594" s="7" t="s">
        <v>1039</v>
      </c>
      <c r="B4594" s="9">
        <v>172864.0</v>
      </c>
      <c r="C4594" s="9">
        <v>170349.0</v>
      </c>
      <c r="D4594" s="9">
        <v>54676.0</v>
      </c>
      <c r="E4594" s="9">
        <v>1799.0</v>
      </c>
      <c r="F4594" s="14"/>
      <c r="G4594" s="15"/>
      <c r="H4594" s="15"/>
      <c r="I4594" s="14"/>
      <c r="P4594" s="14"/>
    </row>
    <row r="4595" ht="18.75" customHeight="1">
      <c r="A4595" s="7" t="s">
        <v>1283</v>
      </c>
      <c r="B4595" s="9">
        <v>76286.0</v>
      </c>
      <c r="C4595" s="9">
        <v>75288.0</v>
      </c>
      <c r="D4595" s="9">
        <v>9029.0</v>
      </c>
      <c r="E4595" s="9">
        <v>568.0</v>
      </c>
      <c r="F4595" s="14"/>
      <c r="G4595" s="15"/>
      <c r="H4595" s="15"/>
      <c r="I4595" s="14"/>
      <c r="P4595" s="14"/>
    </row>
    <row r="4596" ht="18.75" customHeight="1">
      <c r="A4596" s="7" t="s">
        <v>1101</v>
      </c>
      <c r="B4596" s="9">
        <v>91375.0</v>
      </c>
      <c r="C4596" s="9">
        <v>90506.0</v>
      </c>
      <c r="D4596" s="9">
        <v>34321.0</v>
      </c>
      <c r="E4596" s="9">
        <v>765.0</v>
      </c>
      <c r="F4596" s="14"/>
      <c r="G4596" s="15"/>
      <c r="H4596" s="15"/>
      <c r="I4596" s="14"/>
      <c r="P4596" s="14"/>
    </row>
    <row r="4597" ht="18.75" customHeight="1">
      <c r="A4597" s="7" t="s">
        <v>1163</v>
      </c>
      <c r="B4597" s="9">
        <v>175.0</v>
      </c>
      <c r="C4597" s="9">
        <v>173.0</v>
      </c>
      <c r="D4597" s="9">
        <v>79.0</v>
      </c>
      <c r="E4597" s="9">
        <v>2.0</v>
      </c>
      <c r="F4597" s="14"/>
      <c r="G4597" s="15"/>
      <c r="H4597" s="15"/>
      <c r="I4597" s="14"/>
      <c r="P4597" s="14"/>
    </row>
    <row r="4598" ht="18.75" customHeight="1">
      <c r="A4598" s="7" t="s">
        <v>1259</v>
      </c>
      <c r="B4598" s="9">
        <v>69213.0</v>
      </c>
      <c r="C4598" s="9">
        <v>68276.0</v>
      </c>
      <c r="D4598" s="9">
        <v>11323.0</v>
      </c>
      <c r="E4598" s="9">
        <v>190.0</v>
      </c>
      <c r="F4598" s="14"/>
      <c r="G4598" s="15"/>
      <c r="H4598" s="15"/>
      <c r="I4598" s="14"/>
      <c r="P4598" s="14"/>
    </row>
    <row r="4599" ht="18.75" customHeight="1">
      <c r="A4599" s="7" t="s">
        <v>1251</v>
      </c>
      <c r="B4599" s="9">
        <v>90.0</v>
      </c>
      <c r="C4599" s="9">
        <v>89.0</v>
      </c>
      <c r="D4599" s="9">
        <v>38.0</v>
      </c>
      <c r="E4599" s="9">
        <v>2.0</v>
      </c>
      <c r="F4599" s="14"/>
      <c r="G4599" s="15"/>
      <c r="H4599" s="15"/>
      <c r="I4599" s="14"/>
      <c r="P4599" s="14"/>
    </row>
    <row r="4600" ht="18.75" customHeight="1">
      <c r="A4600" s="7" t="s">
        <v>1281</v>
      </c>
      <c r="B4600" s="9">
        <v>81208.0</v>
      </c>
      <c r="C4600" s="9">
        <v>80439.0</v>
      </c>
      <c r="D4600" s="9">
        <v>16595.0</v>
      </c>
      <c r="E4600" s="9">
        <v>463.0</v>
      </c>
      <c r="F4600" s="14"/>
      <c r="G4600" s="15"/>
      <c r="H4600" s="15"/>
      <c r="I4600" s="14"/>
      <c r="P4600" s="14"/>
    </row>
    <row r="4601" ht="18.75" customHeight="1">
      <c r="A4601" s="7" t="s">
        <v>1155</v>
      </c>
      <c r="B4601" s="9">
        <v>647.0</v>
      </c>
      <c r="C4601" s="9">
        <v>647.0</v>
      </c>
      <c r="D4601" s="9">
        <v>271.0</v>
      </c>
      <c r="E4601" s="9">
        <v>11.0</v>
      </c>
      <c r="F4601" s="14"/>
      <c r="G4601" s="15"/>
      <c r="H4601" s="15"/>
      <c r="I4601" s="14"/>
      <c r="P4601" s="14"/>
    </row>
    <row r="4602" ht="18.75" customHeight="1">
      <c r="A4602" s="7" t="s">
        <v>1155</v>
      </c>
      <c r="B4602" s="9">
        <v>188.0</v>
      </c>
      <c r="C4602" s="9">
        <v>183.0</v>
      </c>
      <c r="D4602" s="9">
        <v>103.0</v>
      </c>
      <c r="E4602" s="9">
        <v>0.0</v>
      </c>
      <c r="F4602" s="14"/>
      <c r="G4602" s="15"/>
      <c r="H4602" s="15"/>
      <c r="I4602" s="14"/>
      <c r="P4602" s="14"/>
    </row>
    <row r="4603" ht="18.75" customHeight="1">
      <c r="A4603" s="7" t="s">
        <v>1183</v>
      </c>
      <c r="B4603" s="9">
        <v>211.0</v>
      </c>
      <c r="C4603" s="9">
        <v>210.0</v>
      </c>
      <c r="D4603" s="9">
        <v>97.0</v>
      </c>
      <c r="E4603" s="9">
        <v>2.0</v>
      </c>
      <c r="F4603" s="14"/>
      <c r="G4603" s="15"/>
      <c r="H4603" s="15"/>
      <c r="I4603" s="14"/>
      <c r="P4603" s="14"/>
    </row>
    <row r="4604" ht="18.75" customHeight="1">
      <c r="A4604" s="7" t="s">
        <v>1315</v>
      </c>
      <c r="B4604" s="9">
        <v>23542.0</v>
      </c>
      <c r="C4604" s="9">
        <v>23302.0</v>
      </c>
      <c r="D4604" s="9">
        <v>6142.0</v>
      </c>
      <c r="E4604" s="9">
        <v>116.0</v>
      </c>
      <c r="F4604" s="14"/>
      <c r="G4604" s="15"/>
      <c r="H4604" s="15"/>
      <c r="I4604" s="14"/>
      <c r="P4604" s="14"/>
    </row>
    <row r="4605" ht="18.75" customHeight="1">
      <c r="A4605" s="7" t="s">
        <v>1093</v>
      </c>
      <c r="B4605" s="9">
        <v>24640.0</v>
      </c>
      <c r="C4605" s="9">
        <v>24403.0</v>
      </c>
      <c r="D4605" s="9">
        <v>7338.0</v>
      </c>
      <c r="E4605" s="9">
        <v>153.0</v>
      </c>
      <c r="F4605" s="14"/>
      <c r="G4605" s="15"/>
      <c r="H4605" s="15"/>
      <c r="I4605" s="14"/>
      <c r="P4605" s="14"/>
    </row>
    <row r="4606" ht="18.75" customHeight="1">
      <c r="A4606" s="7" t="s">
        <v>1257</v>
      </c>
      <c r="B4606" s="9">
        <v>104.0</v>
      </c>
      <c r="C4606" s="9">
        <v>103.0</v>
      </c>
      <c r="D4606" s="9">
        <v>59.0</v>
      </c>
      <c r="E4606" s="9">
        <v>1.0</v>
      </c>
      <c r="F4606" s="14"/>
      <c r="G4606" s="15"/>
      <c r="H4606" s="15"/>
      <c r="I4606" s="14"/>
      <c r="P4606" s="14"/>
    </row>
    <row r="4607" ht="18.75" customHeight="1">
      <c r="A4607" s="7" t="s">
        <v>1301</v>
      </c>
      <c r="B4607" s="9">
        <v>62309.0</v>
      </c>
      <c r="C4607" s="9">
        <v>61665.0</v>
      </c>
      <c r="D4607" s="9">
        <v>19384.0</v>
      </c>
      <c r="E4607" s="9">
        <v>511.0</v>
      </c>
      <c r="F4607" s="14"/>
      <c r="G4607" s="15"/>
      <c r="H4607" s="15"/>
      <c r="I4607" s="14"/>
      <c r="P4607" s="14"/>
    </row>
    <row r="4608" ht="18.75" customHeight="1">
      <c r="A4608" s="7" t="s">
        <v>1303</v>
      </c>
      <c r="B4608" s="9">
        <v>14657.0</v>
      </c>
      <c r="C4608" s="9">
        <v>14426.0</v>
      </c>
      <c r="D4608" s="9">
        <v>2816.0</v>
      </c>
      <c r="E4608" s="9">
        <v>113.0</v>
      </c>
      <c r="F4608" s="14"/>
      <c r="G4608" s="15"/>
      <c r="H4608" s="15"/>
      <c r="I4608" s="14"/>
      <c r="P4608" s="14"/>
    </row>
    <row r="4609" ht="18.75" customHeight="1">
      <c r="A4609" s="7" t="s">
        <v>1219</v>
      </c>
      <c r="B4609" s="9">
        <v>38642.0</v>
      </c>
      <c r="C4609" s="9">
        <v>38226.0</v>
      </c>
      <c r="D4609" s="9">
        <v>16014.0</v>
      </c>
      <c r="E4609" s="9">
        <v>471.0</v>
      </c>
      <c r="F4609" s="14"/>
      <c r="G4609" s="15"/>
      <c r="H4609" s="15"/>
      <c r="I4609" s="14"/>
      <c r="P4609" s="14"/>
    </row>
    <row r="4610" ht="18.75" customHeight="1">
      <c r="A4610" s="7" t="s">
        <v>2857</v>
      </c>
      <c r="B4610" s="9">
        <v>63032.0</v>
      </c>
      <c r="C4610" s="9">
        <v>62350.0</v>
      </c>
      <c r="D4610" s="9">
        <v>18532.0</v>
      </c>
      <c r="E4610" s="9">
        <v>499.0</v>
      </c>
      <c r="F4610" s="14"/>
      <c r="G4610" s="15"/>
      <c r="H4610" s="15"/>
      <c r="I4610" s="14"/>
      <c r="P4610" s="14"/>
    </row>
    <row r="4611" ht="18.75" customHeight="1">
      <c r="A4611" s="7" t="s">
        <v>1129</v>
      </c>
      <c r="B4611" s="9">
        <v>106858.0</v>
      </c>
      <c r="C4611" s="9">
        <v>105810.0</v>
      </c>
      <c r="D4611" s="9">
        <v>43145.0</v>
      </c>
      <c r="E4611" s="9">
        <v>3348.0</v>
      </c>
      <c r="F4611" s="14"/>
      <c r="G4611" s="15"/>
      <c r="H4611" s="15"/>
      <c r="I4611" s="14"/>
      <c r="P4611" s="14"/>
    </row>
    <row r="4612" ht="18.75" customHeight="1">
      <c r="A4612" s="7" t="s">
        <v>1263</v>
      </c>
      <c r="B4612" s="9">
        <v>145.0</v>
      </c>
      <c r="C4612" s="9">
        <v>144.0</v>
      </c>
      <c r="D4612" s="9">
        <v>95.0</v>
      </c>
      <c r="E4612" s="9">
        <v>1.0</v>
      </c>
      <c r="F4612" s="14"/>
      <c r="G4612" s="15"/>
      <c r="H4612" s="15"/>
      <c r="I4612" s="14"/>
      <c r="P4612" s="14"/>
    </row>
    <row r="4613" ht="18.75" customHeight="1">
      <c r="A4613" s="7" t="s">
        <v>1233</v>
      </c>
      <c r="B4613" s="9">
        <v>102712.0</v>
      </c>
      <c r="C4613" s="9">
        <v>101476.0</v>
      </c>
      <c r="D4613" s="9">
        <v>32001.0</v>
      </c>
      <c r="E4613" s="9">
        <v>3007.0</v>
      </c>
      <c r="F4613" s="14"/>
      <c r="G4613" s="15"/>
      <c r="H4613" s="15"/>
      <c r="I4613" s="14"/>
      <c r="P4613" s="14"/>
    </row>
    <row r="4614" ht="18.75" customHeight="1">
      <c r="A4614" s="7" t="s">
        <v>1247</v>
      </c>
      <c r="B4614" s="9">
        <v>200.0</v>
      </c>
      <c r="C4614" s="9">
        <v>199.0</v>
      </c>
      <c r="D4614" s="9">
        <v>101.0</v>
      </c>
      <c r="E4614" s="9">
        <v>3.0</v>
      </c>
      <c r="F4614" s="14"/>
      <c r="G4614" s="15"/>
      <c r="H4614" s="15"/>
      <c r="I4614" s="14"/>
      <c r="P4614" s="14"/>
    </row>
    <row r="4615" ht="18.75" customHeight="1">
      <c r="A4615" s="7" t="s">
        <v>1039</v>
      </c>
      <c r="B4615" s="9">
        <v>88284.0</v>
      </c>
      <c r="C4615" s="9">
        <v>87279.0</v>
      </c>
      <c r="D4615" s="9">
        <v>28245.0</v>
      </c>
      <c r="E4615" s="9">
        <v>377.0</v>
      </c>
      <c r="F4615" s="14"/>
      <c r="G4615" s="15"/>
      <c r="H4615" s="15"/>
      <c r="I4615" s="14"/>
      <c r="P4615" s="14"/>
    </row>
    <row r="4616" ht="18.75" customHeight="1">
      <c r="A4616" s="7" t="s">
        <v>1261</v>
      </c>
      <c r="B4616" s="9">
        <v>154.0</v>
      </c>
      <c r="C4616" s="9">
        <v>153.0</v>
      </c>
      <c r="D4616" s="9">
        <v>82.0</v>
      </c>
      <c r="E4616" s="9">
        <v>2.0</v>
      </c>
      <c r="F4616" s="14"/>
      <c r="G4616" s="15"/>
      <c r="H4616" s="15"/>
      <c r="I4616" s="14"/>
      <c r="P4616" s="14"/>
    </row>
    <row r="4617" ht="18.75" customHeight="1">
      <c r="A4617" s="7" t="s">
        <v>1271</v>
      </c>
      <c r="B4617" s="9">
        <v>175.0</v>
      </c>
      <c r="C4617" s="9">
        <v>174.0</v>
      </c>
      <c r="D4617" s="9">
        <v>69.0</v>
      </c>
      <c r="E4617" s="9">
        <v>2.0</v>
      </c>
      <c r="F4617" s="14"/>
      <c r="G4617" s="15"/>
      <c r="H4617" s="15"/>
      <c r="I4617" s="14"/>
      <c r="P4617" s="14"/>
    </row>
    <row r="4618" ht="18.75" customHeight="1">
      <c r="A4618" s="7" t="s">
        <v>1259</v>
      </c>
      <c r="B4618" s="9">
        <v>109.0</v>
      </c>
      <c r="C4618" s="9">
        <v>108.0</v>
      </c>
      <c r="D4618" s="9">
        <v>62.0</v>
      </c>
      <c r="E4618" s="9">
        <v>2.0</v>
      </c>
      <c r="F4618" s="14"/>
      <c r="G4618" s="15"/>
      <c r="H4618" s="15"/>
      <c r="I4618" s="14"/>
      <c r="P4618" s="14"/>
    </row>
    <row r="4619" ht="18.75" customHeight="1">
      <c r="A4619" s="7" t="s">
        <v>1103</v>
      </c>
      <c r="B4619" s="9">
        <v>572.0</v>
      </c>
      <c r="C4619" s="9">
        <v>570.0</v>
      </c>
      <c r="D4619" s="9">
        <v>337.0</v>
      </c>
      <c r="E4619" s="9">
        <v>3.0</v>
      </c>
      <c r="F4619" s="14"/>
      <c r="G4619" s="15"/>
      <c r="H4619" s="15"/>
      <c r="I4619" s="14"/>
      <c r="P4619" s="14"/>
    </row>
    <row r="4620" ht="18.75" customHeight="1">
      <c r="A4620" s="7" t="s">
        <v>3754</v>
      </c>
      <c r="B4620" s="9">
        <v>205.0</v>
      </c>
      <c r="C4620" s="9">
        <v>204.0</v>
      </c>
      <c r="D4620" s="9">
        <v>114.0</v>
      </c>
      <c r="E4620" s="9">
        <v>3.0</v>
      </c>
      <c r="F4620" s="14"/>
      <c r="G4620" s="15"/>
      <c r="H4620" s="15"/>
      <c r="I4620" s="14"/>
      <c r="P4620" s="14"/>
    </row>
    <row r="4621" ht="18.75" customHeight="1">
      <c r="A4621" s="7" t="s">
        <v>1131</v>
      </c>
      <c r="B4621" s="9">
        <v>193906.0</v>
      </c>
      <c r="C4621" s="9">
        <v>191958.0</v>
      </c>
      <c r="D4621" s="9">
        <v>64348.0</v>
      </c>
      <c r="E4621" s="9">
        <v>4881.0</v>
      </c>
      <c r="F4621" s="14"/>
      <c r="G4621" s="15"/>
      <c r="H4621" s="15"/>
      <c r="I4621" s="14"/>
      <c r="P4621" s="14"/>
    </row>
    <row r="4622" ht="18.75" customHeight="1">
      <c r="A4622" s="7" t="s">
        <v>1131</v>
      </c>
      <c r="B4622" s="9">
        <v>137801.0</v>
      </c>
      <c r="C4622" s="9">
        <v>135653.0</v>
      </c>
      <c r="D4622" s="9">
        <v>40447.0</v>
      </c>
      <c r="E4622" s="9">
        <v>1717.0</v>
      </c>
      <c r="F4622" s="14"/>
      <c r="G4622" s="15"/>
      <c r="H4622" s="15"/>
      <c r="I4622" s="14"/>
      <c r="P4622" s="14"/>
    </row>
    <row r="4623" ht="18.75" customHeight="1">
      <c r="A4623" s="7" t="s">
        <v>1131</v>
      </c>
      <c r="B4623" s="9">
        <v>17962.0</v>
      </c>
      <c r="C4623" s="9">
        <v>17739.0</v>
      </c>
      <c r="D4623" s="9">
        <v>4880.0</v>
      </c>
      <c r="E4623" s="9">
        <v>388.0</v>
      </c>
      <c r="F4623" s="14"/>
      <c r="G4623" s="15"/>
      <c r="H4623" s="15"/>
      <c r="I4623" s="14"/>
      <c r="P4623" s="14"/>
    </row>
    <row r="4624" ht="18.75" customHeight="1">
      <c r="A4624" s="7" t="s">
        <v>1167</v>
      </c>
      <c r="B4624" s="9">
        <v>81.0</v>
      </c>
      <c r="C4624" s="9">
        <v>80.0</v>
      </c>
      <c r="D4624" s="9">
        <v>31.0</v>
      </c>
      <c r="E4624" s="9">
        <v>1.0</v>
      </c>
      <c r="F4624" s="14"/>
      <c r="G4624" s="15"/>
      <c r="H4624" s="15"/>
      <c r="I4624" s="14"/>
      <c r="P4624" s="14"/>
    </row>
    <row r="4625" ht="18.75" customHeight="1">
      <c r="A4625" s="7" t="s">
        <v>1249</v>
      </c>
      <c r="B4625" s="9">
        <v>235.0</v>
      </c>
      <c r="C4625" s="9">
        <v>234.0</v>
      </c>
      <c r="D4625" s="9">
        <v>139.0</v>
      </c>
      <c r="E4625" s="9">
        <v>6.0</v>
      </c>
      <c r="F4625" s="14"/>
      <c r="G4625" s="15"/>
      <c r="H4625" s="15"/>
      <c r="I4625" s="14"/>
      <c r="P4625" s="14"/>
    </row>
    <row r="4626" ht="18.75" customHeight="1">
      <c r="A4626" s="7" t="s">
        <v>1245</v>
      </c>
      <c r="B4626" s="9">
        <v>52.0</v>
      </c>
      <c r="C4626" s="9">
        <v>51.0</v>
      </c>
      <c r="D4626" s="9">
        <v>17.0</v>
      </c>
      <c r="E4626" s="9">
        <v>1.0</v>
      </c>
      <c r="F4626" s="14"/>
      <c r="G4626" s="15"/>
      <c r="H4626" s="15"/>
      <c r="I4626" s="14"/>
      <c r="P4626" s="14"/>
    </row>
    <row r="4627" ht="18.75" customHeight="1">
      <c r="A4627" s="7" t="s">
        <v>1331</v>
      </c>
      <c r="B4627" s="9">
        <v>73720.0</v>
      </c>
      <c r="C4627" s="9">
        <v>72965.0</v>
      </c>
      <c r="D4627" s="9">
        <v>11110.0</v>
      </c>
      <c r="E4627" s="9">
        <v>304.0</v>
      </c>
      <c r="F4627" s="14"/>
      <c r="G4627" s="15"/>
      <c r="H4627" s="15"/>
      <c r="I4627" s="14"/>
      <c r="P4627" s="14"/>
    </row>
    <row r="4628" ht="18.75" customHeight="1">
      <c r="A4628" s="7" t="s">
        <v>1195</v>
      </c>
      <c r="B4628" s="9">
        <v>35636.0</v>
      </c>
      <c r="C4628" s="9">
        <v>35267.0</v>
      </c>
      <c r="D4628" s="9">
        <v>11355.0</v>
      </c>
      <c r="E4628" s="9">
        <v>234.0</v>
      </c>
      <c r="F4628" s="14"/>
      <c r="G4628" s="15"/>
      <c r="H4628" s="15"/>
      <c r="I4628" s="14"/>
      <c r="P4628" s="14"/>
    </row>
    <row r="4629" ht="18.75" customHeight="1">
      <c r="A4629" s="7" t="s">
        <v>1255</v>
      </c>
      <c r="B4629" s="9">
        <v>85.0</v>
      </c>
      <c r="C4629" s="9">
        <v>84.0</v>
      </c>
      <c r="D4629" s="9">
        <v>44.0</v>
      </c>
      <c r="E4629" s="9">
        <v>2.0</v>
      </c>
      <c r="F4629" s="14"/>
      <c r="G4629" s="15"/>
      <c r="H4629" s="15"/>
      <c r="I4629" s="14"/>
      <c r="P4629" s="14"/>
    </row>
    <row r="4630" ht="18.75" customHeight="1">
      <c r="A4630" s="7" t="s">
        <v>1135</v>
      </c>
      <c r="B4630" s="9">
        <v>182291.0</v>
      </c>
      <c r="C4630" s="9">
        <v>180558.0</v>
      </c>
      <c r="D4630" s="9">
        <v>71492.0</v>
      </c>
      <c r="E4630" s="9">
        <v>2350.0</v>
      </c>
      <c r="F4630" s="14"/>
      <c r="G4630" s="15"/>
      <c r="H4630" s="15"/>
      <c r="I4630" s="14"/>
      <c r="P4630" s="14"/>
    </row>
    <row r="4631" ht="18.75" customHeight="1">
      <c r="A4631" s="7" t="s">
        <v>1151</v>
      </c>
      <c r="B4631" s="9">
        <v>5242.0</v>
      </c>
      <c r="C4631" s="9">
        <v>5199.0</v>
      </c>
      <c r="D4631" s="9">
        <v>2143.0</v>
      </c>
      <c r="E4631" s="9">
        <v>211.0</v>
      </c>
      <c r="F4631" s="14"/>
      <c r="G4631" s="15"/>
      <c r="H4631" s="15"/>
      <c r="I4631" s="14"/>
      <c r="P4631" s="14"/>
    </row>
    <row r="4632" ht="18.75" customHeight="1">
      <c r="A4632" s="7" t="s">
        <v>1151</v>
      </c>
      <c r="B4632" s="9">
        <v>7587.0</v>
      </c>
      <c r="C4632" s="9">
        <v>7517.0</v>
      </c>
      <c r="D4632" s="9">
        <v>2539.0</v>
      </c>
      <c r="E4632" s="9">
        <v>378.0</v>
      </c>
      <c r="F4632" s="14"/>
      <c r="G4632" s="15"/>
      <c r="H4632" s="15"/>
      <c r="I4632" s="14"/>
      <c r="P4632" s="14"/>
    </row>
    <row r="4633" ht="18.75" customHeight="1">
      <c r="A4633" s="7" t="s">
        <v>1151</v>
      </c>
      <c r="B4633" s="9">
        <v>9467.0</v>
      </c>
      <c r="C4633" s="9">
        <v>9395.0</v>
      </c>
      <c r="D4633" s="9">
        <v>3469.0</v>
      </c>
      <c r="E4633" s="9">
        <v>445.0</v>
      </c>
      <c r="F4633" s="14"/>
      <c r="G4633" s="15"/>
      <c r="H4633" s="15"/>
      <c r="I4633" s="14"/>
      <c r="P4633" s="14"/>
    </row>
    <row r="4634" ht="18.75" customHeight="1">
      <c r="A4634" s="7" t="s">
        <v>1151</v>
      </c>
      <c r="B4634" s="9">
        <v>29853.0</v>
      </c>
      <c r="C4634" s="9">
        <v>29615.0</v>
      </c>
      <c r="D4634" s="9">
        <v>11316.0</v>
      </c>
      <c r="E4634" s="9">
        <v>1654.0</v>
      </c>
      <c r="F4634" s="14"/>
      <c r="G4634" s="15"/>
      <c r="H4634" s="15"/>
      <c r="I4634" s="14"/>
      <c r="P4634" s="14"/>
    </row>
    <row r="4635" ht="18.75" customHeight="1">
      <c r="A4635" s="7" t="s">
        <v>1151</v>
      </c>
      <c r="B4635" s="9">
        <v>16986.0</v>
      </c>
      <c r="C4635" s="9">
        <v>16795.0</v>
      </c>
      <c r="D4635" s="9">
        <v>6084.0</v>
      </c>
      <c r="E4635" s="9">
        <v>773.0</v>
      </c>
      <c r="F4635" s="14"/>
      <c r="G4635" s="15"/>
      <c r="H4635" s="15"/>
      <c r="I4635" s="14"/>
      <c r="P4635" s="14"/>
    </row>
    <row r="4636" ht="18.75" customHeight="1">
      <c r="A4636" s="7" t="s">
        <v>1151</v>
      </c>
      <c r="B4636" s="9">
        <v>6744.0</v>
      </c>
      <c r="C4636" s="9">
        <v>6658.0</v>
      </c>
      <c r="D4636" s="9">
        <v>2153.0</v>
      </c>
      <c r="E4636" s="9">
        <v>329.0</v>
      </c>
      <c r="F4636" s="14"/>
      <c r="G4636" s="15"/>
      <c r="H4636" s="15"/>
      <c r="I4636" s="14"/>
      <c r="P4636" s="14"/>
    </row>
    <row r="4637" ht="18.75" customHeight="1">
      <c r="A4637" s="7" t="s">
        <v>1253</v>
      </c>
      <c r="B4637" s="9">
        <v>311.0</v>
      </c>
      <c r="C4637" s="9">
        <v>310.0</v>
      </c>
      <c r="D4637" s="9">
        <v>182.0</v>
      </c>
      <c r="E4637" s="9">
        <v>2.0</v>
      </c>
      <c r="F4637" s="14"/>
      <c r="G4637" s="15"/>
      <c r="H4637" s="15"/>
      <c r="I4637" s="14"/>
      <c r="P4637" s="14"/>
    </row>
    <row r="4638" ht="18.75" customHeight="1">
      <c r="A4638" s="7" t="s">
        <v>1333</v>
      </c>
      <c r="B4638" s="9">
        <v>41964.0</v>
      </c>
      <c r="C4638" s="9">
        <v>41195.0</v>
      </c>
      <c r="D4638" s="9">
        <v>5205.0</v>
      </c>
      <c r="E4638" s="9">
        <v>133.0</v>
      </c>
      <c r="F4638" s="14"/>
      <c r="G4638" s="15"/>
      <c r="H4638" s="15"/>
      <c r="I4638" s="14"/>
      <c r="P4638" s="14"/>
    </row>
    <row r="4639" ht="18.75" customHeight="1">
      <c r="A4639" s="7" t="s">
        <v>3754</v>
      </c>
      <c r="B4639" s="9">
        <v>28140.0</v>
      </c>
      <c r="C4639" s="9">
        <v>27650.0</v>
      </c>
      <c r="D4639" s="9">
        <v>2404.0</v>
      </c>
      <c r="E4639" s="9">
        <v>27.0</v>
      </c>
      <c r="F4639" s="14"/>
      <c r="G4639" s="15"/>
      <c r="H4639" s="15"/>
      <c r="I4639" s="14"/>
      <c r="P4639" s="14"/>
    </row>
    <row r="4640" ht="18.75" customHeight="1">
      <c r="A4640" s="7" t="s">
        <v>1337</v>
      </c>
      <c r="B4640" s="9">
        <v>84984.0</v>
      </c>
      <c r="C4640" s="9">
        <v>83942.0</v>
      </c>
      <c r="D4640" s="9">
        <v>14542.0</v>
      </c>
      <c r="E4640" s="9">
        <v>206.0</v>
      </c>
      <c r="F4640" s="14"/>
      <c r="G4640" s="15"/>
      <c r="H4640" s="15"/>
      <c r="I4640" s="14"/>
      <c r="P4640" s="14"/>
    </row>
    <row r="4641" ht="18.75" customHeight="1">
      <c r="A4641" s="7" t="s">
        <v>1131</v>
      </c>
      <c r="B4641" s="9">
        <v>178085.0</v>
      </c>
      <c r="C4641" s="9">
        <v>176646.0</v>
      </c>
      <c r="D4641" s="9">
        <v>57438.0</v>
      </c>
      <c r="E4641" s="9">
        <v>4442.0</v>
      </c>
      <c r="F4641" s="14"/>
      <c r="G4641" s="15"/>
      <c r="H4641" s="15"/>
      <c r="I4641" s="14"/>
      <c r="P4641" s="14"/>
    </row>
    <row r="4642" ht="18.75" customHeight="1">
      <c r="A4642" s="7" t="s">
        <v>1323</v>
      </c>
      <c r="B4642" s="9">
        <v>12163.0</v>
      </c>
      <c r="C4642" s="9">
        <v>11980.0</v>
      </c>
      <c r="D4642" s="9">
        <v>3076.0</v>
      </c>
      <c r="E4642" s="9">
        <v>205.0</v>
      </c>
      <c r="F4642" s="14"/>
      <c r="G4642" s="15"/>
      <c r="H4642" s="15"/>
      <c r="I4642" s="14"/>
      <c r="P4642" s="14"/>
    </row>
    <row r="4643" ht="18.75" customHeight="1">
      <c r="A4643" s="7" t="s">
        <v>1325</v>
      </c>
      <c r="B4643" s="9">
        <v>14837.0</v>
      </c>
      <c r="C4643" s="9">
        <v>14693.0</v>
      </c>
      <c r="D4643" s="9">
        <v>5185.0</v>
      </c>
      <c r="E4643" s="9">
        <v>276.0</v>
      </c>
      <c r="F4643" s="14"/>
      <c r="G4643" s="15"/>
      <c r="H4643" s="15"/>
      <c r="I4643" s="14"/>
      <c r="P4643" s="14"/>
    </row>
    <row r="4644" ht="18.75" customHeight="1">
      <c r="A4644" s="7" t="s">
        <v>1327</v>
      </c>
      <c r="B4644" s="9">
        <v>7494.0</v>
      </c>
      <c r="C4644" s="9">
        <v>7417.0</v>
      </c>
      <c r="D4644" s="9">
        <v>2359.0</v>
      </c>
      <c r="E4644" s="9">
        <v>125.0</v>
      </c>
      <c r="F4644" s="14"/>
      <c r="G4644" s="15"/>
      <c r="H4644" s="15"/>
      <c r="I4644" s="14"/>
      <c r="P4644" s="14"/>
    </row>
    <row r="4645" ht="18.75" customHeight="1">
      <c r="A4645" s="7" t="s">
        <v>1319</v>
      </c>
      <c r="B4645" s="9">
        <v>42130.0</v>
      </c>
      <c r="C4645" s="9">
        <v>41591.0</v>
      </c>
      <c r="D4645" s="9">
        <v>13344.0</v>
      </c>
      <c r="E4645" s="9">
        <v>132.0</v>
      </c>
      <c r="F4645" s="14"/>
      <c r="G4645" s="15"/>
      <c r="H4645" s="15"/>
      <c r="I4645" s="14"/>
      <c r="P4645" s="14"/>
    </row>
    <row r="4646" ht="18.75" customHeight="1">
      <c r="A4646" s="7" t="s">
        <v>1363</v>
      </c>
      <c r="B4646" s="9">
        <v>106015.0</v>
      </c>
      <c r="C4646" s="9">
        <v>104639.0</v>
      </c>
      <c r="D4646" s="9">
        <v>19719.0</v>
      </c>
      <c r="E4646" s="9">
        <v>51.0</v>
      </c>
      <c r="F4646" s="14"/>
      <c r="G4646" s="15"/>
      <c r="H4646" s="15"/>
      <c r="I4646" s="14"/>
      <c r="P4646" s="14"/>
    </row>
    <row r="4647" ht="18.75" customHeight="1">
      <c r="A4647" s="7" t="s">
        <v>1263</v>
      </c>
      <c r="B4647" s="9">
        <v>145.0</v>
      </c>
      <c r="C4647" s="9">
        <v>144.0</v>
      </c>
      <c r="D4647" s="9">
        <v>76.0</v>
      </c>
      <c r="E4647" s="9">
        <v>1.0</v>
      </c>
      <c r="F4647" s="14"/>
      <c r="G4647" s="15"/>
      <c r="H4647" s="15"/>
      <c r="I4647" s="14"/>
      <c r="P4647" s="14"/>
    </row>
    <row r="4648" ht="18.75" customHeight="1">
      <c r="A4648" s="7" t="s">
        <v>1311</v>
      </c>
      <c r="B4648" s="9">
        <v>45136.0</v>
      </c>
      <c r="C4648" s="9">
        <v>44611.0</v>
      </c>
      <c r="D4648" s="9">
        <v>13464.0</v>
      </c>
      <c r="E4648" s="9">
        <v>208.0</v>
      </c>
      <c r="F4648" s="14"/>
      <c r="G4648" s="15"/>
      <c r="H4648" s="15"/>
      <c r="I4648" s="14"/>
      <c r="P4648" s="14"/>
    </row>
    <row r="4649" ht="18.75" customHeight="1">
      <c r="A4649" s="7" t="s">
        <v>1201</v>
      </c>
      <c r="B4649" s="9">
        <v>77691.0</v>
      </c>
      <c r="C4649" s="9">
        <v>76939.0</v>
      </c>
      <c r="D4649" s="9">
        <v>28303.0</v>
      </c>
      <c r="E4649" s="9">
        <v>1743.0</v>
      </c>
      <c r="F4649" s="14"/>
      <c r="G4649" s="15"/>
      <c r="H4649" s="15"/>
      <c r="I4649" s="14"/>
      <c r="P4649" s="14"/>
    </row>
    <row r="4650" ht="18.75" customHeight="1">
      <c r="A4650" s="7" t="s">
        <v>1261</v>
      </c>
      <c r="B4650" s="9">
        <v>154.0</v>
      </c>
      <c r="C4650" s="9">
        <v>153.0</v>
      </c>
      <c r="D4650" s="9">
        <v>69.0</v>
      </c>
      <c r="E4650" s="9">
        <v>2.0</v>
      </c>
      <c r="F4650" s="14"/>
      <c r="G4650" s="15"/>
      <c r="H4650" s="15"/>
      <c r="I4650" s="14"/>
      <c r="P4650" s="14"/>
    </row>
    <row r="4651" ht="18.75" customHeight="1">
      <c r="A4651" s="7" t="s">
        <v>1335</v>
      </c>
      <c r="B4651" s="9">
        <v>23188.0</v>
      </c>
      <c r="C4651" s="9">
        <v>22962.0</v>
      </c>
      <c r="D4651" s="9">
        <v>5770.0</v>
      </c>
      <c r="E4651" s="9">
        <v>207.0</v>
      </c>
      <c r="F4651" s="14"/>
      <c r="G4651" s="15"/>
      <c r="H4651" s="15"/>
      <c r="I4651" s="14"/>
      <c r="P4651" s="14"/>
    </row>
    <row r="4652" ht="18.75" customHeight="1">
      <c r="A4652" s="7" t="s">
        <v>1339</v>
      </c>
      <c r="B4652" s="9">
        <v>15360.0</v>
      </c>
      <c r="C4652" s="9">
        <v>15177.0</v>
      </c>
      <c r="D4652" s="9">
        <v>2478.0</v>
      </c>
      <c r="E4652" s="9">
        <v>46.0</v>
      </c>
      <c r="F4652" s="14"/>
      <c r="G4652" s="15"/>
      <c r="H4652" s="15"/>
      <c r="I4652" s="14"/>
      <c r="P4652" s="14"/>
    </row>
    <row r="4653" ht="18.75" customHeight="1">
      <c r="A4653" s="7" t="s">
        <v>1317</v>
      </c>
      <c r="B4653" s="9">
        <v>531.0</v>
      </c>
      <c r="C4653" s="9">
        <v>527.0</v>
      </c>
      <c r="D4653" s="9">
        <v>166.0</v>
      </c>
      <c r="E4653" s="9">
        <v>3.0</v>
      </c>
      <c r="F4653" s="14"/>
      <c r="G4653" s="15"/>
      <c r="H4653" s="15"/>
      <c r="I4653" s="14"/>
      <c r="P4653" s="14"/>
    </row>
    <row r="4654" ht="18.75" customHeight="1">
      <c r="A4654" s="7" t="s">
        <v>372</v>
      </c>
      <c r="B4654" s="9">
        <v>3729.0</v>
      </c>
      <c r="C4654" s="9">
        <v>3699.0</v>
      </c>
      <c r="D4654" s="9">
        <v>1137.0</v>
      </c>
      <c r="E4654" s="9">
        <v>75.0</v>
      </c>
      <c r="F4654" s="14"/>
      <c r="G4654" s="15"/>
      <c r="H4654" s="15"/>
      <c r="I4654" s="14"/>
      <c r="P4654" s="14"/>
    </row>
    <row r="4655" ht="18.75" customHeight="1">
      <c r="A4655" s="7" t="s">
        <v>370</v>
      </c>
      <c r="B4655" s="9">
        <v>132.0</v>
      </c>
      <c r="C4655" s="9">
        <v>131.0</v>
      </c>
      <c r="D4655" s="9">
        <v>47.0</v>
      </c>
      <c r="E4655" s="9">
        <v>8.0</v>
      </c>
      <c r="F4655" s="14"/>
      <c r="G4655" s="15"/>
      <c r="H4655" s="15"/>
      <c r="I4655" s="14"/>
      <c r="P4655" s="14"/>
    </row>
    <row r="4656" ht="18.75" customHeight="1">
      <c r="A4656" s="7" t="s">
        <v>366</v>
      </c>
      <c r="B4656" s="9">
        <v>1989.0</v>
      </c>
      <c r="C4656" s="9">
        <v>1963.0</v>
      </c>
      <c r="D4656" s="9">
        <v>688.0</v>
      </c>
      <c r="E4656" s="9">
        <v>42.0</v>
      </c>
      <c r="F4656" s="14"/>
      <c r="G4656" s="15"/>
      <c r="H4656" s="15"/>
      <c r="I4656" s="14"/>
      <c r="P4656" s="14"/>
    </row>
    <row r="4657" ht="18.75" customHeight="1">
      <c r="A4657" s="7" t="s">
        <v>366</v>
      </c>
      <c r="B4657" s="9">
        <v>690.0</v>
      </c>
      <c r="C4657" s="9">
        <v>688.0</v>
      </c>
      <c r="D4657" s="9">
        <v>231.0</v>
      </c>
      <c r="E4657" s="9">
        <v>17.0</v>
      </c>
      <c r="F4657" s="14"/>
      <c r="G4657" s="15"/>
      <c r="H4657" s="15"/>
      <c r="I4657" s="14"/>
      <c r="P4657" s="14"/>
    </row>
    <row r="4658" ht="18.75" customHeight="1">
      <c r="A4658" s="7" t="s">
        <v>356</v>
      </c>
      <c r="B4658" s="9">
        <v>226.0</v>
      </c>
      <c r="C4658" s="9">
        <v>223.0</v>
      </c>
      <c r="D4658" s="9">
        <v>86.0</v>
      </c>
      <c r="E4658" s="9">
        <v>20.0</v>
      </c>
      <c r="F4658" s="14"/>
      <c r="G4658" s="15"/>
      <c r="H4658" s="15"/>
      <c r="I4658" s="14"/>
      <c r="P4658" s="14"/>
    </row>
    <row r="4659" ht="18.75" customHeight="1">
      <c r="A4659" s="7" t="s">
        <v>368</v>
      </c>
      <c r="B4659" s="9">
        <v>565.0</v>
      </c>
      <c r="C4659" s="9">
        <v>560.0</v>
      </c>
      <c r="D4659" s="9">
        <v>222.0</v>
      </c>
      <c r="E4659" s="9">
        <v>21.0</v>
      </c>
      <c r="F4659" s="14"/>
      <c r="G4659" s="15"/>
      <c r="H4659" s="15"/>
      <c r="I4659" s="14"/>
      <c r="P4659" s="14"/>
    </row>
    <row r="4660" ht="18.75" customHeight="1">
      <c r="A4660" s="7" t="s">
        <v>360</v>
      </c>
      <c r="B4660" s="9">
        <v>17690.0</v>
      </c>
      <c r="C4660" s="9">
        <v>17510.0</v>
      </c>
      <c r="D4660" s="9">
        <v>4971.0</v>
      </c>
      <c r="E4660" s="9">
        <v>62.0</v>
      </c>
      <c r="F4660" s="14"/>
      <c r="G4660" s="15"/>
      <c r="H4660" s="15"/>
      <c r="I4660" s="14"/>
      <c r="P4660" s="14"/>
    </row>
    <row r="4661" ht="18.75" customHeight="1">
      <c r="A4661" s="7" t="s">
        <v>1207</v>
      </c>
      <c r="B4661" s="9">
        <v>146449.0</v>
      </c>
      <c r="C4661" s="9">
        <v>144789.0</v>
      </c>
      <c r="D4661" s="9">
        <v>26208.0</v>
      </c>
      <c r="E4661" s="9">
        <v>173.0</v>
      </c>
      <c r="F4661" s="14"/>
      <c r="G4661" s="15"/>
      <c r="H4661" s="15"/>
      <c r="I4661" s="14"/>
      <c r="P4661" s="14"/>
    </row>
    <row r="4662" ht="18.75" customHeight="1">
      <c r="A4662" s="7" t="s">
        <v>1307</v>
      </c>
      <c r="B4662" s="9">
        <v>99764.0</v>
      </c>
      <c r="C4662" s="9">
        <v>98064.0</v>
      </c>
      <c r="D4662" s="9">
        <v>20475.0</v>
      </c>
      <c r="E4662" s="9">
        <v>1036.0</v>
      </c>
      <c r="F4662" s="14"/>
      <c r="G4662" s="15"/>
      <c r="H4662" s="15"/>
      <c r="I4662" s="14"/>
      <c r="P4662" s="14"/>
    </row>
    <row r="4663" ht="18.75" customHeight="1">
      <c r="A4663" s="7" t="s">
        <v>1155</v>
      </c>
      <c r="B4663" s="9">
        <v>6005.0</v>
      </c>
      <c r="C4663" s="9">
        <v>5995.0</v>
      </c>
      <c r="D4663" s="9">
        <v>2302.0</v>
      </c>
      <c r="E4663" s="9">
        <v>12.0</v>
      </c>
      <c r="F4663" s="14"/>
      <c r="G4663" s="15"/>
      <c r="H4663" s="15"/>
      <c r="I4663" s="14"/>
      <c r="P4663" s="14"/>
    </row>
    <row r="4664" ht="18.75" customHeight="1">
      <c r="A4664" s="7" t="s">
        <v>1365</v>
      </c>
      <c r="B4664" s="9">
        <v>59722.0</v>
      </c>
      <c r="C4664" s="9">
        <v>59130.0</v>
      </c>
      <c r="D4664" s="9">
        <v>15015.0</v>
      </c>
      <c r="E4664" s="9">
        <v>353.0</v>
      </c>
      <c r="F4664" s="14"/>
      <c r="G4664" s="15"/>
      <c r="H4664" s="15"/>
      <c r="I4664" s="14"/>
      <c r="P4664" s="14"/>
    </row>
    <row r="4665" ht="18.75" customHeight="1">
      <c r="A4665" s="7" t="s">
        <v>1351</v>
      </c>
      <c r="B4665" s="9">
        <v>32185.0</v>
      </c>
      <c r="C4665" s="9">
        <v>31701.0</v>
      </c>
      <c r="D4665" s="9">
        <v>3925.0</v>
      </c>
      <c r="E4665" s="9">
        <v>88.0</v>
      </c>
      <c r="F4665" s="14"/>
      <c r="G4665" s="15"/>
      <c r="H4665" s="15"/>
      <c r="I4665" s="14"/>
      <c r="P4665" s="14"/>
    </row>
    <row r="4666" ht="18.75" customHeight="1">
      <c r="A4666" s="7" t="s">
        <v>1351</v>
      </c>
      <c r="B4666" s="9">
        <v>186.0</v>
      </c>
      <c r="C4666" s="9">
        <v>186.0</v>
      </c>
      <c r="D4666" s="9">
        <v>91.0</v>
      </c>
      <c r="E4666" s="9">
        <v>45.0</v>
      </c>
      <c r="F4666" s="14"/>
      <c r="G4666" s="15"/>
      <c r="H4666" s="15"/>
      <c r="I4666" s="14"/>
      <c r="P4666" s="14"/>
    </row>
    <row r="4667" ht="18.75" customHeight="1">
      <c r="A4667" s="7" t="s">
        <v>1201</v>
      </c>
      <c r="B4667" s="9">
        <v>150210.0</v>
      </c>
      <c r="C4667" s="9">
        <v>148453.0</v>
      </c>
      <c r="D4667" s="9">
        <v>43752.0</v>
      </c>
      <c r="E4667" s="9">
        <v>2413.0</v>
      </c>
      <c r="F4667" s="14"/>
      <c r="G4667" s="15"/>
      <c r="H4667" s="15"/>
      <c r="I4667" s="14"/>
      <c r="P4667" s="14"/>
    </row>
    <row r="4668" ht="18.75" customHeight="1">
      <c r="A4668" s="7" t="s">
        <v>1331</v>
      </c>
      <c r="B4668" s="9">
        <v>183.0</v>
      </c>
      <c r="C4668" s="9">
        <v>182.0</v>
      </c>
      <c r="D4668" s="9">
        <v>111.0</v>
      </c>
      <c r="E4668" s="9">
        <v>1.0</v>
      </c>
      <c r="F4668" s="14"/>
      <c r="G4668" s="15"/>
      <c r="H4668" s="15"/>
      <c r="I4668" s="14"/>
      <c r="P4668" s="14"/>
    </row>
    <row r="4669" ht="18.75" customHeight="1">
      <c r="A4669" s="7" t="s">
        <v>1333</v>
      </c>
      <c r="B4669" s="9">
        <v>137.0</v>
      </c>
      <c r="C4669" s="9">
        <v>136.0</v>
      </c>
      <c r="D4669" s="9">
        <v>51.0</v>
      </c>
      <c r="E4669" s="9">
        <v>4.0</v>
      </c>
      <c r="F4669" s="14"/>
      <c r="G4669" s="15"/>
      <c r="H4669" s="15"/>
      <c r="I4669" s="14"/>
      <c r="P4669" s="14"/>
    </row>
    <row r="4670" ht="18.75" customHeight="1">
      <c r="A4670" s="7" t="s">
        <v>1307</v>
      </c>
      <c r="B4670" s="9">
        <v>647.0</v>
      </c>
      <c r="C4670" s="9">
        <v>645.0</v>
      </c>
      <c r="D4670" s="9">
        <v>411.0</v>
      </c>
      <c r="E4670" s="9">
        <v>3.0</v>
      </c>
      <c r="F4670" s="14"/>
      <c r="G4670" s="15"/>
      <c r="H4670" s="15"/>
      <c r="I4670" s="14"/>
      <c r="P4670" s="14"/>
    </row>
    <row r="4671" ht="18.75" customHeight="1">
      <c r="A4671" s="7" t="s">
        <v>1307</v>
      </c>
      <c r="B4671" s="9">
        <v>646.0</v>
      </c>
      <c r="C4671" s="9">
        <v>645.0</v>
      </c>
      <c r="D4671" s="9">
        <v>256.0</v>
      </c>
      <c r="E4671" s="9">
        <v>5.0</v>
      </c>
      <c r="F4671" s="14"/>
      <c r="G4671" s="15"/>
      <c r="H4671" s="15"/>
      <c r="I4671" s="14"/>
      <c r="P4671" s="14"/>
    </row>
    <row r="4672" ht="18.75" customHeight="1">
      <c r="A4672" s="7" t="s">
        <v>1131</v>
      </c>
      <c r="B4672" s="9">
        <v>197251.0</v>
      </c>
      <c r="C4672" s="9">
        <v>197115.0</v>
      </c>
      <c r="D4672" s="9">
        <v>126478.0</v>
      </c>
      <c r="E4672" s="9">
        <v>3086.0</v>
      </c>
      <c r="F4672" s="14"/>
      <c r="G4672" s="15"/>
      <c r="H4672" s="15"/>
      <c r="I4672" s="14"/>
      <c r="P4672" s="14"/>
    </row>
    <row r="4673" ht="18.75" customHeight="1">
      <c r="A4673" s="7" t="s">
        <v>1131</v>
      </c>
      <c r="B4673" s="9">
        <v>130127.0</v>
      </c>
      <c r="C4673" s="9">
        <v>128185.0</v>
      </c>
      <c r="D4673" s="9">
        <v>18501.0</v>
      </c>
      <c r="E4673" s="9">
        <v>585.0</v>
      </c>
      <c r="F4673" s="14"/>
      <c r="G4673" s="15"/>
      <c r="H4673" s="15"/>
      <c r="I4673" s="14"/>
      <c r="P4673" s="14"/>
    </row>
    <row r="4674" ht="18.75" customHeight="1">
      <c r="A4674" s="7" t="s">
        <v>1319</v>
      </c>
      <c r="B4674" s="9">
        <v>28237.0</v>
      </c>
      <c r="C4674" s="9">
        <v>27690.0</v>
      </c>
      <c r="D4674" s="9">
        <v>2284.0</v>
      </c>
      <c r="E4674" s="9">
        <v>30.0</v>
      </c>
      <c r="F4674" s="14"/>
      <c r="G4674" s="15"/>
      <c r="H4674" s="15"/>
      <c r="I4674" s="14"/>
      <c r="P4674" s="14"/>
    </row>
    <row r="4675" ht="18.75" customHeight="1">
      <c r="A4675" s="7" t="s">
        <v>1353</v>
      </c>
      <c r="B4675" s="9">
        <v>97208.0</v>
      </c>
      <c r="C4675" s="9">
        <v>96257.0</v>
      </c>
      <c r="D4675" s="9">
        <v>19965.0</v>
      </c>
      <c r="E4675" s="9">
        <v>265.0</v>
      </c>
      <c r="F4675" s="14"/>
      <c r="G4675" s="15"/>
      <c r="H4675" s="15"/>
      <c r="I4675" s="14"/>
      <c r="P4675" s="14"/>
    </row>
    <row r="4676" ht="18.75" customHeight="1">
      <c r="A4676" s="7" t="s">
        <v>1329</v>
      </c>
      <c r="B4676" s="9">
        <v>17438.0</v>
      </c>
      <c r="C4676" s="9">
        <v>17272.0</v>
      </c>
      <c r="D4676" s="9">
        <v>6728.0</v>
      </c>
      <c r="E4676" s="9">
        <v>280.0</v>
      </c>
      <c r="F4676" s="14"/>
      <c r="G4676" s="15"/>
      <c r="H4676" s="15"/>
      <c r="I4676" s="14"/>
      <c r="P4676" s="14"/>
    </row>
    <row r="4677" ht="18.75" customHeight="1">
      <c r="A4677" s="7" t="s">
        <v>1253</v>
      </c>
      <c r="B4677" s="9">
        <v>280.0</v>
      </c>
      <c r="C4677" s="9">
        <v>279.0</v>
      </c>
      <c r="D4677" s="9">
        <v>155.0</v>
      </c>
      <c r="E4677" s="9">
        <v>4.0</v>
      </c>
      <c r="F4677" s="14"/>
      <c r="G4677" s="15"/>
      <c r="H4677" s="15"/>
      <c r="I4677" s="14"/>
      <c r="P4677" s="14"/>
    </row>
    <row r="4678" ht="18.75" customHeight="1">
      <c r="A4678" s="7" t="s">
        <v>1357</v>
      </c>
      <c r="B4678" s="9">
        <v>90809.0</v>
      </c>
      <c r="C4678" s="9">
        <v>89873.0</v>
      </c>
      <c r="D4678" s="9">
        <v>25155.0</v>
      </c>
      <c r="E4678" s="9">
        <v>440.0</v>
      </c>
      <c r="F4678" s="14"/>
      <c r="G4678" s="15"/>
      <c r="H4678" s="15"/>
      <c r="I4678" s="14"/>
      <c r="P4678" s="14"/>
    </row>
    <row r="4679" ht="18.75" customHeight="1">
      <c r="A4679" s="7" t="s">
        <v>1335</v>
      </c>
      <c r="B4679" s="9">
        <v>118.0</v>
      </c>
      <c r="C4679" s="9">
        <v>117.0</v>
      </c>
      <c r="D4679" s="9">
        <v>61.0</v>
      </c>
      <c r="E4679" s="9">
        <v>3.0</v>
      </c>
      <c r="F4679" s="14"/>
      <c r="G4679" s="15"/>
      <c r="H4679" s="15"/>
      <c r="I4679" s="14"/>
      <c r="P4679" s="14"/>
    </row>
    <row r="4680" ht="18.75" customHeight="1">
      <c r="A4680" s="7" t="s">
        <v>1359</v>
      </c>
      <c r="B4680" s="9">
        <v>84506.0</v>
      </c>
      <c r="C4680" s="9">
        <v>83574.0</v>
      </c>
      <c r="D4680" s="9">
        <v>15992.0</v>
      </c>
      <c r="E4680" s="9">
        <v>289.0</v>
      </c>
      <c r="F4680" s="14"/>
      <c r="G4680" s="15"/>
      <c r="H4680" s="15"/>
      <c r="I4680" s="14"/>
      <c r="P4680" s="14"/>
    </row>
    <row r="4681" ht="18.75" customHeight="1">
      <c r="A4681" s="7" t="s">
        <v>1287</v>
      </c>
      <c r="B4681" s="9">
        <v>395.0</v>
      </c>
      <c r="C4681" s="9">
        <v>380.0</v>
      </c>
      <c r="D4681" s="9">
        <v>173.0</v>
      </c>
      <c r="E4681" s="9">
        <v>71.0</v>
      </c>
      <c r="F4681" s="14"/>
      <c r="G4681" s="15"/>
      <c r="H4681" s="15"/>
      <c r="I4681" s="14"/>
      <c r="P4681" s="14"/>
    </row>
    <row r="4682" ht="18.75" customHeight="1">
      <c r="A4682" s="7" t="s">
        <v>356</v>
      </c>
      <c r="B4682" s="9">
        <v>2167.0</v>
      </c>
      <c r="C4682" s="9">
        <v>2151.0</v>
      </c>
      <c r="D4682" s="9">
        <v>764.0</v>
      </c>
      <c r="E4682" s="9">
        <v>13.0</v>
      </c>
      <c r="F4682" s="14"/>
      <c r="G4682" s="15"/>
      <c r="H4682" s="15"/>
      <c r="I4682" s="14"/>
      <c r="P4682" s="14"/>
    </row>
    <row r="4683" ht="18.75" customHeight="1">
      <c r="A4683" s="7" t="s">
        <v>1305</v>
      </c>
      <c r="B4683" s="9">
        <v>61659.0</v>
      </c>
      <c r="C4683" s="9">
        <v>60637.0</v>
      </c>
      <c r="D4683" s="9">
        <v>16446.0</v>
      </c>
      <c r="E4683" s="9">
        <v>117.0</v>
      </c>
      <c r="F4683" s="14"/>
      <c r="G4683" s="15"/>
      <c r="H4683" s="15"/>
      <c r="I4683" s="14"/>
      <c r="P4683" s="14"/>
    </row>
    <row r="4684" ht="18.75" customHeight="1">
      <c r="A4684" s="7" t="s">
        <v>370</v>
      </c>
      <c r="B4684" s="9">
        <v>184.0</v>
      </c>
      <c r="C4684" s="9">
        <v>182.0</v>
      </c>
      <c r="D4684" s="9">
        <v>72.0</v>
      </c>
      <c r="E4684" s="9">
        <v>11.0</v>
      </c>
      <c r="F4684" s="14"/>
      <c r="G4684" s="15"/>
      <c r="H4684" s="15"/>
      <c r="I4684" s="14"/>
      <c r="P4684" s="14"/>
    </row>
    <row r="4685" ht="18.75" customHeight="1">
      <c r="A4685" s="7" t="s">
        <v>1351</v>
      </c>
      <c r="B4685" s="9">
        <v>180.0</v>
      </c>
      <c r="C4685" s="9">
        <v>178.0</v>
      </c>
      <c r="D4685" s="9">
        <v>107.0</v>
      </c>
      <c r="E4685" s="9">
        <v>1.0</v>
      </c>
      <c r="F4685" s="14"/>
      <c r="G4685" s="15"/>
      <c r="H4685" s="15"/>
      <c r="I4685" s="14"/>
      <c r="P4685" s="14"/>
    </row>
    <row r="4686" ht="18.75" customHeight="1">
      <c r="A4686" s="7" t="s">
        <v>1211</v>
      </c>
      <c r="B4686" s="9">
        <v>27998.0</v>
      </c>
      <c r="C4686" s="9">
        <v>27691.0</v>
      </c>
      <c r="D4686" s="9">
        <v>10566.0</v>
      </c>
      <c r="E4686" s="9">
        <v>600.0</v>
      </c>
      <c r="F4686" s="14"/>
      <c r="G4686" s="15"/>
      <c r="H4686" s="15"/>
      <c r="I4686" s="14"/>
      <c r="P4686" s="14"/>
    </row>
    <row r="4687" ht="18.75" customHeight="1">
      <c r="A4687" s="7" t="s">
        <v>1331</v>
      </c>
      <c r="B4687" s="9">
        <v>186.0</v>
      </c>
      <c r="C4687" s="9">
        <v>185.0</v>
      </c>
      <c r="D4687" s="9">
        <v>96.0</v>
      </c>
      <c r="E4687" s="9">
        <v>2.0</v>
      </c>
      <c r="F4687" s="14"/>
      <c r="G4687" s="15"/>
      <c r="H4687" s="15"/>
      <c r="I4687" s="14"/>
      <c r="P4687" s="14"/>
    </row>
    <row r="4688" ht="18.75" customHeight="1">
      <c r="A4688" s="7" t="s">
        <v>1377</v>
      </c>
      <c r="B4688" s="9">
        <v>2713.0</v>
      </c>
      <c r="C4688" s="9">
        <v>2612.0</v>
      </c>
      <c r="D4688" s="9">
        <v>709.0</v>
      </c>
      <c r="E4688" s="9">
        <v>73.0</v>
      </c>
      <c r="F4688" s="14"/>
      <c r="G4688" s="15"/>
      <c r="H4688" s="15"/>
      <c r="I4688" s="14"/>
      <c r="P4688" s="14"/>
    </row>
    <row r="4689" ht="18.75" customHeight="1">
      <c r="A4689" s="7" t="s">
        <v>1225</v>
      </c>
      <c r="B4689" s="9">
        <v>229248.0</v>
      </c>
      <c r="C4689" s="9">
        <v>228497.0</v>
      </c>
      <c r="D4689" s="9">
        <v>43082.0</v>
      </c>
      <c r="E4689" s="9">
        <v>434.0</v>
      </c>
      <c r="F4689" s="14"/>
      <c r="G4689" s="15"/>
      <c r="H4689" s="15"/>
      <c r="I4689" s="14"/>
      <c r="P4689" s="14"/>
    </row>
    <row r="4690" ht="18.75" customHeight="1">
      <c r="A4690" s="7" t="s">
        <v>1333</v>
      </c>
      <c r="B4690" s="9">
        <v>116.0</v>
      </c>
      <c r="C4690" s="9">
        <v>115.0</v>
      </c>
      <c r="D4690" s="9">
        <v>46.0</v>
      </c>
      <c r="E4690" s="9">
        <v>1.0</v>
      </c>
      <c r="F4690" s="14"/>
      <c r="G4690" s="15"/>
      <c r="H4690" s="15"/>
      <c r="I4690" s="14"/>
      <c r="P4690" s="14"/>
    </row>
    <row r="4691" ht="18.75" customHeight="1">
      <c r="A4691" s="7" t="s">
        <v>1339</v>
      </c>
      <c r="B4691" s="9">
        <v>311.0</v>
      </c>
      <c r="C4691" s="9">
        <v>310.0</v>
      </c>
      <c r="D4691" s="9">
        <v>185.0</v>
      </c>
      <c r="E4691" s="9">
        <v>2.0</v>
      </c>
      <c r="F4691" s="14"/>
      <c r="G4691" s="15"/>
      <c r="H4691" s="15"/>
      <c r="I4691" s="14"/>
      <c r="P4691" s="14"/>
    </row>
    <row r="4692" ht="18.75" customHeight="1">
      <c r="A4692" s="7" t="s">
        <v>1371</v>
      </c>
      <c r="B4692" s="9">
        <v>179748.0</v>
      </c>
      <c r="C4692" s="9">
        <v>178306.0</v>
      </c>
      <c r="D4692" s="9">
        <v>27462.0</v>
      </c>
      <c r="E4692" s="9">
        <v>665.0</v>
      </c>
      <c r="F4692" s="14"/>
      <c r="G4692" s="15"/>
      <c r="H4692" s="15"/>
      <c r="I4692" s="14"/>
      <c r="P4692" s="14"/>
    </row>
    <row r="4693" ht="18.75" customHeight="1">
      <c r="A4693" s="7" t="s">
        <v>1291</v>
      </c>
      <c r="B4693" s="9">
        <v>66527.0</v>
      </c>
      <c r="C4693" s="9">
        <v>65868.0</v>
      </c>
      <c r="D4693" s="9">
        <v>14409.0</v>
      </c>
      <c r="E4693" s="9">
        <v>115.0</v>
      </c>
      <c r="F4693" s="14"/>
      <c r="G4693" s="15"/>
      <c r="H4693" s="15"/>
      <c r="I4693" s="14"/>
      <c r="P4693" s="14"/>
    </row>
    <row r="4694" ht="18.75" customHeight="1">
      <c r="A4694" s="7" t="s">
        <v>1145</v>
      </c>
      <c r="B4694" s="9">
        <v>117287.0</v>
      </c>
      <c r="C4694" s="9">
        <v>116148.0</v>
      </c>
      <c r="D4694" s="9">
        <v>44184.0</v>
      </c>
      <c r="E4694" s="9">
        <v>1802.0</v>
      </c>
      <c r="F4694" s="14"/>
      <c r="G4694" s="15"/>
      <c r="H4694" s="15"/>
      <c r="I4694" s="14"/>
      <c r="P4694" s="14"/>
    </row>
    <row r="4695" ht="18.75" customHeight="1">
      <c r="A4695" s="7" t="s">
        <v>1259</v>
      </c>
      <c r="B4695" s="9">
        <v>108.0</v>
      </c>
      <c r="C4695" s="9">
        <v>107.0</v>
      </c>
      <c r="D4695" s="9">
        <v>41.0</v>
      </c>
      <c r="E4695" s="9">
        <v>1.0</v>
      </c>
      <c r="F4695" s="14"/>
      <c r="G4695" s="15"/>
      <c r="H4695" s="15"/>
      <c r="I4695" s="14"/>
      <c r="P4695" s="14"/>
    </row>
    <row r="4696" ht="18.75" customHeight="1">
      <c r="A4696" s="7" t="s">
        <v>1223</v>
      </c>
      <c r="B4696" s="9">
        <v>65563.0</v>
      </c>
      <c r="C4696" s="9">
        <v>64733.0</v>
      </c>
      <c r="D4696" s="9">
        <v>20682.0</v>
      </c>
      <c r="E4696" s="9">
        <v>1422.0</v>
      </c>
      <c r="F4696" s="14"/>
      <c r="G4696" s="15"/>
      <c r="H4696" s="15"/>
      <c r="I4696" s="14"/>
      <c r="P4696" s="14"/>
    </row>
    <row r="4697" ht="18.75" customHeight="1">
      <c r="A4697" s="7" t="s">
        <v>370</v>
      </c>
      <c r="B4697" s="9">
        <v>220.0</v>
      </c>
      <c r="C4697" s="9">
        <v>217.0</v>
      </c>
      <c r="D4697" s="9">
        <v>76.0</v>
      </c>
      <c r="E4697" s="9">
        <v>3.0</v>
      </c>
      <c r="F4697" s="14"/>
      <c r="G4697" s="15"/>
      <c r="H4697" s="15"/>
      <c r="I4697" s="14"/>
      <c r="P4697" s="14"/>
    </row>
    <row r="4698" ht="18.75" customHeight="1">
      <c r="A4698" s="7" t="s">
        <v>1355</v>
      </c>
      <c r="B4698" s="9">
        <v>109304.0</v>
      </c>
      <c r="C4698" s="9">
        <v>108314.0</v>
      </c>
      <c r="D4698" s="9">
        <v>32516.0</v>
      </c>
      <c r="E4698" s="9">
        <v>512.0</v>
      </c>
      <c r="F4698" s="14"/>
      <c r="G4698" s="15"/>
      <c r="H4698" s="15"/>
      <c r="I4698" s="14"/>
      <c r="P4698" s="14"/>
    </row>
    <row r="4699" ht="18.75" customHeight="1">
      <c r="A4699" s="7" t="s">
        <v>1315</v>
      </c>
      <c r="B4699" s="9">
        <v>36.0</v>
      </c>
      <c r="C4699" s="9">
        <v>35.0</v>
      </c>
      <c r="D4699" s="9">
        <v>10.0</v>
      </c>
      <c r="E4699" s="9">
        <v>1.0</v>
      </c>
      <c r="F4699" s="14"/>
      <c r="G4699" s="15"/>
      <c r="H4699" s="15"/>
      <c r="I4699" s="14"/>
      <c r="P4699" s="14"/>
    </row>
    <row r="4700" ht="18.75" customHeight="1">
      <c r="A4700" s="7" t="s">
        <v>1281</v>
      </c>
      <c r="B4700" s="9">
        <v>73.0</v>
      </c>
      <c r="C4700" s="9">
        <v>71.0</v>
      </c>
      <c r="D4700" s="9">
        <v>38.0</v>
      </c>
      <c r="E4700" s="9">
        <v>1.0</v>
      </c>
      <c r="F4700" s="14"/>
      <c r="G4700" s="15"/>
      <c r="H4700" s="15"/>
      <c r="I4700" s="14"/>
      <c r="P4700" s="14"/>
    </row>
    <row r="4701" ht="18.75" customHeight="1">
      <c r="A4701" s="7" t="s">
        <v>1337</v>
      </c>
      <c r="B4701" s="9">
        <v>130.0</v>
      </c>
      <c r="C4701" s="9">
        <v>128.0</v>
      </c>
      <c r="D4701" s="9">
        <v>70.0</v>
      </c>
      <c r="E4701" s="9">
        <v>2.0</v>
      </c>
      <c r="F4701" s="14"/>
      <c r="G4701" s="15"/>
      <c r="H4701" s="15"/>
      <c r="I4701" s="14"/>
      <c r="P4701" s="14"/>
    </row>
    <row r="4702" ht="18.75" customHeight="1">
      <c r="A4702" s="7" t="s">
        <v>1131</v>
      </c>
      <c r="B4702" s="9">
        <v>214265.0</v>
      </c>
      <c r="C4702" s="9">
        <v>213231.0</v>
      </c>
      <c r="D4702" s="9">
        <v>25183.0</v>
      </c>
      <c r="E4702" s="9">
        <v>635.0</v>
      </c>
      <c r="F4702" s="14"/>
      <c r="G4702" s="15"/>
      <c r="H4702" s="15"/>
      <c r="I4702" s="14"/>
      <c r="P4702" s="14"/>
    </row>
    <row r="4703" ht="18.75" customHeight="1">
      <c r="A4703" s="7" t="s">
        <v>1131</v>
      </c>
      <c r="B4703" s="9">
        <v>130320.0</v>
      </c>
      <c r="C4703" s="9">
        <v>128675.0</v>
      </c>
      <c r="D4703" s="9">
        <v>8241.0</v>
      </c>
      <c r="E4703" s="9">
        <v>214.0</v>
      </c>
      <c r="F4703" s="14"/>
      <c r="G4703" s="15"/>
      <c r="H4703" s="15"/>
      <c r="I4703" s="14"/>
      <c r="P4703" s="14"/>
    </row>
    <row r="4704" ht="18.75" customHeight="1">
      <c r="A4704" s="7" t="s">
        <v>2857</v>
      </c>
      <c r="B4704" s="9">
        <v>91991.0</v>
      </c>
      <c r="C4704" s="9">
        <v>90848.0</v>
      </c>
      <c r="D4704" s="9">
        <v>27991.0</v>
      </c>
      <c r="E4704" s="9">
        <v>547.0</v>
      </c>
      <c r="F4704" s="14"/>
      <c r="G4704" s="15"/>
      <c r="H4704" s="15"/>
      <c r="I4704" s="14"/>
      <c r="P4704" s="14"/>
    </row>
    <row r="4705" ht="18.75" customHeight="1">
      <c r="A4705" s="7" t="s">
        <v>1353</v>
      </c>
      <c r="B4705" s="9">
        <v>132.0</v>
      </c>
      <c r="C4705" s="9">
        <v>130.0</v>
      </c>
      <c r="D4705" s="9">
        <v>75.0</v>
      </c>
      <c r="E4705" s="9">
        <v>0.0</v>
      </c>
      <c r="F4705" s="14"/>
      <c r="G4705" s="15"/>
      <c r="H4705" s="15"/>
      <c r="I4705" s="14"/>
      <c r="P4705" s="14"/>
    </row>
    <row r="4706" ht="18.75" customHeight="1">
      <c r="A4706" s="7" t="s">
        <v>1357</v>
      </c>
      <c r="B4706" s="9">
        <v>151.0</v>
      </c>
      <c r="C4706" s="9">
        <v>150.0</v>
      </c>
      <c r="D4706" s="9">
        <v>97.0</v>
      </c>
      <c r="E4706" s="9">
        <v>1.0</v>
      </c>
      <c r="F4706" s="14"/>
      <c r="G4706" s="15"/>
      <c r="H4706" s="15"/>
      <c r="I4706" s="14"/>
      <c r="P4706" s="14"/>
    </row>
    <row r="4707" ht="18.75" customHeight="1">
      <c r="A4707" s="7" t="s">
        <v>991</v>
      </c>
      <c r="B4707" s="9">
        <v>192734.0</v>
      </c>
      <c r="C4707" s="9">
        <v>191174.0</v>
      </c>
      <c r="D4707" s="9">
        <v>73277.0</v>
      </c>
      <c r="E4707" s="9">
        <v>1821.0</v>
      </c>
      <c r="F4707" s="14"/>
      <c r="G4707" s="15"/>
      <c r="H4707" s="15"/>
      <c r="I4707" s="14"/>
      <c r="P4707" s="14"/>
    </row>
    <row r="4708" ht="18.75" customHeight="1">
      <c r="A4708" s="7" t="s">
        <v>1335</v>
      </c>
      <c r="B4708" s="9">
        <v>117.0</v>
      </c>
      <c r="C4708" s="9">
        <v>116.0</v>
      </c>
      <c r="D4708" s="9">
        <v>56.0</v>
      </c>
      <c r="E4708" s="9">
        <v>1.0</v>
      </c>
      <c r="F4708" s="14"/>
      <c r="G4708" s="15"/>
      <c r="H4708" s="15"/>
      <c r="I4708" s="14"/>
      <c r="P4708" s="14"/>
    </row>
    <row r="4709" ht="18.75" customHeight="1">
      <c r="A4709" s="7" t="s">
        <v>1359</v>
      </c>
      <c r="B4709" s="9">
        <v>130.0</v>
      </c>
      <c r="C4709" s="9">
        <v>129.0</v>
      </c>
      <c r="D4709" s="9">
        <v>81.0</v>
      </c>
      <c r="E4709" s="9">
        <v>2.0</v>
      </c>
      <c r="F4709" s="14"/>
      <c r="G4709" s="15"/>
      <c r="H4709" s="15"/>
      <c r="I4709" s="14"/>
      <c r="P4709" s="14"/>
    </row>
    <row r="4710" ht="18.75" customHeight="1">
      <c r="A4710" s="7" t="s">
        <v>1355</v>
      </c>
      <c r="B4710" s="9">
        <v>20.0</v>
      </c>
      <c r="C4710" s="9">
        <v>19.0</v>
      </c>
      <c r="D4710" s="9">
        <v>6.0</v>
      </c>
      <c r="E4710" s="9">
        <v>0.0</v>
      </c>
      <c r="F4710" s="14"/>
      <c r="G4710" s="15"/>
      <c r="H4710" s="15"/>
      <c r="I4710" s="14"/>
      <c r="P4710" s="14"/>
    </row>
    <row r="4711" ht="18.75" customHeight="1">
      <c r="A4711" s="7" t="s">
        <v>1077</v>
      </c>
      <c r="B4711" s="9">
        <v>3898.0</v>
      </c>
      <c r="C4711" s="9">
        <v>3790.0</v>
      </c>
      <c r="D4711" s="9">
        <v>895.0</v>
      </c>
      <c r="E4711" s="9">
        <v>95.0</v>
      </c>
      <c r="F4711" s="14"/>
      <c r="G4711" s="15"/>
      <c r="H4711" s="15"/>
      <c r="I4711" s="14"/>
      <c r="P4711" s="14"/>
    </row>
    <row r="4712" ht="18.75" customHeight="1">
      <c r="A4712" s="7" t="s">
        <v>1257</v>
      </c>
      <c r="B4712" s="9">
        <v>103.0</v>
      </c>
      <c r="C4712" s="9">
        <v>102.0</v>
      </c>
      <c r="D4712" s="9">
        <v>37.0</v>
      </c>
      <c r="E4712" s="9">
        <v>0.0</v>
      </c>
      <c r="F4712" s="14"/>
      <c r="G4712" s="15"/>
      <c r="H4712" s="15"/>
      <c r="I4712" s="14"/>
      <c r="P4712" s="14"/>
    </row>
    <row r="4713" ht="18.75" customHeight="1">
      <c r="A4713" s="7" t="s">
        <v>1341</v>
      </c>
      <c r="B4713" s="9">
        <v>78461.0</v>
      </c>
      <c r="C4713" s="9">
        <v>77713.0</v>
      </c>
      <c r="D4713" s="9">
        <v>23042.0</v>
      </c>
      <c r="E4713" s="9">
        <v>900.0</v>
      </c>
      <c r="F4713" s="14"/>
      <c r="G4713" s="15"/>
      <c r="H4713" s="15"/>
      <c r="I4713" s="14"/>
      <c r="P4713" s="14"/>
    </row>
    <row r="4714" ht="18.75" customHeight="1">
      <c r="A4714" s="7" t="s">
        <v>1343</v>
      </c>
      <c r="B4714" s="9">
        <v>72474.0</v>
      </c>
      <c r="C4714" s="9">
        <v>71456.0</v>
      </c>
      <c r="D4714" s="9">
        <v>14342.0</v>
      </c>
      <c r="E4714" s="9">
        <v>776.0</v>
      </c>
      <c r="F4714" s="14"/>
      <c r="G4714" s="15"/>
      <c r="H4714" s="15"/>
      <c r="I4714" s="14"/>
      <c r="P4714" s="14"/>
    </row>
    <row r="4715" ht="18.75" customHeight="1">
      <c r="A4715" s="7" t="s">
        <v>1379</v>
      </c>
      <c r="B4715" s="9">
        <v>16625.0</v>
      </c>
      <c r="C4715" s="9">
        <v>16446.0</v>
      </c>
      <c r="D4715" s="9">
        <v>5969.0</v>
      </c>
      <c r="E4715" s="9">
        <v>195.0</v>
      </c>
      <c r="F4715" s="14"/>
      <c r="G4715" s="15"/>
      <c r="H4715" s="15"/>
      <c r="I4715" s="14"/>
      <c r="P4715" s="14"/>
    </row>
    <row r="4716" ht="18.75" customHeight="1">
      <c r="A4716" s="7" t="s">
        <v>1381</v>
      </c>
      <c r="B4716" s="9">
        <v>25942.0</v>
      </c>
      <c r="C4716" s="9">
        <v>25634.0</v>
      </c>
      <c r="D4716" s="9">
        <v>7394.0</v>
      </c>
      <c r="E4716" s="9">
        <v>296.0</v>
      </c>
      <c r="F4716" s="14"/>
      <c r="G4716" s="15"/>
      <c r="H4716" s="15"/>
      <c r="I4716" s="14"/>
      <c r="P4716" s="14"/>
    </row>
    <row r="4717" ht="18.75" customHeight="1">
      <c r="A4717" s="7" t="s">
        <v>1403</v>
      </c>
      <c r="B4717" s="9">
        <v>18151.0</v>
      </c>
      <c r="C4717" s="9">
        <v>17791.0</v>
      </c>
      <c r="D4717" s="9">
        <v>2542.0</v>
      </c>
      <c r="E4717" s="9">
        <v>26.0</v>
      </c>
      <c r="F4717" s="14"/>
      <c r="G4717" s="15"/>
      <c r="H4717" s="15"/>
      <c r="I4717" s="14"/>
      <c r="P4717" s="14"/>
    </row>
    <row r="4718" ht="18.75" customHeight="1">
      <c r="A4718" s="7" t="s">
        <v>565</v>
      </c>
      <c r="B4718" s="9">
        <v>163262.0</v>
      </c>
      <c r="C4718" s="9">
        <v>161862.0</v>
      </c>
      <c r="D4718" s="9">
        <v>38670.0</v>
      </c>
      <c r="E4718" s="9">
        <v>304.0</v>
      </c>
      <c r="F4718" s="14"/>
      <c r="G4718" s="15"/>
      <c r="H4718" s="15"/>
      <c r="I4718" s="14"/>
      <c r="P4718" s="14"/>
    </row>
    <row r="4719" ht="18.75" customHeight="1">
      <c r="A4719" s="7" t="s">
        <v>1347</v>
      </c>
      <c r="B4719" s="9">
        <v>106742.0</v>
      </c>
      <c r="C4719" s="9">
        <v>105386.0</v>
      </c>
      <c r="D4719" s="9">
        <v>34841.0</v>
      </c>
      <c r="E4719" s="9">
        <v>836.0</v>
      </c>
      <c r="F4719" s="14"/>
      <c r="G4719" s="15"/>
      <c r="H4719" s="15"/>
      <c r="I4719" s="14"/>
      <c r="P4719" s="14"/>
    </row>
    <row r="4720" ht="18.75" customHeight="1">
      <c r="A4720" s="7" t="s">
        <v>1405</v>
      </c>
      <c r="B4720" s="9">
        <v>30989.0</v>
      </c>
      <c r="C4720" s="9">
        <v>30685.0</v>
      </c>
      <c r="D4720" s="9">
        <v>6559.0</v>
      </c>
      <c r="E4720" s="9">
        <v>127.0</v>
      </c>
      <c r="F4720" s="14"/>
      <c r="G4720" s="15"/>
      <c r="H4720" s="15"/>
      <c r="I4720" s="14"/>
      <c r="P4720" s="14"/>
    </row>
    <row r="4721" ht="18.75" customHeight="1">
      <c r="A4721" s="7" t="s">
        <v>1409</v>
      </c>
      <c r="B4721" s="9">
        <v>84602.0</v>
      </c>
      <c r="C4721" s="9">
        <v>83678.0</v>
      </c>
      <c r="D4721" s="9">
        <v>15381.0</v>
      </c>
      <c r="E4721" s="9">
        <v>366.0</v>
      </c>
      <c r="F4721" s="14"/>
      <c r="G4721" s="15"/>
      <c r="H4721" s="15"/>
      <c r="I4721" s="14"/>
      <c r="P4721" s="14"/>
    </row>
    <row r="4722" ht="18.75" customHeight="1">
      <c r="A4722" s="7" t="s">
        <v>1339</v>
      </c>
      <c r="B4722" s="9">
        <v>64.0</v>
      </c>
      <c r="C4722" s="9">
        <v>63.0</v>
      </c>
      <c r="D4722" s="9">
        <v>26.0</v>
      </c>
      <c r="E4722" s="9">
        <v>1.0</v>
      </c>
      <c r="F4722" s="14"/>
      <c r="G4722" s="15"/>
      <c r="H4722" s="15"/>
      <c r="I4722" s="14"/>
      <c r="P4722" s="14"/>
    </row>
    <row r="4723" ht="18.75" customHeight="1">
      <c r="A4723" s="7" t="s">
        <v>1291</v>
      </c>
      <c r="B4723" s="9">
        <v>48721.0</v>
      </c>
      <c r="C4723" s="9">
        <v>48274.0</v>
      </c>
      <c r="D4723" s="9">
        <v>8208.0</v>
      </c>
      <c r="E4723" s="9">
        <v>61.0</v>
      </c>
      <c r="F4723" s="14"/>
      <c r="G4723" s="15"/>
      <c r="H4723" s="15"/>
      <c r="I4723" s="14"/>
      <c r="P4723" s="14"/>
    </row>
    <row r="4724" ht="18.75" customHeight="1">
      <c r="A4724" s="7" t="s">
        <v>1371</v>
      </c>
      <c r="B4724" s="9">
        <v>20322.0</v>
      </c>
      <c r="C4724" s="9">
        <v>20094.0</v>
      </c>
      <c r="D4724" s="9">
        <v>6333.0</v>
      </c>
      <c r="E4724" s="9">
        <v>626.0</v>
      </c>
      <c r="F4724" s="14"/>
      <c r="G4724" s="15"/>
      <c r="H4724" s="15"/>
      <c r="I4724" s="14"/>
      <c r="P4724" s="14"/>
    </row>
    <row r="4725" ht="18.75" customHeight="1">
      <c r="A4725" s="7" t="s">
        <v>1407</v>
      </c>
      <c r="B4725" s="9">
        <v>12717.0</v>
      </c>
      <c r="C4725" s="9">
        <v>12520.0</v>
      </c>
      <c r="D4725" s="9">
        <v>1818.0</v>
      </c>
      <c r="E4725" s="9">
        <v>80.0</v>
      </c>
      <c r="F4725" s="14"/>
      <c r="G4725" s="15"/>
      <c r="H4725" s="15"/>
      <c r="I4725" s="14"/>
      <c r="P4725" s="14"/>
    </row>
    <row r="4726" ht="18.75" customHeight="1">
      <c r="A4726" s="7" t="s">
        <v>1395</v>
      </c>
      <c r="B4726" s="9">
        <v>8435.0</v>
      </c>
      <c r="C4726" s="9">
        <v>8343.0</v>
      </c>
      <c r="D4726" s="9">
        <v>3032.0</v>
      </c>
      <c r="E4726" s="9">
        <v>418.0</v>
      </c>
      <c r="F4726" s="14"/>
      <c r="G4726" s="15"/>
      <c r="H4726" s="15"/>
      <c r="I4726" s="14"/>
      <c r="P4726" s="14"/>
    </row>
    <row r="4727" ht="18.75" customHeight="1">
      <c r="A4727" s="7" t="s">
        <v>1411</v>
      </c>
      <c r="B4727" s="9">
        <v>109372.0</v>
      </c>
      <c r="C4727" s="9">
        <v>108380.0</v>
      </c>
      <c r="D4727" s="9">
        <v>24282.0</v>
      </c>
      <c r="E4727" s="9">
        <v>564.0</v>
      </c>
      <c r="F4727" s="14"/>
      <c r="G4727" s="15"/>
      <c r="H4727" s="15"/>
      <c r="I4727" s="14"/>
      <c r="P4727" s="14"/>
    </row>
    <row r="4728" ht="18.75" customHeight="1">
      <c r="A4728" s="7" t="s">
        <v>370</v>
      </c>
      <c r="B4728" s="9">
        <v>104.0</v>
      </c>
      <c r="C4728" s="9">
        <v>104.0</v>
      </c>
      <c r="D4728" s="9">
        <v>32.0</v>
      </c>
      <c r="E4728" s="9">
        <v>5.0</v>
      </c>
      <c r="F4728" s="14"/>
      <c r="G4728" s="15"/>
      <c r="H4728" s="15"/>
      <c r="I4728" s="14"/>
      <c r="P4728" s="14"/>
    </row>
    <row r="4729" ht="18.75" customHeight="1">
      <c r="A4729" s="7" t="s">
        <v>366</v>
      </c>
      <c r="B4729" s="9">
        <v>1853.0</v>
      </c>
      <c r="C4729" s="9">
        <v>1833.0</v>
      </c>
      <c r="D4729" s="9">
        <v>632.0</v>
      </c>
      <c r="E4729" s="9">
        <v>32.0</v>
      </c>
      <c r="F4729" s="14"/>
      <c r="G4729" s="15"/>
      <c r="H4729" s="15"/>
      <c r="I4729" s="14"/>
      <c r="P4729" s="14"/>
    </row>
    <row r="4730" ht="18.75" customHeight="1">
      <c r="A4730" s="7" t="s">
        <v>1131</v>
      </c>
      <c r="B4730" s="9">
        <v>118305.0</v>
      </c>
      <c r="C4730" s="9">
        <v>115220.0</v>
      </c>
      <c r="D4730" s="9">
        <v>1042.0</v>
      </c>
      <c r="E4730" s="9">
        <v>45.0</v>
      </c>
      <c r="F4730" s="14"/>
      <c r="G4730" s="15"/>
      <c r="H4730" s="15"/>
      <c r="I4730" s="14"/>
      <c r="P4730" s="14"/>
    </row>
    <row r="4731" ht="18.75" customHeight="1">
      <c r="A4731" s="7" t="s">
        <v>1337</v>
      </c>
      <c r="B4731" s="9">
        <v>129.0</v>
      </c>
      <c r="C4731" s="9">
        <v>126.0</v>
      </c>
      <c r="D4731" s="9">
        <v>51.0</v>
      </c>
      <c r="E4731" s="9">
        <v>2.0</v>
      </c>
      <c r="F4731" s="14"/>
      <c r="G4731" s="15"/>
      <c r="H4731" s="15"/>
      <c r="I4731" s="14"/>
      <c r="P4731" s="14"/>
    </row>
    <row r="4732" ht="18.75" customHeight="1">
      <c r="A4732" s="7" t="s">
        <v>1397</v>
      </c>
      <c r="B4732" s="9">
        <v>31574.0</v>
      </c>
      <c r="C4732" s="9">
        <v>31299.0</v>
      </c>
      <c r="D4732" s="9">
        <v>5349.0</v>
      </c>
      <c r="E4732" s="9">
        <v>273.0</v>
      </c>
      <c r="F4732" s="14"/>
      <c r="G4732" s="15"/>
      <c r="H4732" s="15"/>
      <c r="I4732" s="14"/>
      <c r="P4732" s="14"/>
    </row>
    <row r="4733" ht="18.75" customHeight="1">
      <c r="A4733" s="7" t="s">
        <v>1413</v>
      </c>
      <c r="B4733" s="9">
        <v>15362.0</v>
      </c>
      <c r="C4733" s="9">
        <v>15164.0</v>
      </c>
      <c r="D4733" s="9">
        <v>3633.0</v>
      </c>
      <c r="E4733" s="9">
        <v>114.0</v>
      </c>
      <c r="F4733" s="14"/>
      <c r="G4733" s="15"/>
      <c r="H4733" s="15"/>
      <c r="I4733" s="14"/>
      <c r="P4733" s="14"/>
    </row>
    <row r="4734" ht="18.75" customHeight="1">
      <c r="A4734" s="7" t="s">
        <v>1365</v>
      </c>
      <c r="B4734" s="9">
        <v>34.0</v>
      </c>
      <c r="C4734" s="9">
        <v>33.0</v>
      </c>
      <c r="D4734" s="9">
        <v>7.0</v>
      </c>
      <c r="E4734" s="9">
        <v>0.0</v>
      </c>
      <c r="F4734" s="14"/>
      <c r="G4734" s="15"/>
      <c r="H4734" s="15"/>
      <c r="I4734" s="14"/>
      <c r="P4734" s="14"/>
    </row>
    <row r="4735" ht="18.75" customHeight="1">
      <c r="A4735" s="7" t="s">
        <v>1373</v>
      </c>
      <c r="B4735" s="9">
        <v>468640.0</v>
      </c>
      <c r="C4735" s="9">
        <v>465167.0</v>
      </c>
      <c r="D4735" s="9">
        <v>145960.0</v>
      </c>
      <c r="E4735" s="9">
        <v>4470.0</v>
      </c>
      <c r="F4735" s="14"/>
      <c r="G4735" s="15"/>
      <c r="H4735" s="15"/>
      <c r="I4735" s="14"/>
      <c r="P4735" s="14"/>
    </row>
    <row r="4736" ht="18.75" customHeight="1">
      <c r="A4736" s="7" t="s">
        <v>1373</v>
      </c>
      <c r="B4736" s="9">
        <v>81071.0</v>
      </c>
      <c r="C4736" s="9">
        <v>80084.0</v>
      </c>
      <c r="D4736" s="9">
        <v>16623.0</v>
      </c>
      <c r="E4736" s="9">
        <v>245.0</v>
      </c>
      <c r="F4736" s="14"/>
      <c r="G4736" s="15"/>
      <c r="H4736" s="15"/>
      <c r="I4736" s="14"/>
      <c r="P4736" s="14"/>
    </row>
    <row r="4737" ht="18.75" customHeight="1">
      <c r="A4737" s="7" t="s">
        <v>1403</v>
      </c>
      <c r="B4737" s="9">
        <v>40.0</v>
      </c>
      <c r="C4737" s="9">
        <v>38.0</v>
      </c>
      <c r="D4737" s="9">
        <v>13.0</v>
      </c>
      <c r="E4737" s="9">
        <v>1.0</v>
      </c>
      <c r="F4737" s="14"/>
      <c r="G4737" s="15"/>
      <c r="H4737" s="15"/>
      <c r="I4737" s="14"/>
      <c r="P4737" s="14"/>
    </row>
    <row r="4738" ht="18.75" customHeight="1">
      <c r="A4738" s="7" t="s">
        <v>1409</v>
      </c>
      <c r="B4738" s="9">
        <v>159.0</v>
      </c>
      <c r="C4738" s="9">
        <v>158.0</v>
      </c>
      <c r="D4738" s="9">
        <v>87.0</v>
      </c>
      <c r="E4738" s="9">
        <v>2.0</v>
      </c>
      <c r="F4738" s="14"/>
      <c r="G4738" s="15"/>
      <c r="H4738" s="15"/>
      <c r="I4738" s="14"/>
      <c r="P4738" s="14"/>
    </row>
    <row r="4739" ht="18.75" customHeight="1">
      <c r="A4739" s="7" t="s">
        <v>1407</v>
      </c>
      <c r="B4739" s="9">
        <v>79.0</v>
      </c>
      <c r="C4739" s="9">
        <v>78.0</v>
      </c>
      <c r="D4739" s="9">
        <v>40.0</v>
      </c>
      <c r="E4739" s="9">
        <v>2.0</v>
      </c>
      <c r="F4739" s="14"/>
      <c r="G4739" s="15"/>
      <c r="H4739" s="15"/>
      <c r="I4739" s="14"/>
      <c r="P4739" s="14"/>
    </row>
    <row r="4740" ht="18.75" customHeight="1">
      <c r="A4740" s="7" t="s">
        <v>1397</v>
      </c>
      <c r="B4740" s="9">
        <v>252.0</v>
      </c>
      <c r="C4740" s="9">
        <v>250.0</v>
      </c>
      <c r="D4740" s="9">
        <v>152.0</v>
      </c>
      <c r="E4740" s="9">
        <v>3.0</v>
      </c>
      <c r="F4740" s="14"/>
      <c r="G4740" s="15"/>
      <c r="H4740" s="15"/>
      <c r="I4740" s="14"/>
      <c r="P4740" s="14"/>
    </row>
    <row r="4741" ht="18.75" customHeight="1">
      <c r="A4741" s="7" t="s">
        <v>1367</v>
      </c>
      <c r="B4741" s="9">
        <v>56055.0</v>
      </c>
      <c r="C4741" s="9">
        <v>55410.0</v>
      </c>
      <c r="D4741" s="9">
        <v>14517.0</v>
      </c>
      <c r="E4741" s="9">
        <v>922.0</v>
      </c>
      <c r="F4741" s="14"/>
      <c r="G4741" s="15"/>
      <c r="H4741" s="15"/>
      <c r="I4741" s="14"/>
      <c r="P4741" s="14"/>
    </row>
    <row r="4742" ht="18.75" customHeight="1">
      <c r="A4742" s="7" t="s">
        <v>1385</v>
      </c>
      <c r="B4742" s="9">
        <v>33457.0</v>
      </c>
      <c r="C4742" s="9">
        <v>33166.0</v>
      </c>
      <c r="D4742" s="9">
        <v>12792.0</v>
      </c>
      <c r="E4742" s="9">
        <v>550.0</v>
      </c>
      <c r="F4742" s="14"/>
      <c r="G4742" s="15"/>
      <c r="H4742" s="15"/>
      <c r="I4742" s="14"/>
      <c r="P4742" s="14"/>
    </row>
    <row r="4743" ht="18.75" customHeight="1">
      <c r="A4743" s="7" t="s">
        <v>1383</v>
      </c>
      <c r="B4743" s="9">
        <v>14181.0</v>
      </c>
      <c r="C4743" s="9">
        <v>14023.0</v>
      </c>
      <c r="D4743" s="9">
        <v>5108.0</v>
      </c>
      <c r="E4743" s="9">
        <v>255.0</v>
      </c>
      <c r="F4743" s="14"/>
      <c r="G4743" s="15"/>
      <c r="H4743" s="15"/>
      <c r="I4743" s="14"/>
      <c r="P4743" s="14"/>
    </row>
    <row r="4744" ht="18.75" customHeight="1">
      <c r="A4744" s="7" t="s">
        <v>1389</v>
      </c>
      <c r="B4744" s="9">
        <v>87994.0</v>
      </c>
      <c r="C4744" s="9">
        <v>86925.0</v>
      </c>
      <c r="D4744" s="9">
        <v>17290.0</v>
      </c>
      <c r="E4744" s="9">
        <v>409.0</v>
      </c>
      <c r="F4744" s="14"/>
      <c r="G4744" s="15"/>
      <c r="H4744" s="15"/>
      <c r="I4744" s="14"/>
      <c r="P4744" s="14"/>
    </row>
    <row r="4745" ht="18.75" customHeight="1">
      <c r="A4745" s="7" t="s">
        <v>1417</v>
      </c>
      <c r="B4745" s="9">
        <v>59772.0</v>
      </c>
      <c r="C4745" s="9">
        <v>59154.0</v>
      </c>
      <c r="D4745" s="9">
        <v>16481.0</v>
      </c>
      <c r="E4745" s="9">
        <v>231.0</v>
      </c>
      <c r="F4745" s="14"/>
      <c r="G4745" s="15"/>
      <c r="H4745" s="15"/>
      <c r="I4745" s="14"/>
      <c r="P4745" s="14"/>
    </row>
    <row r="4746" ht="18.75" customHeight="1">
      <c r="A4746" s="7" t="s">
        <v>1357</v>
      </c>
      <c r="B4746" s="9">
        <v>151.0</v>
      </c>
      <c r="C4746" s="9">
        <v>150.0</v>
      </c>
      <c r="D4746" s="9">
        <v>66.0</v>
      </c>
      <c r="E4746" s="9">
        <v>1.0</v>
      </c>
      <c r="F4746" s="14"/>
      <c r="G4746" s="15"/>
      <c r="H4746" s="15"/>
      <c r="I4746" s="14"/>
      <c r="P4746" s="14"/>
    </row>
    <row r="4747" ht="18.75" customHeight="1">
      <c r="A4747" s="7" t="s">
        <v>1419</v>
      </c>
      <c r="B4747" s="9">
        <v>32009.0</v>
      </c>
      <c r="C4747" s="9">
        <v>31613.0</v>
      </c>
      <c r="D4747" s="9">
        <v>8212.0</v>
      </c>
      <c r="E4747" s="9">
        <v>164.0</v>
      </c>
      <c r="F4747" s="14"/>
      <c r="G4747" s="15"/>
      <c r="H4747" s="15"/>
      <c r="I4747" s="14"/>
      <c r="P4747" s="14"/>
    </row>
    <row r="4748" ht="18.75" customHeight="1">
      <c r="A4748" s="7" t="s">
        <v>1359</v>
      </c>
      <c r="B4748" s="9">
        <v>129.0</v>
      </c>
      <c r="C4748" s="9">
        <v>128.0</v>
      </c>
      <c r="D4748" s="9">
        <v>60.0</v>
      </c>
      <c r="E4748" s="9">
        <v>1.0</v>
      </c>
      <c r="F4748" s="14"/>
      <c r="G4748" s="15"/>
      <c r="H4748" s="15"/>
      <c r="I4748" s="14"/>
      <c r="P4748" s="14"/>
    </row>
    <row r="4749" ht="18.75" customHeight="1">
      <c r="A4749" s="7" t="s">
        <v>1433</v>
      </c>
      <c r="B4749" s="9">
        <v>11337.0</v>
      </c>
      <c r="C4749" s="9">
        <v>11197.0</v>
      </c>
      <c r="D4749" s="9">
        <v>2725.0</v>
      </c>
      <c r="E4749" s="9">
        <v>43.0</v>
      </c>
      <c r="F4749" s="14"/>
      <c r="G4749" s="15"/>
      <c r="H4749" s="15"/>
      <c r="I4749" s="14"/>
      <c r="P4749" s="14"/>
    </row>
    <row r="4750" ht="18.75" customHeight="1">
      <c r="A4750" s="7" t="s">
        <v>1421</v>
      </c>
      <c r="B4750" s="9">
        <v>38506.0</v>
      </c>
      <c r="C4750" s="9">
        <v>37962.0</v>
      </c>
      <c r="D4750" s="9">
        <v>6453.0</v>
      </c>
      <c r="E4750" s="9">
        <v>172.0</v>
      </c>
      <c r="F4750" s="14"/>
      <c r="G4750" s="15"/>
      <c r="H4750" s="15"/>
      <c r="I4750" s="14"/>
      <c r="P4750" s="14"/>
    </row>
    <row r="4751" ht="18.75" customHeight="1">
      <c r="A4751" s="7" t="s">
        <v>1077</v>
      </c>
      <c r="B4751" s="9">
        <v>26103.0</v>
      </c>
      <c r="C4751" s="9">
        <v>25471.0</v>
      </c>
      <c r="D4751" s="9">
        <v>6818.0</v>
      </c>
      <c r="E4751" s="9">
        <v>444.0</v>
      </c>
      <c r="F4751" s="14"/>
      <c r="G4751" s="15"/>
      <c r="H4751" s="15"/>
      <c r="I4751" s="14"/>
      <c r="P4751" s="14"/>
    </row>
    <row r="4752" ht="18.75" customHeight="1">
      <c r="A4752" s="7" t="s">
        <v>1415</v>
      </c>
      <c r="B4752" s="9">
        <v>66301.0</v>
      </c>
      <c r="C4752" s="9">
        <v>65444.0</v>
      </c>
      <c r="D4752" s="9">
        <v>11320.0</v>
      </c>
      <c r="E4752" s="9">
        <v>272.0</v>
      </c>
      <c r="F4752" s="14"/>
      <c r="G4752" s="15"/>
      <c r="H4752" s="15"/>
      <c r="I4752" s="14"/>
      <c r="P4752" s="14"/>
    </row>
    <row r="4753" ht="18.75" customHeight="1">
      <c r="A4753" s="7" t="s">
        <v>1353</v>
      </c>
      <c r="B4753" s="9">
        <v>132.0</v>
      </c>
      <c r="C4753" s="9">
        <v>130.0</v>
      </c>
      <c r="D4753" s="9">
        <v>66.0</v>
      </c>
      <c r="E4753" s="9">
        <v>1.0</v>
      </c>
      <c r="F4753" s="14"/>
      <c r="G4753" s="15"/>
      <c r="H4753" s="15"/>
      <c r="I4753" s="14"/>
      <c r="P4753" s="14"/>
    </row>
    <row r="4754" ht="18.75" customHeight="1">
      <c r="A4754" s="7" t="s">
        <v>1439</v>
      </c>
      <c r="B4754" s="9">
        <v>98998.0</v>
      </c>
      <c r="C4754" s="9">
        <v>97833.0</v>
      </c>
      <c r="D4754" s="9">
        <v>33891.0</v>
      </c>
      <c r="E4754" s="9">
        <v>314.0</v>
      </c>
      <c r="F4754" s="14"/>
      <c r="G4754" s="15"/>
      <c r="H4754" s="15"/>
      <c r="I4754" s="14"/>
      <c r="P4754" s="14"/>
    </row>
    <row r="4755" ht="18.75" customHeight="1">
      <c r="A4755" s="7" t="s">
        <v>1405</v>
      </c>
      <c r="B4755" s="9">
        <v>86.0</v>
      </c>
      <c r="C4755" s="9">
        <v>85.0</v>
      </c>
      <c r="D4755" s="9">
        <v>52.0</v>
      </c>
      <c r="E4755" s="9">
        <v>2.0</v>
      </c>
      <c r="F4755" s="14"/>
      <c r="G4755" s="15"/>
      <c r="H4755" s="15"/>
      <c r="I4755" s="14"/>
      <c r="P4755" s="14"/>
    </row>
    <row r="4756" ht="18.75" customHeight="1">
      <c r="A4756" s="7" t="s">
        <v>1409</v>
      </c>
      <c r="B4756" s="9">
        <v>159.0</v>
      </c>
      <c r="C4756" s="9">
        <v>158.0</v>
      </c>
      <c r="D4756" s="9">
        <v>91.0</v>
      </c>
      <c r="E4756" s="9">
        <v>4.0</v>
      </c>
      <c r="F4756" s="14"/>
      <c r="G4756" s="15"/>
      <c r="H4756" s="15"/>
      <c r="I4756" s="14"/>
      <c r="P4756" s="14"/>
    </row>
    <row r="4757" ht="18.75" customHeight="1">
      <c r="A4757" s="7" t="s">
        <v>1407</v>
      </c>
      <c r="B4757" s="9">
        <v>80.0</v>
      </c>
      <c r="C4757" s="9">
        <v>79.0</v>
      </c>
      <c r="D4757" s="9">
        <v>34.0</v>
      </c>
      <c r="E4757" s="9">
        <v>1.0</v>
      </c>
      <c r="F4757" s="14"/>
      <c r="G4757" s="15"/>
      <c r="H4757" s="15"/>
      <c r="I4757" s="14"/>
      <c r="P4757" s="14"/>
    </row>
    <row r="4758" ht="18.75" customHeight="1">
      <c r="A4758" s="7" t="s">
        <v>1395</v>
      </c>
      <c r="B4758" s="9">
        <v>4460.0</v>
      </c>
      <c r="C4758" s="9">
        <v>4416.0</v>
      </c>
      <c r="D4758" s="9">
        <v>1126.0</v>
      </c>
      <c r="E4758" s="9">
        <v>64.0</v>
      </c>
      <c r="F4758" s="14"/>
      <c r="G4758" s="15"/>
      <c r="H4758" s="15"/>
      <c r="I4758" s="14"/>
      <c r="P4758" s="14"/>
    </row>
    <row r="4759" ht="18.75" customHeight="1">
      <c r="A4759" s="7" t="s">
        <v>1395</v>
      </c>
      <c r="B4759" s="9">
        <v>81547.0</v>
      </c>
      <c r="C4759" s="9">
        <v>80833.0</v>
      </c>
      <c r="D4759" s="9">
        <v>15461.0</v>
      </c>
      <c r="E4759" s="9">
        <v>579.0</v>
      </c>
      <c r="F4759" s="14"/>
      <c r="G4759" s="15"/>
      <c r="H4759" s="15"/>
      <c r="I4759" s="14"/>
      <c r="P4759" s="14"/>
    </row>
    <row r="4760" ht="18.75" customHeight="1">
      <c r="A4760" s="7" t="s">
        <v>1449</v>
      </c>
      <c r="B4760" s="9">
        <v>6027.0</v>
      </c>
      <c r="C4760" s="9">
        <v>5973.0</v>
      </c>
      <c r="D4760" s="9">
        <v>1189.0</v>
      </c>
      <c r="E4760" s="9">
        <v>49.0</v>
      </c>
      <c r="F4760" s="14"/>
      <c r="G4760" s="15"/>
      <c r="H4760" s="15"/>
      <c r="I4760" s="14"/>
      <c r="P4760" s="14"/>
    </row>
    <row r="4761" ht="18.75" customHeight="1">
      <c r="A4761" s="7" t="s">
        <v>1411</v>
      </c>
      <c r="B4761" s="9">
        <v>192.0</v>
      </c>
      <c r="C4761" s="9">
        <v>191.0</v>
      </c>
      <c r="D4761" s="9">
        <v>136.0</v>
      </c>
      <c r="E4761" s="9">
        <v>3.0</v>
      </c>
      <c r="F4761" s="14"/>
      <c r="G4761" s="15"/>
      <c r="H4761" s="15"/>
      <c r="I4761" s="14"/>
      <c r="P4761" s="14"/>
    </row>
    <row r="4762" ht="18.75" customHeight="1">
      <c r="A4762" s="7" t="s">
        <v>366</v>
      </c>
      <c r="B4762" s="9">
        <v>935.0</v>
      </c>
      <c r="C4762" s="9">
        <v>930.0</v>
      </c>
      <c r="D4762" s="9">
        <v>322.0</v>
      </c>
      <c r="E4762" s="9">
        <v>14.0</v>
      </c>
      <c r="F4762" s="14"/>
      <c r="G4762" s="15"/>
      <c r="H4762" s="15"/>
      <c r="I4762" s="14"/>
      <c r="P4762" s="14"/>
    </row>
    <row r="4763" ht="18.75" customHeight="1">
      <c r="A4763" s="7" t="s">
        <v>368</v>
      </c>
      <c r="B4763" s="9">
        <v>413.0</v>
      </c>
      <c r="C4763" s="9">
        <v>409.0</v>
      </c>
      <c r="D4763" s="9">
        <v>162.0</v>
      </c>
      <c r="E4763" s="9">
        <v>7.0</v>
      </c>
      <c r="F4763" s="14"/>
      <c r="G4763" s="15"/>
      <c r="H4763" s="15"/>
      <c r="I4763" s="14"/>
      <c r="P4763" s="14"/>
    </row>
    <row r="4764" ht="18.75" customHeight="1">
      <c r="A4764" s="7" t="s">
        <v>368</v>
      </c>
      <c r="B4764" s="9">
        <v>84.0</v>
      </c>
      <c r="C4764" s="9">
        <v>82.0</v>
      </c>
      <c r="D4764" s="9">
        <v>27.0</v>
      </c>
      <c r="E4764" s="9">
        <v>4.0</v>
      </c>
      <c r="F4764" s="14"/>
      <c r="G4764" s="15"/>
      <c r="H4764" s="15"/>
      <c r="I4764" s="14"/>
      <c r="P4764" s="14"/>
    </row>
    <row r="4765" ht="18.75" customHeight="1">
      <c r="A4765" s="7" t="s">
        <v>1355</v>
      </c>
      <c r="B4765" s="9">
        <v>157.0</v>
      </c>
      <c r="C4765" s="9">
        <v>156.0</v>
      </c>
      <c r="D4765" s="9">
        <v>113.0</v>
      </c>
      <c r="E4765" s="9">
        <v>0.0</v>
      </c>
      <c r="F4765" s="14"/>
      <c r="G4765" s="15"/>
      <c r="H4765" s="15"/>
      <c r="I4765" s="14"/>
      <c r="P4765" s="14"/>
    </row>
    <row r="4766" ht="18.75" customHeight="1">
      <c r="A4766" s="7" t="s">
        <v>1279</v>
      </c>
      <c r="B4766" s="9">
        <v>202312.0</v>
      </c>
      <c r="C4766" s="9">
        <v>201927.0</v>
      </c>
      <c r="D4766" s="9">
        <v>115087.0</v>
      </c>
      <c r="E4766" s="9">
        <v>2461.0</v>
      </c>
      <c r="F4766" s="14"/>
      <c r="G4766" s="15"/>
      <c r="H4766" s="15"/>
      <c r="I4766" s="14"/>
      <c r="P4766" s="14"/>
    </row>
    <row r="4767" ht="18.75" customHeight="1">
      <c r="A4767" s="7" t="s">
        <v>1279</v>
      </c>
      <c r="B4767" s="9">
        <v>4745.0</v>
      </c>
      <c r="C4767" s="9">
        <v>4723.0</v>
      </c>
      <c r="D4767" s="9">
        <v>2341.0</v>
      </c>
      <c r="E4767" s="9">
        <v>24.0</v>
      </c>
      <c r="F4767" s="14"/>
      <c r="G4767" s="15"/>
      <c r="H4767" s="15"/>
      <c r="I4767" s="14"/>
      <c r="P4767" s="14"/>
    </row>
    <row r="4768" ht="18.75" customHeight="1">
      <c r="A4768" s="7" t="s">
        <v>1443</v>
      </c>
      <c r="B4768" s="9">
        <v>170032.0</v>
      </c>
      <c r="C4768" s="9">
        <v>168198.0</v>
      </c>
      <c r="D4768" s="9">
        <v>61862.0</v>
      </c>
      <c r="E4768" s="9">
        <v>2394.0</v>
      </c>
      <c r="F4768" s="14"/>
      <c r="G4768" s="15"/>
      <c r="H4768" s="15"/>
      <c r="I4768" s="14"/>
      <c r="P4768" s="14"/>
    </row>
    <row r="4769" ht="18.75" customHeight="1">
      <c r="A4769" s="7" t="s">
        <v>1417</v>
      </c>
      <c r="B4769" s="9">
        <v>123.0</v>
      </c>
      <c r="C4769" s="9">
        <v>122.0</v>
      </c>
      <c r="D4769" s="9">
        <v>59.0</v>
      </c>
      <c r="E4769" s="9">
        <v>1.0</v>
      </c>
      <c r="F4769" s="14"/>
      <c r="G4769" s="15"/>
      <c r="H4769" s="15"/>
      <c r="I4769" s="14"/>
      <c r="P4769" s="14"/>
    </row>
    <row r="4770" ht="18.75" customHeight="1">
      <c r="A4770" s="7" t="s">
        <v>2857</v>
      </c>
      <c r="B4770" s="9">
        <v>73999.0</v>
      </c>
      <c r="C4770" s="9">
        <v>73021.0</v>
      </c>
      <c r="D4770" s="9">
        <v>20116.0</v>
      </c>
      <c r="E4770" s="9">
        <v>628.0</v>
      </c>
      <c r="F4770" s="14"/>
      <c r="G4770" s="15"/>
      <c r="H4770" s="15"/>
      <c r="I4770" s="14"/>
      <c r="P4770" s="14"/>
    </row>
    <row r="4771" ht="18.75" customHeight="1">
      <c r="A4771" s="7" t="s">
        <v>1419</v>
      </c>
      <c r="B4771" s="9">
        <v>95.0</v>
      </c>
      <c r="C4771" s="9">
        <v>94.0</v>
      </c>
      <c r="D4771" s="9">
        <v>58.0</v>
      </c>
      <c r="E4771" s="9">
        <v>1.0</v>
      </c>
      <c r="F4771" s="14"/>
      <c r="G4771" s="15"/>
      <c r="H4771" s="15"/>
      <c r="I4771" s="14"/>
      <c r="P4771" s="14"/>
    </row>
    <row r="4772" ht="18.75" customHeight="1">
      <c r="A4772" s="7" t="s">
        <v>1445</v>
      </c>
      <c r="B4772" s="9">
        <v>6568.0</v>
      </c>
      <c r="C4772" s="9">
        <v>6564.0</v>
      </c>
      <c r="D4772" s="9">
        <v>1548.0</v>
      </c>
      <c r="E4772" s="9">
        <v>504.0</v>
      </c>
      <c r="F4772" s="14"/>
      <c r="G4772" s="15"/>
      <c r="H4772" s="15"/>
      <c r="I4772" s="14"/>
      <c r="P4772" s="14"/>
    </row>
    <row r="4773" ht="18.75" customHeight="1">
      <c r="A4773" s="7" t="s">
        <v>1421</v>
      </c>
      <c r="B4773" s="9">
        <v>130.0</v>
      </c>
      <c r="C4773" s="9">
        <v>129.0</v>
      </c>
      <c r="D4773" s="9">
        <v>84.0</v>
      </c>
      <c r="E4773" s="9">
        <v>2.0</v>
      </c>
      <c r="F4773" s="14"/>
      <c r="G4773" s="15"/>
      <c r="H4773" s="15"/>
      <c r="I4773" s="14"/>
      <c r="P4773" s="14"/>
    </row>
    <row r="4774" ht="18.75" customHeight="1">
      <c r="A4774" s="7" t="s">
        <v>1433</v>
      </c>
      <c r="B4774" s="9">
        <v>51.0</v>
      </c>
      <c r="C4774" s="9">
        <v>50.0</v>
      </c>
      <c r="D4774" s="9">
        <v>24.0</v>
      </c>
      <c r="E4774" s="9">
        <v>1.0</v>
      </c>
      <c r="F4774" s="14"/>
      <c r="G4774" s="15"/>
      <c r="H4774" s="15"/>
      <c r="I4774" s="14"/>
      <c r="P4774" s="14"/>
    </row>
    <row r="4775" ht="18.75" customHeight="1">
      <c r="A4775" s="7" t="s">
        <v>1415</v>
      </c>
      <c r="B4775" s="9">
        <v>147.0</v>
      </c>
      <c r="C4775" s="9">
        <v>146.0</v>
      </c>
      <c r="D4775" s="9">
        <v>92.0</v>
      </c>
      <c r="E4775" s="9">
        <v>1.0</v>
      </c>
      <c r="F4775" s="14"/>
      <c r="G4775" s="15"/>
      <c r="H4775" s="15"/>
      <c r="I4775" s="14"/>
      <c r="P4775" s="14"/>
    </row>
    <row r="4776" ht="18.75" customHeight="1">
      <c r="A4776" s="7" t="s">
        <v>372</v>
      </c>
      <c r="B4776" s="9">
        <v>3743.0</v>
      </c>
      <c r="C4776" s="9">
        <v>3709.0</v>
      </c>
      <c r="D4776" s="9">
        <v>1251.0</v>
      </c>
      <c r="E4776" s="9">
        <v>67.0</v>
      </c>
      <c r="F4776" s="14"/>
      <c r="G4776" s="15"/>
      <c r="H4776" s="15"/>
      <c r="I4776" s="14"/>
      <c r="P4776" s="14"/>
    </row>
    <row r="4777" ht="18.75" customHeight="1">
      <c r="A4777" s="7" t="s">
        <v>1469</v>
      </c>
      <c r="B4777" s="9">
        <v>47951.0</v>
      </c>
      <c r="C4777" s="9">
        <v>47481.0</v>
      </c>
      <c r="D4777" s="9">
        <v>16996.0</v>
      </c>
      <c r="E4777" s="9">
        <v>28.0</v>
      </c>
      <c r="F4777" s="14"/>
      <c r="G4777" s="15"/>
      <c r="H4777" s="15"/>
      <c r="I4777" s="14"/>
      <c r="P4777" s="14"/>
    </row>
    <row r="4778" ht="18.75" customHeight="1">
      <c r="A4778" s="7" t="s">
        <v>1469</v>
      </c>
      <c r="B4778" s="9">
        <v>204503.0</v>
      </c>
      <c r="C4778" s="9">
        <v>201322.0</v>
      </c>
      <c r="D4778" s="9">
        <v>53900.0</v>
      </c>
      <c r="E4778" s="9">
        <v>137.0</v>
      </c>
      <c r="F4778" s="14"/>
      <c r="G4778" s="15"/>
      <c r="H4778" s="15"/>
      <c r="I4778" s="14"/>
      <c r="P4778" s="14"/>
    </row>
    <row r="4779" ht="18.75" customHeight="1">
      <c r="A4779" s="7" t="s">
        <v>1447</v>
      </c>
      <c r="B4779" s="9">
        <v>9713.0</v>
      </c>
      <c r="C4779" s="9">
        <v>9608.0</v>
      </c>
      <c r="D4779" s="9">
        <v>2845.0</v>
      </c>
      <c r="E4779" s="9">
        <v>59.0</v>
      </c>
      <c r="F4779" s="14"/>
      <c r="G4779" s="15"/>
      <c r="H4779" s="15"/>
      <c r="I4779" s="14"/>
      <c r="P4779" s="14"/>
    </row>
    <row r="4780" ht="18.75" customHeight="1">
      <c r="A4780" s="7" t="s">
        <v>1441</v>
      </c>
      <c r="B4780" s="9">
        <v>18985.0</v>
      </c>
      <c r="C4780" s="9">
        <v>18652.0</v>
      </c>
      <c r="D4780" s="9">
        <v>3484.0</v>
      </c>
      <c r="E4780" s="9">
        <v>252.0</v>
      </c>
      <c r="F4780" s="14"/>
      <c r="G4780" s="15"/>
      <c r="H4780" s="15"/>
      <c r="I4780" s="14"/>
      <c r="P4780" s="14"/>
    </row>
    <row r="4781" ht="18.75" customHeight="1">
      <c r="A4781" s="7" t="s">
        <v>2857</v>
      </c>
      <c r="B4781" s="9">
        <v>11017.0</v>
      </c>
      <c r="C4781" s="9">
        <v>10868.0</v>
      </c>
      <c r="D4781" s="9">
        <v>3037.0</v>
      </c>
      <c r="E4781" s="9">
        <v>45.0</v>
      </c>
      <c r="F4781" s="14"/>
      <c r="G4781" s="15"/>
      <c r="H4781" s="15"/>
      <c r="I4781" s="14"/>
      <c r="P4781" s="14"/>
    </row>
    <row r="4782" ht="18.75" customHeight="1">
      <c r="A4782" s="7" t="s">
        <v>2857</v>
      </c>
      <c r="B4782" s="9">
        <v>35010.0</v>
      </c>
      <c r="C4782" s="9">
        <v>34697.0</v>
      </c>
      <c r="D4782" s="9">
        <v>11077.0</v>
      </c>
      <c r="E4782" s="9">
        <v>302.0</v>
      </c>
      <c r="F4782" s="14"/>
      <c r="G4782" s="15"/>
      <c r="H4782" s="15"/>
      <c r="I4782" s="14"/>
      <c r="P4782" s="14"/>
    </row>
    <row r="4783" ht="18.75" customHeight="1">
      <c r="A4783" s="7" t="s">
        <v>1403</v>
      </c>
      <c r="B4783" s="9">
        <v>39.0</v>
      </c>
      <c r="C4783" s="9">
        <v>37.0</v>
      </c>
      <c r="D4783" s="9">
        <v>14.0</v>
      </c>
      <c r="E4783" s="9">
        <v>2.0</v>
      </c>
      <c r="F4783" s="14"/>
      <c r="G4783" s="15"/>
      <c r="H4783" s="15"/>
      <c r="I4783" s="14"/>
      <c r="P4783" s="14"/>
    </row>
    <row r="4784" ht="18.75" customHeight="1">
      <c r="A4784" s="7" t="s">
        <v>1405</v>
      </c>
      <c r="B4784" s="9">
        <v>86.0</v>
      </c>
      <c r="C4784" s="9">
        <v>85.0</v>
      </c>
      <c r="D4784" s="9">
        <v>43.0</v>
      </c>
      <c r="E4784" s="9">
        <v>2.0</v>
      </c>
      <c r="F4784" s="14"/>
      <c r="G4784" s="15"/>
      <c r="H4784" s="15"/>
      <c r="I4784" s="14"/>
      <c r="P4784" s="14"/>
    </row>
    <row r="4785" ht="18.75" customHeight="1">
      <c r="A4785" s="7" t="s">
        <v>1451</v>
      </c>
      <c r="B4785" s="9">
        <v>130030.0</v>
      </c>
      <c r="C4785" s="9">
        <v>128883.0</v>
      </c>
      <c r="D4785" s="9">
        <v>54087.0</v>
      </c>
      <c r="E4785" s="9">
        <v>430.0</v>
      </c>
      <c r="F4785" s="14"/>
      <c r="G4785" s="15"/>
      <c r="H4785" s="15"/>
      <c r="I4785" s="14"/>
      <c r="P4785" s="14"/>
    </row>
    <row r="4786" ht="18.75" customHeight="1">
      <c r="A4786" s="7" t="s">
        <v>1449</v>
      </c>
      <c r="B4786" s="9">
        <v>80.0</v>
      </c>
      <c r="C4786" s="9">
        <v>79.0</v>
      </c>
      <c r="D4786" s="9">
        <v>30.0</v>
      </c>
      <c r="E4786" s="9">
        <v>1.0</v>
      </c>
      <c r="F4786" s="14"/>
      <c r="G4786" s="15"/>
      <c r="H4786" s="15"/>
      <c r="I4786" s="14"/>
      <c r="P4786" s="14"/>
    </row>
    <row r="4787" ht="18.75" customHeight="1">
      <c r="A4787" s="7" t="s">
        <v>1291</v>
      </c>
      <c r="B4787" s="9">
        <v>24412.0</v>
      </c>
      <c r="C4787" s="9">
        <v>24182.0</v>
      </c>
      <c r="D4787" s="9">
        <v>9361.0</v>
      </c>
      <c r="E4787" s="9">
        <v>326.0</v>
      </c>
      <c r="F4787" s="14"/>
      <c r="G4787" s="15"/>
      <c r="H4787" s="15"/>
      <c r="I4787" s="14"/>
      <c r="P4787" s="14"/>
    </row>
    <row r="4788" ht="18.75" customHeight="1">
      <c r="A4788" s="7" t="s">
        <v>1421</v>
      </c>
      <c r="B4788" s="9">
        <v>130.0</v>
      </c>
      <c r="C4788" s="9">
        <v>129.0</v>
      </c>
      <c r="D4788" s="9">
        <v>78.0</v>
      </c>
      <c r="E4788" s="9">
        <v>1.0</v>
      </c>
      <c r="F4788" s="14"/>
      <c r="G4788" s="15"/>
      <c r="H4788" s="15"/>
      <c r="I4788" s="14"/>
      <c r="P4788" s="14"/>
    </row>
    <row r="4789" ht="18.75" customHeight="1">
      <c r="A4789" s="7" t="s">
        <v>1411</v>
      </c>
      <c r="B4789" s="9">
        <v>202.0</v>
      </c>
      <c r="C4789" s="9">
        <v>201.0</v>
      </c>
      <c r="D4789" s="9">
        <v>121.0</v>
      </c>
      <c r="E4789" s="9">
        <v>4.0</v>
      </c>
      <c r="F4789" s="14"/>
      <c r="G4789" s="15"/>
      <c r="H4789" s="15"/>
      <c r="I4789" s="14"/>
      <c r="P4789" s="14"/>
    </row>
    <row r="4790" ht="18.75" customHeight="1">
      <c r="A4790" s="7" t="s">
        <v>1413</v>
      </c>
      <c r="B4790" s="9">
        <v>49.0</v>
      </c>
      <c r="C4790" s="9">
        <v>47.0</v>
      </c>
      <c r="D4790" s="9">
        <v>22.0</v>
      </c>
      <c r="E4790" s="9">
        <v>0.0</v>
      </c>
      <c r="F4790" s="14"/>
      <c r="G4790" s="15"/>
      <c r="H4790" s="15"/>
      <c r="I4790" s="14"/>
      <c r="P4790" s="14"/>
    </row>
    <row r="4791" ht="18.75" customHeight="1">
      <c r="A4791" s="7" t="s">
        <v>1443</v>
      </c>
      <c r="B4791" s="9">
        <v>133.0</v>
      </c>
      <c r="C4791" s="9">
        <v>132.0</v>
      </c>
      <c r="D4791" s="9">
        <v>79.0</v>
      </c>
      <c r="E4791" s="9">
        <v>3.0</v>
      </c>
      <c r="F4791" s="14"/>
      <c r="G4791" s="15"/>
      <c r="H4791" s="15"/>
      <c r="I4791" s="14"/>
      <c r="P4791" s="14"/>
    </row>
    <row r="4792" ht="18.75" customHeight="1">
      <c r="A4792" s="7" t="s">
        <v>1485</v>
      </c>
      <c r="B4792" s="9">
        <v>80839.0</v>
      </c>
      <c r="C4792" s="9">
        <v>79479.0</v>
      </c>
      <c r="D4792" s="9">
        <v>10266.0</v>
      </c>
      <c r="E4792" s="9">
        <v>272.0</v>
      </c>
      <c r="F4792" s="14"/>
      <c r="G4792" s="15"/>
      <c r="H4792" s="15"/>
      <c r="I4792" s="14"/>
      <c r="P4792" s="14"/>
    </row>
    <row r="4793" ht="18.75" customHeight="1">
      <c r="A4793" s="7" t="s">
        <v>1457</v>
      </c>
      <c r="B4793" s="9">
        <v>22491.0</v>
      </c>
      <c r="C4793" s="9">
        <v>22292.0</v>
      </c>
      <c r="D4793" s="9">
        <v>8391.0</v>
      </c>
      <c r="E4793" s="9">
        <v>324.0</v>
      </c>
      <c r="F4793" s="14"/>
      <c r="G4793" s="15"/>
      <c r="H4793" s="15"/>
      <c r="I4793" s="14"/>
      <c r="P4793" s="14"/>
    </row>
    <row r="4794" ht="18.75" customHeight="1">
      <c r="A4794" s="7" t="s">
        <v>1481</v>
      </c>
      <c r="B4794" s="9">
        <v>9778.0</v>
      </c>
      <c r="C4794" s="9">
        <v>9677.0</v>
      </c>
      <c r="D4794" s="9">
        <v>3488.0</v>
      </c>
      <c r="E4794" s="9">
        <v>129.0</v>
      </c>
      <c r="F4794" s="14"/>
      <c r="G4794" s="15"/>
      <c r="H4794" s="15"/>
      <c r="I4794" s="14"/>
      <c r="P4794" s="14"/>
    </row>
    <row r="4795" ht="18.75" customHeight="1">
      <c r="A4795" s="7" t="s">
        <v>1459</v>
      </c>
      <c r="B4795" s="9">
        <v>25792.0</v>
      </c>
      <c r="C4795" s="9">
        <v>25563.0</v>
      </c>
      <c r="D4795" s="9">
        <v>10100.0</v>
      </c>
      <c r="E4795" s="9">
        <v>361.0</v>
      </c>
      <c r="F4795" s="14"/>
      <c r="G4795" s="15"/>
      <c r="H4795" s="15"/>
      <c r="I4795" s="14"/>
      <c r="P4795" s="14"/>
    </row>
    <row r="4796" ht="18.75" customHeight="1">
      <c r="A4796" s="7" t="s">
        <v>509</v>
      </c>
      <c r="B4796" s="9">
        <v>26681.0</v>
      </c>
      <c r="C4796" s="9">
        <v>26659.0</v>
      </c>
      <c r="D4796" s="9">
        <v>10718.0</v>
      </c>
      <c r="E4796" s="9">
        <v>1855.0</v>
      </c>
      <c r="F4796" s="14"/>
      <c r="G4796" s="15"/>
      <c r="H4796" s="15"/>
      <c r="I4796" s="14"/>
      <c r="P4796" s="14"/>
    </row>
    <row r="4797" ht="18.75" customHeight="1">
      <c r="A4797" s="7" t="s">
        <v>509</v>
      </c>
      <c r="B4797" s="9">
        <v>7017.0</v>
      </c>
      <c r="C4797" s="9">
        <v>6996.0</v>
      </c>
      <c r="D4797" s="9">
        <v>2434.0</v>
      </c>
      <c r="E4797" s="9">
        <v>393.0</v>
      </c>
      <c r="F4797" s="14"/>
      <c r="G4797" s="15"/>
      <c r="H4797" s="15"/>
      <c r="I4797" s="14"/>
      <c r="P4797" s="14"/>
    </row>
    <row r="4798" ht="18.75" customHeight="1">
      <c r="A4798" s="7" t="s">
        <v>563</v>
      </c>
      <c r="B4798" s="9">
        <v>155026.0</v>
      </c>
      <c r="C4798" s="9">
        <v>153885.0</v>
      </c>
      <c r="D4798" s="9">
        <v>67635.0</v>
      </c>
      <c r="E4798" s="9">
        <v>2686.0</v>
      </c>
      <c r="F4798" s="14"/>
      <c r="G4798" s="15"/>
      <c r="H4798" s="15"/>
      <c r="I4798" s="14"/>
      <c r="P4798" s="14"/>
    </row>
    <row r="4799" ht="18.75" customHeight="1">
      <c r="A4799" s="7" t="s">
        <v>1419</v>
      </c>
      <c r="B4799" s="9">
        <v>95.0</v>
      </c>
      <c r="C4799" s="9">
        <v>94.0</v>
      </c>
      <c r="D4799" s="9">
        <v>47.0</v>
      </c>
      <c r="E4799" s="9">
        <v>3.0</v>
      </c>
      <c r="F4799" s="14"/>
      <c r="G4799" s="15"/>
      <c r="H4799" s="15"/>
      <c r="I4799" s="14"/>
      <c r="P4799" s="14"/>
    </row>
    <row r="4800" ht="18.75" customHeight="1">
      <c r="A4800" s="7" t="s">
        <v>1421</v>
      </c>
      <c r="B4800" s="9">
        <v>129.0</v>
      </c>
      <c r="C4800" s="9">
        <v>128.0</v>
      </c>
      <c r="D4800" s="9">
        <v>55.0</v>
      </c>
      <c r="E4800" s="9">
        <v>2.0</v>
      </c>
      <c r="F4800" s="14"/>
      <c r="G4800" s="15"/>
      <c r="H4800" s="15"/>
      <c r="I4800" s="14"/>
      <c r="P4800" s="14"/>
    </row>
    <row r="4801" ht="18.75" customHeight="1">
      <c r="A4801" s="7" t="s">
        <v>1489</v>
      </c>
      <c r="B4801" s="9">
        <v>24335.0</v>
      </c>
      <c r="C4801" s="9">
        <v>24069.0</v>
      </c>
      <c r="D4801" s="9">
        <v>3827.0</v>
      </c>
      <c r="E4801" s="9">
        <v>78.0</v>
      </c>
      <c r="F4801" s="14"/>
      <c r="G4801" s="15"/>
      <c r="H4801" s="15"/>
      <c r="I4801" s="14"/>
      <c r="P4801" s="14"/>
    </row>
    <row r="4802" ht="18.75" customHeight="1">
      <c r="A4802" s="7" t="s">
        <v>1425</v>
      </c>
      <c r="B4802" s="9">
        <v>118332.0</v>
      </c>
      <c r="C4802" s="9">
        <v>117070.0</v>
      </c>
      <c r="D4802" s="9">
        <v>37950.0</v>
      </c>
      <c r="E4802" s="9">
        <v>224.0</v>
      </c>
      <c r="F4802" s="14"/>
      <c r="G4802" s="15"/>
      <c r="H4802" s="15"/>
      <c r="I4802" s="14"/>
      <c r="P4802" s="14"/>
    </row>
    <row r="4803" ht="18.75" customHeight="1">
      <c r="A4803" s="7" t="s">
        <v>1453</v>
      </c>
      <c r="B4803" s="9">
        <v>169867.0</v>
      </c>
      <c r="C4803" s="9">
        <v>168479.0</v>
      </c>
      <c r="D4803" s="9">
        <v>32707.0</v>
      </c>
      <c r="E4803" s="9">
        <v>124.0</v>
      </c>
      <c r="F4803" s="14"/>
      <c r="G4803" s="15"/>
      <c r="H4803" s="15"/>
      <c r="I4803" s="14"/>
      <c r="P4803" s="14"/>
    </row>
    <row r="4804" ht="18.75" customHeight="1">
      <c r="A4804" s="7" t="s">
        <v>370</v>
      </c>
      <c r="B4804" s="9">
        <v>1739.0</v>
      </c>
      <c r="C4804" s="9">
        <v>1721.0</v>
      </c>
      <c r="D4804" s="9">
        <v>507.0</v>
      </c>
      <c r="E4804" s="9">
        <v>18.0</v>
      </c>
      <c r="F4804" s="14"/>
      <c r="G4804" s="15"/>
      <c r="H4804" s="15"/>
      <c r="I4804" s="14"/>
      <c r="P4804" s="14"/>
    </row>
    <row r="4805" ht="18.75" customHeight="1">
      <c r="A4805" s="7" t="s">
        <v>1193</v>
      </c>
      <c r="B4805" s="9">
        <v>5687.0</v>
      </c>
      <c r="C4805" s="9">
        <v>5605.0</v>
      </c>
      <c r="D4805" s="9">
        <v>1833.0</v>
      </c>
      <c r="E4805" s="9">
        <v>87.0</v>
      </c>
      <c r="F4805" s="14"/>
      <c r="G4805" s="15"/>
      <c r="H4805" s="15"/>
      <c r="I4805" s="14"/>
      <c r="P4805" s="14"/>
    </row>
    <row r="4806" ht="18.75" customHeight="1">
      <c r="A4806" s="7" t="s">
        <v>1487</v>
      </c>
      <c r="B4806" s="9">
        <v>108537.0</v>
      </c>
      <c r="C4806" s="9">
        <v>107559.0</v>
      </c>
      <c r="D4806" s="9">
        <v>24340.0</v>
      </c>
      <c r="E4806" s="9">
        <v>521.0</v>
      </c>
      <c r="F4806" s="14"/>
      <c r="G4806" s="15"/>
      <c r="H4806" s="15"/>
      <c r="I4806" s="14"/>
      <c r="P4806" s="14"/>
    </row>
    <row r="4807" ht="18.75" customHeight="1">
      <c r="A4807" s="7" t="s">
        <v>370</v>
      </c>
      <c r="B4807" s="9">
        <v>55.0</v>
      </c>
      <c r="C4807" s="9">
        <v>55.0</v>
      </c>
      <c r="D4807" s="9">
        <v>13.0</v>
      </c>
      <c r="E4807" s="9">
        <v>3.0</v>
      </c>
      <c r="F4807" s="14"/>
      <c r="G4807" s="15"/>
      <c r="H4807" s="15"/>
      <c r="I4807" s="14"/>
      <c r="P4807" s="14"/>
    </row>
    <row r="4808" ht="18.75" customHeight="1">
      <c r="A4808" s="7" t="s">
        <v>366</v>
      </c>
      <c r="B4808" s="9">
        <v>1019.0</v>
      </c>
      <c r="C4808" s="9">
        <v>1008.0</v>
      </c>
      <c r="D4808" s="9">
        <v>334.0</v>
      </c>
      <c r="E4808" s="9">
        <v>28.0</v>
      </c>
      <c r="F4808" s="14"/>
      <c r="G4808" s="15"/>
      <c r="H4808" s="15"/>
      <c r="I4808" s="14"/>
      <c r="P4808" s="14"/>
    </row>
    <row r="4809" ht="18.75" customHeight="1">
      <c r="A4809" s="7" t="s">
        <v>1397</v>
      </c>
      <c r="B4809" s="9">
        <v>252.0</v>
      </c>
      <c r="C4809" s="9">
        <v>249.0</v>
      </c>
      <c r="D4809" s="9">
        <v>107.0</v>
      </c>
      <c r="E4809" s="9">
        <v>1.0</v>
      </c>
      <c r="F4809" s="14"/>
      <c r="G4809" s="15"/>
      <c r="H4809" s="15"/>
      <c r="I4809" s="14"/>
      <c r="P4809" s="14"/>
    </row>
    <row r="4810" ht="18.75" customHeight="1">
      <c r="A4810" s="7" t="s">
        <v>1397</v>
      </c>
      <c r="B4810" s="9">
        <v>5780.0</v>
      </c>
      <c r="C4810" s="9">
        <v>5773.0</v>
      </c>
      <c r="D4810" s="9">
        <v>4315.0</v>
      </c>
      <c r="E4810" s="9">
        <v>15.0</v>
      </c>
      <c r="F4810" s="14"/>
      <c r="G4810" s="15"/>
      <c r="H4810" s="15"/>
      <c r="I4810" s="14"/>
      <c r="P4810" s="14"/>
    </row>
    <row r="4811" ht="18.75" customHeight="1">
      <c r="A4811" s="7" t="s">
        <v>1703</v>
      </c>
      <c r="B4811" s="9">
        <v>62.0</v>
      </c>
      <c r="C4811" s="9">
        <v>59.0</v>
      </c>
      <c r="D4811" s="9">
        <v>20.0</v>
      </c>
      <c r="E4811" s="9">
        <v>0.0</v>
      </c>
      <c r="F4811" s="14"/>
      <c r="G4811" s="15"/>
      <c r="H4811" s="15"/>
      <c r="I4811" s="14"/>
      <c r="P4811" s="14"/>
    </row>
    <row r="4812" ht="18.75" customHeight="1">
      <c r="A4812" s="7" t="s">
        <v>1769</v>
      </c>
      <c r="B4812" s="9">
        <v>134.0</v>
      </c>
      <c r="C4812" s="9">
        <v>133.0</v>
      </c>
      <c r="D4812" s="9">
        <v>73.0</v>
      </c>
      <c r="E4812" s="9">
        <v>1.0</v>
      </c>
      <c r="F4812" s="14"/>
      <c r="G4812" s="15"/>
      <c r="H4812" s="15"/>
      <c r="I4812" s="14"/>
      <c r="P4812" s="14"/>
    </row>
    <row r="4813" ht="18.75" customHeight="1">
      <c r="A4813" s="7" t="s">
        <v>1769</v>
      </c>
      <c r="B4813" s="9">
        <v>81020.0</v>
      </c>
      <c r="C4813" s="9">
        <v>79884.0</v>
      </c>
      <c r="D4813" s="9">
        <v>10465.0</v>
      </c>
      <c r="E4813" s="9">
        <v>130.0</v>
      </c>
      <c r="F4813" s="14"/>
      <c r="G4813" s="15"/>
      <c r="H4813" s="15"/>
      <c r="I4813" s="14"/>
      <c r="P4813" s="14"/>
    </row>
    <row r="4814" ht="18.75" customHeight="1">
      <c r="A4814" s="7" t="s">
        <v>1275</v>
      </c>
      <c r="B4814" s="9">
        <v>183961.0</v>
      </c>
      <c r="C4814" s="9">
        <v>180707.0</v>
      </c>
      <c r="D4814" s="9">
        <v>56229.0</v>
      </c>
      <c r="E4814" s="9">
        <v>1620.0</v>
      </c>
      <c r="F4814" s="14"/>
      <c r="G4814" s="15"/>
      <c r="H4814" s="15"/>
      <c r="I4814" s="14"/>
      <c r="P4814" s="14"/>
    </row>
    <row r="4815" ht="18.75" customHeight="1">
      <c r="A4815" s="7" t="s">
        <v>1387</v>
      </c>
      <c r="B4815" s="9">
        <v>205187.0</v>
      </c>
      <c r="C4815" s="9">
        <v>203784.0</v>
      </c>
      <c r="D4815" s="9">
        <v>98261.0</v>
      </c>
      <c r="E4815" s="9">
        <v>4342.0</v>
      </c>
      <c r="F4815" s="14"/>
      <c r="G4815" s="15"/>
      <c r="H4815" s="15"/>
      <c r="I4815" s="14"/>
      <c r="P4815" s="14"/>
    </row>
    <row r="4816" ht="18.75" customHeight="1">
      <c r="A4816" s="7" t="s">
        <v>1387</v>
      </c>
      <c r="B4816" s="9">
        <v>97591.0</v>
      </c>
      <c r="C4816" s="9">
        <v>96549.0</v>
      </c>
      <c r="D4816" s="9">
        <v>28783.0</v>
      </c>
      <c r="E4816" s="9">
        <v>1118.0</v>
      </c>
      <c r="F4816" s="14"/>
      <c r="G4816" s="15"/>
      <c r="H4816" s="15"/>
      <c r="I4816" s="14"/>
      <c r="P4816" s="14"/>
    </row>
    <row r="4817" ht="18.75" customHeight="1">
      <c r="A4817" s="7" t="s">
        <v>1485</v>
      </c>
      <c r="B4817" s="9">
        <v>143.0</v>
      </c>
      <c r="C4817" s="9">
        <v>142.0</v>
      </c>
      <c r="D4817" s="9">
        <v>84.0</v>
      </c>
      <c r="E4817" s="9">
        <v>2.0</v>
      </c>
      <c r="F4817" s="14"/>
      <c r="G4817" s="15"/>
      <c r="H4817" s="15"/>
      <c r="I4817" s="14"/>
      <c r="P4817" s="14"/>
    </row>
    <row r="4818" ht="18.75" customHeight="1">
      <c r="A4818" s="7" t="s">
        <v>1417</v>
      </c>
      <c r="B4818" s="9">
        <v>93.0</v>
      </c>
      <c r="C4818" s="9">
        <v>92.0</v>
      </c>
      <c r="D4818" s="9">
        <v>42.0</v>
      </c>
      <c r="E4818" s="9">
        <v>1.0</v>
      </c>
      <c r="F4818" s="14"/>
      <c r="G4818" s="15"/>
      <c r="H4818" s="15"/>
      <c r="I4818" s="14"/>
      <c r="P4818" s="14"/>
    </row>
    <row r="4819" ht="18.75" customHeight="1">
      <c r="A4819" s="7" t="s">
        <v>1479</v>
      </c>
      <c r="B4819" s="9">
        <v>70108.0</v>
      </c>
      <c r="C4819" s="9">
        <v>69178.0</v>
      </c>
      <c r="D4819" s="9">
        <v>10379.0</v>
      </c>
      <c r="E4819" s="9">
        <v>167.0</v>
      </c>
      <c r="F4819" s="14"/>
      <c r="G4819" s="15"/>
      <c r="H4819" s="15"/>
      <c r="I4819" s="14"/>
      <c r="P4819" s="14"/>
    </row>
    <row r="4820" ht="18.75" customHeight="1">
      <c r="A4820" s="7" t="s">
        <v>1149</v>
      </c>
      <c r="B4820" s="9">
        <v>277039.0</v>
      </c>
      <c r="C4820" s="9">
        <v>271619.0</v>
      </c>
      <c r="D4820" s="9">
        <v>70737.0</v>
      </c>
      <c r="E4820" s="9">
        <v>2422.0</v>
      </c>
      <c r="F4820" s="14"/>
      <c r="G4820" s="15"/>
      <c r="H4820" s="15"/>
      <c r="I4820" s="14"/>
      <c r="P4820" s="14"/>
    </row>
    <row r="4821" ht="18.75" customHeight="1">
      <c r="A4821" s="7" t="s">
        <v>1149</v>
      </c>
      <c r="B4821" s="9">
        <v>217433.0</v>
      </c>
      <c r="C4821" s="9">
        <v>216776.0</v>
      </c>
      <c r="D4821" s="9">
        <v>117428.0</v>
      </c>
      <c r="E4821" s="9">
        <v>9332.0</v>
      </c>
      <c r="F4821" s="14"/>
      <c r="G4821" s="15"/>
      <c r="H4821" s="15"/>
      <c r="I4821" s="14"/>
      <c r="P4821" s="14"/>
    </row>
    <row r="4822" ht="18.75" customHeight="1">
      <c r="A4822" s="7" t="s">
        <v>1473</v>
      </c>
      <c r="B4822" s="9">
        <v>75403.0</v>
      </c>
      <c r="C4822" s="9">
        <v>74567.0</v>
      </c>
      <c r="D4822" s="9">
        <v>13732.0</v>
      </c>
      <c r="E4822" s="9">
        <v>232.0</v>
      </c>
      <c r="F4822" s="14"/>
      <c r="G4822" s="15"/>
      <c r="H4822" s="15"/>
      <c r="I4822" s="14"/>
      <c r="P4822" s="14"/>
    </row>
    <row r="4823" ht="18.75" customHeight="1">
      <c r="A4823" s="7" t="s">
        <v>1433</v>
      </c>
      <c r="B4823" s="9">
        <v>52.0</v>
      </c>
      <c r="C4823" s="9">
        <v>51.0</v>
      </c>
      <c r="D4823" s="9">
        <v>17.0</v>
      </c>
      <c r="E4823" s="9">
        <v>2.0</v>
      </c>
      <c r="F4823" s="14"/>
      <c r="G4823" s="15"/>
      <c r="H4823" s="15"/>
      <c r="I4823" s="14"/>
      <c r="P4823" s="14"/>
    </row>
    <row r="4824" ht="18.75" customHeight="1">
      <c r="A4824" s="7" t="s">
        <v>1449</v>
      </c>
      <c r="B4824" s="9">
        <v>71.0</v>
      </c>
      <c r="C4824" s="9">
        <v>70.0</v>
      </c>
      <c r="D4824" s="9">
        <v>29.0</v>
      </c>
      <c r="E4824" s="9">
        <v>2.0</v>
      </c>
      <c r="F4824" s="14"/>
      <c r="G4824" s="15"/>
      <c r="H4824" s="15"/>
      <c r="I4824" s="14"/>
      <c r="P4824" s="14"/>
    </row>
    <row r="4825" ht="18.75" customHeight="1">
      <c r="A4825" s="7" t="s">
        <v>1491</v>
      </c>
      <c r="B4825" s="9">
        <v>28280.0</v>
      </c>
      <c r="C4825" s="9">
        <v>11201.0</v>
      </c>
      <c r="D4825" s="9">
        <v>2672.0</v>
      </c>
      <c r="E4825" s="9">
        <v>421.0</v>
      </c>
      <c r="F4825" s="14"/>
      <c r="G4825" s="15"/>
      <c r="H4825" s="15"/>
      <c r="I4825" s="14"/>
      <c r="P4825" s="14"/>
    </row>
    <row r="4826" ht="18.75" customHeight="1">
      <c r="A4826" s="7" t="s">
        <v>1427</v>
      </c>
      <c r="B4826" s="9">
        <v>238883.0</v>
      </c>
      <c r="C4826" s="9">
        <v>236192.0</v>
      </c>
      <c r="D4826" s="9">
        <v>77884.0</v>
      </c>
      <c r="E4826" s="9">
        <v>1105.0</v>
      </c>
      <c r="F4826" s="14"/>
      <c r="G4826" s="15"/>
      <c r="H4826" s="15"/>
      <c r="I4826" s="14"/>
      <c r="P4826" s="14"/>
    </row>
    <row r="4827" ht="18.75" customHeight="1">
      <c r="A4827" s="7" t="s">
        <v>1475</v>
      </c>
      <c r="B4827" s="9">
        <v>80853.0</v>
      </c>
      <c r="C4827" s="9">
        <v>80104.0</v>
      </c>
      <c r="D4827" s="9">
        <v>16357.0</v>
      </c>
      <c r="E4827" s="9">
        <v>190.0</v>
      </c>
      <c r="F4827" s="14"/>
      <c r="G4827" s="15"/>
      <c r="H4827" s="15"/>
      <c r="I4827" s="14"/>
      <c r="P4827" s="14"/>
    </row>
    <row r="4828" ht="18.75" customHeight="1">
      <c r="A4828" s="7" t="s">
        <v>1415</v>
      </c>
      <c r="B4828" s="9">
        <v>147.0</v>
      </c>
      <c r="C4828" s="9">
        <v>146.0</v>
      </c>
      <c r="D4828" s="9">
        <v>76.0</v>
      </c>
      <c r="E4828" s="9">
        <v>2.0</v>
      </c>
      <c r="F4828" s="14"/>
      <c r="G4828" s="15"/>
      <c r="H4828" s="15"/>
      <c r="I4828" s="14"/>
      <c r="P4828" s="14"/>
    </row>
    <row r="4829" ht="18.75" customHeight="1">
      <c r="A4829" s="7" t="s">
        <v>370</v>
      </c>
      <c r="B4829" s="9">
        <v>199.0</v>
      </c>
      <c r="C4829" s="9">
        <v>199.0</v>
      </c>
      <c r="D4829" s="9">
        <v>80.0</v>
      </c>
      <c r="E4829" s="9">
        <v>9.0</v>
      </c>
      <c r="F4829" s="14"/>
      <c r="G4829" s="15"/>
      <c r="H4829" s="15"/>
      <c r="I4829" s="14"/>
      <c r="P4829" s="14"/>
    </row>
    <row r="4830" ht="18.75" customHeight="1">
      <c r="A4830" s="7" t="s">
        <v>366</v>
      </c>
      <c r="B4830" s="9">
        <v>2473.0</v>
      </c>
      <c r="C4830" s="9">
        <v>2438.0</v>
      </c>
      <c r="D4830" s="9">
        <v>775.0</v>
      </c>
      <c r="E4830" s="9">
        <v>39.0</v>
      </c>
      <c r="F4830" s="14"/>
      <c r="G4830" s="15"/>
      <c r="H4830" s="15"/>
      <c r="I4830" s="14"/>
      <c r="P4830" s="14"/>
    </row>
    <row r="4831" ht="18.75" customHeight="1">
      <c r="A4831" s="7" t="s">
        <v>1477</v>
      </c>
      <c r="B4831" s="9">
        <v>85247.0</v>
      </c>
      <c r="C4831" s="9">
        <v>84233.0</v>
      </c>
      <c r="D4831" s="9">
        <v>12632.0</v>
      </c>
      <c r="E4831" s="9">
        <v>190.0</v>
      </c>
      <c r="F4831" s="14"/>
      <c r="G4831" s="15"/>
      <c r="H4831" s="15"/>
      <c r="I4831" s="14"/>
      <c r="P4831" s="14"/>
    </row>
    <row r="4832" ht="18.75" customHeight="1">
      <c r="A4832" s="7" t="s">
        <v>3755</v>
      </c>
      <c r="B4832" s="9">
        <v>91202.0</v>
      </c>
      <c r="C4832" s="9">
        <v>89990.0</v>
      </c>
      <c r="D4832" s="9">
        <v>10612.0</v>
      </c>
      <c r="E4832" s="9">
        <v>337.0</v>
      </c>
      <c r="F4832" s="14"/>
      <c r="G4832" s="15"/>
      <c r="H4832" s="15"/>
      <c r="I4832" s="14"/>
      <c r="P4832" s="14"/>
    </row>
    <row r="4833" ht="18.75" customHeight="1">
      <c r="A4833" s="7" t="s">
        <v>1485</v>
      </c>
      <c r="B4833" s="9">
        <v>142.0</v>
      </c>
      <c r="C4833" s="9">
        <v>141.0</v>
      </c>
      <c r="D4833" s="9">
        <v>71.0</v>
      </c>
      <c r="E4833" s="9">
        <v>5.0</v>
      </c>
      <c r="F4833" s="14"/>
      <c r="G4833" s="15"/>
      <c r="H4833" s="15"/>
      <c r="I4833" s="14"/>
      <c r="P4833" s="14"/>
    </row>
    <row r="4834" ht="18.75" customHeight="1">
      <c r="A4834" s="7" t="s">
        <v>1461</v>
      </c>
      <c r="B4834" s="9">
        <v>18631.0</v>
      </c>
      <c r="C4834" s="9">
        <v>18444.0</v>
      </c>
      <c r="D4834" s="9">
        <v>6524.0</v>
      </c>
      <c r="E4834" s="9">
        <v>285.0</v>
      </c>
      <c r="F4834" s="14"/>
      <c r="G4834" s="15"/>
      <c r="H4834" s="15"/>
      <c r="I4834" s="14"/>
      <c r="P4834" s="14"/>
    </row>
    <row r="4835" ht="18.75" customHeight="1">
      <c r="A4835" s="7" t="s">
        <v>1463</v>
      </c>
      <c r="B4835" s="9">
        <v>11006.0</v>
      </c>
      <c r="C4835" s="9">
        <v>10857.0</v>
      </c>
      <c r="D4835" s="9">
        <v>3482.0</v>
      </c>
      <c r="E4835" s="9">
        <v>207.0</v>
      </c>
      <c r="F4835" s="14"/>
      <c r="G4835" s="15"/>
      <c r="H4835" s="15"/>
      <c r="I4835" s="14"/>
      <c r="P4835" s="14"/>
    </row>
    <row r="4836" ht="18.75" customHeight="1">
      <c r="A4836" s="7" t="s">
        <v>1483</v>
      </c>
      <c r="B4836" s="9">
        <v>6917.0</v>
      </c>
      <c r="C4836" s="9">
        <v>6810.0</v>
      </c>
      <c r="D4836" s="9">
        <v>2038.0</v>
      </c>
      <c r="E4836" s="9">
        <v>79.0</v>
      </c>
      <c r="F4836" s="14"/>
      <c r="G4836" s="15"/>
      <c r="H4836" s="15"/>
      <c r="I4836" s="14"/>
      <c r="P4836" s="14"/>
    </row>
    <row r="4837" ht="18.75" customHeight="1">
      <c r="A4837" s="7" t="s">
        <v>1443</v>
      </c>
      <c r="B4837" s="9">
        <v>129279.0</v>
      </c>
      <c r="C4837" s="9">
        <v>128212.0</v>
      </c>
      <c r="D4837" s="9">
        <v>55357.0</v>
      </c>
      <c r="E4837" s="9">
        <v>1207.0</v>
      </c>
      <c r="F4837" s="14"/>
      <c r="G4837" s="15"/>
      <c r="H4837" s="15"/>
      <c r="I4837" s="14"/>
      <c r="P4837" s="14"/>
    </row>
    <row r="4838" ht="18.75" customHeight="1">
      <c r="A4838" s="7" t="s">
        <v>1149</v>
      </c>
      <c r="B4838" s="9">
        <v>259352.0</v>
      </c>
      <c r="C4838" s="9">
        <v>256682.0</v>
      </c>
      <c r="D4838" s="9">
        <v>79098.0</v>
      </c>
      <c r="E4838" s="9">
        <v>8806.0</v>
      </c>
      <c r="F4838" s="14"/>
      <c r="G4838" s="15"/>
      <c r="H4838" s="15"/>
      <c r="I4838" s="14"/>
      <c r="P4838" s="14"/>
    </row>
    <row r="4839" ht="18.75" customHeight="1">
      <c r="A4839" s="7" t="s">
        <v>1097</v>
      </c>
      <c r="B4839" s="9">
        <v>169.0</v>
      </c>
      <c r="C4839" s="9">
        <v>168.0</v>
      </c>
      <c r="D4839" s="9">
        <v>77.0</v>
      </c>
      <c r="E4839" s="9">
        <v>24.0</v>
      </c>
      <c r="F4839" s="14"/>
      <c r="G4839" s="15"/>
      <c r="H4839" s="15"/>
      <c r="I4839" s="14"/>
      <c r="P4839" s="14"/>
    </row>
    <row r="4840" ht="18.75" customHeight="1">
      <c r="A4840" s="7" t="s">
        <v>1097</v>
      </c>
      <c r="B4840" s="9">
        <v>12922.0</v>
      </c>
      <c r="C4840" s="9">
        <v>12822.0</v>
      </c>
      <c r="D4840" s="9">
        <v>6774.0</v>
      </c>
      <c r="E4840" s="9">
        <v>3138.0</v>
      </c>
      <c r="F4840" s="14"/>
      <c r="G4840" s="15"/>
      <c r="H4840" s="15"/>
      <c r="I4840" s="14"/>
      <c r="P4840" s="14"/>
    </row>
    <row r="4841" ht="18.75" customHeight="1">
      <c r="A4841" s="7" t="s">
        <v>1501</v>
      </c>
      <c r="B4841" s="9">
        <v>31495.0</v>
      </c>
      <c r="C4841" s="9">
        <v>31222.0</v>
      </c>
      <c r="D4841" s="9">
        <v>6931.0</v>
      </c>
      <c r="E4841" s="9">
        <v>199.0</v>
      </c>
      <c r="F4841" s="14"/>
      <c r="G4841" s="15"/>
      <c r="H4841" s="15"/>
      <c r="I4841" s="14"/>
      <c r="P4841" s="14"/>
    </row>
    <row r="4842" ht="18.75" customHeight="1">
      <c r="A4842" s="7" t="s">
        <v>1489</v>
      </c>
      <c r="B4842" s="9">
        <v>88.0</v>
      </c>
      <c r="C4842" s="9">
        <v>87.0</v>
      </c>
      <c r="D4842" s="9">
        <v>53.0</v>
      </c>
      <c r="E4842" s="9">
        <v>1.0</v>
      </c>
      <c r="F4842" s="14"/>
      <c r="G4842" s="15"/>
      <c r="H4842" s="15"/>
      <c r="I4842" s="14"/>
      <c r="P4842" s="14"/>
    </row>
    <row r="4843" ht="18.75" customHeight="1">
      <c r="A4843" s="7" t="s">
        <v>1425</v>
      </c>
      <c r="B4843" s="9">
        <v>104315.0</v>
      </c>
      <c r="C4843" s="9">
        <v>103991.0</v>
      </c>
      <c r="D4843" s="9">
        <v>58888.0</v>
      </c>
      <c r="E4843" s="9">
        <v>322.0</v>
      </c>
      <c r="F4843" s="14"/>
      <c r="G4843" s="15"/>
      <c r="H4843" s="15"/>
      <c r="I4843" s="14"/>
      <c r="P4843" s="14"/>
    </row>
    <row r="4844" ht="18.75" customHeight="1">
      <c r="A4844" s="7" t="s">
        <v>1487</v>
      </c>
      <c r="B4844" s="9">
        <v>260.0</v>
      </c>
      <c r="C4844" s="9">
        <v>259.0</v>
      </c>
      <c r="D4844" s="9">
        <v>196.0</v>
      </c>
      <c r="E4844" s="9">
        <v>1.0</v>
      </c>
      <c r="F4844" s="14"/>
      <c r="G4844" s="15"/>
      <c r="H4844" s="15"/>
      <c r="I4844" s="14"/>
      <c r="P4844" s="14"/>
    </row>
    <row r="4845" ht="18.75" customHeight="1">
      <c r="A4845" s="7" t="s">
        <v>1369</v>
      </c>
      <c r="B4845" s="9">
        <v>102182.0</v>
      </c>
      <c r="C4845" s="9">
        <v>101141.0</v>
      </c>
      <c r="D4845" s="9">
        <v>25094.0</v>
      </c>
      <c r="E4845" s="9">
        <v>319.0</v>
      </c>
      <c r="F4845" s="14"/>
      <c r="G4845" s="15"/>
      <c r="H4845" s="15"/>
      <c r="I4845" s="14"/>
      <c r="P4845" s="14"/>
    </row>
    <row r="4846" ht="18.75" customHeight="1">
      <c r="A4846" s="7" t="s">
        <v>368</v>
      </c>
      <c r="B4846" s="9">
        <v>38.0</v>
      </c>
      <c r="C4846" s="9">
        <v>37.0</v>
      </c>
      <c r="D4846" s="9">
        <v>10.0</v>
      </c>
      <c r="E4846" s="9">
        <v>2.0</v>
      </c>
      <c r="F4846" s="14"/>
      <c r="G4846" s="15"/>
      <c r="H4846" s="15"/>
      <c r="I4846" s="14"/>
      <c r="P4846" s="14"/>
    </row>
    <row r="4847" ht="18.75" customHeight="1">
      <c r="A4847" s="7" t="s">
        <v>368</v>
      </c>
      <c r="B4847" s="9">
        <v>143.0</v>
      </c>
      <c r="C4847" s="9">
        <v>143.0</v>
      </c>
      <c r="D4847" s="9">
        <v>51.0</v>
      </c>
      <c r="E4847" s="9">
        <v>3.0</v>
      </c>
      <c r="F4847" s="14"/>
      <c r="G4847" s="15"/>
      <c r="H4847" s="15"/>
      <c r="I4847" s="14"/>
      <c r="P4847" s="14"/>
    </row>
    <row r="4848" ht="18.75" customHeight="1">
      <c r="A4848" s="7" t="s">
        <v>372</v>
      </c>
      <c r="B4848" s="9">
        <v>11394.0</v>
      </c>
      <c r="C4848" s="9">
        <v>11298.0</v>
      </c>
      <c r="D4848" s="9">
        <v>3847.0</v>
      </c>
      <c r="E4848" s="9">
        <v>206.0</v>
      </c>
      <c r="F4848" s="14"/>
      <c r="G4848" s="15"/>
      <c r="H4848" s="15"/>
      <c r="I4848" s="14"/>
      <c r="P4848" s="14"/>
    </row>
    <row r="4849" ht="18.75" customHeight="1">
      <c r="A4849" s="7" t="s">
        <v>1467</v>
      </c>
      <c r="B4849" s="9">
        <v>1366.0</v>
      </c>
      <c r="C4849" s="9">
        <v>1357.0</v>
      </c>
      <c r="D4849" s="9">
        <v>362.0</v>
      </c>
      <c r="E4849" s="9">
        <v>22.0</v>
      </c>
      <c r="F4849" s="14"/>
      <c r="G4849" s="15"/>
      <c r="H4849" s="15"/>
      <c r="I4849" s="14"/>
      <c r="P4849" s="14"/>
    </row>
    <row r="4850" ht="18.75" customHeight="1">
      <c r="A4850" s="7" t="s">
        <v>943</v>
      </c>
      <c r="B4850" s="9">
        <v>160831.0</v>
      </c>
      <c r="C4850" s="9">
        <v>158898.0</v>
      </c>
      <c r="D4850" s="9">
        <v>19090.0</v>
      </c>
      <c r="E4850" s="9">
        <v>263.0</v>
      </c>
      <c r="F4850" s="14"/>
      <c r="G4850" s="15"/>
      <c r="H4850" s="15"/>
      <c r="I4850" s="14"/>
      <c r="P4850" s="14"/>
    </row>
    <row r="4851" ht="18.75" customHeight="1">
      <c r="A4851" s="7" t="s">
        <v>1447</v>
      </c>
      <c r="B4851" s="9">
        <v>49.0</v>
      </c>
      <c r="C4851" s="9">
        <v>47.0</v>
      </c>
      <c r="D4851" s="9">
        <v>20.0</v>
      </c>
      <c r="E4851" s="9">
        <v>1.0</v>
      </c>
      <c r="F4851" s="14"/>
      <c r="G4851" s="15"/>
      <c r="H4851" s="15"/>
      <c r="I4851" s="14"/>
      <c r="P4851" s="14"/>
    </row>
    <row r="4852" ht="18.75" customHeight="1">
      <c r="A4852" s="7" t="s">
        <v>1499</v>
      </c>
      <c r="B4852" s="9">
        <v>81584.0</v>
      </c>
      <c r="C4852" s="9">
        <v>80869.0</v>
      </c>
      <c r="D4852" s="9">
        <v>14863.0</v>
      </c>
      <c r="E4852" s="9">
        <v>187.0</v>
      </c>
      <c r="F4852" s="14"/>
      <c r="G4852" s="15"/>
      <c r="H4852" s="15"/>
      <c r="I4852" s="14"/>
      <c r="P4852" s="14"/>
    </row>
    <row r="4853" ht="18.75" customHeight="1">
      <c r="A4853" s="7" t="s">
        <v>3755</v>
      </c>
      <c r="B4853" s="9">
        <v>102807.0</v>
      </c>
      <c r="C4853" s="9">
        <v>101084.0</v>
      </c>
      <c r="D4853" s="9">
        <v>9540.0</v>
      </c>
      <c r="E4853" s="9">
        <v>302.0</v>
      </c>
      <c r="F4853" s="14"/>
      <c r="G4853" s="15"/>
      <c r="H4853" s="15"/>
      <c r="I4853" s="14"/>
      <c r="P4853" s="14"/>
    </row>
    <row r="4854" ht="18.75" customHeight="1">
      <c r="A4854" s="7" t="s">
        <v>1493</v>
      </c>
      <c r="B4854" s="9">
        <v>39084.0</v>
      </c>
      <c r="C4854" s="9">
        <v>38585.0</v>
      </c>
      <c r="D4854" s="9">
        <v>10211.0</v>
      </c>
      <c r="E4854" s="9">
        <v>257.0</v>
      </c>
      <c r="F4854" s="14"/>
      <c r="G4854" s="15"/>
      <c r="H4854" s="15"/>
      <c r="I4854" s="14"/>
      <c r="P4854" s="14"/>
    </row>
    <row r="4855" ht="18.75" customHeight="1">
      <c r="A4855" s="7" t="s">
        <v>1479</v>
      </c>
      <c r="B4855" s="9">
        <v>101.0</v>
      </c>
      <c r="C4855" s="9">
        <v>101.0</v>
      </c>
      <c r="D4855" s="9">
        <v>62.0</v>
      </c>
      <c r="E4855" s="9">
        <v>2.0</v>
      </c>
      <c r="F4855" s="14"/>
      <c r="G4855" s="15"/>
      <c r="H4855" s="15"/>
      <c r="I4855" s="14"/>
      <c r="P4855" s="14"/>
    </row>
    <row r="4856" ht="18.75" customHeight="1">
      <c r="A4856" s="7" t="s">
        <v>1473</v>
      </c>
      <c r="B4856" s="9">
        <v>124.0</v>
      </c>
      <c r="C4856" s="9">
        <v>123.0</v>
      </c>
      <c r="D4856" s="9">
        <v>78.0</v>
      </c>
      <c r="E4856" s="9">
        <v>2.0</v>
      </c>
      <c r="F4856" s="14"/>
      <c r="G4856" s="15"/>
      <c r="H4856" s="15"/>
      <c r="I4856" s="14"/>
      <c r="P4856" s="14"/>
    </row>
    <row r="4857" ht="18.75" customHeight="1">
      <c r="A4857" s="7" t="s">
        <v>1475</v>
      </c>
      <c r="B4857" s="9">
        <v>108.0</v>
      </c>
      <c r="C4857" s="9">
        <v>107.0</v>
      </c>
      <c r="D4857" s="9">
        <v>49.0</v>
      </c>
      <c r="E4857" s="9">
        <v>1.0</v>
      </c>
      <c r="F4857" s="14"/>
      <c r="G4857" s="15"/>
      <c r="H4857" s="15"/>
      <c r="I4857" s="14"/>
      <c r="P4857" s="14"/>
    </row>
    <row r="4858" ht="18.75" customHeight="1">
      <c r="A4858" s="7" t="s">
        <v>1453</v>
      </c>
      <c r="B4858" s="9">
        <v>20686.0</v>
      </c>
      <c r="C4858" s="9">
        <v>20434.0</v>
      </c>
      <c r="D4858" s="9">
        <v>3394.0</v>
      </c>
      <c r="E4858" s="9">
        <v>26.0</v>
      </c>
      <c r="F4858" s="14"/>
      <c r="G4858" s="15"/>
      <c r="H4858" s="15"/>
      <c r="I4858" s="14"/>
      <c r="P4858" s="14"/>
    </row>
    <row r="4859" ht="18.75" customHeight="1">
      <c r="A4859" s="7" t="s">
        <v>370</v>
      </c>
      <c r="B4859" s="9">
        <v>193.0</v>
      </c>
      <c r="C4859" s="9">
        <v>192.0</v>
      </c>
      <c r="D4859" s="9">
        <v>70.0</v>
      </c>
      <c r="E4859" s="9">
        <v>3.0</v>
      </c>
      <c r="F4859" s="14"/>
      <c r="G4859" s="15"/>
      <c r="H4859" s="15"/>
      <c r="I4859" s="14"/>
      <c r="P4859" s="14"/>
    </row>
    <row r="4860" ht="18.75" customHeight="1">
      <c r="A4860" s="7" t="s">
        <v>1477</v>
      </c>
      <c r="B4860" s="9">
        <v>135.0</v>
      </c>
      <c r="C4860" s="9">
        <v>134.0</v>
      </c>
      <c r="D4860" s="9">
        <v>73.0</v>
      </c>
      <c r="E4860" s="9">
        <v>1.0</v>
      </c>
      <c r="F4860" s="14"/>
      <c r="G4860" s="15"/>
      <c r="H4860" s="15"/>
      <c r="I4860" s="14"/>
      <c r="P4860" s="14"/>
    </row>
    <row r="4861" ht="18.75" customHeight="1">
      <c r="A4861" s="7" t="s">
        <v>3755</v>
      </c>
      <c r="B4861" s="9">
        <v>460.0</v>
      </c>
      <c r="C4861" s="9">
        <v>459.0</v>
      </c>
      <c r="D4861" s="9">
        <v>213.0</v>
      </c>
      <c r="E4861" s="9">
        <v>4.0</v>
      </c>
      <c r="F4861" s="14"/>
      <c r="G4861" s="15"/>
      <c r="H4861" s="15"/>
      <c r="I4861" s="14"/>
      <c r="P4861" s="14"/>
    </row>
    <row r="4862" ht="18.75" customHeight="1">
      <c r="A4862" s="7" t="s">
        <v>1155</v>
      </c>
      <c r="B4862" s="9">
        <v>262.0</v>
      </c>
      <c r="C4862" s="9">
        <v>259.0</v>
      </c>
      <c r="D4862" s="9">
        <v>143.0</v>
      </c>
      <c r="E4862" s="9">
        <v>7.0</v>
      </c>
      <c r="F4862" s="14"/>
      <c r="G4862" s="15"/>
      <c r="H4862" s="15"/>
      <c r="I4862" s="14"/>
      <c r="P4862" s="14"/>
    </row>
    <row r="4863" ht="18.75" customHeight="1">
      <c r="A4863" s="7" t="s">
        <v>1531</v>
      </c>
      <c r="B4863" s="9">
        <v>113368.0</v>
      </c>
      <c r="C4863" s="9">
        <v>112032.0</v>
      </c>
      <c r="D4863" s="9">
        <v>43551.0</v>
      </c>
      <c r="E4863" s="9">
        <v>2546.0</v>
      </c>
      <c r="F4863" s="14"/>
      <c r="G4863" s="15"/>
      <c r="H4863" s="15"/>
      <c r="I4863" s="14"/>
      <c r="P4863" s="14"/>
    </row>
    <row r="4864" ht="18.75" customHeight="1">
      <c r="A4864" s="7" t="s">
        <v>1501</v>
      </c>
      <c r="B4864" s="9">
        <v>138.0</v>
      </c>
      <c r="C4864" s="9">
        <v>137.0</v>
      </c>
      <c r="D4864" s="9">
        <v>68.0</v>
      </c>
      <c r="E4864" s="9">
        <v>1.0</v>
      </c>
      <c r="F4864" s="14"/>
      <c r="G4864" s="15"/>
      <c r="H4864" s="15"/>
      <c r="I4864" s="14"/>
      <c r="P4864" s="14"/>
    </row>
    <row r="4865" ht="18.75" customHeight="1">
      <c r="A4865" s="7" t="s">
        <v>1541</v>
      </c>
      <c r="B4865" s="9">
        <v>65993.0</v>
      </c>
      <c r="C4865" s="9">
        <v>65143.0</v>
      </c>
      <c r="D4865" s="9">
        <v>9148.0</v>
      </c>
      <c r="E4865" s="9">
        <v>293.0</v>
      </c>
      <c r="F4865" s="14"/>
      <c r="G4865" s="15"/>
      <c r="H4865" s="15"/>
      <c r="I4865" s="14"/>
      <c r="P4865" s="14"/>
    </row>
    <row r="4866" ht="18.75" customHeight="1">
      <c r="A4866" s="7" t="s">
        <v>1499</v>
      </c>
      <c r="B4866" s="9">
        <v>104.0</v>
      </c>
      <c r="C4866" s="9">
        <v>103.0</v>
      </c>
      <c r="D4866" s="9">
        <v>57.0</v>
      </c>
      <c r="E4866" s="9">
        <v>2.0</v>
      </c>
      <c r="F4866" s="14"/>
      <c r="G4866" s="15"/>
      <c r="H4866" s="15"/>
      <c r="I4866" s="14"/>
      <c r="P4866" s="14"/>
    </row>
    <row r="4867" ht="18.75" customHeight="1">
      <c r="A4867" s="7" t="s">
        <v>3756</v>
      </c>
      <c r="B4867" s="9">
        <v>23055.0</v>
      </c>
      <c r="C4867" s="9">
        <v>22823.0</v>
      </c>
      <c r="D4867" s="9">
        <v>3691.0</v>
      </c>
      <c r="E4867" s="9">
        <v>163.0</v>
      </c>
      <c r="F4867" s="14"/>
      <c r="G4867" s="15"/>
      <c r="H4867" s="15"/>
      <c r="I4867" s="14"/>
      <c r="P4867" s="14"/>
    </row>
    <row r="4868" ht="18.75" customHeight="1">
      <c r="A4868" s="7" t="s">
        <v>1513</v>
      </c>
      <c r="B4868" s="9">
        <v>32499.0</v>
      </c>
      <c r="C4868" s="9">
        <v>32109.0</v>
      </c>
      <c r="D4868" s="9">
        <v>10683.0</v>
      </c>
      <c r="E4868" s="9">
        <v>364.0</v>
      </c>
      <c r="F4868" s="14"/>
      <c r="G4868" s="15"/>
      <c r="H4868" s="15"/>
      <c r="I4868" s="14"/>
      <c r="P4868" s="14"/>
    </row>
    <row r="4869" ht="18.75" customHeight="1">
      <c r="A4869" s="7" t="s">
        <v>1515</v>
      </c>
      <c r="B4869" s="9">
        <v>16795.0</v>
      </c>
      <c r="C4869" s="9">
        <v>16613.0</v>
      </c>
      <c r="D4869" s="9">
        <v>5391.0</v>
      </c>
      <c r="E4869" s="9">
        <v>242.0</v>
      </c>
      <c r="F4869" s="14"/>
      <c r="G4869" s="15"/>
      <c r="H4869" s="15"/>
      <c r="I4869" s="14"/>
      <c r="P4869" s="14"/>
    </row>
    <row r="4870" ht="18.75" customHeight="1">
      <c r="A4870" s="7" t="s">
        <v>1561</v>
      </c>
      <c r="B4870" s="9">
        <v>38908.0</v>
      </c>
      <c r="C4870" s="9">
        <v>38417.0</v>
      </c>
      <c r="D4870" s="9">
        <v>7808.0</v>
      </c>
      <c r="E4870" s="9">
        <v>195.0</v>
      </c>
      <c r="F4870" s="14"/>
      <c r="G4870" s="15"/>
      <c r="H4870" s="15"/>
      <c r="I4870" s="14"/>
      <c r="P4870" s="14"/>
    </row>
    <row r="4871" ht="18.75" customHeight="1">
      <c r="A4871" s="7" t="s">
        <v>1473</v>
      </c>
      <c r="B4871" s="9">
        <v>124.0</v>
      </c>
      <c r="C4871" s="9">
        <v>123.0</v>
      </c>
      <c r="D4871" s="9">
        <v>56.0</v>
      </c>
      <c r="E4871" s="9">
        <v>1.0</v>
      </c>
      <c r="F4871" s="14"/>
      <c r="G4871" s="15"/>
      <c r="H4871" s="15"/>
      <c r="I4871" s="14"/>
      <c r="P4871" s="14"/>
    </row>
    <row r="4872" ht="18.75" customHeight="1">
      <c r="A4872" s="7" t="s">
        <v>1551</v>
      </c>
      <c r="B4872" s="9">
        <v>68485.0</v>
      </c>
      <c r="C4872" s="9">
        <v>67850.0</v>
      </c>
      <c r="D4872" s="9">
        <v>19301.0</v>
      </c>
      <c r="E4872" s="9">
        <v>381.0</v>
      </c>
      <c r="F4872" s="14"/>
      <c r="G4872" s="15"/>
      <c r="H4872" s="15"/>
      <c r="I4872" s="14"/>
      <c r="P4872" s="14"/>
    </row>
    <row r="4873" ht="18.75" customHeight="1">
      <c r="A4873" s="7" t="s">
        <v>1549</v>
      </c>
      <c r="B4873" s="9">
        <v>37677.0</v>
      </c>
      <c r="C4873" s="9">
        <v>37404.0</v>
      </c>
      <c r="D4873" s="9">
        <v>12702.0</v>
      </c>
      <c r="E4873" s="9">
        <v>207.0</v>
      </c>
      <c r="F4873" s="14"/>
      <c r="G4873" s="15"/>
      <c r="H4873" s="15"/>
      <c r="I4873" s="14"/>
      <c r="P4873" s="14"/>
    </row>
    <row r="4874" ht="18.75" customHeight="1">
      <c r="A4874" s="7" t="s">
        <v>1489</v>
      </c>
      <c r="B4874" s="9">
        <v>110.0</v>
      </c>
      <c r="C4874" s="9">
        <v>109.0</v>
      </c>
      <c r="D4874" s="9">
        <v>35.0</v>
      </c>
      <c r="E4874" s="9">
        <v>2.0</v>
      </c>
      <c r="F4874" s="14"/>
      <c r="G4874" s="15"/>
      <c r="H4874" s="15"/>
      <c r="I4874" s="14"/>
      <c r="P4874" s="14"/>
    </row>
    <row r="4875" ht="18.75" customHeight="1">
      <c r="A4875" s="7" t="s">
        <v>1475</v>
      </c>
      <c r="B4875" s="9">
        <v>108.0</v>
      </c>
      <c r="C4875" s="9">
        <v>107.0</v>
      </c>
      <c r="D4875" s="9">
        <v>40.0</v>
      </c>
      <c r="E4875" s="9">
        <v>1.0</v>
      </c>
      <c r="F4875" s="14"/>
      <c r="G4875" s="15"/>
      <c r="H4875" s="15"/>
      <c r="I4875" s="14"/>
      <c r="P4875" s="14"/>
    </row>
    <row r="4876" ht="18.75" customHeight="1">
      <c r="A4876" s="7" t="s">
        <v>1543</v>
      </c>
      <c r="B4876" s="9">
        <v>59295.0</v>
      </c>
      <c r="C4876" s="9">
        <v>58709.0</v>
      </c>
      <c r="D4876" s="9">
        <v>15055.0</v>
      </c>
      <c r="E4876" s="9">
        <v>312.0</v>
      </c>
      <c r="F4876" s="14"/>
      <c r="G4876" s="15"/>
      <c r="H4876" s="15"/>
      <c r="I4876" s="14"/>
      <c r="P4876" s="14"/>
    </row>
    <row r="4877" ht="18.75" customHeight="1">
      <c r="A4877" s="7" t="s">
        <v>1401</v>
      </c>
      <c r="B4877" s="9">
        <v>244137.0</v>
      </c>
      <c r="C4877" s="9">
        <v>241836.0</v>
      </c>
      <c r="D4877" s="9">
        <v>49984.0</v>
      </c>
      <c r="E4877" s="9">
        <v>235.0</v>
      </c>
      <c r="F4877" s="14"/>
      <c r="G4877" s="15"/>
      <c r="H4877" s="15"/>
      <c r="I4877" s="14"/>
      <c r="P4877" s="14"/>
    </row>
    <row r="4878" ht="18.75" customHeight="1">
      <c r="A4878" s="7" t="s">
        <v>1369</v>
      </c>
      <c r="B4878" s="9">
        <v>92367.0</v>
      </c>
      <c r="C4878" s="9">
        <v>91259.0</v>
      </c>
      <c r="D4878" s="9">
        <v>25464.0</v>
      </c>
      <c r="E4878" s="9">
        <v>271.0</v>
      </c>
      <c r="F4878" s="14"/>
      <c r="G4878" s="15"/>
      <c r="H4878" s="15"/>
      <c r="I4878" s="14"/>
      <c r="P4878" s="14"/>
    </row>
    <row r="4879" ht="18.75" customHeight="1">
      <c r="A4879" s="7" t="s">
        <v>1487</v>
      </c>
      <c r="B4879" s="9">
        <v>261.0</v>
      </c>
      <c r="C4879" s="9">
        <v>260.0</v>
      </c>
      <c r="D4879" s="9">
        <v>155.0</v>
      </c>
      <c r="E4879" s="9">
        <v>1.0</v>
      </c>
      <c r="F4879" s="14"/>
      <c r="G4879" s="15"/>
      <c r="H4879" s="15"/>
      <c r="I4879" s="14"/>
      <c r="P4879" s="14"/>
    </row>
    <row r="4880" ht="18.75" customHeight="1">
      <c r="A4880" s="7" t="s">
        <v>1477</v>
      </c>
      <c r="B4880" s="9">
        <v>132.0</v>
      </c>
      <c r="C4880" s="9">
        <v>131.0</v>
      </c>
      <c r="D4880" s="9">
        <v>58.0</v>
      </c>
      <c r="E4880" s="9">
        <v>1.0</v>
      </c>
      <c r="F4880" s="14"/>
      <c r="G4880" s="15"/>
      <c r="H4880" s="15"/>
      <c r="I4880" s="14"/>
      <c r="P4880" s="14"/>
    </row>
    <row r="4881" ht="18.75" customHeight="1">
      <c r="A4881" s="7" t="s">
        <v>1535</v>
      </c>
      <c r="B4881" s="9">
        <v>328.0</v>
      </c>
      <c r="C4881" s="9">
        <v>316.0</v>
      </c>
      <c r="D4881" s="9">
        <v>134.0</v>
      </c>
      <c r="E4881" s="9">
        <v>10.0</v>
      </c>
      <c r="F4881" s="14"/>
      <c r="G4881" s="15"/>
      <c r="H4881" s="15"/>
      <c r="I4881" s="14"/>
      <c r="P4881" s="14"/>
    </row>
    <row r="4882" ht="18.75" customHeight="1">
      <c r="A4882" s="7" t="s">
        <v>1361</v>
      </c>
      <c r="B4882" s="9">
        <v>87255.0</v>
      </c>
      <c r="C4882" s="9">
        <v>86023.0</v>
      </c>
      <c r="D4882" s="9">
        <v>21790.0</v>
      </c>
      <c r="E4882" s="9">
        <v>332.0</v>
      </c>
      <c r="F4882" s="14"/>
      <c r="G4882" s="15"/>
      <c r="H4882" s="15"/>
      <c r="I4882" s="14"/>
      <c r="P4882" s="14"/>
    </row>
    <row r="4883" ht="18.75" customHeight="1">
      <c r="A4883" s="7" t="s">
        <v>372</v>
      </c>
      <c r="B4883" s="9">
        <v>1405.0</v>
      </c>
      <c r="C4883" s="9">
        <v>1387.0</v>
      </c>
      <c r="D4883" s="9">
        <v>428.0</v>
      </c>
      <c r="E4883" s="9">
        <v>26.0</v>
      </c>
      <c r="F4883" s="14"/>
      <c r="G4883" s="15"/>
      <c r="H4883" s="15"/>
      <c r="I4883" s="14"/>
      <c r="P4883" s="14"/>
    </row>
    <row r="4884" ht="18.75" customHeight="1">
      <c r="A4884" s="7" t="s">
        <v>370</v>
      </c>
      <c r="B4884" s="9">
        <v>182.0</v>
      </c>
      <c r="C4884" s="9">
        <v>180.0</v>
      </c>
      <c r="D4884" s="9">
        <v>71.0</v>
      </c>
      <c r="E4884" s="9">
        <v>5.0</v>
      </c>
      <c r="F4884" s="14"/>
      <c r="G4884" s="15"/>
      <c r="H4884" s="15"/>
      <c r="I4884" s="14"/>
      <c r="P4884" s="14"/>
    </row>
    <row r="4885" ht="18.75" customHeight="1">
      <c r="A4885" s="7" t="s">
        <v>366</v>
      </c>
      <c r="B4885" s="9">
        <v>639.0</v>
      </c>
      <c r="C4885" s="9">
        <v>633.0</v>
      </c>
      <c r="D4885" s="9">
        <v>238.0</v>
      </c>
      <c r="E4885" s="9">
        <v>15.0</v>
      </c>
      <c r="F4885" s="14"/>
      <c r="G4885" s="15"/>
      <c r="H4885" s="15"/>
      <c r="I4885" s="14"/>
      <c r="P4885" s="14"/>
    </row>
    <row r="4886" ht="18.75" customHeight="1">
      <c r="A4886" s="7" t="s">
        <v>366</v>
      </c>
      <c r="B4886" s="9">
        <v>252.0</v>
      </c>
      <c r="C4886" s="9">
        <v>245.0</v>
      </c>
      <c r="D4886" s="9">
        <v>78.0</v>
      </c>
      <c r="E4886" s="9">
        <v>3.0</v>
      </c>
      <c r="F4886" s="14"/>
      <c r="G4886" s="15"/>
      <c r="H4886" s="15"/>
      <c r="I4886" s="14"/>
      <c r="P4886" s="14"/>
    </row>
    <row r="4887" ht="18.75" customHeight="1">
      <c r="A4887" s="7" t="s">
        <v>356</v>
      </c>
      <c r="B4887" s="9">
        <v>382.0</v>
      </c>
      <c r="C4887" s="9">
        <v>381.0</v>
      </c>
      <c r="D4887" s="9">
        <v>145.0</v>
      </c>
      <c r="E4887" s="9">
        <v>8.0</v>
      </c>
      <c r="F4887" s="14"/>
      <c r="G4887" s="15"/>
      <c r="H4887" s="15"/>
      <c r="I4887" s="14"/>
      <c r="P4887" s="14"/>
    </row>
    <row r="4888" ht="18.75" customHeight="1">
      <c r="A4888" s="7" t="s">
        <v>368</v>
      </c>
      <c r="B4888" s="9">
        <v>96.0</v>
      </c>
      <c r="C4888" s="9">
        <v>95.0</v>
      </c>
      <c r="D4888" s="9">
        <v>25.0</v>
      </c>
      <c r="E4888" s="9">
        <v>5.0</v>
      </c>
      <c r="F4888" s="14"/>
      <c r="G4888" s="15"/>
      <c r="H4888" s="15"/>
      <c r="I4888" s="14"/>
      <c r="P4888" s="14"/>
    </row>
    <row r="4889" ht="18.75" customHeight="1">
      <c r="A4889" s="7" t="s">
        <v>1467</v>
      </c>
      <c r="B4889" s="9">
        <v>261.0</v>
      </c>
      <c r="C4889" s="9">
        <v>254.0</v>
      </c>
      <c r="D4889" s="9">
        <v>74.0</v>
      </c>
      <c r="E4889" s="9">
        <v>7.0</v>
      </c>
      <c r="F4889" s="14"/>
      <c r="G4889" s="15"/>
      <c r="H4889" s="15"/>
      <c r="I4889" s="14"/>
      <c r="P4889" s="14"/>
    </row>
    <row r="4890" ht="18.75" customHeight="1">
      <c r="A4890" s="7" t="s">
        <v>3756</v>
      </c>
      <c r="B4890" s="9">
        <v>97.0</v>
      </c>
      <c r="C4890" s="9">
        <v>96.0</v>
      </c>
      <c r="D4890" s="9">
        <v>54.0</v>
      </c>
      <c r="E4890" s="9">
        <v>1.0</v>
      </c>
      <c r="F4890" s="14"/>
      <c r="G4890" s="15"/>
      <c r="H4890" s="15"/>
      <c r="I4890" s="14"/>
      <c r="P4890" s="14"/>
    </row>
    <row r="4891" ht="18.75" customHeight="1">
      <c r="A4891" s="7" t="s">
        <v>1531</v>
      </c>
      <c r="B4891" s="9">
        <v>20.0</v>
      </c>
      <c r="C4891" s="9">
        <v>20.0</v>
      </c>
      <c r="D4891" s="9">
        <v>12.0</v>
      </c>
      <c r="E4891" s="9">
        <v>0.0</v>
      </c>
      <c r="F4891" s="14"/>
      <c r="G4891" s="15"/>
      <c r="H4891" s="15"/>
      <c r="I4891" s="14"/>
      <c r="P4891" s="14"/>
    </row>
    <row r="4892" ht="18.75" customHeight="1">
      <c r="A4892" s="7" t="s">
        <v>1401</v>
      </c>
      <c r="B4892" s="9">
        <v>245845.0</v>
      </c>
      <c r="C4892" s="9">
        <v>243901.0</v>
      </c>
      <c r="D4892" s="9">
        <v>55667.0</v>
      </c>
      <c r="E4892" s="9">
        <v>206.0</v>
      </c>
      <c r="F4892" s="14"/>
      <c r="G4892" s="15"/>
      <c r="H4892" s="15"/>
      <c r="I4892" s="14"/>
      <c r="P4892" s="14"/>
    </row>
    <row r="4893" ht="18.75" customHeight="1">
      <c r="A4893" s="7" t="s">
        <v>1567</v>
      </c>
      <c r="B4893" s="9">
        <v>383063.0</v>
      </c>
      <c r="C4893" s="9">
        <v>379567.0</v>
      </c>
      <c r="D4893" s="9">
        <v>62488.0</v>
      </c>
      <c r="E4893" s="9">
        <v>1786.0</v>
      </c>
      <c r="F4893" s="14"/>
      <c r="G4893" s="15"/>
      <c r="H4893" s="15"/>
      <c r="I4893" s="14"/>
      <c r="P4893" s="14"/>
    </row>
    <row r="4894" ht="18.75" customHeight="1">
      <c r="A4894" s="7" t="s">
        <v>1567</v>
      </c>
      <c r="B4894" s="9">
        <v>391231.0</v>
      </c>
      <c r="C4894" s="9">
        <v>386529.0</v>
      </c>
      <c r="D4894" s="9">
        <v>61972.0</v>
      </c>
      <c r="E4894" s="9">
        <v>993.0</v>
      </c>
      <c r="F4894" s="14"/>
      <c r="G4894" s="15"/>
      <c r="H4894" s="15"/>
      <c r="I4894" s="14"/>
      <c r="P4894" s="14"/>
    </row>
    <row r="4895" ht="18.75" customHeight="1">
      <c r="A4895" s="7" t="s">
        <v>1567</v>
      </c>
      <c r="B4895" s="9">
        <v>247847.0</v>
      </c>
      <c r="C4895" s="9">
        <v>245893.0</v>
      </c>
      <c r="D4895" s="9">
        <v>40516.0</v>
      </c>
      <c r="E4895" s="9">
        <v>989.0</v>
      </c>
      <c r="F4895" s="14"/>
      <c r="G4895" s="15"/>
      <c r="H4895" s="15"/>
      <c r="I4895" s="14"/>
      <c r="P4895" s="14"/>
    </row>
    <row r="4896" ht="18.75" customHeight="1">
      <c r="A4896" s="7" t="s">
        <v>1547</v>
      </c>
      <c r="B4896" s="9">
        <v>21557.0</v>
      </c>
      <c r="C4896" s="9">
        <v>21351.0</v>
      </c>
      <c r="D4896" s="9">
        <v>8409.0</v>
      </c>
      <c r="E4896" s="9">
        <v>265.0</v>
      </c>
      <c r="F4896" s="14"/>
      <c r="G4896" s="15"/>
      <c r="H4896" s="15"/>
      <c r="I4896" s="14"/>
      <c r="P4896" s="14"/>
    </row>
    <row r="4897" ht="18.75" customHeight="1">
      <c r="A4897" s="7" t="s">
        <v>1521</v>
      </c>
      <c r="B4897" s="9">
        <v>20723.0</v>
      </c>
      <c r="C4897" s="9">
        <v>20473.0</v>
      </c>
      <c r="D4897" s="9">
        <v>6662.0</v>
      </c>
      <c r="E4897" s="9">
        <v>360.0</v>
      </c>
      <c r="F4897" s="14"/>
      <c r="G4897" s="15"/>
      <c r="H4897" s="15"/>
      <c r="I4897" s="14"/>
      <c r="P4897" s="14"/>
    </row>
    <row r="4898" ht="18.75" customHeight="1">
      <c r="A4898" s="7" t="s">
        <v>1563</v>
      </c>
      <c r="B4898" s="9">
        <v>80358.0</v>
      </c>
      <c r="C4898" s="9">
        <v>79019.0</v>
      </c>
      <c r="D4898" s="9">
        <v>11459.0</v>
      </c>
      <c r="E4898" s="9">
        <v>238.0</v>
      </c>
      <c r="F4898" s="14"/>
      <c r="G4898" s="15"/>
      <c r="H4898" s="15"/>
      <c r="I4898" s="14"/>
      <c r="P4898" s="14"/>
    </row>
    <row r="4899" ht="18.75" customHeight="1">
      <c r="A4899" s="7" t="s">
        <v>1537</v>
      </c>
      <c r="B4899" s="9">
        <v>120620.0</v>
      </c>
      <c r="C4899" s="9">
        <v>119176.0</v>
      </c>
      <c r="D4899" s="9">
        <v>15567.0</v>
      </c>
      <c r="E4899" s="9">
        <v>351.0</v>
      </c>
      <c r="F4899" s="14"/>
      <c r="G4899" s="15"/>
      <c r="H4899" s="15"/>
      <c r="I4899" s="14"/>
      <c r="P4899" s="14"/>
    </row>
    <row r="4900" ht="18.75" customHeight="1">
      <c r="A4900" s="7" t="s">
        <v>1537</v>
      </c>
      <c r="B4900" s="9">
        <v>36877.0</v>
      </c>
      <c r="C4900" s="9">
        <v>36512.0</v>
      </c>
      <c r="D4900" s="9">
        <v>6192.0</v>
      </c>
      <c r="E4900" s="9">
        <v>227.0</v>
      </c>
      <c r="F4900" s="14"/>
      <c r="G4900" s="15"/>
      <c r="H4900" s="15"/>
      <c r="I4900" s="14"/>
      <c r="P4900" s="14"/>
    </row>
    <row r="4901" ht="18.75" customHeight="1">
      <c r="A4901" s="7" t="s">
        <v>1559</v>
      </c>
      <c r="B4901" s="9">
        <v>86145.0</v>
      </c>
      <c r="C4901" s="9">
        <v>85259.0</v>
      </c>
      <c r="D4901" s="9">
        <v>17161.0</v>
      </c>
      <c r="E4901" s="9">
        <v>260.0</v>
      </c>
      <c r="F4901" s="14"/>
      <c r="G4901" s="15"/>
      <c r="H4901" s="15"/>
      <c r="I4901" s="14"/>
      <c r="P4901" s="14"/>
    </row>
    <row r="4902" ht="18.75" customHeight="1">
      <c r="A4902" s="7" t="s">
        <v>1501</v>
      </c>
      <c r="B4902" s="9">
        <v>130.0</v>
      </c>
      <c r="C4902" s="9">
        <v>129.0</v>
      </c>
      <c r="D4902" s="9">
        <v>58.0</v>
      </c>
      <c r="E4902" s="9">
        <v>2.0</v>
      </c>
      <c r="F4902" s="14"/>
      <c r="G4902" s="15"/>
      <c r="H4902" s="15"/>
      <c r="I4902" s="14"/>
      <c r="P4902" s="14"/>
    </row>
    <row r="4903" ht="18.75" customHeight="1">
      <c r="A4903" s="7" t="s">
        <v>1543</v>
      </c>
      <c r="B4903" s="9">
        <v>175.0</v>
      </c>
      <c r="C4903" s="9">
        <v>174.0</v>
      </c>
      <c r="D4903" s="9">
        <v>109.0</v>
      </c>
      <c r="E4903" s="9">
        <v>2.0</v>
      </c>
      <c r="F4903" s="14"/>
      <c r="G4903" s="15"/>
      <c r="H4903" s="15"/>
      <c r="I4903" s="14"/>
      <c r="P4903" s="14"/>
    </row>
    <row r="4904" ht="18.75" customHeight="1">
      <c r="A4904" s="7" t="s">
        <v>1565</v>
      </c>
      <c r="B4904" s="9">
        <v>61227.0</v>
      </c>
      <c r="C4904" s="9">
        <v>59996.0</v>
      </c>
      <c r="D4904" s="9">
        <v>7177.0</v>
      </c>
      <c r="E4904" s="9">
        <v>108.0</v>
      </c>
      <c r="F4904" s="14"/>
      <c r="G4904" s="15"/>
      <c r="H4904" s="15"/>
      <c r="I4904" s="14"/>
      <c r="P4904" s="14"/>
    </row>
    <row r="4905" ht="18.75" customHeight="1">
      <c r="A4905" s="7" t="s">
        <v>1427</v>
      </c>
      <c r="B4905" s="9">
        <v>296327.0</v>
      </c>
      <c r="C4905" s="9">
        <v>291638.0</v>
      </c>
      <c r="D4905" s="9">
        <v>26385.0</v>
      </c>
      <c r="E4905" s="9">
        <v>393.0</v>
      </c>
      <c r="F4905" s="14"/>
      <c r="G4905" s="15"/>
      <c r="H4905" s="15"/>
      <c r="I4905" s="14"/>
      <c r="P4905" s="14"/>
    </row>
    <row r="4906" ht="18.75" customHeight="1">
      <c r="A4906" s="7" t="s">
        <v>1541</v>
      </c>
      <c r="B4906" s="9">
        <v>189.0</v>
      </c>
      <c r="C4906" s="9">
        <v>188.0</v>
      </c>
      <c r="D4906" s="9">
        <v>135.0</v>
      </c>
      <c r="E4906" s="9">
        <v>1.0</v>
      </c>
      <c r="F4906" s="14"/>
      <c r="G4906" s="15"/>
      <c r="H4906" s="15"/>
      <c r="I4906" s="14"/>
      <c r="P4906" s="14"/>
    </row>
    <row r="4907" ht="18.75" customHeight="1">
      <c r="A4907" s="7" t="s">
        <v>1509</v>
      </c>
      <c r="B4907" s="9">
        <v>45970.0</v>
      </c>
      <c r="C4907" s="9">
        <v>45054.0</v>
      </c>
      <c r="D4907" s="9">
        <v>5883.0</v>
      </c>
      <c r="E4907" s="9">
        <v>490.0</v>
      </c>
      <c r="F4907" s="14"/>
      <c r="G4907" s="15"/>
      <c r="H4907" s="15"/>
      <c r="I4907" s="14"/>
      <c r="P4907" s="14"/>
    </row>
    <row r="4908" ht="18.75" customHeight="1">
      <c r="A4908" s="7" t="s">
        <v>1499</v>
      </c>
      <c r="B4908" s="9">
        <v>113.0</v>
      </c>
      <c r="C4908" s="9">
        <v>111.0</v>
      </c>
      <c r="D4908" s="9">
        <v>58.0</v>
      </c>
      <c r="E4908" s="9">
        <v>1.0</v>
      </c>
      <c r="F4908" s="14"/>
      <c r="G4908" s="15"/>
      <c r="H4908" s="15"/>
      <c r="I4908" s="14"/>
      <c r="P4908" s="14"/>
    </row>
    <row r="4909" ht="18.75" customHeight="1">
      <c r="A4909" s="7" t="s">
        <v>1557</v>
      </c>
      <c r="B4909" s="9">
        <v>68321.0</v>
      </c>
      <c r="C4909" s="9">
        <v>67622.0</v>
      </c>
      <c r="D4909" s="9">
        <v>11749.0</v>
      </c>
      <c r="E4909" s="9">
        <v>174.0</v>
      </c>
      <c r="F4909" s="14"/>
      <c r="G4909" s="15"/>
      <c r="H4909" s="15"/>
      <c r="I4909" s="14"/>
      <c r="P4909" s="14"/>
    </row>
    <row r="4910" ht="18.75" customHeight="1">
      <c r="A4910" s="7" t="s">
        <v>1537</v>
      </c>
      <c r="B4910" s="9">
        <v>212638.0</v>
      </c>
      <c r="C4910" s="9">
        <v>210202.0</v>
      </c>
      <c r="D4910" s="9">
        <v>31061.0</v>
      </c>
      <c r="E4910" s="9">
        <v>601.0</v>
      </c>
      <c r="F4910" s="14"/>
      <c r="G4910" s="15"/>
      <c r="H4910" s="15"/>
      <c r="I4910" s="14"/>
      <c r="P4910" s="14"/>
    </row>
    <row r="4911" ht="18.75" customHeight="1">
      <c r="A4911" s="7" t="s">
        <v>1401</v>
      </c>
      <c r="B4911" s="9">
        <v>141711.0</v>
      </c>
      <c r="C4911" s="9">
        <v>140523.0</v>
      </c>
      <c r="D4911" s="9">
        <v>33054.0</v>
      </c>
      <c r="E4911" s="9">
        <v>92.0</v>
      </c>
      <c r="F4911" s="14"/>
      <c r="G4911" s="15"/>
      <c r="H4911" s="15"/>
      <c r="I4911" s="14"/>
      <c r="P4911" s="14"/>
    </row>
    <row r="4912" ht="18.75" customHeight="1">
      <c r="A4912" s="7" t="s">
        <v>1567</v>
      </c>
      <c r="B4912" s="9">
        <v>215496.0</v>
      </c>
      <c r="C4912" s="9">
        <v>213870.0</v>
      </c>
      <c r="D4912" s="9">
        <v>41439.0</v>
      </c>
      <c r="E4912" s="9">
        <v>1103.0</v>
      </c>
      <c r="F4912" s="14"/>
      <c r="G4912" s="15"/>
      <c r="H4912" s="15"/>
      <c r="I4912" s="14"/>
      <c r="P4912" s="14"/>
    </row>
    <row r="4913" ht="18.75" customHeight="1">
      <c r="A4913" s="7" t="s">
        <v>1567</v>
      </c>
      <c r="B4913" s="9">
        <v>215493.0</v>
      </c>
      <c r="C4913" s="9">
        <v>213727.0</v>
      </c>
      <c r="D4913" s="9">
        <v>36678.0</v>
      </c>
      <c r="E4913" s="9">
        <v>1046.0</v>
      </c>
      <c r="F4913" s="14"/>
      <c r="G4913" s="15"/>
      <c r="H4913" s="15"/>
      <c r="I4913" s="14"/>
      <c r="P4913" s="14"/>
    </row>
    <row r="4914" ht="18.75" customHeight="1">
      <c r="A4914" s="7" t="s">
        <v>1401</v>
      </c>
      <c r="B4914" s="9">
        <v>391572.0</v>
      </c>
      <c r="C4914" s="9">
        <v>386510.0</v>
      </c>
      <c r="D4914" s="9">
        <v>79643.0</v>
      </c>
      <c r="E4914" s="9">
        <v>823.0</v>
      </c>
      <c r="F4914" s="14"/>
      <c r="G4914" s="15"/>
      <c r="H4914" s="15"/>
      <c r="I4914" s="14"/>
      <c r="P4914" s="14"/>
    </row>
    <row r="4915" ht="18.75" customHeight="1">
      <c r="A4915" s="7" t="s">
        <v>1545</v>
      </c>
      <c r="B4915" s="9">
        <v>43824.0</v>
      </c>
      <c r="C4915" s="9">
        <v>43392.0</v>
      </c>
      <c r="D4915" s="9">
        <v>9767.0</v>
      </c>
      <c r="E4915" s="9">
        <v>243.0</v>
      </c>
      <c r="F4915" s="14"/>
      <c r="G4915" s="15"/>
      <c r="H4915" s="15"/>
      <c r="I4915" s="14"/>
      <c r="P4915" s="14"/>
    </row>
    <row r="4916" ht="18.75" customHeight="1">
      <c r="A4916" s="7" t="s">
        <v>1509</v>
      </c>
      <c r="B4916" s="9">
        <v>169142.0</v>
      </c>
      <c r="C4916" s="9">
        <v>168722.0</v>
      </c>
      <c r="D4916" s="9">
        <v>80420.0</v>
      </c>
      <c r="E4916" s="9">
        <v>3532.0</v>
      </c>
      <c r="F4916" s="14"/>
      <c r="G4916" s="15"/>
      <c r="H4916" s="15"/>
      <c r="I4916" s="14"/>
      <c r="P4916" s="14"/>
    </row>
    <row r="4917" ht="18.75" customHeight="1">
      <c r="A4917" s="7" t="s">
        <v>1503</v>
      </c>
      <c r="B4917" s="9">
        <v>392.0</v>
      </c>
      <c r="C4917" s="9">
        <v>382.0</v>
      </c>
      <c r="D4917" s="9">
        <v>178.0</v>
      </c>
      <c r="E4917" s="9">
        <v>74.0</v>
      </c>
      <c r="F4917" s="14"/>
      <c r="G4917" s="15"/>
      <c r="H4917" s="15"/>
      <c r="I4917" s="14"/>
      <c r="P4917" s="14"/>
    </row>
    <row r="4918" ht="18.75" customHeight="1">
      <c r="A4918" s="7" t="s">
        <v>1479</v>
      </c>
      <c r="B4918" s="9">
        <v>119.0</v>
      </c>
      <c r="C4918" s="9">
        <v>118.0</v>
      </c>
      <c r="D4918" s="9">
        <v>44.0</v>
      </c>
      <c r="E4918" s="9">
        <v>0.0</v>
      </c>
      <c r="F4918" s="14"/>
      <c r="G4918" s="15"/>
      <c r="H4918" s="15"/>
      <c r="I4918" s="14"/>
      <c r="P4918" s="14"/>
    </row>
    <row r="4919" ht="18.75" customHeight="1">
      <c r="A4919" s="7" t="s">
        <v>1517</v>
      </c>
      <c r="B4919" s="9">
        <v>9629.0</v>
      </c>
      <c r="C4919" s="9">
        <v>9445.0</v>
      </c>
      <c r="D4919" s="9">
        <v>2129.0</v>
      </c>
      <c r="E4919" s="9">
        <v>63.0</v>
      </c>
      <c r="F4919" s="14"/>
      <c r="G4919" s="15"/>
      <c r="H4919" s="15"/>
      <c r="I4919" s="14"/>
      <c r="P4919" s="14"/>
    </row>
    <row r="4920" ht="18.75" customHeight="1">
      <c r="A4920" s="7" t="s">
        <v>1519</v>
      </c>
      <c r="B4920" s="9">
        <v>15808.0</v>
      </c>
      <c r="C4920" s="9">
        <v>15627.0</v>
      </c>
      <c r="D4920" s="9">
        <v>5301.0</v>
      </c>
      <c r="E4920" s="9">
        <v>322.0</v>
      </c>
      <c r="F4920" s="14"/>
      <c r="G4920" s="15"/>
      <c r="H4920" s="15"/>
      <c r="I4920" s="14"/>
      <c r="P4920" s="14"/>
    </row>
    <row r="4921" ht="18.75" customHeight="1">
      <c r="A4921" s="7" t="s">
        <v>1569</v>
      </c>
      <c r="B4921" s="9">
        <v>130333.0</v>
      </c>
      <c r="C4921" s="9">
        <v>128673.0</v>
      </c>
      <c r="D4921" s="9">
        <v>47675.0</v>
      </c>
      <c r="E4921" s="9">
        <v>7069.0</v>
      </c>
      <c r="F4921" s="14"/>
      <c r="G4921" s="15"/>
      <c r="H4921" s="15"/>
      <c r="I4921" s="14"/>
      <c r="P4921" s="14"/>
    </row>
    <row r="4922" ht="18.75" customHeight="1">
      <c r="A4922" s="7" t="s">
        <v>1561</v>
      </c>
      <c r="B4922" s="9">
        <v>134779.0</v>
      </c>
      <c r="C4922" s="9">
        <v>134114.0</v>
      </c>
      <c r="D4922" s="9">
        <v>33785.0</v>
      </c>
      <c r="E4922" s="9">
        <v>495.0</v>
      </c>
      <c r="F4922" s="14"/>
      <c r="G4922" s="15"/>
      <c r="H4922" s="15"/>
      <c r="I4922" s="14"/>
      <c r="P4922" s="14"/>
    </row>
    <row r="4923" ht="18.75" customHeight="1">
      <c r="A4923" s="7" t="s">
        <v>1561</v>
      </c>
      <c r="B4923" s="9">
        <v>10670.0</v>
      </c>
      <c r="C4923" s="9">
        <v>10592.0</v>
      </c>
      <c r="D4923" s="9">
        <v>2813.0</v>
      </c>
      <c r="E4923" s="9">
        <v>219.0</v>
      </c>
      <c r="F4923" s="14"/>
      <c r="G4923" s="15"/>
      <c r="H4923" s="15"/>
      <c r="I4923" s="14"/>
      <c r="P4923" s="14"/>
    </row>
    <row r="4924" ht="18.75" customHeight="1">
      <c r="A4924" s="7" t="s">
        <v>1563</v>
      </c>
      <c r="B4924" s="9">
        <v>147.0</v>
      </c>
      <c r="C4924" s="9">
        <v>146.0</v>
      </c>
      <c r="D4924" s="9">
        <v>85.0</v>
      </c>
      <c r="E4924" s="9">
        <v>0.0</v>
      </c>
      <c r="F4924" s="14"/>
      <c r="G4924" s="15"/>
      <c r="H4924" s="15"/>
      <c r="I4924" s="14"/>
      <c r="P4924" s="14"/>
    </row>
    <row r="4925" ht="18.75" customHeight="1">
      <c r="A4925" s="7" t="s">
        <v>2857</v>
      </c>
      <c r="B4925" s="9">
        <v>95038.0</v>
      </c>
      <c r="C4925" s="9">
        <v>93958.0</v>
      </c>
      <c r="D4925" s="9">
        <v>26744.0</v>
      </c>
      <c r="E4925" s="9">
        <v>980.0</v>
      </c>
      <c r="F4925" s="14"/>
      <c r="G4925" s="15"/>
      <c r="H4925" s="15"/>
      <c r="I4925" s="14"/>
      <c r="P4925" s="14"/>
    </row>
    <row r="4926" ht="18.75" customHeight="1">
      <c r="A4926" s="7" t="s">
        <v>1559</v>
      </c>
      <c r="B4926" s="9">
        <v>140.0</v>
      </c>
      <c r="C4926" s="9">
        <v>139.0</v>
      </c>
      <c r="D4926" s="9">
        <v>88.0</v>
      </c>
      <c r="E4926" s="9">
        <v>3.0</v>
      </c>
      <c r="F4926" s="14"/>
      <c r="G4926" s="15"/>
      <c r="H4926" s="15"/>
      <c r="I4926" s="14"/>
      <c r="P4926" s="14"/>
    </row>
    <row r="4927" ht="18.75" customHeight="1">
      <c r="A4927" s="7" t="s">
        <v>1537</v>
      </c>
      <c r="B4927" s="9">
        <v>601.0</v>
      </c>
      <c r="C4927" s="9">
        <v>600.0</v>
      </c>
      <c r="D4927" s="9">
        <v>400.0</v>
      </c>
      <c r="E4927" s="9">
        <v>3.0</v>
      </c>
      <c r="F4927" s="14"/>
      <c r="G4927" s="15"/>
      <c r="H4927" s="15"/>
      <c r="I4927" s="14"/>
      <c r="P4927" s="14"/>
    </row>
    <row r="4928" ht="18.75" customHeight="1">
      <c r="A4928" s="7" t="s">
        <v>1135</v>
      </c>
      <c r="B4928" s="9">
        <v>131460.0</v>
      </c>
      <c r="C4928" s="9">
        <v>130847.0</v>
      </c>
      <c r="D4928" s="9">
        <v>65561.0</v>
      </c>
      <c r="E4928" s="9">
        <v>733.0</v>
      </c>
      <c r="F4928" s="14"/>
      <c r="G4928" s="15"/>
      <c r="H4928" s="15"/>
      <c r="I4928" s="14"/>
      <c r="P4928" s="14"/>
    </row>
    <row r="4929" ht="18.75" customHeight="1">
      <c r="A4929" s="7" t="s">
        <v>1581</v>
      </c>
      <c r="B4929" s="9">
        <v>95857.0</v>
      </c>
      <c r="C4929" s="9">
        <v>95342.0</v>
      </c>
      <c r="D4929" s="9">
        <v>35381.0</v>
      </c>
      <c r="E4929" s="9">
        <v>244.0</v>
      </c>
      <c r="F4929" s="14"/>
      <c r="G4929" s="15"/>
      <c r="H4929" s="15"/>
      <c r="I4929" s="14"/>
      <c r="P4929" s="14"/>
    </row>
    <row r="4930" ht="18.75" customHeight="1">
      <c r="A4930" s="7" t="s">
        <v>1537</v>
      </c>
      <c r="B4930" s="9">
        <v>1164.0</v>
      </c>
      <c r="C4930" s="9">
        <v>1152.0</v>
      </c>
      <c r="D4930" s="9">
        <v>326.0</v>
      </c>
      <c r="E4930" s="9">
        <v>58.0</v>
      </c>
      <c r="F4930" s="14"/>
      <c r="G4930" s="15"/>
      <c r="H4930" s="15"/>
      <c r="I4930" s="14"/>
      <c r="P4930" s="14"/>
    </row>
    <row r="4931" ht="18.75" customHeight="1">
      <c r="A4931" s="7" t="s">
        <v>1589</v>
      </c>
      <c r="B4931" s="9">
        <v>75632.0</v>
      </c>
      <c r="C4931" s="9">
        <v>74755.0</v>
      </c>
      <c r="D4931" s="9">
        <v>17151.0</v>
      </c>
      <c r="E4931" s="9">
        <v>950.0</v>
      </c>
      <c r="F4931" s="14"/>
      <c r="G4931" s="15"/>
      <c r="H4931" s="15"/>
      <c r="I4931" s="14"/>
      <c r="P4931" s="14"/>
    </row>
    <row r="4932" ht="18.75" customHeight="1">
      <c r="A4932" s="7" t="s">
        <v>1567</v>
      </c>
      <c r="B4932" s="9">
        <v>215481.0</v>
      </c>
      <c r="C4932" s="9">
        <v>213868.0</v>
      </c>
      <c r="D4932" s="9">
        <v>48627.0</v>
      </c>
      <c r="E4932" s="9">
        <v>1323.0</v>
      </c>
      <c r="F4932" s="14"/>
      <c r="G4932" s="15"/>
      <c r="H4932" s="15"/>
      <c r="I4932" s="14"/>
      <c r="P4932" s="14"/>
    </row>
    <row r="4933" ht="18.75" customHeight="1">
      <c r="A4933" s="7" t="s">
        <v>1567</v>
      </c>
      <c r="B4933" s="9">
        <v>213829.0</v>
      </c>
      <c r="C4933" s="9">
        <v>211083.0</v>
      </c>
      <c r="D4933" s="9">
        <v>40995.0</v>
      </c>
      <c r="E4933" s="9">
        <v>998.0</v>
      </c>
      <c r="F4933" s="14"/>
      <c r="G4933" s="15"/>
      <c r="H4933" s="15"/>
      <c r="I4933" s="14"/>
      <c r="P4933" s="14"/>
    </row>
    <row r="4934" ht="18.75" customHeight="1">
      <c r="A4934" s="7" t="s">
        <v>1565</v>
      </c>
      <c r="B4934" s="9">
        <v>92.0</v>
      </c>
      <c r="C4934" s="9">
        <v>91.0</v>
      </c>
      <c r="D4934" s="9">
        <v>48.0</v>
      </c>
      <c r="E4934" s="9">
        <v>1.0</v>
      </c>
      <c r="F4934" s="14"/>
      <c r="G4934" s="15"/>
      <c r="H4934" s="15"/>
      <c r="I4934" s="14"/>
      <c r="P4934" s="14"/>
    </row>
    <row r="4935" ht="18.75" customHeight="1">
      <c r="A4935" s="7" t="s">
        <v>1401</v>
      </c>
      <c r="B4935" s="9">
        <v>5084.0</v>
      </c>
      <c r="C4935" s="9">
        <v>4976.0</v>
      </c>
      <c r="D4935" s="9">
        <v>1396.0</v>
      </c>
      <c r="E4935" s="9">
        <v>10.0</v>
      </c>
      <c r="F4935" s="14"/>
      <c r="G4935" s="15"/>
      <c r="H4935" s="15"/>
      <c r="I4935" s="14"/>
      <c r="P4935" s="14"/>
    </row>
    <row r="4936" ht="18.75" customHeight="1">
      <c r="A4936" s="7" t="s">
        <v>1423</v>
      </c>
      <c r="B4936" s="9">
        <v>257690.0</v>
      </c>
      <c r="C4936" s="9">
        <v>255686.0</v>
      </c>
      <c r="D4936" s="9">
        <v>94523.0</v>
      </c>
      <c r="E4936" s="9">
        <v>2252.0</v>
      </c>
      <c r="F4936" s="14"/>
      <c r="G4936" s="15"/>
      <c r="H4936" s="15"/>
      <c r="I4936" s="14"/>
      <c r="P4936" s="14"/>
    </row>
    <row r="4937" ht="18.75" customHeight="1">
      <c r="A4937" s="7" t="s">
        <v>1509</v>
      </c>
      <c r="B4937" s="9">
        <v>169246.0</v>
      </c>
      <c r="C4937" s="9">
        <v>168136.0</v>
      </c>
      <c r="D4937" s="9">
        <v>89360.0</v>
      </c>
      <c r="E4937" s="9">
        <v>3360.0</v>
      </c>
      <c r="F4937" s="14"/>
      <c r="G4937" s="15"/>
      <c r="H4937" s="15"/>
      <c r="I4937" s="14"/>
      <c r="P4937" s="14"/>
    </row>
    <row r="4938" ht="18.75" customHeight="1">
      <c r="A4938" s="7" t="s">
        <v>1557</v>
      </c>
      <c r="B4938" s="9">
        <v>105.0</v>
      </c>
      <c r="C4938" s="9">
        <v>103.0</v>
      </c>
      <c r="D4938" s="9">
        <v>66.0</v>
      </c>
      <c r="E4938" s="9">
        <v>2.0</v>
      </c>
      <c r="F4938" s="14"/>
      <c r="G4938" s="15"/>
      <c r="H4938" s="15"/>
      <c r="I4938" s="14"/>
      <c r="P4938" s="14"/>
    </row>
    <row r="4939" ht="18.75" customHeight="1">
      <c r="A4939" s="7" t="s">
        <v>1571</v>
      </c>
      <c r="B4939" s="9">
        <v>72390.0</v>
      </c>
      <c r="C4939" s="9">
        <v>71655.0</v>
      </c>
      <c r="D4939" s="9">
        <v>30425.0</v>
      </c>
      <c r="E4939" s="9">
        <v>2778.0</v>
      </c>
      <c r="F4939" s="14"/>
      <c r="G4939" s="15"/>
      <c r="H4939" s="15"/>
      <c r="I4939" s="14"/>
      <c r="P4939" s="14"/>
    </row>
    <row r="4940" ht="18.75" customHeight="1">
      <c r="A4940" s="7" t="s">
        <v>1569</v>
      </c>
      <c r="B4940" s="9">
        <v>44.0</v>
      </c>
      <c r="C4940" s="9">
        <v>43.0</v>
      </c>
      <c r="D4940" s="9">
        <v>20.0</v>
      </c>
      <c r="E4940" s="9">
        <v>1.0</v>
      </c>
      <c r="F4940" s="14"/>
      <c r="G4940" s="15"/>
      <c r="H4940" s="15"/>
      <c r="I4940" s="14"/>
      <c r="P4940" s="14"/>
    </row>
    <row r="4941" ht="18.75" customHeight="1">
      <c r="A4941" s="7" t="s">
        <v>1553</v>
      </c>
      <c r="B4941" s="9">
        <v>102739.0</v>
      </c>
      <c r="C4941" s="9">
        <v>102006.0</v>
      </c>
      <c r="D4941" s="9">
        <v>33003.0</v>
      </c>
      <c r="E4941" s="9">
        <v>347.0</v>
      </c>
      <c r="F4941" s="14"/>
      <c r="G4941" s="15"/>
      <c r="H4941" s="15"/>
      <c r="I4941" s="14"/>
      <c r="P4941" s="14"/>
    </row>
    <row r="4942" ht="18.75" customHeight="1">
      <c r="A4942" s="7" t="s">
        <v>1471</v>
      </c>
      <c r="B4942" s="9">
        <v>207110.0</v>
      </c>
      <c r="C4942" s="9">
        <v>205916.0</v>
      </c>
      <c r="D4942" s="9">
        <v>77985.0</v>
      </c>
      <c r="E4942" s="9">
        <v>2883.0</v>
      </c>
      <c r="F4942" s="14"/>
      <c r="G4942" s="15"/>
      <c r="H4942" s="15"/>
      <c r="I4942" s="14"/>
      <c r="P4942" s="14"/>
    </row>
    <row r="4943" ht="18.75" customHeight="1">
      <c r="A4943" s="7" t="s">
        <v>1603</v>
      </c>
      <c r="B4943" s="9">
        <v>27117.0</v>
      </c>
      <c r="C4943" s="9">
        <v>26777.0</v>
      </c>
      <c r="D4943" s="9">
        <v>4992.0</v>
      </c>
      <c r="E4943" s="9">
        <v>116.0</v>
      </c>
      <c r="F4943" s="14"/>
      <c r="G4943" s="15"/>
      <c r="H4943" s="15"/>
      <c r="I4943" s="14"/>
      <c r="P4943" s="14"/>
    </row>
    <row r="4944" ht="18.75" customHeight="1">
      <c r="A4944" s="7" t="s">
        <v>1543</v>
      </c>
      <c r="B4944" s="9">
        <v>176.0</v>
      </c>
      <c r="C4944" s="9">
        <v>175.0</v>
      </c>
      <c r="D4944" s="9">
        <v>95.0</v>
      </c>
      <c r="E4944" s="9">
        <v>3.0</v>
      </c>
      <c r="F4944" s="14"/>
      <c r="G4944" s="15"/>
      <c r="H4944" s="15"/>
      <c r="I4944" s="14"/>
      <c r="P4944" s="14"/>
    </row>
    <row r="4945" ht="18.75" customHeight="1">
      <c r="A4945" s="7" t="s">
        <v>1533</v>
      </c>
      <c r="B4945" s="9">
        <v>208197.0</v>
      </c>
      <c r="C4945" s="9">
        <v>207588.0</v>
      </c>
      <c r="D4945" s="9">
        <v>73121.0</v>
      </c>
      <c r="E4945" s="9">
        <v>410.0</v>
      </c>
      <c r="F4945" s="14"/>
      <c r="G4945" s="15"/>
      <c r="H4945" s="15"/>
      <c r="I4945" s="14"/>
      <c r="P4945" s="14"/>
    </row>
    <row r="4946" ht="18.75" customHeight="1">
      <c r="A4946" s="7" t="s">
        <v>1545</v>
      </c>
      <c r="B4946" s="9">
        <v>129.0</v>
      </c>
      <c r="C4946" s="9">
        <v>128.0</v>
      </c>
      <c r="D4946" s="9">
        <v>73.0</v>
      </c>
      <c r="E4946" s="9">
        <v>3.0</v>
      </c>
      <c r="F4946" s="14"/>
      <c r="G4946" s="15"/>
      <c r="H4946" s="15"/>
      <c r="I4946" s="14"/>
      <c r="P4946" s="14"/>
    </row>
    <row r="4947" ht="18.75" customHeight="1">
      <c r="A4947" s="7" t="s">
        <v>1401</v>
      </c>
      <c r="B4947" s="9">
        <v>189729.0</v>
      </c>
      <c r="C4947" s="9">
        <v>187462.0</v>
      </c>
      <c r="D4947" s="9">
        <v>35051.0</v>
      </c>
      <c r="E4947" s="9">
        <v>332.0</v>
      </c>
      <c r="F4947" s="14"/>
      <c r="G4947" s="15"/>
      <c r="H4947" s="15"/>
      <c r="I4947" s="14"/>
      <c r="P4947" s="14"/>
    </row>
    <row r="4948" ht="18.75" customHeight="1">
      <c r="A4948" s="7" t="s">
        <v>1277</v>
      </c>
      <c r="B4948" s="9">
        <v>14031.0</v>
      </c>
      <c r="C4948" s="9">
        <v>13819.0</v>
      </c>
      <c r="D4948" s="9">
        <v>3962.0</v>
      </c>
      <c r="E4948" s="9">
        <v>86.0</v>
      </c>
      <c r="F4948" s="14"/>
      <c r="G4948" s="15"/>
      <c r="H4948" s="15"/>
      <c r="I4948" s="14"/>
      <c r="P4948" s="14"/>
    </row>
    <row r="4949" ht="18.75" customHeight="1">
      <c r="A4949" s="7" t="s">
        <v>1277</v>
      </c>
      <c r="B4949" s="9">
        <v>39437.0</v>
      </c>
      <c r="C4949" s="9">
        <v>39017.0</v>
      </c>
      <c r="D4949" s="9">
        <v>11770.0</v>
      </c>
      <c r="E4949" s="9">
        <v>702.0</v>
      </c>
      <c r="F4949" s="14"/>
      <c r="G4949" s="15"/>
      <c r="H4949" s="15"/>
      <c r="I4949" s="14"/>
      <c r="P4949" s="14"/>
    </row>
    <row r="4950" ht="18.75" customHeight="1">
      <c r="A4950" s="7" t="s">
        <v>1541</v>
      </c>
      <c r="B4950" s="9">
        <v>189.0</v>
      </c>
      <c r="C4950" s="9">
        <v>188.0</v>
      </c>
      <c r="D4950" s="9">
        <v>95.0</v>
      </c>
      <c r="E4950" s="9">
        <v>2.0</v>
      </c>
      <c r="F4950" s="14"/>
      <c r="G4950" s="15"/>
      <c r="H4950" s="15"/>
      <c r="I4950" s="14"/>
      <c r="P4950" s="14"/>
    </row>
    <row r="4951" ht="18.75" customHeight="1">
      <c r="A4951" s="7" t="s">
        <v>1587</v>
      </c>
      <c r="B4951" s="9">
        <v>7070.0</v>
      </c>
      <c r="C4951" s="9">
        <v>7038.0</v>
      </c>
      <c r="D4951" s="9">
        <v>1254.0</v>
      </c>
      <c r="E4951" s="9">
        <v>16.0</v>
      </c>
      <c r="F4951" s="14"/>
      <c r="G4951" s="15"/>
      <c r="H4951" s="15"/>
      <c r="I4951" s="14"/>
      <c r="P4951" s="14"/>
    </row>
    <row r="4952" ht="18.75" customHeight="1">
      <c r="A4952" s="7" t="s">
        <v>424</v>
      </c>
      <c r="B4952" s="9">
        <v>3039.0</v>
      </c>
      <c r="C4952" s="9">
        <v>3002.0</v>
      </c>
      <c r="D4952" s="9">
        <v>797.0</v>
      </c>
      <c r="E4952" s="9">
        <v>29.0</v>
      </c>
      <c r="F4952" s="14"/>
      <c r="G4952" s="15"/>
      <c r="H4952" s="15"/>
      <c r="I4952" s="14"/>
      <c r="P4952" s="14"/>
    </row>
    <row r="4953" ht="18.75" customHeight="1">
      <c r="A4953" s="7" t="s">
        <v>1393</v>
      </c>
      <c r="B4953" s="9">
        <v>11075.0</v>
      </c>
      <c r="C4953" s="9">
        <v>10968.0</v>
      </c>
      <c r="D4953" s="9">
        <v>3518.0</v>
      </c>
      <c r="E4953" s="9">
        <v>160.0</v>
      </c>
      <c r="F4953" s="14"/>
      <c r="G4953" s="15"/>
      <c r="H4953" s="15"/>
      <c r="I4953" s="14"/>
      <c r="P4953" s="14"/>
    </row>
    <row r="4954" ht="18.75" customHeight="1">
      <c r="A4954" s="7" t="s">
        <v>1577</v>
      </c>
      <c r="B4954" s="9">
        <v>120540.0</v>
      </c>
      <c r="C4954" s="9">
        <v>119422.0</v>
      </c>
      <c r="D4954" s="9">
        <v>51599.0</v>
      </c>
      <c r="E4954" s="9">
        <v>10869.0</v>
      </c>
      <c r="F4954" s="14"/>
      <c r="G4954" s="15"/>
      <c r="H4954" s="15"/>
      <c r="I4954" s="14"/>
      <c r="P4954" s="14"/>
    </row>
    <row r="4955" ht="18.75" customHeight="1">
      <c r="A4955" s="7" t="s">
        <v>1627</v>
      </c>
      <c r="B4955" s="9">
        <v>89708.0</v>
      </c>
      <c r="C4955" s="9">
        <v>89433.0</v>
      </c>
      <c r="D4955" s="9">
        <v>24181.0</v>
      </c>
      <c r="E4955" s="9">
        <v>243.0</v>
      </c>
      <c r="F4955" s="14"/>
      <c r="G4955" s="15"/>
      <c r="H4955" s="15"/>
      <c r="I4955" s="14"/>
      <c r="P4955" s="14"/>
    </row>
    <row r="4956" ht="18.75" customHeight="1">
      <c r="A4956" s="7" t="s">
        <v>1571</v>
      </c>
      <c r="B4956" s="9">
        <v>2.0</v>
      </c>
      <c r="C4956" s="9">
        <v>2.0</v>
      </c>
      <c r="D4956" s="9">
        <v>2.0</v>
      </c>
      <c r="E4956" s="9">
        <v>2.0</v>
      </c>
      <c r="F4956" s="14"/>
      <c r="G4956" s="15"/>
      <c r="H4956" s="15"/>
      <c r="I4956" s="14"/>
      <c r="P4956" s="14"/>
    </row>
    <row r="4957" ht="18.75" customHeight="1">
      <c r="A4957" s="7" t="s">
        <v>1571</v>
      </c>
      <c r="B4957" s="9">
        <v>2.0</v>
      </c>
      <c r="C4957" s="9">
        <v>2.0</v>
      </c>
      <c r="D4957" s="9">
        <v>2.0</v>
      </c>
      <c r="E4957" s="9">
        <v>2.0</v>
      </c>
      <c r="F4957" s="14"/>
      <c r="G4957" s="15"/>
      <c r="H4957" s="15"/>
      <c r="I4957" s="14"/>
      <c r="P4957" s="14"/>
    </row>
    <row r="4958" ht="18.75" customHeight="1">
      <c r="A4958" s="7" t="s">
        <v>1571</v>
      </c>
      <c r="B4958" s="9">
        <v>2.0</v>
      </c>
      <c r="C4958" s="9">
        <v>2.0</v>
      </c>
      <c r="D4958" s="9">
        <v>2.0</v>
      </c>
      <c r="E4958" s="9">
        <v>2.0</v>
      </c>
      <c r="F4958" s="14"/>
      <c r="G4958" s="15"/>
      <c r="H4958" s="15"/>
      <c r="I4958" s="14"/>
      <c r="P4958" s="14"/>
    </row>
    <row r="4959" ht="18.75" customHeight="1">
      <c r="A4959" s="7" t="s">
        <v>1571</v>
      </c>
      <c r="B4959" s="9">
        <v>2.0</v>
      </c>
      <c r="C4959" s="9">
        <v>2.0</v>
      </c>
      <c r="D4959" s="9">
        <v>2.0</v>
      </c>
      <c r="E4959" s="9">
        <v>2.0</v>
      </c>
      <c r="F4959" s="14"/>
      <c r="G4959" s="15"/>
      <c r="H4959" s="15"/>
      <c r="I4959" s="14"/>
      <c r="P4959" s="14"/>
    </row>
    <row r="4960" ht="18.75" customHeight="1">
      <c r="A4960" s="7" t="s">
        <v>1571</v>
      </c>
      <c r="B4960" s="9">
        <v>2.0</v>
      </c>
      <c r="C4960" s="9">
        <v>2.0</v>
      </c>
      <c r="D4960" s="9">
        <v>2.0</v>
      </c>
      <c r="E4960" s="9">
        <v>2.0</v>
      </c>
      <c r="F4960" s="14"/>
      <c r="G4960" s="15"/>
      <c r="H4960" s="15"/>
      <c r="I4960" s="14"/>
      <c r="P4960" s="14"/>
    </row>
    <row r="4961" ht="18.75" customHeight="1">
      <c r="A4961" s="7" t="s">
        <v>1573</v>
      </c>
      <c r="B4961" s="9">
        <v>2.0</v>
      </c>
      <c r="C4961" s="9">
        <v>2.0</v>
      </c>
      <c r="D4961" s="9">
        <v>2.0</v>
      </c>
      <c r="E4961" s="9">
        <v>2.0</v>
      </c>
      <c r="F4961" s="14"/>
      <c r="G4961" s="15"/>
      <c r="H4961" s="15"/>
      <c r="I4961" s="14"/>
      <c r="P4961" s="14"/>
    </row>
    <row r="4962" ht="18.75" customHeight="1">
      <c r="A4962" s="7" t="s">
        <v>1573</v>
      </c>
      <c r="B4962" s="9">
        <v>2.0</v>
      </c>
      <c r="C4962" s="9">
        <v>2.0</v>
      </c>
      <c r="D4962" s="9">
        <v>2.0</v>
      </c>
      <c r="E4962" s="9">
        <v>2.0</v>
      </c>
      <c r="F4962" s="14"/>
      <c r="G4962" s="15"/>
      <c r="H4962" s="15"/>
      <c r="I4962" s="14"/>
      <c r="P4962" s="14"/>
    </row>
    <row r="4963" ht="18.75" customHeight="1">
      <c r="A4963" s="7" t="s">
        <v>1573</v>
      </c>
      <c r="B4963" s="9">
        <v>2.0</v>
      </c>
      <c r="C4963" s="9">
        <v>2.0</v>
      </c>
      <c r="D4963" s="9">
        <v>2.0</v>
      </c>
      <c r="E4963" s="9">
        <v>2.0</v>
      </c>
      <c r="F4963" s="14"/>
      <c r="G4963" s="15"/>
      <c r="H4963" s="15"/>
      <c r="I4963" s="14"/>
      <c r="P4963" s="14"/>
    </row>
    <row r="4964" ht="18.75" customHeight="1">
      <c r="A4964" s="7" t="s">
        <v>1573</v>
      </c>
      <c r="B4964" s="9">
        <v>2.0</v>
      </c>
      <c r="C4964" s="9">
        <v>2.0</v>
      </c>
      <c r="D4964" s="9">
        <v>2.0</v>
      </c>
      <c r="E4964" s="9">
        <v>2.0</v>
      </c>
      <c r="F4964" s="14"/>
      <c r="G4964" s="15"/>
      <c r="H4964" s="15"/>
      <c r="I4964" s="14"/>
      <c r="P4964" s="14"/>
    </row>
    <row r="4965" ht="18.75" customHeight="1">
      <c r="A4965" s="7" t="s">
        <v>1573</v>
      </c>
      <c r="B4965" s="9">
        <v>2.0</v>
      </c>
      <c r="C4965" s="9">
        <v>2.0</v>
      </c>
      <c r="D4965" s="9">
        <v>2.0</v>
      </c>
      <c r="E4965" s="9">
        <v>0.0</v>
      </c>
      <c r="F4965" s="14"/>
      <c r="G4965" s="15"/>
      <c r="H4965" s="15"/>
      <c r="I4965" s="14"/>
      <c r="P4965" s="14"/>
    </row>
    <row r="4966" ht="18.75" customHeight="1">
      <c r="A4966" s="7" t="s">
        <v>1591</v>
      </c>
      <c r="B4966" s="9">
        <v>27.0</v>
      </c>
      <c r="C4966" s="9">
        <v>27.0</v>
      </c>
      <c r="D4966" s="9">
        <v>5.0</v>
      </c>
      <c r="E4966" s="9">
        <v>2.0</v>
      </c>
      <c r="F4966" s="14"/>
      <c r="G4966" s="15"/>
      <c r="H4966" s="15"/>
      <c r="I4966" s="14"/>
      <c r="P4966" s="14"/>
    </row>
    <row r="4967" ht="18.75" customHeight="1">
      <c r="A4967" s="7" t="s">
        <v>1559</v>
      </c>
      <c r="B4967" s="9">
        <v>145.0</v>
      </c>
      <c r="C4967" s="9">
        <v>144.0</v>
      </c>
      <c r="D4967" s="9">
        <v>64.0</v>
      </c>
      <c r="E4967" s="9">
        <v>2.0</v>
      </c>
      <c r="F4967" s="14"/>
      <c r="G4967" s="15"/>
      <c r="H4967" s="15"/>
      <c r="I4967" s="14"/>
      <c r="P4967" s="14"/>
    </row>
    <row r="4968" ht="18.75" customHeight="1">
      <c r="A4968" s="7" t="s">
        <v>1633</v>
      </c>
      <c r="B4968" s="9">
        <v>114645.0</v>
      </c>
      <c r="C4968" s="9">
        <v>113635.0</v>
      </c>
      <c r="D4968" s="9">
        <v>45295.0</v>
      </c>
      <c r="E4968" s="9">
        <v>861.0</v>
      </c>
      <c r="F4968" s="14"/>
      <c r="G4968" s="15"/>
      <c r="H4968" s="15"/>
      <c r="I4968" s="14"/>
      <c r="P4968" s="14"/>
    </row>
    <row r="4969" ht="18.75" customHeight="1">
      <c r="A4969" s="7" t="s">
        <v>1537</v>
      </c>
      <c r="B4969" s="9">
        <v>600.0</v>
      </c>
      <c r="C4969" s="9">
        <v>599.0</v>
      </c>
      <c r="D4969" s="9">
        <v>344.0</v>
      </c>
      <c r="E4969" s="9">
        <v>5.0</v>
      </c>
      <c r="F4969" s="14"/>
      <c r="G4969" s="15"/>
      <c r="H4969" s="15"/>
      <c r="I4969" s="14"/>
      <c r="P4969" s="14"/>
    </row>
    <row r="4970" ht="18.75" customHeight="1">
      <c r="A4970" s="7" t="s">
        <v>1575</v>
      </c>
      <c r="B4970" s="9">
        <v>100359.0</v>
      </c>
      <c r="C4970" s="9">
        <v>99607.0</v>
      </c>
      <c r="D4970" s="9">
        <v>30678.0</v>
      </c>
      <c r="E4970" s="9">
        <v>2381.0</v>
      </c>
      <c r="F4970" s="14"/>
      <c r="G4970" s="15"/>
      <c r="H4970" s="15"/>
      <c r="I4970" s="14"/>
      <c r="P4970" s="14"/>
    </row>
    <row r="4971" ht="18.75" customHeight="1">
      <c r="A4971" s="7" t="s">
        <v>1607</v>
      </c>
      <c r="B4971" s="9">
        <v>151877.0</v>
      </c>
      <c r="C4971" s="9">
        <v>149955.0</v>
      </c>
      <c r="D4971" s="9">
        <v>27001.0</v>
      </c>
      <c r="E4971" s="9">
        <v>535.0</v>
      </c>
      <c r="F4971" s="14"/>
      <c r="G4971" s="15"/>
      <c r="H4971" s="15"/>
      <c r="I4971" s="14"/>
      <c r="P4971" s="14"/>
    </row>
    <row r="4972" ht="18.75" customHeight="1">
      <c r="A4972" s="7" t="s">
        <v>1613</v>
      </c>
      <c r="B4972" s="9">
        <v>72895.0</v>
      </c>
      <c r="C4972" s="9">
        <v>72111.0</v>
      </c>
      <c r="D4972" s="9">
        <v>11900.0</v>
      </c>
      <c r="E4972" s="9">
        <v>287.0</v>
      </c>
      <c r="F4972" s="14"/>
      <c r="G4972" s="15"/>
      <c r="H4972" s="15"/>
      <c r="I4972" s="14"/>
      <c r="P4972" s="14"/>
    </row>
    <row r="4973" ht="18.75" customHeight="1">
      <c r="A4973" s="7" t="s">
        <v>1621</v>
      </c>
      <c r="B4973" s="9">
        <v>118029.0</v>
      </c>
      <c r="C4973" s="9">
        <v>117458.0</v>
      </c>
      <c r="D4973" s="9">
        <v>31452.0</v>
      </c>
      <c r="E4973" s="9">
        <v>454.0</v>
      </c>
      <c r="F4973" s="14"/>
      <c r="G4973" s="15"/>
      <c r="H4973" s="15"/>
      <c r="I4973" s="14"/>
      <c r="P4973" s="14"/>
    </row>
    <row r="4974" ht="18.75" customHeight="1">
      <c r="A4974" s="7" t="s">
        <v>1625</v>
      </c>
      <c r="B4974" s="9">
        <v>80074.0</v>
      </c>
      <c r="C4974" s="9">
        <v>79450.0</v>
      </c>
      <c r="D4974" s="9">
        <v>13344.0</v>
      </c>
      <c r="E4974" s="9">
        <v>189.0</v>
      </c>
      <c r="F4974" s="14"/>
      <c r="G4974" s="15"/>
      <c r="H4974" s="15"/>
      <c r="I4974" s="14"/>
      <c r="P4974" s="14"/>
    </row>
    <row r="4975" ht="18.75" customHeight="1">
      <c r="A4975" s="7" t="s">
        <v>1401</v>
      </c>
      <c r="B4975" s="9">
        <v>296487.0</v>
      </c>
      <c r="C4975" s="9">
        <v>293405.0</v>
      </c>
      <c r="D4975" s="9">
        <v>63116.0</v>
      </c>
      <c r="E4975" s="9">
        <v>1085.0</v>
      </c>
      <c r="F4975" s="14"/>
      <c r="G4975" s="15"/>
      <c r="H4975" s="15"/>
      <c r="I4975" s="14"/>
      <c r="P4975" s="14"/>
    </row>
    <row r="4976" ht="18.75" customHeight="1">
      <c r="A4976" s="7" t="s">
        <v>1629</v>
      </c>
      <c r="B4976" s="9">
        <v>61671.0</v>
      </c>
      <c r="C4976" s="9">
        <v>61505.0</v>
      </c>
      <c r="D4976" s="9">
        <v>17033.0</v>
      </c>
      <c r="E4976" s="9">
        <v>201.0</v>
      </c>
      <c r="F4976" s="14"/>
      <c r="G4976" s="15"/>
      <c r="H4976" s="15"/>
      <c r="I4976" s="14"/>
      <c r="P4976" s="14"/>
    </row>
    <row r="4977" ht="18.75" customHeight="1">
      <c r="A4977" s="7" t="s">
        <v>1609</v>
      </c>
      <c r="B4977" s="9">
        <v>80058.0</v>
      </c>
      <c r="C4977" s="9">
        <v>78712.0</v>
      </c>
      <c r="D4977" s="9">
        <v>9001.0</v>
      </c>
      <c r="E4977" s="9">
        <v>342.0</v>
      </c>
      <c r="F4977" s="14"/>
      <c r="G4977" s="15"/>
      <c r="H4977" s="15"/>
      <c r="I4977" s="14"/>
      <c r="P4977" s="14"/>
    </row>
    <row r="4978" ht="18.75" customHeight="1">
      <c r="A4978" s="7" t="s">
        <v>366</v>
      </c>
      <c r="B4978" s="9">
        <v>916.0</v>
      </c>
      <c r="C4978" s="9">
        <v>905.0</v>
      </c>
      <c r="D4978" s="9">
        <v>279.0</v>
      </c>
      <c r="E4978" s="9">
        <v>16.0</v>
      </c>
      <c r="F4978" s="14"/>
      <c r="G4978" s="15"/>
      <c r="H4978" s="15"/>
      <c r="I4978" s="14"/>
      <c r="P4978" s="14"/>
    </row>
    <row r="4979" ht="18.75" customHeight="1">
      <c r="A4979" s="7" t="s">
        <v>1467</v>
      </c>
      <c r="B4979" s="9">
        <v>2583.0</v>
      </c>
      <c r="C4979" s="9">
        <v>2566.0</v>
      </c>
      <c r="D4979" s="9">
        <v>857.0</v>
      </c>
      <c r="E4979" s="9">
        <v>93.0</v>
      </c>
      <c r="F4979" s="14"/>
      <c r="G4979" s="15"/>
      <c r="H4979" s="15"/>
      <c r="I4979" s="14"/>
      <c r="P4979" s="14"/>
    </row>
    <row r="4980" ht="18.75" customHeight="1">
      <c r="A4980" s="7" t="s">
        <v>356</v>
      </c>
      <c r="B4980" s="9">
        <v>141.0</v>
      </c>
      <c r="C4980" s="9">
        <v>138.0</v>
      </c>
      <c r="D4980" s="9">
        <v>24.0</v>
      </c>
      <c r="E4980" s="9">
        <v>4.0</v>
      </c>
      <c r="F4980" s="14"/>
      <c r="G4980" s="15"/>
      <c r="H4980" s="15"/>
      <c r="I4980" s="14"/>
      <c r="P4980" s="14"/>
    </row>
    <row r="4981" ht="18.75" customHeight="1">
      <c r="A4981" s="7" t="s">
        <v>1557</v>
      </c>
      <c r="B4981" s="9">
        <v>104.0</v>
      </c>
      <c r="C4981" s="9">
        <v>102.0</v>
      </c>
      <c r="D4981" s="9">
        <v>42.0</v>
      </c>
      <c r="E4981" s="9">
        <v>1.0</v>
      </c>
      <c r="F4981" s="14"/>
      <c r="G4981" s="15"/>
      <c r="H4981" s="15"/>
      <c r="I4981" s="14"/>
      <c r="P4981" s="14"/>
    </row>
    <row r="4982" ht="18.75" customHeight="1">
      <c r="A4982" s="7" t="s">
        <v>1617</v>
      </c>
      <c r="B4982" s="9">
        <v>88544.0</v>
      </c>
      <c r="C4982" s="9">
        <v>87621.0</v>
      </c>
      <c r="D4982" s="9">
        <v>22698.0</v>
      </c>
      <c r="E4982" s="9">
        <v>259.0</v>
      </c>
      <c r="F4982" s="14"/>
      <c r="G4982" s="15"/>
      <c r="H4982" s="15"/>
      <c r="I4982" s="14"/>
      <c r="P4982" s="14"/>
    </row>
    <row r="4983" ht="18.75" customHeight="1">
      <c r="A4983" s="7" t="s">
        <v>1623</v>
      </c>
      <c r="B4983" s="9">
        <v>94551.0</v>
      </c>
      <c r="C4983" s="9">
        <v>93623.0</v>
      </c>
      <c r="D4983" s="9">
        <v>25130.0</v>
      </c>
      <c r="E4983" s="9">
        <v>266.0</v>
      </c>
      <c r="F4983" s="14"/>
      <c r="G4983" s="15"/>
      <c r="H4983" s="15"/>
      <c r="I4983" s="14"/>
      <c r="P4983" s="14"/>
    </row>
    <row r="4984" ht="18.75" customHeight="1">
      <c r="A4984" s="7" t="s">
        <v>1607</v>
      </c>
      <c r="B4984" s="9">
        <v>115623.0</v>
      </c>
      <c r="C4984" s="9">
        <v>114306.0</v>
      </c>
      <c r="D4984" s="9">
        <v>21462.0</v>
      </c>
      <c r="E4984" s="9">
        <v>559.0</v>
      </c>
      <c r="F4984" s="14"/>
      <c r="G4984" s="15"/>
      <c r="H4984" s="15"/>
      <c r="I4984" s="14"/>
      <c r="P4984" s="14"/>
    </row>
    <row r="4985" ht="18.75" customHeight="1">
      <c r="A4985" s="7" t="s">
        <v>1545</v>
      </c>
      <c r="B4985" s="9">
        <v>129.0</v>
      </c>
      <c r="C4985" s="9">
        <v>128.0</v>
      </c>
      <c r="D4985" s="9">
        <v>61.0</v>
      </c>
      <c r="E4985" s="9">
        <v>2.0</v>
      </c>
      <c r="F4985" s="14"/>
      <c r="G4985" s="15"/>
      <c r="H4985" s="15"/>
      <c r="I4985" s="14"/>
      <c r="P4985" s="14"/>
    </row>
    <row r="4986" ht="18.75" customHeight="1">
      <c r="A4986" s="7" t="s">
        <v>1401</v>
      </c>
      <c r="B4986" s="9">
        <v>290068.0</v>
      </c>
      <c r="C4986" s="9">
        <v>285128.0</v>
      </c>
      <c r="D4986" s="9">
        <v>28562.0</v>
      </c>
      <c r="E4986" s="9">
        <v>386.0</v>
      </c>
      <c r="F4986" s="14"/>
      <c r="G4986" s="15"/>
      <c r="H4986" s="15"/>
      <c r="I4986" s="14"/>
      <c r="P4986" s="14"/>
    </row>
    <row r="4987" ht="18.75" customHeight="1">
      <c r="A4987" s="7" t="s">
        <v>1605</v>
      </c>
      <c r="B4987" s="9">
        <v>22797.0</v>
      </c>
      <c r="C4987" s="9">
        <v>22577.0</v>
      </c>
      <c r="D4987" s="9">
        <v>3436.0</v>
      </c>
      <c r="E4987" s="9">
        <v>96.0</v>
      </c>
      <c r="F4987" s="14"/>
      <c r="G4987" s="15"/>
      <c r="H4987" s="15"/>
      <c r="I4987" s="14"/>
      <c r="P4987" s="14"/>
    </row>
    <row r="4988" ht="18.75" customHeight="1">
      <c r="A4988" s="7" t="s">
        <v>1603</v>
      </c>
      <c r="B4988" s="9">
        <v>81.0</v>
      </c>
      <c r="C4988" s="9">
        <v>80.0</v>
      </c>
      <c r="D4988" s="9">
        <v>37.0</v>
      </c>
      <c r="E4988" s="9">
        <v>1.0</v>
      </c>
      <c r="F4988" s="14"/>
      <c r="G4988" s="15"/>
      <c r="H4988" s="15"/>
      <c r="I4988" s="14"/>
      <c r="P4988" s="14"/>
    </row>
    <row r="4989" ht="18.75" customHeight="1">
      <c r="A4989" s="7" t="s">
        <v>1609</v>
      </c>
      <c r="B4989" s="9">
        <v>194.0</v>
      </c>
      <c r="C4989" s="9">
        <v>193.0</v>
      </c>
      <c r="D4989" s="9">
        <v>116.0</v>
      </c>
      <c r="E4989" s="9">
        <v>0.0</v>
      </c>
      <c r="F4989" s="14"/>
      <c r="G4989" s="15"/>
      <c r="H4989" s="15"/>
      <c r="I4989" s="14"/>
      <c r="P4989" s="14"/>
    </row>
    <row r="4990" ht="18.75" customHeight="1">
      <c r="A4990" s="7" t="s">
        <v>1391</v>
      </c>
      <c r="B4990" s="9">
        <v>241049.0</v>
      </c>
      <c r="C4990" s="9">
        <v>239636.0</v>
      </c>
      <c r="D4990" s="9">
        <v>122751.0</v>
      </c>
      <c r="E4990" s="9">
        <v>1565.0</v>
      </c>
      <c r="F4990" s="14"/>
      <c r="G4990" s="15"/>
      <c r="H4990" s="15"/>
      <c r="I4990" s="14"/>
      <c r="P4990" s="14"/>
    </row>
    <row r="4991" ht="18.75" customHeight="1">
      <c r="A4991" s="7" t="s">
        <v>1563</v>
      </c>
      <c r="B4991" s="9">
        <v>155.0</v>
      </c>
      <c r="C4991" s="9">
        <v>153.0</v>
      </c>
      <c r="D4991" s="9">
        <v>70.0</v>
      </c>
      <c r="E4991" s="9">
        <v>1.0</v>
      </c>
      <c r="F4991" s="14"/>
      <c r="G4991" s="15"/>
      <c r="H4991" s="15"/>
      <c r="I4991" s="14"/>
      <c r="P4991" s="14"/>
    </row>
    <row r="4992" ht="18.75" customHeight="1">
      <c r="A4992" s="7" t="s">
        <v>1527</v>
      </c>
      <c r="B4992" s="9">
        <v>7810.0</v>
      </c>
      <c r="C4992" s="9">
        <v>7688.0</v>
      </c>
      <c r="D4992" s="9">
        <v>2215.0</v>
      </c>
      <c r="E4992" s="9">
        <v>418.0</v>
      </c>
      <c r="F4992" s="14"/>
      <c r="G4992" s="15"/>
      <c r="H4992" s="15"/>
      <c r="I4992" s="14"/>
      <c r="P4992" s="14"/>
    </row>
    <row r="4993" ht="18.75" customHeight="1">
      <c r="A4993" s="7" t="s">
        <v>1583</v>
      </c>
      <c r="B4993" s="9">
        <v>198.0</v>
      </c>
      <c r="C4993" s="9">
        <v>197.0</v>
      </c>
      <c r="D4993" s="9">
        <v>81.0</v>
      </c>
      <c r="E4993" s="9">
        <v>2.0</v>
      </c>
      <c r="F4993" s="14"/>
      <c r="G4993" s="15"/>
      <c r="H4993" s="15"/>
      <c r="I4993" s="14"/>
      <c r="P4993" s="14"/>
    </row>
    <row r="4994" ht="18.75" customHeight="1">
      <c r="A4994" s="7" t="s">
        <v>1593</v>
      </c>
      <c r="B4994" s="9">
        <v>8166.0</v>
      </c>
      <c r="C4994" s="9">
        <v>8076.0</v>
      </c>
      <c r="D4994" s="9">
        <v>2195.0</v>
      </c>
      <c r="E4994" s="9">
        <v>134.0</v>
      </c>
      <c r="F4994" s="14"/>
      <c r="G4994" s="15"/>
      <c r="H4994" s="15"/>
      <c r="I4994" s="14"/>
      <c r="P4994" s="14"/>
    </row>
    <row r="4995" ht="18.75" customHeight="1">
      <c r="A4995" s="7" t="s">
        <v>1595</v>
      </c>
      <c r="B4995" s="9">
        <v>17148.0</v>
      </c>
      <c r="C4995" s="9">
        <v>16984.0</v>
      </c>
      <c r="D4995" s="9">
        <v>6495.0</v>
      </c>
      <c r="E4995" s="9">
        <v>239.0</v>
      </c>
      <c r="F4995" s="14"/>
      <c r="G4995" s="15"/>
      <c r="H4995" s="15"/>
      <c r="I4995" s="14"/>
      <c r="P4995" s="14"/>
    </row>
    <row r="4996" ht="18.75" customHeight="1">
      <c r="A4996" s="7" t="s">
        <v>1597</v>
      </c>
      <c r="B4996" s="9">
        <v>11792.0</v>
      </c>
      <c r="C4996" s="9">
        <v>11668.0</v>
      </c>
      <c r="D4996" s="9">
        <v>4485.0</v>
      </c>
      <c r="E4996" s="9">
        <v>287.0</v>
      </c>
      <c r="F4996" s="14"/>
      <c r="G4996" s="15"/>
      <c r="H4996" s="15"/>
      <c r="I4996" s="14"/>
      <c r="P4996" s="14"/>
    </row>
    <row r="4997" ht="18.75" customHeight="1">
      <c r="A4997" s="7" t="s">
        <v>1613</v>
      </c>
      <c r="B4997" s="9">
        <v>187.0</v>
      </c>
      <c r="C4997" s="9">
        <v>186.0</v>
      </c>
      <c r="D4997" s="9">
        <v>100.0</v>
      </c>
      <c r="E4997" s="9">
        <v>1.0</v>
      </c>
      <c r="F4997" s="14"/>
      <c r="G4997" s="15"/>
      <c r="H4997" s="15"/>
      <c r="I4997" s="14"/>
      <c r="P4997" s="14"/>
    </row>
    <row r="4998" ht="18.75" customHeight="1">
      <c r="A4998" s="7" t="s">
        <v>1637</v>
      </c>
      <c r="B4998" s="9">
        <v>108747.0</v>
      </c>
      <c r="C4998" s="9">
        <v>107489.0</v>
      </c>
      <c r="D4998" s="9">
        <v>34431.0</v>
      </c>
      <c r="E4998" s="9">
        <v>480.0</v>
      </c>
      <c r="F4998" s="14"/>
      <c r="G4998" s="15"/>
      <c r="H4998" s="15"/>
      <c r="I4998" s="14"/>
      <c r="P4998" s="14"/>
    </row>
    <row r="4999" ht="18.75" customHeight="1">
      <c r="A4999" s="7" t="s">
        <v>1607</v>
      </c>
      <c r="B4999" s="9">
        <v>93539.0</v>
      </c>
      <c r="C4999" s="9">
        <v>92221.0</v>
      </c>
      <c r="D4999" s="9">
        <v>5205.0</v>
      </c>
      <c r="E4999" s="9">
        <v>246.0</v>
      </c>
      <c r="F4999" s="14"/>
      <c r="G4999" s="15"/>
      <c r="H4999" s="15"/>
      <c r="I4999" s="14"/>
      <c r="P4999" s="14"/>
    </row>
    <row r="5000" ht="18.75" customHeight="1">
      <c r="A5000" s="7" t="s">
        <v>1607</v>
      </c>
      <c r="B5000" s="9">
        <v>40072.0</v>
      </c>
      <c r="C5000" s="9">
        <v>39439.0</v>
      </c>
      <c r="D5000" s="9">
        <v>1680.0</v>
      </c>
      <c r="E5000" s="9">
        <v>80.0</v>
      </c>
      <c r="F5000" s="14"/>
      <c r="G5000" s="15"/>
      <c r="H5000" s="15"/>
      <c r="I5000" s="14"/>
      <c r="P5000" s="14"/>
    </row>
    <row r="5001" ht="18.75" customHeight="1">
      <c r="A5001" s="7" t="s">
        <v>1565</v>
      </c>
      <c r="B5001" s="9">
        <v>88.0</v>
      </c>
      <c r="C5001" s="9">
        <v>87.0</v>
      </c>
      <c r="D5001" s="9">
        <v>32.0</v>
      </c>
      <c r="E5001" s="9">
        <v>1.0</v>
      </c>
      <c r="F5001" s="14"/>
      <c r="G5001" s="15"/>
      <c r="H5001" s="15"/>
      <c r="I5001" s="14"/>
      <c r="P5001" s="14"/>
    </row>
    <row r="5002" ht="18.75" customHeight="1">
      <c r="A5002" s="7" t="s">
        <v>1611</v>
      </c>
      <c r="B5002" s="9">
        <v>15160.0</v>
      </c>
      <c r="C5002" s="9">
        <v>14755.0</v>
      </c>
      <c r="D5002" s="9">
        <v>1510.0</v>
      </c>
      <c r="E5002" s="9">
        <v>54.0</v>
      </c>
      <c r="F5002" s="14"/>
      <c r="G5002" s="15"/>
      <c r="H5002" s="15"/>
      <c r="I5002" s="14"/>
      <c r="P5002" s="14"/>
    </row>
    <row r="5003" ht="18.75" customHeight="1">
      <c r="A5003" s="7" t="s">
        <v>870</v>
      </c>
      <c r="B5003" s="9">
        <v>41038.0</v>
      </c>
      <c r="C5003" s="9">
        <v>40220.0</v>
      </c>
      <c r="D5003" s="9">
        <v>9723.0</v>
      </c>
      <c r="E5003" s="9">
        <v>348.0</v>
      </c>
      <c r="F5003" s="14"/>
      <c r="G5003" s="15"/>
      <c r="H5003" s="15"/>
      <c r="I5003" s="14"/>
      <c r="P5003" s="14"/>
    </row>
    <row r="5004" ht="18.75" customHeight="1">
      <c r="A5004" s="7" t="s">
        <v>366</v>
      </c>
      <c r="B5004" s="9">
        <v>886.0</v>
      </c>
      <c r="C5004" s="9">
        <v>879.0</v>
      </c>
      <c r="D5004" s="9">
        <v>294.0</v>
      </c>
      <c r="E5004" s="9">
        <v>15.0</v>
      </c>
      <c r="F5004" s="14"/>
      <c r="G5004" s="15"/>
      <c r="H5004" s="15"/>
      <c r="I5004" s="14"/>
      <c r="P5004" s="14"/>
    </row>
    <row r="5005" ht="18.75" customHeight="1">
      <c r="A5005" s="7" t="s">
        <v>368</v>
      </c>
      <c r="B5005" s="9">
        <v>256.0</v>
      </c>
      <c r="C5005" s="9">
        <v>253.0</v>
      </c>
      <c r="D5005" s="9">
        <v>79.0</v>
      </c>
      <c r="E5005" s="9">
        <v>9.0</v>
      </c>
      <c r="F5005" s="14"/>
      <c r="G5005" s="15"/>
      <c r="H5005" s="15"/>
      <c r="I5005" s="14"/>
      <c r="P5005" s="14"/>
    </row>
    <row r="5006" ht="18.75" customHeight="1">
      <c r="A5006" s="7" t="s">
        <v>370</v>
      </c>
      <c r="B5006" s="9">
        <v>161.0</v>
      </c>
      <c r="C5006" s="9">
        <v>161.0</v>
      </c>
      <c r="D5006" s="9">
        <v>50.0</v>
      </c>
      <c r="E5006" s="9">
        <v>3.0</v>
      </c>
      <c r="F5006" s="14"/>
      <c r="G5006" s="15"/>
      <c r="H5006" s="15"/>
      <c r="I5006" s="14"/>
      <c r="P5006" s="14"/>
    </row>
    <row r="5007" ht="18.75" customHeight="1">
      <c r="A5007" s="7" t="s">
        <v>372</v>
      </c>
      <c r="B5007" s="9">
        <v>3425.0</v>
      </c>
      <c r="C5007" s="9">
        <v>3396.0</v>
      </c>
      <c r="D5007" s="9">
        <v>1050.0</v>
      </c>
      <c r="E5007" s="9">
        <v>52.0</v>
      </c>
      <c r="F5007" s="14"/>
      <c r="G5007" s="15"/>
      <c r="H5007" s="15"/>
      <c r="I5007" s="14"/>
      <c r="P5007" s="14"/>
    </row>
    <row r="5008" ht="18.75" customHeight="1">
      <c r="A5008" s="7" t="s">
        <v>1221</v>
      </c>
      <c r="B5008" s="9">
        <v>75081.0</v>
      </c>
      <c r="C5008" s="9">
        <v>73963.0</v>
      </c>
      <c r="D5008" s="9">
        <v>26847.0</v>
      </c>
      <c r="E5008" s="9">
        <v>2079.0</v>
      </c>
      <c r="F5008" s="14"/>
      <c r="G5008" s="15"/>
      <c r="H5008" s="15"/>
      <c r="I5008" s="14"/>
      <c r="P5008" s="14"/>
    </row>
    <row r="5009" ht="18.75" customHeight="1">
      <c r="A5009" s="7" t="s">
        <v>1635</v>
      </c>
      <c r="B5009" s="9">
        <v>988.0</v>
      </c>
      <c r="C5009" s="9">
        <v>984.0</v>
      </c>
      <c r="D5009" s="9">
        <v>433.0</v>
      </c>
      <c r="E5009" s="9">
        <v>46.0</v>
      </c>
      <c r="F5009" s="14"/>
      <c r="G5009" s="15"/>
      <c r="H5009" s="15"/>
      <c r="I5009" s="14"/>
      <c r="P5009" s="14"/>
    </row>
    <row r="5010" ht="18.75" customHeight="1">
      <c r="A5010" s="7" t="s">
        <v>1617</v>
      </c>
      <c r="B5010" s="9">
        <v>152.0</v>
      </c>
      <c r="C5010" s="9">
        <v>150.0</v>
      </c>
      <c r="D5010" s="9">
        <v>90.0</v>
      </c>
      <c r="E5010" s="9">
        <v>1.0</v>
      </c>
      <c r="F5010" s="14"/>
      <c r="G5010" s="15"/>
      <c r="H5010" s="15"/>
      <c r="I5010" s="14"/>
      <c r="P5010" s="14"/>
    </row>
    <row r="5011" ht="18.75" customHeight="1">
      <c r="A5011" s="7" t="s">
        <v>1627</v>
      </c>
      <c r="B5011" s="9">
        <v>105.0</v>
      </c>
      <c r="C5011" s="9">
        <v>104.0</v>
      </c>
      <c r="D5011" s="9">
        <v>63.0</v>
      </c>
      <c r="E5011" s="9">
        <v>1.0</v>
      </c>
      <c r="F5011" s="14"/>
      <c r="G5011" s="15"/>
      <c r="H5011" s="15"/>
      <c r="I5011" s="14"/>
      <c r="P5011" s="14"/>
    </row>
    <row r="5012" ht="18.75" customHeight="1">
      <c r="A5012" s="7" t="s">
        <v>1577</v>
      </c>
      <c r="B5012" s="9">
        <v>4.0</v>
      </c>
      <c r="C5012" s="9">
        <v>4.0</v>
      </c>
      <c r="D5012" s="9">
        <v>4.0</v>
      </c>
      <c r="E5012" s="9">
        <v>1.0</v>
      </c>
      <c r="F5012" s="14"/>
      <c r="G5012" s="15"/>
      <c r="H5012" s="15"/>
      <c r="I5012" s="14"/>
      <c r="P5012" s="14"/>
    </row>
    <row r="5013" ht="18.75" customHeight="1">
      <c r="A5013" s="7" t="s">
        <v>1603</v>
      </c>
      <c r="B5013" s="9">
        <v>82.0</v>
      </c>
      <c r="C5013" s="9">
        <v>81.0</v>
      </c>
      <c r="D5013" s="9">
        <v>37.0</v>
      </c>
      <c r="E5013" s="9">
        <v>1.0</v>
      </c>
      <c r="F5013" s="14"/>
      <c r="G5013" s="15"/>
      <c r="H5013" s="15"/>
      <c r="I5013" s="14"/>
      <c r="P5013" s="14"/>
    </row>
    <row r="5014" ht="18.75" customHeight="1">
      <c r="A5014" s="7" t="s">
        <v>1625</v>
      </c>
      <c r="B5014" s="9">
        <v>125.0</v>
      </c>
      <c r="C5014" s="9">
        <v>124.0</v>
      </c>
      <c r="D5014" s="9">
        <v>69.0</v>
      </c>
      <c r="E5014" s="9">
        <v>2.0</v>
      </c>
      <c r="F5014" s="14"/>
      <c r="G5014" s="15"/>
      <c r="H5014" s="15"/>
      <c r="I5014" s="14"/>
      <c r="P5014" s="14"/>
    </row>
    <row r="5015" ht="18.75" customHeight="1">
      <c r="A5015" s="7" t="s">
        <v>1607</v>
      </c>
      <c r="B5015" s="9">
        <v>872.0</v>
      </c>
      <c r="C5015" s="9">
        <v>844.0</v>
      </c>
      <c r="D5015" s="9">
        <v>583.0</v>
      </c>
      <c r="E5015" s="9">
        <v>7.0</v>
      </c>
      <c r="F5015" s="14"/>
      <c r="G5015" s="15"/>
      <c r="H5015" s="15"/>
      <c r="I5015" s="14"/>
      <c r="P5015" s="14"/>
    </row>
    <row r="5016" ht="18.75" customHeight="1">
      <c r="A5016" s="7" t="s">
        <v>1629</v>
      </c>
      <c r="B5016" s="9">
        <v>117.0</v>
      </c>
      <c r="C5016" s="9">
        <v>116.0</v>
      </c>
      <c r="D5016" s="9">
        <v>86.0</v>
      </c>
      <c r="E5016" s="9">
        <v>2.0</v>
      </c>
      <c r="F5016" s="14"/>
      <c r="G5016" s="15"/>
      <c r="H5016" s="15"/>
      <c r="I5016" s="14"/>
      <c r="P5016" s="14"/>
    </row>
    <row r="5017" ht="18.75" customHeight="1">
      <c r="A5017" s="7" t="s">
        <v>1609</v>
      </c>
      <c r="B5017" s="9">
        <v>202.0</v>
      </c>
      <c r="C5017" s="9">
        <v>201.0</v>
      </c>
      <c r="D5017" s="9">
        <v>84.0</v>
      </c>
      <c r="E5017" s="9">
        <v>1.0</v>
      </c>
      <c r="F5017" s="14"/>
      <c r="G5017" s="15"/>
      <c r="H5017" s="15"/>
      <c r="I5017" s="14"/>
      <c r="P5017" s="14"/>
    </row>
    <row r="5018" ht="18.75" customHeight="1">
      <c r="A5018" s="7" t="s">
        <v>1579</v>
      </c>
      <c r="B5018" s="9">
        <v>159022.0</v>
      </c>
      <c r="C5018" s="9">
        <v>157425.0</v>
      </c>
      <c r="D5018" s="9">
        <v>27705.0</v>
      </c>
      <c r="E5018" s="9">
        <v>93.0</v>
      </c>
      <c r="F5018" s="14"/>
      <c r="G5018" s="15"/>
      <c r="H5018" s="15"/>
      <c r="I5018" s="14"/>
      <c r="P5018" s="14"/>
    </row>
    <row r="5019" ht="18.75" customHeight="1">
      <c r="A5019" s="7" t="s">
        <v>1623</v>
      </c>
      <c r="B5019" s="9">
        <v>167.0</v>
      </c>
      <c r="C5019" s="9">
        <v>166.0</v>
      </c>
      <c r="D5019" s="9">
        <v>106.0</v>
      </c>
      <c r="E5019" s="9">
        <v>1.0</v>
      </c>
      <c r="F5019" s="14"/>
      <c r="G5019" s="15"/>
      <c r="H5019" s="15"/>
      <c r="I5019" s="14"/>
      <c r="P5019" s="14"/>
    </row>
    <row r="5020" ht="18.75" customHeight="1">
      <c r="A5020" s="7" t="s">
        <v>1615</v>
      </c>
      <c r="B5020" s="9">
        <v>56195.0</v>
      </c>
      <c r="C5020" s="9">
        <v>55522.0</v>
      </c>
      <c r="D5020" s="9">
        <v>18382.0</v>
      </c>
      <c r="E5020" s="9">
        <v>659.0</v>
      </c>
      <c r="F5020" s="14"/>
      <c r="G5020" s="15"/>
      <c r="H5020" s="15"/>
      <c r="I5020" s="14"/>
      <c r="P5020" s="14"/>
    </row>
    <row r="5021" ht="18.75" customHeight="1">
      <c r="A5021" s="7" t="s">
        <v>2857</v>
      </c>
      <c r="B5021" s="9">
        <v>103054.0</v>
      </c>
      <c r="C5021" s="9">
        <v>101723.0</v>
      </c>
      <c r="D5021" s="9">
        <v>30525.0</v>
      </c>
      <c r="E5021" s="9">
        <v>822.0</v>
      </c>
      <c r="F5021" s="14"/>
      <c r="G5021" s="15"/>
      <c r="H5021" s="15"/>
      <c r="I5021" s="14"/>
      <c r="P5021" s="14"/>
    </row>
    <row r="5022" ht="18.75" customHeight="1">
      <c r="A5022" s="7" t="s">
        <v>1613</v>
      </c>
      <c r="B5022" s="9">
        <v>188.0</v>
      </c>
      <c r="C5022" s="9">
        <v>187.0</v>
      </c>
      <c r="D5022" s="9">
        <v>102.0</v>
      </c>
      <c r="E5022" s="9">
        <v>3.0</v>
      </c>
      <c r="F5022" s="14"/>
      <c r="G5022" s="15"/>
      <c r="H5022" s="15"/>
      <c r="I5022" s="14"/>
      <c r="P5022" s="14"/>
    </row>
    <row r="5023" ht="18.75" customHeight="1">
      <c r="A5023" s="7" t="s">
        <v>1529</v>
      </c>
      <c r="B5023" s="9">
        <v>99151.0</v>
      </c>
      <c r="C5023" s="9">
        <v>98289.0</v>
      </c>
      <c r="D5023" s="9">
        <v>38873.0</v>
      </c>
      <c r="E5023" s="9">
        <v>901.0</v>
      </c>
      <c r="F5023" s="14"/>
      <c r="G5023" s="15"/>
      <c r="H5023" s="15"/>
      <c r="I5023" s="14"/>
      <c r="P5023" s="14"/>
    </row>
    <row r="5024" ht="18.75" customHeight="1">
      <c r="A5024" s="7" t="s">
        <v>1601</v>
      </c>
      <c r="B5024" s="9">
        <v>185551.0</v>
      </c>
      <c r="C5024" s="9">
        <v>184351.0</v>
      </c>
      <c r="D5024" s="9">
        <v>77479.0</v>
      </c>
      <c r="E5024" s="9">
        <v>1423.0</v>
      </c>
      <c r="F5024" s="14"/>
      <c r="G5024" s="15"/>
      <c r="H5024" s="15"/>
      <c r="I5024" s="14"/>
      <c r="P5024" s="14"/>
    </row>
    <row r="5025" ht="18.75" customHeight="1">
      <c r="A5025" s="7" t="s">
        <v>1611</v>
      </c>
      <c r="B5025" s="9">
        <v>79.0</v>
      </c>
      <c r="C5025" s="9">
        <v>78.0</v>
      </c>
      <c r="D5025" s="9">
        <v>32.0</v>
      </c>
      <c r="E5025" s="9">
        <v>1.0</v>
      </c>
      <c r="F5025" s="14"/>
      <c r="G5025" s="15"/>
      <c r="H5025" s="15"/>
      <c r="I5025" s="14"/>
      <c r="P5025" s="14"/>
    </row>
    <row r="5026" ht="18.75" customHeight="1">
      <c r="A5026" s="7" t="s">
        <v>1676</v>
      </c>
      <c r="B5026" s="9">
        <v>77388.0</v>
      </c>
      <c r="C5026" s="9">
        <v>76128.0</v>
      </c>
      <c r="D5026" s="9">
        <v>8807.0</v>
      </c>
      <c r="E5026" s="9">
        <v>256.0</v>
      </c>
      <c r="F5026" s="14"/>
      <c r="G5026" s="15"/>
      <c r="H5026" s="15"/>
      <c r="I5026" s="14"/>
      <c r="P5026" s="14"/>
    </row>
    <row r="5027" ht="18.75" customHeight="1">
      <c r="A5027" s="7" t="s">
        <v>1670</v>
      </c>
      <c r="B5027" s="9">
        <v>34120.0</v>
      </c>
      <c r="C5027" s="9">
        <v>33736.0</v>
      </c>
      <c r="D5027" s="9">
        <v>6007.0</v>
      </c>
      <c r="E5027" s="9">
        <v>151.0</v>
      </c>
      <c r="F5027" s="14"/>
      <c r="G5027" s="15"/>
      <c r="H5027" s="15"/>
      <c r="I5027" s="14"/>
      <c r="P5027" s="14"/>
    </row>
    <row r="5028" ht="18.75" customHeight="1">
      <c r="A5028" s="7" t="s">
        <v>1676</v>
      </c>
      <c r="B5028" s="9">
        <v>11244.0</v>
      </c>
      <c r="C5028" s="9">
        <v>11075.0</v>
      </c>
      <c r="D5028" s="9">
        <v>1996.0</v>
      </c>
      <c r="E5028" s="9">
        <v>131.0</v>
      </c>
      <c r="F5028" s="14"/>
      <c r="G5028" s="15"/>
      <c r="H5028" s="15"/>
      <c r="I5028" s="14"/>
      <c r="P5028" s="14"/>
    </row>
    <row r="5029" ht="18.75" customHeight="1">
      <c r="A5029" s="7" t="s">
        <v>1309</v>
      </c>
      <c r="B5029" s="9">
        <v>192271.0</v>
      </c>
      <c r="C5029" s="9">
        <v>189942.0</v>
      </c>
      <c r="D5029" s="9">
        <v>62087.0</v>
      </c>
      <c r="E5029" s="9">
        <v>1754.0</v>
      </c>
      <c r="F5029" s="14"/>
      <c r="G5029" s="15"/>
      <c r="H5029" s="15"/>
      <c r="I5029" s="14"/>
      <c r="P5029" s="14"/>
    </row>
    <row r="5030" ht="18.75" customHeight="1">
      <c r="A5030" s="7" t="s">
        <v>370</v>
      </c>
      <c r="B5030" s="9">
        <v>199.0</v>
      </c>
      <c r="C5030" s="9">
        <v>198.0</v>
      </c>
      <c r="D5030" s="9">
        <v>57.0</v>
      </c>
      <c r="E5030" s="9">
        <v>4.0</v>
      </c>
      <c r="F5030" s="14"/>
      <c r="G5030" s="15"/>
      <c r="H5030" s="15"/>
      <c r="I5030" s="14"/>
      <c r="P5030" s="14"/>
    </row>
    <row r="5031" ht="18.75" customHeight="1">
      <c r="A5031" s="7" t="s">
        <v>1672</v>
      </c>
      <c r="B5031" s="9">
        <v>68372.0</v>
      </c>
      <c r="C5031" s="9">
        <v>67385.0</v>
      </c>
      <c r="D5031" s="9">
        <v>8630.0</v>
      </c>
      <c r="E5031" s="9">
        <v>217.0</v>
      </c>
      <c r="F5031" s="14"/>
      <c r="G5031" s="15"/>
      <c r="H5031" s="15"/>
      <c r="I5031" s="14"/>
      <c r="P5031" s="14"/>
    </row>
    <row r="5032" ht="18.75" customHeight="1">
      <c r="A5032" s="7" t="s">
        <v>1605</v>
      </c>
      <c r="B5032" s="9">
        <v>185.0</v>
      </c>
      <c r="C5032" s="9">
        <v>184.0</v>
      </c>
      <c r="D5032" s="9">
        <v>111.0</v>
      </c>
      <c r="E5032" s="9">
        <v>1.0</v>
      </c>
      <c r="F5032" s="14"/>
      <c r="G5032" s="15"/>
      <c r="H5032" s="15"/>
      <c r="I5032" s="14"/>
      <c r="P5032" s="14"/>
    </row>
    <row r="5033" ht="18.75" customHeight="1">
      <c r="A5033" s="7" t="s">
        <v>1617</v>
      </c>
      <c r="B5033" s="9">
        <v>150.0</v>
      </c>
      <c r="C5033" s="9">
        <v>149.0</v>
      </c>
      <c r="D5033" s="9">
        <v>73.0</v>
      </c>
      <c r="E5033" s="9">
        <v>2.0</v>
      </c>
      <c r="F5033" s="14"/>
      <c r="G5033" s="15"/>
      <c r="H5033" s="15"/>
      <c r="I5033" s="14"/>
      <c r="P5033" s="14"/>
    </row>
    <row r="5034" ht="18.75" customHeight="1">
      <c r="A5034" s="7" t="s">
        <v>1688</v>
      </c>
      <c r="B5034" s="9">
        <v>43553.0</v>
      </c>
      <c r="C5034" s="9">
        <v>43060.0</v>
      </c>
      <c r="D5034" s="9">
        <v>16304.0</v>
      </c>
      <c r="E5034" s="9">
        <v>37.0</v>
      </c>
      <c r="F5034" s="14"/>
      <c r="G5034" s="15"/>
      <c r="H5034" s="15"/>
      <c r="I5034" s="14"/>
      <c r="P5034" s="14"/>
    </row>
    <row r="5035" ht="18.75" customHeight="1">
      <c r="A5035" s="7" t="s">
        <v>1627</v>
      </c>
      <c r="B5035" s="9">
        <v>104.0</v>
      </c>
      <c r="C5035" s="9">
        <v>103.0</v>
      </c>
      <c r="D5035" s="9">
        <v>52.0</v>
      </c>
      <c r="E5035" s="9">
        <v>2.0</v>
      </c>
      <c r="F5035" s="14"/>
      <c r="G5035" s="15"/>
      <c r="H5035" s="15"/>
      <c r="I5035" s="14"/>
      <c r="P5035" s="14"/>
    </row>
    <row r="5036" ht="18.75" customHeight="1">
      <c r="A5036" s="7" t="s">
        <v>1682</v>
      </c>
      <c r="B5036" s="9">
        <v>15515.0</v>
      </c>
      <c r="C5036" s="9">
        <v>15110.0</v>
      </c>
      <c r="D5036" s="9">
        <v>1804.0</v>
      </c>
      <c r="E5036" s="9">
        <v>19.0</v>
      </c>
      <c r="F5036" s="14"/>
      <c r="G5036" s="15"/>
      <c r="H5036" s="15"/>
      <c r="I5036" s="14"/>
      <c r="P5036" s="14"/>
    </row>
    <row r="5037" ht="18.75" customHeight="1">
      <c r="A5037" s="7" t="s">
        <v>1684</v>
      </c>
      <c r="B5037" s="9">
        <v>79890.0</v>
      </c>
      <c r="C5037" s="9">
        <v>79184.0</v>
      </c>
      <c r="D5037" s="9">
        <v>13136.0</v>
      </c>
      <c r="E5037" s="9">
        <v>206.0</v>
      </c>
      <c r="F5037" s="14"/>
      <c r="G5037" s="15"/>
      <c r="H5037" s="15"/>
      <c r="I5037" s="14"/>
      <c r="P5037" s="14"/>
    </row>
    <row r="5038" ht="18.75" customHeight="1">
      <c r="A5038" s="7" t="s">
        <v>1527</v>
      </c>
      <c r="B5038" s="9">
        <v>5554.0</v>
      </c>
      <c r="C5038" s="9">
        <v>5436.0</v>
      </c>
      <c r="D5038" s="9">
        <v>532.0</v>
      </c>
      <c r="E5038" s="9">
        <v>92.0</v>
      </c>
      <c r="F5038" s="14"/>
      <c r="G5038" s="15"/>
      <c r="H5038" s="15"/>
      <c r="I5038" s="14"/>
      <c r="P5038" s="14"/>
    </row>
    <row r="5039" ht="18.75" customHeight="1">
      <c r="A5039" s="7" t="s">
        <v>1643</v>
      </c>
      <c r="B5039" s="9">
        <v>10439.0</v>
      </c>
      <c r="C5039" s="9">
        <v>10378.0</v>
      </c>
      <c r="D5039" s="9">
        <v>3365.0</v>
      </c>
      <c r="E5039" s="9">
        <v>155.0</v>
      </c>
      <c r="F5039" s="14"/>
      <c r="G5039" s="15"/>
      <c r="H5039" s="15"/>
      <c r="I5039" s="14"/>
      <c r="P5039" s="14"/>
    </row>
    <row r="5040" ht="18.75" customHeight="1">
      <c r="A5040" s="7" t="s">
        <v>1645</v>
      </c>
      <c r="B5040" s="9">
        <v>14291.0</v>
      </c>
      <c r="C5040" s="9">
        <v>14146.0</v>
      </c>
      <c r="D5040" s="9">
        <v>4032.0</v>
      </c>
      <c r="E5040" s="9">
        <v>174.0</v>
      </c>
      <c r="F5040" s="14"/>
      <c r="G5040" s="15"/>
      <c r="H5040" s="15"/>
      <c r="I5040" s="14"/>
      <c r="P5040" s="14"/>
    </row>
    <row r="5041" ht="18.75" customHeight="1">
      <c r="A5041" s="7" t="s">
        <v>1625</v>
      </c>
      <c r="B5041" s="9">
        <v>124.0</v>
      </c>
      <c r="C5041" s="9">
        <v>123.0</v>
      </c>
      <c r="D5041" s="9">
        <v>51.0</v>
      </c>
      <c r="E5041" s="9">
        <v>1.0</v>
      </c>
      <c r="F5041" s="14"/>
      <c r="G5041" s="15"/>
      <c r="H5041" s="15"/>
      <c r="I5041" s="14"/>
      <c r="P5041" s="14"/>
    </row>
    <row r="5042" ht="18.75" customHeight="1">
      <c r="A5042" s="7" t="s">
        <v>1691</v>
      </c>
      <c r="B5042" s="9">
        <v>111268.0</v>
      </c>
      <c r="C5042" s="9">
        <v>110369.0</v>
      </c>
      <c r="D5042" s="9">
        <v>23289.0</v>
      </c>
      <c r="E5042" s="9">
        <v>63.0</v>
      </c>
      <c r="F5042" s="14"/>
      <c r="G5042" s="15"/>
      <c r="H5042" s="15"/>
      <c r="I5042" s="14"/>
      <c r="P5042" s="14"/>
    </row>
    <row r="5043" ht="18.75" customHeight="1">
      <c r="A5043" s="7" t="s">
        <v>1629</v>
      </c>
      <c r="B5043" s="9">
        <v>117.0</v>
      </c>
      <c r="C5043" s="9">
        <v>116.0</v>
      </c>
      <c r="D5043" s="9">
        <v>54.0</v>
      </c>
      <c r="E5043" s="9">
        <v>1.0</v>
      </c>
      <c r="F5043" s="14"/>
      <c r="G5043" s="15"/>
      <c r="H5043" s="15"/>
      <c r="I5043" s="14"/>
      <c r="P5043" s="14"/>
    </row>
    <row r="5044" ht="18.75" customHeight="1">
      <c r="A5044" s="7" t="s">
        <v>1676</v>
      </c>
      <c r="B5044" s="9">
        <v>1451.0</v>
      </c>
      <c r="C5044" s="9">
        <v>1436.0</v>
      </c>
      <c r="D5044" s="9">
        <v>347.0</v>
      </c>
      <c r="E5044" s="9">
        <v>76.0</v>
      </c>
      <c r="F5044" s="14"/>
      <c r="G5044" s="15"/>
      <c r="H5044" s="15"/>
      <c r="I5044" s="14"/>
      <c r="P5044" s="14"/>
    </row>
    <row r="5045" ht="18.75" customHeight="1">
      <c r="A5045" s="7" t="s">
        <v>1657</v>
      </c>
      <c r="B5045" s="9">
        <v>243907.0</v>
      </c>
      <c r="C5045" s="9">
        <v>242909.0</v>
      </c>
      <c r="D5045" s="9">
        <v>111646.0</v>
      </c>
      <c r="E5045" s="9">
        <v>1112.0</v>
      </c>
      <c r="F5045" s="14"/>
      <c r="G5045" s="15"/>
      <c r="H5045" s="15"/>
      <c r="I5045" s="14"/>
      <c r="P5045" s="14"/>
    </row>
    <row r="5046" ht="18.75" customHeight="1">
      <c r="A5046" s="7" t="s">
        <v>372</v>
      </c>
      <c r="B5046" s="9">
        <v>6971.0</v>
      </c>
      <c r="C5046" s="9">
        <v>6890.0</v>
      </c>
      <c r="D5046" s="9">
        <v>2044.0</v>
      </c>
      <c r="E5046" s="9">
        <v>109.0</v>
      </c>
      <c r="F5046" s="14"/>
      <c r="G5046" s="15"/>
      <c r="H5046" s="15"/>
      <c r="I5046" s="14"/>
      <c r="P5046" s="14"/>
    </row>
    <row r="5047" ht="18.75" customHeight="1">
      <c r="A5047" s="7" t="s">
        <v>370</v>
      </c>
      <c r="B5047" s="9">
        <v>229.0</v>
      </c>
      <c r="C5047" s="9">
        <v>226.0</v>
      </c>
      <c r="D5047" s="9">
        <v>84.0</v>
      </c>
      <c r="E5047" s="9">
        <v>10.0</v>
      </c>
      <c r="F5047" s="14"/>
      <c r="G5047" s="15"/>
      <c r="H5047" s="15"/>
      <c r="I5047" s="14"/>
      <c r="P5047" s="14"/>
    </row>
    <row r="5048" ht="18.75" customHeight="1">
      <c r="A5048" s="7" t="s">
        <v>370</v>
      </c>
      <c r="B5048" s="9">
        <v>659.0</v>
      </c>
      <c r="C5048" s="9">
        <v>651.0</v>
      </c>
      <c r="D5048" s="9">
        <v>174.0</v>
      </c>
      <c r="E5048" s="9">
        <v>4.0</v>
      </c>
      <c r="F5048" s="14"/>
      <c r="G5048" s="15"/>
      <c r="H5048" s="15"/>
      <c r="I5048" s="14"/>
      <c r="P5048" s="14"/>
    </row>
    <row r="5049" ht="18.75" customHeight="1">
      <c r="A5049" s="7" t="s">
        <v>366</v>
      </c>
      <c r="B5049" s="9">
        <v>745.0</v>
      </c>
      <c r="C5049" s="9">
        <v>732.0</v>
      </c>
      <c r="D5049" s="9">
        <v>262.0</v>
      </c>
      <c r="E5049" s="9">
        <v>20.0</v>
      </c>
      <c r="F5049" s="14"/>
      <c r="G5049" s="15"/>
      <c r="H5049" s="15"/>
      <c r="I5049" s="14"/>
      <c r="P5049" s="14"/>
    </row>
    <row r="5050" ht="18.75" customHeight="1">
      <c r="A5050" s="7" t="s">
        <v>366</v>
      </c>
      <c r="B5050" s="9">
        <v>718.0</v>
      </c>
      <c r="C5050" s="9">
        <v>709.0</v>
      </c>
      <c r="D5050" s="9">
        <v>235.0</v>
      </c>
      <c r="E5050" s="9">
        <v>20.0</v>
      </c>
      <c r="F5050" s="14"/>
      <c r="G5050" s="15"/>
      <c r="H5050" s="15"/>
      <c r="I5050" s="14"/>
      <c r="P5050" s="14"/>
    </row>
    <row r="5051" ht="18.75" customHeight="1">
      <c r="A5051" s="7" t="s">
        <v>356</v>
      </c>
      <c r="B5051" s="9">
        <v>455.0</v>
      </c>
      <c r="C5051" s="9">
        <v>452.0</v>
      </c>
      <c r="D5051" s="9">
        <v>144.0</v>
      </c>
      <c r="E5051" s="9">
        <v>8.0</v>
      </c>
      <c r="F5051" s="14"/>
      <c r="G5051" s="15"/>
      <c r="H5051" s="15"/>
      <c r="I5051" s="14"/>
      <c r="P5051" s="14"/>
    </row>
    <row r="5052" ht="18.75" customHeight="1">
      <c r="A5052" s="7" t="s">
        <v>368</v>
      </c>
      <c r="B5052" s="9">
        <v>300.0</v>
      </c>
      <c r="C5052" s="9">
        <v>299.0</v>
      </c>
      <c r="D5052" s="9">
        <v>112.0</v>
      </c>
      <c r="E5052" s="9">
        <v>15.0</v>
      </c>
      <c r="F5052" s="14"/>
      <c r="G5052" s="15"/>
      <c r="H5052" s="15"/>
      <c r="I5052" s="14"/>
      <c r="P5052" s="14"/>
    </row>
    <row r="5053" ht="18.75" customHeight="1">
      <c r="A5053" s="7" t="s">
        <v>1467</v>
      </c>
      <c r="B5053" s="9">
        <v>3045.0</v>
      </c>
      <c r="C5053" s="9">
        <v>3005.0</v>
      </c>
      <c r="D5053" s="9">
        <v>861.0</v>
      </c>
      <c r="E5053" s="9">
        <v>67.0</v>
      </c>
      <c r="F5053" s="14"/>
      <c r="G5053" s="15"/>
      <c r="H5053" s="15"/>
      <c r="I5053" s="14"/>
      <c r="P5053" s="14"/>
    </row>
    <row r="5054" ht="18.75" customHeight="1">
      <c r="A5054" s="7" t="s">
        <v>1707</v>
      </c>
      <c r="B5054" s="9">
        <v>132447.0</v>
      </c>
      <c r="C5054" s="9">
        <v>130141.0</v>
      </c>
      <c r="D5054" s="9">
        <v>21278.0</v>
      </c>
      <c r="E5054" s="9">
        <v>115.0</v>
      </c>
      <c r="F5054" s="14"/>
      <c r="G5054" s="15"/>
      <c r="H5054" s="15"/>
      <c r="I5054" s="14"/>
      <c r="P5054" s="14"/>
    </row>
    <row r="5055" ht="18.75" customHeight="1">
      <c r="A5055" s="7" t="s">
        <v>1623</v>
      </c>
      <c r="B5055" s="9">
        <v>165.0</v>
      </c>
      <c r="C5055" s="9">
        <v>164.0</v>
      </c>
      <c r="D5055" s="9">
        <v>65.0</v>
      </c>
      <c r="E5055" s="9">
        <v>1.0</v>
      </c>
      <c r="F5055" s="14"/>
      <c r="G5055" s="15"/>
      <c r="H5055" s="15"/>
      <c r="I5055" s="14"/>
      <c r="P5055" s="14"/>
    </row>
    <row r="5056" ht="18.75" customHeight="1">
      <c r="A5056" s="7" t="s">
        <v>1661</v>
      </c>
      <c r="B5056" s="9">
        <v>128246.0</v>
      </c>
      <c r="C5056" s="9">
        <v>126506.0</v>
      </c>
      <c r="D5056" s="9">
        <v>24772.0</v>
      </c>
      <c r="E5056" s="9">
        <v>1414.0</v>
      </c>
      <c r="F5056" s="14"/>
      <c r="G5056" s="15"/>
      <c r="H5056" s="15"/>
      <c r="I5056" s="14"/>
      <c r="P5056" s="14"/>
    </row>
    <row r="5057" ht="18.75" customHeight="1">
      <c r="A5057" s="7" t="s">
        <v>1674</v>
      </c>
      <c r="B5057" s="9">
        <v>88044.0</v>
      </c>
      <c r="C5057" s="9">
        <v>87095.0</v>
      </c>
      <c r="D5057" s="9">
        <v>22248.0</v>
      </c>
      <c r="E5057" s="9">
        <v>442.0</v>
      </c>
      <c r="F5057" s="14"/>
      <c r="G5057" s="15"/>
      <c r="H5057" s="15"/>
      <c r="I5057" s="14"/>
      <c r="P5057" s="14"/>
    </row>
    <row r="5058" ht="18.75" customHeight="1">
      <c r="A5058" s="7" t="s">
        <v>3757</v>
      </c>
      <c r="B5058" s="9">
        <v>11110.0</v>
      </c>
      <c r="C5058" s="9">
        <v>11012.0</v>
      </c>
      <c r="D5058" s="9">
        <v>1312.0</v>
      </c>
      <c r="E5058" s="9">
        <v>69.0</v>
      </c>
      <c r="F5058" s="14"/>
      <c r="G5058" s="15"/>
      <c r="H5058" s="15"/>
      <c r="I5058" s="14"/>
      <c r="P5058" s="14"/>
    </row>
    <row r="5059" ht="18.75" customHeight="1">
      <c r="A5059" s="7" t="s">
        <v>1585</v>
      </c>
      <c r="B5059" s="9">
        <v>51319.0</v>
      </c>
      <c r="C5059" s="9">
        <v>50775.0</v>
      </c>
      <c r="D5059" s="9">
        <v>10421.0</v>
      </c>
      <c r="E5059" s="9">
        <v>169.0</v>
      </c>
      <c r="F5059" s="14"/>
      <c r="G5059" s="15"/>
      <c r="H5059" s="15"/>
      <c r="I5059" s="14"/>
      <c r="P5059" s="14"/>
    </row>
    <row r="5060" ht="18.75" customHeight="1">
      <c r="A5060" s="7" t="s">
        <v>1682</v>
      </c>
      <c r="B5060" s="9">
        <v>57.0</v>
      </c>
      <c r="C5060" s="9">
        <v>56.0</v>
      </c>
      <c r="D5060" s="9">
        <v>22.0</v>
      </c>
      <c r="E5060" s="9">
        <v>2.0</v>
      </c>
      <c r="F5060" s="14"/>
      <c r="G5060" s="15"/>
      <c r="H5060" s="15"/>
      <c r="I5060" s="14"/>
      <c r="P5060" s="14"/>
    </row>
    <row r="5061" ht="18.75" customHeight="1">
      <c r="A5061" s="7" t="s">
        <v>1670</v>
      </c>
      <c r="B5061" s="9">
        <v>103.0</v>
      </c>
      <c r="C5061" s="9">
        <v>102.0</v>
      </c>
      <c r="D5061" s="9">
        <v>51.0</v>
      </c>
      <c r="E5061" s="9">
        <v>1.0</v>
      </c>
      <c r="F5061" s="14"/>
      <c r="G5061" s="15"/>
      <c r="H5061" s="15"/>
      <c r="I5061" s="14"/>
      <c r="P5061" s="14"/>
    </row>
    <row r="5062" ht="18.75" customHeight="1">
      <c r="A5062" s="7" t="s">
        <v>1661</v>
      </c>
      <c r="B5062" s="9">
        <v>1705.0</v>
      </c>
      <c r="C5062" s="9">
        <v>1703.0</v>
      </c>
      <c r="D5062" s="9">
        <v>1202.0</v>
      </c>
      <c r="E5062" s="9">
        <v>21.0</v>
      </c>
      <c r="F5062" s="14"/>
      <c r="G5062" s="15"/>
      <c r="H5062" s="15"/>
      <c r="I5062" s="14"/>
      <c r="P5062" s="14"/>
    </row>
    <row r="5063" ht="18.75" customHeight="1">
      <c r="A5063" s="7" t="s">
        <v>1641</v>
      </c>
      <c r="B5063" s="9">
        <v>650.0</v>
      </c>
      <c r="C5063" s="9">
        <v>650.0</v>
      </c>
      <c r="D5063" s="9">
        <v>415.0</v>
      </c>
      <c r="E5063" s="9">
        <v>66.0</v>
      </c>
      <c r="F5063" s="14"/>
      <c r="G5063" s="15"/>
      <c r="H5063" s="15"/>
      <c r="I5063" s="14"/>
      <c r="P5063" s="14"/>
    </row>
    <row r="5064" ht="18.75" customHeight="1">
      <c r="A5064" s="7" t="s">
        <v>1659</v>
      </c>
      <c r="B5064" s="9">
        <v>101184.0</v>
      </c>
      <c r="C5064" s="9">
        <v>100314.0</v>
      </c>
      <c r="D5064" s="9">
        <v>39773.0</v>
      </c>
      <c r="E5064" s="9">
        <v>356.0</v>
      </c>
      <c r="F5064" s="14"/>
      <c r="G5064" s="15"/>
      <c r="H5064" s="15"/>
      <c r="I5064" s="14"/>
      <c r="P5064" s="14"/>
    </row>
    <row r="5065" ht="18.75" customHeight="1">
      <c r="A5065" s="7" t="s">
        <v>1693</v>
      </c>
      <c r="B5065" s="9">
        <v>38216.0</v>
      </c>
      <c r="C5065" s="9">
        <v>37636.0</v>
      </c>
      <c r="D5065" s="9">
        <v>5765.0</v>
      </c>
      <c r="E5065" s="9">
        <v>148.0</v>
      </c>
      <c r="F5065" s="14"/>
      <c r="G5065" s="15"/>
      <c r="H5065" s="15"/>
      <c r="I5065" s="14"/>
      <c r="P5065" s="14"/>
    </row>
    <row r="5066" ht="18.75" customHeight="1">
      <c r="A5066" s="7" t="s">
        <v>1715</v>
      </c>
      <c r="B5066" s="9">
        <v>10146.0</v>
      </c>
      <c r="C5066" s="9">
        <v>9957.0</v>
      </c>
      <c r="D5066" s="9">
        <v>2542.0</v>
      </c>
      <c r="E5066" s="9">
        <v>153.0</v>
      </c>
      <c r="F5066" s="14"/>
      <c r="G5066" s="15"/>
      <c r="H5066" s="15"/>
      <c r="I5066" s="14"/>
      <c r="P5066" s="14"/>
    </row>
    <row r="5067" ht="18.75" customHeight="1">
      <c r="A5067" s="7" t="s">
        <v>1611</v>
      </c>
      <c r="B5067" s="9">
        <v>80.0</v>
      </c>
      <c r="C5067" s="9">
        <v>79.0</v>
      </c>
      <c r="D5067" s="9">
        <v>29.0</v>
      </c>
      <c r="E5067" s="9">
        <v>2.0</v>
      </c>
      <c r="F5067" s="14"/>
      <c r="G5067" s="15"/>
      <c r="H5067" s="15"/>
      <c r="I5067" s="14"/>
      <c r="P5067" s="14"/>
    </row>
    <row r="5068" ht="18.75" customHeight="1">
      <c r="A5068" s="7" t="s">
        <v>1657</v>
      </c>
      <c r="B5068" s="9">
        <v>129169.0</v>
      </c>
      <c r="C5068" s="9">
        <v>128527.0</v>
      </c>
      <c r="D5068" s="9">
        <v>28968.0</v>
      </c>
      <c r="E5068" s="9">
        <v>404.0</v>
      </c>
      <c r="F5068" s="14"/>
      <c r="G5068" s="15"/>
      <c r="H5068" s="15"/>
      <c r="I5068" s="14"/>
      <c r="P5068" s="14"/>
    </row>
    <row r="5069" ht="18.75" customHeight="1">
      <c r="A5069" s="7" t="s">
        <v>1676</v>
      </c>
      <c r="B5069" s="9">
        <v>18583.0</v>
      </c>
      <c r="C5069" s="9">
        <v>18301.0</v>
      </c>
      <c r="D5069" s="9">
        <v>1630.0</v>
      </c>
      <c r="E5069" s="9">
        <v>206.0</v>
      </c>
      <c r="F5069" s="14"/>
      <c r="G5069" s="15"/>
      <c r="H5069" s="15"/>
      <c r="I5069" s="14"/>
      <c r="P5069" s="14"/>
    </row>
    <row r="5070" ht="18.75" customHeight="1">
      <c r="A5070" s="7" t="s">
        <v>1672</v>
      </c>
      <c r="B5070" s="9">
        <v>128.0</v>
      </c>
      <c r="C5070" s="9">
        <v>127.0</v>
      </c>
      <c r="D5070" s="9">
        <v>75.0</v>
      </c>
      <c r="E5070" s="9">
        <v>2.0</v>
      </c>
      <c r="F5070" s="14"/>
      <c r="G5070" s="15"/>
      <c r="H5070" s="15"/>
      <c r="I5070" s="14"/>
      <c r="P5070" s="14"/>
    </row>
    <row r="5071" ht="18.75" customHeight="1">
      <c r="A5071" s="7" t="s">
        <v>870</v>
      </c>
      <c r="B5071" s="9">
        <v>17125.0</v>
      </c>
      <c r="C5071" s="9">
        <v>16815.0</v>
      </c>
      <c r="D5071" s="9">
        <v>4517.0</v>
      </c>
      <c r="E5071" s="9">
        <v>205.0</v>
      </c>
      <c r="F5071" s="14"/>
      <c r="G5071" s="15"/>
      <c r="H5071" s="15"/>
      <c r="I5071" s="14"/>
      <c r="P5071" s="14"/>
    </row>
    <row r="5072" ht="18.75" customHeight="1">
      <c r="A5072" s="7" t="s">
        <v>1663</v>
      </c>
      <c r="B5072" s="9">
        <v>156174.0</v>
      </c>
      <c r="C5072" s="9">
        <v>153833.0</v>
      </c>
      <c r="D5072" s="9">
        <v>40259.0</v>
      </c>
      <c r="E5072" s="9">
        <v>879.0</v>
      </c>
      <c r="F5072" s="14"/>
      <c r="G5072" s="15"/>
      <c r="H5072" s="15"/>
      <c r="I5072" s="14"/>
      <c r="P5072" s="14"/>
    </row>
    <row r="5073" ht="18.75" customHeight="1">
      <c r="A5073" s="7" t="s">
        <v>3757</v>
      </c>
      <c r="B5073" s="9">
        <v>61.0</v>
      </c>
      <c r="C5073" s="9">
        <v>61.0</v>
      </c>
      <c r="D5073" s="9">
        <v>39.0</v>
      </c>
      <c r="E5073" s="9">
        <v>1.0</v>
      </c>
      <c r="F5073" s="14"/>
      <c r="G5073" s="15"/>
      <c r="H5073" s="15"/>
      <c r="I5073" s="14"/>
      <c r="P5073" s="14"/>
    </row>
    <row r="5074" ht="18.75" customHeight="1">
      <c r="A5074" s="7" t="s">
        <v>1684</v>
      </c>
      <c r="B5074" s="9">
        <v>134.0</v>
      </c>
      <c r="C5074" s="9">
        <v>133.0</v>
      </c>
      <c r="D5074" s="9">
        <v>75.0</v>
      </c>
      <c r="E5074" s="9">
        <v>3.0</v>
      </c>
      <c r="F5074" s="14"/>
      <c r="G5074" s="15"/>
      <c r="H5074" s="15"/>
      <c r="I5074" s="14"/>
      <c r="P5074" s="14"/>
    </row>
    <row r="5075" ht="18.75" customHeight="1">
      <c r="A5075" s="7" t="s">
        <v>1647</v>
      </c>
      <c r="B5075" s="9">
        <v>23966.0</v>
      </c>
      <c r="C5075" s="9">
        <v>23657.0</v>
      </c>
      <c r="D5075" s="9">
        <v>7489.0</v>
      </c>
      <c r="E5075" s="9">
        <v>246.0</v>
      </c>
      <c r="F5075" s="14"/>
      <c r="G5075" s="15"/>
      <c r="H5075" s="15"/>
      <c r="I5075" s="14"/>
      <c r="P5075" s="14"/>
    </row>
    <row r="5076" ht="18.75" customHeight="1">
      <c r="A5076" s="7" t="s">
        <v>1649</v>
      </c>
      <c r="B5076" s="9">
        <v>1126.0</v>
      </c>
      <c r="C5076" s="9">
        <v>1091.0</v>
      </c>
      <c r="D5076" s="9">
        <v>224.0</v>
      </c>
      <c r="E5076" s="9">
        <v>12.0</v>
      </c>
      <c r="F5076" s="14"/>
      <c r="G5076" s="15"/>
      <c r="H5076" s="15"/>
      <c r="I5076" s="14"/>
      <c r="P5076" s="14"/>
    </row>
    <row r="5077" ht="18.75" customHeight="1">
      <c r="A5077" s="7" t="s">
        <v>1651</v>
      </c>
      <c r="B5077" s="9">
        <v>16691.0</v>
      </c>
      <c r="C5077" s="9">
        <v>16470.0</v>
      </c>
      <c r="D5077" s="9">
        <v>5323.0</v>
      </c>
      <c r="E5077" s="9">
        <v>203.0</v>
      </c>
      <c r="F5077" s="14"/>
      <c r="G5077" s="15"/>
      <c r="H5077" s="15"/>
      <c r="I5077" s="14"/>
      <c r="P5077" s="14"/>
    </row>
    <row r="5078" ht="18.75" customHeight="1">
      <c r="A5078" s="7" t="s">
        <v>1607</v>
      </c>
      <c r="B5078" s="9">
        <v>851.0</v>
      </c>
      <c r="C5078" s="9">
        <v>842.0</v>
      </c>
      <c r="D5078" s="9">
        <v>558.0</v>
      </c>
      <c r="E5078" s="9">
        <v>5.0</v>
      </c>
      <c r="F5078" s="14"/>
      <c r="G5078" s="15"/>
      <c r="H5078" s="15"/>
      <c r="I5078" s="14"/>
      <c r="P5078" s="14"/>
    </row>
    <row r="5079" ht="18.75" customHeight="1">
      <c r="A5079" s="7" t="s">
        <v>1670</v>
      </c>
      <c r="B5079" s="9">
        <v>93.0</v>
      </c>
      <c r="C5079" s="9">
        <v>92.0</v>
      </c>
      <c r="D5079" s="9">
        <v>36.0</v>
      </c>
      <c r="E5079" s="9">
        <v>1.0</v>
      </c>
      <c r="F5079" s="14"/>
      <c r="G5079" s="15"/>
      <c r="H5079" s="15"/>
      <c r="I5079" s="14"/>
      <c r="P5079" s="14"/>
    </row>
    <row r="5080" ht="18.75" customHeight="1">
      <c r="A5080" s="7" t="s">
        <v>1695</v>
      </c>
      <c r="B5080" s="9">
        <v>31333.0</v>
      </c>
      <c r="C5080" s="9">
        <v>30897.0</v>
      </c>
      <c r="D5080" s="9">
        <v>7325.0</v>
      </c>
      <c r="E5080" s="9">
        <v>94.0</v>
      </c>
      <c r="F5080" s="14"/>
      <c r="G5080" s="15"/>
      <c r="H5080" s="15"/>
      <c r="I5080" s="14"/>
      <c r="P5080" s="14"/>
    </row>
    <row r="5081" ht="18.75" customHeight="1">
      <c r="A5081" s="7" t="s">
        <v>1676</v>
      </c>
      <c r="B5081" s="9">
        <v>629.0</v>
      </c>
      <c r="C5081" s="9">
        <v>628.0</v>
      </c>
      <c r="D5081" s="9">
        <v>330.0</v>
      </c>
      <c r="E5081" s="9">
        <v>5.0</v>
      </c>
      <c r="F5081" s="14"/>
      <c r="G5081" s="15"/>
      <c r="H5081" s="15"/>
      <c r="I5081" s="14"/>
      <c r="P5081" s="14"/>
    </row>
    <row r="5082" ht="18.75" customHeight="1">
      <c r="A5082" s="7" t="s">
        <v>1668</v>
      </c>
      <c r="B5082" s="9">
        <v>97244.0</v>
      </c>
      <c r="C5082" s="9">
        <v>96091.0</v>
      </c>
      <c r="D5082" s="9">
        <v>29219.0</v>
      </c>
      <c r="E5082" s="9">
        <v>705.0</v>
      </c>
      <c r="F5082" s="14"/>
      <c r="G5082" s="15"/>
      <c r="H5082" s="15"/>
      <c r="I5082" s="14"/>
      <c r="P5082" s="14"/>
    </row>
    <row r="5083" ht="18.75" customHeight="1">
      <c r="A5083" s="7" t="s">
        <v>1697</v>
      </c>
      <c r="B5083" s="9">
        <v>65161.0</v>
      </c>
      <c r="C5083" s="9">
        <v>64283.0</v>
      </c>
      <c r="D5083" s="9">
        <v>10850.0</v>
      </c>
      <c r="E5083" s="9">
        <v>207.0</v>
      </c>
      <c r="F5083" s="14"/>
      <c r="G5083" s="15"/>
      <c r="H5083" s="15"/>
      <c r="I5083" s="14"/>
      <c r="P5083" s="14"/>
    </row>
    <row r="5084" ht="18.75" customHeight="1">
      <c r="A5084" s="7" t="s">
        <v>1579</v>
      </c>
      <c r="B5084" s="9">
        <v>31015.0</v>
      </c>
      <c r="C5084" s="9">
        <v>30621.0</v>
      </c>
      <c r="D5084" s="9">
        <v>6929.0</v>
      </c>
      <c r="E5084" s="9">
        <v>78.0</v>
      </c>
      <c r="F5084" s="14"/>
      <c r="G5084" s="15"/>
      <c r="H5084" s="15"/>
      <c r="I5084" s="14"/>
      <c r="P5084" s="14"/>
    </row>
    <row r="5085" ht="18.75" customHeight="1">
      <c r="A5085" s="7" t="s">
        <v>1707</v>
      </c>
      <c r="B5085" s="9">
        <v>48776.0</v>
      </c>
      <c r="C5085" s="9">
        <v>47967.0</v>
      </c>
      <c r="D5085" s="9">
        <v>7273.0</v>
      </c>
      <c r="E5085" s="9">
        <v>83.0</v>
      </c>
      <c r="F5085" s="14"/>
      <c r="G5085" s="15"/>
      <c r="H5085" s="15"/>
      <c r="I5085" s="14"/>
      <c r="P5085" s="14"/>
    </row>
    <row r="5086" ht="18.75" customHeight="1">
      <c r="A5086" s="7" t="s">
        <v>1699</v>
      </c>
      <c r="B5086" s="9">
        <v>58487.0</v>
      </c>
      <c r="C5086" s="9">
        <v>57884.0</v>
      </c>
      <c r="D5086" s="9">
        <v>20397.0</v>
      </c>
      <c r="E5086" s="9">
        <v>272.0</v>
      </c>
      <c r="F5086" s="14"/>
      <c r="G5086" s="15"/>
      <c r="H5086" s="15"/>
      <c r="I5086" s="14"/>
      <c r="P5086" s="14"/>
    </row>
    <row r="5087" ht="18.75" customHeight="1">
      <c r="A5087" s="7" t="s">
        <v>1703</v>
      </c>
      <c r="B5087" s="9">
        <v>6917.0</v>
      </c>
      <c r="C5087" s="9">
        <v>6868.0</v>
      </c>
      <c r="D5087" s="9">
        <v>2403.0</v>
      </c>
      <c r="E5087" s="9">
        <v>60.0</v>
      </c>
      <c r="F5087" s="14"/>
      <c r="G5087" s="15"/>
      <c r="H5087" s="15"/>
      <c r="I5087" s="14"/>
      <c r="P5087" s="14"/>
    </row>
    <row r="5088" ht="18.75" customHeight="1">
      <c r="A5088" s="7" t="s">
        <v>3758</v>
      </c>
      <c r="B5088" s="9">
        <v>6659.0</v>
      </c>
      <c r="C5088" s="9">
        <v>6592.0</v>
      </c>
      <c r="D5088" s="9">
        <v>960.0</v>
      </c>
      <c r="E5088" s="9">
        <v>64.0</v>
      </c>
      <c r="F5088" s="14"/>
      <c r="G5088" s="15"/>
      <c r="H5088" s="15"/>
      <c r="I5088" s="14"/>
      <c r="P5088" s="14"/>
    </row>
    <row r="5089" ht="18.75" customHeight="1">
      <c r="A5089" s="7" t="s">
        <v>2857</v>
      </c>
      <c r="B5089" s="9">
        <v>93982.0</v>
      </c>
      <c r="C5089" s="9">
        <v>92917.0</v>
      </c>
      <c r="D5089" s="9">
        <v>26362.0</v>
      </c>
      <c r="E5089" s="9">
        <v>723.0</v>
      </c>
      <c r="F5089" s="14"/>
      <c r="G5089" s="15"/>
      <c r="H5089" s="15"/>
      <c r="I5089" s="14"/>
      <c r="P5089" s="14"/>
    </row>
    <row r="5090" ht="18.75" customHeight="1">
      <c r="A5090" s="7" t="s">
        <v>1641</v>
      </c>
      <c r="B5090" s="9">
        <v>237.0</v>
      </c>
      <c r="C5090" s="9">
        <v>237.0</v>
      </c>
      <c r="D5090" s="9">
        <v>79.0</v>
      </c>
      <c r="E5090" s="9">
        <v>14.0</v>
      </c>
      <c r="F5090" s="14"/>
      <c r="G5090" s="15"/>
      <c r="H5090" s="15"/>
      <c r="I5090" s="14"/>
      <c r="P5090" s="14"/>
    </row>
    <row r="5091" ht="18.75" customHeight="1">
      <c r="A5091" s="7" t="s">
        <v>1693</v>
      </c>
      <c r="B5091" s="9">
        <v>129.0</v>
      </c>
      <c r="C5091" s="9">
        <v>128.0</v>
      </c>
      <c r="D5091" s="9">
        <v>75.0</v>
      </c>
      <c r="E5091" s="9">
        <v>2.0</v>
      </c>
      <c r="F5091" s="14"/>
      <c r="G5091" s="15"/>
      <c r="H5091" s="15"/>
      <c r="I5091" s="14"/>
      <c r="P5091" s="14"/>
    </row>
    <row r="5092" ht="18.75" customHeight="1">
      <c r="A5092" s="7" t="s">
        <v>1655</v>
      </c>
      <c r="B5092" s="9">
        <v>75406.0</v>
      </c>
      <c r="C5092" s="9">
        <v>74805.0</v>
      </c>
      <c r="D5092" s="9">
        <v>30307.0</v>
      </c>
      <c r="E5092" s="9">
        <v>251.0</v>
      </c>
      <c r="F5092" s="14"/>
      <c r="G5092" s="15"/>
      <c r="H5092" s="15"/>
      <c r="I5092" s="14"/>
      <c r="P5092" s="14"/>
    </row>
    <row r="5093" ht="18.75" customHeight="1">
      <c r="A5093" s="7" t="s">
        <v>1695</v>
      </c>
      <c r="B5093" s="9">
        <v>77.0</v>
      </c>
      <c r="C5093" s="9">
        <v>76.0</v>
      </c>
      <c r="D5093" s="9">
        <v>35.0</v>
      </c>
      <c r="E5093" s="9">
        <v>3.0</v>
      </c>
      <c r="F5093" s="14"/>
      <c r="G5093" s="15"/>
      <c r="H5093" s="15"/>
      <c r="I5093" s="14"/>
      <c r="P5093" s="14"/>
    </row>
    <row r="5094" ht="18.75" customHeight="1">
      <c r="A5094" s="7" t="s">
        <v>1729</v>
      </c>
      <c r="B5094" s="9">
        <v>116505.0</v>
      </c>
      <c r="C5094" s="9">
        <v>114947.0</v>
      </c>
      <c r="D5094" s="9">
        <v>39189.0</v>
      </c>
      <c r="E5094" s="9">
        <v>10408.0</v>
      </c>
      <c r="F5094" s="14"/>
      <c r="G5094" s="15"/>
      <c r="H5094" s="15"/>
      <c r="I5094" s="14"/>
      <c r="P5094" s="14"/>
    </row>
    <row r="5095" ht="18.75" customHeight="1">
      <c r="A5095" s="7" t="s">
        <v>2919</v>
      </c>
      <c r="B5095" s="9">
        <v>2680.0</v>
      </c>
      <c r="C5095" s="9">
        <v>2599.0</v>
      </c>
      <c r="D5095" s="9">
        <v>742.0</v>
      </c>
      <c r="E5095" s="9">
        <v>143.0</v>
      </c>
      <c r="F5095" s="14"/>
      <c r="G5095" s="15"/>
      <c r="H5095" s="15"/>
      <c r="I5095" s="14"/>
      <c r="P5095" s="14"/>
    </row>
    <row r="5096" ht="18.75" customHeight="1">
      <c r="A5096" s="7" t="s">
        <v>1697</v>
      </c>
      <c r="B5096" s="9">
        <v>151.0</v>
      </c>
      <c r="C5096" s="9">
        <v>150.0</v>
      </c>
      <c r="D5096" s="9">
        <v>43.0</v>
      </c>
      <c r="E5096" s="9">
        <v>1.0</v>
      </c>
      <c r="F5096" s="14"/>
      <c r="G5096" s="15"/>
      <c r="H5096" s="15"/>
      <c r="I5096" s="14"/>
      <c r="P5096" s="14"/>
    </row>
    <row r="5097" ht="18.75" customHeight="1">
      <c r="A5097" s="7" t="s">
        <v>1605</v>
      </c>
      <c r="B5097" s="9">
        <v>3916.0</v>
      </c>
      <c r="C5097" s="9">
        <v>3913.0</v>
      </c>
      <c r="D5097" s="9">
        <v>2819.0</v>
      </c>
      <c r="E5097" s="9">
        <v>4.0</v>
      </c>
      <c r="F5097" s="14"/>
      <c r="G5097" s="15"/>
      <c r="H5097" s="15"/>
      <c r="I5097" s="14"/>
      <c r="P5097" s="14"/>
    </row>
    <row r="5098" ht="18.75" customHeight="1">
      <c r="A5098" s="7" t="s">
        <v>1605</v>
      </c>
      <c r="B5098" s="9">
        <v>110.0</v>
      </c>
      <c r="C5098" s="9">
        <v>110.0</v>
      </c>
      <c r="D5098" s="9">
        <v>30.0</v>
      </c>
      <c r="E5098" s="9">
        <v>2.0</v>
      </c>
      <c r="F5098" s="14"/>
      <c r="G5098" s="15"/>
      <c r="H5098" s="15"/>
      <c r="I5098" s="14"/>
      <c r="P5098" s="14"/>
    </row>
    <row r="5099" ht="18.75" customHeight="1">
      <c r="A5099" s="7" t="s">
        <v>1699</v>
      </c>
      <c r="B5099" s="9">
        <v>136.0</v>
      </c>
      <c r="C5099" s="9">
        <v>135.0</v>
      </c>
      <c r="D5099" s="9">
        <v>90.0</v>
      </c>
      <c r="E5099" s="9">
        <v>1.0</v>
      </c>
      <c r="F5099" s="14"/>
      <c r="G5099" s="15"/>
      <c r="H5099" s="15"/>
      <c r="I5099" s="14"/>
      <c r="P5099" s="14"/>
    </row>
    <row r="5100" ht="18.75" customHeight="1">
      <c r="A5100" s="7" t="s">
        <v>1682</v>
      </c>
      <c r="B5100" s="9">
        <v>57.0</v>
      </c>
      <c r="C5100" s="9">
        <v>56.0</v>
      </c>
      <c r="D5100" s="9">
        <v>23.0</v>
      </c>
      <c r="E5100" s="9">
        <v>1.0</v>
      </c>
      <c r="F5100" s="14"/>
      <c r="G5100" s="15"/>
      <c r="H5100" s="15"/>
      <c r="I5100" s="14"/>
      <c r="P5100" s="14"/>
    </row>
    <row r="5101" ht="18.75" customHeight="1">
      <c r="A5101" s="7" t="s">
        <v>1747</v>
      </c>
      <c r="B5101" s="9">
        <v>10655.0</v>
      </c>
      <c r="C5101" s="9">
        <v>10530.0</v>
      </c>
      <c r="D5101" s="9">
        <v>3483.0</v>
      </c>
      <c r="E5101" s="9">
        <v>212.0</v>
      </c>
      <c r="F5101" s="14"/>
      <c r="G5101" s="15"/>
      <c r="H5101" s="15"/>
      <c r="I5101" s="14"/>
      <c r="P5101" s="14"/>
    </row>
    <row r="5102" ht="18.75" customHeight="1">
      <c r="A5102" s="7" t="s">
        <v>1717</v>
      </c>
      <c r="B5102" s="9">
        <v>10217.0</v>
      </c>
      <c r="C5102" s="9">
        <v>10067.0</v>
      </c>
      <c r="D5102" s="9">
        <v>2969.0</v>
      </c>
      <c r="E5102" s="9">
        <v>125.0</v>
      </c>
      <c r="F5102" s="14"/>
      <c r="G5102" s="15"/>
      <c r="H5102" s="15"/>
      <c r="I5102" s="14"/>
      <c r="P5102" s="14"/>
    </row>
    <row r="5103" ht="18.75" customHeight="1">
      <c r="A5103" s="7" t="s">
        <v>1511</v>
      </c>
      <c r="B5103" s="9">
        <v>219278.0</v>
      </c>
      <c r="C5103" s="9">
        <v>215595.0</v>
      </c>
      <c r="D5103" s="9">
        <v>64804.0</v>
      </c>
      <c r="E5103" s="9">
        <v>2184.0</v>
      </c>
      <c r="F5103" s="14"/>
      <c r="G5103" s="15"/>
      <c r="H5103" s="15"/>
      <c r="I5103" s="14"/>
      <c r="P5103" s="14"/>
    </row>
    <row r="5104" ht="18.75" customHeight="1">
      <c r="A5104" s="7" t="s">
        <v>1672</v>
      </c>
      <c r="B5104" s="9">
        <v>128.0</v>
      </c>
      <c r="C5104" s="9">
        <v>127.0</v>
      </c>
      <c r="D5104" s="9">
        <v>63.0</v>
      </c>
      <c r="E5104" s="9">
        <v>3.0</v>
      </c>
      <c r="F5104" s="14"/>
      <c r="G5104" s="15"/>
      <c r="H5104" s="15"/>
      <c r="I5104" s="14"/>
      <c r="P5104" s="14"/>
    </row>
    <row r="5105" ht="18.75" customHeight="1">
      <c r="A5105" s="7" t="s">
        <v>1731</v>
      </c>
      <c r="B5105" s="9">
        <v>75763.0</v>
      </c>
      <c r="C5105" s="9">
        <v>74902.0</v>
      </c>
      <c r="D5105" s="9">
        <v>17402.0</v>
      </c>
      <c r="E5105" s="9">
        <v>246.0</v>
      </c>
      <c r="F5105" s="14"/>
      <c r="G5105" s="15"/>
      <c r="H5105" s="15"/>
      <c r="I5105" s="14"/>
      <c r="P5105" s="14"/>
    </row>
    <row r="5106" ht="18.75" customHeight="1">
      <c r="A5106" s="7" t="s">
        <v>3758</v>
      </c>
      <c r="B5106" s="9">
        <v>76.0</v>
      </c>
      <c r="C5106" s="9">
        <v>75.0</v>
      </c>
      <c r="D5106" s="9">
        <v>37.0</v>
      </c>
      <c r="E5106" s="9">
        <v>1.0</v>
      </c>
      <c r="F5106" s="14"/>
      <c r="G5106" s="15"/>
      <c r="H5106" s="15"/>
      <c r="I5106" s="14"/>
      <c r="P5106" s="14"/>
    </row>
    <row r="5107" ht="18.75" customHeight="1">
      <c r="A5107" s="7" t="s">
        <v>1684</v>
      </c>
      <c r="B5107" s="9">
        <v>138.0</v>
      </c>
      <c r="C5107" s="9">
        <v>137.0</v>
      </c>
      <c r="D5107" s="9">
        <v>67.0</v>
      </c>
      <c r="E5107" s="9">
        <v>1.0</v>
      </c>
      <c r="F5107" s="14"/>
      <c r="G5107" s="15"/>
      <c r="H5107" s="15"/>
      <c r="I5107" s="14"/>
      <c r="P5107" s="14"/>
    </row>
    <row r="5108" ht="18.75" customHeight="1">
      <c r="A5108" s="7" t="s">
        <v>1751</v>
      </c>
      <c r="B5108" s="9">
        <v>157615.0</v>
      </c>
      <c r="C5108" s="9">
        <v>156013.0</v>
      </c>
      <c r="D5108" s="9">
        <v>62327.0</v>
      </c>
      <c r="E5108" s="9">
        <v>388.0</v>
      </c>
      <c r="F5108" s="14"/>
      <c r="G5108" s="15"/>
      <c r="H5108" s="15"/>
      <c r="I5108" s="14"/>
      <c r="P5108" s="14"/>
    </row>
    <row r="5109" ht="18.75" customHeight="1">
      <c r="A5109" s="7" t="s">
        <v>1693</v>
      </c>
      <c r="B5109" s="9">
        <v>129.0</v>
      </c>
      <c r="C5109" s="9">
        <v>128.0</v>
      </c>
      <c r="D5109" s="9">
        <v>52.0</v>
      </c>
      <c r="E5109" s="9">
        <v>3.0</v>
      </c>
      <c r="F5109" s="14"/>
      <c r="G5109" s="15"/>
      <c r="H5109" s="15"/>
      <c r="I5109" s="14"/>
      <c r="P5109" s="14"/>
    </row>
    <row r="5110" ht="18.75" customHeight="1">
      <c r="A5110" s="7" t="s">
        <v>1711</v>
      </c>
      <c r="B5110" s="9">
        <v>103947.0</v>
      </c>
      <c r="C5110" s="9">
        <v>102745.0</v>
      </c>
      <c r="D5110" s="9">
        <v>35925.0</v>
      </c>
      <c r="E5110" s="9">
        <v>9608.0</v>
      </c>
      <c r="F5110" s="14"/>
      <c r="G5110" s="15"/>
      <c r="H5110" s="15"/>
      <c r="I5110" s="14"/>
      <c r="P5110" s="14"/>
    </row>
    <row r="5111" ht="18.75" customHeight="1">
      <c r="A5111" s="7" t="s">
        <v>1321</v>
      </c>
      <c r="B5111" s="9">
        <v>182647.0</v>
      </c>
      <c r="C5111" s="9">
        <v>180974.0</v>
      </c>
      <c r="D5111" s="9">
        <v>49229.0</v>
      </c>
      <c r="E5111" s="9">
        <v>808.0</v>
      </c>
      <c r="F5111" s="14"/>
      <c r="G5111" s="15"/>
      <c r="H5111" s="15"/>
      <c r="I5111" s="14"/>
      <c r="P5111" s="14"/>
    </row>
    <row r="5112" ht="18.75" customHeight="1">
      <c r="A5112" s="7" t="s">
        <v>1745</v>
      </c>
      <c r="B5112" s="9">
        <v>121335.0</v>
      </c>
      <c r="C5112" s="9">
        <v>120761.0</v>
      </c>
      <c r="D5112" s="9">
        <v>44720.0</v>
      </c>
      <c r="E5112" s="9">
        <v>640.0</v>
      </c>
      <c r="F5112" s="14"/>
      <c r="G5112" s="15"/>
      <c r="H5112" s="15"/>
      <c r="I5112" s="14"/>
      <c r="P5112" s="14"/>
    </row>
    <row r="5113" ht="18.75" customHeight="1">
      <c r="A5113" s="7" t="s">
        <v>1097</v>
      </c>
      <c r="B5113" s="9">
        <v>3342.0</v>
      </c>
      <c r="C5113" s="9">
        <v>3337.0</v>
      </c>
      <c r="D5113" s="9">
        <v>1744.0</v>
      </c>
      <c r="E5113" s="9">
        <v>901.0</v>
      </c>
      <c r="F5113" s="14"/>
      <c r="G5113" s="15"/>
      <c r="H5113" s="15"/>
      <c r="I5113" s="14"/>
      <c r="P5113" s="14"/>
    </row>
    <row r="5114" ht="18.75" customHeight="1">
      <c r="A5114" s="7" t="s">
        <v>1695</v>
      </c>
      <c r="B5114" s="9">
        <v>76.0</v>
      </c>
      <c r="C5114" s="9">
        <v>75.0</v>
      </c>
      <c r="D5114" s="9">
        <v>24.0</v>
      </c>
      <c r="E5114" s="9">
        <v>0.0</v>
      </c>
      <c r="F5114" s="14"/>
      <c r="G5114" s="15"/>
      <c r="H5114" s="15"/>
      <c r="I5114" s="14"/>
      <c r="P5114" s="14"/>
    </row>
    <row r="5115" ht="18.75" customHeight="1">
      <c r="A5115" s="7" t="s">
        <v>1759</v>
      </c>
      <c r="B5115" s="9">
        <v>51906.0</v>
      </c>
      <c r="C5115" s="9">
        <v>51354.0</v>
      </c>
      <c r="D5115" s="9">
        <v>9056.0</v>
      </c>
      <c r="E5115" s="9">
        <v>190.0</v>
      </c>
      <c r="F5115" s="14"/>
      <c r="G5115" s="15"/>
      <c r="H5115" s="15"/>
      <c r="I5115" s="14"/>
      <c r="P5115" s="14"/>
    </row>
    <row r="5116" ht="18.75" customHeight="1">
      <c r="A5116" s="7" t="s">
        <v>1741</v>
      </c>
      <c r="B5116" s="9">
        <v>211668.0</v>
      </c>
      <c r="C5116" s="9">
        <v>210749.0</v>
      </c>
      <c r="D5116" s="9">
        <v>84558.0</v>
      </c>
      <c r="E5116" s="9">
        <v>159.0</v>
      </c>
      <c r="F5116" s="14"/>
      <c r="G5116" s="15"/>
      <c r="H5116" s="15"/>
      <c r="I5116" s="14"/>
      <c r="P5116" s="14"/>
    </row>
    <row r="5117" ht="18.75" customHeight="1">
      <c r="A5117" s="7" t="s">
        <v>1765</v>
      </c>
      <c r="B5117" s="9">
        <v>500.0</v>
      </c>
      <c r="C5117" s="9">
        <v>493.0</v>
      </c>
      <c r="D5117" s="9">
        <v>183.0</v>
      </c>
      <c r="E5117" s="9">
        <v>25.0</v>
      </c>
      <c r="F5117" s="14"/>
      <c r="G5117" s="15"/>
      <c r="H5117" s="15"/>
      <c r="I5117" s="14"/>
      <c r="P5117" s="14"/>
    </row>
    <row r="5118" ht="18.75" customHeight="1">
      <c r="A5118" s="7" t="s">
        <v>1755</v>
      </c>
      <c r="B5118" s="9">
        <v>60983.0</v>
      </c>
      <c r="C5118" s="9">
        <v>59715.0</v>
      </c>
      <c r="D5118" s="9">
        <v>5821.0</v>
      </c>
      <c r="E5118" s="9">
        <v>170.0</v>
      </c>
      <c r="F5118" s="14"/>
      <c r="G5118" s="15"/>
      <c r="H5118" s="15"/>
      <c r="I5118" s="14"/>
      <c r="P5118" s="14"/>
    </row>
    <row r="5119" ht="18.75" customHeight="1">
      <c r="A5119" s="7" t="s">
        <v>1697</v>
      </c>
      <c r="B5119" s="9">
        <v>151.0</v>
      </c>
      <c r="C5119" s="9">
        <v>150.0</v>
      </c>
      <c r="D5119" s="9">
        <v>52.0</v>
      </c>
      <c r="E5119" s="9">
        <v>1.0</v>
      </c>
      <c r="F5119" s="14"/>
      <c r="G5119" s="15"/>
      <c r="H5119" s="15"/>
      <c r="I5119" s="14"/>
      <c r="P5119" s="14"/>
    </row>
    <row r="5120" ht="18.75" customHeight="1">
      <c r="A5120" s="7" t="s">
        <v>424</v>
      </c>
      <c r="B5120" s="9">
        <v>5226.0</v>
      </c>
      <c r="C5120" s="9">
        <v>5174.0</v>
      </c>
      <c r="D5120" s="9">
        <v>1969.0</v>
      </c>
      <c r="E5120" s="9">
        <v>56.0</v>
      </c>
      <c r="F5120" s="14"/>
      <c r="G5120" s="15"/>
      <c r="H5120" s="15"/>
      <c r="I5120" s="14"/>
      <c r="P5120" s="14"/>
    </row>
    <row r="5121" ht="18.75" customHeight="1">
      <c r="A5121" s="7" t="s">
        <v>372</v>
      </c>
      <c r="B5121" s="9">
        <v>6557.0</v>
      </c>
      <c r="C5121" s="9">
        <v>6477.0</v>
      </c>
      <c r="D5121" s="9">
        <v>1712.0</v>
      </c>
      <c r="E5121" s="9">
        <v>119.0</v>
      </c>
      <c r="F5121" s="14"/>
      <c r="G5121" s="15"/>
      <c r="H5121" s="15"/>
      <c r="I5121" s="14"/>
      <c r="P5121" s="14"/>
    </row>
    <row r="5122" ht="18.75" customHeight="1">
      <c r="A5122" s="7" t="s">
        <v>370</v>
      </c>
      <c r="B5122" s="9">
        <v>517.0</v>
      </c>
      <c r="C5122" s="9">
        <v>511.0</v>
      </c>
      <c r="D5122" s="9">
        <v>174.0</v>
      </c>
      <c r="E5122" s="9">
        <v>24.0</v>
      </c>
      <c r="F5122" s="14"/>
      <c r="G5122" s="15"/>
      <c r="H5122" s="15"/>
      <c r="I5122" s="14"/>
      <c r="P5122" s="14"/>
    </row>
    <row r="5123" ht="18.75" customHeight="1">
      <c r="A5123" s="7" t="s">
        <v>366</v>
      </c>
      <c r="B5123" s="9">
        <v>435.0</v>
      </c>
      <c r="C5123" s="9">
        <v>431.0</v>
      </c>
      <c r="D5123" s="9">
        <v>128.0</v>
      </c>
      <c r="E5123" s="9">
        <v>8.0</v>
      </c>
      <c r="F5123" s="14"/>
      <c r="G5123" s="15"/>
      <c r="H5123" s="15"/>
      <c r="I5123" s="14"/>
      <c r="P5123" s="14"/>
    </row>
    <row r="5124" ht="18.75" customHeight="1">
      <c r="A5124" s="7" t="s">
        <v>356</v>
      </c>
      <c r="B5124" s="9">
        <v>261.0</v>
      </c>
      <c r="C5124" s="9">
        <v>258.0</v>
      </c>
      <c r="D5124" s="9">
        <v>100.0</v>
      </c>
      <c r="E5124" s="9">
        <v>5.0</v>
      </c>
      <c r="F5124" s="14"/>
      <c r="G5124" s="15"/>
      <c r="H5124" s="15"/>
      <c r="I5124" s="14"/>
      <c r="P5124" s="14"/>
    </row>
    <row r="5125" ht="18.75" customHeight="1">
      <c r="A5125" s="7" t="s">
        <v>368</v>
      </c>
      <c r="B5125" s="9">
        <v>130.0</v>
      </c>
      <c r="C5125" s="9">
        <v>130.0</v>
      </c>
      <c r="D5125" s="9">
        <v>44.0</v>
      </c>
      <c r="E5125" s="9">
        <v>4.0</v>
      </c>
      <c r="F5125" s="14"/>
      <c r="G5125" s="15"/>
      <c r="H5125" s="15"/>
      <c r="I5125" s="14"/>
      <c r="P5125" s="14"/>
    </row>
    <row r="5126" ht="18.75" customHeight="1">
      <c r="A5126" s="7" t="s">
        <v>1467</v>
      </c>
      <c r="B5126" s="9">
        <v>2939.0</v>
      </c>
      <c r="C5126" s="9">
        <v>2907.0</v>
      </c>
      <c r="D5126" s="9">
        <v>865.0</v>
      </c>
      <c r="E5126" s="9">
        <v>92.0</v>
      </c>
      <c r="F5126" s="14"/>
      <c r="G5126" s="15"/>
      <c r="H5126" s="15"/>
      <c r="I5126" s="14"/>
      <c r="P5126" s="14"/>
    </row>
    <row r="5127" ht="18.75" customHeight="1">
      <c r="A5127" s="7" t="s">
        <v>1731</v>
      </c>
      <c r="B5127" s="9">
        <v>133133.0</v>
      </c>
      <c r="C5127" s="9">
        <v>131759.0</v>
      </c>
      <c r="D5127" s="9">
        <v>26104.0</v>
      </c>
      <c r="E5127" s="9">
        <v>405.0</v>
      </c>
      <c r="F5127" s="14"/>
      <c r="G5127" s="15"/>
      <c r="H5127" s="15"/>
      <c r="I5127" s="14"/>
      <c r="P5127" s="14"/>
    </row>
    <row r="5128" ht="18.75" customHeight="1">
      <c r="A5128" s="7" t="s">
        <v>1674</v>
      </c>
      <c r="B5128" s="9">
        <v>80.0</v>
      </c>
      <c r="C5128" s="9">
        <v>79.0</v>
      </c>
      <c r="D5128" s="9">
        <v>37.0</v>
      </c>
      <c r="E5128" s="9">
        <v>3.0</v>
      </c>
      <c r="F5128" s="14"/>
      <c r="G5128" s="15"/>
      <c r="H5128" s="15"/>
      <c r="I5128" s="14"/>
      <c r="P5128" s="14"/>
    </row>
    <row r="5129" ht="18.75" customHeight="1">
      <c r="A5129" s="7" t="s">
        <v>1699</v>
      </c>
      <c r="B5129" s="9">
        <v>136.0</v>
      </c>
      <c r="C5129" s="9">
        <v>135.0</v>
      </c>
      <c r="D5129" s="9">
        <v>56.0</v>
      </c>
      <c r="E5129" s="9">
        <v>1.0</v>
      </c>
      <c r="F5129" s="14"/>
      <c r="G5129" s="15"/>
      <c r="H5129" s="15"/>
      <c r="I5129" s="14"/>
      <c r="P5129" s="14"/>
    </row>
    <row r="5130" ht="18.75" customHeight="1">
      <c r="A5130" s="7" t="s">
        <v>1761</v>
      </c>
      <c r="B5130" s="9">
        <v>80805.0</v>
      </c>
      <c r="C5130" s="9">
        <v>79435.0</v>
      </c>
      <c r="D5130" s="9">
        <v>11274.0</v>
      </c>
      <c r="E5130" s="9">
        <v>192.0</v>
      </c>
      <c r="F5130" s="14"/>
      <c r="G5130" s="15"/>
      <c r="H5130" s="15"/>
      <c r="I5130" s="14"/>
      <c r="P5130" s="14"/>
    </row>
    <row r="5131" ht="18.75" customHeight="1">
      <c r="A5131" s="7" t="s">
        <v>1757</v>
      </c>
      <c r="B5131" s="9">
        <v>22207.0</v>
      </c>
      <c r="C5131" s="9">
        <v>21924.0</v>
      </c>
      <c r="D5131" s="9">
        <v>2844.0</v>
      </c>
      <c r="E5131" s="9">
        <v>180.0</v>
      </c>
      <c r="F5131" s="14"/>
      <c r="G5131" s="15"/>
      <c r="H5131" s="15"/>
      <c r="I5131" s="14"/>
      <c r="P5131" s="14"/>
    </row>
    <row r="5132" ht="18.75" customHeight="1">
      <c r="A5132" s="7" t="s">
        <v>1755</v>
      </c>
      <c r="B5132" s="9">
        <v>129.0</v>
      </c>
      <c r="C5132" s="9">
        <v>128.0</v>
      </c>
      <c r="D5132" s="9">
        <v>69.0</v>
      </c>
      <c r="E5132" s="9">
        <v>1.0</v>
      </c>
      <c r="F5132" s="14"/>
      <c r="G5132" s="15"/>
      <c r="H5132" s="15"/>
      <c r="I5132" s="14"/>
      <c r="P5132" s="14"/>
    </row>
    <row r="5133" ht="18.75" customHeight="1">
      <c r="A5133" s="7" t="s">
        <v>1719</v>
      </c>
      <c r="B5133" s="9">
        <v>14545.0</v>
      </c>
      <c r="C5133" s="9">
        <v>14379.0</v>
      </c>
      <c r="D5133" s="9">
        <v>5263.0</v>
      </c>
      <c r="E5133" s="9">
        <v>256.0</v>
      </c>
      <c r="F5133" s="14"/>
      <c r="G5133" s="15"/>
      <c r="H5133" s="15"/>
      <c r="I5133" s="14"/>
      <c r="P5133" s="14"/>
    </row>
    <row r="5134" ht="18.75" customHeight="1">
      <c r="A5134" s="7" t="s">
        <v>1721</v>
      </c>
      <c r="B5134" s="9">
        <v>13637.0</v>
      </c>
      <c r="C5134" s="9">
        <v>13469.0</v>
      </c>
      <c r="D5134" s="9">
        <v>4328.0</v>
      </c>
      <c r="E5134" s="9">
        <v>178.0</v>
      </c>
      <c r="F5134" s="14"/>
      <c r="G5134" s="15"/>
      <c r="H5134" s="15"/>
      <c r="I5134" s="14"/>
      <c r="P5134" s="14"/>
    </row>
    <row r="5135" ht="18.75" customHeight="1">
      <c r="A5135" s="7" t="s">
        <v>1775</v>
      </c>
      <c r="B5135" s="9">
        <v>80786.0</v>
      </c>
      <c r="C5135" s="9">
        <v>79911.0</v>
      </c>
      <c r="D5135" s="9">
        <v>12299.0</v>
      </c>
      <c r="E5135" s="9">
        <v>163.0</v>
      </c>
      <c r="F5135" s="14"/>
      <c r="G5135" s="15"/>
      <c r="H5135" s="15"/>
      <c r="I5135" s="14"/>
      <c r="P5135" s="14"/>
    </row>
    <row r="5136" ht="18.75" customHeight="1">
      <c r="A5136" s="7" t="s">
        <v>1497</v>
      </c>
      <c r="B5136" s="9">
        <v>272833.0</v>
      </c>
      <c r="C5136" s="9">
        <v>269391.0</v>
      </c>
      <c r="D5136" s="9">
        <v>80924.0</v>
      </c>
      <c r="E5136" s="9">
        <v>7373.0</v>
      </c>
      <c r="F5136" s="14"/>
      <c r="G5136" s="15"/>
      <c r="H5136" s="15"/>
      <c r="I5136" s="14"/>
      <c r="P5136" s="14"/>
    </row>
    <row r="5137" ht="18.75" customHeight="1">
      <c r="A5137" s="7" t="s">
        <v>1505</v>
      </c>
      <c r="B5137" s="9">
        <v>112431.0</v>
      </c>
      <c r="C5137" s="9">
        <v>111274.0</v>
      </c>
      <c r="D5137" s="9">
        <v>38066.0</v>
      </c>
      <c r="E5137" s="9">
        <v>950.0</v>
      </c>
      <c r="F5137" s="14"/>
      <c r="G5137" s="15"/>
      <c r="H5137" s="15"/>
      <c r="I5137" s="14"/>
      <c r="P5137" s="14"/>
    </row>
    <row r="5138" ht="18.75" customHeight="1">
      <c r="A5138" s="7" t="s">
        <v>1497</v>
      </c>
      <c r="B5138" s="9">
        <v>131377.0</v>
      </c>
      <c r="C5138" s="9">
        <v>130623.0</v>
      </c>
      <c r="D5138" s="9">
        <v>79645.0</v>
      </c>
      <c r="E5138" s="9">
        <v>3512.0</v>
      </c>
      <c r="F5138" s="14"/>
      <c r="G5138" s="15"/>
      <c r="H5138" s="15"/>
      <c r="I5138" s="14"/>
      <c r="P5138" s="14"/>
    </row>
    <row r="5139" ht="18.75" customHeight="1">
      <c r="A5139" s="7" t="s">
        <v>1773</v>
      </c>
      <c r="B5139" s="9">
        <v>76378.0</v>
      </c>
      <c r="C5139" s="9">
        <v>75678.0</v>
      </c>
      <c r="D5139" s="9">
        <v>16011.0</v>
      </c>
      <c r="E5139" s="9">
        <v>194.0</v>
      </c>
      <c r="F5139" s="14"/>
      <c r="G5139" s="15"/>
      <c r="H5139" s="15"/>
      <c r="I5139" s="14"/>
      <c r="P5139" s="14"/>
    </row>
    <row r="5140" ht="18.75" customHeight="1">
      <c r="A5140" s="7" t="s">
        <v>1741</v>
      </c>
      <c r="B5140" s="9">
        <v>125893.0</v>
      </c>
      <c r="C5140" s="9">
        <v>124990.0</v>
      </c>
      <c r="D5140" s="9">
        <v>48806.0</v>
      </c>
      <c r="E5140" s="9">
        <v>331.0</v>
      </c>
      <c r="F5140" s="14"/>
      <c r="G5140" s="15"/>
      <c r="H5140" s="15"/>
      <c r="I5140" s="14"/>
      <c r="P5140" s="14"/>
    </row>
    <row r="5141" ht="18.75" customHeight="1">
      <c r="A5141" s="7" t="s">
        <v>1771</v>
      </c>
      <c r="B5141" s="9">
        <v>73881.0</v>
      </c>
      <c r="C5141" s="9">
        <v>73036.0</v>
      </c>
      <c r="D5141" s="9">
        <v>12766.0</v>
      </c>
      <c r="E5141" s="9">
        <v>167.0</v>
      </c>
      <c r="F5141" s="14"/>
      <c r="G5141" s="15"/>
      <c r="H5141" s="15"/>
      <c r="I5141" s="14"/>
      <c r="P5141" s="14"/>
    </row>
    <row r="5142" ht="18.75" customHeight="1">
      <c r="A5142" s="7" t="s">
        <v>1763</v>
      </c>
      <c r="B5142" s="9">
        <v>263326.0</v>
      </c>
      <c r="C5142" s="9">
        <v>262430.0</v>
      </c>
      <c r="D5142" s="9">
        <v>85385.0</v>
      </c>
      <c r="E5142" s="9">
        <v>962.0</v>
      </c>
      <c r="F5142" s="14"/>
      <c r="G5142" s="15"/>
      <c r="H5142" s="15"/>
      <c r="I5142" s="14"/>
      <c r="P5142" s="14"/>
    </row>
    <row r="5143" ht="18.75" customHeight="1">
      <c r="A5143" s="7" t="s">
        <v>1729</v>
      </c>
      <c r="B5143" s="9">
        <v>24.0</v>
      </c>
      <c r="C5143" s="9">
        <v>23.0</v>
      </c>
      <c r="D5143" s="9">
        <v>12.0</v>
      </c>
      <c r="E5143" s="9">
        <v>6.0</v>
      </c>
      <c r="F5143" s="14"/>
      <c r="G5143" s="15"/>
      <c r="H5143" s="15"/>
      <c r="I5143" s="14"/>
      <c r="P5143" s="14"/>
    </row>
    <row r="5144" ht="18.75" customHeight="1">
      <c r="A5144" s="7" t="s">
        <v>1729</v>
      </c>
      <c r="B5144" s="9">
        <v>24.0</v>
      </c>
      <c r="C5144" s="9">
        <v>23.0</v>
      </c>
      <c r="D5144" s="9">
        <v>10.0</v>
      </c>
      <c r="E5144" s="9">
        <v>6.0</v>
      </c>
      <c r="F5144" s="14"/>
      <c r="G5144" s="15"/>
      <c r="H5144" s="15"/>
      <c r="I5144" s="14"/>
      <c r="P5144" s="14"/>
    </row>
    <row r="5145" ht="18.75" customHeight="1">
      <c r="A5145" s="7" t="s">
        <v>1729</v>
      </c>
      <c r="B5145" s="9">
        <v>24.0</v>
      </c>
      <c r="C5145" s="9">
        <v>23.0</v>
      </c>
      <c r="D5145" s="9">
        <v>9.0</v>
      </c>
      <c r="E5145" s="9">
        <v>5.0</v>
      </c>
      <c r="F5145" s="14"/>
      <c r="G5145" s="15"/>
      <c r="H5145" s="15"/>
      <c r="I5145" s="14"/>
      <c r="P5145" s="14"/>
    </row>
    <row r="5146" ht="18.75" customHeight="1">
      <c r="A5146" s="7" t="s">
        <v>1729</v>
      </c>
      <c r="B5146" s="9">
        <v>24.0</v>
      </c>
      <c r="C5146" s="9">
        <v>23.0</v>
      </c>
      <c r="D5146" s="9">
        <v>11.0</v>
      </c>
      <c r="E5146" s="9">
        <v>6.0</v>
      </c>
      <c r="F5146" s="14"/>
      <c r="G5146" s="15"/>
      <c r="H5146" s="15"/>
      <c r="I5146" s="14"/>
      <c r="P5146" s="14"/>
    </row>
    <row r="5147" ht="18.75" customHeight="1">
      <c r="A5147" s="7" t="s">
        <v>1731</v>
      </c>
      <c r="B5147" s="9">
        <v>142197.0</v>
      </c>
      <c r="C5147" s="9">
        <v>141308.0</v>
      </c>
      <c r="D5147" s="9">
        <v>45175.0</v>
      </c>
      <c r="E5147" s="9">
        <v>384.0</v>
      </c>
      <c r="F5147" s="14"/>
      <c r="G5147" s="15"/>
      <c r="H5147" s="15"/>
      <c r="I5147" s="14"/>
      <c r="P5147" s="14"/>
    </row>
    <row r="5148" ht="18.75" customHeight="1">
      <c r="A5148" s="7" t="s">
        <v>1799</v>
      </c>
      <c r="B5148" s="9">
        <v>68387.0</v>
      </c>
      <c r="C5148" s="9">
        <v>67680.0</v>
      </c>
      <c r="D5148" s="9">
        <v>23562.0</v>
      </c>
      <c r="E5148" s="9">
        <v>1230.0</v>
      </c>
      <c r="F5148" s="14"/>
      <c r="G5148" s="15"/>
      <c r="H5148" s="15"/>
      <c r="I5148" s="14"/>
      <c r="P5148" s="14"/>
    </row>
    <row r="5149" ht="18.75" customHeight="1">
      <c r="A5149" s="7" t="s">
        <v>1749</v>
      </c>
      <c r="B5149" s="9">
        <v>145316.0</v>
      </c>
      <c r="C5149" s="9">
        <v>143504.0</v>
      </c>
      <c r="D5149" s="9">
        <v>35586.0</v>
      </c>
      <c r="E5149" s="9">
        <v>437.0</v>
      </c>
      <c r="F5149" s="14"/>
      <c r="G5149" s="15"/>
      <c r="H5149" s="15"/>
      <c r="I5149" s="14"/>
      <c r="P5149" s="14"/>
    </row>
    <row r="5150" ht="18.75" customHeight="1">
      <c r="A5150" s="7" t="s">
        <v>1785</v>
      </c>
      <c r="B5150" s="9">
        <v>19081.0</v>
      </c>
      <c r="C5150" s="9">
        <v>18869.0</v>
      </c>
      <c r="D5150" s="9">
        <v>4806.0</v>
      </c>
      <c r="E5150" s="9">
        <v>70.0</v>
      </c>
      <c r="F5150" s="14"/>
      <c r="G5150" s="15"/>
      <c r="H5150" s="15"/>
      <c r="I5150" s="14"/>
      <c r="P5150" s="14"/>
    </row>
    <row r="5151" ht="18.75" customHeight="1">
      <c r="A5151" s="7" t="s">
        <v>1787</v>
      </c>
      <c r="B5151" s="9">
        <v>22887.0</v>
      </c>
      <c r="C5151" s="9">
        <v>22690.0</v>
      </c>
      <c r="D5151" s="9">
        <v>6733.0</v>
      </c>
      <c r="E5151" s="9">
        <v>149.0</v>
      </c>
      <c r="F5151" s="14"/>
      <c r="G5151" s="15"/>
      <c r="H5151" s="15"/>
      <c r="I5151" s="14"/>
      <c r="P5151" s="14"/>
    </row>
    <row r="5152" ht="18.75" customHeight="1">
      <c r="A5152" s="7" t="s">
        <v>1759</v>
      </c>
      <c r="B5152" s="9">
        <v>135.0</v>
      </c>
      <c r="C5152" s="9">
        <v>134.0</v>
      </c>
      <c r="D5152" s="9">
        <v>73.0</v>
      </c>
      <c r="E5152" s="9">
        <v>1.0</v>
      </c>
      <c r="F5152" s="14"/>
      <c r="G5152" s="15"/>
      <c r="H5152" s="15"/>
      <c r="I5152" s="14"/>
      <c r="P5152" s="14"/>
    </row>
    <row r="5153" ht="18.75" customHeight="1">
      <c r="A5153" s="7" t="s">
        <v>1676</v>
      </c>
      <c r="B5153" s="9">
        <v>626.0</v>
      </c>
      <c r="C5153" s="9">
        <v>624.0</v>
      </c>
      <c r="D5153" s="9">
        <v>370.0</v>
      </c>
      <c r="E5153" s="9">
        <v>6.0</v>
      </c>
      <c r="F5153" s="14"/>
      <c r="G5153" s="15"/>
      <c r="H5153" s="15"/>
      <c r="I5153" s="14"/>
      <c r="P5153" s="14"/>
    </row>
    <row r="5154" ht="18.75" customHeight="1">
      <c r="A5154" s="7" t="s">
        <v>366</v>
      </c>
      <c r="B5154" s="9">
        <v>1396.0</v>
      </c>
      <c r="C5154" s="9">
        <v>1378.0</v>
      </c>
      <c r="D5154" s="9">
        <v>446.0</v>
      </c>
      <c r="E5154" s="9">
        <v>37.0</v>
      </c>
      <c r="F5154" s="14"/>
      <c r="G5154" s="15"/>
      <c r="H5154" s="15"/>
      <c r="I5154" s="14"/>
      <c r="P5154" s="14"/>
    </row>
    <row r="5155" ht="18.75" customHeight="1">
      <c r="A5155" s="7" t="s">
        <v>1709</v>
      </c>
      <c r="B5155" s="9">
        <v>389.0</v>
      </c>
      <c r="C5155" s="9">
        <v>383.0</v>
      </c>
      <c r="D5155" s="9">
        <v>168.0</v>
      </c>
      <c r="E5155" s="9">
        <v>72.0</v>
      </c>
      <c r="F5155" s="14"/>
      <c r="G5155" s="15"/>
      <c r="H5155" s="15"/>
      <c r="I5155" s="14"/>
      <c r="P5155" s="14"/>
    </row>
    <row r="5156" ht="18.75" customHeight="1">
      <c r="A5156" s="7" t="s">
        <v>1731</v>
      </c>
      <c r="B5156" s="9">
        <v>500.0</v>
      </c>
      <c r="C5156" s="9">
        <v>499.0</v>
      </c>
      <c r="D5156" s="9">
        <v>332.0</v>
      </c>
      <c r="E5156" s="9">
        <v>3.0</v>
      </c>
      <c r="F5156" s="14"/>
      <c r="G5156" s="15"/>
      <c r="H5156" s="15"/>
      <c r="I5156" s="14"/>
      <c r="P5156" s="14"/>
    </row>
    <row r="5157" ht="18.75" customHeight="1">
      <c r="A5157" s="7" t="s">
        <v>1731</v>
      </c>
      <c r="B5157" s="9">
        <v>12616.0</v>
      </c>
      <c r="C5157" s="9">
        <v>12514.0</v>
      </c>
      <c r="D5157" s="9">
        <v>4018.0</v>
      </c>
      <c r="E5157" s="9">
        <v>156.0</v>
      </c>
      <c r="F5157" s="14"/>
      <c r="G5157" s="15"/>
      <c r="H5157" s="15"/>
      <c r="I5157" s="14"/>
      <c r="P5157" s="14"/>
    </row>
    <row r="5158" ht="18.75" customHeight="1">
      <c r="A5158" s="7" t="s">
        <v>1731</v>
      </c>
      <c r="B5158" s="9">
        <v>55145.0</v>
      </c>
      <c r="C5158" s="9">
        <v>54617.0</v>
      </c>
      <c r="D5158" s="9">
        <v>9422.0</v>
      </c>
      <c r="E5158" s="9">
        <v>149.0</v>
      </c>
      <c r="F5158" s="14"/>
      <c r="G5158" s="15"/>
      <c r="H5158" s="15"/>
      <c r="I5158" s="14"/>
      <c r="P5158" s="14"/>
    </row>
    <row r="5159" ht="18.75" customHeight="1">
      <c r="A5159" s="7" t="s">
        <v>1375</v>
      </c>
      <c r="B5159" s="9">
        <v>104888.0</v>
      </c>
      <c r="C5159" s="9">
        <v>103804.0</v>
      </c>
      <c r="D5159" s="9">
        <v>40091.0</v>
      </c>
      <c r="E5159" s="9">
        <v>2486.0</v>
      </c>
      <c r="F5159" s="14"/>
      <c r="G5159" s="15"/>
      <c r="H5159" s="15"/>
      <c r="I5159" s="14"/>
      <c r="P5159" s="14"/>
    </row>
    <row r="5160" ht="18.75" customHeight="1">
      <c r="A5160" s="7" t="s">
        <v>1661</v>
      </c>
      <c r="B5160" s="9">
        <v>1690.0</v>
      </c>
      <c r="C5160" s="9">
        <v>1685.0</v>
      </c>
      <c r="D5160" s="9">
        <v>744.0</v>
      </c>
      <c r="E5160" s="9">
        <v>101.0</v>
      </c>
      <c r="F5160" s="14"/>
      <c r="G5160" s="15"/>
      <c r="H5160" s="15"/>
      <c r="I5160" s="14"/>
      <c r="P5160" s="14"/>
    </row>
    <row r="5161" ht="18.75" customHeight="1">
      <c r="A5161" s="7" t="s">
        <v>1761</v>
      </c>
      <c r="B5161" s="9">
        <v>145.0</v>
      </c>
      <c r="C5161" s="9">
        <v>144.0</v>
      </c>
      <c r="D5161" s="9">
        <v>77.0</v>
      </c>
      <c r="E5161" s="9">
        <v>2.0</v>
      </c>
      <c r="F5161" s="14"/>
      <c r="G5161" s="15"/>
      <c r="H5161" s="15"/>
      <c r="I5161" s="14"/>
      <c r="P5161" s="14"/>
    </row>
    <row r="5162" ht="18.75" customHeight="1">
      <c r="A5162" s="7" t="s">
        <v>1775</v>
      </c>
      <c r="B5162" s="9">
        <v>124.0</v>
      </c>
      <c r="C5162" s="9">
        <v>123.0</v>
      </c>
      <c r="D5162" s="9">
        <v>62.0</v>
      </c>
      <c r="E5162" s="9">
        <v>1.0</v>
      </c>
      <c r="F5162" s="14"/>
      <c r="G5162" s="15"/>
      <c r="H5162" s="15"/>
      <c r="I5162" s="14"/>
      <c r="P5162" s="14"/>
    </row>
    <row r="5163" ht="18.75" customHeight="1">
      <c r="A5163" s="7" t="s">
        <v>1791</v>
      </c>
      <c r="B5163" s="9">
        <v>18210.0</v>
      </c>
      <c r="C5163" s="9">
        <v>17979.0</v>
      </c>
      <c r="D5163" s="9">
        <v>6043.0</v>
      </c>
      <c r="E5163" s="9">
        <v>247.0</v>
      </c>
      <c r="F5163" s="14"/>
      <c r="G5163" s="15"/>
      <c r="H5163" s="15"/>
      <c r="I5163" s="14"/>
      <c r="P5163" s="14"/>
    </row>
    <row r="5164" ht="18.75" customHeight="1">
      <c r="A5164" s="7" t="s">
        <v>1727</v>
      </c>
      <c r="B5164" s="9">
        <v>32034.0</v>
      </c>
      <c r="C5164" s="9">
        <v>31725.0</v>
      </c>
      <c r="D5164" s="9">
        <v>10983.0</v>
      </c>
      <c r="E5164" s="9">
        <v>228.0</v>
      </c>
      <c r="F5164" s="14"/>
      <c r="G5164" s="15"/>
      <c r="H5164" s="15"/>
      <c r="I5164" s="14"/>
      <c r="P5164" s="14"/>
    </row>
    <row r="5165" ht="18.75" customHeight="1">
      <c r="A5165" s="7" t="s">
        <v>1773</v>
      </c>
      <c r="B5165" s="9">
        <v>109.0</v>
      </c>
      <c r="C5165" s="9">
        <v>108.0</v>
      </c>
      <c r="D5165" s="9">
        <v>58.0</v>
      </c>
      <c r="E5165" s="9">
        <v>2.0</v>
      </c>
      <c r="F5165" s="14"/>
      <c r="G5165" s="15"/>
      <c r="H5165" s="15"/>
      <c r="I5165" s="14"/>
      <c r="P5165" s="14"/>
    </row>
    <row r="5166" ht="18.75" customHeight="1">
      <c r="A5166" s="7" t="s">
        <v>1771</v>
      </c>
      <c r="B5166" s="9">
        <v>94.0</v>
      </c>
      <c r="C5166" s="9">
        <v>93.0</v>
      </c>
      <c r="D5166" s="9">
        <v>58.0</v>
      </c>
      <c r="E5166" s="9">
        <v>1.0</v>
      </c>
      <c r="F5166" s="14"/>
      <c r="G5166" s="15"/>
      <c r="H5166" s="15"/>
      <c r="I5166" s="14"/>
      <c r="P5166" s="14"/>
    </row>
    <row r="5167" ht="18.75" customHeight="1">
      <c r="A5167" s="7" t="s">
        <v>1801</v>
      </c>
      <c r="B5167" s="9">
        <v>210492.0</v>
      </c>
      <c r="C5167" s="9">
        <v>208239.0</v>
      </c>
      <c r="D5167" s="9">
        <v>31239.0</v>
      </c>
      <c r="E5167" s="9">
        <v>476.0</v>
      </c>
      <c r="F5167" s="14"/>
      <c r="G5167" s="15"/>
      <c r="H5167" s="15"/>
      <c r="I5167" s="14"/>
      <c r="P5167" s="14"/>
    </row>
    <row r="5168" ht="18.75" customHeight="1">
      <c r="A5168" s="7" t="s">
        <v>1755</v>
      </c>
      <c r="B5168" s="9">
        <v>128.0</v>
      </c>
      <c r="C5168" s="9">
        <v>127.0</v>
      </c>
      <c r="D5168" s="9">
        <v>53.0</v>
      </c>
      <c r="E5168" s="9">
        <v>2.0</v>
      </c>
      <c r="F5168" s="14"/>
      <c r="G5168" s="15"/>
      <c r="H5168" s="15"/>
      <c r="I5168" s="14"/>
      <c r="P5168" s="14"/>
    </row>
    <row r="5169" ht="18.75" customHeight="1">
      <c r="A5169" s="7" t="s">
        <v>1793</v>
      </c>
      <c r="B5169" s="9">
        <v>10977.0</v>
      </c>
      <c r="C5169" s="9">
        <v>10885.0</v>
      </c>
      <c r="D5169" s="9">
        <v>4511.0</v>
      </c>
      <c r="E5169" s="9">
        <v>172.0</v>
      </c>
      <c r="F5169" s="14"/>
      <c r="G5169" s="15"/>
      <c r="H5169" s="15"/>
      <c r="I5169" s="14"/>
      <c r="P5169" s="14"/>
    </row>
    <row r="5170" ht="18.75" customHeight="1">
      <c r="A5170" s="7" t="s">
        <v>2857</v>
      </c>
      <c r="B5170" s="9">
        <v>101194.0</v>
      </c>
      <c r="C5170" s="9">
        <v>100138.0</v>
      </c>
      <c r="D5170" s="9">
        <v>28960.0</v>
      </c>
      <c r="E5170" s="9">
        <v>782.0</v>
      </c>
      <c r="F5170" s="14"/>
      <c r="G5170" s="15"/>
      <c r="H5170" s="15"/>
      <c r="I5170" s="14"/>
      <c r="P5170" s="14"/>
    </row>
    <row r="5171" ht="18.75" customHeight="1">
      <c r="A5171" s="7" t="s">
        <v>1507</v>
      </c>
      <c r="B5171" s="9">
        <v>85921.0</v>
      </c>
      <c r="C5171" s="9">
        <v>85009.0</v>
      </c>
      <c r="D5171" s="9">
        <v>28719.0</v>
      </c>
      <c r="E5171" s="9">
        <v>955.0</v>
      </c>
      <c r="F5171" s="14"/>
      <c r="G5171" s="15"/>
      <c r="H5171" s="15"/>
      <c r="I5171" s="14"/>
      <c r="P5171" s="14"/>
    </row>
    <row r="5172" ht="18.75" customHeight="1">
      <c r="A5172" s="7" t="s">
        <v>1785</v>
      </c>
      <c r="B5172" s="9">
        <v>71.0</v>
      </c>
      <c r="C5172" s="9">
        <v>70.0</v>
      </c>
      <c r="D5172" s="9">
        <v>36.0</v>
      </c>
      <c r="E5172" s="9">
        <v>1.0</v>
      </c>
      <c r="F5172" s="14"/>
      <c r="G5172" s="15"/>
      <c r="H5172" s="15"/>
      <c r="I5172" s="14"/>
      <c r="P5172" s="14"/>
    </row>
    <row r="5173" ht="18.75" customHeight="1">
      <c r="A5173" s="7" t="s">
        <v>1829</v>
      </c>
      <c r="B5173" s="9">
        <v>79525.0</v>
      </c>
      <c r="C5173" s="9">
        <v>78182.0</v>
      </c>
      <c r="D5173" s="9">
        <v>10480.0</v>
      </c>
      <c r="E5173" s="9">
        <v>195.0</v>
      </c>
      <c r="F5173" s="14"/>
      <c r="G5173" s="15"/>
      <c r="H5173" s="15"/>
      <c r="I5173" s="14"/>
      <c r="P5173" s="14"/>
    </row>
    <row r="5174" ht="18.75" customHeight="1">
      <c r="A5174" s="7" t="s">
        <v>1763</v>
      </c>
      <c r="B5174" s="9">
        <v>147920.0</v>
      </c>
      <c r="C5174" s="9">
        <v>146910.0</v>
      </c>
      <c r="D5174" s="9">
        <v>66904.0</v>
      </c>
      <c r="E5174" s="9">
        <v>1297.0</v>
      </c>
      <c r="F5174" s="14"/>
      <c r="G5174" s="15"/>
      <c r="H5174" s="15"/>
      <c r="I5174" s="14"/>
      <c r="P5174" s="14"/>
    </row>
    <row r="5175" ht="18.75" customHeight="1">
      <c r="A5175" s="7" t="s">
        <v>1759</v>
      </c>
      <c r="B5175" s="9">
        <v>134.0</v>
      </c>
      <c r="C5175" s="9">
        <v>133.0</v>
      </c>
      <c r="D5175" s="9">
        <v>68.0</v>
      </c>
      <c r="E5175" s="9">
        <v>2.0</v>
      </c>
      <c r="F5175" s="14"/>
      <c r="G5175" s="15"/>
      <c r="H5175" s="15"/>
      <c r="I5175" s="14"/>
      <c r="P5175" s="14"/>
    </row>
    <row r="5176" ht="18.75" customHeight="1">
      <c r="A5176" s="7" t="s">
        <v>1801</v>
      </c>
      <c r="B5176" s="9">
        <v>64116.0</v>
      </c>
      <c r="C5176" s="9">
        <v>63296.0</v>
      </c>
      <c r="D5176" s="9">
        <v>8309.0</v>
      </c>
      <c r="E5176" s="9">
        <v>148.0</v>
      </c>
      <c r="F5176" s="14"/>
      <c r="G5176" s="15"/>
      <c r="H5176" s="15"/>
      <c r="I5176" s="14"/>
      <c r="P5176" s="14"/>
    </row>
    <row r="5177" ht="18.75" customHeight="1">
      <c r="A5177" s="7" t="s">
        <v>1801</v>
      </c>
      <c r="B5177" s="9">
        <v>53750.0</v>
      </c>
      <c r="C5177" s="9">
        <v>53001.0</v>
      </c>
      <c r="D5177" s="9">
        <v>6508.0</v>
      </c>
      <c r="E5177" s="9">
        <v>147.0</v>
      </c>
      <c r="F5177" s="14"/>
      <c r="G5177" s="15"/>
      <c r="H5177" s="15"/>
      <c r="I5177" s="14"/>
      <c r="P5177" s="14"/>
    </row>
    <row r="5178" ht="18.75" customHeight="1">
      <c r="A5178" s="7" t="s">
        <v>1781</v>
      </c>
      <c r="B5178" s="9">
        <v>7429.0</v>
      </c>
      <c r="C5178" s="9">
        <v>7397.0</v>
      </c>
      <c r="D5178" s="9">
        <v>3046.0</v>
      </c>
      <c r="E5178" s="9">
        <v>225.0</v>
      </c>
      <c r="F5178" s="14"/>
      <c r="G5178" s="15"/>
      <c r="H5178" s="15"/>
      <c r="I5178" s="14"/>
      <c r="P5178" s="14"/>
    </row>
    <row r="5179" ht="18.75" customHeight="1">
      <c r="A5179" s="7" t="s">
        <v>1817</v>
      </c>
      <c r="B5179" s="9">
        <v>82495.0</v>
      </c>
      <c r="C5179" s="9">
        <v>81566.0</v>
      </c>
      <c r="D5179" s="9">
        <v>12625.0</v>
      </c>
      <c r="E5179" s="9">
        <v>228.0</v>
      </c>
      <c r="F5179" s="14"/>
      <c r="G5179" s="15"/>
      <c r="H5179" s="15"/>
      <c r="I5179" s="14"/>
      <c r="P5179" s="14"/>
    </row>
    <row r="5180" ht="18.75" customHeight="1">
      <c r="A5180" s="7" t="s">
        <v>1731</v>
      </c>
      <c r="B5180" s="9">
        <v>483.0</v>
      </c>
      <c r="C5180" s="9">
        <v>482.0</v>
      </c>
      <c r="D5180" s="9">
        <v>305.0</v>
      </c>
      <c r="E5180" s="9">
        <v>4.0</v>
      </c>
      <c r="F5180" s="14"/>
      <c r="G5180" s="15"/>
      <c r="H5180" s="15"/>
      <c r="I5180" s="14"/>
      <c r="P5180" s="14"/>
    </row>
    <row r="5181" ht="18.75" customHeight="1">
      <c r="A5181" s="7" t="s">
        <v>1761</v>
      </c>
      <c r="B5181" s="9">
        <v>145.0</v>
      </c>
      <c r="C5181" s="9">
        <v>144.0</v>
      </c>
      <c r="D5181" s="9">
        <v>62.0</v>
      </c>
      <c r="E5181" s="9">
        <v>3.0</v>
      </c>
      <c r="F5181" s="14"/>
      <c r="G5181" s="15"/>
      <c r="H5181" s="15"/>
      <c r="I5181" s="14"/>
      <c r="P5181" s="14"/>
    </row>
    <row r="5182" ht="18.75" customHeight="1">
      <c r="A5182" s="7" t="s">
        <v>1757</v>
      </c>
      <c r="B5182" s="9">
        <v>187.0</v>
      </c>
      <c r="C5182" s="9">
        <v>186.0</v>
      </c>
      <c r="D5182" s="9">
        <v>111.0</v>
      </c>
      <c r="E5182" s="9">
        <v>1.0</v>
      </c>
      <c r="F5182" s="14"/>
      <c r="G5182" s="15"/>
      <c r="H5182" s="15"/>
      <c r="I5182" s="14"/>
      <c r="P5182" s="14"/>
    </row>
    <row r="5183" ht="18.75" customHeight="1">
      <c r="A5183" s="7" t="s">
        <v>1819</v>
      </c>
      <c r="B5183" s="9">
        <v>22514.0</v>
      </c>
      <c r="C5183" s="9">
        <v>22398.0</v>
      </c>
      <c r="D5183" s="9">
        <v>4771.0</v>
      </c>
      <c r="E5183" s="9">
        <v>132.0</v>
      </c>
      <c r="F5183" s="14"/>
      <c r="G5183" s="15"/>
      <c r="H5183" s="15"/>
      <c r="I5183" s="14"/>
      <c r="P5183" s="14"/>
    </row>
    <row r="5184" ht="18.75" customHeight="1">
      <c r="A5184" s="7" t="s">
        <v>1815</v>
      </c>
      <c r="B5184" s="9">
        <v>522.0</v>
      </c>
      <c r="C5184" s="9">
        <v>520.0</v>
      </c>
      <c r="D5184" s="9">
        <v>326.0</v>
      </c>
      <c r="E5184" s="9">
        <v>5.0</v>
      </c>
      <c r="F5184" s="14"/>
      <c r="G5184" s="15"/>
      <c r="H5184" s="15"/>
      <c r="I5184" s="14"/>
      <c r="P5184" s="14"/>
    </row>
    <row r="5185" ht="18.75" customHeight="1">
      <c r="A5185" s="7" t="s">
        <v>1713</v>
      </c>
      <c r="B5185" s="9">
        <v>97712.0</v>
      </c>
      <c r="C5185" s="9">
        <v>96708.0</v>
      </c>
      <c r="D5185" s="9">
        <v>28503.0</v>
      </c>
      <c r="E5185" s="9">
        <v>433.0</v>
      </c>
      <c r="F5185" s="14"/>
      <c r="G5185" s="15"/>
      <c r="H5185" s="15"/>
      <c r="I5185" s="14"/>
      <c r="P5185" s="14"/>
    </row>
    <row r="5186" ht="18.75" customHeight="1">
      <c r="A5186" s="7" t="s">
        <v>1775</v>
      </c>
      <c r="B5186" s="9">
        <v>106.0</v>
      </c>
      <c r="C5186" s="9">
        <v>105.0</v>
      </c>
      <c r="D5186" s="9">
        <v>42.0</v>
      </c>
      <c r="E5186" s="9">
        <v>1.0</v>
      </c>
      <c r="F5186" s="14"/>
      <c r="G5186" s="15"/>
      <c r="H5186" s="15"/>
      <c r="I5186" s="14"/>
      <c r="P5186" s="14"/>
    </row>
    <row r="5187" ht="18.75" customHeight="1">
      <c r="A5187" s="7" t="s">
        <v>1773</v>
      </c>
      <c r="B5187" s="9">
        <v>109.0</v>
      </c>
      <c r="C5187" s="9">
        <v>108.0</v>
      </c>
      <c r="D5187" s="9">
        <v>45.0</v>
      </c>
      <c r="E5187" s="9">
        <v>1.0</v>
      </c>
      <c r="F5187" s="14"/>
      <c r="G5187" s="15"/>
      <c r="H5187" s="15"/>
      <c r="I5187" s="14"/>
      <c r="P5187" s="14"/>
    </row>
    <row r="5188" ht="18.75" customHeight="1">
      <c r="A5188" s="7" t="s">
        <v>1803</v>
      </c>
      <c r="B5188" s="9">
        <v>52822.0</v>
      </c>
      <c r="C5188" s="9">
        <v>52167.0</v>
      </c>
      <c r="D5188" s="9">
        <v>11620.0</v>
      </c>
      <c r="E5188" s="9">
        <v>333.0</v>
      </c>
      <c r="F5188" s="14"/>
      <c r="G5188" s="15"/>
      <c r="H5188" s="15"/>
      <c r="I5188" s="14"/>
      <c r="P5188" s="14"/>
    </row>
    <row r="5189" ht="18.75" customHeight="1">
      <c r="A5189" s="7" t="s">
        <v>1809</v>
      </c>
      <c r="B5189" s="9">
        <v>84193.0</v>
      </c>
      <c r="C5189" s="9">
        <v>83336.0</v>
      </c>
      <c r="D5189" s="9">
        <v>22505.0</v>
      </c>
      <c r="E5189" s="9">
        <v>750.0</v>
      </c>
      <c r="F5189" s="14"/>
      <c r="G5189" s="15"/>
      <c r="H5189" s="15"/>
      <c r="I5189" s="14"/>
      <c r="P5189" s="14"/>
    </row>
    <row r="5190" ht="18.75" customHeight="1">
      <c r="A5190" s="7" t="s">
        <v>1771</v>
      </c>
      <c r="B5190" s="9">
        <v>94.0</v>
      </c>
      <c r="C5190" s="9">
        <v>93.0</v>
      </c>
      <c r="D5190" s="9">
        <v>39.0</v>
      </c>
      <c r="E5190" s="9">
        <v>1.0</v>
      </c>
      <c r="F5190" s="14"/>
      <c r="G5190" s="15"/>
      <c r="H5190" s="15"/>
      <c r="I5190" s="14"/>
      <c r="P5190" s="14"/>
    </row>
    <row r="5191" ht="18.75" customHeight="1">
      <c r="A5191" s="7" t="s">
        <v>1743</v>
      </c>
      <c r="B5191" s="9">
        <v>12947.0</v>
      </c>
      <c r="C5191" s="9">
        <v>12724.0</v>
      </c>
      <c r="D5191" s="9">
        <v>4358.0</v>
      </c>
      <c r="E5191" s="9">
        <v>432.0</v>
      </c>
      <c r="F5191" s="14"/>
      <c r="G5191" s="15"/>
      <c r="H5191" s="15"/>
      <c r="I5191" s="14"/>
      <c r="P5191" s="14"/>
    </row>
    <row r="5192" ht="18.75" customHeight="1">
      <c r="A5192" s="7" t="s">
        <v>1743</v>
      </c>
      <c r="B5192" s="9">
        <v>88860.0</v>
      </c>
      <c r="C5192" s="9">
        <v>87831.0</v>
      </c>
      <c r="D5192" s="9">
        <v>23662.0</v>
      </c>
      <c r="E5192" s="9">
        <v>1914.0</v>
      </c>
      <c r="F5192" s="14"/>
      <c r="G5192" s="15"/>
      <c r="H5192" s="15"/>
      <c r="I5192" s="14"/>
      <c r="P5192" s="14"/>
    </row>
    <row r="5193" ht="18.75" customHeight="1">
      <c r="A5193" s="7" t="s">
        <v>1743</v>
      </c>
      <c r="B5193" s="9">
        <v>24576.0</v>
      </c>
      <c r="C5193" s="9">
        <v>24224.0</v>
      </c>
      <c r="D5193" s="9">
        <v>6846.0</v>
      </c>
      <c r="E5193" s="9">
        <v>454.0</v>
      </c>
      <c r="F5193" s="14"/>
      <c r="G5193" s="15"/>
      <c r="H5193" s="15"/>
      <c r="I5193" s="14"/>
      <c r="P5193" s="14"/>
    </row>
    <row r="5194" ht="18.75" customHeight="1">
      <c r="A5194" s="7" t="s">
        <v>1813</v>
      </c>
      <c r="B5194" s="9">
        <v>142757.0</v>
      </c>
      <c r="C5194" s="9">
        <v>142106.0</v>
      </c>
      <c r="D5194" s="9">
        <v>57531.0</v>
      </c>
      <c r="E5194" s="9">
        <v>533.0</v>
      </c>
      <c r="F5194" s="14"/>
      <c r="G5194" s="15"/>
      <c r="H5194" s="15"/>
      <c r="I5194" s="14"/>
      <c r="P5194" s="14"/>
    </row>
    <row r="5195" ht="18.75" customHeight="1">
      <c r="A5195" s="7" t="s">
        <v>372</v>
      </c>
      <c r="B5195" s="9">
        <v>2398.0</v>
      </c>
      <c r="C5195" s="9">
        <v>2383.0</v>
      </c>
      <c r="D5195" s="9">
        <v>762.0</v>
      </c>
      <c r="E5195" s="9">
        <v>41.0</v>
      </c>
      <c r="F5195" s="14"/>
      <c r="G5195" s="15"/>
      <c r="H5195" s="15"/>
      <c r="I5195" s="14"/>
      <c r="P5195" s="14"/>
    </row>
    <row r="5196" ht="18.75" customHeight="1">
      <c r="A5196" s="7" t="s">
        <v>370</v>
      </c>
      <c r="B5196" s="9">
        <v>229.0</v>
      </c>
      <c r="C5196" s="9">
        <v>228.0</v>
      </c>
      <c r="D5196" s="9">
        <v>55.0</v>
      </c>
      <c r="E5196" s="9">
        <v>6.0</v>
      </c>
      <c r="F5196" s="14"/>
      <c r="G5196" s="15"/>
      <c r="H5196" s="15"/>
      <c r="I5196" s="14"/>
      <c r="P5196" s="14"/>
    </row>
    <row r="5197" ht="18.75" customHeight="1">
      <c r="A5197" s="7" t="s">
        <v>370</v>
      </c>
      <c r="B5197" s="9">
        <v>102.0</v>
      </c>
      <c r="C5197" s="9">
        <v>101.0</v>
      </c>
      <c r="D5197" s="9">
        <v>34.0</v>
      </c>
      <c r="E5197" s="9">
        <v>6.0</v>
      </c>
      <c r="F5197" s="14"/>
      <c r="G5197" s="15"/>
      <c r="H5197" s="15"/>
      <c r="I5197" s="14"/>
      <c r="P5197" s="14"/>
    </row>
    <row r="5198" ht="18.75" customHeight="1">
      <c r="A5198" s="7" t="s">
        <v>366</v>
      </c>
      <c r="B5198" s="9">
        <v>1024.0</v>
      </c>
      <c r="C5198" s="9">
        <v>1018.0</v>
      </c>
      <c r="D5198" s="9">
        <v>337.0</v>
      </c>
      <c r="E5198" s="9">
        <v>21.0</v>
      </c>
      <c r="F5198" s="14"/>
      <c r="G5198" s="15"/>
      <c r="H5198" s="15"/>
      <c r="I5198" s="14"/>
      <c r="P5198" s="14"/>
    </row>
    <row r="5199" ht="18.75" customHeight="1">
      <c r="A5199" s="7" t="s">
        <v>366</v>
      </c>
      <c r="B5199" s="9">
        <v>622.0</v>
      </c>
      <c r="C5199" s="9">
        <v>617.0</v>
      </c>
      <c r="D5199" s="9">
        <v>182.0</v>
      </c>
      <c r="E5199" s="9">
        <v>10.0</v>
      </c>
      <c r="F5199" s="14"/>
      <c r="G5199" s="15"/>
      <c r="H5199" s="15"/>
      <c r="I5199" s="14"/>
      <c r="P5199" s="14"/>
    </row>
    <row r="5200" ht="18.75" customHeight="1">
      <c r="A5200" s="7" t="s">
        <v>3759</v>
      </c>
      <c r="B5200" s="9">
        <v>198.0</v>
      </c>
      <c r="C5200" s="9">
        <v>198.0</v>
      </c>
      <c r="D5200" s="9">
        <v>70.0</v>
      </c>
      <c r="E5200" s="9">
        <v>5.0</v>
      </c>
      <c r="F5200" s="14"/>
      <c r="G5200" s="15"/>
      <c r="H5200" s="15"/>
      <c r="I5200" s="14"/>
      <c r="P5200" s="14"/>
    </row>
    <row r="5201" ht="18.75" customHeight="1">
      <c r="A5201" s="7" t="s">
        <v>1467</v>
      </c>
      <c r="B5201" s="9">
        <v>4818.0</v>
      </c>
      <c r="C5201" s="9">
        <v>4760.0</v>
      </c>
      <c r="D5201" s="9">
        <v>1505.0</v>
      </c>
      <c r="E5201" s="9">
        <v>127.0</v>
      </c>
      <c r="F5201" s="14"/>
      <c r="G5201" s="15"/>
      <c r="H5201" s="15"/>
      <c r="I5201" s="14"/>
      <c r="P5201" s="14"/>
    </row>
    <row r="5202" ht="18.75" customHeight="1">
      <c r="A5202" s="7" t="s">
        <v>374</v>
      </c>
      <c r="B5202" s="9">
        <v>5214.0</v>
      </c>
      <c r="C5202" s="9">
        <v>5152.0</v>
      </c>
      <c r="D5202" s="9">
        <v>1696.0</v>
      </c>
      <c r="E5202" s="9">
        <v>79.0</v>
      </c>
      <c r="F5202" s="14"/>
      <c r="G5202" s="15"/>
      <c r="H5202" s="15"/>
      <c r="I5202" s="14"/>
      <c r="P5202" s="14"/>
    </row>
    <row r="5203" ht="18.75" customHeight="1">
      <c r="A5203" s="7" t="s">
        <v>374</v>
      </c>
      <c r="B5203" s="9">
        <v>4240.0</v>
      </c>
      <c r="C5203" s="9">
        <v>4203.0</v>
      </c>
      <c r="D5203" s="9">
        <v>1213.0</v>
      </c>
      <c r="E5203" s="9">
        <v>50.0</v>
      </c>
      <c r="F5203" s="14"/>
      <c r="G5203" s="15"/>
      <c r="H5203" s="15"/>
      <c r="I5203" s="14"/>
      <c r="P5203" s="14"/>
    </row>
    <row r="5204" ht="18.75" customHeight="1">
      <c r="A5204" s="7" t="s">
        <v>1813</v>
      </c>
      <c r="B5204" s="9">
        <v>71166.0</v>
      </c>
      <c r="C5204" s="9">
        <v>70955.0</v>
      </c>
      <c r="D5204" s="9">
        <v>36705.0</v>
      </c>
      <c r="E5204" s="9">
        <v>240.0</v>
      </c>
      <c r="F5204" s="14"/>
      <c r="G5204" s="15"/>
      <c r="H5204" s="15"/>
      <c r="I5204" s="14"/>
      <c r="P5204" s="14"/>
    </row>
    <row r="5205" ht="18.75" customHeight="1">
      <c r="A5205" s="7" t="s">
        <v>1769</v>
      </c>
      <c r="B5205" s="9">
        <v>157.0</v>
      </c>
      <c r="C5205" s="9">
        <v>156.0</v>
      </c>
      <c r="D5205" s="9">
        <v>51.0</v>
      </c>
      <c r="E5205" s="9">
        <v>1.0</v>
      </c>
      <c r="F5205" s="14"/>
      <c r="G5205" s="15"/>
      <c r="H5205" s="15"/>
      <c r="I5205" s="14"/>
      <c r="P5205" s="14"/>
    </row>
    <row r="5206" ht="18.75" customHeight="1">
      <c r="A5206" s="7" t="s">
        <v>1827</v>
      </c>
      <c r="B5206" s="9">
        <v>15004.0</v>
      </c>
      <c r="C5206" s="9">
        <v>14971.0</v>
      </c>
      <c r="D5206" s="9">
        <v>9246.0</v>
      </c>
      <c r="E5206" s="9">
        <v>96.0</v>
      </c>
      <c r="F5206" s="14"/>
      <c r="G5206" s="15"/>
      <c r="H5206" s="15"/>
      <c r="I5206" s="14"/>
      <c r="P5206" s="14"/>
    </row>
    <row r="5207" ht="18.75" customHeight="1">
      <c r="A5207" s="7" t="s">
        <v>1837</v>
      </c>
      <c r="B5207" s="9">
        <v>29803.0</v>
      </c>
      <c r="C5207" s="9">
        <v>29412.0</v>
      </c>
      <c r="D5207" s="9">
        <v>3003.0</v>
      </c>
      <c r="E5207" s="9">
        <v>165.0</v>
      </c>
      <c r="F5207" s="14"/>
      <c r="G5207" s="15"/>
      <c r="H5207" s="15"/>
      <c r="I5207" s="14"/>
      <c r="P5207" s="14"/>
    </row>
    <row r="5208" ht="18.75" customHeight="1">
      <c r="A5208" s="7" t="s">
        <v>1815</v>
      </c>
      <c r="B5208" s="9">
        <v>5761.0</v>
      </c>
      <c r="C5208" s="9">
        <v>5740.0</v>
      </c>
      <c r="D5208" s="9">
        <v>2586.0</v>
      </c>
      <c r="E5208" s="9">
        <v>17.0</v>
      </c>
      <c r="F5208" s="14"/>
      <c r="G5208" s="15"/>
      <c r="H5208" s="15"/>
      <c r="I5208" s="14"/>
      <c r="P5208" s="14"/>
    </row>
    <row r="5209" ht="18.75" customHeight="1">
      <c r="A5209" s="7" t="s">
        <v>1797</v>
      </c>
      <c r="B5209" s="9">
        <v>57705.0</v>
      </c>
      <c r="C5209" s="9">
        <v>56840.0</v>
      </c>
      <c r="D5209" s="9">
        <v>12946.0</v>
      </c>
      <c r="E5209" s="9">
        <v>666.0</v>
      </c>
      <c r="F5209" s="14"/>
      <c r="G5209" s="15"/>
      <c r="H5209" s="15"/>
      <c r="I5209" s="14"/>
      <c r="P5209" s="14"/>
    </row>
    <row r="5210" ht="18.75" customHeight="1">
      <c r="A5210" s="7" t="s">
        <v>1797</v>
      </c>
      <c r="B5210" s="9">
        <v>122072.0</v>
      </c>
      <c r="C5210" s="9">
        <v>121835.0</v>
      </c>
      <c r="D5210" s="9">
        <v>90488.0</v>
      </c>
      <c r="E5210" s="9">
        <v>2258.0</v>
      </c>
      <c r="F5210" s="14"/>
      <c r="G5210" s="15"/>
      <c r="H5210" s="15"/>
      <c r="I5210" s="14"/>
      <c r="P5210" s="14"/>
    </row>
    <row r="5211" ht="18.75" customHeight="1">
      <c r="A5211" s="7" t="s">
        <v>1785</v>
      </c>
      <c r="B5211" s="9">
        <v>70.0</v>
      </c>
      <c r="C5211" s="9">
        <v>69.0</v>
      </c>
      <c r="D5211" s="9">
        <v>31.0</v>
      </c>
      <c r="E5211" s="9">
        <v>1.0</v>
      </c>
      <c r="F5211" s="14"/>
      <c r="G5211" s="15"/>
      <c r="H5211" s="15"/>
      <c r="I5211" s="14"/>
      <c r="P5211" s="14"/>
    </row>
    <row r="5212" ht="18.75" customHeight="1">
      <c r="A5212" s="7" t="s">
        <v>1787</v>
      </c>
      <c r="B5212" s="9">
        <v>41.0</v>
      </c>
      <c r="C5212" s="9">
        <v>40.0</v>
      </c>
      <c r="D5212" s="9">
        <v>11.0</v>
      </c>
      <c r="E5212" s="9">
        <v>1.0</v>
      </c>
      <c r="F5212" s="14"/>
      <c r="G5212" s="15"/>
      <c r="H5212" s="15"/>
      <c r="I5212" s="14"/>
      <c r="P5212" s="14"/>
    </row>
    <row r="5213" ht="18.75" customHeight="1">
      <c r="A5213" s="7" t="s">
        <v>1795</v>
      </c>
      <c r="B5213" s="9">
        <v>11970.0</v>
      </c>
      <c r="C5213" s="9">
        <v>11829.0</v>
      </c>
      <c r="D5213" s="9">
        <v>4161.0</v>
      </c>
      <c r="E5213" s="9">
        <v>170.0</v>
      </c>
      <c r="F5213" s="14"/>
      <c r="G5213" s="15"/>
      <c r="H5213" s="15"/>
      <c r="I5213" s="14"/>
      <c r="P5213" s="14"/>
    </row>
    <row r="5214" ht="18.75" customHeight="1">
      <c r="A5214" s="7" t="s">
        <v>1825</v>
      </c>
      <c r="B5214" s="9">
        <v>72508.0</v>
      </c>
      <c r="C5214" s="9">
        <v>71722.0</v>
      </c>
      <c r="D5214" s="9">
        <v>12795.0</v>
      </c>
      <c r="E5214" s="9">
        <v>189.0</v>
      </c>
      <c r="F5214" s="14"/>
      <c r="G5214" s="15"/>
      <c r="H5214" s="15"/>
      <c r="I5214" s="14"/>
      <c r="P5214" s="14"/>
    </row>
    <row r="5215" ht="18.75" customHeight="1">
      <c r="A5215" s="7" t="s">
        <v>1821</v>
      </c>
      <c r="B5215" s="9">
        <v>62034.0</v>
      </c>
      <c r="C5215" s="9">
        <v>60693.0</v>
      </c>
      <c r="D5215" s="9">
        <v>7165.0</v>
      </c>
      <c r="E5215" s="9">
        <v>117.0</v>
      </c>
      <c r="F5215" s="14"/>
      <c r="G5215" s="15"/>
      <c r="H5215" s="15"/>
      <c r="I5215" s="14"/>
      <c r="P5215" s="14"/>
    </row>
    <row r="5216" ht="18.75" customHeight="1">
      <c r="A5216" s="7" t="s">
        <v>1823</v>
      </c>
      <c r="B5216" s="9">
        <v>68114.0</v>
      </c>
      <c r="C5216" s="9">
        <v>67115.0</v>
      </c>
      <c r="D5216" s="9">
        <v>10268.0</v>
      </c>
      <c r="E5216" s="9">
        <v>168.0</v>
      </c>
      <c r="F5216" s="14"/>
      <c r="G5216" s="15"/>
      <c r="H5216" s="15"/>
      <c r="I5216" s="14"/>
      <c r="P5216" s="14"/>
    </row>
    <row r="5217" ht="18.75" customHeight="1">
      <c r="A5217" s="7" t="s">
        <v>1801</v>
      </c>
      <c r="B5217" s="9">
        <v>434.0</v>
      </c>
      <c r="C5217" s="9">
        <v>433.0</v>
      </c>
      <c r="D5217" s="9">
        <v>293.0</v>
      </c>
      <c r="E5217" s="9">
        <v>5.0</v>
      </c>
      <c r="F5217" s="14"/>
      <c r="G5217" s="15"/>
      <c r="H5217" s="15"/>
      <c r="I5217" s="14"/>
      <c r="P5217" s="14"/>
    </row>
    <row r="5218" ht="18.75" customHeight="1">
      <c r="A5218" s="7" t="s">
        <v>1817</v>
      </c>
      <c r="B5218" s="9">
        <v>134.0</v>
      </c>
      <c r="C5218" s="9">
        <v>133.0</v>
      </c>
      <c r="D5218" s="9">
        <v>81.0</v>
      </c>
      <c r="E5218" s="9">
        <v>1.0</v>
      </c>
      <c r="F5218" s="14"/>
      <c r="G5218" s="15"/>
      <c r="H5218" s="15"/>
      <c r="I5218" s="14"/>
      <c r="P5218" s="14"/>
    </row>
    <row r="5219" ht="18.75" customHeight="1">
      <c r="A5219" s="7" t="s">
        <v>1825</v>
      </c>
      <c r="B5219" s="9">
        <v>72475.0</v>
      </c>
      <c r="C5219" s="9">
        <v>71689.0</v>
      </c>
      <c r="D5219" s="9">
        <v>12501.0</v>
      </c>
      <c r="E5219" s="9">
        <v>183.0</v>
      </c>
      <c r="F5219" s="14"/>
      <c r="G5219" s="15"/>
      <c r="H5219" s="15"/>
      <c r="I5219" s="14"/>
      <c r="P5219" s="14"/>
    </row>
    <row r="5220" ht="18.75" customHeight="1">
      <c r="A5220" s="7" t="s">
        <v>1507</v>
      </c>
      <c r="B5220" s="9">
        <v>78982.0</v>
      </c>
      <c r="C5220" s="9">
        <v>77765.0</v>
      </c>
      <c r="D5220" s="9">
        <v>24417.0</v>
      </c>
      <c r="E5220" s="9">
        <v>242.0</v>
      </c>
      <c r="F5220" s="14"/>
      <c r="G5220" s="15"/>
      <c r="H5220" s="15"/>
      <c r="I5220" s="14"/>
      <c r="P5220" s="14"/>
    </row>
    <row r="5221" ht="18.75" customHeight="1">
      <c r="A5221" s="7" t="s">
        <v>1829</v>
      </c>
      <c r="B5221" s="9">
        <v>155.0</v>
      </c>
      <c r="C5221" s="9">
        <v>154.0</v>
      </c>
      <c r="D5221" s="9">
        <v>84.0</v>
      </c>
      <c r="E5221" s="9">
        <v>1.0</v>
      </c>
      <c r="F5221" s="14"/>
      <c r="G5221" s="15"/>
      <c r="H5221" s="15"/>
      <c r="I5221" s="14"/>
      <c r="P5221" s="14"/>
    </row>
    <row r="5222" ht="18.75" customHeight="1">
      <c r="A5222" s="7" t="s">
        <v>1639</v>
      </c>
      <c r="B5222" s="9">
        <v>175778.0</v>
      </c>
      <c r="C5222" s="9">
        <v>173954.0</v>
      </c>
      <c r="D5222" s="9">
        <v>57914.0</v>
      </c>
      <c r="E5222" s="9">
        <v>5759.0</v>
      </c>
      <c r="F5222" s="14"/>
      <c r="G5222" s="15"/>
      <c r="H5222" s="15"/>
      <c r="I5222" s="14"/>
      <c r="P5222" s="14"/>
    </row>
    <row r="5223" ht="18.75" customHeight="1">
      <c r="A5223" s="7" t="s">
        <v>1813</v>
      </c>
      <c r="B5223" s="9">
        <v>107926.0</v>
      </c>
      <c r="C5223" s="9">
        <v>107011.0</v>
      </c>
      <c r="D5223" s="9">
        <v>34096.0</v>
      </c>
      <c r="E5223" s="9">
        <v>528.0</v>
      </c>
      <c r="F5223" s="14"/>
      <c r="G5223" s="15"/>
      <c r="H5223" s="15"/>
      <c r="I5223" s="14"/>
      <c r="P5223" s="14"/>
    </row>
    <row r="5224" ht="18.75" customHeight="1">
      <c r="A5224" s="7" t="s">
        <v>1813</v>
      </c>
      <c r="B5224" s="9">
        <v>88231.0</v>
      </c>
      <c r="C5224" s="9">
        <v>87633.0</v>
      </c>
      <c r="D5224" s="9">
        <v>26191.0</v>
      </c>
      <c r="E5224" s="9">
        <v>350.0</v>
      </c>
      <c r="F5224" s="14"/>
      <c r="G5224" s="15"/>
      <c r="H5224" s="15"/>
      <c r="I5224" s="14"/>
      <c r="P5224" s="14"/>
    </row>
    <row r="5225" ht="18.75" customHeight="1">
      <c r="A5225" s="7" t="s">
        <v>1701</v>
      </c>
      <c r="B5225" s="9">
        <v>134868.0</v>
      </c>
      <c r="C5225" s="9">
        <v>133039.0</v>
      </c>
      <c r="D5225" s="9">
        <v>30753.0</v>
      </c>
      <c r="E5225" s="9">
        <v>1664.0</v>
      </c>
      <c r="F5225" s="14"/>
      <c r="G5225" s="15"/>
      <c r="H5225" s="15"/>
      <c r="I5225" s="14"/>
      <c r="P5225" s="14"/>
    </row>
    <row r="5226" ht="18.75" customHeight="1">
      <c r="A5226" s="7" t="s">
        <v>1825</v>
      </c>
      <c r="B5226" s="12"/>
      <c r="C5226" s="12"/>
      <c r="D5226" s="12"/>
      <c r="E5226" s="12"/>
      <c r="F5226" s="14"/>
      <c r="G5226" s="15"/>
      <c r="H5226" s="15"/>
      <c r="I5226" s="14"/>
      <c r="P5226" s="14"/>
    </row>
    <row r="5227" ht="18.75" customHeight="1">
      <c r="A5227" s="7" t="s">
        <v>1821</v>
      </c>
      <c r="B5227" s="9">
        <v>102.0</v>
      </c>
      <c r="C5227" s="9">
        <v>101.0</v>
      </c>
      <c r="D5227" s="9">
        <v>56.0</v>
      </c>
      <c r="E5227" s="9">
        <v>1.0</v>
      </c>
      <c r="F5227" s="14"/>
      <c r="G5227" s="15"/>
      <c r="H5227" s="15"/>
      <c r="I5227" s="14"/>
      <c r="P5227" s="14"/>
    </row>
    <row r="5228" ht="18.75" customHeight="1">
      <c r="A5228" s="7" t="s">
        <v>1767</v>
      </c>
      <c r="B5228" s="9">
        <v>54690.0</v>
      </c>
      <c r="C5228" s="9">
        <v>54110.0</v>
      </c>
      <c r="D5228" s="9">
        <v>17062.0</v>
      </c>
      <c r="E5228" s="9">
        <v>235.0</v>
      </c>
      <c r="F5228" s="14"/>
      <c r="G5228" s="15"/>
      <c r="H5228" s="15"/>
      <c r="I5228" s="14"/>
      <c r="P5228" s="14"/>
    </row>
    <row r="5229" ht="18.75" customHeight="1">
      <c r="A5229" s="7" t="s">
        <v>1881</v>
      </c>
      <c r="B5229" s="9">
        <v>86102.0</v>
      </c>
      <c r="C5229" s="9">
        <v>85317.0</v>
      </c>
      <c r="D5229" s="9">
        <v>30739.0</v>
      </c>
      <c r="E5229" s="9">
        <v>782.0</v>
      </c>
      <c r="F5229" s="14"/>
      <c r="G5229" s="15"/>
      <c r="H5229" s="15"/>
      <c r="I5229" s="14"/>
      <c r="P5229" s="14"/>
    </row>
    <row r="5230" ht="18.75" customHeight="1">
      <c r="A5230" s="7" t="s">
        <v>1811</v>
      </c>
      <c r="B5230" s="9">
        <v>145739.0</v>
      </c>
      <c r="C5230" s="9">
        <v>144142.0</v>
      </c>
      <c r="D5230" s="9">
        <v>49575.0</v>
      </c>
      <c r="E5230" s="9">
        <v>6822.0</v>
      </c>
      <c r="F5230" s="14"/>
      <c r="G5230" s="15"/>
      <c r="H5230" s="15"/>
      <c r="I5230" s="14"/>
      <c r="P5230" s="14"/>
    </row>
    <row r="5231" ht="18.75" customHeight="1">
      <c r="A5231" s="7" t="s">
        <v>1823</v>
      </c>
      <c r="B5231" s="9">
        <v>124.0</v>
      </c>
      <c r="C5231" s="9">
        <v>123.0</v>
      </c>
      <c r="D5231" s="9">
        <v>69.0</v>
      </c>
      <c r="E5231" s="9">
        <v>1.0</v>
      </c>
      <c r="F5231" s="14"/>
      <c r="G5231" s="15"/>
      <c r="H5231" s="15"/>
      <c r="I5231" s="14"/>
      <c r="P5231" s="14"/>
    </row>
    <row r="5232" ht="18.75" customHeight="1">
      <c r="A5232" s="7" t="s">
        <v>1807</v>
      </c>
      <c r="B5232" s="9">
        <v>218405.0</v>
      </c>
      <c r="C5232" s="9">
        <v>215828.0</v>
      </c>
      <c r="D5232" s="9">
        <v>59201.0</v>
      </c>
      <c r="E5232" s="9">
        <v>394.0</v>
      </c>
      <c r="F5232" s="14"/>
      <c r="G5232" s="15"/>
      <c r="H5232" s="15"/>
      <c r="I5232" s="14"/>
      <c r="P5232" s="14"/>
    </row>
    <row r="5233" ht="18.75" customHeight="1">
      <c r="A5233" s="7" t="s">
        <v>1841</v>
      </c>
      <c r="B5233" s="9">
        <v>26646.0</v>
      </c>
      <c r="C5233" s="9">
        <v>26646.0</v>
      </c>
      <c r="D5233" s="9">
        <v>6.0</v>
      </c>
      <c r="E5233" s="9">
        <v>0.0</v>
      </c>
      <c r="F5233" s="14"/>
      <c r="G5233" s="15"/>
      <c r="H5233" s="15"/>
      <c r="I5233" s="14"/>
      <c r="P5233" s="14"/>
    </row>
    <row r="5234" ht="18.75" customHeight="1">
      <c r="A5234" s="7" t="s">
        <v>424</v>
      </c>
      <c r="B5234" s="9">
        <v>1879.0</v>
      </c>
      <c r="C5234" s="9">
        <v>1857.0</v>
      </c>
      <c r="D5234" s="9">
        <v>497.0</v>
      </c>
      <c r="E5234" s="9">
        <v>16.0</v>
      </c>
      <c r="F5234" s="14"/>
      <c r="G5234" s="15"/>
      <c r="H5234" s="15"/>
      <c r="I5234" s="14"/>
      <c r="P5234" s="14"/>
    </row>
    <row r="5235" ht="18.75" customHeight="1">
      <c r="A5235" s="7" t="s">
        <v>424</v>
      </c>
      <c r="B5235" s="9">
        <v>9533.0</v>
      </c>
      <c r="C5235" s="9">
        <v>9449.0</v>
      </c>
      <c r="D5235" s="9">
        <v>3382.0</v>
      </c>
      <c r="E5235" s="9">
        <v>76.0</v>
      </c>
      <c r="F5235" s="14"/>
      <c r="G5235" s="15"/>
      <c r="H5235" s="15"/>
      <c r="I5235" s="14"/>
      <c r="P5235" s="14"/>
    </row>
    <row r="5236" ht="18.75" customHeight="1">
      <c r="A5236" s="7" t="s">
        <v>1757</v>
      </c>
      <c r="B5236" s="9">
        <v>3108.0</v>
      </c>
      <c r="C5236" s="9">
        <v>3100.0</v>
      </c>
      <c r="D5236" s="9">
        <v>2033.0</v>
      </c>
      <c r="E5236" s="9">
        <v>6.0</v>
      </c>
      <c r="F5236" s="14"/>
      <c r="G5236" s="15"/>
      <c r="H5236" s="15"/>
      <c r="I5236" s="14"/>
      <c r="P5236" s="14"/>
    </row>
    <row r="5237" ht="18.75" customHeight="1">
      <c r="A5237" s="7" t="s">
        <v>1757</v>
      </c>
      <c r="B5237" s="9">
        <v>182.0</v>
      </c>
      <c r="C5237" s="9">
        <v>181.0</v>
      </c>
      <c r="D5237" s="9">
        <v>77.0</v>
      </c>
      <c r="E5237" s="9">
        <v>2.0</v>
      </c>
      <c r="F5237" s="14"/>
      <c r="G5237" s="15"/>
      <c r="H5237" s="15"/>
      <c r="I5237" s="14"/>
      <c r="P5237" s="14"/>
    </row>
    <row r="5238" ht="18.75" customHeight="1">
      <c r="A5238" s="7" t="s">
        <v>1827</v>
      </c>
      <c r="B5238" s="9">
        <v>171.0</v>
      </c>
      <c r="C5238" s="9">
        <v>170.0</v>
      </c>
      <c r="D5238" s="9">
        <v>87.0</v>
      </c>
      <c r="E5238" s="9">
        <v>2.0</v>
      </c>
      <c r="F5238" s="14"/>
      <c r="G5238" s="15"/>
      <c r="H5238" s="15"/>
      <c r="I5238" s="14"/>
      <c r="P5238" s="14"/>
    </row>
    <row r="5239" ht="18.75" customHeight="1">
      <c r="A5239" s="7" t="s">
        <v>1837</v>
      </c>
      <c r="B5239" s="9">
        <v>309.0</v>
      </c>
      <c r="C5239" s="9">
        <v>300.0</v>
      </c>
      <c r="D5239" s="9">
        <v>169.0</v>
      </c>
      <c r="E5239" s="9">
        <v>3.0</v>
      </c>
      <c r="F5239" s="14"/>
      <c r="G5239" s="15"/>
      <c r="H5239" s="15"/>
      <c r="I5239" s="14"/>
      <c r="P5239" s="14"/>
    </row>
    <row r="5240" ht="18.75" customHeight="1">
      <c r="A5240" s="7" t="s">
        <v>1777</v>
      </c>
      <c r="B5240" s="9">
        <v>70733.0</v>
      </c>
      <c r="C5240" s="9">
        <v>69679.0</v>
      </c>
      <c r="D5240" s="9">
        <v>21250.0</v>
      </c>
      <c r="E5240" s="9">
        <v>920.0</v>
      </c>
      <c r="F5240" s="14"/>
      <c r="G5240" s="15"/>
      <c r="H5240" s="15"/>
      <c r="I5240" s="14"/>
      <c r="P5240" s="14"/>
    </row>
    <row r="5241" ht="18.75" customHeight="1">
      <c r="A5241" s="7" t="s">
        <v>1861</v>
      </c>
      <c r="B5241" s="9">
        <v>23052.0</v>
      </c>
      <c r="C5241" s="9">
        <v>22816.0</v>
      </c>
      <c r="D5241" s="9">
        <v>5824.0</v>
      </c>
      <c r="E5241" s="9">
        <v>75.0</v>
      </c>
      <c r="F5241" s="14"/>
      <c r="G5241" s="15"/>
      <c r="H5241" s="15"/>
      <c r="I5241" s="14"/>
      <c r="P5241" s="14"/>
    </row>
    <row r="5242" ht="18.75" customHeight="1">
      <c r="A5242" s="7" t="s">
        <v>1857</v>
      </c>
      <c r="B5242" s="9">
        <v>75977.0</v>
      </c>
      <c r="C5242" s="9">
        <v>75273.0</v>
      </c>
      <c r="D5242" s="9">
        <v>17898.0</v>
      </c>
      <c r="E5242" s="9">
        <v>549.0</v>
      </c>
      <c r="F5242" s="14"/>
      <c r="G5242" s="15"/>
      <c r="H5242" s="15"/>
      <c r="I5242" s="14"/>
      <c r="P5242" s="14"/>
    </row>
    <row r="5243" ht="18.75" customHeight="1">
      <c r="A5243" s="7" t="s">
        <v>1555</v>
      </c>
      <c r="B5243" s="9">
        <v>235256.0</v>
      </c>
      <c r="C5243" s="9">
        <v>232624.0</v>
      </c>
      <c r="D5243" s="9">
        <v>74245.0</v>
      </c>
      <c r="E5243" s="9">
        <v>1769.0</v>
      </c>
      <c r="F5243" s="14"/>
      <c r="G5243" s="15"/>
      <c r="H5243" s="15"/>
      <c r="I5243" s="14"/>
      <c r="P5243" s="14"/>
    </row>
    <row r="5244" ht="18.75" customHeight="1">
      <c r="A5244" s="7" t="s">
        <v>1783</v>
      </c>
      <c r="B5244" s="9">
        <v>18434.0</v>
      </c>
      <c r="C5244" s="9">
        <v>18198.0</v>
      </c>
      <c r="D5244" s="9">
        <v>3857.0</v>
      </c>
      <c r="E5244" s="9">
        <v>72.0</v>
      </c>
      <c r="F5244" s="14"/>
      <c r="G5244" s="15"/>
      <c r="H5244" s="15"/>
      <c r="I5244" s="14"/>
      <c r="P5244" s="14"/>
    </row>
    <row r="5245" ht="18.75" customHeight="1">
      <c r="A5245" s="7" t="s">
        <v>1829</v>
      </c>
      <c r="B5245" s="9">
        <v>156.0</v>
      </c>
      <c r="C5245" s="9">
        <v>155.0</v>
      </c>
      <c r="D5245" s="9">
        <v>68.0</v>
      </c>
      <c r="E5245" s="9">
        <v>2.0</v>
      </c>
      <c r="F5245" s="14"/>
      <c r="G5245" s="15"/>
      <c r="H5245" s="15"/>
      <c r="I5245" s="14"/>
      <c r="P5245" s="14"/>
    </row>
    <row r="5246" ht="18.75" customHeight="1">
      <c r="A5246" s="7" t="s">
        <v>1737</v>
      </c>
      <c r="B5246" s="9">
        <v>74809.0</v>
      </c>
      <c r="C5246" s="9">
        <v>74047.0</v>
      </c>
      <c r="D5246" s="9">
        <v>22655.0</v>
      </c>
      <c r="E5246" s="9">
        <v>878.0</v>
      </c>
      <c r="F5246" s="14"/>
      <c r="G5246" s="15"/>
      <c r="H5246" s="15"/>
      <c r="I5246" s="14"/>
      <c r="P5246" s="14"/>
    </row>
    <row r="5247" ht="18.75" customHeight="1">
      <c r="A5247" s="7" t="s">
        <v>1871</v>
      </c>
      <c r="B5247" s="9">
        <v>14334.0</v>
      </c>
      <c r="C5247" s="9">
        <v>14247.0</v>
      </c>
      <c r="D5247" s="9">
        <v>3141.0</v>
      </c>
      <c r="E5247" s="9">
        <v>60.0</v>
      </c>
      <c r="F5247" s="14"/>
      <c r="G5247" s="15"/>
      <c r="H5247" s="15"/>
      <c r="I5247" s="14"/>
      <c r="P5247" s="14"/>
    </row>
    <row r="5248" ht="18.75" customHeight="1">
      <c r="A5248" s="7" t="s">
        <v>1817</v>
      </c>
      <c r="B5248" s="9">
        <v>132.0</v>
      </c>
      <c r="C5248" s="9">
        <v>131.0</v>
      </c>
      <c r="D5248" s="9">
        <v>60.0</v>
      </c>
      <c r="E5248" s="9">
        <v>1.0</v>
      </c>
      <c r="F5248" s="14"/>
      <c r="G5248" s="15"/>
      <c r="H5248" s="15"/>
      <c r="I5248" s="14"/>
      <c r="P5248" s="14"/>
    </row>
    <row r="5249" ht="18.75" customHeight="1">
      <c r="A5249" s="7" t="s">
        <v>1733</v>
      </c>
      <c r="B5249" s="9">
        <v>37942.0</v>
      </c>
      <c r="C5249" s="9">
        <v>37325.0</v>
      </c>
      <c r="D5249" s="9">
        <v>7462.0</v>
      </c>
      <c r="E5249" s="9">
        <v>24.0</v>
      </c>
      <c r="F5249" s="14"/>
      <c r="G5249" s="15"/>
      <c r="H5249" s="15"/>
      <c r="I5249" s="14"/>
      <c r="P5249" s="14"/>
    </row>
    <row r="5250" ht="18.75" customHeight="1">
      <c r="A5250" s="7" t="s">
        <v>1869</v>
      </c>
      <c r="B5250" s="9">
        <v>68399.0</v>
      </c>
      <c r="C5250" s="9">
        <v>67566.0</v>
      </c>
      <c r="D5250" s="9">
        <v>8400.0</v>
      </c>
      <c r="E5250" s="9">
        <v>173.0</v>
      </c>
      <c r="F5250" s="14"/>
      <c r="G5250" s="15"/>
      <c r="H5250" s="15"/>
      <c r="I5250" s="14"/>
      <c r="P5250" s="14"/>
    </row>
    <row r="5251" ht="18.75" customHeight="1">
      <c r="A5251" s="7" t="s">
        <v>2857</v>
      </c>
      <c r="B5251" s="9">
        <v>111459.0</v>
      </c>
      <c r="C5251" s="9">
        <v>110220.0</v>
      </c>
      <c r="D5251" s="9">
        <v>33661.0</v>
      </c>
      <c r="E5251" s="9">
        <v>786.0</v>
      </c>
      <c r="F5251" s="14"/>
      <c r="G5251" s="15"/>
      <c r="H5251" s="15"/>
      <c r="I5251" s="14"/>
      <c r="P5251" s="14"/>
    </row>
    <row r="5252" ht="18.75" customHeight="1">
      <c r="A5252" s="7" t="s">
        <v>1873</v>
      </c>
      <c r="B5252" s="9">
        <v>18616.0</v>
      </c>
      <c r="C5252" s="9">
        <v>18272.0</v>
      </c>
      <c r="D5252" s="9">
        <v>2623.0</v>
      </c>
      <c r="E5252" s="9">
        <v>30.0</v>
      </c>
      <c r="F5252" s="14"/>
      <c r="G5252" s="15"/>
      <c r="H5252" s="15"/>
      <c r="I5252" s="14"/>
      <c r="P5252" s="14"/>
    </row>
    <row r="5253" ht="18.75" customHeight="1">
      <c r="A5253" s="7" t="s">
        <v>1843</v>
      </c>
      <c r="B5253" s="9">
        <v>14675.0</v>
      </c>
      <c r="C5253" s="9">
        <v>14542.0</v>
      </c>
      <c r="D5253" s="9">
        <v>4382.0</v>
      </c>
      <c r="E5253" s="9">
        <v>171.0</v>
      </c>
      <c r="F5253" s="14"/>
      <c r="G5253" s="15"/>
      <c r="H5253" s="15"/>
      <c r="I5253" s="14"/>
      <c r="P5253" s="14"/>
    </row>
    <row r="5254" ht="18.75" customHeight="1">
      <c r="A5254" s="7" t="s">
        <v>1845</v>
      </c>
      <c r="B5254" s="9">
        <v>10663.0</v>
      </c>
      <c r="C5254" s="9">
        <v>10587.0</v>
      </c>
      <c r="D5254" s="9">
        <v>2557.0</v>
      </c>
      <c r="E5254" s="9">
        <v>93.0</v>
      </c>
      <c r="F5254" s="14"/>
      <c r="G5254" s="15"/>
      <c r="H5254" s="15"/>
      <c r="I5254" s="14"/>
      <c r="P5254" s="14"/>
    </row>
    <row r="5255" ht="18.75" customHeight="1">
      <c r="A5255" s="7" t="s">
        <v>1847</v>
      </c>
      <c r="B5255" s="9">
        <v>45803.0</v>
      </c>
      <c r="C5255" s="9">
        <v>45571.0</v>
      </c>
      <c r="D5255" s="9">
        <v>15621.0</v>
      </c>
      <c r="E5255" s="9">
        <v>460.0</v>
      </c>
      <c r="F5255" s="14"/>
      <c r="G5255" s="15"/>
      <c r="H5255" s="15"/>
      <c r="I5255" s="14"/>
      <c r="P5255" s="14"/>
    </row>
    <row r="5256" ht="18.75" customHeight="1">
      <c r="A5256" s="7" t="s">
        <v>1825</v>
      </c>
      <c r="B5256" s="9">
        <v>121.0</v>
      </c>
      <c r="C5256" s="9">
        <v>120.0</v>
      </c>
      <c r="D5256" s="9">
        <v>41.0</v>
      </c>
      <c r="E5256" s="9">
        <v>1.0</v>
      </c>
      <c r="F5256" s="14"/>
      <c r="G5256" s="15"/>
      <c r="H5256" s="15"/>
      <c r="I5256" s="14"/>
      <c r="P5256" s="14"/>
    </row>
    <row r="5257" ht="18.75" customHeight="1">
      <c r="A5257" s="7" t="s">
        <v>1821</v>
      </c>
      <c r="B5257" s="9">
        <v>102.0</v>
      </c>
      <c r="C5257" s="9">
        <v>101.0</v>
      </c>
      <c r="D5257" s="9">
        <v>30.0</v>
      </c>
      <c r="E5257" s="9">
        <v>1.0</v>
      </c>
      <c r="F5257" s="14"/>
      <c r="G5257" s="15"/>
      <c r="H5257" s="15"/>
      <c r="I5257" s="14"/>
      <c r="P5257" s="14"/>
    </row>
    <row r="5258" ht="18.75" customHeight="1">
      <c r="A5258" s="7" t="s">
        <v>1881</v>
      </c>
      <c r="B5258" s="9">
        <v>39839.0</v>
      </c>
      <c r="C5258" s="9">
        <v>39389.0</v>
      </c>
      <c r="D5258" s="9">
        <v>10294.0</v>
      </c>
      <c r="E5258" s="9">
        <v>137.0</v>
      </c>
      <c r="F5258" s="14"/>
      <c r="G5258" s="15"/>
      <c r="H5258" s="15"/>
      <c r="I5258" s="14"/>
      <c r="P5258" s="14"/>
    </row>
    <row r="5259" ht="18.75" customHeight="1">
      <c r="A5259" s="7" t="s">
        <v>1892</v>
      </c>
      <c r="B5259" s="9">
        <v>86529.0</v>
      </c>
      <c r="C5259" s="9">
        <v>85900.0</v>
      </c>
      <c r="D5259" s="9">
        <v>27453.0</v>
      </c>
      <c r="E5259" s="9">
        <v>1050.0</v>
      </c>
      <c r="F5259" s="14"/>
      <c r="G5259" s="15"/>
      <c r="H5259" s="15"/>
      <c r="I5259" s="14"/>
      <c r="P5259" s="14"/>
    </row>
    <row r="5260" ht="18.75" customHeight="1">
      <c r="A5260" s="7" t="s">
        <v>1890</v>
      </c>
      <c r="B5260" s="9">
        <v>108894.0</v>
      </c>
      <c r="C5260" s="9">
        <v>107802.0</v>
      </c>
      <c r="D5260" s="9">
        <v>23052.0</v>
      </c>
      <c r="E5260" s="9">
        <v>323.0</v>
      </c>
      <c r="F5260" s="14"/>
      <c r="G5260" s="15"/>
      <c r="H5260" s="15"/>
      <c r="I5260" s="14"/>
      <c r="P5260" s="14"/>
    </row>
    <row r="5261" ht="18.75" customHeight="1">
      <c r="A5261" s="7" t="s">
        <v>1823</v>
      </c>
      <c r="B5261" s="9">
        <v>124.0</v>
      </c>
      <c r="C5261" s="9">
        <v>123.0</v>
      </c>
      <c r="D5261" s="9">
        <v>39.0</v>
      </c>
      <c r="E5261" s="9">
        <v>1.0</v>
      </c>
      <c r="F5261" s="14"/>
      <c r="G5261" s="15"/>
      <c r="H5261" s="15"/>
      <c r="I5261" s="14"/>
      <c r="P5261" s="14"/>
    </row>
    <row r="5262" ht="18.75" customHeight="1">
      <c r="A5262" s="7" t="s">
        <v>1737</v>
      </c>
      <c r="B5262" s="9">
        <v>77392.0</v>
      </c>
      <c r="C5262" s="9">
        <v>76525.0</v>
      </c>
      <c r="D5262" s="9">
        <v>22824.0</v>
      </c>
      <c r="E5262" s="9">
        <v>709.0</v>
      </c>
      <c r="F5262" s="14"/>
      <c r="G5262" s="15"/>
      <c r="H5262" s="15"/>
      <c r="I5262" s="14"/>
      <c r="P5262" s="14"/>
    </row>
    <row r="5263" ht="18.75" customHeight="1">
      <c r="A5263" s="7" t="s">
        <v>1863</v>
      </c>
      <c r="B5263" s="9">
        <v>16031.0</v>
      </c>
      <c r="C5263" s="9">
        <v>15803.0</v>
      </c>
      <c r="D5263" s="9">
        <v>1742.0</v>
      </c>
      <c r="E5263" s="9">
        <v>77.0</v>
      </c>
      <c r="F5263" s="14"/>
      <c r="G5263" s="15"/>
      <c r="H5263" s="15"/>
      <c r="I5263" s="14"/>
      <c r="P5263" s="14"/>
    </row>
    <row r="5264" ht="18.75" customHeight="1">
      <c r="A5264" s="7" t="s">
        <v>1733</v>
      </c>
      <c r="B5264" s="9">
        <v>165024.0</v>
      </c>
      <c r="C5264" s="9">
        <v>162224.0</v>
      </c>
      <c r="D5264" s="9">
        <v>32985.0</v>
      </c>
      <c r="E5264" s="9">
        <v>142.0</v>
      </c>
      <c r="F5264" s="14"/>
      <c r="G5264" s="15"/>
      <c r="H5264" s="15"/>
      <c r="I5264" s="14"/>
      <c r="P5264" s="14"/>
    </row>
    <row r="5265" ht="18.75" customHeight="1">
      <c r="A5265" s="7" t="s">
        <v>1733</v>
      </c>
      <c r="B5265" s="9">
        <v>311131.0</v>
      </c>
      <c r="C5265" s="9">
        <v>309491.0</v>
      </c>
      <c r="D5265" s="9">
        <v>121291.0</v>
      </c>
      <c r="E5265" s="9">
        <v>838.0</v>
      </c>
      <c r="F5265" s="14"/>
      <c r="G5265" s="15"/>
      <c r="H5265" s="15"/>
      <c r="I5265" s="14"/>
      <c r="P5265" s="14"/>
    </row>
    <row r="5266" ht="18.75" customHeight="1">
      <c r="A5266" s="7" t="s">
        <v>1535</v>
      </c>
      <c r="B5266" s="9">
        <v>333.0</v>
      </c>
      <c r="C5266" s="9">
        <v>329.0</v>
      </c>
      <c r="D5266" s="9">
        <v>125.0</v>
      </c>
      <c r="E5266" s="9">
        <v>11.0</v>
      </c>
      <c r="F5266" s="14"/>
      <c r="G5266" s="15"/>
      <c r="H5266" s="15"/>
      <c r="I5266" s="14"/>
      <c r="P5266" s="14"/>
    </row>
    <row r="5267" ht="18.75" customHeight="1">
      <c r="A5267" s="7" t="s">
        <v>372</v>
      </c>
      <c r="B5267" s="9">
        <v>5694.0</v>
      </c>
      <c r="C5267" s="9">
        <v>5646.0</v>
      </c>
      <c r="D5267" s="9">
        <v>1666.0</v>
      </c>
      <c r="E5267" s="9">
        <v>88.0</v>
      </c>
      <c r="F5267" s="14"/>
      <c r="G5267" s="15"/>
      <c r="H5267" s="15"/>
      <c r="I5267" s="14"/>
      <c r="P5267" s="14"/>
    </row>
    <row r="5268" ht="18.75" customHeight="1">
      <c r="A5268" s="7" t="s">
        <v>370</v>
      </c>
      <c r="B5268" s="9">
        <v>141.0</v>
      </c>
      <c r="C5268" s="9">
        <v>140.0</v>
      </c>
      <c r="D5268" s="9">
        <v>46.0</v>
      </c>
      <c r="E5268" s="9">
        <v>6.0</v>
      </c>
      <c r="F5268" s="14"/>
      <c r="G5268" s="15"/>
      <c r="H5268" s="15"/>
      <c r="I5268" s="14"/>
      <c r="P5268" s="14"/>
    </row>
    <row r="5269" ht="18.75" customHeight="1">
      <c r="A5269" s="7" t="s">
        <v>370</v>
      </c>
      <c r="B5269" s="9">
        <v>163.0</v>
      </c>
      <c r="C5269" s="9">
        <v>163.0</v>
      </c>
      <c r="D5269" s="9">
        <v>53.0</v>
      </c>
      <c r="E5269" s="9">
        <v>2.0</v>
      </c>
      <c r="F5269" s="14"/>
      <c r="G5269" s="15"/>
      <c r="H5269" s="15"/>
      <c r="I5269" s="14"/>
      <c r="P5269" s="14"/>
    </row>
    <row r="5270" ht="18.75" customHeight="1">
      <c r="A5270" s="7" t="s">
        <v>366</v>
      </c>
      <c r="B5270" s="9">
        <v>1110.0</v>
      </c>
      <c r="C5270" s="9">
        <v>1092.0</v>
      </c>
      <c r="D5270" s="9">
        <v>383.0</v>
      </c>
      <c r="E5270" s="9">
        <v>19.0</v>
      </c>
      <c r="F5270" s="14"/>
      <c r="G5270" s="15"/>
      <c r="H5270" s="15"/>
      <c r="I5270" s="14"/>
      <c r="P5270" s="14"/>
    </row>
    <row r="5271" ht="18.75" customHeight="1">
      <c r="A5271" s="7" t="s">
        <v>366</v>
      </c>
      <c r="B5271" s="9">
        <v>1005.0</v>
      </c>
      <c r="C5271" s="9">
        <v>997.0</v>
      </c>
      <c r="D5271" s="9">
        <v>316.0</v>
      </c>
      <c r="E5271" s="9">
        <v>13.0</v>
      </c>
      <c r="F5271" s="14"/>
      <c r="G5271" s="15"/>
      <c r="H5271" s="15"/>
      <c r="I5271" s="14"/>
      <c r="P5271" s="14"/>
    </row>
    <row r="5272" ht="18.75" customHeight="1">
      <c r="A5272" s="7" t="s">
        <v>368</v>
      </c>
      <c r="B5272" s="9">
        <v>54.0</v>
      </c>
      <c r="C5272" s="9">
        <v>54.0</v>
      </c>
      <c r="D5272" s="9">
        <v>16.0</v>
      </c>
      <c r="E5272" s="9">
        <v>2.0</v>
      </c>
      <c r="F5272" s="14"/>
      <c r="G5272" s="15"/>
      <c r="H5272" s="15"/>
      <c r="I5272" s="14"/>
      <c r="P5272" s="14"/>
    </row>
    <row r="5273" ht="18.75" customHeight="1">
      <c r="A5273" s="7" t="s">
        <v>1467</v>
      </c>
      <c r="B5273" s="9">
        <v>3056.0</v>
      </c>
      <c r="C5273" s="9">
        <v>3031.0</v>
      </c>
      <c r="D5273" s="9">
        <v>967.0</v>
      </c>
      <c r="E5273" s="9">
        <v>88.0</v>
      </c>
      <c r="F5273" s="14"/>
      <c r="G5273" s="15"/>
      <c r="H5273" s="15"/>
      <c r="I5273" s="14"/>
      <c r="P5273" s="14"/>
    </row>
    <row r="5274" ht="18.75" customHeight="1">
      <c r="A5274" s="7" t="s">
        <v>1819</v>
      </c>
      <c r="B5274" s="9">
        <v>69.0</v>
      </c>
      <c r="C5274" s="9">
        <v>68.0</v>
      </c>
      <c r="D5274" s="9">
        <v>27.0</v>
      </c>
      <c r="E5274" s="9">
        <v>2.0</v>
      </c>
      <c r="F5274" s="14"/>
      <c r="G5274" s="15"/>
      <c r="H5274" s="15"/>
      <c r="I5274" s="14"/>
      <c r="P5274" s="14"/>
    </row>
    <row r="5275" ht="18.75" customHeight="1">
      <c r="A5275" s="7" t="s">
        <v>1831</v>
      </c>
      <c r="B5275" s="9">
        <v>91792.0</v>
      </c>
      <c r="C5275" s="9">
        <v>89345.0</v>
      </c>
      <c r="D5275" s="9">
        <v>23651.0</v>
      </c>
      <c r="E5275" s="9">
        <v>1156.0</v>
      </c>
      <c r="F5275" s="14"/>
      <c r="G5275" s="15"/>
      <c r="H5275" s="15"/>
      <c r="I5275" s="14"/>
      <c r="P5275" s="14"/>
    </row>
    <row r="5276" ht="18.75" customHeight="1">
      <c r="A5276" s="7" t="s">
        <v>1884</v>
      </c>
      <c r="B5276" s="9">
        <v>70664.0</v>
      </c>
      <c r="C5276" s="9">
        <v>69912.0</v>
      </c>
      <c r="D5276" s="9">
        <v>12374.0</v>
      </c>
      <c r="E5276" s="9">
        <v>240.0</v>
      </c>
      <c r="F5276" s="14"/>
      <c r="G5276" s="15"/>
      <c r="H5276" s="15"/>
      <c r="I5276" s="14"/>
      <c r="P5276" s="14"/>
    </row>
    <row r="5277" ht="18.75" customHeight="1">
      <c r="A5277" s="7" t="s">
        <v>374</v>
      </c>
      <c r="B5277" s="9">
        <v>6047.0</v>
      </c>
      <c r="C5277" s="9">
        <v>5973.0</v>
      </c>
      <c r="D5277" s="9">
        <v>1947.0</v>
      </c>
      <c r="E5277" s="9">
        <v>118.0</v>
      </c>
      <c r="F5277" s="14"/>
      <c r="G5277" s="15"/>
      <c r="H5277" s="15"/>
      <c r="I5277" s="14"/>
      <c r="P5277" s="14"/>
    </row>
    <row r="5278" ht="18.75" customHeight="1">
      <c r="A5278" s="7" t="s">
        <v>374</v>
      </c>
      <c r="B5278" s="9">
        <v>3627.0</v>
      </c>
      <c r="C5278" s="9">
        <v>3586.0</v>
      </c>
      <c r="D5278" s="9">
        <v>1099.0</v>
      </c>
      <c r="E5278" s="9">
        <v>51.0</v>
      </c>
      <c r="F5278" s="14"/>
      <c r="G5278" s="15"/>
      <c r="H5278" s="15"/>
      <c r="I5278" s="14"/>
      <c r="P5278" s="14"/>
    </row>
    <row r="5279" ht="18.75" customHeight="1">
      <c r="A5279" s="7" t="s">
        <v>1739</v>
      </c>
      <c r="B5279" s="9">
        <v>144492.0</v>
      </c>
      <c r="C5279" s="9">
        <v>143189.0</v>
      </c>
      <c r="D5279" s="9">
        <v>46605.0</v>
      </c>
      <c r="E5279" s="9">
        <v>2039.0</v>
      </c>
      <c r="F5279" s="14"/>
      <c r="G5279" s="15"/>
      <c r="H5279" s="15"/>
      <c r="I5279" s="14"/>
      <c r="P5279" s="14"/>
    </row>
    <row r="5280" ht="18.75" customHeight="1">
      <c r="A5280" s="7" t="s">
        <v>1865</v>
      </c>
      <c r="B5280" s="9">
        <v>103421.0</v>
      </c>
      <c r="C5280" s="9">
        <v>102186.0</v>
      </c>
      <c r="D5280" s="9">
        <v>12979.0</v>
      </c>
      <c r="E5280" s="9">
        <v>283.0</v>
      </c>
      <c r="F5280" s="14"/>
      <c r="G5280" s="15"/>
      <c r="H5280" s="15"/>
      <c r="I5280" s="14"/>
      <c r="P5280" s="14"/>
    </row>
    <row r="5281" ht="18.75" customHeight="1">
      <c r="A5281" s="7" t="s">
        <v>1865</v>
      </c>
      <c r="B5281" s="9">
        <v>132280.0</v>
      </c>
      <c r="C5281" s="9">
        <v>130722.0</v>
      </c>
      <c r="D5281" s="9">
        <v>17062.0</v>
      </c>
      <c r="E5281" s="9">
        <v>443.0</v>
      </c>
      <c r="F5281" s="14"/>
      <c r="G5281" s="15"/>
      <c r="H5281" s="15"/>
      <c r="I5281" s="14"/>
      <c r="P5281" s="14"/>
    </row>
    <row r="5282" ht="18.75" customHeight="1">
      <c r="A5282" s="7" t="s">
        <v>1863</v>
      </c>
      <c r="B5282" s="9">
        <v>208224.0</v>
      </c>
      <c r="C5282" s="9">
        <v>206972.0</v>
      </c>
      <c r="D5282" s="9">
        <v>72342.0</v>
      </c>
      <c r="E5282" s="9">
        <v>1900.0</v>
      </c>
      <c r="F5282" s="14"/>
      <c r="G5282" s="15"/>
      <c r="H5282" s="15"/>
      <c r="I5282" s="14"/>
      <c r="P5282" s="14"/>
    </row>
    <row r="5283" ht="18.75" customHeight="1">
      <c r="A5283" s="7" t="s">
        <v>1869</v>
      </c>
      <c r="B5283" s="9">
        <v>101.0</v>
      </c>
      <c r="C5283" s="9">
        <v>100.0</v>
      </c>
      <c r="D5283" s="9">
        <v>47.0</v>
      </c>
      <c r="E5283" s="9">
        <v>2.0</v>
      </c>
      <c r="F5283" s="14"/>
      <c r="G5283" s="15"/>
      <c r="H5283" s="15"/>
      <c r="I5283" s="14"/>
      <c r="P5283" s="14"/>
    </row>
    <row r="5284" ht="18.75" customHeight="1">
      <c r="A5284" s="7" t="s">
        <v>1849</v>
      </c>
      <c r="B5284" s="9">
        <v>11375.0</v>
      </c>
      <c r="C5284" s="9">
        <v>11078.0</v>
      </c>
      <c r="D5284" s="9">
        <v>2628.0</v>
      </c>
      <c r="E5284" s="9">
        <v>142.0</v>
      </c>
      <c r="F5284" s="14"/>
      <c r="G5284" s="15"/>
      <c r="H5284" s="15"/>
      <c r="I5284" s="14"/>
      <c r="P5284" s="14"/>
    </row>
    <row r="5285" ht="18.75" customHeight="1">
      <c r="A5285" s="7" t="s">
        <v>1851</v>
      </c>
      <c r="B5285" s="9">
        <v>34847.0</v>
      </c>
      <c r="C5285" s="9">
        <v>34200.0</v>
      </c>
      <c r="D5285" s="9">
        <v>9268.0</v>
      </c>
      <c r="E5285" s="9">
        <v>305.0</v>
      </c>
      <c r="F5285" s="14"/>
      <c r="G5285" s="15"/>
      <c r="H5285" s="15"/>
      <c r="I5285" s="14"/>
      <c r="P5285" s="14"/>
    </row>
    <row r="5286" ht="18.75" customHeight="1">
      <c r="A5286" s="7" t="s">
        <v>1853</v>
      </c>
      <c r="B5286" s="9">
        <v>1226.0</v>
      </c>
      <c r="C5286" s="9">
        <v>1170.0</v>
      </c>
      <c r="D5286" s="9">
        <v>274.0</v>
      </c>
      <c r="E5286" s="9">
        <v>13.0</v>
      </c>
      <c r="F5286" s="14"/>
      <c r="G5286" s="15"/>
      <c r="H5286" s="15"/>
      <c r="I5286" s="14"/>
      <c r="P5286" s="14"/>
    </row>
    <row r="5287" ht="18.75" customHeight="1">
      <c r="A5287" s="7" t="s">
        <v>1900</v>
      </c>
      <c r="B5287" s="9">
        <v>101908.0</v>
      </c>
      <c r="C5287" s="9">
        <v>100978.0</v>
      </c>
      <c r="D5287" s="9">
        <v>32291.0</v>
      </c>
      <c r="E5287" s="9">
        <v>392.0</v>
      </c>
      <c r="F5287" s="14"/>
      <c r="G5287" s="15"/>
      <c r="H5287" s="15"/>
      <c r="I5287" s="14"/>
      <c r="P5287" s="14"/>
    </row>
    <row r="5288" ht="18.75" customHeight="1">
      <c r="A5288" s="7" t="s">
        <v>509</v>
      </c>
      <c r="B5288" s="9">
        <v>23678.0</v>
      </c>
      <c r="C5288" s="9">
        <v>23656.0</v>
      </c>
      <c r="D5288" s="9">
        <v>9267.0</v>
      </c>
      <c r="E5288" s="9">
        <v>1877.0</v>
      </c>
      <c r="F5288" s="14"/>
      <c r="G5288" s="15"/>
      <c r="H5288" s="15"/>
      <c r="I5288" s="14"/>
      <c r="P5288" s="14"/>
    </row>
    <row r="5289" ht="18.75" customHeight="1">
      <c r="A5289" s="7" t="s">
        <v>509</v>
      </c>
      <c r="B5289" s="9">
        <v>6350.0</v>
      </c>
      <c r="C5289" s="9">
        <v>6327.0</v>
      </c>
      <c r="D5289" s="9">
        <v>2267.0</v>
      </c>
      <c r="E5289" s="9">
        <v>425.0</v>
      </c>
      <c r="F5289" s="14"/>
      <c r="G5289" s="15"/>
      <c r="H5289" s="15"/>
      <c r="I5289" s="14"/>
      <c r="P5289" s="14"/>
    </row>
    <row r="5290" ht="18.75" customHeight="1">
      <c r="A5290" s="7" t="s">
        <v>1507</v>
      </c>
      <c r="B5290" s="9">
        <v>202643.0</v>
      </c>
      <c r="C5290" s="9">
        <v>200650.0</v>
      </c>
      <c r="D5290" s="9">
        <v>92303.0</v>
      </c>
      <c r="E5290" s="9">
        <v>899.0</v>
      </c>
      <c r="F5290" s="14"/>
      <c r="G5290" s="15"/>
      <c r="H5290" s="15"/>
      <c r="I5290" s="14"/>
      <c r="P5290" s="14"/>
    </row>
    <row r="5291" ht="18.75" customHeight="1">
      <c r="A5291" s="7" t="s">
        <v>1898</v>
      </c>
      <c r="B5291" s="9">
        <v>95177.0</v>
      </c>
      <c r="C5291" s="9">
        <v>94244.0</v>
      </c>
      <c r="D5291" s="9">
        <v>19629.0</v>
      </c>
      <c r="E5291" s="9">
        <v>215.0</v>
      </c>
      <c r="F5291" s="14"/>
      <c r="G5291" s="15"/>
      <c r="H5291" s="15"/>
      <c r="I5291" s="14"/>
      <c r="P5291" s="14"/>
    </row>
    <row r="5292" ht="18.75" customHeight="1">
      <c r="A5292" s="7" t="s">
        <v>1865</v>
      </c>
      <c r="B5292" s="9">
        <v>4078.0</v>
      </c>
      <c r="C5292" s="9">
        <v>4024.0</v>
      </c>
      <c r="D5292" s="9">
        <v>967.0</v>
      </c>
      <c r="E5292" s="9">
        <v>101.0</v>
      </c>
      <c r="F5292" s="14"/>
      <c r="G5292" s="15"/>
      <c r="H5292" s="15"/>
      <c r="I5292" s="14"/>
      <c r="P5292" s="14"/>
    </row>
    <row r="5293" ht="18.75" customHeight="1">
      <c r="A5293" s="7" t="s">
        <v>1865</v>
      </c>
      <c r="B5293" s="9">
        <v>13693.0</v>
      </c>
      <c r="C5293" s="9">
        <v>13596.0</v>
      </c>
      <c r="D5293" s="9">
        <v>2220.0</v>
      </c>
      <c r="E5293" s="9">
        <v>41.0</v>
      </c>
      <c r="F5293" s="14"/>
      <c r="G5293" s="15"/>
      <c r="H5293" s="15"/>
      <c r="I5293" s="14"/>
      <c r="P5293" s="14"/>
    </row>
    <row r="5294" ht="18.75" customHeight="1">
      <c r="A5294" s="7" t="s">
        <v>1811</v>
      </c>
      <c r="B5294" s="9">
        <v>34.0</v>
      </c>
      <c r="C5294" s="9">
        <v>33.0</v>
      </c>
      <c r="D5294" s="9">
        <v>9.0</v>
      </c>
      <c r="E5294" s="9">
        <v>4.0</v>
      </c>
      <c r="F5294" s="14"/>
      <c r="G5294" s="15"/>
      <c r="H5294" s="15"/>
      <c r="I5294" s="14"/>
      <c r="P5294" s="14"/>
    </row>
    <row r="5295" ht="18.75" customHeight="1">
      <c r="A5295" s="7" t="s">
        <v>1811</v>
      </c>
      <c r="B5295" s="9">
        <v>34.0</v>
      </c>
      <c r="C5295" s="9">
        <v>33.0</v>
      </c>
      <c r="D5295" s="9">
        <v>10.0</v>
      </c>
      <c r="E5295" s="9">
        <v>3.0</v>
      </c>
      <c r="F5295" s="14"/>
      <c r="G5295" s="15"/>
      <c r="H5295" s="15"/>
      <c r="I5295" s="14"/>
      <c r="P5295" s="14"/>
    </row>
    <row r="5296" ht="18.75" customHeight="1">
      <c r="A5296" s="7" t="s">
        <v>1811</v>
      </c>
      <c r="B5296" s="9">
        <v>44.0</v>
      </c>
      <c r="C5296" s="9">
        <v>43.0</v>
      </c>
      <c r="D5296" s="9">
        <v>7.0</v>
      </c>
      <c r="E5296" s="9">
        <v>3.0</v>
      </c>
      <c r="F5296" s="14"/>
      <c r="G5296" s="15"/>
      <c r="H5296" s="15"/>
      <c r="I5296" s="14"/>
      <c r="P5296" s="14"/>
    </row>
    <row r="5297" ht="18.75" customHeight="1">
      <c r="A5297" s="7" t="s">
        <v>1811</v>
      </c>
      <c r="B5297" s="9">
        <v>34.0</v>
      </c>
      <c r="C5297" s="9">
        <v>33.0</v>
      </c>
      <c r="D5297" s="9">
        <v>7.0</v>
      </c>
      <c r="E5297" s="9">
        <v>3.0</v>
      </c>
      <c r="F5297" s="14"/>
      <c r="G5297" s="15"/>
      <c r="H5297" s="15"/>
      <c r="I5297" s="14"/>
      <c r="P5297" s="14"/>
    </row>
    <row r="5298" ht="18.75" customHeight="1">
      <c r="A5298" s="7" t="s">
        <v>1811</v>
      </c>
      <c r="B5298" s="9">
        <v>34.0</v>
      </c>
      <c r="C5298" s="9">
        <v>33.0</v>
      </c>
      <c r="D5298" s="9">
        <v>8.0</v>
      </c>
      <c r="E5298" s="9">
        <v>4.0</v>
      </c>
      <c r="F5298" s="14"/>
      <c r="G5298" s="15"/>
      <c r="H5298" s="15"/>
      <c r="I5298" s="14"/>
      <c r="P5298" s="14"/>
    </row>
    <row r="5299" ht="18.75" customHeight="1">
      <c r="A5299" s="7" t="s">
        <v>1871</v>
      </c>
      <c r="B5299" s="9">
        <v>80.0</v>
      </c>
      <c r="C5299" s="9">
        <v>79.0</v>
      </c>
      <c r="D5299" s="9">
        <v>45.0</v>
      </c>
      <c r="E5299" s="9">
        <v>1.0</v>
      </c>
      <c r="F5299" s="14"/>
      <c r="G5299" s="15"/>
      <c r="H5299" s="15"/>
      <c r="I5299" s="14"/>
      <c r="P5299" s="14"/>
    </row>
    <row r="5300" ht="18.75" customHeight="1">
      <c r="A5300" s="7" t="s">
        <v>1867</v>
      </c>
      <c r="B5300" s="9">
        <v>267545.0</v>
      </c>
      <c r="C5300" s="9">
        <v>264324.0</v>
      </c>
      <c r="D5300" s="9">
        <v>38594.0</v>
      </c>
      <c r="E5300" s="9">
        <v>1984.0</v>
      </c>
      <c r="F5300" s="14"/>
      <c r="G5300" s="15"/>
      <c r="H5300" s="15"/>
      <c r="I5300" s="14"/>
      <c r="P5300" s="14"/>
    </row>
    <row r="5301" ht="18.75" customHeight="1">
      <c r="A5301" s="7" t="s">
        <v>1867</v>
      </c>
      <c r="B5301" s="9">
        <v>232680.0</v>
      </c>
      <c r="C5301" s="9">
        <v>230454.0</v>
      </c>
      <c r="D5301" s="9">
        <v>44521.0</v>
      </c>
      <c r="E5301" s="9">
        <v>1108.0</v>
      </c>
      <c r="F5301" s="14"/>
      <c r="G5301" s="15"/>
      <c r="H5301" s="15"/>
      <c r="I5301" s="14"/>
      <c r="P5301" s="14"/>
    </row>
    <row r="5302" ht="18.75" customHeight="1">
      <c r="A5302" s="7" t="s">
        <v>1867</v>
      </c>
      <c r="B5302" s="9">
        <v>232337.0</v>
      </c>
      <c r="C5302" s="9">
        <v>231185.0</v>
      </c>
      <c r="D5302" s="9">
        <v>43269.0</v>
      </c>
      <c r="E5302" s="9">
        <v>1637.0</v>
      </c>
      <c r="F5302" s="14"/>
      <c r="G5302" s="15"/>
      <c r="H5302" s="15"/>
      <c r="I5302" s="14"/>
      <c r="P5302" s="14"/>
    </row>
    <row r="5303" ht="18.75" customHeight="1">
      <c r="A5303" s="7" t="s">
        <v>1902</v>
      </c>
      <c r="B5303" s="9">
        <v>86976.0</v>
      </c>
      <c r="C5303" s="9">
        <v>86025.0</v>
      </c>
      <c r="D5303" s="9">
        <v>23244.0</v>
      </c>
      <c r="E5303" s="9">
        <v>227.0</v>
      </c>
      <c r="F5303" s="14"/>
      <c r="G5303" s="15"/>
      <c r="H5303" s="15"/>
      <c r="I5303" s="14"/>
      <c r="P5303" s="14"/>
    </row>
    <row r="5304" ht="18.75" customHeight="1">
      <c r="A5304" s="7" t="s">
        <v>1886</v>
      </c>
      <c r="B5304" s="9">
        <v>5452.0</v>
      </c>
      <c r="C5304" s="9">
        <v>5434.0</v>
      </c>
      <c r="D5304" s="9">
        <v>2044.0</v>
      </c>
      <c r="E5304" s="9">
        <v>62.0</v>
      </c>
      <c r="F5304" s="14"/>
      <c r="G5304" s="15"/>
      <c r="H5304" s="15"/>
      <c r="I5304" s="14"/>
      <c r="P5304" s="14"/>
    </row>
    <row r="5305" ht="18.75" customHeight="1">
      <c r="A5305" s="7" t="s">
        <v>1827</v>
      </c>
      <c r="B5305" s="9">
        <v>148.0</v>
      </c>
      <c r="C5305" s="9">
        <v>147.0</v>
      </c>
      <c r="D5305" s="9">
        <v>55.0</v>
      </c>
      <c r="E5305" s="9">
        <v>2.0</v>
      </c>
      <c r="F5305" s="14"/>
      <c r="G5305" s="15"/>
      <c r="H5305" s="15"/>
      <c r="I5305" s="14"/>
      <c r="P5305" s="14"/>
    </row>
    <row r="5306" ht="18.75" customHeight="1">
      <c r="A5306" s="7" t="s">
        <v>1904</v>
      </c>
      <c r="B5306" s="9">
        <v>79250.0</v>
      </c>
      <c r="C5306" s="9">
        <v>78536.0</v>
      </c>
      <c r="D5306" s="9">
        <v>13887.0</v>
      </c>
      <c r="E5306" s="9">
        <v>188.0</v>
      </c>
      <c r="F5306" s="14"/>
      <c r="G5306" s="15"/>
      <c r="H5306" s="15"/>
      <c r="I5306" s="14"/>
      <c r="P5306" s="14"/>
    </row>
    <row r="5307" ht="18.75" customHeight="1">
      <c r="A5307" s="7" t="s">
        <v>1873</v>
      </c>
      <c r="B5307" s="9">
        <v>52.0</v>
      </c>
      <c r="C5307" s="9">
        <v>51.0</v>
      </c>
      <c r="D5307" s="9">
        <v>20.0</v>
      </c>
      <c r="E5307" s="9">
        <v>1.0</v>
      </c>
      <c r="F5307" s="14"/>
      <c r="G5307" s="15"/>
      <c r="H5307" s="15"/>
      <c r="I5307" s="14"/>
      <c r="P5307" s="14"/>
    </row>
    <row r="5308" ht="18.75" customHeight="1">
      <c r="A5308" s="7" t="s">
        <v>1711</v>
      </c>
      <c r="B5308" s="9">
        <v>50.0</v>
      </c>
      <c r="C5308" s="9">
        <v>49.0</v>
      </c>
      <c r="D5308" s="9">
        <v>26.0</v>
      </c>
      <c r="E5308" s="9">
        <v>2.0</v>
      </c>
      <c r="F5308" s="14"/>
      <c r="G5308" s="15"/>
      <c r="H5308" s="15"/>
      <c r="I5308" s="14"/>
      <c r="P5308" s="14"/>
    </row>
    <row r="5309" ht="18.75" customHeight="1">
      <c r="A5309" s="7" t="s">
        <v>1867</v>
      </c>
      <c r="B5309" s="9">
        <v>78251.0</v>
      </c>
      <c r="C5309" s="9">
        <v>78010.0</v>
      </c>
      <c r="D5309" s="9">
        <v>15846.0</v>
      </c>
      <c r="E5309" s="9">
        <v>1250.0</v>
      </c>
      <c r="F5309" s="14"/>
      <c r="G5309" s="15"/>
      <c r="H5309" s="15"/>
      <c r="I5309" s="14"/>
      <c r="P5309" s="14"/>
    </row>
    <row r="5310" ht="18.75" customHeight="1">
      <c r="A5310" s="7" t="s">
        <v>1863</v>
      </c>
      <c r="B5310" s="9">
        <v>8618.0</v>
      </c>
      <c r="C5310" s="9">
        <v>8471.0</v>
      </c>
      <c r="D5310" s="9">
        <v>2096.0</v>
      </c>
      <c r="E5310" s="9">
        <v>208.0</v>
      </c>
      <c r="F5310" s="14"/>
      <c r="G5310" s="15"/>
      <c r="H5310" s="15"/>
      <c r="I5310" s="14"/>
      <c r="P5310" s="14"/>
    </row>
    <row r="5311" ht="18.75" customHeight="1">
      <c r="A5311" s="7" t="s">
        <v>1801</v>
      </c>
      <c r="B5311" s="9">
        <v>433.0</v>
      </c>
      <c r="C5311" s="9">
        <v>432.0</v>
      </c>
      <c r="D5311" s="9">
        <v>250.0</v>
      </c>
      <c r="E5311" s="9">
        <v>4.0</v>
      </c>
      <c r="F5311" s="14"/>
      <c r="G5311" s="15"/>
      <c r="H5311" s="15"/>
      <c r="I5311" s="14"/>
      <c r="P5311" s="14"/>
    </row>
    <row r="5312" ht="18.75" customHeight="1">
      <c r="A5312" s="7" t="s">
        <v>1914</v>
      </c>
      <c r="B5312" s="9">
        <v>78934.0</v>
      </c>
      <c r="C5312" s="9">
        <v>78165.0</v>
      </c>
      <c r="D5312" s="9">
        <v>16415.0</v>
      </c>
      <c r="E5312" s="9">
        <v>347.0</v>
      </c>
      <c r="F5312" s="14"/>
      <c r="G5312" s="15"/>
      <c r="H5312" s="15"/>
      <c r="I5312" s="14"/>
      <c r="P5312" s="14"/>
    </row>
    <row r="5313" ht="18.75" customHeight="1">
      <c r="A5313" s="7" t="s">
        <v>1930</v>
      </c>
      <c r="B5313" s="9">
        <v>236485.0</v>
      </c>
      <c r="C5313" s="9">
        <v>232923.0</v>
      </c>
      <c r="D5313" s="9">
        <v>64122.0</v>
      </c>
      <c r="E5313" s="9">
        <v>5107.0</v>
      </c>
      <c r="F5313" s="14"/>
      <c r="G5313" s="15"/>
      <c r="H5313" s="15"/>
      <c r="I5313" s="14"/>
      <c r="P5313" s="14"/>
    </row>
    <row r="5314" ht="18.75" customHeight="1">
      <c r="A5314" s="7" t="s">
        <v>1869</v>
      </c>
      <c r="B5314" s="9">
        <v>101.0</v>
      </c>
      <c r="C5314" s="9">
        <v>100.0</v>
      </c>
      <c r="D5314" s="9">
        <v>39.0</v>
      </c>
      <c r="E5314" s="9">
        <v>1.0</v>
      </c>
      <c r="F5314" s="14"/>
      <c r="G5314" s="15"/>
      <c r="H5314" s="15"/>
      <c r="I5314" s="14"/>
      <c r="P5314" s="14"/>
    </row>
    <row r="5315" ht="18.75" customHeight="1">
      <c r="A5315" s="7" t="s">
        <v>1896</v>
      </c>
      <c r="B5315" s="9">
        <v>510.0</v>
      </c>
      <c r="C5315" s="9">
        <v>508.0</v>
      </c>
      <c r="D5315" s="9">
        <v>182.0</v>
      </c>
      <c r="E5315" s="9">
        <v>19.0</v>
      </c>
      <c r="F5315" s="14"/>
      <c r="G5315" s="15"/>
      <c r="H5315" s="15"/>
      <c r="I5315" s="14"/>
      <c r="P5315" s="14"/>
    </row>
    <row r="5316" ht="18.75" customHeight="1">
      <c r="A5316" s="7" t="s">
        <v>1912</v>
      </c>
      <c r="B5316" s="9">
        <v>83580.0</v>
      </c>
      <c r="C5316" s="9">
        <v>82491.0</v>
      </c>
      <c r="D5316" s="9">
        <v>11694.0</v>
      </c>
      <c r="E5316" s="9">
        <v>242.0</v>
      </c>
      <c r="F5316" s="14"/>
      <c r="G5316" s="15"/>
      <c r="H5316" s="15"/>
      <c r="I5316" s="14"/>
      <c r="P5316" s="14"/>
    </row>
    <row r="5317" ht="18.75" customHeight="1">
      <c r="A5317" s="7" t="s">
        <v>1723</v>
      </c>
      <c r="B5317" s="9">
        <v>73751.0</v>
      </c>
      <c r="C5317" s="9">
        <v>73472.0</v>
      </c>
      <c r="D5317" s="9">
        <v>23949.0</v>
      </c>
      <c r="E5317" s="9">
        <v>1026.0</v>
      </c>
      <c r="F5317" s="14"/>
      <c r="G5317" s="15"/>
      <c r="H5317" s="15"/>
      <c r="I5317" s="14"/>
      <c r="P5317" s="14"/>
    </row>
    <row r="5318" ht="18.75" customHeight="1">
      <c r="A5318" s="7" t="s">
        <v>1837</v>
      </c>
      <c r="B5318" s="9">
        <v>3431.0</v>
      </c>
      <c r="C5318" s="9">
        <v>3419.0</v>
      </c>
      <c r="D5318" s="9">
        <v>2171.0</v>
      </c>
      <c r="E5318" s="9">
        <v>3.0</v>
      </c>
      <c r="F5318" s="14"/>
      <c r="G5318" s="15"/>
      <c r="H5318" s="15"/>
      <c r="I5318" s="14"/>
      <c r="P5318" s="14"/>
    </row>
    <row r="5319" ht="18.75" customHeight="1">
      <c r="A5319" s="7" t="s">
        <v>1837</v>
      </c>
      <c r="B5319" s="9">
        <v>298.0</v>
      </c>
      <c r="C5319" s="9">
        <v>294.0</v>
      </c>
      <c r="D5319" s="9">
        <v>92.0</v>
      </c>
      <c r="E5319" s="9">
        <v>1.0</v>
      </c>
      <c r="F5319" s="14"/>
      <c r="G5319" s="15"/>
      <c r="H5319" s="15"/>
      <c r="I5319" s="14"/>
      <c r="P5319" s="14"/>
    </row>
    <row r="5320" ht="18.75" customHeight="1">
      <c r="A5320" s="7" t="s">
        <v>1884</v>
      </c>
      <c r="B5320" s="9">
        <v>198.0</v>
      </c>
      <c r="C5320" s="9">
        <v>197.0</v>
      </c>
      <c r="D5320" s="9">
        <v>98.0</v>
      </c>
      <c r="E5320" s="9">
        <v>1.0</v>
      </c>
      <c r="F5320" s="14"/>
      <c r="G5320" s="15"/>
      <c r="H5320" s="15"/>
      <c r="I5320" s="14"/>
      <c r="P5320" s="14"/>
    </row>
    <row r="5321" ht="18.75" customHeight="1">
      <c r="A5321" s="7" t="s">
        <v>1723</v>
      </c>
      <c r="B5321" s="9">
        <v>247688.0</v>
      </c>
      <c r="C5321" s="9">
        <v>246918.0</v>
      </c>
      <c r="D5321" s="9">
        <v>90677.0</v>
      </c>
      <c r="E5321" s="9">
        <v>7571.0</v>
      </c>
      <c r="F5321" s="14"/>
      <c r="G5321" s="15"/>
      <c r="H5321" s="15"/>
      <c r="I5321" s="14"/>
      <c r="P5321" s="14"/>
    </row>
    <row r="5322" ht="18.75" customHeight="1">
      <c r="A5322" s="7" t="s">
        <v>1910</v>
      </c>
      <c r="B5322" s="9">
        <v>15312.0</v>
      </c>
      <c r="C5322" s="9">
        <v>15239.0</v>
      </c>
      <c r="D5322" s="9">
        <v>5216.0</v>
      </c>
      <c r="E5322" s="9">
        <v>95.0</v>
      </c>
      <c r="F5322" s="14"/>
      <c r="G5322" s="15"/>
      <c r="H5322" s="15"/>
      <c r="I5322" s="14"/>
      <c r="P5322" s="14"/>
    </row>
    <row r="5323" ht="18.75" customHeight="1">
      <c r="A5323" s="7" t="s">
        <v>1833</v>
      </c>
      <c r="B5323" s="9">
        <v>53843.0</v>
      </c>
      <c r="C5323" s="9">
        <v>53510.0</v>
      </c>
      <c r="D5323" s="9">
        <v>19255.0</v>
      </c>
      <c r="E5323" s="9">
        <v>1688.0</v>
      </c>
      <c r="F5323" s="14"/>
      <c r="G5323" s="15"/>
      <c r="H5323" s="15"/>
      <c r="I5323" s="14"/>
      <c r="P5323" s="14"/>
    </row>
    <row r="5324" ht="18.75" customHeight="1">
      <c r="A5324" s="7" t="s">
        <v>1900</v>
      </c>
      <c r="B5324" s="9">
        <v>177.0</v>
      </c>
      <c r="C5324" s="9">
        <v>176.0</v>
      </c>
      <c r="D5324" s="9">
        <v>115.0</v>
      </c>
      <c r="E5324" s="9">
        <v>2.0</v>
      </c>
      <c r="F5324" s="14"/>
      <c r="G5324" s="15"/>
      <c r="H5324" s="15"/>
      <c r="I5324" s="14"/>
      <c r="P5324" s="14"/>
    </row>
    <row r="5325" ht="18.75" customHeight="1">
      <c r="A5325" s="7" t="s">
        <v>1865</v>
      </c>
      <c r="B5325" s="9">
        <v>684.0</v>
      </c>
      <c r="C5325" s="9">
        <v>681.0</v>
      </c>
      <c r="D5325" s="9">
        <v>453.0</v>
      </c>
      <c r="E5325" s="9">
        <v>2.0</v>
      </c>
      <c r="F5325" s="14"/>
      <c r="G5325" s="15"/>
      <c r="H5325" s="15"/>
      <c r="I5325" s="14"/>
      <c r="P5325" s="14"/>
    </row>
    <row r="5326" ht="18.75" customHeight="1">
      <c r="A5326" s="7" t="s">
        <v>1898</v>
      </c>
      <c r="B5326" s="9">
        <v>108.0</v>
      </c>
      <c r="C5326" s="9">
        <v>107.0</v>
      </c>
      <c r="D5326" s="9">
        <v>55.0</v>
      </c>
      <c r="E5326" s="9">
        <v>3.0</v>
      </c>
      <c r="F5326" s="14"/>
      <c r="G5326" s="15"/>
      <c r="H5326" s="15"/>
      <c r="I5326" s="14"/>
      <c r="P5326" s="14"/>
    </row>
    <row r="5327" ht="18.75" customHeight="1">
      <c r="A5327" s="7" t="s">
        <v>1739</v>
      </c>
      <c r="B5327" s="9">
        <v>218737.0</v>
      </c>
      <c r="C5327" s="9">
        <v>216886.0</v>
      </c>
      <c r="D5327" s="9">
        <v>43488.0</v>
      </c>
      <c r="E5327" s="9">
        <v>1355.0</v>
      </c>
      <c r="F5327" s="14"/>
      <c r="G5327" s="15"/>
      <c r="H5327" s="15"/>
      <c r="I5327" s="14"/>
      <c r="P5327" s="14"/>
    </row>
    <row r="5328" ht="18.75" customHeight="1">
      <c r="A5328" s="7" t="s">
        <v>1902</v>
      </c>
      <c r="B5328" s="9">
        <v>104.0</v>
      </c>
      <c r="C5328" s="9">
        <v>103.0</v>
      </c>
      <c r="D5328" s="9">
        <v>58.0</v>
      </c>
      <c r="E5328" s="9">
        <v>1.0</v>
      </c>
      <c r="F5328" s="14"/>
      <c r="G5328" s="15"/>
      <c r="H5328" s="15"/>
      <c r="I5328" s="14"/>
      <c r="P5328" s="14"/>
    </row>
    <row r="5329" ht="18.75" customHeight="1">
      <c r="A5329" s="7" t="s">
        <v>1867</v>
      </c>
      <c r="B5329" s="9">
        <v>181307.0</v>
      </c>
      <c r="C5329" s="9">
        <v>180262.0</v>
      </c>
      <c r="D5329" s="9">
        <v>34905.0</v>
      </c>
      <c r="E5329" s="9">
        <v>141.0</v>
      </c>
      <c r="F5329" s="14"/>
      <c r="G5329" s="15"/>
      <c r="H5329" s="15"/>
      <c r="I5329" s="14"/>
      <c r="P5329" s="14"/>
    </row>
    <row r="5330" ht="18.75" customHeight="1">
      <c r="A5330" s="7" t="s">
        <v>1867</v>
      </c>
      <c r="B5330" s="9">
        <v>81051.0</v>
      </c>
      <c r="C5330" s="9">
        <v>80975.0</v>
      </c>
      <c r="D5330" s="9">
        <v>17742.0</v>
      </c>
      <c r="E5330" s="9">
        <v>51.0</v>
      </c>
      <c r="F5330" s="14"/>
      <c r="G5330" s="15"/>
      <c r="H5330" s="15"/>
      <c r="I5330" s="14"/>
      <c r="P5330" s="14"/>
    </row>
    <row r="5331" ht="18.75" customHeight="1">
      <c r="A5331" s="7" t="s">
        <v>1904</v>
      </c>
      <c r="B5331" s="9">
        <v>104.0</v>
      </c>
      <c r="C5331" s="9">
        <v>103.0</v>
      </c>
      <c r="D5331" s="9">
        <v>59.0</v>
      </c>
      <c r="E5331" s="9">
        <v>1.0</v>
      </c>
      <c r="F5331" s="14"/>
      <c r="G5331" s="15"/>
      <c r="H5331" s="15"/>
      <c r="I5331" s="14"/>
      <c r="P5331" s="14"/>
    </row>
    <row r="5332" ht="18.75" customHeight="1">
      <c r="A5332" s="7" t="s">
        <v>1873</v>
      </c>
      <c r="B5332" s="9">
        <v>54.0</v>
      </c>
      <c r="C5332" s="9">
        <v>53.0</v>
      </c>
      <c r="D5332" s="9">
        <v>17.0</v>
      </c>
      <c r="E5332" s="9">
        <v>1.0</v>
      </c>
      <c r="F5332" s="14"/>
      <c r="G5332" s="15"/>
      <c r="H5332" s="15"/>
      <c r="I5332" s="14"/>
      <c r="P5332" s="14"/>
    </row>
    <row r="5333" ht="18.75" customHeight="1">
      <c r="A5333" s="7" t="s">
        <v>1916</v>
      </c>
      <c r="B5333" s="9">
        <v>12309.0</v>
      </c>
      <c r="C5333" s="9">
        <v>12139.0</v>
      </c>
      <c r="D5333" s="9">
        <v>3609.0</v>
      </c>
      <c r="E5333" s="9">
        <v>191.0</v>
      </c>
      <c r="F5333" s="14"/>
      <c r="G5333" s="15"/>
      <c r="H5333" s="15"/>
      <c r="I5333" s="14"/>
      <c r="P5333" s="14"/>
    </row>
    <row r="5334" ht="18.75" customHeight="1">
      <c r="A5334" s="7" t="s">
        <v>1918</v>
      </c>
      <c r="B5334" s="9">
        <v>13892.0</v>
      </c>
      <c r="C5334" s="9">
        <v>13761.0</v>
      </c>
      <c r="D5334" s="9">
        <v>4356.0</v>
      </c>
      <c r="E5334" s="9">
        <v>217.0</v>
      </c>
      <c r="F5334" s="14"/>
      <c r="G5334" s="15"/>
      <c r="H5334" s="15"/>
      <c r="I5334" s="14"/>
      <c r="P5334" s="14"/>
    </row>
    <row r="5335" ht="18.75" customHeight="1">
      <c r="A5335" s="7" t="s">
        <v>2857</v>
      </c>
      <c r="B5335" s="9">
        <v>14089.0</v>
      </c>
      <c r="C5335" s="9">
        <v>13880.0</v>
      </c>
      <c r="D5335" s="9">
        <v>3083.0</v>
      </c>
      <c r="E5335" s="9">
        <v>85.0</v>
      </c>
      <c r="F5335" s="14"/>
      <c r="G5335" s="15"/>
      <c r="H5335" s="15"/>
      <c r="I5335" s="14"/>
      <c r="P5335" s="14"/>
    </row>
    <row r="5336" ht="18.75" customHeight="1">
      <c r="A5336" s="7" t="s">
        <v>1507</v>
      </c>
      <c r="B5336" s="9">
        <v>111604.0</v>
      </c>
      <c r="C5336" s="9">
        <v>109615.0</v>
      </c>
      <c r="D5336" s="9">
        <v>18994.0</v>
      </c>
      <c r="E5336" s="9">
        <v>235.0</v>
      </c>
      <c r="F5336" s="14"/>
      <c r="G5336" s="15"/>
      <c r="H5336" s="15"/>
      <c r="I5336" s="14"/>
      <c r="P5336" s="14"/>
    </row>
    <row r="5337" ht="18.75" customHeight="1">
      <c r="A5337" s="7" t="s">
        <v>1942</v>
      </c>
      <c r="B5337" s="9">
        <v>20761.0</v>
      </c>
      <c r="C5337" s="9">
        <v>20406.0</v>
      </c>
      <c r="D5337" s="9">
        <v>3241.0</v>
      </c>
      <c r="E5337" s="9">
        <v>53.0</v>
      </c>
      <c r="F5337" s="14"/>
      <c r="G5337" s="15"/>
      <c r="H5337" s="15"/>
      <c r="I5337" s="14"/>
      <c r="P5337" s="14"/>
    </row>
    <row r="5338" ht="18.75" customHeight="1">
      <c r="A5338" s="7" t="s">
        <v>1867</v>
      </c>
      <c r="B5338" s="9">
        <v>228441.0</v>
      </c>
      <c r="C5338" s="9">
        <v>227657.0</v>
      </c>
      <c r="D5338" s="9">
        <v>48319.0</v>
      </c>
      <c r="E5338" s="9">
        <v>132.0</v>
      </c>
      <c r="F5338" s="14"/>
      <c r="G5338" s="15"/>
      <c r="H5338" s="15"/>
      <c r="I5338" s="14"/>
      <c r="P5338" s="14"/>
    </row>
    <row r="5339" ht="18.75" customHeight="1">
      <c r="A5339" s="7" t="s">
        <v>1867</v>
      </c>
      <c r="B5339" s="9">
        <v>225406.0</v>
      </c>
      <c r="C5339" s="9">
        <v>223934.0</v>
      </c>
      <c r="D5339" s="9">
        <v>38153.0</v>
      </c>
      <c r="E5339" s="9">
        <v>151.0</v>
      </c>
      <c r="F5339" s="14"/>
      <c r="G5339" s="15"/>
      <c r="H5339" s="15"/>
      <c r="I5339" s="14"/>
      <c r="P5339" s="14"/>
    </row>
    <row r="5340" ht="18.75" customHeight="1">
      <c r="A5340" s="7" t="s">
        <v>1871</v>
      </c>
      <c r="B5340" s="9">
        <v>83.0</v>
      </c>
      <c r="C5340" s="9">
        <v>82.0</v>
      </c>
      <c r="D5340" s="9">
        <v>31.0</v>
      </c>
      <c r="E5340" s="9">
        <v>2.0</v>
      </c>
      <c r="F5340" s="14"/>
      <c r="G5340" s="15"/>
      <c r="H5340" s="15"/>
      <c r="I5340" s="14"/>
      <c r="P5340" s="14"/>
    </row>
    <row r="5341" ht="18.75" customHeight="1">
      <c r="A5341" s="7" t="s">
        <v>1914</v>
      </c>
      <c r="B5341" s="9">
        <v>171.0</v>
      </c>
      <c r="C5341" s="9">
        <v>170.0</v>
      </c>
      <c r="D5341" s="9">
        <v>81.0</v>
      </c>
      <c r="E5341" s="9">
        <v>1.0</v>
      </c>
      <c r="F5341" s="14"/>
      <c r="G5341" s="15"/>
      <c r="H5341" s="15"/>
      <c r="I5341" s="14"/>
      <c r="P5341" s="14"/>
    </row>
    <row r="5342" ht="18.75" customHeight="1">
      <c r="A5342" s="7" t="s">
        <v>1932</v>
      </c>
      <c r="B5342" s="9">
        <v>232131.0</v>
      </c>
      <c r="C5342" s="9">
        <v>230081.0</v>
      </c>
      <c r="D5342" s="9">
        <v>45471.0</v>
      </c>
      <c r="E5342" s="9">
        <v>257.0</v>
      </c>
      <c r="F5342" s="14"/>
      <c r="G5342" s="15"/>
      <c r="H5342" s="15"/>
      <c r="I5342" s="14"/>
      <c r="P5342" s="14"/>
    </row>
    <row r="5343" ht="18.75" customHeight="1">
      <c r="A5343" s="7" t="s">
        <v>1912</v>
      </c>
      <c r="B5343" s="9">
        <v>144.0</v>
      </c>
      <c r="C5343" s="9">
        <v>143.0</v>
      </c>
      <c r="D5343" s="9">
        <v>92.0</v>
      </c>
      <c r="E5343" s="9">
        <v>2.0</v>
      </c>
      <c r="F5343" s="14"/>
      <c r="G5343" s="15"/>
      <c r="H5343" s="15"/>
      <c r="I5343" s="14"/>
      <c r="P5343" s="14"/>
    </row>
    <row r="5344" ht="18.75" customHeight="1">
      <c r="A5344" s="7" t="s">
        <v>372</v>
      </c>
      <c r="B5344" s="9">
        <v>3466.0</v>
      </c>
      <c r="C5344" s="9">
        <v>3426.0</v>
      </c>
      <c r="D5344" s="9">
        <v>969.0</v>
      </c>
      <c r="E5344" s="9">
        <v>61.0</v>
      </c>
      <c r="F5344" s="14"/>
      <c r="G5344" s="15"/>
      <c r="H5344" s="15"/>
      <c r="I5344" s="14"/>
      <c r="P5344" s="14"/>
    </row>
    <row r="5345" ht="18.75" customHeight="1">
      <c r="A5345" s="7" t="s">
        <v>370</v>
      </c>
      <c r="B5345" s="9">
        <v>526.0</v>
      </c>
      <c r="C5345" s="9">
        <v>520.0</v>
      </c>
      <c r="D5345" s="9">
        <v>176.0</v>
      </c>
      <c r="E5345" s="9">
        <v>22.0</v>
      </c>
      <c r="F5345" s="14"/>
      <c r="G5345" s="15"/>
      <c r="H5345" s="15"/>
      <c r="I5345" s="14"/>
      <c r="P5345" s="14"/>
    </row>
    <row r="5346" ht="18.75" customHeight="1">
      <c r="A5346" s="7" t="s">
        <v>366</v>
      </c>
      <c r="B5346" s="9">
        <v>680.0</v>
      </c>
      <c r="C5346" s="9">
        <v>675.0</v>
      </c>
      <c r="D5346" s="9">
        <v>237.0</v>
      </c>
      <c r="E5346" s="9">
        <v>16.0</v>
      </c>
      <c r="F5346" s="14"/>
      <c r="G5346" s="15"/>
      <c r="H5346" s="15"/>
      <c r="I5346" s="14"/>
      <c r="P5346" s="14"/>
    </row>
    <row r="5347" ht="18.75" customHeight="1">
      <c r="A5347" s="7" t="s">
        <v>366</v>
      </c>
      <c r="B5347" s="9">
        <v>711.0</v>
      </c>
      <c r="C5347" s="9">
        <v>702.0</v>
      </c>
      <c r="D5347" s="9">
        <v>238.0</v>
      </c>
      <c r="E5347" s="9">
        <v>8.0</v>
      </c>
      <c r="F5347" s="14"/>
      <c r="G5347" s="15"/>
      <c r="H5347" s="15"/>
      <c r="I5347" s="14"/>
      <c r="P5347" s="14"/>
    </row>
    <row r="5348" ht="18.75" customHeight="1">
      <c r="A5348" s="7" t="s">
        <v>3759</v>
      </c>
      <c r="B5348" s="9">
        <v>150.0</v>
      </c>
      <c r="C5348" s="9">
        <v>150.0</v>
      </c>
      <c r="D5348" s="9">
        <v>55.0</v>
      </c>
      <c r="E5348" s="9">
        <v>3.0</v>
      </c>
      <c r="F5348" s="14"/>
      <c r="G5348" s="15"/>
      <c r="H5348" s="15"/>
      <c r="I5348" s="14"/>
      <c r="P5348" s="14"/>
    </row>
    <row r="5349" ht="18.75" customHeight="1">
      <c r="A5349" s="7" t="s">
        <v>1467</v>
      </c>
      <c r="B5349" s="9">
        <v>4118.0</v>
      </c>
      <c r="C5349" s="9">
        <v>4071.0</v>
      </c>
      <c r="D5349" s="9">
        <v>1260.0</v>
      </c>
      <c r="E5349" s="9">
        <v>81.0</v>
      </c>
      <c r="F5349" s="14"/>
      <c r="G5349" s="15"/>
      <c r="H5349" s="15"/>
      <c r="I5349" s="14"/>
      <c r="P5349" s="14"/>
    </row>
    <row r="5350" ht="18.75" customHeight="1">
      <c r="A5350" s="7" t="s">
        <v>1900</v>
      </c>
      <c r="B5350" s="9">
        <v>176.0</v>
      </c>
      <c r="C5350" s="9">
        <v>175.0</v>
      </c>
      <c r="D5350" s="9">
        <v>73.0</v>
      </c>
      <c r="E5350" s="9">
        <v>1.0</v>
      </c>
      <c r="F5350" s="14"/>
      <c r="G5350" s="15"/>
      <c r="H5350" s="15"/>
      <c r="I5350" s="14"/>
      <c r="P5350" s="14"/>
    </row>
    <row r="5351" ht="18.75" customHeight="1">
      <c r="A5351" s="7" t="s">
        <v>1920</v>
      </c>
      <c r="B5351" s="9">
        <v>7747.0</v>
      </c>
      <c r="C5351" s="9">
        <v>7621.0</v>
      </c>
      <c r="D5351" s="9">
        <v>2280.0</v>
      </c>
      <c r="E5351" s="9">
        <v>143.0</v>
      </c>
      <c r="F5351" s="14"/>
      <c r="G5351" s="15"/>
      <c r="H5351" s="15"/>
      <c r="I5351" s="14"/>
      <c r="P5351" s="14"/>
    </row>
    <row r="5352" ht="18.75" customHeight="1">
      <c r="A5352" s="7" t="s">
        <v>374</v>
      </c>
      <c r="B5352" s="9">
        <v>6423.0</v>
      </c>
      <c r="C5352" s="9">
        <v>6351.0</v>
      </c>
      <c r="D5352" s="9">
        <v>1985.0</v>
      </c>
      <c r="E5352" s="9">
        <v>112.0</v>
      </c>
      <c r="F5352" s="14"/>
      <c r="G5352" s="15"/>
      <c r="H5352" s="15"/>
      <c r="I5352" s="14"/>
      <c r="P5352" s="14"/>
    </row>
    <row r="5353" ht="18.75" customHeight="1">
      <c r="A5353" s="7" t="s">
        <v>374</v>
      </c>
      <c r="B5353" s="9">
        <v>3315.0</v>
      </c>
      <c r="C5353" s="9">
        <v>3272.0</v>
      </c>
      <c r="D5353" s="9">
        <v>988.0</v>
      </c>
      <c r="E5353" s="9">
        <v>30.0</v>
      </c>
      <c r="F5353" s="14"/>
      <c r="G5353" s="15"/>
      <c r="H5353" s="15"/>
      <c r="I5353" s="14"/>
      <c r="P5353" s="14"/>
    </row>
    <row r="5354" ht="18.75" customHeight="1">
      <c r="A5354" s="7" t="s">
        <v>2857</v>
      </c>
      <c r="B5354" s="9">
        <v>92664.0</v>
      </c>
      <c r="C5354" s="9">
        <v>91557.0</v>
      </c>
      <c r="D5354" s="9">
        <v>23338.0</v>
      </c>
      <c r="E5354" s="9">
        <v>572.0</v>
      </c>
      <c r="F5354" s="14"/>
      <c r="G5354" s="15"/>
      <c r="H5354" s="15"/>
      <c r="I5354" s="14"/>
      <c r="P5354" s="14"/>
    </row>
    <row r="5355" ht="18.75" customHeight="1">
      <c r="A5355" s="7" t="s">
        <v>1944</v>
      </c>
      <c r="B5355" s="9">
        <v>64513.0</v>
      </c>
      <c r="C5355" s="9">
        <v>63600.0</v>
      </c>
      <c r="D5355" s="9">
        <v>9799.0</v>
      </c>
      <c r="E5355" s="9">
        <v>263.0</v>
      </c>
      <c r="F5355" s="14"/>
      <c r="G5355" s="15"/>
      <c r="H5355" s="15"/>
      <c r="I5355" s="14"/>
      <c r="P5355" s="14"/>
    </row>
    <row r="5356" ht="18.75" customHeight="1">
      <c r="A5356" s="7" t="s">
        <v>1833</v>
      </c>
      <c r="B5356" s="9">
        <v>76461.0</v>
      </c>
      <c r="C5356" s="9">
        <v>76378.0</v>
      </c>
      <c r="D5356" s="9">
        <v>55057.0</v>
      </c>
      <c r="E5356" s="9">
        <v>2053.0</v>
      </c>
      <c r="F5356" s="14"/>
      <c r="G5356" s="15"/>
      <c r="H5356" s="15"/>
      <c r="I5356" s="14"/>
      <c r="P5356" s="14"/>
    </row>
    <row r="5357" ht="18.75" customHeight="1">
      <c r="A5357" s="7" t="s">
        <v>1938</v>
      </c>
      <c r="B5357" s="9">
        <v>61893.0</v>
      </c>
      <c r="C5357" s="9">
        <v>60608.0</v>
      </c>
      <c r="D5357" s="9">
        <v>6876.0</v>
      </c>
      <c r="E5357" s="9">
        <v>173.0</v>
      </c>
      <c r="F5357" s="14"/>
      <c r="G5357" s="15"/>
      <c r="H5357" s="15"/>
      <c r="I5357" s="14"/>
      <c r="P5357" s="14"/>
    </row>
    <row r="5358" ht="18.75" customHeight="1">
      <c r="A5358" s="7" t="s">
        <v>1898</v>
      </c>
      <c r="B5358" s="9">
        <v>108.0</v>
      </c>
      <c r="C5358" s="9">
        <v>107.0</v>
      </c>
      <c r="D5358" s="9">
        <v>45.0</v>
      </c>
      <c r="E5358" s="9">
        <v>2.0</v>
      </c>
      <c r="F5358" s="14"/>
      <c r="G5358" s="15"/>
      <c r="H5358" s="15"/>
      <c r="I5358" s="14"/>
      <c r="P5358" s="14"/>
    </row>
    <row r="5359" ht="18.75" customHeight="1">
      <c r="A5359" s="7" t="s">
        <v>1928</v>
      </c>
      <c r="B5359" s="9">
        <v>113182.0</v>
      </c>
      <c r="C5359" s="9">
        <v>111859.0</v>
      </c>
      <c r="D5359" s="9">
        <v>35915.0</v>
      </c>
      <c r="E5359" s="9">
        <v>316.0</v>
      </c>
      <c r="F5359" s="14"/>
      <c r="G5359" s="15"/>
      <c r="H5359" s="15"/>
      <c r="I5359" s="14"/>
      <c r="P5359" s="14"/>
    </row>
    <row r="5360" ht="18.75" customHeight="1">
      <c r="A5360" s="7" t="s">
        <v>1932</v>
      </c>
      <c r="B5360" s="9">
        <v>195771.0</v>
      </c>
      <c r="C5360" s="9">
        <v>192380.0</v>
      </c>
      <c r="D5360" s="9">
        <v>22098.0</v>
      </c>
      <c r="E5360" s="9">
        <v>114.0</v>
      </c>
      <c r="F5360" s="14"/>
      <c r="G5360" s="15"/>
      <c r="H5360" s="15"/>
      <c r="I5360" s="14"/>
      <c r="P5360" s="14"/>
    </row>
    <row r="5361" ht="18.75" customHeight="1">
      <c r="A5361" s="7" t="s">
        <v>1902</v>
      </c>
      <c r="B5361" s="9">
        <v>104.0</v>
      </c>
      <c r="C5361" s="9">
        <v>103.0</v>
      </c>
      <c r="D5361" s="9">
        <v>42.0</v>
      </c>
      <c r="E5361" s="9">
        <v>2.0</v>
      </c>
      <c r="F5361" s="14"/>
      <c r="G5361" s="15"/>
      <c r="H5361" s="15"/>
      <c r="I5361" s="14"/>
      <c r="P5361" s="14"/>
    </row>
    <row r="5362" ht="18.75" customHeight="1">
      <c r="A5362" s="7" t="s">
        <v>1934</v>
      </c>
      <c r="B5362" s="9">
        <v>27898.0</v>
      </c>
      <c r="C5362" s="9">
        <v>27524.0</v>
      </c>
      <c r="D5362" s="9">
        <v>7395.0</v>
      </c>
      <c r="E5362" s="9">
        <v>166.0</v>
      </c>
      <c r="F5362" s="14"/>
      <c r="G5362" s="15"/>
      <c r="H5362" s="15"/>
      <c r="I5362" s="14"/>
      <c r="P5362" s="14"/>
    </row>
    <row r="5363" ht="18.75" customHeight="1">
      <c r="A5363" s="7" t="s">
        <v>1904</v>
      </c>
      <c r="B5363" s="9">
        <v>104.0</v>
      </c>
      <c r="C5363" s="9">
        <v>103.0</v>
      </c>
      <c r="D5363" s="9">
        <v>48.0</v>
      </c>
      <c r="E5363" s="9">
        <v>1.0</v>
      </c>
      <c r="F5363" s="14"/>
      <c r="G5363" s="15"/>
      <c r="H5363" s="15"/>
      <c r="I5363" s="14"/>
      <c r="P5363" s="14"/>
    </row>
    <row r="5364" ht="18.75" customHeight="1">
      <c r="A5364" s="7" t="s">
        <v>1912</v>
      </c>
      <c r="B5364" s="9">
        <v>144.0</v>
      </c>
      <c r="C5364" s="9">
        <v>143.0</v>
      </c>
      <c r="D5364" s="9">
        <v>62.0</v>
      </c>
      <c r="E5364" s="9">
        <v>3.0</v>
      </c>
      <c r="F5364" s="14"/>
      <c r="G5364" s="15"/>
      <c r="H5364" s="15"/>
      <c r="I5364" s="14"/>
      <c r="P5364" s="14"/>
    </row>
    <row r="5365" ht="18.75" customHeight="1">
      <c r="A5365" s="7" t="s">
        <v>1835</v>
      </c>
      <c r="B5365" s="9">
        <v>108238.0</v>
      </c>
      <c r="C5365" s="9">
        <v>107644.0</v>
      </c>
      <c r="D5365" s="9">
        <v>38110.0</v>
      </c>
      <c r="E5365" s="9">
        <v>1140.0</v>
      </c>
      <c r="F5365" s="14"/>
      <c r="G5365" s="15"/>
      <c r="H5365" s="15"/>
      <c r="I5365" s="14"/>
      <c r="P5365" s="14"/>
    </row>
    <row r="5366" ht="18.75" customHeight="1">
      <c r="A5366" s="7" t="s">
        <v>1835</v>
      </c>
      <c r="B5366" s="9">
        <v>92690.0</v>
      </c>
      <c r="C5366" s="9">
        <v>92397.0</v>
      </c>
      <c r="D5366" s="9">
        <v>63796.0</v>
      </c>
      <c r="E5366" s="9">
        <v>1976.0</v>
      </c>
      <c r="F5366" s="14"/>
      <c r="G5366" s="15"/>
      <c r="H5366" s="15"/>
      <c r="I5366" s="14"/>
      <c r="P5366" s="14"/>
    </row>
    <row r="5367" ht="18.75" customHeight="1">
      <c r="A5367" s="7" t="s">
        <v>1942</v>
      </c>
      <c r="B5367" s="9">
        <v>64.0</v>
      </c>
      <c r="C5367" s="9">
        <v>63.0</v>
      </c>
      <c r="D5367" s="9">
        <v>27.0</v>
      </c>
      <c r="E5367" s="9">
        <v>1.0</v>
      </c>
      <c r="F5367" s="14"/>
      <c r="G5367" s="15"/>
      <c r="H5367" s="15"/>
      <c r="I5367" s="14"/>
      <c r="P5367" s="14"/>
    </row>
    <row r="5368" ht="18.75" customHeight="1">
      <c r="A5368" s="7" t="s">
        <v>1922</v>
      </c>
      <c r="B5368" s="9">
        <v>13637.0</v>
      </c>
      <c r="C5368" s="9">
        <v>13515.0</v>
      </c>
      <c r="D5368" s="9">
        <v>5286.0</v>
      </c>
      <c r="E5368" s="9">
        <v>272.0</v>
      </c>
      <c r="F5368" s="14"/>
      <c r="G5368" s="15"/>
      <c r="H5368" s="15"/>
      <c r="I5368" s="14"/>
      <c r="P5368" s="14"/>
    </row>
    <row r="5369" ht="18.75" customHeight="1">
      <c r="A5369" s="7" t="s">
        <v>1924</v>
      </c>
      <c r="B5369" s="9">
        <v>23201.0</v>
      </c>
      <c r="C5369" s="9">
        <v>23003.0</v>
      </c>
      <c r="D5369" s="9">
        <v>8906.0</v>
      </c>
      <c r="E5369" s="9">
        <v>258.0</v>
      </c>
      <c r="F5369" s="14"/>
      <c r="G5369" s="15"/>
      <c r="H5369" s="15"/>
      <c r="I5369" s="14"/>
      <c r="P5369" s="14"/>
    </row>
    <row r="5370" ht="18.75" customHeight="1">
      <c r="A5370" s="7" t="s">
        <v>1944</v>
      </c>
      <c r="B5370" s="9">
        <v>171.0</v>
      </c>
      <c r="C5370" s="9">
        <v>170.0</v>
      </c>
      <c r="D5370" s="9">
        <v>90.0</v>
      </c>
      <c r="E5370" s="9">
        <v>1.0</v>
      </c>
      <c r="F5370" s="14"/>
      <c r="G5370" s="15"/>
      <c r="H5370" s="15"/>
      <c r="I5370" s="14"/>
      <c r="P5370" s="14"/>
    </row>
    <row r="5371" ht="18.75" customHeight="1">
      <c r="A5371" s="7" t="s">
        <v>1956</v>
      </c>
      <c r="B5371" s="9">
        <v>26077.0</v>
      </c>
      <c r="C5371" s="9">
        <v>25679.0</v>
      </c>
      <c r="D5371" s="9">
        <v>4471.0</v>
      </c>
      <c r="E5371" s="9">
        <v>96.0</v>
      </c>
      <c r="F5371" s="14"/>
      <c r="G5371" s="15"/>
      <c r="H5371" s="15"/>
      <c r="I5371" s="14"/>
      <c r="P5371" s="14"/>
    </row>
    <row r="5372" ht="18.75" customHeight="1">
      <c r="A5372" s="7" t="s">
        <v>1859</v>
      </c>
      <c r="B5372" s="9">
        <v>16711.0</v>
      </c>
      <c r="C5372" s="9">
        <v>16533.0</v>
      </c>
      <c r="D5372" s="9">
        <v>3710.0</v>
      </c>
      <c r="E5372" s="9">
        <v>74.0</v>
      </c>
      <c r="F5372" s="14"/>
      <c r="G5372" s="15"/>
      <c r="H5372" s="15"/>
      <c r="I5372" s="14"/>
      <c r="P5372" s="14"/>
    </row>
    <row r="5373" ht="18.75" customHeight="1">
      <c r="A5373" s="7" t="s">
        <v>1958</v>
      </c>
      <c r="B5373" s="9">
        <v>32553.0</v>
      </c>
      <c r="C5373" s="9">
        <v>32079.0</v>
      </c>
      <c r="D5373" s="9">
        <v>7634.0</v>
      </c>
      <c r="E5373" s="9">
        <v>112.0</v>
      </c>
      <c r="F5373" s="14"/>
      <c r="G5373" s="15"/>
      <c r="H5373" s="15"/>
      <c r="I5373" s="14"/>
      <c r="P5373" s="14"/>
    </row>
    <row r="5374" ht="18.75" customHeight="1">
      <c r="A5374" s="7" t="s">
        <v>1932</v>
      </c>
      <c r="B5374" s="9">
        <v>186248.0</v>
      </c>
      <c r="C5374" s="9">
        <v>184197.0</v>
      </c>
      <c r="D5374" s="9">
        <v>49910.0</v>
      </c>
      <c r="E5374" s="9">
        <v>237.0</v>
      </c>
      <c r="F5374" s="14"/>
      <c r="G5374" s="15"/>
      <c r="H5374" s="15"/>
      <c r="I5374" s="14"/>
      <c r="P5374" s="14"/>
    </row>
    <row r="5375" ht="18.75" customHeight="1">
      <c r="A5375" s="7" t="s">
        <v>1962</v>
      </c>
      <c r="B5375" s="9">
        <v>57793.0</v>
      </c>
      <c r="C5375" s="9">
        <v>57165.0</v>
      </c>
      <c r="D5375" s="9">
        <v>15705.0</v>
      </c>
      <c r="E5375" s="9">
        <v>181.0</v>
      </c>
      <c r="F5375" s="14"/>
      <c r="G5375" s="15"/>
      <c r="H5375" s="15"/>
      <c r="I5375" s="14"/>
      <c r="P5375" s="14"/>
    </row>
    <row r="5376" ht="18.75" customHeight="1">
      <c r="A5376" s="7" t="s">
        <v>1940</v>
      </c>
      <c r="B5376" s="9">
        <v>80380.0</v>
      </c>
      <c r="C5376" s="9">
        <v>78954.0</v>
      </c>
      <c r="D5376" s="9">
        <v>12057.0</v>
      </c>
      <c r="E5376" s="9">
        <v>362.0</v>
      </c>
      <c r="F5376" s="14"/>
      <c r="G5376" s="15"/>
      <c r="H5376" s="15"/>
      <c r="I5376" s="14"/>
      <c r="P5376" s="14"/>
    </row>
    <row r="5377" ht="18.75" customHeight="1">
      <c r="A5377" s="7" t="s">
        <v>1867</v>
      </c>
      <c r="B5377" s="9">
        <v>365844.0</v>
      </c>
      <c r="C5377" s="9">
        <v>364120.0</v>
      </c>
      <c r="D5377" s="9">
        <v>106945.0</v>
      </c>
      <c r="E5377" s="9">
        <v>10053.0</v>
      </c>
      <c r="F5377" s="14"/>
      <c r="G5377" s="15"/>
      <c r="H5377" s="15"/>
      <c r="I5377" s="14"/>
      <c r="P5377" s="14"/>
    </row>
    <row r="5378" ht="18.75" customHeight="1">
      <c r="A5378" s="7" t="s">
        <v>1867</v>
      </c>
      <c r="B5378" s="9">
        <v>206637.0</v>
      </c>
      <c r="C5378" s="9">
        <v>205738.0</v>
      </c>
      <c r="D5378" s="9">
        <v>48725.0</v>
      </c>
      <c r="E5378" s="9">
        <v>3648.0</v>
      </c>
      <c r="F5378" s="14"/>
      <c r="G5378" s="15"/>
      <c r="H5378" s="15"/>
      <c r="I5378" s="14"/>
      <c r="P5378" s="14"/>
    </row>
    <row r="5379" ht="18.75" customHeight="1">
      <c r="A5379" s="7" t="s">
        <v>1932</v>
      </c>
      <c r="B5379" s="9">
        <v>173134.0</v>
      </c>
      <c r="C5379" s="9">
        <v>169797.0</v>
      </c>
      <c r="D5379" s="9">
        <v>40489.0</v>
      </c>
      <c r="E5379" s="9">
        <v>418.0</v>
      </c>
      <c r="F5379" s="14"/>
      <c r="G5379" s="15"/>
      <c r="H5379" s="15"/>
      <c r="I5379" s="14"/>
      <c r="P5379" s="14"/>
    </row>
    <row r="5380" ht="18.75" customHeight="1">
      <c r="A5380" s="7" t="s">
        <v>1926</v>
      </c>
      <c r="B5380" s="9">
        <v>32315.0</v>
      </c>
      <c r="C5380" s="9">
        <v>31576.0</v>
      </c>
      <c r="D5380" s="9">
        <v>9154.0</v>
      </c>
      <c r="E5380" s="9">
        <v>348.0</v>
      </c>
      <c r="F5380" s="14"/>
      <c r="G5380" s="15"/>
      <c r="H5380" s="15"/>
      <c r="I5380" s="14"/>
      <c r="P5380" s="14"/>
    </row>
    <row r="5381" ht="18.75" customHeight="1">
      <c r="A5381" s="7" t="s">
        <v>1926</v>
      </c>
      <c r="B5381" s="9">
        <v>41862.0</v>
      </c>
      <c r="C5381" s="9">
        <v>40635.0</v>
      </c>
      <c r="D5381" s="9">
        <v>16113.0</v>
      </c>
      <c r="E5381" s="9">
        <v>784.0</v>
      </c>
      <c r="F5381" s="14"/>
      <c r="G5381" s="15"/>
      <c r="H5381" s="15"/>
      <c r="I5381" s="14"/>
      <c r="P5381" s="14"/>
    </row>
    <row r="5382" ht="18.75" customHeight="1">
      <c r="A5382" s="7" t="s">
        <v>1942</v>
      </c>
      <c r="B5382" s="9">
        <v>77.0</v>
      </c>
      <c r="C5382" s="9">
        <v>76.0</v>
      </c>
      <c r="D5382" s="9">
        <v>21.0</v>
      </c>
      <c r="E5382" s="9">
        <v>2.0</v>
      </c>
      <c r="F5382" s="14"/>
      <c r="G5382" s="15"/>
      <c r="H5382" s="15"/>
      <c r="I5382" s="14"/>
      <c r="P5382" s="14"/>
    </row>
    <row r="5383" ht="18.75" customHeight="1">
      <c r="A5383" s="7" t="s">
        <v>1938</v>
      </c>
      <c r="B5383" s="9">
        <v>161.0</v>
      </c>
      <c r="C5383" s="9">
        <v>158.0</v>
      </c>
      <c r="D5383" s="9">
        <v>79.0</v>
      </c>
      <c r="E5383" s="9">
        <v>3.0</v>
      </c>
      <c r="F5383" s="14"/>
      <c r="G5383" s="15"/>
      <c r="H5383" s="15"/>
      <c r="I5383" s="14"/>
      <c r="P5383" s="14"/>
    </row>
    <row r="5384" ht="18.75" customHeight="1">
      <c r="A5384" s="7" t="s">
        <v>1865</v>
      </c>
      <c r="B5384" s="9">
        <v>683.0</v>
      </c>
      <c r="C5384" s="9">
        <v>679.0</v>
      </c>
      <c r="D5384" s="9">
        <v>321.0</v>
      </c>
      <c r="E5384" s="9">
        <v>2.0</v>
      </c>
      <c r="F5384" s="14"/>
      <c r="G5384" s="15"/>
      <c r="H5384" s="15"/>
      <c r="I5384" s="14"/>
      <c r="P5384" s="14"/>
    </row>
    <row r="5385" ht="18.75" customHeight="1">
      <c r="A5385" s="7" t="s">
        <v>1914</v>
      </c>
      <c r="B5385" s="9">
        <v>161.0</v>
      </c>
      <c r="C5385" s="9">
        <v>160.0</v>
      </c>
      <c r="D5385" s="9">
        <v>90.0</v>
      </c>
      <c r="E5385" s="9">
        <v>2.0</v>
      </c>
      <c r="F5385" s="14"/>
      <c r="G5385" s="15"/>
      <c r="H5385" s="15"/>
      <c r="I5385" s="14"/>
      <c r="P5385" s="14"/>
    </row>
    <row r="5386" ht="18.75" customHeight="1">
      <c r="A5386" s="7" t="s">
        <v>1946</v>
      </c>
      <c r="B5386" s="9">
        <v>159754.0</v>
      </c>
      <c r="C5386" s="9">
        <v>157734.0</v>
      </c>
      <c r="D5386" s="9">
        <v>52909.0</v>
      </c>
      <c r="E5386" s="9">
        <v>375.0</v>
      </c>
      <c r="F5386" s="14"/>
      <c r="G5386" s="15"/>
      <c r="H5386" s="15"/>
      <c r="I5386" s="14"/>
      <c r="P5386" s="14"/>
    </row>
    <row r="5387" ht="18.75" customHeight="1">
      <c r="A5387" s="7" t="s">
        <v>1946</v>
      </c>
      <c r="B5387" s="9">
        <v>107726.0</v>
      </c>
      <c r="C5387" s="9">
        <v>106283.0</v>
      </c>
      <c r="D5387" s="9">
        <v>39180.0</v>
      </c>
      <c r="E5387" s="9">
        <v>349.0</v>
      </c>
      <c r="F5387" s="14"/>
      <c r="G5387" s="15"/>
      <c r="H5387" s="15"/>
      <c r="I5387" s="14"/>
      <c r="P5387" s="14"/>
    </row>
    <row r="5388" ht="18.75" customHeight="1">
      <c r="A5388" s="7" t="s">
        <v>1960</v>
      </c>
      <c r="B5388" s="9">
        <v>64403.0</v>
      </c>
      <c r="C5388" s="9">
        <v>63481.0</v>
      </c>
      <c r="D5388" s="9">
        <v>10298.0</v>
      </c>
      <c r="E5388" s="9">
        <v>166.0</v>
      </c>
      <c r="F5388" s="14"/>
      <c r="G5388" s="15"/>
      <c r="H5388" s="15"/>
      <c r="I5388" s="14"/>
      <c r="P5388" s="14"/>
    </row>
    <row r="5389" ht="18.75" customHeight="1">
      <c r="A5389" s="7" t="s">
        <v>1976</v>
      </c>
      <c r="B5389" s="9">
        <v>4051.0</v>
      </c>
      <c r="C5389" s="9">
        <v>3972.0</v>
      </c>
      <c r="D5389" s="9">
        <v>1362.0</v>
      </c>
      <c r="E5389" s="9">
        <v>38.0</v>
      </c>
      <c r="F5389" s="14"/>
      <c r="G5389" s="15"/>
      <c r="H5389" s="15"/>
      <c r="I5389" s="14"/>
      <c r="P5389" s="14"/>
    </row>
    <row r="5390" ht="18.75" customHeight="1">
      <c r="A5390" s="7" t="s">
        <v>1944</v>
      </c>
      <c r="B5390" s="9">
        <v>201.0</v>
      </c>
      <c r="C5390" s="9">
        <v>201.0</v>
      </c>
      <c r="D5390" s="9">
        <v>99.0</v>
      </c>
      <c r="E5390" s="9">
        <v>3.0</v>
      </c>
      <c r="F5390" s="14"/>
      <c r="G5390" s="15"/>
      <c r="H5390" s="15"/>
      <c r="I5390" s="14"/>
      <c r="P5390" s="14"/>
    </row>
    <row r="5391" ht="18.75" customHeight="1">
      <c r="A5391" s="7" t="s">
        <v>1952</v>
      </c>
      <c r="B5391" s="9">
        <v>114090.0</v>
      </c>
      <c r="C5391" s="9">
        <v>112753.0</v>
      </c>
      <c r="D5391" s="9">
        <v>29054.0</v>
      </c>
      <c r="E5391" s="9">
        <v>1395.0</v>
      </c>
      <c r="F5391" s="14"/>
      <c r="G5391" s="15"/>
      <c r="H5391" s="15"/>
      <c r="I5391" s="14"/>
      <c r="P5391" s="14"/>
    </row>
    <row r="5392" ht="18.75" customHeight="1">
      <c r="A5392" s="7" t="s">
        <v>1956</v>
      </c>
      <c r="B5392" s="9">
        <v>110.0</v>
      </c>
      <c r="C5392" s="9">
        <v>109.0</v>
      </c>
      <c r="D5392" s="9">
        <v>57.0</v>
      </c>
      <c r="E5392" s="9">
        <v>1.0</v>
      </c>
      <c r="F5392" s="14"/>
      <c r="G5392" s="15"/>
      <c r="H5392" s="15"/>
      <c r="I5392" s="14"/>
      <c r="P5392" s="14"/>
    </row>
    <row r="5393" ht="18.75" customHeight="1">
      <c r="A5393" s="7" t="s">
        <v>1978</v>
      </c>
      <c r="B5393" s="9">
        <v>12379.0</v>
      </c>
      <c r="C5393" s="9">
        <v>12272.0</v>
      </c>
      <c r="D5393" s="9">
        <v>4201.0</v>
      </c>
      <c r="E5393" s="9">
        <v>558.0</v>
      </c>
      <c r="F5393" s="14"/>
      <c r="G5393" s="15"/>
      <c r="H5393" s="15"/>
      <c r="I5393" s="14"/>
      <c r="P5393" s="14"/>
    </row>
    <row r="5394" ht="18.75" customHeight="1">
      <c r="A5394" s="7" t="s">
        <v>1958</v>
      </c>
      <c r="B5394" s="9">
        <v>85.0</v>
      </c>
      <c r="C5394" s="9">
        <v>84.0</v>
      </c>
      <c r="D5394" s="9">
        <v>51.0</v>
      </c>
      <c r="E5394" s="9">
        <v>2.0</v>
      </c>
      <c r="F5394" s="14"/>
      <c r="G5394" s="15"/>
      <c r="H5394" s="15"/>
      <c r="I5394" s="14"/>
      <c r="P5394" s="14"/>
    </row>
    <row r="5395" ht="18.75" customHeight="1">
      <c r="A5395" s="7" t="s">
        <v>1970</v>
      </c>
      <c r="B5395" s="9">
        <v>137861.0</v>
      </c>
      <c r="C5395" s="9">
        <v>135963.0</v>
      </c>
      <c r="D5395" s="9">
        <v>36103.0</v>
      </c>
      <c r="E5395" s="9">
        <v>596.0</v>
      </c>
      <c r="F5395" s="14"/>
      <c r="G5395" s="15"/>
      <c r="H5395" s="15"/>
      <c r="I5395" s="14"/>
      <c r="P5395" s="14"/>
    </row>
    <row r="5396" ht="18.75" customHeight="1">
      <c r="A5396" s="7" t="s">
        <v>1962</v>
      </c>
      <c r="B5396" s="9">
        <v>95.0</v>
      </c>
      <c r="C5396" s="9">
        <v>95.0</v>
      </c>
      <c r="D5396" s="9">
        <v>59.0</v>
      </c>
      <c r="E5396" s="9">
        <v>2.0</v>
      </c>
      <c r="F5396" s="14"/>
      <c r="G5396" s="15"/>
      <c r="H5396" s="15"/>
      <c r="I5396" s="14"/>
      <c r="P5396" s="14"/>
    </row>
    <row r="5397" ht="18.75" customHeight="1">
      <c r="A5397" s="7" t="s">
        <v>1940</v>
      </c>
      <c r="B5397" s="9">
        <v>196.0</v>
      </c>
      <c r="C5397" s="9">
        <v>196.0</v>
      </c>
      <c r="D5397" s="9">
        <v>81.0</v>
      </c>
      <c r="E5397" s="9">
        <v>2.0</v>
      </c>
      <c r="F5397" s="14"/>
      <c r="G5397" s="15"/>
      <c r="H5397" s="15"/>
      <c r="I5397" s="14"/>
      <c r="P5397" s="14"/>
    </row>
    <row r="5398" ht="18.75" customHeight="1">
      <c r="A5398" s="7" t="s">
        <v>1974</v>
      </c>
      <c r="B5398" s="9">
        <v>408305.0</v>
      </c>
      <c r="C5398" s="9">
        <v>407192.0</v>
      </c>
      <c r="D5398" s="9">
        <v>153843.0</v>
      </c>
      <c r="E5398" s="9">
        <v>2114.0</v>
      </c>
      <c r="F5398" s="14"/>
      <c r="G5398" s="15"/>
      <c r="H5398" s="15"/>
      <c r="I5398" s="14"/>
      <c r="P5398" s="14"/>
    </row>
    <row r="5399" ht="18.75" customHeight="1">
      <c r="A5399" s="7" t="s">
        <v>1946</v>
      </c>
      <c r="B5399" s="9">
        <v>82676.0</v>
      </c>
      <c r="C5399" s="9">
        <v>81323.0</v>
      </c>
      <c r="D5399" s="9">
        <v>21180.0</v>
      </c>
      <c r="E5399" s="9">
        <v>99.0</v>
      </c>
      <c r="F5399" s="14"/>
      <c r="G5399" s="15"/>
      <c r="H5399" s="15"/>
      <c r="I5399" s="14"/>
      <c r="P5399" s="14"/>
    </row>
    <row r="5400" ht="18.75" customHeight="1">
      <c r="A5400" s="7" t="s">
        <v>1910</v>
      </c>
      <c r="B5400" s="9">
        <v>59.0</v>
      </c>
      <c r="C5400" s="9">
        <v>58.0</v>
      </c>
      <c r="D5400" s="9">
        <v>15.0</v>
      </c>
      <c r="E5400" s="9">
        <v>1.0</v>
      </c>
      <c r="F5400" s="14"/>
      <c r="G5400" s="15"/>
      <c r="H5400" s="15"/>
      <c r="I5400" s="14"/>
      <c r="P5400" s="14"/>
    </row>
    <row r="5401" ht="18.75" customHeight="1">
      <c r="A5401" s="7" t="s">
        <v>1960</v>
      </c>
      <c r="B5401" s="9">
        <v>139.0</v>
      </c>
      <c r="C5401" s="9">
        <v>137.0</v>
      </c>
      <c r="D5401" s="9">
        <v>75.0</v>
      </c>
      <c r="E5401" s="9">
        <v>1.0</v>
      </c>
      <c r="F5401" s="14"/>
      <c r="G5401" s="15"/>
      <c r="H5401" s="15"/>
      <c r="I5401" s="14"/>
      <c r="P5401" s="14"/>
    </row>
    <row r="5402" ht="18.75" customHeight="1">
      <c r="A5402" s="7" t="s">
        <v>1980</v>
      </c>
      <c r="B5402" s="9">
        <v>94901.0</v>
      </c>
      <c r="C5402" s="9">
        <v>93959.0</v>
      </c>
      <c r="D5402" s="9">
        <v>30547.0</v>
      </c>
      <c r="E5402" s="9">
        <v>981.0</v>
      </c>
      <c r="F5402" s="14"/>
      <c r="G5402" s="15"/>
      <c r="H5402" s="15"/>
      <c r="I5402" s="14"/>
      <c r="P5402" s="14"/>
    </row>
    <row r="5403" ht="18.75" customHeight="1">
      <c r="A5403" s="7" t="s">
        <v>1980</v>
      </c>
      <c r="B5403" s="9">
        <v>75514.0</v>
      </c>
      <c r="C5403" s="9">
        <v>74840.0</v>
      </c>
      <c r="D5403" s="9">
        <v>24352.0</v>
      </c>
      <c r="E5403" s="9">
        <v>793.0</v>
      </c>
      <c r="F5403" s="14"/>
      <c r="G5403" s="15"/>
      <c r="H5403" s="15"/>
      <c r="I5403" s="14"/>
      <c r="P5403" s="14"/>
    </row>
    <row r="5404" ht="18.75" customHeight="1">
      <c r="A5404" s="7" t="s">
        <v>1950</v>
      </c>
      <c r="B5404" s="9">
        <v>12736.0</v>
      </c>
      <c r="C5404" s="9">
        <v>12564.0</v>
      </c>
      <c r="D5404" s="9">
        <v>4890.0</v>
      </c>
      <c r="E5404" s="9">
        <v>93.0</v>
      </c>
      <c r="F5404" s="14"/>
      <c r="G5404" s="15"/>
      <c r="H5404" s="15"/>
      <c r="I5404" s="14"/>
      <c r="P5404" s="14"/>
    </row>
    <row r="5405" ht="18.75" customHeight="1">
      <c r="A5405" s="7" t="s">
        <v>1964</v>
      </c>
      <c r="B5405" s="9">
        <v>12663.0</v>
      </c>
      <c r="C5405" s="9">
        <v>12486.0</v>
      </c>
      <c r="D5405" s="9">
        <v>3587.0</v>
      </c>
      <c r="E5405" s="9">
        <v>128.0</v>
      </c>
      <c r="F5405" s="14"/>
      <c r="G5405" s="15"/>
      <c r="H5405" s="15"/>
      <c r="I5405" s="14"/>
      <c r="P5405" s="14"/>
    </row>
    <row r="5406" ht="18.75" customHeight="1">
      <c r="A5406" s="7" t="s">
        <v>1966</v>
      </c>
      <c r="B5406" s="9">
        <v>2750.0</v>
      </c>
      <c r="C5406" s="9">
        <v>2667.0</v>
      </c>
      <c r="D5406" s="9">
        <v>599.0</v>
      </c>
      <c r="E5406" s="9">
        <v>43.0</v>
      </c>
      <c r="F5406" s="14"/>
      <c r="G5406" s="15"/>
      <c r="H5406" s="15"/>
      <c r="I5406" s="14"/>
      <c r="P5406" s="14"/>
    </row>
    <row r="5407" ht="18.75" customHeight="1">
      <c r="A5407" s="7" t="s">
        <v>1968</v>
      </c>
      <c r="B5407" s="9">
        <v>19033.0</v>
      </c>
      <c r="C5407" s="9">
        <v>18832.0</v>
      </c>
      <c r="D5407" s="9">
        <v>6338.0</v>
      </c>
      <c r="E5407" s="9">
        <v>288.0</v>
      </c>
      <c r="F5407" s="14"/>
      <c r="G5407" s="15"/>
      <c r="H5407" s="15"/>
      <c r="I5407" s="14"/>
      <c r="P5407" s="14"/>
    </row>
    <row r="5408" ht="18.75" customHeight="1">
      <c r="A5408" s="7" t="s">
        <v>1833</v>
      </c>
      <c r="B5408" s="9">
        <v>42.0</v>
      </c>
      <c r="C5408" s="9">
        <v>41.0</v>
      </c>
      <c r="D5408" s="9">
        <v>10.0</v>
      </c>
      <c r="E5408" s="9">
        <v>1.0</v>
      </c>
      <c r="F5408" s="14"/>
      <c r="G5408" s="15"/>
      <c r="H5408" s="15"/>
      <c r="I5408" s="14"/>
      <c r="P5408" s="14"/>
    </row>
    <row r="5409" ht="18.75" customHeight="1">
      <c r="A5409" s="7" t="s">
        <v>1833</v>
      </c>
      <c r="B5409" s="9">
        <v>46.0</v>
      </c>
      <c r="C5409" s="9">
        <v>45.0</v>
      </c>
      <c r="D5409" s="9">
        <v>10.0</v>
      </c>
      <c r="E5409" s="9">
        <v>3.0</v>
      </c>
      <c r="F5409" s="14"/>
      <c r="G5409" s="15"/>
      <c r="H5409" s="15"/>
      <c r="I5409" s="14"/>
      <c r="P5409" s="14"/>
    </row>
    <row r="5410" ht="18.75" customHeight="1">
      <c r="A5410" s="7" t="s">
        <v>1833</v>
      </c>
      <c r="B5410" s="9">
        <v>46.0</v>
      </c>
      <c r="C5410" s="9">
        <v>45.0</v>
      </c>
      <c r="D5410" s="9">
        <v>10.0</v>
      </c>
      <c r="E5410" s="9">
        <v>4.0</v>
      </c>
      <c r="F5410" s="14"/>
      <c r="G5410" s="15"/>
      <c r="H5410" s="15"/>
      <c r="I5410" s="14"/>
      <c r="P5410" s="14"/>
    </row>
    <row r="5411" ht="18.75" customHeight="1">
      <c r="A5411" s="7" t="s">
        <v>501</v>
      </c>
      <c r="B5411" s="9">
        <v>298201.0</v>
      </c>
      <c r="C5411" s="9">
        <v>294710.0</v>
      </c>
      <c r="D5411" s="9">
        <v>90826.0</v>
      </c>
      <c r="E5411" s="9">
        <v>6355.0</v>
      </c>
      <c r="F5411" s="14"/>
      <c r="G5411" s="15"/>
      <c r="H5411" s="15"/>
      <c r="I5411" s="14"/>
      <c r="P5411" s="14"/>
    </row>
    <row r="5412" ht="18.75" customHeight="1">
      <c r="A5412" s="7" t="s">
        <v>2857</v>
      </c>
      <c r="B5412" s="9">
        <v>84462.0</v>
      </c>
      <c r="C5412" s="9">
        <v>83508.0</v>
      </c>
      <c r="D5412" s="9">
        <v>23308.0</v>
      </c>
      <c r="E5412" s="9">
        <v>559.0</v>
      </c>
      <c r="F5412" s="14"/>
      <c r="G5412" s="15"/>
      <c r="H5412" s="15"/>
      <c r="I5412" s="14"/>
      <c r="P5412" s="14"/>
    </row>
    <row r="5413" ht="18.75" customHeight="1">
      <c r="A5413" s="7" t="s">
        <v>509</v>
      </c>
      <c r="B5413" s="9">
        <v>23026.0</v>
      </c>
      <c r="C5413" s="9">
        <v>23019.0</v>
      </c>
      <c r="D5413" s="9">
        <v>10734.0</v>
      </c>
      <c r="E5413" s="9">
        <v>2103.0</v>
      </c>
      <c r="F5413" s="14"/>
      <c r="G5413" s="15"/>
      <c r="H5413" s="15"/>
      <c r="I5413" s="14"/>
      <c r="P5413" s="14"/>
    </row>
    <row r="5414" ht="18.75" customHeight="1">
      <c r="A5414" s="7" t="s">
        <v>509</v>
      </c>
      <c r="B5414" s="9">
        <v>6112.0</v>
      </c>
      <c r="C5414" s="9">
        <v>6092.0</v>
      </c>
      <c r="D5414" s="9">
        <v>2773.0</v>
      </c>
      <c r="E5414" s="9">
        <v>436.0</v>
      </c>
      <c r="F5414" s="14"/>
      <c r="G5414" s="15"/>
      <c r="H5414" s="15"/>
      <c r="I5414" s="14"/>
      <c r="P5414" s="14"/>
    </row>
    <row r="5415" ht="18.75" customHeight="1">
      <c r="A5415" s="7" t="s">
        <v>1938</v>
      </c>
      <c r="B5415" s="9">
        <v>160.0</v>
      </c>
      <c r="C5415" s="9">
        <v>159.0</v>
      </c>
      <c r="D5415" s="9">
        <v>76.0</v>
      </c>
      <c r="E5415" s="9">
        <v>4.0</v>
      </c>
      <c r="F5415" s="14"/>
      <c r="G5415" s="15"/>
      <c r="H5415" s="15"/>
      <c r="I5415" s="14"/>
      <c r="P5415" s="14"/>
    </row>
    <row r="5416" ht="18.75" customHeight="1">
      <c r="A5416" s="7" t="s">
        <v>1507</v>
      </c>
      <c r="B5416" s="9">
        <v>120638.0</v>
      </c>
      <c r="C5416" s="9">
        <v>119381.0</v>
      </c>
      <c r="D5416" s="9">
        <v>35333.0</v>
      </c>
      <c r="E5416" s="9">
        <v>559.0</v>
      </c>
      <c r="F5416" s="14"/>
      <c r="G5416" s="15"/>
      <c r="H5416" s="15"/>
      <c r="I5416" s="14"/>
      <c r="P5416" s="14"/>
    </row>
    <row r="5417" ht="18.75" customHeight="1">
      <c r="A5417" s="7" t="s">
        <v>1974</v>
      </c>
      <c r="B5417" s="9">
        <v>33855.0</v>
      </c>
      <c r="C5417" s="9">
        <v>33681.0</v>
      </c>
      <c r="D5417" s="9">
        <v>1330.0</v>
      </c>
      <c r="E5417" s="9">
        <v>52.0</v>
      </c>
      <c r="F5417" s="14"/>
      <c r="G5417" s="15"/>
      <c r="H5417" s="15"/>
      <c r="I5417" s="14"/>
      <c r="P5417" s="14"/>
    </row>
    <row r="5418" ht="18.75" customHeight="1">
      <c r="A5418" s="7" t="s">
        <v>1956</v>
      </c>
      <c r="B5418" s="9">
        <v>109.0</v>
      </c>
      <c r="C5418" s="9">
        <v>108.0</v>
      </c>
      <c r="D5418" s="9">
        <v>43.0</v>
      </c>
      <c r="E5418" s="9">
        <v>1.0</v>
      </c>
      <c r="F5418" s="14"/>
      <c r="G5418" s="15"/>
      <c r="H5418" s="15"/>
      <c r="I5418" s="14"/>
      <c r="P5418" s="14"/>
    </row>
    <row r="5419" ht="18.75" customHeight="1">
      <c r="A5419" s="7" t="s">
        <v>1958</v>
      </c>
      <c r="B5419" s="9">
        <v>85.0</v>
      </c>
      <c r="C5419" s="9">
        <v>84.0</v>
      </c>
      <c r="D5419" s="9">
        <v>36.0</v>
      </c>
      <c r="E5419" s="9">
        <v>2.0</v>
      </c>
      <c r="F5419" s="14"/>
      <c r="G5419" s="15"/>
      <c r="H5419" s="15"/>
      <c r="I5419" s="14"/>
      <c r="P5419" s="14"/>
    </row>
    <row r="5420" ht="18.75" customHeight="1">
      <c r="A5420" s="7" t="s">
        <v>1962</v>
      </c>
      <c r="B5420" s="9">
        <v>95.0</v>
      </c>
      <c r="C5420" s="9">
        <v>95.0</v>
      </c>
      <c r="D5420" s="9">
        <v>36.0</v>
      </c>
      <c r="E5420" s="9">
        <v>0.0</v>
      </c>
      <c r="F5420" s="14"/>
      <c r="G5420" s="15"/>
      <c r="H5420" s="15"/>
      <c r="I5420" s="14"/>
      <c r="P5420" s="14"/>
    </row>
    <row r="5421" ht="18.75" customHeight="1">
      <c r="A5421" s="7" t="s">
        <v>1998</v>
      </c>
      <c r="B5421" s="9">
        <v>18811.0</v>
      </c>
      <c r="C5421" s="9">
        <v>18496.0</v>
      </c>
      <c r="D5421" s="9">
        <v>1835.0</v>
      </c>
      <c r="E5421" s="9">
        <v>31.0</v>
      </c>
      <c r="F5421" s="14"/>
      <c r="G5421" s="15"/>
      <c r="H5421" s="15"/>
      <c r="I5421" s="14"/>
      <c r="P5421" s="14"/>
    </row>
    <row r="5422" ht="18.75" customHeight="1">
      <c r="A5422" s="7" t="s">
        <v>2004</v>
      </c>
      <c r="B5422" s="9">
        <v>170264.0</v>
      </c>
      <c r="C5422" s="9">
        <v>169833.0</v>
      </c>
      <c r="D5422" s="9">
        <v>90113.0</v>
      </c>
      <c r="E5422" s="9">
        <v>566.0</v>
      </c>
      <c r="F5422" s="14"/>
      <c r="G5422" s="15"/>
      <c r="H5422" s="15"/>
      <c r="I5422" s="14"/>
      <c r="P5422" s="14"/>
    </row>
    <row r="5423" ht="18.75" customHeight="1">
      <c r="A5423" s="7" t="s">
        <v>372</v>
      </c>
      <c r="B5423" s="9">
        <v>5541.0</v>
      </c>
      <c r="C5423" s="9">
        <v>5484.0</v>
      </c>
      <c r="D5423" s="9">
        <v>1656.0</v>
      </c>
      <c r="E5423" s="9">
        <v>96.0</v>
      </c>
      <c r="F5423" s="14"/>
      <c r="G5423" s="15"/>
      <c r="H5423" s="15"/>
      <c r="I5423" s="14"/>
      <c r="P5423" s="14"/>
    </row>
    <row r="5424" ht="18.75" customHeight="1">
      <c r="A5424" s="7" t="s">
        <v>370</v>
      </c>
      <c r="B5424" s="9">
        <v>159.0</v>
      </c>
      <c r="C5424" s="9">
        <v>156.0</v>
      </c>
      <c r="D5424" s="9">
        <v>46.0</v>
      </c>
      <c r="E5424" s="9">
        <v>2.0</v>
      </c>
      <c r="F5424" s="14"/>
      <c r="G5424" s="15"/>
      <c r="H5424" s="15"/>
      <c r="I5424" s="14"/>
      <c r="P5424" s="14"/>
    </row>
    <row r="5425" ht="18.75" customHeight="1">
      <c r="A5425" s="7" t="s">
        <v>370</v>
      </c>
      <c r="B5425" s="9">
        <v>90.0</v>
      </c>
      <c r="C5425" s="9">
        <v>87.0</v>
      </c>
      <c r="D5425" s="9">
        <v>29.0</v>
      </c>
      <c r="E5425" s="9">
        <v>2.0</v>
      </c>
      <c r="F5425" s="14"/>
      <c r="G5425" s="15"/>
      <c r="H5425" s="15"/>
      <c r="I5425" s="14"/>
      <c r="P5425" s="14"/>
    </row>
    <row r="5426" ht="18.75" customHeight="1">
      <c r="A5426" s="7" t="s">
        <v>366</v>
      </c>
      <c r="B5426" s="9">
        <v>1069.0</v>
      </c>
      <c r="C5426" s="9">
        <v>1052.0</v>
      </c>
      <c r="D5426" s="9">
        <v>322.0</v>
      </c>
      <c r="E5426" s="9">
        <v>20.0</v>
      </c>
      <c r="F5426" s="14"/>
      <c r="G5426" s="15"/>
      <c r="H5426" s="15"/>
      <c r="I5426" s="14"/>
      <c r="P5426" s="14"/>
    </row>
    <row r="5427" ht="18.75" customHeight="1">
      <c r="A5427" s="7" t="s">
        <v>366</v>
      </c>
      <c r="B5427" s="9">
        <v>469.0</v>
      </c>
      <c r="C5427" s="9">
        <v>462.0</v>
      </c>
      <c r="D5427" s="9">
        <v>132.0</v>
      </c>
      <c r="E5427" s="9">
        <v>7.0</v>
      </c>
      <c r="F5427" s="14"/>
      <c r="G5427" s="15"/>
      <c r="H5427" s="15"/>
      <c r="I5427" s="14"/>
      <c r="P5427" s="14"/>
    </row>
    <row r="5428" ht="18.75" customHeight="1">
      <c r="A5428" s="7" t="s">
        <v>368</v>
      </c>
      <c r="B5428" s="9">
        <v>162.0</v>
      </c>
      <c r="C5428" s="9">
        <v>161.0</v>
      </c>
      <c r="D5428" s="9">
        <v>47.0</v>
      </c>
      <c r="E5428" s="9">
        <v>8.0</v>
      </c>
      <c r="F5428" s="14"/>
      <c r="G5428" s="15"/>
      <c r="H5428" s="15"/>
      <c r="I5428" s="14"/>
      <c r="P5428" s="14"/>
    </row>
    <row r="5429" ht="18.75" customHeight="1">
      <c r="A5429" s="7" t="s">
        <v>1467</v>
      </c>
      <c r="B5429" s="9">
        <v>6130.0</v>
      </c>
      <c r="C5429" s="9">
        <v>6051.0</v>
      </c>
      <c r="D5429" s="9">
        <v>1950.0</v>
      </c>
      <c r="E5429" s="9">
        <v>191.0</v>
      </c>
      <c r="F5429" s="14"/>
      <c r="G5429" s="15"/>
      <c r="H5429" s="15"/>
      <c r="I5429" s="14"/>
      <c r="P5429" s="14"/>
    </row>
    <row r="5430" ht="18.75" customHeight="1">
      <c r="A5430" s="7" t="s">
        <v>1996</v>
      </c>
      <c r="B5430" s="9">
        <v>74716.0</v>
      </c>
      <c r="C5430" s="9">
        <v>74031.0</v>
      </c>
      <c r="D5430" s="9">
        <v>11151.0</v>
      </c>
      <c r="E5430" s="9">
        <v>199.0</v>
      </c>
      <c r="F5430" s="14"/>
      <c r="G5430" s="15"/>
      <c r="H5430" s="15"/>
      <c r="I5430" s="14"/>
      <c r="P5430" s="14"/>
    </row>
    <row r="5431" ht="18.75" customHeight="1">
      <c r="A5431" s="7" t="s">
        <v>374</v>
      </c>
      <c r="B5431" s="9">
        <v>3625.0</v>
      </c>
      <c r="C5431" s="9">
        <v>3582.0</v>
      </c>
      <c r="D5431" s="9">
        <v>997.0</v>
      </c>
      <c r="E5431" s="9">
        <v>41.0</v>
      </c>
      <c r="F5431" s="14"/>
      <c r="G5431" s="15"/>
      <c r="H5431" s="15"/>
      <c r="I5431" s="14"/>
      <c r="P5431" s="14"/>
    </row>
    <row r="5432" ht="18.75" customHeight="1">
      <c r="A5432" s="7" t="s">
        <v>374</v>
      </c>
      <c r="B5432" s="9">
        <v>3625.0</v>
      </c>
      <c r="C5432" s="9">
        <v>3582.0</v>
      </c>
      <c r="D5432" s="9">
        <v>1022.0</v>
      </c>
      <c r="E5432" s="9">
        <v>60.0</v>
      </c>
      <c r="F5432" s="14"/>
      <c r="G5432" s="15"/>
      <c r="H5432" s="15"/>
      <c r="I5432" s="14"/>
      <c r="P5432" s="14"/>
    </row>
    <row r="5433" ht="18.75" customHeight="1">
      <c r="A5433" s="7" t="s">
        <v>1960</v>
      </c>
      <c r="B5433" s="9">
        <v>140.0</v>
      </c>
      <c r="C5433" s="9">
        <v>139.0</v>
      </c>
      <c r="D5433" s="9">
        <v>51.0</v>
      </c>
      <c r="E5433" s="9">
        <v>1.0</v>
      </c>
      <c r="F5433" s="14"/>
      <c r="G5433" s="15"/>
      <c r="H5433" s="15"/>
      <c r="I5433" s="14"/>
      <c r="P5433" s="14"/>
    </row>
    <row r="5434" ht="18.75" customHeight="1">
      <c r="A5434" s="7" t="s">
        <v>1980</v>
      </c>
      <c r="B5434" s="9">
        <v>57854.0</v>
      </c>
      <c r="C5434" s="9">
        <v>57222.0</v>
      </c>
      <c r="D5434" s="9">
        <v>20088.0</v>
      </c>
      <c r="E5434" s="9">
        <v>528.0</v>
      </c>
      <c r="F5434" s="14"/>
      <c r="G5434" s="15"/>
      <c r="H5434" s="15"/>
      <c r="I5434" s="14"/>
      <c r="P5434" s="14"/>
    </row>
    <row r="5435" ht="18.75" customHeight="1">
      <c r="A5435" s="7" t="s">
        <v>1992</v>
      </c>
      <c r="B5435" s="9">
        <v>61869.0</v>
      </c>
      <c r="C5435" s="9">
        <v>60882.0</v>
      </c>
      <c r="D5435" s="9">
        <v>6775.0</v>
      </c>
      <c r="E5435" s="9">
        <v>86.0</v>
      </c>
      <c r="F5435" s="14"/>
      <c r="G5435" s="15"/>
      <c r="H5435" s="15"/>
      <c r="I5435" s="14"/>
      <c r="P5435" s="14"/>
    </row>
    <row r="5436" ht="18.75" customHeight="1">
      <c r="A5436" s="7" t="s">
        <v>1831</v>
      </c>
      <c r="B5436" s="9">
        <v>17070.0</v>
      </c>
      <c r="C5436" s="9">
        <v>16749.0</v>
      </c>
      <c r="D5436" s="9">
        <v>5157.0</v>
      </c>
      <c r="E5436" s="9">
        <v>71.0</v>
      </c>
      <c r="F5436" s="14"/>
      <c r="G5436" s="15"/>
      <c r="H5436" s="15"/>
      <c r="I5436" s="14"/>
      <c r="P5436" s="14"/>
    </row>
    <row r="5437" ht="18.75" customHeight="1">
      <c r="A5437" s="7" t="s">
        <v>1831</v>
      </c>
      <c r="B5437" s="9">
        <v>65859.0</v>
      </c>
      <c r="C5437" s="9">
        <v>63542.0</v>
      </c>
      <c r="D5437" s="9">
        <v>5061.0</v>
      </c>
      <c r="E5437" s="9">
        <v>242.0</v>
      </c>
      <c r="F5437" s="14"/>
      <c r="G5437" s="15"/>
      <c r="H5437" s="15"/>
      <c r="I5437" s="14"/>
      <c r="P5437" s="14"/>
    </row>
    <row r="5438" ht="18.75" customHeight="1">
      <c r="A5438" s="7" t="s">
        <v>1994</v>
      </c>
      <c r="B5438" s="9">
        <v>101311.0</v>
      </c>
      <c r="C5438" s="9">
        <v>100920.0</v>
      </c>
      <c r="D5438" s="9">
        <v>24061.0</v>
      </c>
      <c r="E5438" s="9">
        <v>345.0</v>
      </c>
      <c r="F5438" s="14"/>
      <c r="G5438" s="15"/>
      <c r="H5438" s="15"/>
      <c r="I5438" s="14"/>
      <c r="P5438" s="14"/>
    </row>
    <row r="5439" ht="18.75" customHeight="1">
      <c r="A5439" s="7" t="s">
        <v>1507</v>
      </c>
      <c r="B5439" s="9">
        <v>158102.0</v>
      </c>
      <c r="C5439" s="9">
        <v>156456.0</v>
      </c>
      <c r="D5439" s="9">
        <v>48958.0</v>
      </c>
      <c r="E5439" s="9">
        <v>875.0</v>
      </c>
      <c r="F5439" s="14"/>
      <c r="G5439" s="15"/>
      <c r="H5439" s="15"/>
      <c r="I5439" s="14"/>
      <c r="P5439" s="14"/>
    </row>
    <row r="5440" ht="18.75" customHeight="1">
      <c r="A5440" s="7" t="s">
        <v>1974</v>
      </c>
      <c r="B5440" s="9">
        <v>251395.0</v>
      </c>
      <c r="C5440" s="9">
        <v>248580.0</v>
      </c>
      <c r="D5440" s="9">
        <v>25075.0</v>
      </c>
      <c r="E5440" s="9">
        <v>327.0</v>
      </c>
      <c r="F5440" s="14"/>
      <c r="G5440" s="15"/>
      <c r="H5440" s="15"/>
      <c r="I5440" s="14"/>
      <c r="P5440" s="14"/>
    </row>
    <row r="5441" ht="18.75" customHeight="1">
      <c r="A5441" s="7" t="s">
        <v>1972</v>
      </c>
      <c r="B5441" s="9">
        <v>503180.0</v>
      </c>
      <c r="C5441" s="9">
        <v>498644.0</v>
      </c>
      <c r="D5441" s="9">
        <v>102193.0</v>
      </c>
      <c r="E5441" s="9">
        <v>2326.0</v>
      </c>
      <c r="F5441" s="14"/>
      <c r="G5441" s="15"/>
      <c r="H5441" s="15"/>
      <c r="I5441" s="14"/>
      <c r="P5441" s="14"/>
    </row>
    <row r="5442" ht="18.75" customHeight="1">
      <c r="A5442" s="7" t="s">
        <v>2004</v>
      </c>
      <c r="B5442" s="9">
        <v>38945.0</v>
      </c>
      <c r="C5442" s="9">
        <v>38764.0</v>
      </c>
      <c r="D5442" s="9">
        <v>3286.0</v>
      </c>
      <c r="E5442" s="9">
        <v>46.0</v>
      </c>
      <c r="F5442" s="14"/>
      <c r="G5442" s="15"/>
      <c r="H5442" s="15"/>
      <c r="I5442" s="14"/>
      <c r="P5442" s="14"/>
    </row>
    <row r="5443" ht="18.75" customHeight="1">
      <c r="A5443" s="7" t="s">
        <v>1954</v>
      </c>
      <c r="B5443" s="9">
        <v>395.0</v>
      </c>
      <c r="C5443" s="9">
        <v>389.0</v>
      </c>
      <c r="D5443" s="9">
        <v>173.0</v>
      </c>
      <c r="E5443" s="9">
        <v>63.0</v>
      </c>
      <c r="F5443" s="14"/>
      <c r="G5443" s="15"/>
      <c r="H5443" s="15"/>
      <c r="I5443" s="14"/>
      <c r="P5443" s="14"/>
    </row>
    <row r="5444" ht="18.75" customHeight="1">
      <c r="A5444" s="7" t="s">
        <v>1986</v>
      </c>
      <c r="B5444" s="9">
        <v>140565.0</v>
      </c>
      <c r="C5444" s="9">
        <v>138446.0</v>
      </c>
      <c r="D5444" s="9">
        <v>24754.0</v>
      </c>
      <c r="E5444" s="9">
        <v>3596.0</v>
      </c>
      <c r="F5444" s="14"/>
      <c r="G5444" s="15"/>
      <c r="H5444" s="15"/>
      <c r="I5444" s="14"/>
      <c r="P5444" s="14"/>
    </row>
    <row r="5445" ht="18.75" customHeight="1">
      <c r="A5445" s="7" t="s">
        <v>1940</v>
      </c>
      <c r="B5445" s="9">
        <v>196.0</v>
      </c>
      <c r="C5445" s="9">
        <v>196.0</v>
      </c>
      <c r="D5445" s="9">
        <v>83.0</v>
      </c>
      <c r="E5445" s="9">
        <v>3.0</v>
      </c>
      <c r="F5445" s="14"/>
      <c r="G5445" s="15"/>
      <c r="H5445" s="15"/>
      <c r="I5445" s="14"/>
      <c r="P5445" s="14"/>
    </row>
    <row r="5446" ht="18.75" customHeight="1">
      <c r="A5446" s="7" t="s">
        <v>1998</v>
      </c>
      <c r="B5446" s="9">
        <v>52.0</v>
      </c>
      <c r="C5446" s="9">
        <v>52.0</v>
      </c>
      <c r="D5446" s="9">
        <v>20.0</v>
      </c>
      <c r="E5446" s="9">
        <v>1.0</v>
      </c>
      <c r="F5446" s="14"/>
      <c r="G5446" s="15"/>
      <c r="H5446" s="15"/>
      <c r="I5446" s="14"/>
      <c r="P5446" s="14"/>
    </row>
    <row r="5447" ht="18.75" customHeight="1">
      <c r="A5447" s="7" t="s">
        <v>1996</v>
      </c>
      <c r="B5447" s="9">
        <v>109.0</v>
      </c>
      <c r="C5447" s="9">
        <v>108.0</v>
      </c>
      <c r="D5447" s="9">
        <v>75.0</v>
      </c>
      <c r="E5447" s="9">
        <v>3.0</v>
      </c>
      <c r="F5447" s="14"/>
      <c r="G5447" s="15"/>
      <c r="H5447" s="15"/>
      <c r="I5447" s="14"/>
      <c r="P5447" s="14"/>
    </row>
    <row r="5448" ht="18.75" customHeight="1">
      <c r="A5448" s="7" t="s">
        <v>2010</v>
      </c>
      <c r="B5448" s="9">
        <v>93006.0</v>
      </c>
      <c r="C5448" s="9">
        <v>91676.0</v>
      </c>
      <c r="D5448" s="9">
        <v>28984.0</v>
      </c>
      <c r="E5448" s="9">
        <v>1242.0</v>
      </c>
      <c r="F5448" s="14"/>
      <c r="G5448" s="15"/>
      <c r="H5448" s="15"/>
      <c r="I5448" s="14"/>
      <c r="P5448" s="14"/>
    </row>
    <row r="5449" ht="18.75" customHeight="1">
      <c r="A5449" s="7" t="s">
        <v>1976</v>
      </c>
      <c r="B5449" s="9">
        <v>47.0</v>
      </c>
      <c r="C5449" s="9">
        <v>46.0</v>
      </c>
      <c r="D5449" s="9">
        <v>16.0</v>
      </c>
      <c r="E5449" s="9">
        <v>1.0</v>
      </c>
      <c r="F5449" s="14"/>
      <c r="G5449" s="15"/>
      <c r="H5449" s="15"/>
      <c r="I5449" s="14"/>
      <c r="P5449" s="14"/>
    </row>
    <row r="5450" ht="18.75" customHeight="1">
      <c r="A5450" s="7" t="s">
        <v>1992</v>
      </c>
      <c r="B5450" s="9">
        <v>93.0</v>
      </c>
      <c r="C5450" s="9">
        <v>92.0</v>
      </c>
      <c r="D5450" s="9">
        <v>31.0</v>
      </c>
      <c r="E5450" s="9">
        <v>2.0</v>
      </c>
      <c r="F5450" s="14"/>
      <c r="G5450" s="15"/>
      <c r="H5450" s="15"/>
      <c r="I5450" s="14"/>
      <c r="P5450" s="14"/>
    </row>
    <row r="5451" ht="18.75" customHeight="1">
      <c r="A5451" s="7" t="s">
        <v>1994</v>
      </c>
      <c r="B5451" s="9">
        <v>220.0</v>
      </c>
      <c r="C5451" s="9">
        <v>219.0</v>
      </c>
      <c r="D5451" s="9">
        <v>130.0</v>
      </c>
      <c r="E5451" s="9">
        <v>3.0</v>
      </c>
      <c r="F5451" s="14"/>
      <c r="G5451" s="15"/>
      <c r="H5451" s="15"/>
      <c r="I5451" s="14"/>
      <c r="P5451" s="14"/>
    </row>
    <row r="5452" ht="18.75" customHeight="1">
      <c r="A5452" s="7" t="s">
        <v>2857</v>
      </c>
      <c r="B5452" s="9">
        <v>46014.0</v>
      </c>
      <c r="C5452" s="9">
        <v>45330.0</v>
      </c>
      <c r="D5452" s="9">
        <v>11844.0</v>
      </c>
      <c r="E5452" s="9">
        <v>408.0</v>
      </c>
      <c r="F5452" s="14"/>
      <c r="G5452" s="15"/>
      <c r="H5452" s="15"/>
      <c r="I5452" s="14"/>
      <c r="P5452" s="14"/>
    </row>
    <row r="5453" ht="18.75" customHeight="1">
      <c r="A5453" s="7" t="s">
        <v>2004</v>
      </c>
      <c r="B5453" s="9">
        <v>109454.0</v>
      </c>
      <c r="C5453" s="9">
        <v>108970.0</v>
      </c>
      <c r="D5453" s="9">
        <v>40423.0</v>
      </c>
      <c r="E5453" s="9">
        <v>167.0</v>
      </c>
      <c r="F5453" s="14"/>
      <c r="G5453" s="15"/>
      <c r="H5453" s="15"/>
      <c r="I5453" s="14"/>
      <c r="P5453" s="14"/>
    </row>
    <row r="5454" ht="18.75" customHeight="1">
      <c r="A5454" s="7" t="s">
        <v>2018</v>
      </c>
      <c r="B5454" s="9">
        <v>142117.0</v>
      </c>
      <c r="C5454" s="9">
        <v>140851.0</v>
      </c>
      <c r="D5454" s="9">
        <v>55180.0</v>
      </c>
      <c r="E5454" s="9">
        <v>1290.0</v>
      </c>
      <c r="F5454" s="14"/>
      <c r="G5454" s="15"/>
      <c r="H5454" s="15"/>
      <c r="I5454" s="14"/>
      <c r="P5454" s="14"/>
    </row>
    <row r="5455" ht="18.75" customHeight="1">
      <c r="A5455" s="7" t="s">
        <v>2048</v>
      </c>
      <c r="B5455" s="9">
        <v>68149.0</v>
      </c>
      <c r="C5455" s="9">
        <v>67559.0</v>
      </c>
      <c r="D5455" s="9">
        <v>11871.0</v>
      </c>
      <c r="E5455" s="9">
        <v>205.0</v>
      </c>
      <c r="F5455" s="14"/>
      <c r="G5455" s="15"/>
      <c r="H5455" s="15"/>
      <c r="I5455" s="14"/>
      <c r="P5455" s="14"/>
    </row>
    <row r="5456" ht="18.75" customHeight="1">
      <c r="A5456" s="7" t="s">
        <v>2004</v>
      </c>
      <c r="B5456" s="9">
        <v>9445.0</v>
      </c>
      <c r="C5456" s="9">
        <v>9397.0</v>
      </c>
      <c r="D5456" s="9">
        <v>2388.0</v>
      </c>
      <c r="E5456" s="9">
        <v>33.0</v>
      </c>
      <c r="F5456" s="14"/>
      <c r="G5456" s="15"/>
      <c r="H5456" s="15"/>
      <c r="I5456" s="14"/>
      <c r="P5456" s="14"/>
    </row>
    <row r="5457" ht="18.75" customHeight="1">
      <c r="A5457" s="7" t="s">
        <v>372</v>
      </c>
      <c r="B5457" s="9">
        <v>4158.0</v>
      </c>
      <c r="C5457" s="9">
        <v>4111.0</v>
      </c>
      <c r="D5457" s="9">
        <v>1187.0</v>
      </c>
      <c r="E5457" s="9">
        <v>62.0</v>
      </c>
      <c r="F5457" s="14"/>
      <c r="G5457" s="15"/>
      <c r="H5457" s="15"/>
      <c r="I5457" s="14"/>
      <c r="P5457" s="14"/>
    </row>
    <row r="5458" ht="18.75" customHeight="1">
      <c r="A5458" s="7" t="s">
        <v>370</v>
      </c>
      <c r="B5458" s="9">
        <v>182.0</v>
      </c>
      <c r="C5458" s="9">
        <v>180.0</v>
      </c>
      <c r="D5458" s="9">
        <v>54.0</v>
      </c>
      <c r="E5458" s="9">
        <v>6.0</v>
      </c>
      <c r="F5458" s="14"/>
      <c r="G5458" s="15"/>
      <c r="H5458" s="15"/>
      <c r="I5458" s="14"/>
      <c r="P5458" s="14"/>
    </row>
    <row r="5459" ht="18.75" customHeight="1">
      <c r="A5459" s="7" t="s">
        <v>370</v>
      </c>
      <c r="B5459" s="9">
        <v>46.0</v>
      </c>
      <c r="C5459" s="9">
        <v>45.0</v>
      </c>
      <c r="D5459" s="9">
        <v>10.0</v>
      </c>
      <c r="E5459" s="9">
        <v>1.0</v>
      </c>
      <c r="F5459" s="14"/>
      <c r="G5459" s="15"/>
      <c r="H5459" s="15"/>
      <c r="I5459" s="14"/>
      <c r="P5459" s="14"/>
    </row>
    <row r="5460" ht="18.75" customHeight="1">
      <c r="A5460" s="7" t="s">
        <v>1467</v>
      </c>
      <c r="B5460" s="9">
        <v>1409.0</v>
      </c>
      <c r="C5460" s="9">
        <v>1397.0</v>
      </c>
      <c r="D5460" s="9">
        <v>410.0</v>
      </c>
      <c r="E5460" s="9">
        <v>29.0</v>
      </c>
      <c r="F5460" s="14"/>
      <c r="G5460" s="15"/>
      <c r="H5460" s="15"/>
      <c r="I5460" s="14"/>
      <c r="P5460" s="14"/>
    </row>
    <row r="5461" ht="18.75" customHeight="1">
      <c r="A5461" s="7" t="s">
        <v>2042</v>
      </c>
      <c r="B5461" s="9">
        <v>86398.0</v>
      </c>
      <c r="C5461" s="9">
        <v>85458.0</v>
      </c>
      <c r="D5461" s="9">
        <v>20407.0</v>
      </c>
      <c r="E5461" s="9">
        <v>290.0</v>
      </c>
      <c r="F5461" s="14"/>
      <c r="G5461" s="15"/>
      <c r="H5461" s="15"/>
      <c r="I5461" s="14"/>
      <c r="P5461" s="14"/>
    </row>
    <row r="5462" ht="18.75" customHeight="1">
      <c r="A5462" s="7" t="s">
        <v>1879</v>
      </c>
      <c r="B5462" s="9">
        <v>78684.0</v>
      </c>
      <c r="C5462" s="9">
        <v>77560.0</v>
      </c>
      <c r="D5462" s="9">
        <v>18798.0</v>
      </c>
      <c r="E5462" s="9">
        <v>292.0</v>
      </c>
      <c r="F5462" s="14"/>
      <c r="G5462" s="15"/>
      <c r="H5462" s="15"/>
      <c r="I5462" s="14"/>
      <c r="P5462" s="14"/>
    </row>
    <row r="5463" ht="18.75" customHeight="1">
      <c r="A5463" s="7" t="s">
        <v>1877</v>
      </c>
      <c r="B5463" s="9">
        <v>102432.0</v>
      </c>
      <c r="C5463" s="9">
        <v>101373.0</v>
      </c>
      <c r="D5463" s="9">
        <v>28595.0</v>
      </c>
      <c r="E5463" s="9">
        <v>407.0</v>
      </c>
      <c r="F5463" s="14"/>
      <c r="G5463" s="15"/>
      <c r="H5463" s="15"/>
      <c r="I5463" s="14"/>
      <c r="P5463" s="14"/>
    </row>
    <row r="5464" ht="18.75" customHeight="1">
      <c r="A5464" s="7" t="s">
        <v>1735</v>
      </c>
      <c r="B5464" s="9">
        <v>2197.0</v>
      </c>
      <c r="C5464" s="9">
        <v>2169.0</v>
      </c>
      <c r="D5464" s="9">
        <v>499.0</v>
      </c>
      <c r="E5464" s="9">
        <v>16.0</v>
      </c>
      <c r="F5464" s="14"/>
      <c r="G5464" s="15"/>
      <c r="H5464" s="15"/>
      <c r="I5464" s="14"/>
      <c r="P5464" s="14"/>
    </row>
    <row r="5465" ht="18.75" customHeight="1">
      <c r="A5465" s="7" t="s">
        <v>1735</v>
      </c>
      <c r="B5465" s="9">
        <v>36413.0</v>
      </c>
      <c r="C5465" s="9">
        <v>35670.0</v>
      </c>
      <c r="D5465" s="9">
        <v>8512.0</v>
      </c>
      <c r="E5465" s="9">
        <v>103.0</v>
      </c>
      <c r="F5465" s="14"/>
      <c r="G5465" s="15"/>
      <c r="H5465" s="15"/>
      <c r="I5465" s="14"/>
      <c r="P5465" s="14"/>
    </row>
    <row r="5466" ht="18.75" customHeight="1">
      <c r="A5466" s="7" t="s">
        <v>1735</v>
      </c>
      <c r="B5466" s="9">
        <v>65897.0</v>
      </c>
      <c r="C5466" s="9">
        <v>64556.0</v>
      </c>
      <c r="D5466" s="9">
        <v>15202.0</v>
      </c>
      <c r="E5466" s="9">
        <v>153.0</v>
      </c>
      <c r="F5466" s="14"/>
      <c r="G5466" s="15"/>
      <c r="H5466" s="15"/>
      <c r="I5466" s="14"/>
      <c r="P5466" s="14"/>
    </row>
    <row r="5467" ht="18.75" customHeight="1">
      <c r="A5467" s="7" t="s">
        <v>1986</v>
      </c>
      <c r="B5467" s="9">
        <v>38.0</v>
      </c>
      <c r="C5467" s="9">
        <v>38.0</v>
      </c>
      <c r="D5467" s="9">
        <v>6.0</v>
      </c>
      <c r="E5467" s="9">
        <v>1.0</v>
      </c>
      <c r="F5467" s="14"/>
      <c r="G5467" s="15"/>
      <c r="H5467" s="15"/>
      <c r="I5467" s="14"/>
      <c r="P5467" s="14"/>
    </row>
    <row r="5468" ht="18.75" customHeight="1">
      <c r="A5468" s="7" t="s">
        <v>1986</v>
      </c>
      <c r="B5468" s="9">
        <v>36.0</v>
      </c>
      <c r="C5468" s="9">
        <v>36.0</v>
      </c>
      <c r="D5468" s="9">
        <v>8.0</v>
      </c>
      <c r="E5468" s="9">
        <v>2.0</v>
      </c>
      <c r="F5468" s="14"/>
      <c r="G5468" s="15"/>
      <c r="H5468" s="15"/>
      <c r="I5468" s="14"/>
      <c r="P5468" s="14"/>
    </row>
    <row r="5469" ht="18.75" customHeight="1">
      <c r="A5469" s="7" t="s">
        <v>1986</v>
      </c>
      <c r="B5469" s="9">
        <v>36.0</v>
      </c>
      <c r="C5469" s="9">
        <v>36.0</v>
      </c>
      <c r="D5469" s="9">
        <v>7.0</v>
      </c>
      <c r="E5469" s="9">
        <v>2.0</v>
      </c>
      <c r="F5469" s="14"/>
      <c r="G5469" s="15"/>
      <c r="H5469" s="15"/>
      <c r="I5469" s="14"/>
      <c r="P5469" s="14"/>
    </row>
    <row r="5470" ht="18.75" customHeight="1">
      <c r="A5470" s="7" t="s">
        <v>1986</v>
      </c>
      <c r="B5470" s="9">
        <v>36.0</v>
      </c>
      <c r="C5470" s="9">
        <v>36.0</v>
      </c>
      <c r="D5470" s="9">
        <v>6.0</v>
      </c>
      <c r="E5470" s="9">
        <v>1.0</v>
      </c>
      <c r="F5470" s="14"/>
      <c r="G5470" s="15"/>
      <c r="H5470" s="15"/>
      <c r="I5470" s="14"/>
      <c r="P5470" s="14"/>
    </row>
    <row r="5471" ht="18.75" customHeight="1">
      <c r="A5471" s="7" t="s">
        <v>1986</v>
      </c>
      <c r="B5471" s="9">
        <v>36.0</v>
      </c>
      <c r="C5471" s="9">
        <v>36.0</v>
      </c>
      <c r="D5471" s="9">
        <v>7.0</v>
      </c>
      <c r="E5471" s="9">
        <v>2.0</v>
      </c>
      <c r="F5471" s="14"/>
      <c r="G5471" s="15"/>
      <c r="H5471" s="15"/>
      <c r="I5471" s="14"/>
      <c r="P5471" s="14"/>
    </row>
    <row r="5472" ht="18.75" customHeight="1">
      <c r="A5472" s="7" t="s">
        <v>1986</v>
      </c>
      <c r="B5472" s="9">
        <v>36.0</v>
      </c>
      <c r="C5472" s="9">
        <v>36.0</v>
      </c>
      <c r="D5472" s="9">
        <v>8.0</v>
      </c>
      <c r="E5472" s="9">
        <v>2.0</v>
      </c>
      <c r="F5472" s="14"/>
      <c r="G5472" s="15"/>
      <c r="H5472" s="15"/>
      <c r="I5472" s="14"/>
      <c r="P5472" s="14"/>
    </row>
    <row r="5473" ht="18.75" customHeight="1">
      <c r="A5473" s="7" t="s">
        <v>1986</v>
      </c>
      <c r="B5473" s="9">
        <v>36.0</v>
      </c>
      <c r="C5473" s="9">
        <v>36.0</v>
      </c>
      <c r="D5473" s="9">
        <v>7.0</v>
      </c>
      <c r="E5473" s="9">
        <v>1.0</v>
      </c>
      <c r="F5473" s="14"/>
      <c r="G5473" s="15"/>
      <c r="H5473" s="15"/>
      <c r="I5473" s="14"/>
      <c r="P5473" s="14"/>
    </row>
    <row r="5474" ht="18.75" customHeight="1">
      <c r="A5474" s="7" t="s">
        <v>1986</v>
      </c>
      <c r="B5474" s="9">
        <v>36.0</v>
      </c>
      <c r="C5474" s="9">
        <v>36.0</v>
      </c>
      <c r="D5474" s="9">
        <v>8.0</v>
      </c>
      <c r="E5474" s="9">
        <v>3.0</v>
      </c>
      <c r="F5474" s="14"/>
      <c r="G5474" s="15"/>
      <c r="H5474" s="15"/>
      <c r="I5474" s="14"/>
      <c r="P5474" s="14"/>
    </row>
    <row r="5475" ht="18.75" customHeight="1">
      <c r="A5475" s="7" t="s">
        <v>1986</v>
      </c>
      <c r="B5475" s="9">
        <v>36.0</v>
      </c>
      <c r="C5475" s="9">
        <v>36.0</v>
      </c>
      <c r="D5475" s="9">
        <v>7.0</v>
      </c>
      <c r="E5475" s="9">
        <v>4.0</v>
      </c>
      <c r="F5475" s="14"/>
      <c r="G5475" s="15"/>
      <c r="H5475" s="15"/>
      <c r="I5475" s="14"/>
      <c r="P5475" s="14"/>
    </row>
    <row r="5476" ht="18.75" customHeight="1">
      <c r="A5476" s="7" t="s">
        <v>2006</v>
      </c>
      <c r="B5476" s="9">
        <v>72323.0</v>
      </c>
      <c r="C5476" s="9">
        <v>71944.0</v>
      </c>
      <c r="D5476" s="9">
        <v>20915.0</v>
      </c>
      <c r="E5476" s="9">
        <v>1341.0</v>
      </c>
      <c r="F5476" s="14"/>
      <c r="G5476" s="15"/>
      <c r="H5476" s="15"/>
      <c r="I5476" s="14"/>
      <c r="P5476" s="14"/>
    </row>
    <row r="5477" ht="18.75" customHeight="1">
      <c r="A5477" s="7" t="s">
        <v>2028</v>
      </c>
      <c r="B5477" s="9">
        <v>18000.0</v>
      </c>
      <c r="C5477" s="9">
        <v>17608.0</v>
      </c>
      <c r="D5477" s="9">
        <v>2493.0</v>
      </c>
      <c r="E5477" s="9">
        <v>27.0</v>
      </c>
      <c r="F5477" s="14"/>
      <c r="G5477" s="15"/>
      <c r="H5477" s="15"/>
      <c r="I5477" s="14"/>
      <c r="P5477" s="14"/>
    </row>
    <row r="5478" ht="18.75" customHeight="1">
      <c r="A5478" s="7" t="s">
        <v>2030</v>
      </c>
      <c r="B5478" s="9">
        <v>10777.0</v>
      </c>
      <c r="C5478" s="9">
        <v>10562.0</v>
      </c>
      <c r="D5478" s="9">
        <v>2798.0</v>
      </c>
      <c r="E5478" s="9">
        <v>137.0</v>
      </c>
      <c r="F5478" s="14"/>
      <c r="G5478" s="15"/>
      <c r="H5478" s="15"/>
      <c r="I5478" s="14"/>
      <c r="P5478" s="14"/>
    </row>
    <row r="5479" ht="18.75" customHeight="1">
      <c r="A5479" s="7" t="s">
        <v>2036</v>
      </c>
      <c r="B5479" s="9">
        <v>12884.0</v>
      </c>
      <c r="C5479" s="9">
        <v>12711.0</v>
      </c>
      <c r="D5479" s="9">
        <v>3796.0</v>
      </c>
      <c r="E5479" s="9">
        <v>136.0</v>
      </c>
      <c r="F5479" s="14"/>
      <c r="G5479" s="15"/>
      <c r="H5479" s="15"/>
      <c r="I5479" s="14"/>
      <c r="P5479" s="14"/>
    </row>
    <row r="5480" ht="18.75" customHeight="1">
      <c r="A5480" s="7" t="s">
        <v>2032</v>
      </c>
      <c r="B5480" s="9">
        <v>13898.0</v>
      </c>
      <c r="C5480" s="9">
        <v>13776.0</v>
      </c>
      <c r="D5480" s="9">
        <v>5094.0</v>
      </c>
      <c r="E5480" s="9">
        <v>271.0</v>
      </c>
      <c r="F5480" s="14"/>
      <c r="G5480" s="15"/>
      <c r="H5480" s="15"/>
      <c r="I5480" s="14"/>
      <c r="P5480" s="14"/>
    </row>
    <row r="5481" ht="18.75" customHeight="1">
      <c r="A5481" s="7" t="s">
        <v>2034</v>
      </c>
      <c r="B5481" s="9">
        <v>67.0</v>
      </c>
      <c r="C5481" s="9">
        <v>67.0</v>
      </c>
      <c r="D5481" s="9">
        <v>15.0</v>
      </c>
      <c r="E5481" s="9">
        <v>3.0</v>
      </c>
      <c r="F5481" s="14"/>
      <c r="G5481" s="15"/>
      <c r="H5481" s="15"/>
      <c r="I5481" s="14"/>
      <c r="P5481" s="14"/>
    </row>
    <row r="5482" ht="18.75" customHeight="1">
      <c r="A5482" s="7" t="s">
        <v>2044</v>
      </c>
      <c r="B5482" s="9">
        <v>10467.0</v>
      </c>
      <c r="C5482" s="9">
        <v>10270.0</v>
      </c>
      <c r="D5482" s="9">
        <v>2822.0</v>
      </c>
      <c r="E5482" s="9">
        <v>160.0</v>
      </c>
      <c r="F5482" s="14"/>
      <c r="G5482" s="15"/>
      <c r="H5482" s="15"/>
      <c r="I5482" s="14"/>
      <c r="P5482" s="14"/>
    </row>
    <row r="5483" ht="18.75" customHeight="1">
      <c r="A5483" s="7" t="s">
        <v>2054</v>
      </c>
      <c r="B5483" s="9">
        <v>106956.0</v>
      </c>
      <c r="C5483" s="9">
        <v>106619.0</v>
      </c>
      <c r="D5483" s="9">
        <v>37814.0</v>
      </c>
      <c r="E5483" s="9">
        <v>352.0</v>
      </c>
      <c r="F5483" s="14"/>
      <c r="G5483" s="15"/>
      <c r="H5483" s="15"/>
      <c r="I5483" s="14"/>
      <c r="P5483" s="14"/>
    </row>
    <row r="5484" ht="18.75" customHeight="1">
      <c r="A5484" s="7" t="s">
        <v>2012</v>
      </c>
      <c r="B5484" s="9">
        <v>108458.0</v>
      </c>
      <c r="C5484" s="9">
        <v>108002.0</v>
      </c>
      <c r="D5484" s="9">
        <v>24903.0</v>
      </c>
      <c r="E5484" s="9">
        <v>3171.0</v>
      </c>
      <c r="F5484" s="14"/>
      <c r="G5484" s="15"/>
      <c r="H5484" s="15"/>
      <c r="I5484" s="14"/>
      <c r="P5484" s="14"/>
    </row>
    <row r="5485" ht="18.75" customHeight="1">
      <c r="A5485" s="7" t="s">
        <v>1972</v>
      </c>
      <c r="B5485" s="9">
        <v>188865.0</v>
      </c>
      <c r="C5485" s="9">
        <v>188105.0</v>
      </c>
      <c r="D5485" s="9">
        <v>72433.0</v>
      </c>
      <c r="E5485" s="9">
        <v>631.0</v>
      </c>
      <c r="F5485" s="14"/>
      <c r="G5485" s="15"/>
      <c r="H5485" s="15"/>
      <c r="I5485" s="14"/>
      <c r="P5485" s="14"/>
    </row>
    <row r="5486" ht="18.75" customHeight="1">
      <c r="A5486" s="7" t="s">
        <v>366</v>
      </c>
      <c r="B5486" s="9">
        <v>784.0</v>
      </c>
      <c r="C5486" s="9">
        <v>762.0</v>
      </c>
      <c r="D5486" s="9">
        <v>203.0</v>
      </c>
      <c r="E5486" s="9">
        <v>6.0</v>
      </c>
      <c r="F5486" s="14"/>
      <c r="G5486" s="15"/>
      <c r="H5486" s="15"/>
      <c r="I5486" s="14"/>
      <c r="P5486" s="14"/>
    </row>
    <row r="5487" ht="18.75" customHeight="1">
      <c r="A5487" s="7" t="s">
        <v>1789</v>
      </c>
      <c r="B5487" s="9">
        <v>250880.0</v>
      </c>
      <c r="C5487" s="9">
        <v>248602.0</v>
      </c>
      <c r="D5487" s="9">
        <v>94984.0</v>
      </c>
      <c r="E5487" s="9">
        <v>2503.0</v>
      </c>
      <c r="F5487" s="14"/>
      <c r="G5487" s="15"/>
      <c r="H5487" s="15"/>
      <c r="I5487" s="14"/>
      <c r="P5487" s="14"/>
    </row>
    <row r="5488" ht="18.75" customHeight="1">
      <c r="A5488" s="7" t="s">
        <v>1831</v>
      </c>
      <c r="B5488" s="9">
        <v>14141.0</v>
      </c>
      <c r="C5488" s="9">
        <v>13968.0</v>
      </c>
      <c r="D5488" s="9">
        <v>4570.0</v>
      </c>
      <c r="E5488" s="9">
        <v>116.0</v>
      </c>
      <c r="F5488" s="14"/>
      <c r="G5488" s="15"/>
      <c r="H5488" s="15"/>
      <c r="I5488" s="14"/>
      <c r="P5488" s="14"/>
    </row>
    <row r="5489" ht="18.75" customHeight="1">
      <c r="A5489" s="7" t="s">
        <v>2028</v>
      </c>
      <c r="B5489" s="9">
        <v>45.0</v>
      </c>
      <c r="C5489" s="9">
        <v>44.0</v>
      </c>
      <c r="D5489" s="9">
        <v>17.0</v>
      </c>
      <c r="E5489" s="9">
        <v>2.0</v>
      </c>
      <c r="F5489" s="14"/>
      <c r="G5489" s="15"/>
      <c r="H5489" s="15"/>
      <c r="I5489" s="14"/>
      <c r="P5489" s="14"/>
    </row>
    <row r="5490" ht="18.75" customHeight="1">
      <c r="A5490" s="7" t="s">
        <v>2048</v>
      </c>
      <c r="B5490" s="9">
        <v>199.0</v>
      </c>
      <c r="C5490" s="9">
        <v>199.0</v>
      </c>
      <c r="D5490" s="9">
        <v>144.0</v>
      </c>
      <c r="E5490" s="9">
        <v>3.0</v>
      </c>
      <c r="F5490" s="14"/>
      <c r="G5490" s="15"/>
      <c r="H5490" s="15"/>
      <c r="I5490" s="14"/>
      <c r="P5490" s="14"/>
    </row>
    <row r="5491" ht="18.75" customHeight="1">
      <c r="A5491" s="7" t="s">
        <v>2042</v>
      </c>
      <c r="B5491" s="9">
        <v>163.0</v>
      </c>
      <c r="C5491" s="9">
        <v>162.0</v>
      </c>
      <c r="D5491" s="9">
        <v>105.0</v>
      </c>
      <c r="E5491" s="9">
        <v>2.0</v>
      </c>
      <c r="F5491" s="14"/>
      <c r="G5491" s="15"/>
      <c r="H5491" s="15"/>
      <c r="I5491" s="14"/>
      <c r="P5491" s="14"/>
    </row>
    <row r="5492" ht="18.75" customHeight="1">
      <c r="A5492" s="7" t="s">
        <v>1982</v>
      </c>
      <c r="B5492" s="9">
        <v>83744.0</v>
      </c>
      <c r="C5492" s="9">
        <v>82568.0</v>
      </c>
      <c r="D5492" s="9">
        <v>23165.0</v>
      </c>
      <c r="E5492" s="9">
        <v>1016.0</v>
      </c>
      <c r="F5492" s="14"/>
      <c r="G5492" s="15"/>
      <c r="H5492" s="15"/>
      <c r="I5492" s="14"/>
      <c r="P5492" s="14"/>
    </row>
    <row r="5493" ht="18.75" customHeight="1">
      <c r="A5493" s="7" t="s">
        <v>374</v>
      </c>
      <c r="B5493" s="9">
        <v>4376.0</v>
      </c>
      <c r="C5493" s="9">
        <v>3855.0</v>
      </c>
      <c r="D5493" s="9">
        <v>1449.0</v>
      </c>
      <c r="E5493" s="9">
        <v>95.0</v>
      </c>
      <c r="F5493" s="14"/>
      <c r="G5493" s="15"/>
      <c r="H5493" s="15"/>
      <c r="I5493" s="14"/>
      <c r="P5493" s="14"/>
    </row>
    <row r="5494" ht="18.75" customHeight="1">
      <c r="A5494" s="7" t="s">
        <v>374</v>
      </c>
      <c r="B5494" s="9">
        <v>5509.0</v>
      </c>
      <c r="C5494" s="9">
        <v>5116.0</v>
      </c>
      <c r="D5494" s="9">
        <v>1484.0</v>
      </c>
      <c r="E5494" s="9">
        <v>45.0</v>
      </c>
      <c r="F5494" s="14"/>
      <c r="G5494" s="15"/>
      <c r="H5494" s="15"/>
      <c r="I5494" s="14"/>
      <c r="P5494" s="14"/>
    </row>
    <row r="5495" ht="18.75" customHeight="1">
      <c r="A5495" s="7" t="s">
        <v>1998</v>
      </c>
      <c r="B5495" s="9">
        <v>52.0</v>
      </c>
      <c r="C5495" s="9">
        <v>52.0</v>
      </c>
      <c r="D5495" s="9">
        <v>14.0</v>
      </c>
      <c r="E5495" s="9">
        <v>3.0</v>
      </c>
      <c r="F5495" s="14"/>
      <c r="G5495" s="15"/>
      <c r="H5495" s="15"/>
      <c r="I5495" s="14"/>
      <c r="P5495" s="14"/>
    </row>
    <row r="5496" ht="18.75" customHeight="1">
      <c r="A5496" s="7" t="s">
        <v>368</v>
      </c>
      <c r="B5496" s="9">
        <v>315.0</v>
      </c>
      <c r="C5496" s="9">
        <v>313.0</v>
      </c>
      <c r="D5496" s="9">
        <v>122.0</v>
      </c>
      <c r="E5496" s="9">
        <v>6.0</v>
      </c>
      <c r="F5496" s="14"/>
      <c r="G5496" s="15"/>
      <c r="H5496" s="15"/>
      <c r="I5496" s="14"/>
      <c r="P5496" s="14"/>
    </row>
    <row r="5497" ht="18.75" customHeight="1">
      <c r="A5497" s="7" t="s">
        <v>366</v>
      </c>
      <c r="B5497" s="9">
        <v>2643.0</v>
      </c>
      <c r="C5497" s="9">
        <v>2598.0</v>
      </c>
      <c r="D5497" s="9">
        <v>809.0</v>
      </c>
      <c r="E5497" s="9">
        <v>56.0</v>
      </c>
      <c r="F5497" s="14"/>
      <c r="G5497" s="15"/>
      <c r="H5497" s="15"/>
      <c r="I5497" s="14"/>
      <c r="P5497" s="14"/>
    </row>
    <row r="5498" ht="18.75" customHeight="1">
      <c r="A5498" s="7" t="s">
        <v>1996</v>
      </c>
      <c r="B5498" s="9">
        <v>116.0</v>
      </c>
      <c r="C5498" s="9">
        <v>114.0</v>
      </c>
      <c r="D5498" s="9">
        <v>64.0</v>
      </c>
      <c r="E5498" s="9">
        <v>2.0</v>
      </c>
      <c r="F5498" s="14"/>
      <c r="G5498" s="15"/>
      <c r="H5498" s="15"/>
      <c r="I5498" s="14"/>
      <c r="P5498" s="14"/>
    </row>
    <row r="5499" ht="18.75" customHeight="1">
      <c r="A5499" s="7" t="s">
        <v>1992</v>
      </c>
      <c r="B5499" s="9">
        <v>81.0</v>
      </c>
      <c r="C5499" s="9">
        <v>80.0</v>
      </c>
      <c r="D5499" s="9">
        <v>27.0</v>
      </c>
      <c r="E5499" s="9">
        <v>3.0</v>
      </c>
      <c r="F5499" s="14"/>
      <c r="G5499" s="15"/>
      <c r="H5499" s="15"/>
      <c r="I5499" s="14"/>
      <c r="P5499" s="14"/>
    </row>
    <row r="5500" ht="18.75" customHeight="1">
      <c r="A5500" s="7" t="s">
        <v>1994</v>
      </c>
      <c r="B5500" s="9">
        <v>217.0</v>
      </c>
      <c r="C5500" s="9">
        <v>216.0</v>
      </c>
      <c r="D5500" s="9">
        <v>125.0</v>
      </c>
      <c r="E5500" s="9">
        <v>6.0</v>
      </c>
      <c r="F5500" s="14"/>
      <c r="G5500" s="15"/>
      <c r="H5500" s="15"/>
      <c r="I5500" s="14"/>
      <c r="P5500" s="14"/>
    </row>
    <row r="5501" ht="18.75" customHeight="1">
      <c r="A5501" s="7" t="s">
        <v>2022</v>
      </c>
      <c r="B5501" s="9">
        <v>70695.0</v>
      </c>
      <c r="C5501" s="9">
        <v>64268.0</v>
      </c>
      <c r="D5501" s="9">
        <v>9568.0</v>
      </c>
      <c r="E5501" s="9">
        <v>136.0</v>
      </c>
      <c r="F5501" s="14"/>
      <c r="G5501" s="15"/>
      <c r="H5501" s="15"/>
      <c r="I5501" s="14"/>
      <c r="P5501" s="14"/>
    </row>
    <row r="5502" ht="18.75" customHeight="1">
      <c r="A5502" s="7" t="s">
        <v>2038</v>
      </c>
      <c r="B5502" s="9">
        <v>13016.0</v>
      </c>
      <c r="C5502" s="9">
        <v>12832.0</v>
      </c>
      <c r="D5502" s="9">
        <v>3982.0</v>
      </c>
      <c r="E5502" s="9">
        <v>161.0</v>
      </c>
      <c r="F5502" s="14"/>
      <c r="G5502" s="15"/>
      <c r="H5502" s="15"/>
      <c r="I5502" s="14"/>
      <c r="P5502" s="14"/>
    </row>
    <row r="5503" ht="18.75" customHeight="1">
      <c r="A5503" s="7" t="s">
        <v>2040</v>
      </c>
      <c r="B5503" s="9">
        <v>9514.0</v>
      </c>
      <c r="C5503" s="9">
        <v>9339.0</v>
      </c>
      <c r="D5503" s="9">
        <v>2527.0</v>
      </c>
      <c r="E5503" s="9">
        <v>106.0</v>
      </c>
      <c r="F5503" s="14"/>
      <c r="G5503" s="15"/>
      <c r="H5503" s="15"/>
      <c r="I5503" s="14"/>
      <c r="P5503" s="14"/>
    </row>
    <row r="5504" ht="18.75" customHeight="1">
      <c r="A5504" s="7" t="s">
        <v>2020</v>
      </c>
      <c r="B5504" s="9">
        <v>78851.0</v>
      </c>
      <c r="C5504" s="9">
        <v>76028.0</v>
      </c>
      <c r="D5504" s="9">
        <v>9864.0</v>
      </c>
      <c r="E5504" s="9">
        <v>117.0</v>
      </c>
      <c r="F5504" s="14"/>
      <c r="G5504" s="15"/>
      <c r="H5504" s="15"/>
      <c r="I5504" s="14"/>
      <c r="P5504" s="14"/>
    </row>
    <row r="5505" ht="18.75" customHeight="1">
      <c r="A5505" s="7" t="s">
        <v>2060</v>
      </c>
      <c r="B5505" s="9">
        <v>40553.0</v>
      </c>
      <c r="C5505" s="9">
        <v>39881.0</v>
      </c>
      <c r="D5505" s="9">
        <v>10580.0</v>
      </c>
      <c r="E5505" s="9">
        <v>320.0</v>
      </c>
      <c r="F5505" s="14"/>
      <c r="G5505" s="15"/>
      <c r="H5505" s="15"/>
      <c r="I5505" s="14"/>
      <c r="P5505" s="14"/>
    </row>
    <row r="5506" ht="18.75" customHeight="1">
      <c r="A5506" s="7" t="s">
        <v>1507</v>
      </c>
      <c r="B5506" s="9">
        <v>197573.0</v>
      </c>
      <c r="C5506" s="9">
        <v>195658.0</v>
      </c>
      <c r="D5506" s="9">
        <v>69236.0</v>
      </c>
      <c r="E5506" s="9">
        <v>692.0</v>
      </c>
      <c r="F5506" s="14"/>
      <c r="G5506" s="15"/>
      <c r="H5506" s="15"/>
      <c r="I5506" s="14"/>
      <c r="P5506" s="14"/>
    </row>
    <row r="5507" ht="18.75" customHeight="1">
      <c r="A5507" s="7" t="s">
        <v>2048</v>
      </c>
      <c r="B5507" s="9">
        <v>198.0</v>
      </c>
      <c r="C5507" s="9">
        <v>198.0</v>
      </c>
      <c r="D5507" s="9">
        <v>104.0</v>
      </c>
      <c r="E5507" s="9">
        <v>3.0</v>
      </c>
      <c r="F5507" s="14"/>
      <c r="G5507" s="15"/>
      <c r="H5507" s="15"/>
      <c r="I5507" s="14"/>
      <c r="P5507" s="14"/>
    </row>
    <row r="5508" ht="18.75" customHeight="1">
      <c r="A5508" s="7" t="s">
        <v>2024</v>
      </c>
      <c r="B5508" s="9">
        <v>78334.0</v>
      </c>
      <c r="C5508" s="9">
        <v>71993.0</v>
      </c>
      <c r="D5508" s="9">
        <v>12730.0</v>
      </c>
      <c r="E5508" s="9">
        <v>133.0</v>
      </c>
      <c r="F5508" s="14"/>
      <c r="G5508" s="15"/>
      <c r="H5508" s="15"/>
      <c r="I5508" s="14"/>
      <c r="P5508" s="14"/>
    </row>
    <row r="5509" ht="18.75" customHeight="1">
      <c r="A5509" s="7" t="s">
        <v>2046</v>
      </c>
      <c r="B5509" s="9">
        <v>395.0</v>
      </c>
      <c r="C5509" s="9">
        <v>389.0</v>
      </c>
      <c r="D5509" s="9">
        <v>165.0</v>
      </c>
      <c r="E5509" s="9">
        <v>62.0</v>
      </c>
      <c r="F5509" s="14"/>
      <c r="G5509" s="15"/>
      <c r="H5509" s="15"/>
      <c r="I5509" s="14"/>
      <c r="P5509" s="14"/>
    </row>
    <row r="5510" ht="18.75" customHeight="1">
      <c r="A5510" s="7" t="s">
        <v>2042</v>
      </c>
      <c r="B5510" s="9">
        <v>162.0</v>
      </c>
      <c r="C5510" s="9">
        <v>161.0</v>
      </c>
      <c r="D5510" s="9">
        <v>97.0</v>
      </c>
      <c r="E5510" s="9">
        <v>1.0</v>
      </c>
      <c r="F5510" s="14"/>
      <c r="G5510" s="15"/>
      <c r="H5510" s="15"/>
      <c r="I5510" s="14"/>
      <c r="P5510" s="14"/>
    </row>
    <row r="5511" ht="18.75" customHeight="1">
      <c r="A5511" s="7" t="s">
        <v>2026</v>
      </c>
      <c r="B5511" s="9">
        <v>79511.0</v>
      </c>
      <c r="C5511" s="9">
        <v>78010.0</v>
      </c>
      <c r="D5511" s="9">
        <v>13179.0</v>
      </c>
      <c r="E5511" s="9">
        <v>151.0</v>
      </c>
      <c r="F5511" s="14"/>
      <c r="G5511" s="15"/>
      <c r="H5511" s="15"/>
      <c r="I5511" s="14"/>
      <c r="P5511" s="14"/>
    </row>
    <row r="5512" ht="18.75" customHeight="1">
      <c r="A5512" s="7" t="s">
        <v>1990</v>
      </c>
      <c r="B5512" s="9">
        <v>139406.0</v>
      </c>
      <c r="C5512" s="9">
        <v>121938.0</v>
      </c>
      <c r="D5512" s="9">
        <v>32669.0</v>
      </c>
      <c r="E5512" s="9">
        <v>1684.0</v>
      </c>
      <c r="F5512" s="14"/>
      <c r="G5512" s="15"/>
      <c r="H5512" s="15"/>
      <c r="I5512" s="14"/>
      <c r="P5512" s="14"/>
    </row>
    <row r="5513" ht="18.75" customHeight="1">
      <c r="A5513" s="7" t="s">
        <v>2022</v>
      </c>
      <c r="B5513" s="9">
        <v>77.0</v>
      </c>
      <c r="C5513" s="9">
        <v>70.0</v>
      </c>
      <c r="D5513" s="9">
        <v>34.0</v>
      </c>
      <c r="E5513" s="9">
        <v>1.0</v>
      </c>
      <c r="F5513" s="14"/>
      <c r="G5513" s="15"/>
      <c r="H5513" s="15"/>
      <c r="I5513" s="14"/>
      <c r="P5513" s="14"/>
    </row>
    <row r="5514" ht="18.75" customHeight="1">
      <c r="A5514" s="7" t="s">
        <v>2020</v>
      </c>
      <c r="B5514" s="9">
        <v>96.0</v>
      </c>
      <c r="C5514" s="9">
        <v>85.0</v>
      </c>
      <c r="D5514" s="9">
        <v>45.0</v>
      </c>
      <c r="E5514" s="9">
        <v>1.0</v>
      </c>
      <c r="F5514" s="14"/>
      <c r="G5514" s="15"/>
      <c r="H5514" s="15"/>
      <c r="I5514" s="14"/>
      <c r="P5514" s="14"/>
    </row>
    <row r="5515" ht="18.75" customHeight="1">
      <c r="A5515" s="7" t="s">
        <v>2076</v>
      </c>
      <c r="B5515" s="9">
        <v>123150.0</v>
      </c>
      <c r="C5515" s="9">
        <v>122259.0</v>
      </c>
      <c r="D5515" s="9">
        <v>37590.0</v>
      </c>
      <c r="E5515" s="9">
        <v>160.0</v>
      </c>
      <c r="F5515" s="14"/>
      <c r="G5515" s="15"/>
      <c r="H5515" s="15"/>
      <c r="I5515" s="14"/>
      <c r="P5515" s="14"/>
    </row>
    <row r="5516" ht="18.75" customHeight="1">
      <c r="A5516" s="7" t="s">
        <v>2024</v>
      </c>
      <c r="B5516" s="9">
        <v>67.0</v>
      </c>
      <c r="C5516" s="9">
        <v>62.0</v>
      </c>
      <c r="D5516" s="9">
        <v>35.0</v>
      </c>
      <c r="E5516" s="9">
        <v>1.0</v>
      </c>
      <c r="F5516" s="14"/>
      <c r="G5516" s="15"/>
      <c r="H5516" s="15"/>
      <c r="I5516" s="14"/>
      <c r="P5516" s="14"/>
    </row>
    <row r="5517" ht="18.75" customHeight="1">
      <c r="A5517" s="7" t="s">
        <v>2026</v>
      </c>
      <c r="B5517" s="9">
        <v>98.0</v>
      </c>
      <c r="C5517" s="9">
        <v>87.0</v>
      </c>
      <c r="D5517" s="9">
        <v>47.0</v>
      </c>
      <c r="E5517" s="9">
        <v>1.0</v>
      </c>
      <c r="F5517" s="14"/>
      <c r="G5517" s="15"/>
      <c r="H5517" s="15"/>
      <c r="I5517" s="14"/>
      <c r="P5517" s="14"/>
    </row>
    <row r="5518" ht="18.75" customHeight="1">
      <c r="A5518" s="7" t="s">
        <v>2064</v>
      </c>
      <c r="B5518" s="9">
        <v>10365.0</v>
      </c>
      <c r="C5518" s="9">
        <v>6652.0</v>
      </c>
      <c r="D5518" s="9">
        <v>2723.0</v>
      </c>
      <c r="E5518" s="9">
        <v>54.0</v>
      </c>
      <c r="F5518" s="14"/>
      <c r="G5518" s="15"/>
      <c r="H5518" s="15"/>
      <c r="I5518" s="14"/>
      <c r="P5518" s="14"/>
    </row>
    <row r="5519" ht="18.75" customHeight="1">
      <c r="A5519" s="7" t="s">
        <v>2028</v>
      </c>
      <c r="B5519" s="9">
        <v>55.0</v>
      </c>
      <c r="C5519" s="9">
        <v>54.0</v>
      </c>
      <c r="D5519" s="9">
        <v>18.0</v>
      </c>
      <c r="E5519" s="9">
        <v>1.0</v>
      </c>
      <c r="F5519" s="14"/>
      <c r="G5519" s="15"/>
      <c r="H5519" s="15"/>
      <c r="I5519" s="14"/>
      <c r="P5519" s="14"/>
    </row>
    <row r="5520" ht="18.75" customHeight="1">
      <c r="A5520" s="7" t="s">
        <v>2012</v>
      </c>
      <c r="B5520" s="9">
        <v>76.0</v>
      </c>
      <c r="C5520" s="9">
        <v>73.0</v>
      </c>
      <c r="D5520" s="9">
        <v>16.0</v>
      </c>
      <c r="E5520" s="9">
        <v>3.0</v>
      </c>
      <c r="F5520" s="14"/>
      <c r="G5520" s="15"/>
      <c r="H5520" s="15"/>
      <c r="I5520" s="14"/>
      <c r="P5520" s="14"/>
    </row>
    <row r="5521" ht="18.75" customHeight="1">
      <c r="A5521" s="7" t="s">
        <v>2056</v>
      </c>
      <c r="B5521" s="9">
        <v>217519.0</v>
      </c>
      <c r="C5521" s="9">
        <v>214508.0</v>
      </c>
      <c r="D5521" s="9">
        <v>48862.0</v>
      </c>
      <c r="E5521" s="9">
        <v>3689.0</v>
      </c>
      <c r="F5521" s="14"/>
      <c r="G5521" s="15"/>
      <c r="H5521" s="15"/>
      <c r="I5521" s="14"/>
      <c r="P5521" s="14"/>
    </row>
    <row r="5522" ht="18.75" customHeight="1">
      <c r="A5522" s="7" t="s">
        <v>1507</v>
      </c>
      <c r="B5522" s="9">
        <v>189154.0</v>
      </c>
      <c r="C5522" s="9">
        <v>174496.0</v>
      </c>
      <c r="D5522" s="9">
        <v>111462.0</v>
      </c>
      <c r="E5522" s="9">
        <v>119.0</v>
      </c>
      <c r="F5522" s="14"/>
      <c r="G5522" s="15"/>
      <c r="H5522" s="15"/>
      <c r="I5522" s="14"/>
      <c r="P5522" s="14"/>
    </row>
    <row r="5523" ht="18.75" customHeight="1">
      <c r="A5523" s="7" t="s">
        <v>1507</v>
      </c>
      <c r="B5523" s="9">
        <v>328540.0</v>
      </c>
      <c r="C5523" s="9">
        <v>317576.0</v>
      </c>
      <c r="D5523" s="9">
        <v>78291.0</v>
      </c>
      <c r="E5523" s="9">
        <v>93.0</v>
      </c>
      <c r="F5523" s="14"/>
      <c r="G5523" s="15"/>
      <c r="H5523" s="15"/>
      <c r="I5523" s="14"/>
      <c r="P5523" s="14"/>
    </row>
    <row r="5524" ht="18.75" customHeight="1">
      <c r="A5524" s="7" t="s">
        <v>3760</v>
      </c>
      <c r="B5524" s="9">
        <v>87650.0</v>
      </c>
      <c r="C5524" s="9">
        <v>86911.0</v>
      </c>
      <c r="D5524" s="9">
        <v>35817.0</v>
      </c>
      <c r="E5524" s="9">
        <v>1033.0</v>
      </c>
      <c r="F5524" s="14"/>
      <c r="G5524" s="15"/>
      <c r="H5524" s="15"/>
      <c r="I5524" s="14"/>
      <c r="P5524" s="14"/>
    </row>
    <row r="5525" ht="18.75" customHeight="1">
      <c r="A5525" s="7" t="s">
        <v>2066</v>
      </c>
      <c r="B5525" s="9">
        <v>10505.0</v>
      </c>
      <c r="C5525" s="9">
        <v>6419.0</v>
      </c>
      <c r="D5525" s="9">
        <v>1966.0</v>
      </c>
      <c r="E5525" s="9">
        <v>99.0</v>
      </c>
      <c r="F5525" s="14"/>
      <c r="G5525" s="15"/>
      <c r="H5525" s="15"/>
      <c r="I5525" s="14"/>
      <c r="P5525" s="14"/>
    </row>
    <row r="5526" ht="18.75" customHeight="1">
      <c r="A5526" s="7" t="s">
        <v>2068</v>
      </c>
      <c r="B5526" s="9">
        <v>26121.0</v>
      </c>
      <c r="C5526" s="9">
        <v>16699.0</v>
      </c>
      <c r="D5526" s="9">
        <v>7068.0</v>
      </c>
      <c r="E5526" s="9">
        <v>273.0</v>
      </c>
      <c r="F5526" s="14"/>
      <c r="G5526" s="15"/>
      <c r="H5526" s="15"/>
      <c r="I5526" s="14"/>
      <c r="P5526" s="14"/>
    </row>
    <row r="5527" ht="18.75" customHeight="1">
      <c r="A5527" s="7" t="s">
        <v>2070</v>
      </c>
      <c r="B5527" s="9">
        <v>16008.0</v>
      </c>
      <c r="C5527" s="9">
        <v>10411.0</v>
      </c>
      <c r="D5527" s="9">
        <v>3558.0</v>
      </c>
      <c r="E5527" s="9">
        <v>126.0</v>
      </c>
      <c r="F5527" s="14"/>
      <c r="G5527" s="15"/>
      <c r="H5527" s="15"/>
      <c r="I5527" s="14"/>
      <c r="P5527" s="14"/>
    </row>
    <row r="5528" ht="18.75" customHeight="1">
      <c r="A5528" s="7" t="s">
        <v>2020</v>
      </c>
      <c r="B5528" s="9">
        <v>96.0</v>
      </c>
      <c r="C5528" s="9">
        <v>95.0</v>
      </c>
      <c r="D5528" s="9">
        <v>30.0</v>
      </c>
      <c r="E5528" s="9">
        <v>1.0</v>
      </c>
      <c r="F5528" s="14"/>
      <c r="G5528" s="15"/>
      <c r="H5528" s="15"/>
      <c r="I5528" s="14"/>
      <c r="P5528" s="14"/>
    </row>
    <row r="5529" ht="18.75" customHeight="1">
      <c r="A5529" s="7" t="s">
        <v>3761</v>
      </c>
      <c r="B5529" s="9">
        <v>165878.0</v>
      </c>
      <c r="C5529" s="9">
        <v>162927.0</v>
      </c>
      <c r="D5529" s="9">
        <v>64167.0</v>
      </c>
      <c r="E5529" s="9">
        <v>1741.0</v>
      </c>
      <c r="F5529" s="14"/>
      <c r="G5529" s="15"/>
      <c r="H5529" s="15"/>
      <c r="I5529" s="14"/>
      <c r="P5529" s="14"/>
    </row>
    <row r="5530" ht="18.75" customHeight="1">
      <c r="A5530" s="7" t="s">
        <v>3762</v>
      </c>
      <c r="B5530" s="9">
        <v>20699.0</v>
      </c>
      <c r="C5530" s="9">
        <v>20235.0</v>
      </c>
      <c r="D5530" s="9">
        <v>2338.0</v>
      </c>
      <c r="E5530" s="9">
        <v>32.0</v>
      </c>
      <c r="F5530" s="14"/>
      <c r="G5530" s="15"/>
      <c r="H5530" s="15"/>
      <c r="I5530" s="14"/>
      <c r="P5530" s="14"/>
    </row>
    <row r="5531" ht="18.75" customHeight="1">
      <c r="A5531" s="7" t="s">
        <v>1875</v>
      </c>
      <c r="B5531" s="9">
        <v>110903.0</v>
      </c>
      <c r="C5531" s="9">
        <v>109070.0</v>
      </c>
      <c r="D5531" s="9">
        <v>27557.0</v>
      </c>
      <c r="E5531" s="9">
        <v>267.0</v>
      </c>
      <c r="F5531" s="14"/>
      <c r="G5531" s="15"/>
      <c r="H5531" s="15"/>
      <c r="I5531" s="14"/>
      <c r="P5531" s="14"/>
    </row>
    <row r="5532" ht="18.75" customHeight="1">
      <c r="A5532" s="7" t="s">
        <v>1875</v>
      </c>
      <c r="B5532" s="9">
        <v>137059.0</v>
      </c>
      <c r="C5532" s="9">
        <v>135192.0</v>
      </c>
      <c r="D5532" s="9">
        <v>41468.0</v>
      </c>
      <c r="E5532" s="9">
        <v>708.0</v>
      </c>
      <c r="F5532" s="14"/>
      <c r="G5532" s="15"/>
      <c r="H5532" s="15"/>
      <c r="I5532" s="14"/>
      <c r="P5532" s="14"/>
    </row>
    <row r="5533" ht="18.75" customHeight="1">
      <c r="A5533" s="7" t="s">
        <v>1507</v>
      </c>
      <c r="B5533" s="9">
        <v>167550.0</v>
      </c>
      <c r="C5533" s="9">
        <v>163269.0</v>
      </c>
      <c r="D5533" s="9">
        <v>48731.0</v>
      </c>
      <c r="E5533" s="9">
        <v>825.0</v>
      </c>
      <c r="F5533" s="14"/>
      <c r="G5533" s="15"/>
      <c r="H5533" s="15"/>
      <c r="I5533" s="14"/>
      <c r="P5533" s="14"/>
    </row>
    <row r="5534" ht="18.75" customHeight="1">
      <c r="A5534" s="7" t="s">
        <v>3762</v>
      </c>
      <c r="B5534" s="9">
        <v>51.0</v>
      </c>
      <c r="C5534" s="9">
        <v>51.0</v>
      </c>
      <c r="D5534" s="9">
        <v>18.0</v>
      </c>
      <c r="E5534" s="9">
        <v>0.0</v>
      </c>
      <c r="F5534" s="14"/>
      <c r="G5534" s="15"/>
      <c r="H5534" s="15"/>
      <c r="I5534" s="14"/>
      <c r="P5534" s="14"/>
    </row>
    <row r="5535" ht="18.75" customHeight="1">
      <c r="A5535" s="7" t="s">
        <v>2024</v>
      </c>
      <c r="B5535" s="9">
        <v>67.0</v>
      </c>
      <c r="C5535" s="9">
        <v>67.0</v>
      </c>
      <c r="D5535" s="9">
        <v>29.0</v>
      </c>
      <c r="E5535" s="9">
        <v>1.0</v>
      </c>
      <c r="F5535" s="14"/>
      <c r="G5535" s="15"/>
      <c r="H5535" s="15"/>
      <c r="I5535" s="14"/>
      <c r="P5535" s="14"/>
    </row>
    <row r="5536" ht="18.75" customHeight="1">
      <c r="A5536" s="7" t="s">
        <v>2008</v>
      </c>
      <c r="B5536" s="9">
        <v>163749.0</v>
      </c>
      <c r="C5536" s="9">
        <v>163348.0</v>
      </c>
      <c r="D5536" s="9">
        <v>101422.0</v>
      </c>
      <c r="E5536" s="9">
        <v>478.0</v>
      </c>
      <c r="F5536" s="14"/>
      <c r="G5536" s="15"/>
      <c r="H5536" s="15"/>
      <c r="I5536" s="14"/>
      <c r="P5536" s="14"/>
    </row>
    <row r="5537" ht="18.75" customHeight="1">
      <c r="A5537" s="7" t="s">
        <v>3763</v>
      </c>
      <c r="B5537" s="9">
        <v>110.0</v>
      </c>
      <c r="C5537" s="9">
        <v>110.0</v>
      </c>
      <c r="D5537" s="9">
        <v>31.0</v>
      </c>
      <c r="E5537" s="9">
        <v>1.0</v>
      </c>
      <c r="F5537" s="14"/>
      <c r="G5537" s="15"/>
      <c r="H5537" s="15"/>
      <c r="I5537" s="14"/>
      <c r="P5537" s="14"/>
    </row>
    <row r="5538" ht="18.75" customHeight="1">
      <c r="A5538" s="7" t="s">
        <v>2000</v>
      </c>
      <c r="B5538" s="9">
        <v>128424.0</v>
      </c>
      <c r="C5538" s="9">
        <v>127036.0</v>
      </c>
      <c r="D5538" s="9">
        <v>25116.0</v>
      </c>
      <c r="E5538" s="9">
        <v>159.0</v>
      </c>
      <c r="F5538" s="14"/>
      <c r="G5538" s="15"/>
      <c r="H5538" s="15"/>
      <c r="I5538" s="14"/>
      <c r="P5538" s="14"/>
    </row>
    <row r="5539" ht="18.75" customHeight="1">
      <c r="A5539" s="7" t="s">
        <v>3764</v>
      </c>
      <c r="B5539" s="9">
        <v>79297.0</v>
      </c>
      <c r="C5539" s="9">
        <v>78806.0</v>
      </c>
      <c r="D5539" s="9">
        <v>15074.0</v>
      </c>
      <c r="E5539" s="9">
        <v>332.0</v>
      </c>
      <c r="F5539" s="14"/>
      <c r="G5539" s="15"/>
      <c r="H5539" s="15"/>
      <c r="I5539" s="14"/>
      <c r="P5539" s="14"/>
    </row>
    <row r="5540" ht="18.75" customHeight="1">
      <c r="A5540" s="7" t="s">
        <v>372</v>
      </c>
      <c r="B5540" s="9">
        <v>4739.0</v>
      </c>
      <c r="C5540" s="9">
        <v>4665.0</v>
      </c>
      <c r="D5540" s="9">
        <v>1256.0</v>
      </c>
      <c r="E5540" s="9">
        <v>83.0</v>
      </c>
      <c r="F5540" s="14"/>
      <c r="G5540" s="15"/>
      <c r="H5540" s="15"/>
      <c r="I5540" s="14"/>
      <c r="P5540" s="14"/>
    </row>
    <row r="5541" ht="18.75" customHeight="1">
      <c r="A5541" s="7" t="s">
        <v>1467</v>
      </c>
      <c r="B5541" s="9">
        <v>4951.0</v>
      </c>
      <c r="C5541" s="9">
        <v>4882.0</v>
      </c>
      <c r="D5541" s="9">
        <v>1365.0</v>
      </c>
      <c r="E5541" s="9">
        <v>136.0</v>
      </c>
      <c r="F5541" s="14"/>
      <c r="G5541" s="15"/>
      <c r="H5541" s="15"/>
      <c r="I5541" s="14"/>
      <c r="P5541" s="14"/>
    </row>
    <row r="5542" ht="18.75" customHeight="1">
      <c r="A5542" s="7" t="s">
        <v>366</v>
      </c>
      <c r="B5542" s="9">
        <v>1202.0</v>
      </c>
      <c r="C5542" s="9">
        <v>1180.0</v>
      </c>
      <c r="D5542" s="9">
        <v>320.0</v>
      </c>
      <c r="E5542" s="9">
        <v>18.0</v>
      </c>
      <c r="F5542" s="14"/>
      <c r="G5542" s="15"/>
      <c r="H5542" s="15"/>
      <c r="I5542" s="14"/>
      <c r="P5542" s="14"/>
    </row>
    <row r="5543" ht="18.75" customHeight="1">
      <c r="A5543" s="7" t="s">
        <v>370</v>
      </c>
      <c r="B5543" s="9">
        <v>424.0</v>
      </c>
      <c r="C5543" s="9">
        <v>420.0</v>
      </c>
      <c r="D5543" s="9">
        <v>145.0</v>
      </c>
      <c r="E5543" s="9">
        <v>17.0</v>
      </c>
      <c r="F5543" s="14"/>
      <c r="G5543" s="15"/>
      <c r="H5543" s="15"/>
      <c r="I5543" s="14"/>
      <c r="P5543" s="14"/>
    </row>
    <row r="5544" ht="18.75" customHeight="1">
      <c r="A5544" s="7" t="s">
        <v>2052</v>
      </c>
      <c r="B5544" s="9">
        <v>133790.0</v>
      </c>
      <c r="C5544" s="9">
        <v>131783.0</v>
      </c>
      <c r="D5544" s="9">
        <v>22434.0</v>
      </c>
      <c r="E5544" s="9">
        <v>453.0</v>
      </c>
      <c r="F5544" s="14"/>
      <c r="G5544" s="15"/>
      <c r="H5544" s="15"/>
      <c r="I5544" s="14"/>
      <c r="P5544" s="14"/>
    </row>
    <row r="5545" ht="18.75" customHeight="1">
      <c r="A5545" s="7" t="s">
        <v>2026</v>
      </c>
      <c r="B5545" s="9">
        <v>98.0</v>
      </c>
      <c r="C5545" s="9">
        <v>97.0</v>
      </c>
      <c r="D5545" s="9">
        <v>35.0</v>
      </c>
      <c r="E5545" s="9">
        <v>0.0</v>
      </c>
      <c r="F5545" s="14"/>
      <c r="G5545" s="15"/>
      <c r="H5545" s="15"/>
      <c r="I5545" s="14"/>
      <c r="P5545" s="14"/>
    </row>
    <row r="5546" ht="18.75" customHeight="1">
      <c r="A5546" s="7" t="s">
        <v>2086</v>
      </c>
      <c r="B5546" s="9">
        <v>64096.0</v>
      </c>
      <c r="C5546" s="9">
        <v>63149.0</v>
      </c>
      <c r="D5546" s="9">
        <v>9176.0</v>
      </c>
      <c r="E5546" s="9">
        <v>132.0</v>
      </c>
      <c r="F5546" s="14"/>
      <c r="G5546" s="15"/>
      <c r="H5546" s="15"/>
      <c r="I5546" s="14"/>
      <c r="P5546" s="14"/>
    </row>
    <row r="5547" ht="18.75" customHeight="1">
      <c r="A5547" s="7" t="s">
        <v>1663</v>
      </c>
      <c r="B5547" s="9">
        <v>571.0</v>
      </c>
      <c r="C5547" s="9">
        <v>560.0</v>
      </c>
      <c r="D5547" s="9">
        <v>305.0</v>
      </c>
      <c r="E5547" s="9">
        <v>177.0</v>
      </c>
      <c r="F5547" s="14"/>
      <c r="G5547" s="15"/>
      <c r="H5547" s="15"/>
      <c r="I5547" s="14"/>
      <c r="P5547" s="14"/>
    </row>
    <row r="5548" ht="18.75" customHeight="1">
      <c r="A5548" s="7" t="s">
        <v>2094</v>
      </c>
      <c r="B5548" s="9">
        <v>111433.0</v>
      </c>
      <c r="C5548" s="9">
        <v>89600.0</v>
      </c>
      <c r="D5548" s="9">
        <v>32772.0</v>
      </c>
      <c r="E5548" s="9">
        <v>152.0</v>
      </c>
      <c r="F5548" s="14"/>
      <c r="G5548" s="15"/>
      <c r="H5548" s="15"/>
      <c r="I5548" s="14"/>
      <c r="P5548" s="14"/>
    </row>
    <row r="5549" ht="18.75" customHeight="1">
      <c r="A5549" s="7" t="s">
        <v>1875</v>
      </c>
      <c r="B5549" s="9">
        <v>86511.0</v>
      </c>
      <c r="C5549" s="9">
        <v>86071.0</v>
      </c>
      <c r="D5549" s="9">
        <v>51033.0</v>
      </c>
      <c r="E5549" s="9">
        <v>263.0</v>
      </c>
      <c r="F5549" s="14"/>
      <c r="G5549" s="15"/>
      <c r="H5549" s="15"/>
      <c r="I5549" s="14"/>
      <c r="P5549" s="14"/>
    </row>
    <row r="5550" ht="18.75" customHeight="1">
      <c r="A5550" s="7" t="s">
        <v>2086</v>
      </c>
      <c r="B5550" s="9">
        <v>63994.0</v>
      </c>
      <c r="C5550" s="9">
        <v>63065.0</v>
      </c>
      <c r="D5550" s="9">
        <v>13213.0</v>
      </c>
      <c r="E5550" s="9">
        <v>221.0</v>
      </c>
      <c r="F5550" s="14"/>
      <c r="G5550" s="15"/>
      <c r="H5550" s="15"/>
      <c r="I5550" s="14"/>
      <c r="P5550" s="14"/>
    </row>
    <row r="5551" ht="18.75" customHeight="1">
      <c r="A5551" s="7" t="s">
        <v>2008</v>
      </c>
      <c r="B5551" s="9">
        <v>40293.0</v>
      </c>
      <c r="C5551" s="9">
        <v>37876.0</v>
      </c>
      <c r="D5551" s="9">
        <v>6685.0</v>
      </c>
      <c r="E5551" s="9">
        <v>55.0</v>
      </c>
      <c r="F5551" s="14"/>
      <c r="G5551" s="15"/>
      <c r="H5551" s="15"/>
      <c r="I5551" s="14"/>
      <c r="P5551" s="14"/>
    </row>
    <row r="5552" ht="18.75" customHeight="1">
      <c r="A5552" s="7" t="s">
        <v>501</v>
      </c>
      <c r="B5552" s="9">
        <v>66537.0</v>
      </c>
      <c r="C5552" s="9">
        <v>64941.0</v>
      </c>
      <c r="D5552" s="9">
        <v>17595.0</v>
      </c>
      <c r="E5552" s="9">
        <v>1869.0</v>
      </c>
      <c r="F5552" s="14"/>
      <c r="G5552" s="15"/>
      <c r="H5552" s="15"/>
      <c r="I5552" s="14"/>
      <c r="P5552" s="14"/>
    </row>
    <row r="5553" ht="18.75" customHeight="1">
      <c r="A5553" s="7" t="s">
        <v>501</v>
      </c>
      <c r="B5553" s="9">
        <v>44043.0</v>
      </c>
      <c r="C5553" s="9">
        <v>43461.0</v>
      </c>
      <c r="D5553" s="9">
        <v>14246.0</v>
      </c>
      <c r="E5553" s="9">
        <v>894.0</v>
      </c>
      <c r="F5553" s="14"/>
      <c r="G5553" s="15"/>
      <c r="H5553" s="15"/>
      <c r="I5553" s="14"/>
      <c r="P5553" s="14"/>
    </row>
    <row r="5554" ht="18.75" customHeight="1">
      <c r="A5554" s="7" t="s">
        <v>2006</v>
      </c>
      <c r="B5554" s="9">
        <v>52.0</v>
      </c>
      <c r="C5554" s="9">
        <v>51.0</v>
      </c>
      <c r="D5554" s="9">
        <v>19.0</v>
      </c>
      <c r="E5554" s="9">
        <v>8.0</v>
      </c>
      <c r="F5554" s="14"/>
      <c r="G5554" s="15"/>
      <c r="H5554" s="15"/>
      <c r="I5554" s="14"/>
      <c r="P5554" s="14"/>
    </row>
    <row r="5555" ht="18.75" customHeight="1">
      <c r="A5555" s="7" t="s">
        <v>3765</v>
      </c>
      <c r="B5555" s="9">
        <v>18048.0</v>
      </c>
      <c r="C5555" s="9">
        <v>17867.0</v>
      </c>
      <c r="D5555" s="9">
        <v>6080.0</v>
      </c>
      <c r="E5555" s="9">
        <v>217.0</v>
      </c>
      <c r="F5555" s="14"/>
      <c r="G5555" s="15"/>
      <c r="H5555" s="15"/>
      <c r="I5555" s="14"/>
      <c r="P5555" s="14"/>
    </row>
    <row r="5556" ht="18.75" customHeight="1">
      <c r="A5556" s="7" t="s">
        <v>3766</v>
      </c>
      <c r="B5556" s="9">
        <v>13732.0</v>
      </c>
      <c r="C5556" s="9">
        <v>13552.0</v>
      </c>
      <c r="D5556" s="9">
        <v>4409.0</v>
      </c>
      <c r="E5556" s="9">
        <v>223.0</v>
      </c>
      <c r="F5556" s="14"/>
      <c r="G5556" s="15"/>
      <c r="H5556" s="15"/>
      <c r="I5556" s="14"/>
      <c r="P5556" s="14"/>
    </row>
    <row r="5557" ht="18.75" customHeight="1">
      <c r="A5557" s="7" t="s">
        <v>2102</v>
      </c>
      <c r="B5557" s="9">
        <v>68740.0</v>
      </c>
      <c r="C5557" s="9">
        <v>67702.0</v>
      </c>
      <c r="D5557" s="9">
        <v>10074.0</v>
      </c>
      <c r="E5557" s="9">
        <v>147.0</v>
      </c>
      <c r="F5557" s="14"/>
      <c r="G5557" s="15"/>
      <c r="H5557" s="15"/>
      <c r="I5557" s="14"/>
      <c r="P5557" s="14"/>
    </row>
    <row r="5558" ht="18.75" customHeight="1">
      <c r="A5558" s="7" t="s">
        <v>2008</v>
      </c>
      <c r="B5558" s="9">
        <v>95225.0</v>
      </c>
      <c r="C5558" s="9">
        <v>94603.0</v>
      </c>
      <c r="D5558" s="9">
        <v>47729.0</v>
      </c>
      <c r="E5558" s="9">
        <v>210.0</v>
      </c>
      <c r="F5558" s="14"/>
      <c r="G5558" s="15"/>
      <c r="H5558" s="15"/>
      <c r="I5558" s="14"/>
      <c r="P5558" s="14"/>
    </row>
    <row r="5559" ht="18.75" customHeight="1">
      <c r="A5559" s="7" t="s">
        <v>2104</v>
      </c>
      <c r="B5559" s="9">
        <v>67187.0</v>
      </c>
      <c r="C5559" s="9">
        <v>66453.0</v>
      </c>
      <c r="D5559" s="9">
        <v>11285.0</v>
      </c>
      <c r="E5559" s="9">
        <v>134.0</v>
      </c>
      <c r="F5559" s="14"/>
      <c r="G5559" s="15"/>
      <c r="H5559" s="15"/>
      <c r="I5559" s="14"/>
      <c r="P5559" s="14"/>
    </row>
    <row r="5560" ht="18.75" customHeight="1">
      <c r="A5560" s="7" t="s">
        <v>366</v>
      </c>
      <c r="B5560" s="9">
        <v>519.0</v>
      </c>
      <c r="C5560" s="9">
        <v>516.0</v>
      </c>
      <c r="D5560" s="9">
        <v>186.0</v>
      </c>
      <c r="E5560" s="9">
        <v>9.0</v>
      </c>
      <c r="F5560" s="14"/>
      <c r="G5560" s="15"/>
      <c r="H5560" s="15"/>
      <c r="I5560" s="14"/>
      <c r="P5560" s="14"/>
    </row>
    <row r="5561" ht="18.75" customHeight="1">
      <c r="A5561" s="7" t="s">
        <v>368</v>
      </c>
      <c r="B5561" s="9">
        <v>1035.0</v>
      </c>
      <c r="C5561" s="9">
        <v>1024.0</v>
      </c>
      <c r="D5561" s="9">
        <v>341.0</v>
      </c>
      <c r="E5561" s="9">
        <v>14.0</v>
      </c>
      <c r="F5561" s="14"/>
      <c r="G5561" s="15"/>
      <c r="H5561" s="15"/>
      <c r="I5561" s="14"/>
      <c r="P5561" s="14"/>
    </row>
    <row r="5562" ht="18.75" customHeight="1">
      <c r="A5562" s="7" t="s">
        <v>370</v>
      </c>
      <c r="B5562" s="9">
        <v>216.0</v>
      </c>
      <c r="C5562" s="9">
        <v>213.0</v>
      </c>
      <c r="D5562" s="9">
        <v>62.0</v>
      </c>
      <c r="E5562" s="9">
        <v>6.0</v>
      </c>
      <c r="F5562" s="14"/>
      <c r="G5562" s="15"/>
      <c r="H5562" s="15"/>
      <c r="I5562" s="14"/>
      <c r="P5562" s="14"/>
    </row>
    <row r="5563" ht="18.75" customHeight="1">
      <c r="A5563" s="7" t="s">
        <v>2106</v>
      </c>
      <c r="B5563" s="9">
        <v>84365.0</v>
      </c>
      <c r="C5563" s="9">
        <v>83449.0</v>
      </c>
      <c r="D5563" s="9">
        <v>15986.0</v>
      </c>
      <c r="E5563" s="9">
        <v>166.0</v>
      </c>
      <c r="F5563" s="14"/>
      <c r="G5563" s="15"/>
      <c r="H5563" s="15"/>
      <c r="I5563" s="14"/>
      <c r="P5563" s="14"/>
    </row>
    <row r="5564" ht="18.75" customHeight="1">
      <c r="A5564" s="7" t="s">
        <v>501</v>
      </c>
      <c r="B5564" s="9">
        <v>40775.0</v>
      </c>
      <c r="C5564" s="9">
        <v>39909.0</v>
      </c>
      <c r="D5564" s="9">
        <v>10499.0</v>
      </c>
      <c r="E5564" s="9">
        <v>218.0</v>
      </c>
      <c r="F5564" s="14"/>
      <c r="G5564" s="15"/>
      <c r="H5564" s="15"/>
      <c r="I5564" s="14"/>
      <c r="P5564" s="14"/>
    </row>
    <row r="5565" ht="18.75" customHeight="1">
      <c r="A5565" s="7" t="s">
        <v>501</v>
      </c>
      <c r="B5565" s="9">
        <v>111502.0</v>
      </c>
      <c r="C5565" s="9">
        <v>110293.0</v>
      </c>
      <c r="D5565" s="9">
        <v>35450.0</v>
      </c>
      <c r="E5565" s="9">
        <v>1590.0</v>
      </c>
      <c r="F5565" s="14"/>
      <c r="G5565" s="15"/>
      <c r="H5565" s="15"/>
      <c r="I5565" s="14"/>
      <c r="P5565" s="14"/>
    </row>
    <row r="5566" ht="18.75" customHeight="1">
      <c r="A5566" s="7" t="s">
        <v>2058</v>
      </c>
      <c r="B5566" s="9">
        <v>50074.0</v>
      </c>
      <c r="C5566" s="9">
        <v>49587.0</v>
      </c>
      <c r="D5566" s="9">
        <v>16235.0</v>
      </c>
      <c r="E5566" s="9">
        <v>281.0</v>
      </c>
      <c r="F5566" s="14"/>
      <c r="G5566" s="15"/>
      <c r="H5566" s="15"/>
      <c r="I5566" s="14"/>
      <c r="P5566" s="14"/>
    </row>
    <row r="5567" ht="18.75" customHeight="1">
      <c r="A5567" s="7" t="s">
        <v>1908</v>
      </c>
      <c r="B5567" s="9">
        <v>69153.0</v>
      </c>
      <c r="C5567" s="9">
        <v>68353.0</v>
      </c>
      <c r="D5567" s="9">
        <v>17037.0</v>
      </c>
      <c r="E5567" s="9">
        <v>796.0</v>
      </c>
      <c r="F5567" s="14"/>
      <c r="G5567" s="15"/>
      <c r="H5567" s="15"/>
      <c r="I5567" s="14"/>
      <c r="P5567" s="14"/>
    </row>
    <row r="5568" ht="18.75" customHeight="1">
      <c r="A5568" s="7" t="s">
        <v>1908</v>
      </c>
      <c r="B5568" s="9">
        <v>74881.0</v>
      </c>
      <c r="C5568" s="9">
        <v>74080.0</v>
      </c>
      <c r="D5568" s="9">
        <v>20536.0</v>
      </c>
      <c r="E5568" s="9">
        <v>764.0</v>
      </c>
      <c r="F5568" s="14"/>
      <c r="G5568" s="15"/>
      <c r="H5568" s="15"/>
      <c r="I5568" s="14"/>
      <c r="P5568" s="14"/>
    </row>
    <row r="5569" ht="18.75" customHeight="1">
      <c r="A5569" s="7" t="s">
        <v>1908</v>
      </c>
      <c r="B5569" s="9">
        <v>69662.0</v>
      </c>
      <c r="C5569" s="9">
        <v>68490.0</v>
      </c>
      <c r="D5569" s="9">
        <v>15026.0</v>
      </c>
      <c r="E5569" s="9">
        <v>478.0</v>
      </c>
      <c r="F5569" s="14"/>
      <c r="G5569" s="15"/>
      <c r="H5569" s="15"/>
      <c r="I5569" s="14"/>
      <c r="P5569" s="14"/>
    </row>
    <row r="5570" ht="18.75" customHeight="1">
      <c r="A5570" s="7" t="s">
        <v>3764</v>
      </c>
      <c r="B5570" s="9">
        <v>212.0</v>
      </c>
      <c r="C5570" s="9">
        <v>212.0</v>
      </c>
      <c r="D5570" s="9">
        <v>150.0</v>
      </c>
      <c r="E5570" s="9">
        <v>2.0</v>
      </c>
      <c r="F5570" s="14"/>
      <c r="G5570" s="15"/>
      <c r="H5570" s="15"/>
      <c r="I5570" s="14"/>
      <c r="P5570" s="14"/>
    </row>
    <row r="5571" ht="18.75" customHeight="1">
      <c r="A5571" s="7" t="s">
        <v>1737</v>
      </c>
      <c r="B5571" s="9">
        <v>50242.0</v>
      </c>
      <c r="C5571" s="9">
        <v>49542.0</v>
      </c>
      <c r="D5571" s="9">
        <v>6556.0</v>
      </c>
      <c r="E5571" s="9">
        <v>378.0</v>
      </c>
      <c r="F5571" s="14"/>
      <c r="G5571" s="15"/>
      <c r="H5571" s="15"/>
      <c r="I5571" s="14"/>
      <c r="P5571" s="14"/>
    </row>
    <row r="5572" ht="18.75" customHeight="1">
      <c r="A5572" s="7" t="s">
        <v>1737</v>
      </c>
      <c r="B5572" s="9">
        <v>51750.0</v>
      </c>
      <c r="C5572" s="9">
        <v>50896.0</v>
      </c>
      <c r="D5572" s="9">
        <v>6552.0</v>
      </c>
      <c r="E5572" s="9">
        <v>169.0</v>
      </c>
      <c r="F5572" s="14"/>
      <c r="G5572" s="15"/>
      <c r="H5572" s="15"/>
      <c r="I5572" s="14"/>
      <c r="P5572" s="14"/>
    </row>
    <row r="5573" ht="18.75" customHeight="1">
      <c r="A5573" s="7" t="s">
        <v>2022</v>
      </c>
      <c r="B5573" s="9">
        <v>80.0</v>
      </c>
      <c r="C5573" s="9">
        <v>79.0</v>
      </c>
      <c r="D5573" s="9">
        <v>27.0</v>
      </c>
      <c r="E5573" s="9">
        <v>1.0</v>
      </c>
      <c r="F5573" s="14"/>
      <c r="G5573" s="15"/>
      <c r="H5573" s="15"/>
      <c r="I5573" s="14"/>
      <c r="P5573" s="14"/>
    </row>
    <row r="5574" ht="18.75" customHeight="1">
      <c r="A5574" s="7" t="s">
        <v>2102</v>
      </c>
      <c r="B5574" s="9">
        <v>129.0</v>
      </c>
      <c r="C5574" s="9">
        <v>128.0</v>
      </c>
      <c r="D5574" s="9">
        <v>40.0</v>
      </c>
      <c r="E5574" s="9">
        <v>2.0</v>
      </c>
      <c r="F5574" s="14"/>
      <c r="G5574" s="15"/>
      <c r="H5574" s="15"/>
      <c r="I5574" s="14"/>
      <c r="P5574" s="14"/>
    </row>
    <row r="5575" ht="18.75" customHeight="1">
      <c r="A5575" s="7" t="s">
        <v>2056</v>
      </c>
      <c r="B5575" s="9">
        <v>6.0</v>
      </c>
      <c r="C5575" s="9">
        <v>5.0</v>
      </c>
      <c r="D5575" s="9">
        <v>1.0</v>
      </c>
      <c r="E5575" s="9">
        <v>1.0</v>
      </c>
      <c r="F5575" s="14"/>
      <c r="G5575" s="15"/>
      <c r="H5575" s="15"/>
      <c r="I5575" s="14"/>
      <c r="P5575" s="14"/>
    </row>
    <row r="5576" ht="18.75" customHeight="1">
      <c r="A5576" s="7" t="s">
        <v>3767</v>
      </c>
      <c r="B5576" s="9">
        <v>130721.0</v>
      </c>
      <c r="C5576" s="9">
        <v>129459.0</v>
      </c>
      <c r="D5576" s="9">
        <v>46151.0</v>
      </c>
      <c r="E5576" s="9">
        <v>1975.0</v>
      </c>
      <c r="F5576" s="14"/>
      <c r="G5576" s="15"/>
      <c r="H5576" s="15"/>
      <c r="I5576" s="14"/>
      <c r="P5576" s="14"/>
    </row>
    <row r="5577" ht="18.75" customHeight="1">
      <c r="A5577" s="7" t="s">
        <v>2102</v>
      </c>
      <c r="B5577" s="12"/>
      <c r="C5577" s="12"/>
      <c r="D5577" s="12"/>
      <c r="E5577" s="12"/>
      <c r="F5577" s="14"/>
      <c r="G5577" s="15"/>
      <c r="H5577" s="15"/>
      <c r="I5577" s="14"/>
      <c r="P5577" s="14"/>
    </row>
    <row r="5578" ht="18.75" customHeight="1">
      <c r="A5578" s="7" t="s">
        <v>1908</v>
      </c>
      <c r="B5578" s="12"/>
      <c r="C5578" s="12"/>
      <c r="D5578" s="12"/>
      <c r="E5578" s="12"/>
      <c r="F5578" s="14"/>
      <c r="G5578" s="15"/>
      <c r="H5578" s="15"/>
      <c r="I5578" s="14"/>
      <c r="P5578" s="14"/>
    </row>
    <row r="5579" ht="18.75" customHeight="1">
      <c r="A5579" s="7" t="s">
        <v>1908</v>
      </c>
      <c r="B5579" s="12"/>
      <c r="C5579" s="12"/>
      <c r="D5579" s="12"/>
      <c r="E5579" s="12"/>
      <c r="F5579" s="14"/>
      <c r="G5579" s="15"/>
      <c r="H5579" s="15"/>
      <c r="I5579" s="14"/>
      <c r="P5579" s="14"/>
    </row>
    <row r="5580" ht="18.75" customHeight="1">
      <c r="A5580" s="7" t="s">
        <v>2186</v>
      </c>
      <c r="B5580" s="12"/>
      <c r="C5580" s="12"/>
      <c r="D5580" s="12"/>
      <c r="E5580" s="12"/>
      <c r="F5580" s="14"/>
      <c r="G5580" s="15"/>
      <c r="H5580" s="15"/>
      <c r="I5580" s="14"/>
      <c r="P5580" s="14"/>
    </row>
    <row r="5581" ht="18.75" customHeight="1">
      <c r="A5581" s="7" t="s">
        <v>1507</v>
      </c>
      <c r="B5581" s="12"/>
      <c r="C5581" s="12"/>
      <c r="D5581" s="12"/>
      <c r="E5581" s="12"/>
      <c r="F5581" s="14"/>
      <c r="G5581" s="15"/>
      <c r="H5581" s="15"/>
      <c r="I5581" s="14"/>
      <c r="P5581" s="14"/>
    </row>
    <row r="5582" ht="18.75" customHeight="1">
      <c r="A5582" s="7" t="s">
        <v>1861</v>
      </c>
      <c r="B5582" s="9">
        <v>42.0</v>
      </c>
      <c r="C5582" s="9">
        <v>41.0</v>
      </c>
      <c r="D5582" s="9">
        <v>12.0</v>
      </c>
      <c r="E5582" s="9">
        <v>2.0</v>
      </c>
      <c r="F5582" s="14"/>
      <c r="G5582" s="15"/>
      <c r="H5582" s="15"/>
      <c r="I5582" s="14"/>
      <c r="P5582" s="14"/>
    </row>
    <row r="5583" ht="18.75" customHeight="1">
      <c r="A5583" s="7" t="s">
        <v>1884</v>
      </c>
      <c r="B5583" s="9">
        <v>174.0</v>
      </c>
      <c r="C5583" s="9">
        <v>173.0</v>
      </c>
      <c r="D5583" s="9">
        <v>94.0</v>
      </c>
      <c r="E5583" s="9">
        <v>2.0</v>
      </c>
      <c r="F5583" s="14"/>
      <c r="G5583" s="15"/>
      <c r="H5583" s="15"/>
      <c r="I5583" s="14"/>
      <c r="P5583" s="14"/>
    </row>
    <row r="5584" ht="18.75" customHeight="1">
      <c r="A5584" s="7" t="s">
        <v>2176</v>
      </c>
      <c r="B5584" s="12"/>
      <c r="C5584" s="12"/>
      <c r="D5584" s="12"/>
      <c r="E5584" s="12"/>
      <c r="F5584" s="14"/>
      <c r="G5584" s="15"/>
      <c r="H5584" s="15"/>
      <c r="I5584" s="14"/>
      <c r="P5584" s="14"/>
    </row>
    <row r="5585" ht="18.75" customHeight="1">
      <c r="A5585" s="7" t="s">
        <v>2184</v>
      </c>
      <c r="B5585" s="12"/>
      <c r="C5585" s="12"/>
      <c r="D5585" s="12"/>
      <c r="E5585" s="12"/>
      <c r="F5585" s="14"/>
      <c r="G5585" s="15"/>
      <c r="H5585" s="15"/>
      <c r="I5585" s="14"/>
      <c r="P5585" s="14"/>
    </row>
    <row r="5586" ht="18.75" customHeight="1">
      <c r="A5586" s="7" t="s">
        <v>2857</v>
      </c>
      <c r="B5586" s="9">
        <v>56909.0</v>
      </c>
      <c r="C5586" s="9">
        <v>56053.0</v>
      </c>
      <c r="D5586" s="9">
        <v>14052.0</v>
      </c>
      <c r="E5586" s="9">
        <v>438.0</v>
      </c>
      <c r="F5586" s="14"/>
      <c r="G5586" s="15"/>
      <c r="H5586" s="15"/>
      <c r="I5586" s="14"/>
      <c r="P5586" s="14"/>
    </row>
    <row r="5587" ht="18.75" customHeight="1">
      <c r="A5587" s="7" t="s">
        <v>2196</v>
      </c>
      <c r="B5587" s="12"/>
      <c r="C5587" s="12"/>
      <c r="D5587" s="12"/>
      <c r="E5587" s="12"/>
      <c r="F5587" s="14"/>
      <c r="G5587" s="15"/>
      <c r="H5587" s="15"/>
      <c r="I5587" s="14"/>
      <c r="P5587" s="14"/>
    </row>
    <row r="5588" ht="18.75" customHeight="1">
      <c r="A5588" s="7" t="s">
        <v>501</v>
      </c>
      <c r="B5588" s="12"/>
      <c r="C5588" s="12"/>
      <c r="D5588" s="12"/>
      <c r="E5588" s="12"/>
      <c r="F5588" s="14"/>
      <c r="G5588" s="15"/>
      <c r="H5588" s="15"/>
      <c r="I5588" s="14"/>
      <c r="P5588" s="14"/>
    </row>
    <row r="5589" ht="18.75" customHeight="1">
      <c r="A5589" s="7" t="s">
        <v>501</v>
      </c>
      <c r="B5589" s="12"/>
      <c r="C5589" s="12"/>
      <c r="D5589" s="12"/>
      <c r="E5589" s="12"/>
      <c r="F5589" s="14"/>
      <c r="G5589" s="15"/>
      <c r="H5589" s="15"/>
      <c r="I5589" s="14"/>
      <c r="P5589" s="14"/>
    </row>
    <row r="5590" ht="18.75" customHeight="1">
      <c r="A5590" s="7" t="s">
        <v>1990</v>
      </c>
      <c r="B5590" s="12"/>
      <c r="C5590" s="12"/>
      <c r="D5590" s="12"/>
      <c r="E5590" s="12"/>
      <c r="F5590" s="14"/>
      <c r="G5590" s="15"/>
      <c r="H5590" s="15"/>
      <c r="I5590" s="14"/>
      <c r="P5590" s="14"/>
    </row>
    <row r="5591" ht="18.75" customHeight="1">
      <c r="A5591" s="7" t="s">
        <v>2143</v>
      </c>
      <c r="B5591" s="12"/>
      <c r="C5591" s="12"/>
      <c r="D5591" s="12"/>
      <c r="E5591" s="12"/>
      <c r="F5591" s="14"/>
      <c r="G5591" s="15"/>
      <c r="H5591" s="15"/>
      <c r="I5591" s="14"/>
      <c r="P5591" s="14"/>
    </row>
    <row r="5592" ht="18.75" customHeight="1">
      <c r="A5592" s="7" t="s">
        <v>2145</v>
      </c>
      <c r="B5592" s="12"/>
      <c r="C5592" s="12"/>
      <c r="D5592" s="12"/>
      <c r="E5592" s="12"/>
      <c r="F5592" s="14"/>
      <c r="G5592" s="15"/>
      <c r="H5592" s="15"/>
      <c r="I5592" s="14"/>
      <c r="P5592" s="14"/>
    </row>
    <row r="5593" ht="18.75" customHeight="1">
      <c r="A5593" s="7" t="s">
        <v>3067</v>
      </c>
      <c r="B5593" s="12"/>
      <c r="C5593" s="12"/>
      <c r="D5593" s="12"/>
      <c r="E5593" s="12"/>
      <c r="F5593" s="14"/>
      <c r="G5593" s="15"/>
      <c r="H5593" s="15"/>
      <c r="I5593" s="14"/>
      <c r="P5593" s="14"/>
    </row>
    <row r="5594" ht="18.75" customHeight="1">
      <c r="A5594" s="7" t="s">
        <v>2151</v>
      </c>
      <c r="B5594" s="12"/>
      <c r="C5594" s="12"/>
      <c r="D5594" s="12"/>
      <c r="E5594" s="12"/>
      <c r="F5594" s="14"/>
      <c r="G5594" s="15"/>
      <c r="H5594" s="15"/>
      <c r="I5594" s="14"/>
      <c r="P5594" s="14"/>
    </row>
    <row r="5595" ht="18.75" customHeight="1">
      <c r="A5595" s="7" t="s">
        <v>1908</v>
      </c>
      <c r="B5595" s="12"/>
      <c r="C5595" s="12"/>
      <c r="D5595" s="12"/>
      <c r="E5595" s="12"/>
      <c r="F5595" s="14"/>
      <c r="G5595" s="15"/>
      <c r="H5595" s="15"/>
      <c r="I5595" s="14"/>
      <c r="P5595" s="14"/>
    </row>
    <row r="5596" ht="18.75" customHeight="1">
      <c r="A5596" s="7" t="s">
        <v>1908</v>
      </c>
      <c r="B5596" s="12"/>
      <c r="C5596" s="12"/>
      <c r="D5596" s="12"/>
      <c r="E5596" s="12"/>
      <c r="F5596" s="14"/>
      <c r="G5596" s="15"/>
      <c r="H5596" s="15"/>
      <c r="I5596" s="14"/>
      <c r="P5596" s="14"/>
    </row>
    <row r="5597" ht="18.75" customHeight="1">
      <c r="A5597" s="7" t="s">
        <v>1906</v>
      </c>
      <c r="B5597" s="12"/>
      <c r="C5597" s="12"/>
      <c r="D5597" s="12"/>
      <c r="E5597" s="12"/>
      <c r="F5597" s="14"/>
      <c r="G5597" s="15"/>
      <c r="H5597" s="15"/>
      <c r="I5597" s="14"/>
      <c r="P5597" s="14"/>
    </row>
    <row r="5598" ht="18.75" customHeight="1">
      <c r="A5598" s="7" t="s">
        <v>2188</v>
      </c>
      <c r="B5598" s="12"/>
      <c r="C5598" s="12"/>
      <c r="D5598" s="12"/>
      <c r="E5598" s="12"/>
      <c r="F5598" s="14"/>
      <c r="G5598" s="15"/>
      <c r="H5598" s="15"/>
      <c r="I5598" s="14"/>
      <c r="P5598" s="14"/>
    </row>
    <row r="5599" ht="18.75" customHeight="1">
      <c r="A5599" s="7" t="s">
        <v>2190</v>
      </c>
      <c r="B5599" s="12"/>
      <c r="C5599" s="12"/>
      <c r="D5599" s="12"/>
      <c r="E5599" s="12"/>
      <c r="F5599" s="14"/>
      <c r="G5599" s="15"/>
      <c r="H5599" s="15"/>
      <c r="I5599" s="14"/>
      <c r="P5599" s="14"/>
    </row>
    <row r="5600" ht="18.75" customHeight="1">
      <c r="A5600" s="7" t="s">
        <v>2098</v>
      </c>
      <c r="B5600" s="12"/>
      <c r="C5600" s="12"/>
      <c r="D5600" s="12"/>
      <c r="E5600" s="12"/>
      <c r="F5600" s="14"/>
      <c r="G5600" s="15"/>
      <c r="H5600" s="15"/>
      <c r="I5600" s="14"/>
      <c r="P5600" s="14"/>
    </row>
    <row r="5601" ht="18.75" customHeight="1">
      <c r="A5601" s="7" t="s">
        <v>2206</v>
      </c>
      <c r="B5601" s="12"/>
      <c r="C5601" s="12"/>
      <c r="D5601" s="12"/>
      <c r="E5601" s="12"/>
      <c r="F5601" s="14"/>
      <c r="G5601" s="15"/>
      <c r="H5601" s="15"/>
      <c r="I5601" s="14"/>
      <c r="P5601" s="14"/>
    </row>
    <row r="5602" ht="18.75" customHeight="1">
      <c r="A5602" s="7" t="s">
        <v>2208</v>
      </c>
      <c r="B5602" s="12"/>
      <c r="C5602" s="12"/>
      <c r="D5602" s="12"/>
      <c r="E5602" s="12"/>
      <c r="F5602" s="14"/>
      <c r="G5602" s="15"/>
      <c r="H5602" s="15"/>
      <c r="I5602" s="14"/>
      <c r="P5602" s="14"/>
    </row>
    <row r="5603" ht="18.75" customHeight="1">
      <c r="A5603" s="7" t="s">
        <v>3764</v>
      </c>
      <c r="B5603" s="12"/>
      <c r="C5603" s="12"/>
      <c r="D5603" s="12"/>
      <c r="E5603" s="12"/>
      <c r="F5603" s="14"/>
      <c r="G5603" s="15"/>
      <c r="H5603" s="15"/>
      <c r="I5603" s="14"/>
      <c r="P5603" s="14"/>
    </row>
    <row r="5604" ht="18.75" customHeight="1">
      <c r="A5604" s="7" t="s">
        <v>2104</v>
      </c>
      <c r="B5604" s="9">
        <v>101.0</v>
      </c>
      <c r="C5604" s="9">
        <v>101.0</v>
      </c>
      <c r="D5604" s="9">
        <v>35.0</v>
      </c>
      <c r="E5604" s="9">
        <v>1.0</v>
      </c>
      <c r="F5604" s="14"/>
      <c r="G5604" s="15"/>
      <c r="H5604" s="15"/>
      <c r="I5604" s="14"/>
      <c r="P5604" s="14"/>
    </row>
    <row r="5605" ht="18.75" customHeight="1">
      <c r="A5605" s="7" t="s">
        <v>2104</v>
      </c>
      <c r="B5605" s="12"/>
      <c r="C5605" s="12"/>
      <c r="D5605" s="12"/>
      <c r="E5605" s="12"/>
      <c r="F5605" s="14"/>
      <c r="G5605" s="15"/>
      <c r="H5605" s="15"/>
      <c r="I5605" s="14"/>
      <c r="P5605" s="14"/>
    </row>
    <row r="5606" ht="18.75" customHeight="1">
      <c r="A5606" s="7" t="s">
        <v>2106</v>
      </c>
      <c r="B5606" s="9">
        <v>125.0</v>
      </c>
      <c r="C5606" s="9">
        <v>124.0</v>
      </c>
      <c r="D5606" s="9">
        <v>40.0</v>
      </c>
      <c r="E5606" s="9">
        <v>2.0</v>
      </c>
      <c r="F5606" s="14"/>
      <c r="G5606" s="15"/>
      <c r="H5606" s="15"/>
      <c r="I5606" s="14"/>
      <c r="P5606" s="14"/>
    </row>
    <row r="5607" ht="18.75" customHeight="1">
      <c r="A5607" s="7" t="s">
        <v>2106</v>
      </c>
      <c r="B5607" s="12"/>
      <c r="C5607" s="12"/>
      <c r="D5607" s="12"/>
      <c r="E5607" s="12"/>
      <c r="F5607" s="14"/>
      <c r="G5607" s="15"/>
      <c r="H5607" s="15"/>
      <c r="I5607" s="14"/>
      <c r="P5607" s="14"/>
    </row>
    <row r="5608" ht="18.75" customHeight="1">
      <c r="A5608" s="7" t="s">
        <v>3768</v>
      </c>
      <c r="B5608" s="12"/>
      <c r="C5608" s="12"/>
      <c r="D5608" s="12"/>
      <c r="E5608" s="12"/>
      <c r="F5608" s="14"/>
      <c r="G5608" s="15"/>
      <c r="H5608" s="15"/>
      <c r="I5608" s="14"/>
      <c r="P5608" s="14"/>
    </row>
    <row r="5609" ht="18.75" customHeight="1">
      <c r="A5609" s="7" t="s">
        <v>3769</v>
      </c>
      <c r="B5609" s="12"/>
      <c r="C5609" s="12"/>
      <c r="D5609" s="12"/>
      <c r="E5609" s="12"/>
      <c r="F5609" s="14"/>
      <c r="G5609" s="15"/>
      <c r="H5609" s="15"/>
      <c r="I5609" s="14"/>
      <c r="P5609" s="14"/>
    </row>
    <row r="5610" ht="18.75" customHeight="1">
      <c r="A5610" s="7" t="s">
        <v>3770</v>
      </c>
      <c r="B5610" s="12"/>
      <c r="C5610" s="12"/>
      <c r="D5610" s="12"/>
      <c r="E5610" s="12"/>
      <c r="F5610" s="14"/>
      <c r="G5610" s="15"/>
      <c r="H5610" s="15"/>
      <c r="I5610" s="14"/>
      <c r="P5610" s="14"/>
    </row>
    <row r="5611" ht="18.75" customHeight="1">
      <c r="A5611" s="7" t="s">
        <v>3771</v>
      </c>
      <c r="B5611" s="12"/>
      <c r="C5611" s="12"/>
      <c r="D5611" s="12"/>
      <c r="E5611" s="12"/>
      <c r="F5611" s="14"/>
      <c r="G5611" s="15"/>
      <c r="H5611" s="15"/>
      <c r="I5611" s="14"/>
      <c r="P5611" s="14"/>
    </row>
    <row r="5612" ht="18.75" customHeight="1">
      <c r="A5612" s="7" t="s">
        <v>3772</v>
      </c>
      <c r="B5612" s="12"/>
      <c r="C5612" s="12"/>
      <c r="D5612" s="12"/>
      <c r="E5612" s="12"/>
      <c r="F5612" s="14"/>
      <c r="G5612" s="15"/>
      <c r="H5612" s="15"/>
      <c r="I5612" s="14"/>
      <c r="P5612" s="14"/>
    </row>
    <row r="5613" ht="18.75" customHeight="1">
      <c r="A5613" s="7" t="s">
        <v>3773</v>
      </c>
      <c r="B5613" s="12"/>
      <c r="C5613" s="12"/>
      <c r="D5613" s="12"/>
      <c r="E5613" s="12"/>
      <c r="F5613" s="14"/>
      <c r="G5613" s="15"/>
      <c r="H5613" s="15"/>
      <c r="I5613" s="14"/>
      <c r="P5613" s="14"/>
    </row>
    <row r="5614" ht="18.75" customHeight="1">
      <c r="A5614" s="7" t="s">
        <v>3774</v>
      </c>
      <c r="B5614" s="12"/>
      <c r="C5614" s="12"/>
      <c r="D5614" s="12"/>
      <c r="E5614" s="12"/>
      <c r="F5614" s="14"/>
      <c r="G5614" s="15"/>
      <c r="H5614" s="15"/>
      <c r="I5614" s="14"/>
      <c r="P5614" s="14"/>
    </row>
    <row r="5615" ht="18.75" customHeight="1">
      <c r="A5615" s="7" t="s">
        <v>2212</v>
      </c>
      <c r="B5615" s="12"/>
      <c r="C5615" s="12"/>
      <c r="D5615" s="12"/>
      <c r="E5615" s="12"/>
      <c r="F5615" s="14"/>
      <c r="G5615" s="15"/>
      <c r="H5615" s="15"/>
      <c r="I5615" s="14"/>
      <c r="P5615" s="14"/>
    </row>
    <row r="5616" ht="18.75" customHeight="1">
      <c r="A5616" s="7" t="s">
        <v>3775</v>
      </c>
      <c r="B5616" s="12"/>
      <c r="C5616" s="12"/>
      <c r="D5616" s="12"/>
      <c r="E5616" s="12"/>
      <c r="F5616" s="14"/>
      <c r="G5616" s="15"/>
      <c r="H5616" s="15"/>
      <c r="I5616" s="14"/>
      <c r="P5616" s="14"/>
    </row>
    <row r="5617" ht="18.75" customHeight="1">
      <c r="A5617" s="7" t="s">
        <v>3776</v>
      </c>
      <c r="B5617" s="12"/>
      <c r="C5617" s="12"/>
      <c r="D5617" s="12"/>
      <c r="E5617" s="12"/>
      <c r="F5617" s="14"/>
      <c r="G5617" s="15"/>
      <c r="H5617" s="15"/>
      <c r="I5617" s="14"/>
      <c r="P5617" s="14"/>
    </row>
    <row r="5618" ht="18.75" customHeight="1">
      <c r="A5618" s="7" t="s">
        <v>2214</v>
      </c>
      <c r="B5618" s="12"/>
      <c r="C5618" s="12"/>
      <c r="D5618" s="12"/>
      <c r="E5618" s="12"/>
      <c r="F5618" s="14"/>
      <c r="G5618" s="15"/>
      <c r="H5618" s="15"/>
      <c r="I5618" s="14"/>
      <c r="P5618" s="14"/>
    </row>
    <row r="5619" ht="18.75" customHeight="1">
      <c r="A5619" s="7" t="s">
        <v>1005</v>
      </c>
      <c r="B5619" s="12"/>
      <c r="C5619" s="12"/>
      <c r="D5619" s="12"/>
      <c r="E5619" s="12"/>
      <c r="F5619" s="14"/>
      <c r="G5619" s="15"/>
      <c r="H5619" s="15"/>
      <c r="I5619" s="14"/>
      <c r="P5619" s="14"/>
    </row>
    <row r="5620" ht="18.75" customHeight="1">
      <c r="A5620" s="7" t="s">
        <v>1984</v>
      </c>
      <c r="B5620" s="9">
        <v>277445.0</v>
      </c>
      <c r="C5620" s="9">
        <v>273543.0</v>
      </c>
      <c r="D5620" s="9">
        <v>49242.0</v>
      </c>
      <c r="E5620" s="9">
        <v>1658.0</v>
      </c>
      <c r="F5620" s="14"/>
      <c r="G5620" s="15"/>
      <c r="H5620" s="15"/>
      <c r="I5620" s="14"/>
      <c r="P5620" s="14"/>
    </row>
    <row r="5621" ht="18.75" customHeight="1">
      <c r="A5621" s="7" t="s">
        <v>1984</v>
      </c>
      <c r="B5621" s="12"/>
      <c r="C5621" s="12"/>
      <c r="D5621" s="12"/>
      <c r="E5621" s="12"/>
      <c r="F5621" s="14"/>
      <c r="G5621" s="15"/>
      <c r="H5621" s="15"/>
      <c r="I5621" s="14"/>
      <c r="P5621" s="14"/>
    </row>
    <row r="5622" ht="18.75" customHeight="1">
      <c r="A5622" s="7" t="s">
        <v>1984</v>
      </c>
      <c r="B5622" s="12"/>
      <c r="C5622" s="12"/>
      <c r="D5622" s="12"/>
      <c r="E5622" s="12"/>
      <c r="F5622" s="14"/>
      <c r="G5622" s="15"/>
      <c r="H5622" s="15"/>
      <c r="I5622" s="14"/>
      <c r="P5622" s="14"/>
    </row>
    <row r="5623" ht="18.75" customHeight="1">
      <c r="A5623" s="7" t="s">
        <v>2174</v>
      </c>
      <c r="B5623" s="12"/>
      <c r="C5623" s="12"/>
      <c r="D5623" s="12"/>
      <c r="E5623" s="12"/>
      <c r="F5623" s="14"/>
      <c r="G5623" s="15"/>
      <c r="H5623" s="15"/>
      <c r="I5623" s="14"/>
      <c r="P5623" s="14"/>
    </row>
    <row r="5624" ht="18.75" customHeight="1">
      <c r="A5624" s="7" t="s">
        <v>2064</v>
      </c>
      <c r="B5624" s="9">
        <v>45.0</v>
      </c>
      <c r="C5624" s="9">
        <v>44.0</v>
      </c>
      <c r="D5624" s="9">
        <v>11.0</v>
      </c>
      <c r="E5624" s="9">
        <v>1.0</v>
      </c>
      <c r="F5624" s="14"/>
      <c r="G5624" s="15"/>
      <c r="H5624" s="15"/>
      <c r="I5624" s="14"/>
      <c r="P5624" s="14"/>
    </row>
    <row r="5625" ht="18.75" customHeight="1">
      <c r="A5625" s="7" t="s">
        <v>2086</v>
      </c>
      <c r="B5625" s="12"/>
      <c r="C5625" s="12"/>
      <c r="D5625" s="12"/>
      <c r="E5625" s="12"/>
      <c r="F5625" s="14"/>
      <c r="G5625" s="15"/>
      <c r="H5625" s="15"/>
      <c r="I5625" s="14"/>
      <c r="P5625" s="14"/>
    </row>
    <row r="5626" ht="18.75" customHeight="1">
      <c r="A5626" s="7" t="s">
        <v>2086</v>
      </c>
      <c r="B5626" s="12"/>
      <c r="C5626" s="12"/>
      <c r="D5626" s="12"/>
      <c r="E5626" s="12"/>
      <c r="F5626" s="14"/>
      <c r="G5626" s="15"/>
      <c r="H5626" s="15"/>
      <c r="I5626" s="14"/>
      <c r="P5626" s="14"/>
    </row>
    <row r="5627" ht="18.75" customHeight="1">
      <c r="A5627" s="7" t="s">
        <v>2100</v>
      </c>
      <c r="B5627" s="9">
        <v>61611.0</v>
      </c>
      <c r="C5627" s="9">
        <v>60245.0</v>
      </c>
      <c r="D5627" s="9">
        <v>6739.0</v>
      </c>
      <c r="E5627" s="9">
        <v>84.0</v>
      </c>
      <c r="F5627" s="14"/>
      <c r="G5627" s="15"/>
      <c r="H5627" s="15"/>
      <c r="I5627" s="14"/>
      <c r="P5627" s="14"/>
    </row>
    <row r="5628" ht="18.75" customHeight="1">
      <c r="A5628" s="7" t="s">
        <v>2100</v>
      </c>
      <c r="B5628" s="9">
        <v>110.0</v>
      </c>
      <c r="C5628" s="9">
        <v>109.0</v>
      </c>
      <c r="D5628" s="9">
        <v>29.0</v>
      </c>
      <c r="E5628" s="9">
        <v>0.0</v>
      </c>
      <c r="F5628" s="14"/>
      <c r="G5628" s="15"/>
      <c r="H5628" s="15"/>
      <c r="I5628" s="14"/>
      <c r="P5628" s="14"/>
    </row>
    <row r="5629" ht="18.75" customHeight="1">
      <c r="A5629" s="7" t="s">
        <v>2100</v>
      </c>
      <c r="B5629" s="12"/>
      <c r="C5629" s="12"/>
      <c r="D5629" s="12"/>
      <c r="E5629" s="12"/>
      <c r="F5629" s="14"/>
      <c r="G5629" s="15"/>
      <c r="H5629" s="15"/>
      <c r="I5629" s="14"/>
      <c r="P5629" s="14"/>
    </row>
    <row r="5630" ht="18.75" customHeight="1">
      <c r="A5630" s="7" t="s">
        <v>2050</v>
      </c>
      <c r="B5630" s="12"/>
      <c r="C5630" s="12"/>
      <c r="D5630" s="12"/>
      <c r="E5630" s="12"/>
      <c r="F5630" s="14"/>
      <c r="G5630" s="15"/>
      <c r="H5630" s="15"/>
      <c r="I5630" s="14"/>
      <c r="P5630" s="14"/>
    </row>
    <row r="5631" ht="18.75" customHeight="1">
      <c r="A5631" s="7" t="s">
        <v>2080</v>
      </c>
      <c r="B5631" s="9">
        <v>152030.0</v>
      </c>
      <c r="C5631" s="9">
        <v>151427.0</v>
      </c>
      <c r="D5631" s="9">
        <v>21105.0</v>
      </c>
      <c r="E5631" s="9">
        <v>984.0</v>
      </c>
      <c r="F5631" s="14"/>
      <c r="G5631" s="15"/>
      <c r="H5631" s="15"/>
      <c r="I5631" s="14"/>
      <c r="P5631" s="14"/>
    </row>
    <row r="5632" ht="18.75" customHeight="1">
      <c r="A5632" s="7" t="s">
        <v>2050</v>
      </c>
      <c r="B5632" s="9">
        <v>40832.0</v>
      </c>
      <c r="C5632" s="9">
        <v>40676.0</v>
      </c>
      <c r="D5632" s="9">
        <v>8450.0</v>
      </c>
      <c r="E5632" s="9">
        <v>570.0</v>
      </c>
      <c r="F5632" s="14"/>
      <c r="G5632" s="15"/>
      <c r="H5632" s="15"/>
      <c r="I5632" s="14"/>
      <c r="P5632" s="14"/>
    </row>
    <row r="5633" ht="18.75" customHeight="1">
      <c r="A5633" s="7" t="s">
        <v>2086</v>
      </c>
      <c r="B5633" s="9">
        <v>183.0</v>
      </c>
      <c r="C5633" s="9">
        <v>182.0</v>
      </c>
      <c r="D5633" s="9">
        <v>69.0</v>
      </c>
      <c r="E5633" s="9">
        <v>24.0</v>
      </c>
      <c r="F5633" s="14"/>
      <c r="G5633" s="15"/>
      <c r="H5633" s="15"/>
      <c r="I5633" s="14"/>
      <c r="P5633" s="14"/>
    </row>
    <row r="5634" ht="18.75" customHeight="1">
      <c r="A5634" s="7" t="s">
        <v>2112</v>
      </c>
      <c r="B5634" s="9">
        <v>201515.0</v>
      </c>
      <c r="C5634" s="9">
        <v>200850.0</v>
      </c>
      <c r="D5634" s="9">
        <v>21865.0</v>
      </c>
      <c r="E5634" s="9">
        <v>325.0</v>
      </c>
      <c r="F5634" s="14"/>
      <c r="G5634" s="15"/>
      <c r="H5634" s="15"/>
      <c r="I5634" s="14"/>
      <c r="P5634" s="14"/>
    </row>
    <row r="5635" ht="18.75" customHeight="1">
      <c r="A5635" s="7" t="s">
        <v>2112</v>
      </c>
      <c r="B5635" s="9">
        <v>25560.0</v>
      </c>
      <c r="C5635" s="9">
        <v>25461.0</v>
      </c>
      <c r="D5635" s="9">
        <v>4369.0</v>
      </c>
      <c r="E5635" s="9">
        <v>136.0</v>
      </c>
      <c r="F5635" s="14"/>
      <c r="G5635" s="15"/>
      <c r="H5635" s="15"/>
      <c r="I5635" s="14"/>
      <c r="P5635" s="14"/>
    </row>
    <row r="5636" ht="18.75" customHeight="1">
      <c r="A5636" s="7" t="s">
        <v>2090</v>
      </c>
      <c r="B5636" s="12"/>
      <c r="C5636" s="12"/>
      <c r="D5636" s="12"/>
      <c r="E5636" s="12"/>
      <c r="F5636" s="14"/>
      <c r="G5636" s="15"/>
      <c r="H5636" s="15"/>
      <c r="I5636" s="14"/>
      <c r="P5636" s="14"/>
    </row>
    <row r="5637" ht="18.75" customHeight="1">
      <c r="A5637" s="7" t="s">
        <v>2084</v>
      </c>
      <c r="B5637" s="9">
        <v>177189.0</v>
      </c>
      <c r="C5637" s="9">
        <v>176563.0</v>
      </c>
      <c r="D5637" s="9">
        <v>21499.0</v>
      </c>
      <c r="E5637" s="9">
        <v>1353.0</v>
      </c>
      <c r="F5637" s="14"/>
      <c r="G5637" s="15"/>
      <c r="H5637" s="15"/>
      <c r="I5637" s="14"/>
      <c r="P5637" s="14"/>
    </row>
    <row r="5638" ht="18.75" customHeight="1">
      <c r="A5638" s="7" t="s">
        <v>2050</v>
      </c>
      <c r="B5638" s="12"/>
      <c r="C5638" s="12"/>
      <c r="D5638" s="12"/>
      <c r="E5638" s="12"/>
      <c r="F5638" s="14"/>
      <c r="G5638" s="15"/>
      <c r="H5638" s="15"/>
      <c r="I5638" s="14"/>
      <c r="P5638" s="14"/>
    </row>
    <row r="5639" ht="18.75" customHeight="1">
      <c r="A5639" s="7" t="s">
        <v>2050</v>
      </c>
      <c r="B5639" s="12"/>
      <c r="C5639" s="12"/>
      <c r="D5639" s="12"/>
      <c r="E5639" s="12"/>
      <c r="F5639" s="14"/>
      <c r="G5639" s="15"/>
      <c r="H5639" s="15"/>
      <c r="I5639" s="14"/>
      <c r="P5639" s="14"/>
    </row>
    <row r="5640" ht="18.75" customHeight="1">
      <c r="A5640" s="7" t="s">
        <v>2110</v>
      </c>
      <c r="B5640" s="9">
        <v>23677.0</v>
      </c>
      <c r="C5640" s="9">
        <v>23640.0</v>
      </c>
      <c r="D5640" s="9">
        <v>2278.0</v>
      </c>
      <c r="E5640" s="9">
        <v>17.0</v>
      </c>
      <c r="F5640" s="14"/>
      <c r="G5640" s="15"/>
      <c r="H5640" s="15"/>
      <c r="I5640" s="14"/>
      <c r="P5640" s="14"/>
    </row>
    <row r="5641" ht="18.75" customHeight="1">
      <c r="A5641" s="7" t="s">
        <v>2110</v>
      </c>
      <c r="B5641" s="12"/>
      <c r="C5641" s="12"/>
      <c r="D5641" s="12"/>
      <c r="E5641" s="12"/>
      <c r="F5641" s="14"/>
      <c r="G5641" s="15"/>
      <c r="H5641" s="15"/>
      <c r="I5641" s="14"/>
      <c r="P5641" s="14"/>
    </row>
    <row r="5642" ht="18.75" customHeight="1">
      <c r="A5642" s="7" t="s">
        <v>2110</v>
      </c>
      <c r="B5642" s="12"/>
      <c r="C5642" s="12"/>
      <c r="D5642" s="12"/>
      <c r="E5642" s="12"/>
      <c r="F5642" s="14"/>
      <c r="G5642" s="15"/>
      <c r="H5642" s="15"/>
      <c r="I5642" s="14"/>
      <c r="P5642" s="14"/>
    </row>
    <row r="5643" ht="18.75" customHeight="1">
      <c r="A5643" s="7" t="s">
        <v>2098</v>
      </c>
      <c r="B5643" s="9">
        <v>8712.0</v>
      </c>
      <c r="C5643" s="9">
        <v>8686.0</v>
      </c>
      <c r="D5643" s="9">
        <v>1279.0</v>
      </c>
      <c r="E5643" s="9">
        <v>12.0</v>
      </c>
      <c r="F5643" s="14"/>
      <c r="G5643" s="15"/>
      <c r="H5643" s="15"/>
      <c r="I5643" s="14"/>
      <c r="P5643" s="14"/>
    </row>
    <row r="5644" ht="18.75" customHeight="1">
      <c r="A5644" s="7" t="s">
        <v>2218</v>
      </c>
      <c r="B5644" s="12"/>
      <c r="C5644" s="12"/>
      <c r="D5644" s="12"/>
      <c r="E5644" s="12"/>
      <c r="F5644" s="14"/>
      <c r="G5644" s="15"/>
      <c r="H5644" s="15"/>
      <c r="I5644" s="14"/>
      <c r="P5644" s="14"/>
    </row>
    <row r="5645" ht="18.75" customHeight="1">
      <c r="A5645" s="7" t="s">
        <v>2220</v>
      </c>
      <c r="B5645" s="12"/>
      <c r="C5645" s="12"/>
      <c r="D5645" s="12"/>
      <c r="E5645" s="12"/>
      <c r="F5645" s="14"/>
      <c r="G5645" s="15"/>
      <c r="H5645" s="15"/>
      <c r="I5645" s="14"/>
      <c r="P5645" s="14"/>
    </row>
    <row r="5646" ht="18.75" customHeight="1">
      <c r="A5646" s="7" t="s">
        <v>2222</v>
      </c>
      <c r="B5646" s="12"/>
      <c r="C5646" s="12"/>
      <c r="D5646" s="12"/>
      <c r="E5646" s="12"/>
      <c r="F5646" s="14"/>
      <c r="G5646" s="15"/>
      <c r="H5646" s="15"/>
      <c r="I5646" s="14"/>
      <c r="P5646" s="14"/>
    </row>
    <row r="5647" ht="18.75" customHeight="1">
      <c r="A5647" s="7" t="s">
        <v>2224</v>
      </c>
      <c r="B5647" s="12"/>
      <c r="C5647" s="12"/>
      <c r="D5647" s="12"/>
      <c r="E5647" s="12"/>
      <c r="F5647" s="14"/>
      <c r="G5647" s="15"/>
      <c r="H5647" s="15"/>
      <c r="I5647" s="14"/>
      <c r="P5647" s="14"/>
    </row>
    <row r="5648" ht="18.75" customHeight="1">
      <c r="A5648" s="7" t="s">
        <v>2226</v>
      </c>
      <c r="B5648" s="12"/>
      <c r="C5648" s="12"/>
      <c r="D5648" s="12"/>
      <c r="E5648" s="12"/>
      <c r="F5648" s="14"/>
      <c r="G5648" s="15"/>
      <c r="H5648" s="15"/>
      <c r="I5648" s="14"/>
      <c r="P5648" s="14"/>
    </row>
    <row r="5649" ht="18.75" customHeight="1">
      <c r="A5649" s="7" t="s">
        <v>2050</v>
      </c>
      <c r="B5649" s="12"/>
      <c r="C5649" s="12"/>
      <c r="D5649" s="12"/>
      <c r="E5649" s="12"/>
      <c r="F5649" s="14"/>
      <c r="G5649" s="15"/>
      <c r="H5649" s="15"/>
      <c r="I5649" s="14"/>
      <c r="P5649" s="14"/>
    </row>
    <row r="5650" ht="18.75" customHeight="1">
      <c r="A5650" s="7" t="s">
        <v>2114</v>
      </c>
      <c r="B5650" s="9">
        <v>23357.0</v>
      </c>
      <c r="C5650" s="9">
        <v>23315.0</v>
      </c>
      <c r="D5650" s="9">
        <v>2561.0</v>
      </c>
      <c r="E5650" s="9">
        <v>31.0</v>
      </c>
      <c r="F5650" s="14"/>
      <c r="G5650" s="15"/>
      <c r="H5650" s="15"/>
      <c r="I5650" s="14"/>
      <c r="P5650" s="14"/>
    </row>
    <row r="5651" ht="18.75" customHeight="1">
      <c r="A5651" s="14"/>
      <c r="B5651" s="12"/>
      <c r="C5651" s="12"/>
      <c r="D5651" s="12"/>
      <c r="E5651" s="12"/>
      <c r="F5651" s="14"/>
      <c r="G5651" s="15"/>
      <c r="H5651" s="15"/>
      <c r="I5651" s="14"/>
      <c r="P5651" s="14"/>
    </row>
    <row r="5652" ht="18.75" customHeight="1">
      <c r="A5652" s="14"/>
      <c r="B5652" s="12"/>
      <c r="C5652" s="12"/>
      <c r="D5652" s="12"/>
      <c r="E5652" s="12"/>
      <c r="F5652" s="14"/>
      <c r="G5652" s="15"/>
      <c r="H5652" s="15"/>
      <c r="I5652" s="14"/>
      <c r="P5652" s="14"/>
    </row>
    <row r="5653" ht="18.75" customHeight="1">
      <c r="A5653" s="14"/>
      <c r="B5653" s="12"/>
      <c r="C5653" s="12"/>
      <c r="D5653" s="12"/>
      <c r="E5653" s="12"/>
      <c r="F5653" s="14"/>
      <c r="G5653" s="15"/>
      <c r="H5653" s="15"/>
      <c r="I5653" s="14"/>
      <c r="P5653" s="14"/>
    </row>
    <row r="5654" ht="18.75" customHeight="1">
      <c r="A5654" s="14"/>
      <c r="B5654" s="12"/>
      <c r="C5654" s="12"/>
      <c r="D5654" s="12"/>
      <c r="E5654" s="12"/>
      <c r="F5654" s="14"/>
      <c r="G5654" s="15"/>
      <c r="H5654" s="15"/>
      <c r="I5654" s="14"/>
      <c r="P5654" s="14"/>
    </row>
    <row r="5655" ht="18.75" customHeight="1">
      <c r="A5655" s="14"/>
      <c r="B5655" s="12"/>
      <c r="C5655" s="12"/>
      <c r="D5655" s="12"/>
      <c r="E5655" s="12"/>
      <c r="F5655" s="14"/>
      <c r="G5655" s="15"/>
      <c r="H5655" s="15"/>
      <c r="I5655" s="14"/>
      <c r="P5655" s="14"/>
    </row>
    <row r="5656" ht="18.75" customHeight="1">
      <c r="A5656" s="14"/>
      <c r="B5656" s="12"/>
      <c r="C5656" s="12"/>
      <c r="D5656" s="12"/>
      <c r="E5656" s="12"/>
      <c r="F5656" s="14"/>
      <c r="G5656" s="15"/>
      <c r="H5656" s="15"/>
      <c r="I5656" s="14"/>
      <c r="P5656" s="14"/>
    </row>
    <row r="5657" ht="18.75" customHeight="1">
      <c r="A5657" s="14"/>
      <c r="B5657" s="12"/>
      <c r="C5657" s="12"/>
      <c r="D5657" s="12"/>
      <c r="E5657" s="12"/>
      <c r="F5657" s="14"/>
      <c r="G5657" s="15"/>
      <c r="H5657" s="15"/>
      <c r="I5657" s="14"/>
      <c r="P5657" s="14"/>
    </row>
    <row r="5658" ht="18.75" customHeight="1">
      <c r="A5658" s="14"/>
      <c r="B5658" s="12"/>
      <c r="C5658" s="12"/>
      <c r="D5658" s="12"/>
      <c r="E5658" s="12"/>
      <c r="F5658" s="14"/>
      <c r="G5658" s="15"/>
      <c r="H5658" s="15"/>
      <c r="I5658" s="14"/>
      <c r="P5658" s="14"/>
    </row>
    <row r="5659" ht="18.75" customHeight="1">
      <c r="A5659" s="14"/>
      <c r="B5659" s="12"/>
      <c r="C5659" s="12"/>
      <c r="D5659" s="12"/>
      <c r="E5659" s="12"/>
      <c r="F5659" s="14"/>
      <c r="G5659" s="15"/>
      <c r="H5659" s="15"/>
      <c r="I5659" s="14"/>
      <c r="P5659" s="14"/>
    </row>
    <row r="5660" ht="18.75" customHeight="1">
      <c r="A5660" s="14"/>
      <c r="B5660" s="12"/>
      <c r="C5660" s="12"/>
      <c r="D5660" s="12"/>
      <c r="E5660" s="12"/>
      <c r="F5660" s="14"/>
      <c r="G5660" s="15"/>
      <c r="H5660" s="15"/>
      <c r="I5660" s="14"/>
      <c r="P5660" s="14"/>
    </row>
    <row r="5661" ht="18.75" customHeight="1">
      <c r="A5661" s="14"/>
      <c r="B5661" s="12"/>
      <c r="C5661" s="12"/>
      <c r="D5661" s="12"/>
      <c r="E5661" s="12"/>
      <c r="F5661" s="14"/>
      <c r="G5661" s="15"/>
      <c r="H5661" s="15"/>
      <c r="I5661" s="14"/>
      <c r="P5661" s="14"/>
    </row>
    <row r="5662" ht="18.75" customHeight="1">
      <c r="A5662" s="14"/>
      <c r="B5662" s="12"/>
      <c r="C5662" s="12"/>
      <c r="D5662" s="12"/>
      <c r="E5662" s="12"/>
      <c r="F5662" s="14"/>
      <c r="G5662" s="15"/>
      <c r="H5662" s="15"/>
      <c r="I5662" s="14"/>
      <c r="P5662" s="14"/>
    </row>
    <row r="5663" ht="18.75" customHeight="1">
      <c r="A5663" s="14"/>
      <c r="B5663" s="12"/>
      <c r="C5663" s="12"/>
      <c r="D5663" s="12"/>
      <c r="E5663" s="12"/>
      <c r="F5663" s="14"/>
      <c r="G5663" s="15"/>
      <c r="H5663" s="15"/>
      <c r="I5663" s="14"/>
      <c r="P5663" s="14"/>
    </row>
    <row r="5664" ht="18.75" customHeight="1">
      <c r="A5664" s="14"/>
      <c r="B5664" s="12"/>
      <c r="C5664" s="12"/>
      <c r="D5664" s="12"/>
      <c r="E5664" s="12"/>
      <c r="F5664" s="14"/>
      <c r="G5664" s="15"/>
      <c r="H5664" s="15"/>
      <c r="I5664" s="14"/>
      <c r="P5664" s="14"/>
    </row>
    <row r="5665" ht="18.75" customHeight="1">
      <c r="A5665" s="14"/>
      <c r="B5665" s="12"/>
      <c r="C5665" s="12"/>
      <c r="D5665" s="12"/>
      <c r="E5665" s="12"/>
      <c r="F5665" s="14"/>
      <c r="G5665" s="15"/>
      <c r="H5665" s="15"/>
      <c r="I5665" s="14"/>
      <c r="P5665" s="14"/>
    </row>
    <row r="5666" ht="18.75" customHeight="1">
      <c r="A5666" s="14"/>
      <c r="B5666" s="12"/>
      <c r="C5666" s="12"/>
      <c r="D5666" s="12"/>
      <c r="E5666" s="12"/>
      <c r="F5666" s="14"/>
      <c r="G5666" s="15"/>
      <c r="H5666" s="15"/>
      <c r="I5666" s="14"/>
      <c r="P5666" s="14"/>
    </row>
    <row r="5667" ht="18.75" customHeight="1">
      <c r="A5667" s="14"/>
      <c r="B5667" s="12"/>
      <c r="C5667" s="12"/>
      <c r="D5667" s="12"/>
      <c r="E5667" s="12"/>
      <c r="F5667" s="14"/>
      <c r="G5667" s="15"/>
      <c r="H5667" s="15"/>
      <c r="I5667" s="14"/>
      <c r="P5667" s="14"/>
    </row>
    <row r="5668" ht="18.75" customHeight="1">
      <c r="A5668" s="14"/>
      <c r="B5668" s="12"/>
      <c r="C5668" s="12"/>
      <c r="D5668" s="12"/>
      <c r="E5668" s="12"/>
      <c r="F5668" s="14"/>
      <c r="G5668" s="15"/>
      <c r="H5668" s="15"/>
      <c r="I5668" s="14"/>
      <c r="P5668" s="14"/>
    </row>
    <row r="5669" ht="18.75" customHeight="1">
      <c r="A5669" s="14"/>
      <c r="B5669" s="12"/>
      <c r="C5669" s="12"/>
      <c r="D5669" s="12"/>
      <c r="E5669" s="12"/>
      <c r="F5669" s="14"/>
      <c r="G5669" s="15"/>
      <c r="H5669" s="15"/>
      <c r="I5669" s="14"/>
      <c r="P5669" s="14"/>
    </row>
    <row r="5670" ht="18.75" customHeight="1">
      <c r="A5670" s="14"/>
      <c r="B5670" s="12"/>
      <c r="C5670" s="12"/>
      <c r="D5670" s="12"/>
      <c r="E5670" s="12"/>
      <c r="F5670" s="14"/>
      <c r="G5670" s="15"/>
      <c r="H5670" s="15"/>
      <c r="I5670" s="14"/>
      <c r="P5670" s="14"/>
    </row>
    <row r="5671" ht="18.75" customHeight="1">
      <c r="A5671" s="14"/>
      <c r="B5671" s="12"/>
      <c r="C5671" s="12"/>
      <c r="D5671" s="12"/>
      <c r="E5671" s="12"/>
      <c r="F5671" s="14"/>
      <c r="G5671" s="15"/>
      <c r="H5671" s="15"/>
      <c r="I5671" s="14"/>
      <c r="P5671" s="14"/>
    </row>
    <row r="5672" ht="18.75" customHeight="1">
      <c r="A5672" s="14"/>
      <c r="B5672" s="12"/>
      <c r="C5672" s="12"/>
      <c r="D5672" s="12"/>
      <c r="E5672" s="12"/>
      <c r="F5672" s="14"/>
      <c r="G5672" s="15"/>
      <c r="H5672" s="15"/>
      <c r="I5672" s="14"/>
      <c r="P5672" s="14"/>
    </row>
    <row r="5673" ht="18.75" customHeight="1">
      <c r="A5673" s="14"/>
      <c r="B5673" s="12"/>
      <c r="C5673" s="12"/>
      <c r="D5673" s="12"/>
      <c r="E5673" s="12"/>
      <c r="F5673" s="14"/>
      <c r="G5673" s="15"/>
      <c r="H5673" s="15"/>
      <c r="I5673" s="14"/>
      <c r="P5673" s="14"/>
    </row>
    <row r="5674" ht="18.75" customHeight="1">
      <c r="A5674" s="14"/>
      <c r="B5674" s="12"/>
      <c r="C5674" s="12"/>
      <c r="D5674" s="12"/>
      <c r="E5674" s="12"/>
      <c r="F5674" s="14"/>
      <c r="G5674" s="15"/>
      <c r="H5674" s="15"/>
      <c r="I5674" s="14"/>
      <c r="P5674" s="14"/>
    </row>
    <row r="5675" ht="18.75" customHeight="1">
      <c r="A5675" s="14"/>
      <c r="B5675" s="12"/>
      <c r="C5675" s="12"/>
      <c r="D5675" s="12"/>
      <c r="E5675" s="12"/>
      <c r="F5675" s="14"/>
      <c r="G5675" s="15"/>
      <c r="H5675" s="15"/>
      <c r="I5675" s="14"/>
      <c r="P5675" s="14"/>
    </row>
    <row r="5676" ht="18.75" customHeight="1">
      <c r="A5676" s="14"/>
      <c r="B5676" s="12"/>
      <c r="C5676" s="12"/>
      <c r="D5676" s="12"/>
      <c r="E5676" s="12"/>
      <c r="F5676" s="14"/>
      <c r="G5676" s="15"/>
      <c r="H5676" s="15"/>
      <c r="I5676" s="14"/>
      <c r="P5676" s="14"/>
    </row>
    <row r="5677" ht="18.75" customHeight="1">
      <c r="A5677" s="14"/>
      <c r="B5677" s="12"/>
      <c r="C5677" s="12"/>
      <c r="D5677" s="12"/>
      <c r="E5677" s="12"/>
      <c r="F5677" s="14"/>
      <c r="G5677" s="15"/>
      <c r="H5677" s="15"/>
      <c r="I5677" s="14"/>
      <c r="P5677" s="14"/>
    </row>
    <row r="5678" ht="18.75" customHeight="1">
      <c r="A5678" s="14"/>
      <c r="B5678" s="12"/>
      <c r="C5678" s="12"/>
      <c r="D5678" s="12"/>
      <c r="E5678" s="12"/>
      <c r="F5678" s="14"/>
      <c r="G5678" s="15"/>
      <c r="H5678" s="15"/>
      <c r="I5678" s="14"/>
      <c r="P5678" s="14"/>
    </row>
    <row r="5679" ht="18.75" customHeight="1">
      <c r="A5679" s="14"/>
      <c r="B5679" s="12"/>
      <c r="C5679" s="12"/>
      <c r="D5679" s="12"/>
      <c r="E5679" s="12"/>
      <c r="F5679" s="14"/>
      <c r="G5679" s="15"/>
      <c r="H5679" s="15"/>
      <c r="I5679" s="14"/>
      <c r="P5679" s="14"/>
    </row>
    <row r="5680" ht="18.75" customHeight="1">
      <c r="A5680" s="14"/>
      <c r="B5680" s="12"/>
      <c r="C5680" s="12"/>
      <c r="D5680" s="12"/>
      <c r="E5680" s="12"/>
      <c r="F5680" s="14"/>
      <c r="G5680" s="15"/>
      <c r="H5680" s="15"/>
      <c r="I5680" s="14"/>
      <c r="P5680" s="14"/>
    </row>
    <row r="5681" ht="18.75" customHeight="1">
      <c r="A5681" s="14"/>
      <c r="B5681" s="12"/>
      <c r="C5681" s="12"/>
      <c r="D5681" s="12"/>
      <c r="E5681" s="12"/>
      <c r="F5681" s="14"/>
      <c r="G5681" s="15"/>
      <c r="H5681" s="15"/>
      <c r="I5681" s="14"/>
      <c r="P5681" s="14"/>
    </row>
    <row r="5682" ht="18.75" customHeight="1">
      <c r="A5682" s="14"/>
      <c r="B5682" s="12"/>
      <c r="C5682" s="12"/>
      <c r="D5682" s="12"/>
      <c r="E5682" s="12"/>
      <c r="F5682" s="14"/>
      <c r="G5682" s="15"/>
      <c r="H5682" s="15"/>
      <c r="I5682" s="14"/>
      <c r="P5682" s="14"/>
    </row>
    <row r="5683" ht="18.75" customHeight="1">
      <c r="A5683" s="14"/>
      <c r="B5683" s="12"/>
      <c r="C5683" s="12"/>
      <c r="D5683" s="12"/>
      <c r="E5683" s="12"/>
      <c r="F5683" s="14"/>
      <c r="G5683" s="15"/>
      <c r="H5683" s="15"/>
      <c r="I5683" s="14"/>
      <c r="P5683" s="14"/>
    </row>
    <row r="5684" ht="18.75" customHeight="1">
      <c r="A5684" s="14"/>
      <c r="B5684" s="12"/>
      <c r="C5684" s="12"/>
      <c r="D5684" s="12"/>
      <c r="E5684" s="12"/>
      <c r="F5684" s="14"/>
      <c r="G5684" s="15"/>
      <c r="H5684" s="15"/>
      <c r="I5684" s="14"/>
      <c r="P5684" s="14"/>
    </row>
    <row r="5685" ht="18.75" customHeight="1">
      <c r="A5685" s="14"/>
      <c r="B5685" s="12"/>
      <c r="C5685" s="12"/>
      <c r="D5685" s="12"/>
      <c r="E5685" s="12"/>
      <c r="F5685" s="14"/>
      <c r="G5685" s="15"/>
      <c r="H5685" s="15"/>
      <c r="I5685" s="14"/>
      <c r="P5685" s="14"/>
    </row>
    <row r="5686" ht="18.75" customHeight="1">
      <c r="A5686" s="14"/>
      <c r="B5686" s="12"/>
      <c r="C5686" s="12"/>
      <c r="D5686" s="12"/>
      <c r="E5686" s="12"/>
      <c r="F5686" s="14"/>
      <c r="G5686" s="15"/>
      <c r="H5686" s="15"/>
      <c r="I5686" s="14"/>
      <c r="P5686" s="14"/>
    </row>
    <row r="5687" ht="18.75" customHeight="1">
      <c r="A5687" s="14"/>
      <c r="B5687" s="12"/>
      <c r="C5687" s="12"/>
      <c r="D5687" s="12"/>
      <c r="E5687" s="12"/>
      <c r="F5687" s="14"/>
      <c r="G5687" s="15"/>
      <c r="H5687" s="15"/>
      <c r="I5687" s="14"/>
      <c r="P5687" s="14"/>
    </row>
    <row r="5688" ht="18.75" customHeight="1">
      <c r="A5688" s="14"/>
      <c r="B5688" s="12"/>
      <c r="C5688" s="12"/>
      <c r="D5688" s="12"/>
      <c r="E5688" s="12"/>
      <c r="F5688" s="14"/>
      <c r="G5688" s="15"/>
      <c r="H5688" s="15"/>
      <c r="I5688" s="14"/>
      <c r="P5688" s="14"/>
    </row>
    <row r="5689" ht="18.75" customHeight="1">
      <c r="A5689" s="14"/>
      <c r="B5689" s="12"/>
      <c r="C5689" s="12"/>
      <c r="D5689" s="12"/>
      <c r="E5689" s="12"/>
      <c r="F5689" s="14"/>
      <c r="G5689" s="15"/>
      <c r="H5689" s="15"/>
      <c r="I5689" s="14"/>
      <c r="P5689" s="14"/>
    </row>
    <row r="5690" ht="18.75" customHeight="1">
      <c r="A5690" s="14"/>
      <c r="B5690" s="12"/>
      <c r="C5690" s="12"/>
      <c r="D5690" s="12"/>
      <c r="E5690" s="12"/>
      <c r="F5690" s="14"/>
      <c r="G5690" s="15"/>
      <c r="H5690" s="15"/>
      <c r="I5690" s="14"/>
      <c r="P5690" s="14"/>
    </row>
    <row r="5691" ht="18.75" customHeight="1">
      <c r="A5691" s="14"/>
      <c r="B5691" s="12"/>
      <c r="C5691" s="12"/>
      <c r="D5691" s="12"/>
      <c r="E5691" s="12"/>
      <c r="F5691" s="14"/>
      <c r="G5691" s="15"/>
      <c r="H5691" s="15"/>
      <c r="I5691" s="14"/>
      <c r="P5691" s="14"/>
    </row>
    <row r="5692" ht="18.75" customHeight="1">
      <c r="A5692" s="14"/>
      <c r="B5692" s="12"/>
      <c r="C5692" s="12"/>
      <c r="D5692" s="12"/>
      <c r="E5692" s="12"/>
      <c r="F5692" s="14"/>
      <c r="G5692" s="15"/>
      <c r="H5692" s="15"/>
      <c r="I5692" s="14"/>
      <c r="P5692" s="14"/>
    </row>
    <row r="5693" ht="18.75" customHeight="1">
      <c r="A5693" s="14"/>
      <c r="B5693" s="12"/>
      <c r="C5693" s="12"/>
      <c r="D5693" s="12"/>
      <c r="E5693" s="12"/>
      <c r="F5693" s="14"/>
      <c r="G5693" s="15"/>
      <c r="H5693" s="15"/>
      <c r="I5693" s="14"/>
      <c r="P5693" s="14"/>
    </row>
    <row r="5694" ht="18.75" customHeight="1">
      <c r="A5694" s="14"/>
      <c r="B5694" s="12"/>
      <c r="C5694" s="12"/>
      <c r="D5694" s="12"/>
      <c r="E5694" s="12"/>
      <c r="F5694" s="14"/>
      <c r="G5694" s="15"/>
      <c r="H5694" s="15"/>
      <c r="I5694" s="14"/>
      <c r="P5694" s="14"/>
    </row>
    <row r="5695" ht="18.75" customHeight="1">
      <c r="A5695" s="14"/>
      <c r="B5695" s="12"/>
      <c r="C5695" s="12"/>
      <c r="D5695" s="12"/>
      <c r="E5695" s="12"/>
      <c r="F5695" s="14"/>
      <c r="G5695" s="15"/>
      <c r="H5695" s="15"/>
      <c r="I5695" s="14"/>
      <c r="P5695" s="14"/>
    </row>
    <row r="5696" ht="18.75" customHeight="1">
      <c r="A5696" s="14"/>
      <c r="B5696" s="12"/>
      <c r="C5696" s="12"/>
      <c r="D5696" s="12"/>
      <c r="E5696" s="12"/>
      <c r="F5696" s="14"/>
      <c r="G5696" s="15"/>
      <c r="H5696" s="15"/>
      <c r="I5696" s="14"/>
      <c r="P5696" s="14"/>
    </row>
    <row r="5697" ht="18.75" customHeight="1">
      <c r="A5697" s="14"/>
      <c r="B5697" s="12"/>
      <c r="C5697" s="12"/>
      <c r="D5697" s="12"/>
      <c r="E5697" s="12"/>
      <c r="F5697" s="14"/>
      <c r="G5697" s="15"/>
      <c r="H5697" s="15"/>
      <c r="I5697" s="14"/>
      <c r="P5697" s="14"/>
    </row>
    <row r="5698" ht="18.75" customHeight="1">
      <c r="A5698" s="14"/>
      <c r="B5698" s="12"/>
      <c r="C5698" s="12"/>
      <c r="D5698" s="12"/>
      <c r="E5698" s="12"/>
      <c r="F5698" s="14"/>
      <c r="G5698" s="15"/>
      <c r="H5698" s="15"/>
      <c r="I5698" s="14"/>
      <c r="P5698" s="14"/>
    </row>
    <row r="5699" ht="18.75" customHeight="1">
      <c r="A5699" s="14"/>
      <c r="B5699" s="12"/>
      <c r="C5699" s="12"/>
      <c r="D5699" s="12"/>
      <c r="E5699" s="12"/>
      <c r="F5699" s="14"/>
      <c r="G5699" s="15"/>
      <c r="H5699" s="15"/>
      <c r="I5699" s="14"/>
      <c r="P5699" s="14"/>
    </row>
    <row r="5700" ht="18.75" customHeight="1">
      <c r="A5700" s="14"/>
      <c r="B5700" s="12"/>
      <c r="C5700" s="12"/>
      <c r="D5700" s="12"/>
      <c r="E5700" s="12"/>
      <c r="F5700" s="14"/>
      <c r="G5700" s="15"/>
      <c r="H5700" s="15"/>
      <c r="I5700" s="14"/>
      <c r="P5700" s="14"/>
    </row>
    <row r="5701" ht="18.75" customHeight="1">
      <c r="A5701" s="14"/>
      <c r="B5701" s="12"/>
      <c r="C5701" s="12"/>
      <c r="D5701" s="12"/>
      <c r="E5701" s="12"/>
      <c r="F5701" s="14"/>
      <c r="G5701" s="15"/>
      <c r="H5701" s="15"/>
      <c r="I5701" s="14"/>
      <c r="P5701" s="14"/>
    </row>
    <row r="5702" ht="18.75" customHeight="1">
      <c r="A5702" s="14"/>
      <c r="B5702" s="12"/>
      <c r="C5702" s="12"/>
      <c r="D5702" s="12"/>
      <c r="E5702" s="12"/>
      <c r="F5702" s="14"/>
      <c r="G5702" s="15"/>
      <c r="H5702" s="15"/>
      <c r="I5702" s="14"/>
      <c r="P5702" s="14"/>
    </row>
    <row r="5703" ht="18.75" customHeight="1">
      <c r="A5703" s="14"/>
      <c r="B5703" s="12"/>
      <c r="C5703" s="12"/>
      <c r="D5703" s="12"/>
      <c r="E5703" s="12"/>
      <c r="F5703" s="14"/>
      <c r="G5703" s="15"/>
      <c r="H5703" s="15"/>
      <c r="I5703" s="14"/>
      <c r="P5703" s="14"/>
    </row>
    <row r="5704" ht="18.75" customHeight="1">
      <c r="A5704" s="14"/>
      <c r="B5704" s="12"/>
      <c r="C5704" s="12"/>
      <c r="D5704" s="12"/>
      <c r="E5704" s="12"/>
      <c r="F5704" s="14"/>
      <c r="G5704" s="15"/>
      <c r="H5704" s="15"/>
      <c r="I5704" s="14"/>
      <c r="P5704" s="14"/>
    </row>
    <row r="5705" ht="18.75" customHeight="1">
      <c r="A5705" s="14"/>
      <c r="B5705" s="12"/>
      <c r="C5705" s="12"/>
      <c r="D5705" s="12"/>
      <c r="E5705" s="12"/>
      <c r="F5705" s="14"/>
      <c r="G5705" s="15"/>
      <c r="H5705" s="15"/>
      <c r="I5705" s="14"/>
      <c r="P5705" s="14"/>
    </row>
    <row r="5706" ht="18.75" customHeight="1">
      <c r="A5706" s="14"/>
      <c r="B5706" s="12"/>
      <c r="C5706" s="12"/>
      <c r="D5706" s="12"/>
      <c r="E5706" s="12"/>
      <c r="F5706" s="14"/>
      <c r="G5706" s="15"/>
      <c r="H5706" s="15"/>
      <c r="I5706" s="14"/>
      <c r="P5706" s="14"/>
    </row>
    <row r="5707" ht="18.75" customHeight="1">
      <c r="A5707" s="14"/>
      <c r="B5707" s="12"/>
      <c r="C5707" s="12"/>
      <c r="D5707" s="12"/>
      <c r="E5707" s="12"/>
      <c r="F5707" s="14"/>
      <c r="G5707" s="15"/>
      <c r="H5707" s="15"/>
      <c r="I5707" s="14"/>
      <c r="P5707" s="14"/>
    </row>
    <row r="5708" ht="18.75" customHeight="1">
      <c r="A5708" s="14"/>
      <c r="B5708" s="12"/>
      <c r="C5708" s="12"/>
      <c r="D5708" s="12"/>
      <c r="E5708" s="12"/>
      <c r="F5708" s="14"/>
      <c r="G5708" s="15"/>
      <c r="H5708" s="15"/>
      <c r="I5708" s="14"/>
      <c r="P5708" s="14"/>
    </row>
    <row r="5709" ht="18.75" customHeight="1">
      <c r="A5709" s="14"/>
      <c r="B5709" s="12"/>
      <c r="C5709" s="12"/>
      <c r="D5709" s="12"/>
      <c r="E5709" s="12"/>
      <c r="F5709" s="14"/>
      <c r="G5709" s="15"/>
      <c r="H5709" s="15"/>
      <c r="I5709" s="14"/>
      <c r="P5709" s="14"/>
    </row>
    <row r="5710" ht="18.75" customHeight="1">
      <c r="A5710" s="14"/>
      <c r="B5710" s="12"/>
      <c r="C5710" s="12"/>
      <c r="D5710" s="12"/>
      <c r="E5710" s="12"/>
      <c r="F5710" s="14"/>
      <c r="G5710" s="15"/>
      <c r="H5710" s="15"/>
      <c r="I5710" s="14"/>
      <c r="P5710" s="14"/>
    </row>
    <row r="5711" ht="18.75" customHeight="1">
      <c r="A5711" s="14"/>
      <c r="B5711" s="12"/>
      <c r="C5711" s="12"/>
      <c r="D5711" s="12"/>
      <c r="E5711" s="12"/>
      <c r="F5711" s="14"/>
      <c r="G5711" s="15"/>
      <c r="H5711" s="15"/>
      <c r="I5711" s="14"/>
      <c r="P5711" s="14"/>
    </row>
    <row r="5712" ht="18.75" customHeight="1">
      <c r="A5712" s="14"/>
      <c r="B5712" s="12"/>
      <c r="C5712" s="12"/>
      <c r="D5712" s="12"/>
      <c r="E5712" s="12"/>
      <c r="F5712" s="14"/>
      <c r="G5712" s="15"/>
      <c r="H5712" s="15"/>
      <c r="I5712" s="14"/>
      <c r="P5712" s="14"/>
    </row>
    <row r="5713" ht="18.75" customHeight="1">
      <c r="A5713" s="14"/>
      <c r="B5713" s="12"/>
      <c r="C5713" s="12"/>
      <c r="D5713" s="12"/>
      <c r="E5713" s="12"/>
      <c r="F5713" s="14"/>
      <c r="G5713" s="15"/>
      <c r="H5713" s="15"/>
      <c r="I5713" s="14"/>
      <c r="P5713" s="14"/>
    </row>
    <row r="5714" ht="18.75" customHeight="1">
      <c r="A5714" s="14"/>
      <c r="B5714" s="12"/>
      <c r="C5714" s="12"/>
      <c r="D5714" s="12"/>
      <c r="E5714" s="12"/>
      <c r="F5714" s="14"/>
      <c r="G5714" s="15"/>
      <c r="H5714" s="15"/>
      <c r="I5714" s="14"/>
      <c r="P5714" s="14"/>
    </row>
    <row r="5715" ht="18.75" customHeight="1">
      <c r="A5715" s="14"/>
      <c r="B5715" s="12"/>
      <c r="C5715" s="12"/>
      <c r="D5715" s="12"/>
      <c r="E5715" s="12"/>
      <c r="F5715" s="14"/>
      <c r="G5715" s="15"/>
      <c r="H5715" s="15"/>
      <c r="I5715" s="14"/>
      <c r="P5715" s="14"/>
    </row>
    <row r="5716" ht="18.75" customHeight="1">
      <c r="A5716" s="14"/>
      <c r="B5716" s="12"/>
      <c r="C5716" s="12"/>
      <c r="D5716" s="12"/>
      <c r="E5716" s="12"/>
      <c r="F5716" s="14"/>
      <c r="G5716" s="15"/>
      <c r="H5716" s="15"/>
      <c r="I5716" s="14"/>
      <c r="P5716" s="14"/>
    </row>
    <row r="5717" ht="18.75" customHeight="1">
      <c r="A5717" s="14"/>
      <c r="B5717" s="12"/>
      <c r="C5717" s="12"/>
      <c r="D5717" s="12"/>
      <c r="E5717" s="12"/>
      <c r="F5717" s="14"/>
      <c r="G5717" s="15"/>
      <c r="H5717" s="15"/>
      <c r="I5717" s="14"/>
      <c r="P5717" s="14"/>
    </row>
    <row r="5718" ht="18.75" customHeight="1">
      <c r="A5718" s="14"/>
      <c r="B5718" s="12"/>
      <c r="C5718" s="12"/>
      <c r="D5718" s="12"/>
      <c r="E5718" s="12"/>
      <c r="F5718" s="14"/>
      <c r="G5718" s="15"/>
      <c r="H5718" s="15"/>
      <c r="I5718" s="14"/>
      <c r="P5718" s="14"/>
    </row>
    <row r="5719" ht="18.75" customHeight="1">
      <c r="A5719" s="14"/>
      <c r="B5719" s="12"/>
      <c r="C5719" s="12"/>
      <c r="D5719" s="12"/>
      <c r="E5719" s="12"/>
      <c r="F5719" s="14"/>
      <c r="G5719" s="15"/>
      <c r="H5719" s="15"/>
      <c r="I5719" s="14"/>
      <c r="P5719" s="14"/>
    </row>
    <row r="5720" ht="18.75" customHeight="1">
      <c r="A5720" s="14"/>
      <c r="B5720" s="12"/>
      <c r="C5720" s="12"/>
      <c r="D5720" s="12"/>
      <c r="E5720" s="12"/>
      <c r="F5720" s="14"/>
      <c r="G5720" s="15"/>
      <c r="H5720" s="15"/>
      <c r="I5720" s="14"/>
      <c r="P5720" s="14"/>
    </row>
    <row r="5721" ht="18.75" customHeight="1">
      <c r="A5721" s="14"/>
      <c r="B5721" s="12"/>
      <c r="C5721" s="12"/>
      <c r="D5721" s="12"/>
      <c r="E5721" s="12"/>
      <c r="F5721" s="14"/>
      <c r="G5721" s="15"/>
      <c r="H5721" s="15"/>
      <c r="I5721" s="14"/>
      <c r="P5721" s="14"/>
    </row>
    <row r="5722" ht="18.75" customHeight="1">
      <c r="A5722" s="14"/>
      <c r="B5722" s="12"/>
      <c r="C5722" s="12"/>
      <c r="D5722" s="12"/>
      <c r="E5722" s="12"/>
      <c r="F5722" s="14"/>
      <c r="G5722" s="15"/>
      <c r="H5722" s="15"/>
      <c r="I5722" s="14"/>
      <c r="P5722" s="14"/>
    </row>
    <row r="5723" ht="18.75" customHeight="1">
      <c r="A5723" s="14"/>
      <c r="B5723" s="12"/>
      <c r="C5723" s="12"/>
      <c r="D5723" s="12"/>
      <c r="E5723" s="12"/>
      <c r="F5723" s="14"/>
      <c r="G5723" s="15"/>
      <c r="H5723" s="15"/>
      <c r="I5723" s="14"/>
      <c r="P5723" s="14"/>
    </row>
    <row r="5724" ht="18.75" customHeight="1">
      <c r="A5724" s="14"/>
      <c r="B5724" s="12"/>
      <c r="C5724" s="12"/>
      <c r="D5724" s="12"/>
      <c r="E5724" s="12"/>
      <c r="F5724" s="14"/>
      <c r="G5724" s="15"/>
      <c r="H5724" s="15"/>
      <c r="I5724" s="14"/>
      <c r="P5724" s="14"/>
    </row>
    <row r="5725" ht="18.75" customHeight="1">
      <c r="A5725" s="14"/>
      <c r="B5725" s="12"/>
      <c r="C5725" s="12"/>
      <c r="D5725" s="12"/>
      <c r="E5725" s="12"/>
      <c r="F5725" s="14"/>
      <c r="G5725" s="15"/>
      <c r="H5725" s="15"/>
      <c r="I5725" s="14"/>
      <c r="P5725" s="14"/>
    </row>
    <row r="5726" ht="18.75" customHeight="1">
      <c r="A5726" s="14"/>
      <c r="B5726" s="12"/>
      <c r="C5726" s="12"/>
      <c r="D5726" s="12"/>
      <c r="E5726" s="12"/>
      <c r="F5726" s="14"/>
      <c r="G5726" s="15"/>
      <c r="H5726" s="15"/>
      <c r="I5726" s="14"/>
      <c r="P5726" s="14"/>
    </row>
    <row r="5727" ht="18.75" customHeight="1">
      <c r="A5727" s="14"/>
      <c r="B5727" s="12"/>
      <c r="C5727" s="12"/>
      <c r="D5727" s="12"/>
      <c r="E5727" s="12"/>
      <c r="F5727" s="14"/>
      <c r="G5727" s="15"/>
      <c r="H5727" s="15"/>
      <c r="I5727" s="14"/>
      <c r="P5727" s="14"/>
    </row>
    <row r="5728" ht="18.75" customHeight="1">
      <c r="A5728" s="14"/>
      <c r="B5728" s="12"/>
      <c r="C5728" s="12"/>
      <c r="D5728" s="12"/>
      <c r="E5728" s="12"/>
      <c r="F5728" s="14"/>
      <c r="G5728" s="15"/>
      <c r="H5728" s="15"/>
      <c r="I5728" s="14"/>
      <c r="P5728" s="14"/>
    </row>
    <row r="5729" ht="18.75" customHeight="1">
      <c r="A5729" s="14"/>
      <c r="B5729" s="12"/>
      <c r="C5729" s="12"/>
      <c r="D5729" s="12"/>
      <c r="E5729" s="12"/>
      <c r="F5729" s="14"/>
      <c r="G5729" s="15"/>
      <c r="H5729" s="15"/>
      <c r="I5729" s="14"/>
      <c r="P5729" s="14"/>
    </row>
    <row r="5730" ht="18.75" customHeight="1">
      <c r="A5730" s="14"/>
      <c r="B5730" s="12"/>
      <c r="C5730" s="12"/>
      <c r="D5730" s="12"/>
      <c r="E5730" s="12"/>
      <c r="F5730" s="14"/>
      <c r="G5730" s="15"/>
      <c r="H5730" s="15"/>
      <c r="I5730" s="14"/>
      <c r="P5730" s="14"/>
    </row>
    <row r="5731" ht="18.75" customHeight="1">
      <c r="A5731" s="14"/>
      <c r="B5731" s="12"/>
      <c r="C5731" s="12"/>
      <c r="D5731" s="12"/>
      <c r="E5731" s="12"/>
      <c r="F5731" s="14"/>
      <c r="G5731" s="15"/>
      <c r="H5731" s="15"/>
      <c r="I5731" s="14"/>
      <c r="P5731" s="14"/>
    </row>
    <row r="5732" ht="18.75" customHeight="1">
      <c r="A5732" s="14"/>
      <c r="B5732" s="12"/>
      <c r="C5732" s="12"/>
      <c r="D5732" s="12"/>
      <c r="E5732" s="12"/>
      <c r="F5732" s="14"/>
      <c r="G5732" s="15"/>
      <c r="H5732" s="15"/>
      <c r="I5732" s="14"/>
      <c r="P5732" s="14"/>
    </row>
    <row r="5733" ht="18.75" customHeight="1">
      <c r="A5733" s="14"/>
      <c r="B5733" s="12"/>
      <c r="C5733" s="12"/>
      <c r="D5733" s="12"/>
      <c r="E5733" s="12"/>
      <c r="F5733" s="14"/>
      <c r="G5733" s="15"/>
      <c r="H5733" s="15"/>
      <c r="I5733" s="14"/>
      <c r="P5733" s="14"/>
    </row>
    <row r="5734" ht="18.75" customHeight="1">
      <c r="A5734" s="14"/>
      <c r="B5734" s="12"/>
      <c r="C5734" s="12"/>
      <c r="D5734" s="12"/>
      <c r="E5734" s="12"/>
      <c r="F5734" s="14"/>
      <c r="G5734" s="15"/>
      <c r="H5734" s="15"/>
      <c r="I5734" s="14"/>
      <c r="P5734" s="14"/>
    </row>
    <row r="5735" ht="18.75" customHeight="1">
      <c r="A5735" s="14"/>
      <c r="B5735" s="12"/>
      <c r="C5735" s="12"/>
      <c r="D5735" s="12"/>
      <c r="E5735" s="12"/>
      <c r="F5735" s="14"/>
      <c r="G5735" s="15"/>
      <c r="H5735" s="15"/>
      <c r="I5735" s="14"/>
      <c r="P5735" s="14"/>
    </row>
    <row r="5736" ht="18.75" customHeight="1">
      <c r="A5736" s="14"/>
      <c r="B5736" s="12"/>
      <c r="C5736" s="12"/>
      <c r="D5736" s="12"/>
      <c r="E5736" s="12"/>
      <c r="F5736" s="14"/>
      <c r="G5736" s="15"/>
      <c r="H5736" s="15"/>
      <c r="I5736" s="14"/>
      <c r="P5736" s="14"/>
    </row>
    <row r="5737" ht="18.75" customHeight="1">
      <c r="A5737" s="14"/>
      <c r="B5737" s="12"/>
      <c r="C5737" s="12"/>
      <c r="D5737" s="12"/>
      <c r="E5737" s="12"/>
      <c r="F5737" s="14"/>
      <c r="G5737" s="15"/>
      <c r="H5737" s="15"/>
      <c r="I5737" s="14"/>
      <c r="P5737" s="14"/>
    </row>
    <row r="5738" ht="18.75" customHeight="1">
      <c r="A5738" s="14"/>
      <c r="B5738" s="12"/>
      <c r="C5738" s="12"/>
      <c r="D5738" s="12"/>
      <c r="E5738" s="12"/>
      <c r="F5738" s="14"/>
      <c r="G5738" s="15"/>
      <c r="H5738" s="15"/>
      <c r="I5738" s="14"/>
      <c r="P5738" s="14"/>
    </row>
    <row r="5739" ht="18.75" customHeight="1">
      <c r="A5739" s="14"/>
      <c r="B5739" s="12"/>
      <c r="C5739" s="12"/>
      <c r="D5739" s="12"/>
      <c r="E5739" s="12"/>
      <c r="F5739" s="14"/>
      <c r="G5739" s="15"/>
      <c r="H5739" s="15"/>
      <c r="I5739" s="14"/>
      <c r="P5739" s="14"/>
    </row>
    <row r="5740" ht="18.75" customHeight="1">
      <c r="A5740" s="14"/>
      <c r="B5740" s="12"/>
      <c r="C5740" s="12"/>
      <c r="D5740" s="12"/>
      <c r="E5740" s="12"/>
      <c r="F5740" s="14"/>
      <c r="G5740" s="15"/>
      <c r="H5740" s="15"/>
      <c r="I5740" s="14"/>
      <c r="P5740" s="14"/>
    </row>
    <row r="5741" ht="18.75" customHeight="1">
      <c r="A5741" s="14"/>
      <c r="B5741" s="12"/>
      <c r="C5741" s="12"/>
      <c r="D5741" s="12"/>
      <c r="E5741" s="12"/>
      <c r="F5741" s="14"/>
      <c r="G5741" s="15"/>
      <c r="H5741" s="15"/>
      <c r="I5741" s="14"/>
      <c r="P5741" s="14"/>
    </row>
    <row r="5742" ht="18.75" customHeight="1">
      <c r="A5742" s="14"/>
      <c r="B5742" s="12"/>
      <c r="C5742" s="12"/>
      <c r="D5742" s="12"/>
      <c r="E5742" s="12"/>
      <c r="F5742" s="14"/>
      <c r="G5742" s="15"/>
      <c r="H5742" s="15"/>
      <c r="I5742" s="14"/>
      <c r="P5742" s="14"/>
    </row>
    <row r="5743" ht="18.75" customHeight="1">
      <c r="A5743" s="14"/>
      <c r="B5743" s="12"/>
      <c r="C5743" s="12"/>
      <c r="D5743" s="12"/>
      <c r="E5743" s="12"/>
      <c r="F5743" s="14"/>
      <c r="G5743" s="15"/>
      <c r="H5743" s="15"/>
      <c r="I5743" s="14"/>
      <c r="P5743" s="14"/>
    </row>
    <row r="5744" ht="18.75" customHeight="1">
      <c r="A5744" s="14"/>
      <c r="B5744" s="12"/>
      <c r="C5744" s="12"/>
      <c r="D5744" s="12"/>
      <c r="E5744" s="12"/>
      <c r="F5744" s="14"/>
      <c r="G5744" s="15"/>
      <c r="H5744" s="15"/>
      <c r="I5744" s="14"/>
      <c r="P5744" s="14"/>
    </row>
    <row r="5745" ht="18.75" customHeight="1">
      <c r="A5745" s="14"/>
      <c r="B5745" s="12"/>
      <c r="C5745" s="12"/>
      <c r="D5745" s="12"/>
      <c r="E5745" s="12"/>
      <c r="F5745" s="14"/>
      <c r="G5745" s="15"/>
      <c r="H5745" s="15"/>
      <c r="I5745" s="14"/>
      <c r="P5745" s="14"/>
    </row>
    <row r="5746" ht="18.75" customHeight="1">
      <c r="A5746" s="14"/>
      <c r="B5746" s="12"/>
      <c r="C5746" s="12"/>
      <c r="D5746" s="12"/>
      <c r="E5746" s="12"/>
      <c r="F5746" s="14"/>
      <c r="G5746" s="15"/>
      <c r="H5746" s="15"/>
      <c r="I5746" s="14"/>
      <c r="P5746" s="14"/>
    </row>
    <row r="5747" ht="18.75" customHeight="1">
      <c r="A5747" s="14"/>
      <c r="B5747" s="12"/>
      <c r="C5747" s="12"/>
      <c r="D5747" s="12"/>
      <c r="E5747" s="12"/>
      <c r="F5747" s="14"/>
      <c r="G5747" s="15"/>
      <c r="H5747" s="15"/>
      <c r="I5747" s="14"/>
      <c r="P5747" s="14"/>
    </row>
    <row r="5748" ht="18.75" customHeight="1">
      <c r="A5748" s="14"/>
      <c r="B5748" s="12"/>
      <c r="C5748" s="12"/>
      <c r="D5748" s="12"/>
      <c r="E5748" s="12"/>
      <c r="F5748" s="14"/>
      <c r="G5748" s="15"/>
      <c r="H5748" s="15"/>
      <c r="I5748" s="14"/>
      <c r="P5748" s="14"/>
    </row>
    <row r="5749" ht="18.75" customHeight="1">
      <c r="A5749" s="14"/>
      <c r="B5749" s="12"/>
      <c r="C5749" s="12"/>
      <c r="D5749" s="12"/>
      <c r="E5749" s="12"/>
      <c r="F5749" s="14"/>
      <c r="G5749" s="15"/>
      <c r="H5749" s="15"/>
      <c r="I5749" s="14"/>
      <c r="P5749" s="14"/>
    </row>
    <row r="5750" ht="18.75" customHeight="1">
      <c r="A5750" s="14"/>
      <c r="B5750" s="12"/>
      <c r="C5750" s="12"/>
      <c r="D5750" s="12"/>
      <c r="E5750" s="12"/>
      <c r="F5750" s="14"/>
      <c r="G5750" s="15"/>
      <c r="H5750" s="15"/>
      <c r="I5750" s="14"/>
      <c r="P5750" s="14"/>
    </row>
    <row r="5751" ht="18.75" customHeight="1">
      <c r="A5751" s="14"/>
      <c r="B5751" s="12"/>
      <c r="C5751" s="12"/>
      <c r="D5751" s="12"/>
      <c r="E5751" s="12"/>
      <c r="F5751" s="14"/>
      <c r="G5751" s="15"/>
      <c r="H5751" s="15"/>
      <c r="I5751" s="14"/>
      <c r="P5751" s="14"/>
    </row>
    <row r="5752" ht="18.75" customHeight="1">
      <c r="A5752" s="14"/>
      <c r="B5752" s="12"/>
      <c r="C5752" s="12"/>
      <c r="D5752" s="12"/>
      <c r="E5752" s="12"/>
      <c r="F5752" s="14"/>
      <c r="G5752" s="15"/>
      <c r="H5752" s="15"/>
      <c r="I5752" s="14"/>
      <c r="P5752" s="14"/>
    </row>
    <row r="5753" ht="18.75" customHeight="1">
      <c r="A5753" s="14"/>
      <c r="B5753" s="12"/>
      <c r="C5753" s="12"/>
      <c r="D5753" s="12"/>
      <c r="E5753" s="12"/>
      <c r="F5753" s="14"/>
      <c r="G5753" s="15"/>
      <c r="H5753" s="15"/>
      <c r="I5753" s="14"/>
      <c r="P5753" s="14"/>
    </row>
    <row r="5754" ht="18.75" customHeight="1">
      <c r="A5754" s="14"/>
      <c r="B5754" s="12"/>
      <c r="C5754" s="12"/>
      <c r="D5754" s="12"/>
      <c r="E5754" s="12"/>
      <c r="F5754" s="14"/>
      <c r="G5754" s="15"/>
      <c r="H5754" s="15"/>
      <c r="I5754" s="14"/>
      <c r="P5754" s="14"/>
    </row>
    <row r="5755" ht="18.75" customHeight="1">
      <c r="A5755" s="14"/>
      <c r="B5755" s="12"/>
      <c r="C5755" s="12"/>
      <c r="D5755" s="12"/>
      <c r="E5755" s="12"/>
      <c r="F5755" s="14"/>
      <c r="G5755" s="15"/>
      <c r="H5755" s="15"/>
      <c r="I5755" s="14"/>
      <c r="P5755" s="14"/>
    </row>
    <row r="5756" ht="18.75" customHeight="1">
      <c r="A5756" s="14"/>
      <c r="B5756" s="12"/>
      <c r="C5756" s="12"/>
      <c r="D5756" s="12"/>
      <c r="E5756" s="12"/>
      <c r="F5756" s="14"/>
      <c r="G5756" s="15"/>
      <c r="H5756" s="15"/>
      <c r="I5756" s="14"/>
      <c r="P5756" s="14"/>
    </row>
    <row r="5757" ht="18.75" customHeight="1">
      <c r="A5757" s="14"/>
      <c r="B5757" s="12"/>
      <c r="C5757" s="12"/>
      <c r="D5757" s="12"/>
      <c r="E5757" s="12"/>
      <c r="F5757" s="14"/>
      <c r="G5757" s="15"/>
      <c r="H5757" s="15"/>
      <c r="I5757" s="14"/>
      <c r="P5757" s="14"/>
    </row>
    <row r="5758" ht="18.75" customHeight="1">
      <c r="A5758" s="14"/>
      <c r="B5758" s="12"/>
      <c r="C5758" s="12"/>
      <c r="D5758" s="12"/>
      <c r="E5758" s="12"/>
      <c r="F5758" s="14"/>
      <c r="G5758" s="15"/>
      <c r="H5758" s="15"/>
      <c r="I5758" s="14"/>
      <c r="P5758" s="14"/>
    </row>
    <row r="5759" ht="18.75" customHeight="1">
      <c r="A5759" s="14"/>
      <c r="B5759" s="12"/>
      <c r="C5759" s="12"/>
      <c r="D5759" s="12"/>
      <c r="E5759" s="12"/>
      <c r="F5759" s="14"/>
      <c r="G5759" s="15"/>
      <c r="H5759" s="15"/>
      <c r="I5759" s="14"/>
      <c r="P5759" s="14"/>
    </row>
    <row r="5760" ht="18.75" customHeight="1">
      <c r="A5760" s="14"/>
      <c r="B5760" s="12"/>
      <c r="C5760" s="12"/>
      <c r="D5760" s="12"/>
      <c r="E5760" s="12"/>
      <c r="F5760" s="14"/>
      <c r="G5760" s="15"/>
      <c r="H5760" s="15"/>
      <c r="I5760" s="14"/>
      <c r="P5760" s="14"/>
    </row>
    <row r="5761" ht="18.75" customHeight="1">
      <c r="A5761" s="14"/>
      <c r="B5761" s="12"/>
      <c r="C5761" s="12"/>
      <c r="D5761" s="12"/>
      <c r="E5761" s="12"/>
      <c r="F5761" s="14"/>
      <c r="G5761" s="15"/>
      <c r="H5761" s="15"/>
      <c r="I5761" s="14"/>
      <c r="P5761" s="14"/>
    </row>
    <row r="5762" ht="18.75" customHeight="1">
      <c r="A5762" s="14"/>
      <c r="B5762" s="12"/>
      <c r="C5762" s="12"/>
      <c r="D5762" s="12"/>
      <c r="E5762" s="12"/>
      <c r="F5762" s="14"/>
      <c r="G5762" s="15"/>
      <c r="H5762" s="15"/>
      <c r="I5762" s="14"/>
      <c r="P5762" s="14"/>
    </row>
    <row r="5763" ht="18.75" customHeight="1">
      <c r="A5763" s="14"/>
      <c r="B5763" s="12"/>
      <c r="C5763" s="12"/>
      <c r="D5763" s="12"/>
      <c r="E5763" s="12"/>
      <c r="F5763" s="14"/>
      <c r="G5763" s="15"/>
      <c r="H5763" s="15"/>
      <c r="I5763" s="14"/>
      <c r="P5763" s="14"/>
    </row>
    <row r="5764" ht="18.75" customHeight="1">
      <c r="A5764" s="14"/>
      <c r="B5764" s="12"/>
      <c r="C5764" s="12"/>
      <c r="D5764" s="12"/>
      <c r="E5764" s="12"/>
      <c r="F5764" s="14"/>
      <c r="G5764" s="15"/>
      <c r="H5764" s="15"/>
      <c r="I5764" s="14"/>
      <c r="P5764" s="14"/>
    </row>
    <row r="5765" ht="18.75" customHeight="1">
      <c r="A5765" s="14"/>
      <c r="B5765" s="12"/>
      <c r="C5765" s="12"/>
      <c r="D5765" s="12"/>
      <c r="E5765" s="12"/>
      <c r="F5765" s="14"/>
      <c r="G5765" s="15"/>
      <c r="H5765" s="15"/>
      <c r="I5765" s="14"/>
      <c r="P5765" s="14"/>
    </row>
    <row r="5766" ht="18.75" customHeight="1">
      <c r="A5766" s="14"/>
      <c r="B5766" s="12"/>
      <c r="C5766" s="12"/>
      <c r="D5766" s="12"/>
      <c r="E5766" s="12"/>
      <c r="F5766" s="14"/>
      <c r="G5766" s="15"/>
      <c r="H5766" s="15"/>
      <c r="I5766" s="14"/>
      <c r="P5766" s="14"/>
    </row>
    <row r="5767" ht="18.75" customHeight="1">
      <c r="A5767" s="14"/>
      <c r="B5767" s="12"/>
      <c r="C5767" s="12"/>
      <c r="D5767" s="12"/>
      <c r="E5767" s="12"/>
      <c r="F5767" s="14"/>
      <c r="G5767" s="15"/>
      <c r="H5767" s="15"/>
      <c r="I5767" s="14"/>
      <c r="P5767" s="14"/>
    </row>
    <row r="5768" ht="18.75" customHeight="1">
      <c r="A5768" s="14"/>
      <c r="B5768" s="12"/>
      <c r="C5768" s="12"/>
      <c r="D5768" s="12"/>
      <c r="E5768" s="12"/>
      <c r="F5768" s="14"/>
      <c r="G5768" s="15"/>
      <c r="H5768" s="15"/>
      <c r="I5768" s="14"/>
      <c r="P5768" s="14"/>
    </row>
    <row r="5769" ht="18.75" customHeight="1">
      <c r="A5769" s="14"/>
      <c r="B5769" s="12"/>
      <c r="C5769" s="12"/>
      <c r="D5769" s="12"/>
      <c r="E5769" s="12"/>
      <c r="F5769" s="14"/>
      <c r="G5769" s="15"/>
      <c r="H5769" s="15"/>
      <c r="I5769" s="14"/>
      <c r="P5769" s="14"/>
    </row>
    <row r="5770" ht="18.75" customHeight="1">
      <c r="A5770" s="14"/>
      <c r="B5770" s="12"/>
      <c r="C5770" s="12"/>
      <c r="D5770" s="12"/>
      <c r="E5770" s="12"/>
      <c r="F5770" s="14"/>
      <c r="G5770" s="15"/>
      <c r="H5770" s="15"/>
      <c r="I5770" s="14"/>
      <c r="P5770" s="14"/>
    </row>
    <row r="5771" ht="18.75" customHeight="1">
      <c r="A5771" s="14"/>
      <c r="B5771" s="12"/>
      <c r="C5771" s="12"/>
      <c r="D5771" s="12"/>
      <c r="E5771" s="12"/>
      <c r="F5771" s="14"/>
      <c r="G5771" s="15"/>
      <c r="H5771" s="15"/>
      <c r="I5771" s="14"/>
      <c r="P5771" s="14"/>
    </row>
    <row r="5772" ht="18.75" customHeight="1">
      <c r="A5772" s="14"/>
      <c r="B5772" s="12"/>
      <c r="C5772" s="12"/>
      <c r="D5772" s="12"/>
      <c r="E5772" s="12"/>
      <c r="F5772" s="14"/>
      <c r="G5772" s="15"/>
      <c r="H5772" s="15"/>
      <c r="I5772" s="14"/>
      <c r="P5772" s="14"/>
    </row>
    <row r="5773" ht="18.75" customHeight="1">
      <c r="A5773" s="14"/>
      <c r="B5773" s="12"/>
      <c r="C5773" s="12"/>
      <c r="D5773" s="12"/>
      <c r="E5773" s="12"/>
      <c r="F5773" s="14"/>
      <c r="G5773" s="15"/>
      <c r="H5773" s="15"/>
      <c r="I5773" s="14"/>
      <c r="P5773" s="14"/>
    </row>
    <row r="5774" ht="18.75" customHeight="1">
      <c r="A5774" s="14"/>
      <c r="B5774" s="12"/>
      <c r="C5774" s="12"/>
      <c r="D5774" s="12"/>
      <c r="E5774" s="12"/>
      <c r="F5774" s="14"/>
      <c r="G5774" s="15"/>
      <c r="H5774" s="15"/>
      <c r="I5774" s="14"/>
      <c r="P5774" s="14"/>
    </row>
    <row r="5775" ht="18.75" customHeight="1">
      <c r="A5775" s="14"/>
      <c r="B5775" s="12"/>
      <c r="C5775" s="12"/>
      <c r="D5775" s="12"/>
      <c r="E5775" s="12"/>
      <c r="F5775" s="14"/>
      <c r="G5775" s="15"/>
      <c r="H5775" s="15"/>
      <c r="I5775" s="14"/>
      <c r="P5775" s="14"/>
    </row>
    <row r="5776" ht="18.75" customHeight="1">
      <c r="A5776" s="14"/>
      <c r="B5776" s="12"/>
      <c r="C5776" s="12"/>
      <c r="D5776" s="12"/>
      <c r="E5776" s="12"/>
      <c r="F5776" s="14"/>
      <c r="G5776" s="15"/>
      <c r="H5776" s="15"/>
      <c r="I5776" s="14"/>
      <c r="P5776" s="14"/>
    </row>
    <row r="5777" ht="18.75" customHeight="1">
      <c r="A5777" s="14"/>
      <c r="B5777" s="12"/>
      <c r="C5777" s="12"/>
      <c r="D5777" s="12"/>
      <c r="E5777" s="12"/>
      <c r="F5777" s="14"/>
      <c r="G5777" s="15"/>
      <c r="H5777" s="15"/>
      <c r="I5777" s="14"/>
      <c r="P5777" s="14"/>
    </row>
    <row r="5778" ht="18.75" customHeight="1">
      <c r="A5778" s="14"/>
      <c r="B5778" s="12"/>
      <c r="C5778" s="12"/>
      <c r="D5778" s="12"/>
      <c r="E5778" s="12"/>
      <c r="F5778" s="14"/>
      <c r="G5778" s="15"/>
      <c r="H5778" s="15"/>
      <c r="I5778" s="14"/>
      <c r="P5778" s="14"/>
    </row>
    <row r="5779" ht="18.75" customHeight="1">
      <c r="A5779" s="14"/>
      <c r="B5779" s="12"/>
      <c r="C5779" s="12"/>
      <c r="D5779" s="12"/>
      <c r="E5779" s="12"/>
      <c r="F5779" s="14"/>
      <c r="G5779" s="15"/>
      <c r="H5779" s="15"/>
      <c r="I5779" s="14"/>
      <c r="P5779" s="14"/>
    </row>
    <row r="5780" ht="18.75" customHeight="1">
      <c r="A5780" s="14"/>
      <c r="B5780" s="12"/>
      <c r="C5780" s="12"/>
      <c r="D5780" s="12"/>
      <c r="E5780" s="12"/>
      <c r="F5780" s="14"/>
      <c r="G5780" s="15"/>
      <c r="H5780" s="15"/>
      <c r="I5780" s="14"/>
      <c r="P5780" s="14"/>
    </row>
    <row r="5781" ht="18.75" customHeight="1">
      <c r="A5781" s="14"/>
      <c r="B5781" s="12"/>
      <c r="C5781" s="12"/>
      <c r="D5781" s="12"/>
      <c r="E5781" s="12"/>
      <c r="F5781" s="14"/>
      <c r="G5781" s="15"/>
      <c r="H5781" s="15"/>
      <c r="I5781" s="14"/>
      <c r="P5781" s="14"/>
    </row>
    <row r="5782" ht="18.75" customHeight="1">
      <c r="A5782" s="14"/>
      <c r="B5782" s="12"/>
      <c r="C5782" s="12"/>
      <c r="D5782" s="12"/>
      <c r="E5782" s="12"/>
      <c r="F5782" s="14"/>
      <c r="G5782" s="15"/>
      <c r="H5782" s="15"/>
      <c r="I5782" s="14"/>
      <c r="P5782" s="14"/>
    </row>
    <row r="5783" ht="18.75" customHeight="1">
      <c r="A5783" s="14"/>
      <c r="B5783" s="12"/>
      <c r="C5783" s="12"/>
      <c r="D5783" s="12"/>
      <c r="E5783" s="12"/>
      <c r="F5783" s="14"/>
      <c r="G5783" s="15"/>
      <c r="H5783" s="15"/>
      <c r="I5783" s="14"/>
      <c r="P5783" s="14"/>
    </row>
    <row r="5784" ht="18.75" customHeight="1">
      <c r="A5784" s="14"/>
      <c r="B5784" s="12"/>
      <c r="C5784" s="12"/>
      <c r="D5784" s="12"/>
      <c r="E5784" s="12"/>
      <c r="F5784" s="14"/>
      <c r="G5784" s="15"/>
      <c r="H5784" s="15"/>
      <c r="I5784" s="14"/>
      <c r="P5784" s="14"/>
    </row>
    <row r="5785" ht="18.75" customHeight="1">
      <c r="A5785" s="14"/>
      <c r="B5785" s="12"/>
      <c r="C5785" s="12"/>
      <c r="D5785" s="12"/>
      <c r="E5785" s="12"/>
      <c r="F5785" s="14"/>
      <c r="G5785" s="15"/>
      <c r="H5785" s="15"/>
      <c r="I5785" s="14"/>
      <c r="P5785" s="14"/>
    </row>
    <row r="5786" ht="18.75" customHeight="1">
      <c r="A5786" s="14"/>
      <c r="B5786" s="12"/>
      <c r="C5786" s="12"/>
      <c r="D5786" s="12"/>
      <c r="E5786" s="12"/>
      <c r="F5786" s="14"/>
      <c r="G5786" s="15"/>
      <c r="H5786" s="15"/>
      <c r="I5786" s="14"/>
      <c r="P5786" s="14"/>
    </row>
    <row r="5787" ht="18.75" customHeight="1">
      <c r="A5787" s="14"/>
      <c r="B5787" s="12"/>
      <c r="C5787" s="12"/>
      <c r="D5787" s="12"/>
      <c r="E5787" s="12"/>
      <c r="F5787" s="14"/>
      <c r="G5787" s="15"/>
      <c r="H5787" s="15"/>
      <c r="I5787" s="14"/>
      <c r="P5787" s="14"/>
    </row>
    <row r="5788" ht="18.75" customHeight="1">
      <c r="A5788" s="14"/>
      <c r="B5788" s="12"/>
      <c r="C5788" s="12"/>
      <c r="D5788" s="12"/>
      <c r="E5788" s="12"/>
      <c r="F5788" s="14"/>
      <c r="G5788" s="15"/>
      <c r="H5788" s="15"/>
      <c r="I5788" s="14"/>
      <c r="P5788" s="14"/>
    </row>
    <row r="5789" ht="18.75" customHeight="1">
      <c r="A5789" s="14"/>
      <c r="B5789" s="12"/>
      <c r="C5789" s="12"/>
      <c r="D5789" s="12"/>
      <c r="E5789" s="12"/>
      <c r="F5789" s="14"/>
      <c r="G5789" s="15"/>
      <c r="H5789" s="15"/>
      <c r="I5789" s="14"/>
      <c r="P5789" s="14"/>
    </row>
    <row r="5790" ht="18.75" customHeight="1">
      <c r="A5790" s="14"/>
      <c r="B5790" s="12"/>
      <c r="C5790" s="12"/>
      <c r="D5790" s="12"/>
      <c r="E5790" s="12"/>
      <c r="F5790" s="14"/>
      <c r="G5790" s="15"/>
      <c r="H5790" s="15"/>
      <c r="I5790" s="14"/>
      <c r="P5790" s="14"/>
    </row>
    <row r="5791" ht="18.75" customHeight="1">
      <c r="A5791" s="14"/>
      <c r="B5791" s="12"/>
      <c r="C5791" s="12"/>
      <c r="D5791" s="12"/>
      <c r="E5791" s="12"/>
      <c r="F5791" s="14"/>
      <c r="G5791" s="15"/>
      <c r="H5791" s="15"/>
      <c r="I5791" s="14"/>
      <c r="P5791" s="14"/>
    </row>
    <row r="5792" ht="18.75" customHeight="1">
      <c r="A5792" s="14"/>
      <c r="B5792" s="12"/>
      <c r="C5792" s="12"/>
      <c r="D5792" s="12"/>
      <c r="E5792" s="12"/>
      <c r="F5792" s="14"/>
      <c r="G5792" s="15"/>
      <c r="H5792" s="15"/>
      <c r="I5792" s="14"/>
      <c r="P5792" s="14"/>
    </row>
    <row r="5793" ht="18.75" customHeight="1">
      <c r="A5793" s="14"/>
      <c r="B5793" s="12"/>
      <c r="C5793" s="12"/>
      <c r="D5793" s="12"/>
      <c r="E5793" s="12"/>
      <c r="F5793" s="14"/>
      <c r="G5793" s="15"/>
      <c r="H5793" s="15"/>
      <c r="I5793" s="14"/>
      <c r="P5793" s="14"/>
    </row>
    <row r="5794" ht="18.75" customHeight="1">
      <c r="A5794" s="14"/>
      <c r="B5794" s="12"/>
      <c r="C5794" s="12"/>
      <c r="D5794" s="12"/>
      <c r="E5794" s="12"/>
      <c r="F5794" s="14"/>
      <c r="G5794" s="15"/>
      <c r="H5794" s="15"/>
      <c r="I5794" s="14"/>
      <c r="P5794" s="14"/>
    </row>
    <row r="5795" ht="18.75" customHeight="1">
      <c r="A5795" s="14"/>
      <c r="B5795" s="12"/>
      <c r="C5795" s="12"/>
      <c r="D5795" s="12"/>
      <c r="E5795" s="12"/>
      <c r="F5795" s="14"/>
      <c r="G5795" s="15"/>
      <c r="H5795" s="15"/>
      <c r="I5795" s="14"/>
      <c r="P5795" s="14"/>
    </row>
    <row r="5796" ht="18.75" customHeight="1">
      <c r="A5796" s="14"/>
      <c r="B5796" s="12"/>
      <c r="C5796" s="12"/>
      <c r="D5796" s="12"/>
      <c r="E5796" s="12"/>
      <c r="F5796" s="14"/>
      <c r="G5796" s="15"/>
      <c r="H5796" s="15"/>
      <c r="I5796" s="14"/>
      <c r="P5796" s="14"/>
    </row>
    <row r="5797" ht="18.75" customHeight="1">
      <c r="A5797" s="14"/>
      <c r="B5797" s="12"/>
      <c r="C5797" s="12"/>
      <c r="D5797" s="12"/>
      <c r="E5797" s="12"/>
      <c r="F5797" s="14"/>
      <c r="G5797" s="15"/>
      <c r="H5797" s="15"/>
      <c r="I5797" s="14"/>
      <c r="P5797" s="14"/>
    </row>
    <row r="5798" ht="18.75" customHeight="1">
      <c r="A5798" s="14"/>
      <c r="B5798" s="12"/>
      <c r="C5798" s="12"/>
      <c r="D5798" s="12"/>
      <c r="E5798" s="12"/>
      <c r="F5798" s="14"/>
      <c r="G5798" s="15"/>
      <c r="H5798" s="15"/>
      <c r="I5798" s="14"/>
      <c r="P5798" s="14"/>
    </row>
    <row r="5799" ht="18.75" customHeight="1">
      <c r="A5799" s="14"/>
      <c r="B5799" s="12"/>
      <c r="C5799" s="12"/>
      <c r="D5799" s="12"/>
      <c r="E5799" s="12"/>
      <c r="F5799" s="14"/>
      <c r="G5799" s="15"/>
      <c r="H5799" s="15"/>
      <c r="I5799" s="14"/>
      <c r="P5799" s="14"/>
    </row>
    <row r="5800" ht="18.75" customHeight="1">
      <c r="A5800" s="14"/>
      <c r="B5800" s="12"/>
      <c r="C5800" s="12"/>
      <c r="D5800" s="12"/>
      <c r="E5800" s="12"/>
      <c r="F5800" s="14"/>
      <c r="G5800" s="15"/>
      <c r="H5800" s="15"/>
      <c r="I5800" s="14"/>
      <c r="P5800" s="14"/>
    </row>
    <row r="5801" ht="18.75" customHeight="1">
      <c r="A5801" s="14"/>
      <c r="B5801" s="12"/>
      <c r="C5801" s="12"/>
      <c r="D5801" s="12"/>
      <c r="E5801" s="12"/>
      <c r="F5801" s="14"/>
      <c r="G5801" s="15"/>
      <c r="H5801" s="15"/>
      <c r="I5801" s="14"/>
      <c r="P5801" s="14"/>
    </row>
    <row r="5802" ht="18.75" customHeight="1">
      <c r="A5802" s="14"/>
      <c r="B5802" s="12"/>
      <c r="C5802" s="12"/>
      <c r="D5802" s="12"/>
      <c r="E5802" s="12"/>
      <c r="F5802" s="14"/>
      <c r="G5802" s="15"/>
      <c r="H5802" s="15"/>
      <c r="I5802" s="14"/>
      <c r="P5802" s="14"/>
    </row>
    <row r="5803" ht="18.75" customHeight="1">
      <c r="A5803" s="14"/>
      <c r="B5803" s="12"/>
      <c r="C5803" s="12"/>
      <c r="D5803" s="12"/>
      <c r="E5803" s="12"/>
      <c r="F5803" s="14"/>
      <c r="G5803" s="15"/>
      <c r="H5803" s="15"/>
      <c r="I5803" s="14"/>
      <c r="P5803" s="14"/>
    </row>
    <row r="5804" ht="18.75" customHeight="1">
      <c r="A5804" s="14"/>
      <c r="B5804" s="12"/>
      <c r="C5804" s="12"/>
      <c r="D5804" s="12"/>
      <c r="E5804" s="12"/>
      <c r="F5804" s="14"/>
      <c r="G5804" s="15"/>
      <c r="H5804" s="15"/>
      <c r="I5804" s="14"/>
      <c r="P5804" s="14"/>
    </row>
    <row r="5805" ht="18.75" customHeight="1">
      <c r="A5805" s="14"/>
      <c r="B5805" s="12"/>
      <c r="C5805" s="12"/>
      <c r="D5805" s="12"/>
      <c r="E5805" s="12"/>
      <c r="F5805" s="14"/>
      <c r="G5805" s="15"/>
      <c r="H5805" s="15"/>
      <c r="I5805" s="14"/>
      <c r="P5805" s="14"/>
    </row>
    <row r="5806" ht="18.75" customHeight="1">
      <c r="A5806" s="14"/>
      <c r="B5806" s="12"/>
      <c r="C5806" s="12"/>
      <c r="D5806" s="12"/>
      <c r="E5806" s="12"/>
      <c r="F5806" s="14"/>
      <c r="G5806" s="15"/>
      <c r="H5806" s="15"/>
      <c r="I5806" s="14"/>
      <c r="P5806" s="14"/>
    </row>
    <row r="5807" ht="18.75" customHeight="1">
      <c r="A5807" s="14"/>
      <c r="B5807" s="12"/>
      <c r="C5807" s="12"/>
      <c r="D5807" s="12"/>
      <c r="E5807" s="12"/>
      <c r="F5807" s="14"/>
      <c r="G5807" s="15"/>
      <c r="H5807" s="15"/>
      <c r="I5807" s="14"/>
      <c r="P5807" s="14"/>
    </row>
    <row r="5808" ht="18.75" customHeight="1">
      <c r="A5808" s="14"/>
      <c r="B5808" s="12"/>
      <c r="C5808" s="12"/>
      <c r="D5808" s="12"/>
      <c r="E5808" s="12"/>
      <c r="F5808" s="14"/>
      <c r="G5808" s="15"/>
      <c r="H5808" s="15"/>
      <c r="I5808" s="14"/>
      <c r="P5808" s="14"/>
    </row>
    <row r="5809" ht="18.75" customHeight="1">
      <c r="A5809" s="14"/>
      <c r="B5809" s="12"/>
      <c r="C5809" s="12"/>
      <c r="D5809" s="12"/>
      <c r="E5809" s="12"/>
      <c r="F5809" s="14"/>
      <c r="G5809" s="15"/>
      <c r="H5809" s="15"/>
      <c r="I5809" s="14"/>
      <c r="P5809" s="14"/>
    </row>
    <row r="5810" ht="18.75" customHeight="1">
      <c r="A5810" s="14"/>
      <c r="B5810" s="12"/>
      <c r="C5810" s="12"/>
      <c r="D5810" s="12"/>
      <c r="E5810" s="12"/>
      <c r="F5810" s="14"/>
      <c r="G5810" s="15"/>
      <c r="H5810" s="15"/>
      <c r="I5810" s="14"/>
      <c r="P5810" s="14"/>
    </row>
    <row r="5811" ht="18.75" customHeight="1">
      <c r="A5811" s="14"/>
      <c r="B5811" s="12"/>
      <c r="C5811" s="12"/>
      <c r="D5811" s="12"/>
      <c r="E5811" s="12"/>
      <c r="F5811" s="14"/>
      <c r="G5811" s="15"/>
      <c r="H5811" s="15"/>
      <c r="I5811" s="14"/>
      <c r="P5811" s="14"/>
    </row>
    <row r="5812" ht="18.75" customHeight="1">
      <c r="A5812" s="14"/>
      <c r="B5812" s="12"/>
      <c r="C5812" s="12"/>
      <c r="D5812" s="12"/>
      <c r="E5812" s="12"/>
      <c r="F5812" s="14"/>
      <c r="G5812" s="15"/>
      <c r="H5812" s="15"/>
      <c r="I5812" s="14"/>
      <c r="P5812" s="14"/>
    </row>
    <row r="5813" ht="18.75" customHeight="1">
      <c r="A5813" s="14"/>
      <c r="B5813" s="12"/>
      <c r="C5813" s="12"/>
      <c r="D5813" s="12"/>
      <c r="E5813" s="12"/>
      <c r="F5813" s="14"/>
      <c r="G5813" s="15"/>
      <c r="H5813" s="15"/>
      <c r="I5813" s="14"/>
      <c r="P5813" s="14"/>
    </row>
    <row r="5814" ht="18.75" customHeight="1">
      <c r="A5814" s="14"/>
      <c r="B5814" s="12"/>
      <c r="C5814" s="12"/>
      <c r="D5814" s="12"/>
      <c r="E5814" s="12"/>
      <c r="F5814" s="14"/>
      <c r="G5814" s="15"/>
      <c r="H5814" s="15"/>
      <c r="I5814" s="14"/>
      <c r="P5814" s="14"/>
    </row>
    <row r="5815" ht="18.75" customHeight="1">
      <c r="A5815" s="14"/>
      <c r="B5815" s="12"/>
      <c r="C5815" s="12"/>
      <c r="D5815" s="12"/>
      <c r="E5815" s="12"/>
      <c r="F5815" s="14"/>
      <c r="G5815" s="15"/>
      <c r="H5815" s="15"/>
      <c r="I5815" s="14"/>
      <c r="P5815" s="14"/>
    </row>
    <row r="5816" ht="18.75" customHeight="1">
      <c r="A5816" s="14"/>
      <c r="B5816" s="12"/>
      <c r="C5816" s="12"/>
      <c r="D5816" s="12"/>
      <c r="E5816" s="12"/>
      <c r="F5816" s="14"/>
      <c r="G5816" s="15"/>
      <c r="H5816" s="15"/>
      <c r="I5816" s="14"/>
      <c r="P5816" s="14"/>
    </row>
    <row r="5817" ht="18.75" customHeight="1">
      <c r="A5817" s="14"/>
      <c r="B5817" s="12"/>
      <c r="C5817" s="12"/>
      <c r="D5817" s="12"/>
      <c r="E5817" s="12"/>
      <c r="F5817" s="14"/>
      <c r="G5817" s="15"/>
      <c r="H5817" s="15"/>
      <c r="I5817" s="14"/>
      <c r="P5817" s="14"/>
    </row>
    <row r="5818" ht="18.75" customHeight="1">
      <c r="A5818" s="14"/>
      <c r="B5818" s="12"/>
      <c r="C5818" s="12"/>
      <c r="D5818" s="12"/>
      <c r="E5818" s="12"/>
      <c r="F5818" s="14"/>
      <c r="G5818" s="15"/>
      <c r="H5818" s="15"/>
      <c r="I5818" s="14"/>
      <c r="P5818" s="14"/>
    </row>
    <row r="5819" ht="18.75" customHeight="1">
      <c r="A5819" s="14"/>
      <c r="B5819" s="12"/>
      <c r="C5819" s="12"/>
      <c r="D5819" s="12"/>
      <c r="E5819" s="12"/>
      <c r="F5819" s="14"/>
      <c r="G5819" s="15"/>
      <c r="H5819" s="15"/>
      <c r="I5819" s="14"/>
      <c r="P5819" s="14"/>
    </row>
    <row r="5820" ht="18.75" customHeight="1">
      <c r="A5820" s="14"/>
      <c r="B5820" s="12"/>
      <c r="C5820" s="12"/>
      <c r="D5820" s="12"/>
      <c r="E5820" s="12"/>
      <c r="F5820" s="14"/>
      <c r="G5820" s="15"/>
      <c r="H5820" s="15"/>
      <c r="I5820" s="14"/>
      <c r="P5820" s="14"/>
    </row>
    <row r="5821" ht="18.75" customHeight="1">
      <c r="A5821" s="14"/>
      <c r="B5821" s="12"/>
      <c r="C5821" s="12"/>
      <c r="D5821" s="12"/>
      <c r="E5821" s="12"/>
      <c r="F5821" s="14"/>
      <c r="G5821" s="15"/>
      <c r="H5821" s="15"/>
      <c r="I5821" s="14"/>
      <c r="P5821" s="14"/>
    </row>
    <row r="5822" ht="18.75" customHeight="1">
      <c r="A5822" s="14"/>
      <c r="B5822" s="12"/>
      <c r="C5822" s="12"/>
      <c r="D5822" s="12"/>
      <c r="E5822" s="12"/>
      <c r="F5822" s="14"/>
      <c r="G5822" s="15"/>
      <c r="H5822" s="15"/>
      <c r="I5822" s="14"/>
      <c r="P5822" s="14"/>
    </row>
    <row r="5823" ht="18.75" customHeight="1">
      <c r="A5823" s="14"/>
      <c r="B5823" s="12"/>
      <c r="C5823" s="12"/>
      <c r="D5823" s="12"/>
      <c r="E5823" s="12"/>
      <c r="F5823" s="14"/>
      <c r="G5823" s="15"/>
      <c r="H5823" s="15"/>
      <c r="I5823" s="14"/>
      <c r="P5823" s="14"/>
    </row>
    <row r="5824" ht="18.75" customHeight="1">
      <c r="A5824" s="14"/>
      <c r="B5824" s="12"/>
      <c r="C5824" s="12"/>
      <c r="D5824" s="12"/>
      <c r="E5824" s="12"/>
      <c r="F5824" s="14"/>
      <c r="G5824" s="15"/>
      <c r="H5824" s="15"/>
      <c r="I5824" s="14"/>
      <c r="P5824" s="14"/>
    </row>
    <row r="5825" ht="18.75" customHeight="1">
      <c r="A5825" s="14"/>
      <c r="B5825" s="12"/>
      <c r="C5825" s="12"/>
      <c r="D5825" s="12"/>
      <c r="E5825" s="12"/>
      <c r="F5825" s="14"/>
      <c r="G5825" s="15"/>
      <c r="H5825" s="15"/>
      <c r="I5825" s="14"/>
      <c r="P5825" s="14"/>
    </row>
    <row r="5826" ht="18.75" customHeight="1">
      <c r="A5826" s="14"/>
      <c r="B5826" s="12"/>
      <c r="C5826" s="12"/>
      <c r="D5826" s="12"/>
      <c r="E5826" s="12"/>
      <c r="F5826" s="14"/>
      <c r="G5826" s="15"/>
      <c r="H5826" s="15"/>
      <c r="I5826" s="14"/>
      <c r="P5826" s="14"/>
    </row>
    <row r="5827" ht="18.75" customHeight="1">
      <c r="A5827" s="14"/>
      <c r="B5827" s="12"/>
      <c r="C5827" s="12"/>
      <c r="D5827" s="12"/>
      <c r="E5827" s="12"/>
      <c r="F5827" s="14"/>
      <c r="G5827" s="15"/>
      <c r="H5827" s="15"/>
      <c r="I5827" s="14"/>
      <c r="P5827" s="14"/>
    </row>
    <row r="5828" ht="18.75" customHeight="1">
      <c r="A5828" s="14"/>
      <c r="B5828" s="12"/>
      <c r="C5828" s="12"/>
      <c r="D5828" s="12"/>
      <c r="E5828" s="12"/>
      <c r="F5828" s="14"/>
      <c r="G5828" s="15"/>
      <c r="H5828" s="15"/>
      <c r="I5828" s="14"/>
      <c r="P5828" s="14"/>
    </row>
    <row r="5829" ht="18.75" customHeight="1">
      <c r="A5829" s="14"/>
      <c r="B5829" s="12"/>
      <c r="C5829" s="12"/>
      <c r="D5829" s="12"/>
      <c r="E5829" s="12"/>
      <c r="F5829" s="14"/>
      <c r="G5829" s="15"/>
      <c r="H5829" s="15"/>
      <c r="I5829" s="14"/>
      <c r="P5829" s="14"/>
    </row>
    <row r="5830" ht="18.75" customHeight="1">
      <c r="A5830" s="14"/>
      <c r="B5830" s="12"/>
      <c r="C5830" s="12"/>
      <c r="D5830" s="12"/>
      <c r="E5830" s="12"/>
      <c r="F5830" s="14"/>
      <c r="G5830" s="15"/>
      <c r="H5830" s="15"/>
      <c r="I5830" s="14"/>
      <c r="P5830" s="14"/>
    </row>
    <row r="5831" ht="18.75" customHeight="1">
      <c r="A5831" s="14"/>
      <c r="B5831" s="12"/>
      <c r="C5831" s="12"/>
      <c r="D5831" s="12"/>
      <c r="E5831" s="12"/>
      <c r="F5831" s="14"/>
      <c r="G5831" s="15"/>
      <c r="H5831" s="15"/>
      <c r="I5831" s="14"/>
      <c r="P5831" s="14"/>
    </row>
    <row r="5832" ht="18.75" customHeight="1">
      <c r="A5832" s="14"/>
      <c r="B5832" s="12"/>
      <c r="C5832" s="12"/>
      <c r="D5832" s="12"/>
      <c r="E5832" s="12"/>
      <c r="F5832" s="14"/>
      <c r="G5832" s="15"/>
      <c r="H5832" s="15"/>
      <c r="I5832" s="14"/>
      <c r="P5832" s="14"/>
    </row>
    <row r="5833" ht="18.75" customHeight="1">
      <c r="A5833" s="14"/>
      <c r="B5833" s="12"/>
      <c r="C5833" s="12"/>
      <c r="D5833" s="12"/>
      <c r="E5833" s="12"/>
      <c r="F5833" s="14"/>
      <c r="G5833" s="15"/>
      <c r="H5833" s="15"/>
      <c r="I5833" s="14"/>
      <c r="P5833" s="14"/>
    </row>
    <row r="5834" ht="18.75" customHeight="1">
      <c r="A5834" s="14"/>
      <c r="B5834" s="12"/>
      <c r="C5834" s="12"/>
      <c r="D5834" s="12"/>
      <c r="E5834" s="12"/>
      <c r="F5834" s="14"/>
      <c r="G5834" s="15"/>
      <c r="H5834" s="15"/>
      <c r="I5834" s="14"/>
      <c r="P5834" s="14"/>
    </row>
    <row r="5835" ht="18.75" customHeight="1">
      <c r="A5835" s="14"/>
      <c r="B5835" s="12"/>
      <c r="C5835" s="12"/>
      <c r="D5835" s="12"/>
      <c r="E5835" s="12"/>
      <c r="F5835" s="14"/>
      <c r="G5835" s="15"/>
      <c r="H5835" s="15"/>
      <c r="I5835" s="14"/>
      <c r="P5835" s="14"/>
    </row>
    <row r="5836" ht="18.75" customHeight="1">
      <c r="A5836" s="14"/>
      <c r="B5836" s="12"/>
      <c r="C5836" s="12"/>
      <c r="D5836" s="12"/>
      <c r="E5836" s="12"/>
      <c r="F5836" s="14"/>
      <c r="G5836" s="15"/>
      <c r="H5836" s="15"/>
      <c r="I5836" s="14"/>
      <c r="P5836" s="14"/>
    </row>
    <row r="5837" ht="18.75" customHeight="1">
      <c r="A5837" s="14"/>
      <c r="B5837" s="12"/>
      <c r="C5837" s="12"/>
      <c r="D5837" s="12"/>
      <c r="E5837" s="12"/>
      <c r="F5837" s="14"/>
      <c r="G5837" s="15"/>
      <c r="H5837" s="15"/>
      <c r="I5837" s="14"/>
      <c r="P5837" s="14"/>
    </row>
    <row r="5838" ht="18.75" customHeight="1">
      <c r="A5838" s="14"/>
      <c r="B5838" s="12"/>
      <c r="C5838" s="12"/>
      <c r="D5838" s="12"/>
      <c r="E5838" s="12"/>
      <c r="F5838" s="14"/>
      <c r="G5838" s="15"/>
      <c r="H5838" s="15"/>
      <c r="I5838" s="14"/>
      <c r="P5838" s="14"/>
    </row>
    <row r="5839" ht="18.75" customHeight="1">
      <c r="A5839" s="14"/>
      <c r="B5839" s="12"/>
      <c r="C5839" s="12"/>
      <c r="D5839" s="12"/>
      <c r="E5839" s="12"/>
      <c r="F5839" s="14"/>
      <c r="G5839" s="15"/>
      <c r="H5839" s="15"/>
      <c r="I5839" s="14"/>
      <c r="P5839" s="14"/>
    </row>
    <row r="5840" ht="18.75" customHeight="1">
      <c r="A5840" s="14"/>
      <c r="B5840" s="12"/>
      <c r="C5840" s="12"/>
      <c r="D5840" s="12"/>
      <c r="E5840" s="12"/>
      <c r="F5840" s="14"/>
      <c r="G5840" s="15"/>
      <c r="H5840" s="15"/>
      <c r="I5840" s="14"/>
      <c r="P5840" s="14"/>
    </row>
    <row r="5841" ht="18.75" customHeight="1">
      <c r="A5841" s="14"/>
      <c r="B5841" s="12"/>
      <c r="C5841" s="12"/>
      <c r="D5841" s="12"/>
      <c r="E5841" s="12"/>
      <c r="F5841" s="14"/>
      <c r="G5841" s="15"/>
      <c r="H5841" s="15"/>
      <c r="I5841" s="14"/>
      <c r="P5841" s="14"/>
    </row>
    <row r="5842" ht="18.75" customHeight="1">
      <c r="A5842" s="14"/>
      <c r="B5842" s="12"/>
      <c r="C5842" s="12"/>
      <c r="D5842" s="12"/>
      <c r="E5842" s="12"/>
      <c r="F5842" s="14"/>
      <c r="G5842" s="15"/>
      <c r="H5842" s="15"/>
      <c r="I5842" s="14"/>
      <c r="P5842" s="14"/>
    </row>
    <row r="5843" ht="18.75" customHeight="1">
      <c r="A5843" s="14"/>
      <c r="B5843" s="12"/>
      <c r="C5843" s="12"/>
      <c r="D5843" s="12"/>
      <c r="E5843" s="12"/>
      <c r="F5843" s="14"/>
      <c r="G5843" s="15"/>
      <c r="H5843" s="15"/>
      <c r="I5843" s="14"/>
      <c r="P5843" s="14"/>
    </row>
    <row r="5844" ht="18.75" customHeight="1">
      <c r="A5844" s="14"/>
      <c r="B5844" s="12"/>
      <c r="C5844" s="12"/>
      <c r="D5844" s="12"/>
      <c r="E5844" s="12"/>
      <c r="F5844" s="14"/>
      <c r="G5844" s="15"/>
      <c r="H5844" s="15"/>
      <c r="I5844" s="14"/>
      <c r="P5844" s="14"/>
    </row>
    <row r="5845" ht="18.75" customHeight="1">
      <c r="A5845" s="14"/>
      <c r="B5845" s="12"/>
      <c r="C5845" s="12"/>
      <c r="D5845" s="12"/>
      <c r="E5845" s="12"/>
      <c r="F5845" s="14"/>
      <c r="G5845" s="15"/>
      <c r="H5845" s="15"/>
      <c r="I5845" s="14"/>
      <c r="P5845" s="14"/>
    </row>
    <row r="5846" ht="18.75" customHeight="1">
      <c r="A5846" s="14"/>
      <c r="B5846" s="12"/>
      <c r="C5846" s="12"/>
      <c r="D5846" s="12"/>
      <c r="E5846" s="12"/>
      <c r="F5846" s="14"/>
      <c r="G5846" s="15"/>
      <c r="H5846" s="15"/>
      <c r="I5846" s="14"/>
      <c r="P5846" s="14"/>
    </row>
    <row r="5847" ht="18.75" customHeight="1">
      <c r="A5847" s="14"/>
      <c r="B5847" s="12"/>
      <c r="C5847" s="12"/>
      <c r="D5847" s="12"/>
      <c r="E5847" s="12"/>
      <c r="F5847" s="14"/>
      <c r="G5847" s="15"/>
      <c r="H5847" s="15"/>
      <c r="I5847" s="14"/>
      <c r="P5847" s="14"/>
    </row>
    <row r="5848" ht="18.75" customHeight="1">
      <c r="A5848" s="14"/>
      <c r="B5848" s="12"/>
      <c r="C5848" s="12"/>
      <c r="D5848" s="12"/>
      <c r="E5848" s="12"/>
      <c r="F5848" s="14"/>
      <c r="G5848" s="15"/>
      <c r="H5848" s="15"/>
      <c r="I5848" s="14"/>
      <c r="P5848" s="14"/>
    </row>
    <row r="5849" ht="18.75" customHeight="1">
      <c r="A5849" s="14"/>
      <c r="B5849" s="12"/>
      <c r="C5849" s="12"/>
      <c r="D5849" s="12"/>
      <c r="E5849" s="12"/>
      <c r="F5849" s="14"/>
      <c r="G5849" s="15"/>
      <c r="H5849" s="15"/>
      <c r="I5849" s="14"/>
      <c r="P5849" s="14"/>
    </row>
    <row r="5850" ht="18.75" customHeight="1">
      <c r="A5850" s="14"/>
      <c r="B5850" s="12"/>
      <c r="C5850" s="12"/>
      <c r="D5850" s="12"/>
      <c r="E5850" s="12"/>
      <c r="F5850" s="14"/>
      <c r="G5850" s="15"/>
      <c r="H5850" s="15"/>
      <c r="I5850" s="14"/>
      <c r="P5850" s="14"/>
    </row>
    <row r="5851" ht="18.75" customHeight="1">
      <c r="A5851" s="14"/>
      <c r="B5851" s="12"/>
      <c r="C5851" s="12"/>
      <c r="D5851" s="12"/>
      <c r="E5851" s="12"/>
      <c r="F5851" s="14"/>
      <c r="G5851" s="15"/>
      <c r="H5851" s="15"/>
      <c r="I5851" s="14"/>
      <c r="P5851" s="14"/>
    </row>
    <row r="5852" ht="18.75" customHeight="1">
      <c r="A5852" s="14"/>
      <c r="B5852" s="12"/>
      <c r="C5852" s="12"/>
      <c r="D5852" s="12"/>
      <c r="E5852" s="12"/>
      <c r="F5852" s="14"/>
      <c r="G5852" s="15"/>
      <c r="H5852" s="15"/>
      <c r="I5852" s="14"/>
      <c r="P5852" s="14"/>
    </row>
    <row r="5853" ht="18.75" customHeight="1">
      <c r="A5853" s="14"/>
      <c r="B5853" s="12"/>
      <c r="C5853" s="12"/>
      <c r="D5853" s="12"/>
      <c r="E5853" s="12"/>
      <c r="F5853" s="14"/>
      <c r="G5853" s="15"/>
      <c r="H5853" s="15"/>
      <c r="I5853" s="14"/>
      <c r="P5853" s="14"/>
    </row>
    <row r="5854" ht="18.75" customHeight="1">
      <c r="A5854" s="14"/>
      <c r="B5854" s="12"/>
      <c r="C5854" s="12"/>
      <c r="D5854" s="12"/>
      <c r="E5854" s="12"/>
      <c r="F5854" s="14"/>
      <c r="G5854" s="15"/>
      <c r="H5854" s="15"/>
      <c r="I5854" s="14"/>
      <c r="P5854" s="14"/>
    </row>
    <row r="5855" ht="18.75" customHeight="1">
      <c r="A5855" s="14"/>
      <c r="B5855" s="12"/>
      <c r="C5855" s="12"/>
      <c r="D5855" s="12"/>
      <c r="E5855" s="12"/>
      <c r="F5855" s="14"/>
      <c r="G5855" s="15"/>
      <c r="H5855" s="15"/>
      <c r="I5855" s="14"/>
      <c r="P5855" s="14"/>
    </row>
    <row r="5856" ht="18.75" customHeight="1">
      <c r="A5856" s="14"/>
      <c r="B5856" s="12"/>
      <c r="C5856" s="12"/>
      <c r="D5856" s="12"/>
      <c r="E5856" s="12"/>
      <c r="F5856" s="14"/>
      <c r="G5856" s="15"/>
      <c r="H5856" s="15"/>
      <c r="I5856" s="14"/>
      <c r="P5856" s="14"/>
    </row>
    <row r="5857" ht="18.75" customHeight="1">
      <c r="A5857" s="14"/>
      <c r="B5857" s="12"/>
      <c r="C5857" s="12"/>
      <c r="D5857" s="12"/>
      <c r="E5857" s="12"/>
      <c r="F5857" s="14"/>
      <c r="G5857" s="15"/>
      <c r="H5857" s="15"/>
      <c r="I5857" s="14"/>
      <c r="P5857" s="14"/>
    </row>
    <row r="5858" ht="18.75" customHeight="1">
      <c r="A5858" s="14"/>
      <c r="B5858" s="12"/>
      <c r="C5858" s="12"/>
      <c r="D5858" s="12"/>
      <c r="E5858" s="12"/>
      <c r="F5858" s="14"/>
      <c r="G5858" s="15"/>
      <c r="H5858" s="15"/>
      <c r="I5858" s="14"/>
      <c r="P5858" s="14"/>
    </row>
    <row r="5859" ht="18.75" customHeight="1">
      <c r="A5859" s="14"/>
      <c r="B5859" s="12"/>
      <c r="C5859" s="12"/>
      <c r="D5859" s="12"/>
      <c r="E5859" s="12"/>
      <c r="F5859" s="14"/>
      <c r="G5859" s="15"/>
      <c r="H5859" s="15"/>
      <c r="I5859" s="14"/>
      <c r="P5859" s="14"/>
    </row>
    <row r="5860" ht="18.75" customHeight="1">
      <c r="A5860" s="14"/>
      <c r="B5860" s="12"/>
      <c r="C5860" s="12"/>
      <c r="D5860" s="12"/>
      <c r="E5860" s="12"/>
      <c r="F5860" s="14"/>
      <c r="G5860" s="15"/>
      <c r="H5860" s="15"/>
      <c r="I5860" s="14"/>
      <c r="P5860" s="14"/>
    </row>
    <row r="5861" ht="18.75" customHeight="1">
      <c r="A5861" s="14"/>
      <c r="B5861" s="12"/>
      <c r="C5861" s="12"/>
      <c r="D5861" s="12"/>
      <c r="E5861" s="12"/>
      <c r="F5861" s="14"/>
      <c r="G5861" s="15"/>
      <c r="H5861" s="15"/>
      <c r="I5861" s="14"/>
      <c r="P5861" s="14"/>
    </row>
    <row r="5862" ht="18.75" customHeight="1">
      <c r="A5862" s="14"/>
      <c r="B5862" s="12"/>
      <c r="C5862" s="12"/>
      <c r="D5862" s="12"/>
      <c r="E5862" s="12"/>
      <c r="F5862" s="14"/>
      <c r="G5862" s="15"/>
      <c r="H5862" s="15"/>
      <c r="I5862" s="14"/>
      <c r="P5862" s="14"/>
    </row>
    <row r="5863" ht="18.75" customHeight="1">
      <c r="A5863" s="14"/>
      <c r="B5863" s="12"/>
      <c r="C5863" s="12"/>
      <c r="D5863" s="12"/>
      <c r="E5863" s="12"/>
      <c r="F5863" s="14"/>
      <c r="G5863" s="15"/>
      <c r="H5863" s="15"/>
      <c r="I5863" s="14"/>
      <c r="P5863" s="14"/>
    </row>
    <row r="5864" ht="18.75" customHeight="1">
      <c r="A5864" s="14"/>
      <c r="B5864" s="12"/>
      <c r="C5864" s="12"/>
      <c r="D5864" s="12"/>
      <c r="E5864" s="12"/>
      <c r="F5864" s="14"/>
      <c r="G5864" s="15"/>
      <c r="H5864" s="15"/>
      <c r="I5864" s="14"/>
      <c r="P5864" s="14"/>
    </row>
    <row r="5865" ht="18.75" customHeight="1">
      <c r="A5865" s="14"/>
      <c r="B5865" s="12"/>
      <c r="C5865" s="12"/>
      <c r="D5865" s="12"/>
      <c r="E5865" s="12"/>
      <c r="F5865" s="14"/>
      <c r="G5865" s="15"/>
      <c r="H5865" s="15"/>
      <c r="I5865" s="14"/>
      <c r="P5865" s="14"/>
    </row>
    <row r="5866" ht="18.75" customHeight="1">
      <c r="A5866" s="14"/>
      <c r="B5866" s="12"/>
      <c r="C5866" s="12"/>
      <c r="D5866" s="12"/>
      <c r="E5866" s="12"/>
      <c r="F5866" s="14"/>
      <c r="G5866" s="15"/>
      <c r="H5866" s="15"/>
      <c r="I5866" s="14"/>
      <c r="P5866" s="14"/>
    </row>
    <row r="5867" ht="18.75" customHeight="1">
      <c r="A5867" s="14"/>
      <c r="B5867" s="12"/>
      <c r="C5867" s="12"/>
      <c r="D5867" s="12"/>
      <c r="E5867" s="12"/>
      <c r="F5867" s="14"/>
      <c r="G5867" s="15"/>
      <c r="H5867" s="15"/>
      <c r="I5867" s="14"/>
      <c r="P5867" s="14"/>
    </row>
    <row r="5868" ht="18.75" customHeight="1">
      <c r="A5868" s="14"/>
      <c r="B5868" s="12"/>
      <c r="C5868" s="12"/>
      <c r="D5868" s="12"/>
      <c r="E5868" s="12"/>
      <c r="F5868" s="14"/>
      <c r="G5868" s="15"/>
      <c r="H5868" s="15"/>
      <c r="I5868" s="14"/>
      <c r="P5868" s="14"/>
    </row>
    <row r="5869" ht="18.75" customHeight="1">
      <c r="A5869" s="14"/>
      <c r="B5869" s="12"/>
      <c r="C5869" s="12"/>
      <c r="D5869" s="12"/>
      <c r="E5869" s="12"/>
      <c r="F5869" s="14"/>
      <c r="G5869" s="15"/>
      <c r="H5869" s="15"/>
      <c r="I5869" s="14"/>
      <c r="P5869" s="14"/>
    </row>
    <row r="5870" ht="18.75" customHeight="1">
      <c r="A5870" s="14"/>
      <c r="B5870" s="12"/>
      <c r="C5870" s="12"/>
      <c r="D5870" s="12"/>
      <c r="E5870" s="12"/>
      <c r="F5870" s="14"/>
      <c r="G5870" s="15"/>
      <c r="H5870" s="15"/>
      <c r="I5870" s="14"/>
      <c r="P5870" s="14"/>
    </row>
    <row r="5871" ht="18.75" customHeight="1">
      <c r="A5871" s="14"/>
      <c r="B5871" s="12"/>
      <c r="C5871" s="12"/>
      <c r="D5871" s="12"/>
      <c r="E5871" s="12"/>
      <c r="F5871" s="14"/>
      <c r="G5871" s="15"/>
      <c r="H5871" s="15"/>
      <c r="I5871" s="14"/>
      <c r="P5871" s="14"/>
    </row>
    <row r="5872" ht="18.75" customHeight="1">
      <c r="A5872" s="14"/>
      <c r="B5872" s="12"/>
      <c r="C5872" s="12"/>
      <c r="D5872" s="12"/>
      <c r="E5872" s="12"/>
      <c r="F5872" s="14"/>
      <c r="G5872" s="15"/>
      <c r="H5872" s="15"/>
      <c r="I5872" s="14"/>
      <c r="P5872" s="14"/>
    </row>
    <row r="5873" ht="18.75" customHeight="1">
      <c r="A5873" s="14"/>
      <c r="B5873" s="12"/>
      <c r="C5873" s="12"/>
      <c r="D5873" s="12"/>
      <c r="E5873" s="12"/>
      <c r="F5873" s="14"/>
      <c r="G5873" s="15"/>
      <c r="H5873" s="15"/>
      <c r="I5873" s="14"/>
      <c r="P5873" s="14"/>
    </row>
    <row r="5874" ht="18.75" customHeight="1">
      <c r="A5874" s="14"/>
      <c r="B5874" s="12"/>
      <c r="C5874" s="12"/>
      <c r="D5874" s="12"/>
      <c r="E5874" s="12"/>
      <c r="F5874" s="14"/>
      <c r="G5874" s="15"/>
      <c r="H5874" s="15"/>
      <c r="I5874" s="14"/>
      <c r="P5874" s="14"/>
    </row>
    <row r="5875" ht="18.75" customHeight="1">
      <c r="A5875" s="14"/>
      <c r="B5875" s="12"/>
      <c r="C5875" s="12"/>
      <c r="D5875" s="12"/>
      <c r="E5875" s="12"/>
      <c r="F5875" s="14"/>
      <c r="G5875" s="15"/>
      <c r="H5875" s="15"/>
      <c r="I5875" s="14"/>
      <c r="P5875" s="14"/>
    </row>
    <row r="5876" ht="18.75" customHeight="1">
      <c r="A5876" s="14"/>
      <c r="B5876" s="12"/>
      <c r="C5876" s="12"/>
      <c r="D5876" s="12"/>
      <c r="E5876" s="12"/>
      <c r="F5876" s="14"/>
      <c r="G5876" s="15"/>
      <c r="H5876" s="15"/>
      <c r="I5876" s="14"/>
      <c r="P5876" s="14"/>
    </row>
    <row r="5877" ht="18.75" customHeight="1">
      <c r="A5877" s="14"/>
      <c r="B5877" s="12"/>
      <c r="C5877" s="12"/>
      <c r="D5877" s="12"/>
      <c r="E5877" s="12"/>
      <c r="F5877" s="14"/>
      <c r="G5877" s="15"/>
      <c r="H5877" s="15"/>
      <c r="I5877" s="14"/>
      <c r="P5877" s="14"/>
    </row>
    <row r="5878" ht="18.75" customHeight="1">
      <c r="A5878" s="14"/>
      <c r="B5878" s="12"/>
      <c r="C5878" s="12"/>
      <c r="D5878" s="12"/>
      <c r="E5878" s="12"/>
      <c r="F5878" s="14"/>
      <c r="G5878" s="15"/>
      <c r="H5878" s="15"/>
      <c r="I5878" s="14"/>
      <c r="P5878" s="14"/>
    </row>
    <row r="5879" ht="18.75" customHeight="1">
      <c r="A5879" s="14"/>
      <c r="B5879" s="12"/>
      <c r="C5879" s="12"/>
      <c r="D5879" s="12"/>
      <c r="E5879" s="12"/>
      <c r="F5879" s="14"/>
      <c r="G5879" s="15"/>
      <c r="H5879" s="15"/>
      <c r="I5879" s="14"/>
      <c r="P5879" s="14"/>
    </row>
    <row r="5880" ht="18.75" customHeight="1">
      <c r="A5880" s="14"/>
      <c r="B5880" s="12"/>
      <c r="C5880" s="12"/>
      <c r="D5880" s="12"/>
      <c r="E5880" s="12"/>
      <c r="F5880" s="14"/>
      <c r="G5880" s="15"/>
      <c r="H5880" s="15"/>
      <c r="I5880" s="14"/>
      <c r="P5880" s="14"/>
    </row>
    <row r="5881" ht="18.75" customHeight="1">
      <c r="A5881" s="14"/>
      <c r="B5881" s="12"/>
      <c r="C5881" s="12"/>
      <c r="D5881" s="12"/>
      <c r="E5881" s="12"/>
      <c r="F5881" s="14"/>
      <c r="G5881" s="15"/>
      <c r="H5881" s="15"/>
      <c r="I5881" s="14"/>
      <c r="P5881" s="14"/>
    </row>
    <row r="5882" ht="18.75" customHeight="1">
      <c r="A5882" s="14"/>
      <c r="B5882" s="12"/>
      <c r="C5882" s="12"/>
      <c r="D5882" s="12"/>
      <c r="E5882" s="12"/>
      <c r="F5882" s="14"/>
      <c r="G5882" s="15"/>
      <c r="H5882" s="15"/>
      <c r="I5882" s="14"/>
      <c r="P5882" s="14"/>
    </row>
    <row r="5883" ht="18.75" customHeight="1">
      <c r="A5883" s="14"/>
      <c r="B5883" s="12"/>
      <c r="C5883" s="12"/>
      <c r="D5883" s="12"/>
      <c r="E5883" s="12"/>
      <c r="F5883" s="14"/>
      <c r="G5883" s="15"/>
      <c r="H5883" s="15"/>
      <c r="I5883" s="14"/>
      <c r="P5883" s="14"/>
    </row>
    <row r="5884" ht="18.75" customHeight="1">
      <c r="A5884" s="14"/>
      <c r="B5884" s="12"/>
      <c r="C5884" s="12"/>
      <c r="D5884" s="12"/>
      <c r="E5884" s="12"/>
      <c r="F5884" s="14"/>
      <c r="G5884" s="15"/>
      <c r="H5884" s="15"/>
      <c r="I5884" s="14"/>
      <c r="P5884" s="14"/>
    </row>
    <row r="5885" ht="18.75" customHeight="1">
      <c r="A5885" s="14"/>
      <c r="B5885" s="12"/>
      <c r="C5885" s="12"/>
      <c r="D5885" s="12"/>
      <c r="E5885" s="12"/>
      <c r="F5885" s="14"/>
      <c r="G5885" s="15"/>
      <c r="H5885" s="15"/>
      <c r="I5885" s="14"/>
      <c r="P5885" s="14"/>
    </row>
    <row r="5886" ht="18.75" customHeight="1">
      <c r="A5886" s="14"/>
      <c r="B5886" s="12"/>
      <c r="C5886" s="12"/>
      <c r="D5886" s="12"/>
      <c r="E5886" s="12"/>
      <c r="F5886" s="14"/>
      <c r="G5886" s="15"/>
      <c r="H5886" s="15"/>
      <c r="I5886" s="14"/>
      <c r="P5886" s="14"/>
    </row>
    <row r="5887" ht="18.75" customHeight="1">
      <c r="A5887" s="14"/>
      <c r="B5887" s="12"/>
      <c r="C5887" s="12"/>
      <c r="D5887" s="12"/>
      <c r="E5887" s="12"/>
      <c r="F5887" s="14"/>
      <c r="G5887" s="15"/>
      <c r="H5887" s="15"/>
      <c r="I5887" s="14"/>
      <c r="P5887" s="14"/>
    </row>
    <row r="5888" ht="18.75" customHeight="1">
      <c r="A5888" s="14"/>
      <c r="B5888" s="12"/>
      <c r="C5888" s="12"/>
      <c r="D5888" s="12"/>
      <c r="E5888" s="12"/>
      <c r="F5888" s="14"/>
      <c r="G5888" s="15"/>
      <c r="H5888" s="15"/>
      <c r="I5888" s="14"/>
      <c r="P5888" s="14"/>
    </row>
    <row r="5889" ht="18.75" customHeight="1">
      <c r="A5889" s="14"/>
      <c r="B5889" s="12"/>
      <c r="C5889" s="12"/>
      <c r="D5889" s="12"/>
      <c r="E5889" s="12"/>
      <c r="F5889" s="14"/>
      <c r="G5889" s="15"/>
      <c r="H5889" s="15"/>
      <c r="I5889" s="14"/>
      <c r="P5889" s="14"/>
    </row>
    <row r="5890" ht="18.75" customHeight="1">
      <c r="A5890" s="14"/>
      <c r="B5890" s="12"/>
      <c r="C5890" s="12"/>
      <c r="D5890" s="12"/>
      <c r="E5890" s="12"/>
      <c r="F5890" s="14"/>
      <c r="G5890" s="15"/>
      <c r="H5890" s="15"/>
      <c r="I5890" s="14"/>
      <c r="P5890" s="14"/>
    </row>
    <row r="5891" ht="18.75" customHeight="1">
      <c r="A5891" s="14"/>
      <c r="B5891" s="12"/>
      <c r="C5891" s="12"/>
      <c r="D5891" s="12"/>
      <c r="E5891" s="12"/>
      <c r="F5891" s="14"/>
      <c r="G5891" s="15"/>
      <c r="H5891" s="15"/>
      <c r="I5891" s="14"/>
      <c r="P5891" s="14"/>
    </row>
    <row r="5892" ht="18.75" customHeight="1">
      <c r="A5892" s="14"/>
      <c r="B5892" s="12"/>
      <c r="C5892" s="12"/>
      <c r="D5892" s="12"/>
      <c r="E5892" s="12"/>
      <c r="F5892" s="14"/>
      <c r="G5892" s="15"/>
      <c r="H5892" s="15"/>
      <c r="I5892" s="14"/>
      <c r="P5892" s="14"/>
    </row>
    <row r="5893" ht="18.75" customHeight="1">
      <c r="A5893" s="14"/>
      <c r="B5893" s="12"/>
      <c r="C5893" s="12"/>
      <c r="D5893" s="12"/>
      <c r="E5893" s="12"/>
      <c r="F5893" s="14"/>
      <c r="G5893" s="15"/>
      <c r="H5893" s="15"/>
      <c r="I5893" s="14"/>
      <c r="P5893" s="14"/>
    </row>
    <row r="5894" ht="18.75" customHeight="1">
      <c r="A5894" s="14"/>
      <c r="B5894" s="12"/>
      <c r="C5894" s="12"/>
      <c r="D5894" s="12"/>
      <c r="E5894" s="12"/>
      <c r="F5894" s="14"/>
      <c r="G5894" s="15"/>
      <c r="H5894" s="15"/>
      <c r="I5894" s="14"/>
      <c r="P5894" s="14"/>
    </row>
    <row r="5895" ht="18.75" customHeight="1">
      <c r="A5895" s="14"/>
      <c r="B5895" s="12"/>
      <c r="C5895" s="12"/>
      <c r="D5895" s="12"/>
      <c r="E5895" s="12"/>
      <c r="F5895" s="14"/>
      <c r="G5895" s="15"/>
      <c r="H5895" s="15"/>
      <c r="I5895" s="14"/>
      <c r="P5895" s="14"/>
    </row>
    <row r="5896" ht="18.75" customHeight="1">
      <c r="A5896" s="14"/>
      <c r="B5896" s="12"/>
      <c r="C5896" s="12"/>
      <c r="D5896" s="12"/>
      <c r="E5896" s="12"/>
      <c r="F5896" s="14"/>
      <c r="G5896" s="15"/>
      <c r="H5896" s="15"/>
      <c r="I5896" s="14"/>
      <c r="P5896" s="14"/>
    </row>
    <row r="5897" ht="18.75" customHeight="1">
      <c r="A5897" s="14"/>
      <c r="B5897" s="12"/>
      <c r="C5897" s="12"/>
      <c r="D5897" s="12"/>
      <c r="E5897" s="12"/>
      <c r="F5897" s="14"/>
      <c r="G5897" s="15"/>
      <c r="H5897" s="15"/>
      <c r="I5897" s="14"/>
      <c r="P5897" s="14"/>
    </row>
    <row r="5898" ht="18.75" customHeight="1">
      <c r="A5898" s="14"/>
      <c r="B5898" s="12"/>
      <c r="C5898" s="12"/>
      <c r="D5898" s="12"/>
      <c r="E5898" s="12"/>
      <c r="F5898" s="14"/>
      <c r="G5898" s="15"/>
      <c r="H5898" s="15"/>
      <c r="I5898" s="14"/>
      <c r="P5898" s="14"/>
    </row>
    <row r="5899" ht="18.75" customHeight="1">
      <c r="A5899" s="14"/>
      <c r="B5899" s="12"/>
      <c r="C5899" s="12"/>
      <c r="D5899" s="12"/>
      <c r="E5899" s="12"/>
      <c r="F5899" s="14"/>
      <c r="G5899" s="15"/>
      <c r="H5899" s="15"/>
      <c r="I5899" s="14"/>
      <c r="P5899" s="14"/>
    </row>
    <row r="5900" ht="18.75" customHeight="1">
      <c r="A5900" s="14"/>
      <c r="B5900" s="12"/>
      <c r="C5900" s="12"/>
      <c r="D5900" s="12"/>
      <c r="E5900" s="12"/>
      <c r="F5900" s="14"/>
      <c r="G5900" s="15"/>
      <c r="H5900" s="15"/>
      <c r="I5900" s="14"/>
      <c r="P5900" s="14"/>
    </row>
    <row r="5901" ht="18.75" customHeight="1">
      <c r="A5901" s="14"/>
      <c r="B5901" s="12"/>
      <c r="C5901" s="12"/>
      <c r="D5901" s="12"/>
      <c r="E5901" s="12"/>
      <c r="F5901" s="14"/>
      <c r="G5901" s="15"/>
      <c r="H5901" s="15"/>
      <c r="I5901" s="14"/>
      <c r="P5901" s="14"/>
    </row>
    <row r="5902" ht="18.75" customHeight="1">
      <c r="A5902" s="14"/>
      <c r="B5902" s="12"/>
      <c r="C5902" s="12"/>
      <c r="D5902" s="12"/>
      <c r="E5902" s="12"/>
      <c r="F5902" s="14"/>
      <c r="G5902" s="15"/>
      <c r="H5902" s="15"/>
      <c r="I5902" s="14"/>
      <c r="P5902" s="14"/>
    </row>
    <row r="5903" ht="18.75" customHeight="1">
      <c r="A5903" s="14"/>
      <c r="B5903" s="12"/>
      <c r="C5903" s="12"/>
      <c r="D5903" s="12"/>
      <c r="E5903" s="12"/>
      <c r="F5903" s="14"/>
      <c r="G5903" s="15"/>
      <c r="H5903" s="15"/>
      <c r="I5903" s="14"/>
      <c r="P5903" s="14"/>
    </row>
    <row r="5904" ht="18.75" customHeight="1">
      <c r="A5904" s="14"/>
      <c r="B5904" s="12"/>
      <c r="C5904" s="12"/>
      <c r="D5904" s="12"/>
      <c r="E5904" s="12"/>
      <c r="F5904" s="14"/>
      <c r="G5904" s="15"/>
      <c r="H5904" s="15"/>
      <c r="I5904" s="14"/>
      <c r="P5904" s="14"/>
    </row>
    <row r="5905" ht="18.75" customHeight="1">
      <c r="A5905" s="14"/>
      <c r="B5905" s="12"/>
      <c r="C5905" s="12"/>
      <c r="D5905" s="12"/>
      <c r="E5905" s="12"/>
      <c r="F5905" s="14"/>
      <c r="G5905" s="15"/>
      <c r="H5905" s="15"/>
      <c r="I5905" s="14"/>
      <c r="P5905" s="14"/>
    </row>
    <row r="5906" ht="18.75" customHeight="1">
      <c r="A5906" s="14"/>
      <c r="B5906" s="12"/>
      <c r="C5906" s="12"/>
      <c r="D5906" s="12"/>
      <c r="E5906" s="12"/>
      <c r="F5906" s="14"/>
      <c r="G5906" s="15"/>
      <c r="H5906" s="15"/>
      <c r="I5906" s="14"/>
      <c r="P5906" s="14"/>
    </row>
    <row r="5907" ht="18.75" customHeight="1">
      <c r="A5907" s="14"/>
      <c r="B5907" s="12"/>
      <c r="C5907" s="12"/>
      <c r="D5907" s="12"/>
      <c r="E5907" s="12"/>
      <c r="F5907" s="14"/>
      <c r="G5907" s="15"/>
      <c r="H5907" s="15"/>
      <c r="I5907" s="14"/>
      <c r="P5907" s="14"/>
    </row>
    <row r="5908" ht="18.75" customHeight="1">
      <c r="A5908" s="14"/>
      <c r="B5908" s="12"/>
      <c r="C5908" s="12"/>
      <c r="D5908" s="12"/>
      <c r="E5908" s="12"/>
      <c r="F5908" s="14"/>
      <c r="G5908" s="15"/>
      <c r="H5908" s="15"/>
      <c r="I5908" s="14"/>
      <c r="P5908" s="14"/>
    </row>
    <row r="5909" ht="18.75" customHeight="1">
      <c r="A5909" s="14"/>
      <c r="B5909" s="12"/>
      <c r="C5909" s="12"/>
      <c r="D5909" s="12"/>
      <c r="E5909" s="12"/>
      <c r="F5909" s="14"/>
      <c r="G5909" s="15"/>
      <c r="H5909" s="15"/>
      <c r="I5909" s="14"/>
      <c r="P5909" s="14"/>
    </row>
    <row r="5910" ht="18.75" customHeight="1">
      <c r="A5910" s="14"/>
      <c r="B5910" s="12"/>
      <c r="C5910" s="12"/>
      <c r="D5910" s="12"/>
      <c r="E5910" s="12"/>
      <c r="F5910" s="14"/>
      <c r="G5910" s="15"/>
      <c r="H5910" s="15"/>
      <c r="I5910" s="14"/>
      <c r="P5910" s="14"/>
    </row>
    <row r="5911" ht="18.75" customHeight="1">
      <c r="A5911" s="14"/>
      <c r="B5911" s="12"/>
      <c r="C5911" s="12"/>
      <c r="D5911" s="12"/>
      <c r="E5911" s="12"/>
      <c r="F5911" s="14"/>
      <c r="G5911" s="15"/>
      <c r="H5911" s="15"/>
      <c r="I5911" s="14"/>
      <c r="P5911" s="14"/>
    </row>
    <row r="5912" ht="18.75" customHeight="1">
      <c r="A5912" s="14"/>
      <c r="B5912" s="12"/>
      <c r="C5912" s="12"/>
      <c r="D5912" s="12"/>
      <c r="E5912" s="12"/>
      <c r="F5912" s="14"/>
      <c r="G5912" s="15"/>
      <c r="H5912" s="15"/>
      <c r="I5912" s="14"/>
      <c r="P5912" s="14"/>
    </row>
    <row r="5913" ht="18.75" customHeight="1">
      <c r="A5913" s="14"/>
      <c r="B5913" s="12"/>
      <c r="C5913" s="12"/>
      <c r="D5913" s="12"/>
      <c r="E5913" s="12"/>
      <c r="F5913" s="14"/>
      <c r="G5913" s="15"/>
      <c r="H5913" s="15"/>
      <c r="I5913" s="14"/>
      <c r="P5913" s="14"/>
    </row>
    <row r="5914" ht="18.75" customHeight="1">
      <c r="A5914" s="14"/>
      <c r="B5914" s="12"/>
      <c r="C5914" s="12"/>
      <c r="D5914" s="12"/>
      <c r="E5914" s="12"/>
      <c r="F5914" s="14"/>
      <c r="G5914" s="15"/>
      <c r="H5914" s="15"/>
      <c r="I5914" s="14"/>
      <c r="P5914" s="14"/>
    </row>
    <row r="5915" ht="18.75" customHeight="1">
      <c r="A5915" s="14"/>
      <c r="B5915" s="12"/>
      <c r="C5915" s="12"/>
      <c r="D5915" s="12"/>
      <c r="E5915" s="12"/>
      <c r="F5915" s="14"/>
      <c r="G5915" s="15"/>
      <c r="H5915" s="15"/>
      <c r="I5915" s="14"/>
      <c r="P5915" s="14"/>
    </row>
    <row r="5916" ht="18.75" customHeight="1">
      <c r="A5916" s="14"/>
      <c r="B5916" s="12"/>
      <c r="C5916" s="12"/>
      <c r="D5916" s="12"/>
      <c r="E5916" s="12"/>
      <c r="F5916" s="14"/>
      <c r="G5916" s="15"/>
      <c r="H5916" s="15"/>
      <c r="I5916" s="14"/>
      <c r="P5916" s="14"/>
    </row>
    <row r="5917" ht="18.75" customHeight="1">
      <c r="A5917" s="14"/>
      <c r="B5917" s="12"/>
      <c r="C5917" s="12"/>
      <c r="D5917" s="12"/>
      <c r="E5917" s="12"/>
      <c r="F5917" s="14"/>
      <c r="G5917" s="15"/>
      <c r="H5917" s="15"/>
      <c r="I5917" s="14"/>
      <c r="P5917" s="14"/>
    </row>
    <row r="5918" ht="18.75" customHeight="1">
      <c r="A5918" s="14"/>
      <c r="B5918" s="12"/>
      <c r="C5918" s="12"/>
      <c r="D5918" s="12"/>
      <c r="E5918" s="12"/>
      <c r="F5918" s="14"/>
      <c r="G5918" s="15"/>
      <c r="H5918" s="15"/>
      <c r="I5918" s="14"/>
      <c r="P5918" s="14"/>
    </row>
    <row r="5919" ht="18.75" customHeight="1">
      <c r="A5919" s="14"/>
      <c r="B5919" s="12"/>
      <c r="C5919" s="12"/>
      <c r="D5919" s="12"/>
      <c r="E5919" s="12"/>
      <c r="F5919" s="14"/>
      <c r="G5919" s="15"/>
      <c r="H5919" s="15"/>
      <c r="I5919" s="14"/>
      <c r="P5919" s="14"/>
    </row>
    <row r="5920" ht="18.75" customHeight="1">
      <c r="A5920" s="14"/>
      <c r="B5920" s="12"/>
      <c r="C5920" s="12"/>
      <c r="D5920" s="12"/>
      <c r="E5920" s="12"/>
      <c r="F5920" s="14"/>
      <c r="G5920" s="15"/>
      <c r="H5920" s="15"/>
      <c r="I5920" s="14"/>
      <c r="P5920" s="14"/>
    </row>
    <row r="5921" ht="18.75" customHeight="1">
      <c r="A5921" s="14"/>
      <c r="B5921" s="12"/>
      <c r="C5921" s="12"/>
      <c r="D5921" s="12"/>
      <c r="E5921" s="12"/>
      <c r="F5921" s="14"/>
      <c r="G5921" s="15"/>
      <c r="H5921" s="15"/>
      <c r="I5921" s="14"/>
      <c r="P5921" s="14"/>
    </row>
    <row r="5922" ht="18.75" customHeight="1">
      <c r="A5922" s="14"/>
      <c r="B5922" s="12"/>
      <c r="C5922" s="12"/>
      <c r="D5922" s="12"/>
      <c r="E5922" s="12"/>
      <c r="F5922" s="14"/>
      <c r="G5922" s="15"/>
      <c r="H5922" s="15"/>
      <c r="I5922" s="14"/>
      <c r="P5922" s="14"/>
    </row>
    <row r="5923" ht="18.75" customHeight="1">
      <c r="A5923" s="14"/>
      <c r="B5923" s="12"/>
      <c r="C5923" s="12"/>
      <c r="D5923" s="12"/>
      <c r="E5923" s="12"/>
      <c r="F5923" s="14"/>
      <c r="G5923" s="15"/>
      <c r="H5923" s="15"/>
      <c r="I5923" s="14"/>
      <c r="P5923" s="14"/>
    </row>
    <row r="5924" ht="18.75" customHeight="1">
      <c r="A5924" s="14"/>
      <c r="B5924" s="12"/>
      <c r="C5924" s="12"/>
      <c r="D5924" s="12"/>
      <c r="E5924" s="12"/>
      <c r="F5924" s="14"/>
      <c r="G5924" s="15"/>
      <c r="H5924" s="15"/>
      <c r="I5924" s="14"/>
      <c r="P5924" s="14"/>
    </row>
    <row r="5925" ht="18.75" customHeight="1">
      <c r="A5925" s="14"/>
      <c r="B5925" s="12"/>
      <c r="C5925" s="12"/>
      <c r="D5925" s="12"/>
      <c r="E5925" s="12"/>
      <c r="F5925" s="14"/>
      <c r="G5925" s="15"/>
      <c r="H5925" s="15"/>
      <c r="I5925" s="14"/>
      <c r="P5925" s="14"/>
    </row>
    <row r="5926" ht="18.75" customHeight="1">
      <c r="A5926" s="14"/>
      <c r="B5926" s="12"/>
      <c r="C5926" s="12"/>
      <c r="D5926" s="12"/>
      <c r="E5926" s="12"/>
      <c r="F5926" s="14"/>
      <c r="G5926" s="15"/>
      <c r="H5926" s="15"/>
      <c r="I5926" s="14"/>
      <c r="P5926" s="14"/>
    </row>
    <row r="5927" ht="18.75" customHeight="1">
      <c r="A5927" s="14"/>
      <c r="B5927" s="12"/>
      <c r="C5927" s="12"/>
      <c r="D5927" s="12"/>
      <c r="E5927" s="12"/>
      <c r="F5927" s="14"/>
      <c r="G5927" s="15"/>
      <c r="H5927" s="15"/>
      <c r="I5927" s="14"/>
      <c r="P5927" s="14"/>
    </row>
    <row r="5928" ht="18.75" customHeight="1">
      <c r="A5928" s="14"/>
      <c r="B5928" s="12"/>
      <c r="C5928" s="12"/>
      <c r="D5928" s="12"/>
      <c r="E5928" s="12"/>
      <c r="F5928" s="14"/>
      <c r="G5928" s="15"/>
      <c r="H5928" s="15"/>
      <c r="I5928" s="14"/>
      <c r="P5928" s="14"/>
    </row>
    <row r="5929" ht="18.75" customHeight="1">
      <c r="A5929" s="14"/>
      <c r="B5929" s="12"/>
      <c r="C5929" s="12"/>
      <c r="D5929" s="12"/>
      <c r="E5929" s="12"/>
      <c r="F5929" s="14"/>
      <c r="G5929" s="15"/>
      <c r="H5929" s="15"/>
      <c r="I5929" s="14"/>
      <c r="P5929" s="14"/>
    </row>
    <row r="5930" ht="18.75" customHeight="1">
      <c r="A5930" s="14"/>
      <c r="B5930" s="12"/>
      <c r="C5930" s="12"/>
      <c r="D5930" s="12"/>
      <c r="E5930" s="12"/>
      <c r="F5930" s="14"/>
      <c r="G5930" s="15"/>
      <c r="H5930" s="15"/>
      <c r="I5930" s="14"/>
      <c r="P5930" s="14"/>
    </row>
    <row r="5931" ht="18.75" customHeight="1">
      <c r="A5931" s="14"/>
      <c r="B5931" s="12"/>
      <c r="C5931" s="12"/>
      <c r="D5931" s="12"/>
      <c r="E5931" s="12"/>
      <c r="F5931" s="14"/>
      <c r="G5931" s="15"/>
      <c r="H5931" s="15"/>
      <c r="I5931" s="14"/>
      <c r="P5931" s="14"/>
    </row>
    <row r="5932" ht="18.75" customHeight="1">
      <c r="A5932" s="14"/>
      <c r="B5932" s="12"/>
      <c r="C5932" s="12"/>
      <c r="D5932" s="12"/>
      <c r="E5932" s="12"/>
      <c r="F5932" s="14"/>
      <c r="G5932" s="15"/>
      <c r="H5932" s="15"/>
      <c r="I5932" s="14"/>
      <c r="P5932" s="14"/>
    </row>
    <row r="5933" ht="18.75" customHeight="1">
      <c r="A5933" s="14"/>
      <c r="B5933" s="12"/>
      <c r="C5933" s="12"/>
      <c r="D5933" s="12"/>
      <c r="E5933" s="12"/>
      <c r="F5933" s="14"/>
      <c r="G5933" s="15"/>
      <c r="H5933" s="15"/>
      <c r="I5933" s="14"/>
      <c r="P5933" s="14"/>
    </row>
    <row r="5934" ht="18.75" customHeight="1">
      <c r="A5934" s="14"/>
      <c r="B5934" s="12"/>
      <c r="C5934" s="12"/>
      <c r="D5934" s="12"/>
      <c r="E5934" s="12"/>
      <c r="F5934" s="14"/>
      <c r="G5934" s="15"/>
      <c r="H5934" s="15"/>
      <c r="I5934" s="14"/>
      <c r="P5934" s="14"/>
    </row>
    <row r="5935" ht="18.75" customHeight="1">
      <c r="A5935" s="14"/>
      <c r="B5935" s="12"/>
      <c r="C5935" s="12"/>
      <c r="D5935" s="12"/>
      <c r="E5935" s="12"/>
      <c r="F5935" s="14"/>
      <c r="G5935" s="15"/>
      <c r="H5935" s="15"/>
      <c r="I5935" s="14"/>
      <c r="P5935" s="14"/>
    </row>
    <row r="5936" ht="18.75" customHeight="1">
      <c r="A5936" s="14"/>
      <c r="B5936" s="12"/>
      <c r="C5936" s="12"/>
      <c r="D5936" s="12"/>
      <c r="E5936" s="12"/>
      <c r="F5936" s="14"/>
      <c r="G5936" s="15"/>
      <c r="H5936" s="15"/>
      <c r="I5936" s="14"/>
      <c r="P5936" s="14"/>
    </row>
    <row r="5937" ht="18.75" customHeight="1">
      <c r="A5937" s="14"/>
      <c r="B5937" s="12"/>
      <c r="C5937" s="12"/>
      <c r="D5937" s="12"/>
      <c r="E5937" s="12"/>
      <c r="F5937" s="14"/>
      <c r="G5937" s="15"/>
      <c r="H5937" s="15"/>
      <c r="I5937" s="14"/>
      <c r="P5937" s="14"/>
    </row>
    <row r="5938" ht="18.75" customHeight="1">
      <c r="A5938" s="14"/>
      <c r="B5938" s="12"/>
      <c r="C5938" s="12"/>
      <c r="D5938" s="12"/>
      <c r="E5938" s="12"/>
      <c r="F5938" s="14"/>
      <c r="G5938" s="15"/>
      <c r="H5938" s="15"/>
      <c r="I5938" s="14"/>
      <c r="P5938" s="14"/>
    </row>
    <row r="5939" ht="18.75" customHeight="1">
      <c r="A5939" s="14"/>
      <c r="B5939" s="12"/>
      <c r="C5939" s="12"/>
      <c r="D5939" s="12"/>
      <c r="E5939" s="12"/>
      <c r="F5939" s="14"/>
      <c r="G5939" s="15"/>
      <c r="H5939" s="15"/>
      <c r="I5939" s="14"/>
      <c r="P5939" s="14"/>
    </row>
    <row r="5940" ht="18.75" customHeight="1">
      <c r="A5940" s="14"/>
      <c r="B5940" s="12"/>
      <c r="C5940" s="12"/>
      <c r="D5940" s="12"/>
      <c r="E5940" s="12"/>
      <c r="F5940" s="14"/>
      <c r="G5940" s="15"/>
      <c r="H5940" s="15"/>
      <c r="I5940" s="14"/>
      <c r="P5940" s="14"/>
    </row>
    <row r="5941" ht="18.75" customHeight="1">
      <c r="A5941" s="14"/>
      <c r="B5941" s="12"/>
      <c r="C5941" s="12"/>
      <c r="D5941" s="12"/>
      <c r="E5941" s="12"/>
      <c r="F5941" s="14"/>
      <c r="G5941" s="15"/>
      <c r="H5941" s="15"/>
      <c r="I5941" s="14"/>
      <c r="P5941" s="14"/>
    </row>
    <row r="5942" ht="18.75" customHeight="1">
      <c r="A5942" s="14"/>
      <c r="B5942" s="12"/>
      <c r="C5942" s="12"/>
      <c r="D5942" s="12"/>
      <c r="E5942" s="12"/>
      <c r="F5942" s="14"/>
      <c r="G5942" s="15"/>
      <c r="H5942" s="15"/>
      <c r="I5942" s="14"/>
      <c r="P5942" s="14"/>
    </row>
    <row r="5943" ht="18.75" customHeight="1">
      <c r="A5943" s="14"/>
      <c r="B5943" s="12"/>
      <c r="C5943" s="12"/>
      <c r="D5943" s="12"/>
      <c r="E5943" s="12"/>
      <c r="F5943" s="14"/>
      <c r="G5943" s="15"/>
      <c r="H5943" s="15"/>
      <c r="I5943" s="14"/>
      <c r="P5943" s="14"/>
    </row>
    <row r="5944" ht="18.75" customHeight="1">
      <c r="A5944" s="14"/>
      <c r="B5944" s="12"/>
      <c r="C5944" s="12"/>
      <c r="D5944" s="12"/>
      <c r="E5944" s="12"/>
      <c r="F5944" s="14"/>
      <c r="G5944" s="15"/>
      <c r="H5944" s="15"/>
      <c r="I5944" s="14"/>
      <c r="P5944" s="14"/>
    </row>
    <row r="5945" ht="18.75" customHeight="1">
      <c r="A5945" s="14"/>
      <c r="B5945" s="12"/>
      <c r="C5945" s="12"/>
      <c r="D5945" s="12"/>
      <c r="E5945" s="12"/>
      <c r="F5945" s="14"/>
      <c r="G5945" s="15"/>
      <c r="H5945" s="15"/>
      <c r="I5945" s="14"/>
      <c r="P5945" s="14"/>
    </row>
    <row r="5946" ht="18.75" customHeight="1">
      <c r="A5946" s="14"/>
      <c r="B5946" s="12"/>
      <c r="C5946" s="12"/>
      <c r="D5946" s="12"/>
      <c r="E5946" s="12"/>
      <c r="F5946" s="14"/>
      <c r="G5946" s="15"/>
      <c r="H5946" s="15"/>
      <c r="I5946" s="14"/>
      <c r="P5946" s="14"/>
    </row>
    <row r="5947" ht="18.75" customHeight="1">
      <c r="A5947" s="14"/>
      <c r="B5947" s="12"/>
      <c r="C5947" s="12"/>
      <c r="D5947" s="12"/>
      <c r="E5947" s="12"/>
      <c r="F5947" s="14"/>
      <c r="G5947" s="15"/>
      <c r="H5947" s="15"/>
      <c r="I5947" s="14"/>
      <c r="P5947" s="14"/>
    </row>
    <row r="5948" ht="18.75" customHeight="1">
      <c r="A5948" s="14"/>
      <c r="B5948" s="12"/>
      <c r="C5948" s="12"/>
      <c r="D5948" s="12"/>
      <c r="E5948" s="12"/>
      <c r="F5948" s="14"/>
      <c r="G5948" s="15"/>
      <c r="H5948" s="15"/>
      <c r="I5948" s="14"/>
      <c r="P5948" s="14"/>
    </row>
    <row r="5949" ht="18.75" customHeight="1">
      <c r="A5949" s="14"/>
      <c r="B5949" s="12"/>
      <c r="C5949" s="12"/>
      <c r="D5949" s="12"/>
      <c r="E5949" s="12"/>
      <c r="F5949" s="14"/>
      <c r="G5949" s="15"/>
      <c r="H5949" s="15"/>
      <c r="I5949" s="14"/>
      <c r="P5949" s="14"/>
    </row>
    <row r="5950" ht="18.75" customHeight="1">
      <c r="A5950" s="14"/>
      <c r="B5950" s="12"/>
      <c r="C5950" s="12"/>
      <c r="D5950" s="12"/>
      <c r="E5950" s="12"/>
      <c r="F5950" s="14"/>
      <c r="G5950" s="15"/>
      <c r="H5950" s="15"/>
      <c r="I5950" s="14"/>
      <c r="P5950" s="14"/>
    </row>
    <row r="5951" ht="18.75" customHeight="1">
      <c r="A5951" s="14"/>
      <c r="B5951" s="12"/>
      <c r="C5951" s="12"/>
      <c r="D5951" s="12"/>
      <c r="E5951" s="12"/>
      <c r="F5951" s="14"/>
      <c r="G5951" s="15"/>
      <c r="H5951" s="15"/>
      <c r="I5951" s="14"/>
      <c r="P5951" s="14"/>
    </row>
    <row r="5952" ht="18.75" customHeight="1">
      <c r="A5952" s="14"/>
      <c r="B5952" s="12"/>
      <c r="C5952" s="12"/>
      <c r="D5952" s="12"/>
      <c r="E5952" s="12"/>
      <c r="F5952" s="14"/>
      <c r="G5952" s="15"/>
      <c r="H5952" s="15"/>
      <c r="I5952" s="14"/>
      <c r="P5952" s="14"/>
    </row>
    <row r="5953" ht="18.75" customHeight="1">
      <c r="A5953" s="14"/>
      <c r="B5953" s="12"/>
      <c r="C5953" s="12"/>
      <c r="D5953" s="12"/>
      <c r="E5953" s="12"/>
      <c r="F5953" s="14"/>
      <c r="G5953" s="15"/>
      <c r="H5953" s="15"/>
      <c r="I5953" s="14"/>
      <c r="P5953" s="14"/>
    </row>
    <row r="5954" ht="18.75" customHeight="1">
      <c r="A5954" s="14"/>
      <c r="B5954" s="12"/>
      <c r="C5954" s="12"/>
      <c r="D5954" s="12"/>
      <c r="E5954" s="12"/>
      <c r="F5954" s="14"/>
      <c r="G5954" s="15"/>
      <c r="H5954" s="15"/>
      <c r="I5954" s="14"/>
      <c r="P5954" s="14"/>
    </row>
    <row r="5955" ht="18.75" customHeight="1">
      <c r="A5955" s="14"/>
      <c r="B5955" s="12"/>
      <c r="C5955" s="12"/>
      <c r="D5955" s="12"/>
      <c r="E5955" s="12"/>
      <c r="F5955" s="14"/>
      <c r="G5955" s="15"/>
      <c r="H5955" s="15"/>
      <c r="I5955" s="14"/>
      <c r="P5955" s="14"/>
    </row>
    <row r="5956" ht="18.75" customHeight="1">
      <c r="A5956" s="14"/>
      <c r="B5956" s="12"/>
      <c r="C5956" s="12"/>
      <c r="D5956" s="12"/>
      <c r="E5956" s="12"/>
      <c r="F5956" s="14"/>
      <c r="G5956" s="15"/>
      <c r="H5956" s="15"/>
      <c r="I5956" s="14"/>
      <c r="P5956" s="14"/>
    </row>
    <row r="5957" ht="18.75" customHeight="1">
      <c r="A5957" s="14"/>
      <c r="B5957" s="12"/>
      <c r="C5957" s="12"/>
      <c r="D5957" s="12"/>
      <c r="E5957" s="12"/>
      <c r="F5957" s="14"/>
      <c r="G5957" s="15"/>
      <c r="H5957" s="15"/>
      <c r="I5957" s="14"/>
      <c r="P5957" s="14"/>
    </row>
    <row r="5958" ht="18.75" customHeight="1">
      <c r="A5958" s="14"/>
      <c r="B5958" s="12"/>
      <c r="C5958" s="12"/>
      <c r="D5958" s="12"/>
      <c r="E5958" s="12"/>
      <c r="F5958" s="14"/>
      <c r="G5958" s="15"/>
      <c r="H5958" s="15"/>
      <c r="I5958" s="14"/>
      <c r="P5958" s="14"/>
    </row>
    <row r="5959" ht="18.75" customHeight="1">
      <c r="A5959" s="14"/>
      <c r="B5959" s="12"/>
      <c r="C5959" s="12"/>
      <c r="D5959" s="12"/>
      <c r="E5959" s="12"/>
      <c r="F5959" s="14"/>
      <c r="G5959" s="15"/>
      <c r="H5959" s="15"/>
      <c r="I5959" s="14"/>
      <c r="P5959" s="14"/>
    </row>
    <row r="5960" ht="18.75" customHeight="1">
      <c r="A5960" s="14"/>
      <c r="B5960" s="12"/>
      <c r="C5960" s="12"/>
      <c r="D5960" s="12"/>
      <c r="E5960" s="12"/>
      <c r="F5960" s="14"/>
      <c r="G5960" s="15"/>
      <c r="H5960" s="15"/>
      <c r="I5960" s="14"/>
      <c r="P5960" s="14"/>
    </row>
    <row r="5961" ht="18.75" customHeight="1">
      <c r="A5961" s="14"/>
      <c r="B5961" s="12"/>
      <c r="C5961" s="12"/>
      <c r="D5961" s="12"/>
      <c r="E5961" s="12"/>
      <c r="F5961" s="14"/>
      <c r="G5961" s="15"/>
      <c r="H5961" s="15"/>
      <c r="I5961" s="14"/>
      <c r="P5961" s="14"/>
    </row>
    <row r="5962" ht="18.75" customHeight="1">
      <c r="A5962" s="14"/>
      <c r="B5962" s="12"/>
      <c r="C5962" s="12"/>
      <c r="D5962" s="12"/>
      <c r="E5962" s="12"/>
      <c r="F5962" s="14"/>
      <c r="G5962" s="15"/>
      <c r="H5962" s="15"/>
      <c r="I5962" s="14"/>
      <c r="P5962" s="14"/>
    </row>
    <row r="5963" ht="18.75" customHeight="1">
      <c r="A5963" s="14"/>
      <c r="B5963" s="12"/>
      <c r="C5963" s="12"/>
      <c r="D5963" s="12"/>
      <c r="E5963" s="12"/>
      <c r="F5963" s="14"/>
      <c r="G5963" s="15"/>
      <c r="H5963" s="15"/>
      <c r="I5963" s="14"/>
      <c r="P5963" s="14"/>
    </row>
    <row r="5964" ht="18.75" customHeight="1">
      <c r="A5964" s="14"/>
      <c r="B5964" s="12"/>
      <c r="C5964" s="12"/>
      <c r="D5964" s="12"/>
      <c r="E5964" s="12"/>
      <c r="F5964" s="14"/>
      <c r="G5964" s="15"/>
      <c r="H5964" s="15"/>
      <c r="I5964" s="14"/>
      <c r="P5964" s="14"/>
    </row>
    <row r="5965" ht="18.75" customHeight="1">
      <c r="A5965" s="14"/>
      <c r="B5965" s="12"/>
      <c r="C5965" s="12"/>
      <c r="D5965" s="12"/>
      <c r="E5965" s="12"/>
      <c r="F5965" s="14"/>
      <c r="G5965" s="15"/>
      <c r="H5965" s="15"/>
      <c r="I5965" s="14"/>
      <c r="P5965" s="14"/>
    </row>
    <row r="5966" ht="18.75" customHeight="1">
      <c r="A5966" s="14"/>
      <c r="B5966" s="12"/>
      <c r="C5966" s="12"/>
      <c r="D5966" s="12"/>
      <c r="E5966" s="12"/>
      <c r="F5966" s="14"/>
      <c r="G5966" s="15"/>
      <c r="H5966" s="15"/>
      <c r="I5966" s="14"/>
      <c r="P5966" s="14"/>
    </row>
    <row r="5967" ht="18.75" customHeight="1">
      <c r="A5967" s="14"/>
      <c r="B5967" s="12"/>
      <c r="C5967" s="12"/>
      <c r="D5967" s="12"/>
      <c r="E5967" s="12"/>
      <c r="F5967" s="14"/>
      <c r="G5967" s="15"/>
      <c r="H5967" s="15"/>
      <c r="I5967" s="14"/>
      <c r="P5967" s="14"/>
    </row>
    <row r="5968" ht="18.75" customHeight="1">
      <c r="A5968" s="14"/>
      <c r="B5968" s="12"/>
      <c r="C5968" s="12"/>
      <c r="D5968" s="12"/>
      <c r="E5968" s="12"/>
      <c r="F5968" s="14"/>
      <c r="G5968" s="15"/>
      <c r="H5968" s="15"/>
      <c r="I5968" s="14"/>
      <c r="P5968" s="14"/>
    </row>
    <row r="5969" ht="18.75" customHeight="1">
      <c r="A5969" s="14"/>
      <c r="B5969" s="12"/>
      <c r="C5969" s="12"/>
      <c r="D5969" s="12"/>
      <c r="E5969" s="12"/>
      <c r="F5969" s="14"/>
      <c r="G5969" s="15"/>
      <c r="H5969" s="15"/>
      <c r="I5969" s="14"/>
      <c r="P5969" s="14"/>
    </row>
    <row r="5970" ht="18.75" customHeight="1">
      <c r="A5970" s="14"/>
      <c r="B5970" s="12"/>
      <c r="C5970" s="12"/>
      <c r="D5970" s="12"/>
      <c r="E5970" s="12"/>
      <c r="F5970" s="14"/>
      <c r="G5970" s="15"/>
      <c r="H5970" s="15"/>
      <c r="I5970" s="14"/>
      <c r="P5970" s="14"/>
    </row>
    <row r="5971" ht="18.75" customHeight="1">
      <c r="A5971" s="14"/>
      <c r="B5971" s="12"/>
      <c r="C5971" s="12"/>
      <c r="D5971" s="12"/>
      <c r="E5971" s="12"/>
      <c r="F5971" s="14"/>
      <c r="G5971" s="15"/>
      <c r="H5971" s="15"/>
      <c r="I5971" s="14"/>
      <c r="P5971" s="14"/>
    </row>
    <row r="5972" ht="18.75" customHeight="1">
      <c r="A5972" s="14"/>
      <c r="B5972" s="12"/>
      <c r="C5972" s="12"/>
      <c r="D5972" s="12"/>
      <c r="E5972" s="12"/>
      <c r="F5972" s="14"/>
      <c r="G5972" s="15"/>
      <c r="H5972" s="15"/>
      <c r="I5972" s="14"/>
      <c r="P5972" s="14"/>
    </row>
    <row r="5973" ht="18.75" customHeight="1">
      <c r="A5973" s="14"/>
      <c r="B5973" s="12"/>
      <c r="C5973" s="12"/>
      <c r="D5973" s="12"/>
      <c r="E5973" s="12"/>
      <c r="F5973" s="14"/>
      <c r="G5973" s="15"/>
      <c r="H5973" s="15"/>
      <c r="I5973" s="14"/>
      <c r="P5973" s="14"/>
    </row>
    <row r="5974" ht="18.75" customHeight="1">
      <c r="A5974" s="14"/>
      <c r="B5974" s="12"/>
      <c r="C5974" s="12"/>
      <c r="D5974" s="12"/>
      <c r="E5974" s="12"/>
      <c r="F5974" s="14"/>
      <c r="G5974" s="15"/>
      <c r="H5974" s="15"/>
      <c r="I5974" s="14"/>
      <c r="P5974" s="14"/>
    </row>
    <row r="5975" ht="18.75" customHeight="1">
      <c r="A5975" s="14"/>
      <c r="B5975" s="12"/>
      <c r="C5975" s="12"/>
      <c r="D5975" s="12"/>
      <c r="E5975" s="12"/>
      <c r="F5975" s="14"/>
      <c r="G5975" s="15"/>
      <c r="H5975" s="15"/>
      <c r="I5975" s="14"/>
      <c r="P5975" s="14"/>
    </row>
    <row r="5976" ht="18.75" customHeight="1">
      <c r="A5976" s="14"/>
      <c r="B5976" s="12"/>
      <c r="C5976" s="12"/>
      <c r="D5976" s="12"/>
      <c r="E5976" s="12"/>
      <c r="F5976" s="14"/>
      <c r="G5976" s="15"/>
      <c r="H5976" s="15"/>
      <c r="I5976" s="14"/>
      <c r="P5976" s="14"/>
    </row>
    <row r="5977" ht="18.75" customHeight="1">
      <c r="A5977" s="14"/>
      <c r="B5977" s="12"/>
      <c r="C5977" s="12"/>
      <c r="D5977" s="12"/>
      <c r="E5977" s="12"/>
      <c r="F5977" s="14"/>
      <c r="G5977" s="15"/>
      <c r="H5977" s="15"/>
      <c r="I5977" s="14"/>
      <c r="P5977" s="14"/>
    </row>
    <row r="5978" ht="18.75" customHeight="1">
      <c r="A5978" s="14"/>
      <c r="B5978" s="12"/>
      <c r="C5978" s="12"/>
      <c r="D5978" s="12"/>
      <c r="E5978" s="12"/>
      <c r="F5978" s="14"/>
      <c r="G5978" s="15"/>
      <c r="H5978" s="15"/>
      <c r="I5978" s="14"/>
      <c r="P5978" s="14"/>
    </row>
    <row r="5979" ht="18.75" customHeight="1">
      <c r="A5979" s="14"/>
      <c r="B5979" s="12"/>
      <c r="C5979" s="12"/>
      <c r="D5979" s="12"/>
      <c r="E5979" s="12"/>
      <c r="F5979" s="14"/>
      <c r="G5979" s="15"/>
      <c r="H5979" s="15"/>
      <c r="I5979" s="14"/>
      <c r="P5979" s="14"/>
    </row>
    <row r="5980" ht="18.75" customHeight="1">
      <c r="A5980" s="14"/>
      <c r="B5980" s="12"/>
      <c r="C5980" s="12"/>
      <c r="D5980" s="12"/>
      <c r="E5980" s="12"/>
      <c r="F5980" s="14"/>
      <c r="G5980" s="15"/>
      <c r="H5980" s="15"/>
      <c r="I5980" s="14"/>
      <c r="P5980" s="14"/>
    </row>
    <row r="5981" ht="18.75" customHeight="1">
      <c r="A5981" s="14"/>
      <c r="B5981" s="12"/>
      <c r="C5981" s="12"/>
      <c r="D5981" s="12"/>
      <c r="E5981" s="12"/>
      <c r="F5981" s="14"/>
      <c r="G5981" s="15"/>
      <c r="H5981" s="15"/>
      <c r="I5981" s="14"/>
      <c r="P5981" s="14"/>
    </row>
    <row r="5982" ht="18.75" customHeight="1">
      <c r="A5982" s="14"/>
      <c r="B5982" s="12"/>
      <c r="C5982" s="12"/>
      <c r="D5982" s="12"/>
      <c r="E5982" s="12"/>
      <c r="F5982" s="14"/>
      <c r="G5982" s="15"/>
      <c r="H5982" s="15"/>
      <c r="I5982" s="14"/>
      <c r="P5982" s="14"/>
    </row>
    <row r="5983" ht="18.75" customHeight="1">
      <c r="A5983" s="14"/>
      <c r="B5983" s="12"/>
      <c r="C5983" s="12"/>
      <c r="D5983" s="12"/>
      <c r="E5983" s="12"/>
      <c r="F5983" s="14"/>
      <c r="G5983" s="15"/>
      <c r="H5983" s="15"/>
      <c r="I5983" s="14"/>
      <c r="P5983" s="14"/>
    </row>
    <row r="5984" ht="18.75" customHeight="1">
      <c r="A5984" s="14"/>
      <c r="B5984" s="12"/>
      <c r="C5984" s="12"/>
      <c r="D5984" s="12"/>
      <c r="E5984" s="12"/>
      <c r="F5984" s="14"/>
      <c r="G5984" s="15"/>
      <c r="H5984" s="15"/>
      <c r="I5984" s="14"/>
      <c r="P5984" s="14"/>
    </row>
    <row r="5985" ht="18.75" customHeight="1">
      <c r="A5985" s="14"/>
      <c r="B5985" s="12"/>
      <c r="C5985" s="12"/>
      <c r="D5985" s="12"/>
      <c r="E5985" s="12"/>
      <c r="F5985" s="14"/>
      <c r="G5985" s="15"/>
      <c r="H5985" s="15"/>
      <c r="I5985" s="14"/>
      <c r="P5985" s="14"/>
    </row>
    <row r="5986" ht="18.75" customHeight="1">
      <c r="A5986" s="14"/>
      <c r="B5986" s="12"/>
      <c r="C5986" s="12"/>
      <c r="D5986" s="12"/>
      <c r="E5986" s="12"/>
      <c r="F5986" s="14"/>
      <c r="G5986" s="15"/>
      <c r="H5986" s="15"/>
      <c r="I5986" s="14"/>
      <c r="P5986" s="14"/>
    </row>
    <row r="5987" ht="18.75" customHeight="1">
      <c r="A5987" s="14"/>
      <c r="B5987" s="12"/>
      <c r="C5987" s="12"/>
      <c r="D5987" s="12"/>
      <c r="E5987" s="12"/>
      <c r="F5987" s="14"/>
      <c r="G5987" s="15"/>
      <c r="H5987" s="15"/>
      <c r="I5987" s="14"/>
      <c r="P5987" s="14"/>
    </row>
    <row r="5988" ht="18.75" customHeight="1">
      <c r="A5988" s="14"/>
      <c r="B5988" s="12"/>
      <c r="C5988" s="12"/>
      <c r="D5988" s="12"/>
      <c r="E5988" s="12"/>
      <c r="F5988" s="14"/>
      <c r="G5988" s="15"/>
      <c r="H5988" s="15"/>
      <c r="I5988" s="14"/>
      <c r="P5988" s="14"/>
    </row>
    <row r="5989" ht="18.75" customHeight="1">
      <c r="A5989" s="14"/>
      <c r="B5989" s="12"/>
      <c r="C5989" s="12"/>
      <c r="D5989" s="12"/>
      <c r="E5989" s="12"/>
      <c r="F5989" s="14"/>
      <c r="G5989" s="15"/>
      <c r="H5989" s="15"/>
      <c r="I5989" s="14"/>
      <c r="P5989" s="14"/>
    </row>
    <row r="5990" ht="18.75" customHeight="1">
      <c r="A5990" s="14"/>
      <c r="B5990" s="12"/>
      <c r="C5990" s="12"/>
      <c r="D5990" s="12"/>
      <c r="E5990" s="12"/>
      <c r="F5990" s="14"/>
      <c r="G5990" s="15"/>
      <c r="H5990" s="15"/>
      <c r="I5990" s="14"/>
      <c r="P5990" s="14"/>
    </row>
    <row r="5991" ht="18.75" customHeight="1">
      <c r="A5991" s="14"/>
      <c r="B5991" s="12"/>
      <c r="C5991" s="12"/>
      <c r="D5991" s="12"/>
      <c r="E5991" s="12"/>
      <c r="F5991" s="14"/>
      <c r="G5991" s="15"/>
      <c r="H5991" s="15"/>
      <c r="I5991" s="14"/>
      <c r="P5991" s="14"/>
    </row>
    <row r="5992" ht="18.75" customHeight="1">
      <c r="A5992" s="14"/>
      <c r="B5992" s="12"/>
      <c r="C5992" s="12"/>
      <c r="D5992" s="12"/>
      <c r="E5992" s="12"/>
      <c r="F5992" s="14"/>
      <c r="G5992" s="15"/>
      <c r="H5992" s="15"/>
      <c r="I5992" s="14"/>
      <c r="P5992" s="14"/>
    </row>
    <row r="5993" ht="18.75" customHeight="1">
      <c r="A5993" s="14"/>
      <c r="B5993" s="12"/>
      <c r="C5993" s="12"/>
      <c r="D5993" s="12"/>
      <c r="E5993" s="12"/>
      <c r="F5993" s="14"/>
      <c r="G5993" s="15"/>
      <c r="H5993" s="15"/>
      <c r="I5993" s="14"/>
      <c r="P5993" s="14"/>
    </row>
    <row r="5994" ht="18.75" customHeight="1">
      <c r="A5994" s="14"/>
      <c r="B5994" s="12"/>
      <c r="C5994" s="12"/>
      <c r="D5994" s="12"/>
      <c r="E5994" s="12"/>
      <c r="F5994" s="14"/>
      <c r="G5994" s="15"/>
      <c r="H5994" s="15"/>
      <c r="I5994" s="14"/>
      <c r="P5994" s="14"/>
    </row>
    <row r="5995" ht="18.75" customHeight="1">
      <c r="A5995" s="14"/>
      <c r="B5995" s="12"/>
      <c r="C5995" s="12"/>
      <c r="D5995" s="12"/>
      <c r="E5995" s="12"/>
      <c r="F5995" s="14"/>
      <c r="G5995" s="15"/>
      <c r="H5995" s="15"/>
      <c r="I5995" s="14"/>
      <c r="P5995" s="14"/>
    </row>
    <row r="5996" ht="18.75" customHeight="1">
      <c r="A5996" s="14"/>
      <c r="B5996" s="12"/>
      <c r="C5996" s="12"/>
      <c r="D5996" s="12"/>
      <c r="E5996" s="12"/>
      <c r="F5996" s="14"/>
      <c r="G5996" s="15"/>
      <c r="H5996" s="15"/>
      <c r="I5996" s="14"/>
      <c r="P5996" s="14"/>
    </row>
    <row r="5997" ht="18.75" customHeight="1">
      <c r="A5997" s="14"/>
      <c r="B5997" s="12"/>
      <c r="C5997" s="12"/>
      <c r="D5997" s="12"/>
      <c r="E5997" s="12"/>
      <c r="F5997" s="14"/>
      <c r="G5997" s="15"/>
      <c r="H5997" s="15"/>
      <c r="I5997" s="14"/>
      <c r="P5997" s="14"/>
    </row>
    <row r="5998" ht="18.75" customHeight="1">
      <c r="A5998" s="14"/>
      <c r="B5998" s="12"/>
      <c r="C5998" s="12"/>
      <c r="D5998" s="12"/>
      <c r="E5998" s="12"/>
      <c r="F5998" s="14"/>
      <c r="G5998" s="15"/>
      <c r="H5998" s="15"/>
      <c r="I5998" s="14"/>
      <c r="P5998" s="14"/>
    </row>
    <row r="5999" ht="18.75" customHeight="1">
      <c r="A5999" s="14"/>
      <c r="B5999" s="12"/>
      <c r="C5999" s="12"/>
      <c r="D5999" s="12"/>
      <c r="E5999" s="12"/>
      <c r="F5999" s="14"/>
      <c r="G5999" s="15"/>
      <c r="H5999" s="15"/>
      <c r="I5999" s="14"/>
      <c r="P5999" s="14"/>
    </row>
    <row r="6000" ht="18.75" customHeight="1">
      <c r="A6000" s="14"/>
      <c r="B6000" s="12"/>
      <c r="C6000" s="12"/>
      <c r="D6000" s="12"/>
      <c r="E6000" s="12"/>
      <c r="F6000" s="14"/>
      <c r="G6000" s="15"/>
      <c r="H6000" s="15"/>
      <c r="I6000" s="14"/>
      <c r="P6000" s="14"/>
    </row>
    <row r="6001" ht="18.75" customHeight="1">
      <c r="A6001" s="14"/>
      <c r="B6001" s="12"/>
      <c r="C6001" s="12"/>
      <c r="D6001" s="12"/>
      <c r="E6001" s="12"/>
      <c r="F6001" s="14"/>
      <c r="G6001" s="15"/>
      <c r="H6001" s="15"/>
      <c r="I6001" s="14"/>
      <c r="P6001" s="14"/>
    </row>
    <row r="6002" ht="18.75" customHeight="1">
      <c r="A6002" s="14"/>
      <c r="B6002" s="12"/>
      <c r="C6002" s="12"/>
      <c r="D6002" s="12"/>
      <c r="E6002" s="12"/>
      <c r="F6002" s="14"/>
      <c r="G6002" s="15"/>
      <c r="H6002" s="15"/>
      <c r="I6002" s="14"/>
      <c r="P6002" s="14"/>
    </row>
    <row r="6003" ht="18.75" customHeight="1">
      <c r="A6003" s="14"/>
      <c r="B6003" s="12"/>
      <c r="C6003" s="12"/>
      <c r="D6003" s="12"/>
      <c r="E6003" s="12"/>
      <c r="F6003" s="14"/>
      <c r="G6003" s="15"/>
      <c r="H6003" s="15"/>
      <c r="I6003" s="14"/>
      <c r="P6003" s="14"/>
    </row>
    <row r="6004" ht="18.75" customHeight="1">
      <c r="A6004" s="14"/>
      <c r="B6004" s="12"/>
      <c r="C6004" s="12"/>
      <c r="D6004" s="12"/>
      <c r="E6004" s="12"/>
      <c r="F6004" s="14"/>
      <c r="G6004" s="15"/>
      <c r="H6004" s="15"/>
      <c r="I6004" s="14"/>
      <c r="P6004" s="14"/>
    </row>
    <row r="6005" ht="18.75" customHeight="1">
      <c r="A6005" s="14"/>
      <c r="B6005" s="12"/>
      <c r="C6005" s="12"/>
      <c r="D6005" s="12"/>
      <c r="E6005" s="12"/>
      <c r="F6005" s="14"/>
      <c r="G6005" s="15"/>
      <c r="H6005" s="15"/>
      <c r="I6005" s="14"/>
      <c r="P6005" s="14"/>
    </row>
    <row r="6006" ht="18.75" customHeight="1">
      <c r="A6006" s="14"/>
      <c r="B6006" s="12"/>
      <c r="C6006" s="12"/>
      <c r="D6006" s="12"/>
      <c r="E6006" s="12"/>
      <c r="F6006" s="14"/>
      <c r="G6006" s="15"/>
      <c r="H6006" s="15"/>
      <c r="I6006" s="14"/>
      <c r="P6006" s="14"/>
    </row>
    <row r="6007" ht="18.75" customHeight="1">
      <c r="A6007" s="14"/>
      <c r="B6007" s="12"/>
      <c r="C6007" s="12"/>
      <c r="D6007" s="12"/>
      <c r="E6007" s="12"/>
      <c r="F6007" s="14"/>
      <c r="G6007" s="15"/>
      <c r="H6007" s="15"/>
      <c r="I6007" s="14"/>
      <c r="P6007" s="14"/>
    </row>
    <row r="6008" ht="18.75" customHeight="1">
      <c r="A6008" s="14"/>
      <c r="B6008" s="12"/>
      <c r="C6008" s="12"/>
      <c r="D6008" s="12"/>
      <c r="E6008" s="12"/>
      <c r="F6008" s="14"/>
      <c r="G6008" s="15"/>
      <c r="H6008" s="15"/>
      <c r="I6008" s="14"/>
      <c r="P6008" s="14"/>
    </row>
    <row r="6009" ht="18.75" customHeight="1">
      <c r="A6009" s="14"/>
      <c r="B6009" s="12"/>
      <c r="C6009" s="12"/>
      <c r="D6009" s="12"/>
      <c r="E6009" s="12"/>
      <c r="F6009" s="14"/>
      <c r="G6009" s="15"/>
      <c r="H6009" s="15"/>
      <c r="I6009" s="14"/>
      <c r="P6009" s="14"/>
    </row>
    <row r="6010" ht="18.75" customHeight="1">
      <c r="A6010" s="14"/>
      <c r="B6010" s="12"/>
      <c r="C6010" s="12"/>
      <c r="D6010" s="12"/>
      <c r="E6010" s="12"/>
      <c r="F6010" s="14"/>
      <c r="G6010" s="15"/>
      <c r="H6010" s="15"/>
      <c r="I6010" s="14"/>
      <c r="P6010" s="14"/>
    </row>
    <row r="6011" ht="18.75" customHeight="1">
      <c r="A6011" s="14"/>
      <c r="B6011" s="12"/>
      <c r="C6011" s="12"/>
      <c r="D6011" s="12"/>
      <c r="E6011" s="12"/>
      <c r="F6011" s="14"/>
      <c r="G6011" s="15"/>
      <c r="H6011" s="15"/>
      <c r="I6011" s="14"/>
      <c r="P6011" s="14"/>
    </row>
    <row r="6012" ht="18.75" customHeight="1">
      <c r="A6012" s="14"/>
      <c r="B6012" s="12"/>
      <c r="C6012" s="12"/>
      <c r="D6012" s="12"/>
      <c r="E6012" s="12"/>
      <c r="F6012" s="14"/>
      <c r="G6012" s="15"/>
      <c r="H6012" s="15"/>
      <c r="I6012" s="14"/>
      <c r="P6012" s="14"/>
    </row>
    <row r="6013" ht="18.75" customHeight="1">
      <c r="A6013" s="14"/>
      <c r="B6013" s="12"/>
      <c r="C6013" s="12"/>
      <c r="D6013" s="12"/>
      <c r="E6013" s="12"/>
      <c r="F6013" s="14"/>
      <c r="G6013" s="15"/>
      <c r="H6013" s="15"/>
      <c r="I6013" s="14"/>
      <c r="P6013" s="14"/>
    </row>
    <row r="6014" ht="18.75" customHeight="1">
      <c r="A6014" s="14"/>
      <c r="B6014" s="12"/>
      <c r="C6014" s="12"/>
      <c r="D6014" s="12"/>
      <c r="E6014" s="12"/>
      <c r="F6014" s="14"/>
      <c r="G6014" s="15"/>
      <c r="H6014" s="15"/>
      <c r="I6014" s="14"/>
      <c r="P6014" s="14"/>
    </row>
    <row r="6015" ht="18.75" customHeight="1">
      <c r="A6015" s="14"/>
      <c r="B6015" s="12"/>
      <c r="C6015" s="12"/>
      <c r="D6015" s="12"/>
      <c r="E6015" s="12"/>
      <c r="F6015" s="14"/>
      <c r="G6015" s="15"/>
      <c r="H6015" s="15"/>
      <c r="I6015" s="14"/>
      <c r="P6015" s="14"/>
    </row>
    <row r="6016" ht="18.75" customHeight="1">
      <c r="A6016" s="14"/>
      <c r="B6016" s="12"/>
      <c r="C6016" s="12"/>
      <c r="D6016" s="12"/>
      <c r="E6016" s="12"/>
      <c r="F6016" s="14"/>
      <c r="G6016" s="15"/>
      <c r="H6016" s="15"/>
      <c r="I6016" s="14"/>
      <c r="P6016" s="14"/>
    </row>
    <row r="6017" ht="18.75" customHeight="1">
      <c r="A6017" s="14"/>
      <c r="B6017" s="12"/>
      <c r="C6017" s="12"/>
      <c r="D6017" s="12"/>
      <c r="E6017" s="12"/>
      <c r="F6017" s="14"/>
      <c r="G6017" s="15"/>
      <c r="H6017" s="15"/>
      <c r="I6017" s="14"/>
      <c r="P6017" s="14"/>
    </row>
    <row r="6018" ht="18.75" customHeight="1">
      <c r="A6018" s="14"/>
      <c r="B6018" s="12"/>
      <c r="C6018" s="12"/>
      <c r="D6018" s="12"/>
      <c r="E6018" s="12"/>
      <c r="F6018" s="14"/>
      <c r="G6018" s="15"/>
      <c r="H6018" s="15"/>
      <c r="I6018" s="14"/>
      <c r="P6018" s="14"/>
    </row>
    <row r="6019" ht="18.75" customHeight="1">
      <c r="A6019" s="14"/>
      <c r="B6019" s="12"/>
      <c r="C6019" s="12"/>
      <c r="D6019" s="12"/>
      <c r="E6019" s="12"/>
      <c r="F6019" s="14"/>
      <c r="G6019" s="15"/>
      <c r="H6019" s="15"/>
      <c r="I6019" s="14"/>
      <c r="P6019" s="14"/>
    </row>
    <row r="6020" ht="18.75" customHeight="1">
      <c r="A6020" s="14"/>
      <c r="B6020" s="12"/>
      <c r="C6020" s="12"/>
      <c r="D6020" s="12"/>
      <c r="E6020" s="12"/>
      <c r="F6020" s="14"/>
      <c r="G6020" s="15"/>
      <c r="H6020" s="15"/>
      <c r="I6020" s="14"/>
      <c r="P6020" s="14"/>
    </row>
    <row r="6021" ht="18.75" customHeight="1">
      <c r="A6021" s="14"/>
      <c r="B6021" s="12"/>
      <c r="C6021" s="12"/>
      <c r="D6021" s="12"/>
      <c r="E6021" s="12"/>
      <c r="F6021" s="14"/>
      <c r="G6021" s="15"/>
      <c r="H6021" s="15"/>
      <c r="I6021" s="14"/>
      <c r="P6021" s="14"/>
    </row>
    <row r="6022" ht="18.75" customHeight="1">
      <c r="A6022" s="14"/>
      <c r="B6022" s="12"/>
      <c r="C6022" s="12"/>
      <c r="D6022" s="12"/>
      <c r="E6022" s="12"/>
      <c r="F6022" s="14"/>
      <c r="G6022" s="15"/>
      <c r="H6022" s="15"/>
      <c r="I6022" s="14"/>
      <c r="P6022" s="14"/>
    </row>
    <row r="6023" ht="18.75" customHeight="1">
      <c r="A6023" s="14"/>
      <c r="B6023" s="12"/>
      <c r="C6023" s="12"/>
      <c r="D6023" s="12"/>
      <c r="E6023" s="12"/>
      <c r="F6023" s="14"/>
      <c r="G6023" s="15"/>
      <c r="H6023" s="15"/>
      <c r="I6023" s="14"/>
      <c r="P6023" s="14"/>
    </row>
    <row r="6024" ht="18.75" customHeight="1">
      <c r="A6024" s="14"/>
      <c r="B6024" s="12"/>
      <c r="C6024" s="12"/>
      <c r="D6024" s="12"/>
      <c r="E6024" s="12"/>
      <c r="F6024" s="14"/>
      <c r="G6024" s="15"/>
      <c r="H6024" s="15"/>
      <c r="I6024" s="14"/>
      <c r="P6024" s="14"/>
    </row>
    <row r="6025" ht="18.75" customHeight="1">
      <c r="A6025" s="14"/>
      <c r="B6025" s="12"/>
      <c r="C6025" s="12"/>
      <c r="D6025" s="12"/>
      <c r="E6025" s="12"/>
      <c r="F6025" s="14"/>
      <c r="G6025" s="15"/>
      <c r="H6025" s="15"/>
      <c r="I6025" s="14"/>
      <c r="P6025" s="14"/>
    </row>
    <row r="6026" ht="18.75" customHeight="1">
      <c r="A6026" s="14"/>
      <c r="B6026" s="12"/>
      <c r="C6026" s="12"/>
      <c r="D6026" s="12"/>
      <c r="E6026" s="12"/>
      <c r="F6026" s="14"/>
      <c r="G6026" s="15"/>
      <c r="H6026" s="15"/>
      <c r="I6026" s="14"/>
      <c r="P6026" s="14"/>
    </row>
    <row r="6027" ht="18.75" customHeight="1">
      <c r="A6027" s="14"/>
      <c r="B6027" s="12"/>
      <c r="C6027" s="12"/>
      <c r="D6027" s="12"/>
      <c r="E6027" s="12"/>
      <c r="F6027" s="14"/>
      <c r="G6027" s="15"/>
      <c r="H6027" s="15"/>
      <c r="I6027" s="14"/>
      <c r="P6027" s="14"/>
    </row>
    <row r="6028" ht="18.75" customHeight="1">
      <c r="A6028" s="14"/>
      <c r="B6028" s="12"/>
      <c r="C6028" s="12"/>
      <c r="D6028" s="12"/>
      <c r="E6028" s="12"/>
      <c r="F6028" s="14"/>
      <c r="G6028" s="15"/>
      <c r="H6028" s="15"/>
      <c r="I6028" s="14"/>
      <c r="P6028" s="14"/>
    </row>
    <row r="6029" ht="18.75" customHeight="1">
      <c r="A6029" s="14"/>
      <c r="B6029" s="12"/>
      <c r="C6029" s="12"/>
      <c r="D6029" s="12"/>
      <c r="E6029" s="12"/>
      <c r="F6029" s="14"/>
      <c r="G6029" s="15"/>
      <c r="H6029" s="15"/>
      <c r="I6029" s="14"/>
      <c r="P6029" s="14"/>
    </row>
    <row r="6030" ht="18.75" customHeight="1">
      <c r="A6030" s="14"/>
      <c r="B6030" s="12"/>
      <c r="C6030" s="12"/>
      <c r="D6030" s="12"/>
      <c r="E6030" s="12"/>
      <c r="F6030" s="14"/>
      <c r="G6030" s="15"/>
      <c r="H6030" s="15"/>
      <c r="I6030" s="14"/>
      <c r="P6030" s="14"/>
    </row>
    <row r="6031" ht="18.75" customHeight="1">
      <c r="A6031" s="14"/>
      <c r="B6031" s="12"/>
      <c r="C6031" s="12"/>
      <c r="D6031" s="12"/>
      <c r="E6031" s="12"/>
      <c r="F6031" s="14"/>
      <c r="G6031" s="15"/>
      <c r="H6031" s="15"/>
      <c r="I6031" s="14"/>
      <c r="P6031" s="14"/>
    </row>
    <row r="6032" ht="18.75" customHeight="1">
      <c r="A6032" s="14"/>
      <c r="B6032" s="12"/>
      <c r="C6032" s="12"/>
      <c r="D6032" s="12"/>
      <c r="E6032" s="12"/>
      <c r="F6032" s="14"/>
      <c r="G6032" s="15"/>
      <c r="H6032" s="15"/>
      <c r="I6032" s="14"/>
      <c r="P6032" s="14"/>
    </row>
    <row r="6033" ht="18.75" customHeight="1">
      <c r="A6033" s="14"/>
      <c r="B6033" s="12"/>
      <c r="C6033" s="12"/>
      <c r="D6033" s="12"/>
      <c r="E6033" s="12"/>
      <c r="F6033" s="14"/>
      <c r="G6033" s="15"/>
      <c r="H6033" s="15"/>
      <c r="I6033" s="14"/>
      <c r="P6033" s="14"/>
    </row>
    <row r="6034" ht="18.75" customHeight="1">
      <c r="A6034" s="14"/>
      <c r="B6034" s="12"/>
      <c r="C6034" s="12"/>
      <c r="D6034" s="12"/>
      <c r="E6034" s="12"/>
      <c r="F6034" s="14"/>
      <c r="G6034" s="15"/>
      <c r="H6034" s="15"/>
      <c r="I6034" s="14"/>
      <c r="P6034" s="14"/>
    </row>
    <row r="6035" ht="18.75" customHeight="1">
      <c r="A6035" s="14"/>
      <c r="B6035" s="12"/>
      <c r="C6035" s="12"/>
      <c r="D6035" s="12"/>
      <c r="E6035" s="12"/>
      <c r="F6035" s="14"/>
      <c r="G6035" s="15"/>
      <c r="H6035" s="15"/>
      <c r="I6035" s="14"/>
      <c r="P6035" s="14"/>
    </row>
    <row r="6036" ht="18.75" customHeight="1">
      <c r="A6036" s="14"/>
      <c r="B6036" s="12"/>
      <c r="C6036" s="12"/>
      <c r="D6036" s="12"/>
      <c r="E6036" s="12"/>
      <c r="F6036" s="14"/>
      <c r="G6036" s="15"/>
      <c r="H6036" s="15"/>
      <c r="I6036" s="14"/>
      <c r="P6036" s="14"/>
    </row>
    <row r="6037" ht="18.75" customHeight="1">
      <c r="A6037" s="14"/>
      <c r="B6037" s="12"/>
      <c r="C6037" s="12"/>
      <c r="D6037" s="12"/>
      <c r="E6037" s="12"/>
      <c r="F6037" s="14"/>
      <c r="G6037" s="15"/>
      <c r="H6037" s="15"/>
      <c r="I6037" s="14"/>
      <c r="P6037" s="14"/>
    </row>
    <row r="6038" ht="18.75" customHeight="1">
      <c r="A6038" s="14"/>
      <c r="B6038" s="12"/>
      <c r="C6038" s="12"/>
      <c r="D6038" s="12"/>
      <c r="E6038" s="12"/>
      <c r="F6038" s="14"/>
      <c r="G6038" s="15"/>
      <c r="H6038" s="15"/>
      <c r="I6038" s="14"/>
      <c r="P6038" s="14"/>
    </row>
    <row r="6039" ht="18.75" customHeight="1">
      <c r="A6039" s="14"/>
      <c r="B6039" s="12"/>
      <c r="C6039" s="12"/>
      <c r="D6039" s="12"/>
      <c r="E6039" s="12"/>
      <c r="F6039" s="14"/>
      <c r="G6039" s="15"/>
      <c r="H6039" s="15"/>
      <c r="I6039" s="14"/>
      <c r="P6039" s="14"/>
    </row>
    <row r="6040" ht="18.75" customHeight="1">
      <c r="A6040" s="14"/>
      <c r="B6040" s="12"/>
      <c r="C6040" s="12"/>
      <c r="D6040" s="12"/>
      <c r="E6040" s="12"/>
      <c r="F6040" s="14"/>
      <c r="G6040" s="15"/>
      <c r="H6040" s="15"/>
      <c r="I6040" s="14"/>
      <c r="P6040" s="14"/>
    </row>
    <row r="6041" ht="18.75" customHeight="1">
      <c r="A6041" s="14"/>
      <c r="B6041" s="12"/>
      <c r="C6041" s="12"/>
      <c r="D6041" s="12"/>
      <c r="E6041" s="12"/>
      <c r="F6041" s="14"/>
      <c r="G6041" s="15"/>
      <c r="H6041" s="15"/>
      <c r="I6041" s="14"/>
      <c r="P6041" s="14"/>
    </row>
    <row r="6042" ht="18.75" customHeight="1">
      <c r="A6042" s="14"/>
      <c r="B6042" s="12"/>
      <c r="C6042" s="12"/>
      <c r="D6042" s="12"/>
      <c r="E6042" s="12"/>
      <c r="F6042" s="14"/>
      <c r="G6042" s="15"/>
      <c r="H6042" s="15"/>
      <c r="I6042" s="14"/>
      <c r="P6042" s="14"/>
    </row>
    <row r="6043" ht="18.75" customHeight="1">
      <c r="A6043" s="14"/>
      <c r="B6043" s="12"/>
      <c r="C6043" s="12"/>
      <c r="D6043" s="12"/>
      <c r="E6043" s="12"/>
      <c r="F6043" s="14"/>
      <c r="G6043" s="15"/>
      <c r="H6043" s="15"/>
      <c r="I6043" s="14"/>
      <c r="P6043" s="14"/>
    </row>
    <row r="6044" ht="18.75" customHeight="1">
      <c r="A6044" s="14"/>
      <c r="B6044" s="12"/>
      <c r="C6044" s="12"/>
      <c r="D6044" s="12"/>
      <c r="E6044" s="12"/>
      <c r="F6044" s="14"/>
      <c r="G6044" s="15"/>
      <c r="H6044" s="15"/>
      <c r="I6044" s="14"/>
      <c r="P6044" s="14"/>
    </row>
    <row r="6045" ht="18.75" customHeight="1">
      <c r="A6045" s="14"/>
      <c r="B6045" s="12"/>
      <c r="C6045" s="12"/>
      <c r="D6045" s="12"/>
      <c r="E6045" s="12"/>
      <c r="F6045" s="14"/>
      <c r="G6045" s="15"/>
      <c r="H6045" s="15"/>
      <c r="I6045" s="14"/>
      <c r="P6045" s="14"/>
    </row>
    <row r="6046" ht="18.75" customHeight="1">
      <c r="A6046" s="14"/>
      <c r="B6046" s="12"/>
      <c r="C6046" s="12"/>
      <c r="D6046" s="12"/>
      <c r="E6046" s="12"/>
      <c r="F6046" s="14"/>
      <c r="G6046" s="15"/>
      <c r="H6046" s="15"/>
      <c r="I6046" s="14"/>
      <c r="P6046" s="14"/>
    </row>
    <row r="6047" ht="18.75" customHeight="1">
      <c r="A6047" s="14"/>
      <c r="B6047" s="12"/>
      <c r="C6047" s="12"/>
      <c r="D6047" s="12"/>
      <c r="E6047" s="12"/>
      <c r="F6047" s="14"/>
      <c r="G6047" s="15"/>
      <c r="H6047" s="15"/>
      <c r="I6047" s="14"/>
      <c r="P6047" s="14"/>
    </row>
    <row r="6048" ht="18.75" customHeight="1">
      <c r="A6048" s="14"/>
      <c r="B6048" s="12"/>
      <c r="C6048" s="12"/>
      <c r="D6048" s="12"/>
      <c r="E6048" s="12"/>
      <c r="F6048" s="14"/>
      <c r="G6048" s="15"/>
      <c r="H6048" s="15"/>
      <c r="I6048" s="14"/>
      <c r="P6048" s="14"/>
    </row>
    <row r="6049" ht="18.75" customHeight="1">
      <c r="A6049" s="14"/>
      <c r="B6049" s="12"/>
      <c r="C6049" s="12"/>
      <c r="D6049" s="12"/>
      <c r="E6049" s="12"/>
      <c r="F6049" s="14"/>
      <c r="G6049" s="15"/>
      <c r="H6049" s="15"/>
      <c r="I6049" s="14"/>
      <c r="P6049" s="14"/>
    </row>
    <row r="6050" ht="18.75" customHeight="1">
      <c r="A6050" s="14"/>
      <c r="B6050" s="12"/>
      <c r="C6050" s="12"/>
      <c r="D6050" s="12"/>
      <c r="E6050" s="12"/>
      <c r="F6050" s="14"/>
      <c r="G6050" s="15"/>
      <c r="H6050" s="15"/>
      <c r="I6050" s="14"/>
      <c r="P6050" s="14"/>
    </row>
    <row r="6051" ht="18.75" customHeight="1">
      <c r="A6051" s="14"/>
      <c r="B6051" s="12"/>
      <c r="C6051" s="12"/>
      <c r="D6051" s="12"/>
      <c r="E6051" s="12"/>
      <c r="F6051" s="14"/>
      <c r="G6051" s="15"/>
      <c r="H6051" s="15"/>
      <c r="I6051" s="14"/>
      <c r="P6051" s="14"/>
    </row>
    <row r="6052" ht="18.75" customHeight="1">
      <c r="A6052" s="14"/>
      <c r="B6052" s="12"/>
      <c r="C6052" s="12"/>
      <c r="D6052" s="12"/>
      <c r="E6052" s="12"/>
      <c r="F6052" s="14"/>
      <c r="G6052" s="15"/>
      <c r="H6052" s="15"/>
      <c r="I6052" s="14"/>
      <c r="P6052" s="14"/>
    </row>
    <row r="6053" ht="18.75" customHeight="1">
      <c r="A6053" s="14"/>
      <c r="B6053" s="12"/>
      <c r="C6053" s="12"/>
      <c r="D6053" s="12"/>
      <c r="E6053" s="12"/>
      <c r="F6053" s="14"/>
      <c r="G6053" s="15"/>
      <c r="H6053" s="15"/>
      <c r="I6053" s="14"/>
      <c r="P6053" s="14"/>
    </row>
    <row r="6054" ht="18.75" customHeight="1">
      <c r="A6054" s="14"/>
      <c r="B6054" s="12"/>
      <c r="C6054" s="12"/>
      <c r="D6054" s="12"/>
      <c r="E6054" s="12"/>
      <c r="F6054" s="14"/>
      <c r="G6054" s="15"/>
      <c r="H6054" s="15"/>
      <c r="I6054" s="14"/>
      <c r="P6054" s="14"/>
    </row>
    <row r="6055" ht="18.75" customHeight="1">
      <c r="A6055" s="14"/>
      <c r="B6055" s="12"/>
      <c r="C6055" s="12"/>
      <c r="D6055" s="12"/>
      <c r="E6055" s="12"/>
      <c r="F6055" s="14"/>
      <c r="G6055" s="15"/>
      <c r="H6055" s="15"/>
      <c r="I6055" s="14"/>
      <c r="P6055" s="14"/>
    </row>
    <row r="6056" ht="18.75" customHeight="1">
      <c r="A6056" s="14"/>
      <c r="B6056" s="12"/>
      <c r="C6056" s="12"/>
      <c r="D6056" s="12"/>
      <c r="E6056" s="12"/>
      <c r="F6056" s="14"/>
      <c r="G6056" s="15"/>
      <c r="H6056" s="15"/>
      <c r="I6056" s="14"/>
      <c r="P6056" s="14"/>
    </row>
    <row r="6057" ht="18.75" customHeight="1">
      <c r="A6057" s="14"/>
      <c r="B6057" s="12"/>
      <c r="C6057" s="12"/>
      <c r="D6057" s="12"/>
      <c r="E6057" s="12"/>
      <c r="F6057" s="14"/>
      <c r="G6057" s="15"/>
      <c r="H6057" s="15"/>
      <c r="I6057" s="14"/>
      <c r="P6057" s="14"/>
    </row>
    <row r="6058" ht="18.75" customHeight="1">
      <c r="A6058" s="14"/>
      <c r="B6058" s="12"/>
      <c r="C6058" s="12"/>
      <c r="D6058" s="12"/>
      <c r="E6058" s="12"/>
      <c r="F6058" s="14"/>
      <c r="G6058" s="15"/>
      <c r="H6058" s="15"/>
      <c r="I6058" s="14"/>
      <c r="P6058" s="14"/>
    </row>
    <row r="6059" ht="18.75" customHeight="1">
      <c r="A6059" s="14"/>
      <c r="B6059" s="12"/>
      <c r="C6059" s="12"/>
      <c r="D6059" s="12"/>
      <c r="E6059" s="12"/>
      <c r="F6059" s="14"/>
      <c r="G6059" s="15"/>
      <c r="H6059" s="15"/>
      <c r="I6059" s="14"/>
      <c r="P6059" s="14"/>
    </row>
    <row r="6060" ht="18.75" customHeight="1">
      <c r="A6060" s="14"/>
      <c r="B6060" s="12"/>
      <c r="C6060" s="12"/>
      <c r="D6060" s="12"/>
      <c r="E6060" s="12"/>
      <c r="F6060" s="14"/>
      <c r="G6060" s="15"/>
      <c r="H6060" s="15"/>
      <c r="I6060" s="14"/>
      <c r="P6060" s="14"/>
    </row>
    <row r="6061" ht="18.75" customHeight="1">
      <c r="A6061" s="14"/>
      <c r="B6061" s="12"/>
      <c r="C6061" s="12"/>
      <c r="D6061" s="12"/>
      <c r="E6061" s="12"/>
      <c r="F6061" s="14"/>
      <c r="G6061" s="15"/>
      <c r="H6061" s="15"/>
      <c r="I6061" s="14"/>
      <c r="P6061" s="14"/>
    </row>
    <row r="6062" ht="18.75" customHeight="1">
      <c r="A6062" s="14"/>
      <c r="B6062" s="12"/>
      <c r="C6062" s="12"/>
      <c r="D6062" s="12"/>
      <c r="E6062" s="12"/>
      <c r="F6062" s="14"/>
      <c r="G6062" s="15"/>
      <c r="H6062" s="15"/>
      <c r="I6062" s="14"/>
      <c r="P6062" s="14"/>
    </row>
    <row r="6063" ht="18.75" customHeight="1">
      <c r="A6063" s="14"/>
      <c r="B6063" s="12"/>
      <c r="C6063" s="12"/>
      <c r="D6063" s="12"/>
      <c r="E6063" s="12"/>
      <c r="F6063" s="14"/>
      <c r="G6063" s="15"/>
      <c r="H6063" s="15"/>
      <c r="I6063" s="14"/>
      <c r="P6063" s="14"/>
    </row>
    <row r="6064" ht="18.75" customHeight="1">
      <c r="A6064" s="14"/>
      <c r="B6064" s="12"/>
      <c r="C6064" s="12"/>
      <c r="D6064" s="12"/>
      <c r="E6064" s="12"/>
      <c r="F6064" s="14"/>
      <c r="G6064" s="15"/>
      <c r="H6064" s="15"/>
      <c r="I6064" s="14"/>
      <c r="P6064" s="14"/>
    </row>
    <row r="6065" ht="18.75" customHeight="1">
      <c r="A6065" s="14"/>
      <c r="B6065" s="12"/>
      <c r="C6065" s="12"/>
      <c r="D6065" s="12"/>
      <c r="E6065" s="12"/>
      <c r="F6065" s="14"/>
      <c r="G6065" s="15"/>
      <c r="H6065" s="15"/>
      <c r="I6065" s="14"/>
      <c r="P6065" s="14"/>
    </row>
    <row r="6066" ht="18.75" customHeight="1">
      <c r="A6066" s="14"/>
      <c r="B6066" s="12"/>
      <c r="C6066" s="12"/>
      <c r="D6066" s="12"/>
      <c r="E6066" s="12"/>
      <c r="F6066" s="14"/>
      <c r="G6066" s="15"/>
      <c r="H6066" s="15"/>
      <c r="I6066" s="14"/>
      <c r="P6066" s="14"/>
    </row>
    <row r="6067" ht="18.75" customHeight="1">
      <c r="A6067" s="14"/>
      <c r="B6067" s="12"/>
      <c r="C6067" s="12"/>
      <c r="D6067" s="12"/>
      <c r="E6067" s="12"/>
      <c r="F6067" s="14"/>
      <c r="G6067" s="15"/>
      <c r="H6067" s="15"/>
      <c r="I6067" s="14"/>
      <c r="P6067" s="14"/>
    </row>
    <row r="6068" ht="18.75" customHeight="1">
      <c r="A6068" s="14"/>
      <c r="B6068" s="12"/>
      <c r="C6068" s="12"/>
      <c r="D6068" s="12"/>
      <c r="E6068" s="12"/>
      <c r="F6068" s="14"/>
      <c r="G6068" s="15"/>
      <c r="H6068" s="15"/>
      <c r="I6068" s="14"/>
      <c r="P6068" s="14"/>
    </row>
    <row r="6069" ht="18.75" customHeight="1">
      <c r="A6069" s="14"/>
      <c r="B6069" s="12"/>
      <c r="C6069" s="12"/>
      <c r="D6069" s="12"/>
      <c r="E6069" s="12"/>
      <c r="F6069" s="14"/>
      <c r="G6069" s="15"/>
      <c r="H6069" s="15"/>
      <c r="I6069" s="14"/>
      <c r="P6069" s="14"/>
    </row>
    <row r="6070" ht="18.75" customHeight="1">
      <c r="A6070" s="14"/>
      <c r="B6070" s="12"/>
      <c r="C6070" s="12"/>
      <c r="D6070" s="12"/>
      <c r="E6070" s="12"/>
      <c r="F6070" s="14"/>
      <c r="G6070" s="15"/>
      <c r="H6070" s="15"/>
      <c r="I6070" s="14"/>
      <c r="P6070" s="14"/>
    </row>
    <row r="6071" ht="18.75" customHeight="1">
      <c r="A6071" s="14"/>
      <c r="B6071" s="12"/>
      <c r="C6071" s="12"/>
      <c r="D6071" s="12"/>
      <c r="E6071" s="12"/>
      <c r="F6071" s="14"/>
      <c r="G6071" s="15"/>
      <c r="H6071" s="15"/>
      <c r="I6071" s="14"/>
      <c r="P6071" s="14"/>
    </row>
    <row r="6072" ht="18.75" customHeight="1">
      <c r="A6072" s="14"/>
      <c r="B6072" s="12"/>
      <c r="C6072" s="12"/>
      <c r="D6072" s="12"/>
      <c r="E6072" s="12"/>
      <c r="F6072" s="14"/>
      <c r="G6072" s="15"/>
      <c r="H6072" s="15"/>
      <c r="I6072" s="14"/>
      <c r="P6072" s="14"/>
    </row>
    <row r="6073" ht="18.75" customHeight="1">
      <c r="A6073" s="14"/>
      <c r="B6073" s="12"/>
      <c r="C6073" s="12"/>
      <c r="D6073" s="12"/>
      <c r="E6073" s="12"/>
      <c r="F6073" s="14"/>
      <c r="G6073" s="15"/>
      <c r="H6073" s="15"/>
      <c r="I6073" s="14"/>
      <c r="P6073" s="14"/>
    </row>
    <row r="6074" ht="18.75" customHeight="1">
      <c r="A6074" s="14"/>
      <c r="B6074" s="12"/>
      <c r="C6074" s="12"/>
      <c r="D6074" s="12"/>
      <c r="E6074" s="12"/>
      <c r="F6074" s="14"/>
      <c r="G6074" s="15"/>
      <c r="H6074" s="15"/>
      <c r="I6074" s="14"/>
      <c r="P6074" s="14"/>
    </row>
    <row r="6075" ht="18.75" customHeight="1">
      <c r="A6075" s="14"/>
      <c r="B6075" s="12"/>
      <c r="C6075" s="12"/>
      <c r="D6075" s="12"/>
      <c r="E6075" s="12"/>
      <c r="F6075" s="14"/>
      <c r="G6075" s="15"/>
      <c r="H6075" s="15"/>
      <c r="I6075" s="14"/>
      <c r="P6075" s="14"/>
    </row>
    <row r="6076" ht="18.75" customHeight="1">
      <c r="A6076" s="14"/>
      <c r="B6076" s="12"/>
      <c r="C6076" s="12"/>
      <c r="D6076" s="12"/>
      <c r="E6076" s="12"/>
      <c r="F6076" s="14"/>
      <c r="G6076" s="15"/>
      <c r="H6076" s="15"/>
      <c r="I6076" s="14"/>
      <c r="P6076" s="14"/>
    </row>
    <row r="6077" ht="18.75" customHeight="1">
      <c r="A6077" s="14"/>
      <c r="B6077" s="12"/>
      <c r="C6077" s="12"/>
      <c r="D6077" s="12"/>
      <c r="E6077" s="12"/>
      <c r="F6077" s="14"/>
      <c r="G6077" s="15"/>
      <c r="H6077" s="15"/>
      <c r="I6077" s="14"/>
      <c r="P6077" s="14"/>
    </row>
    <row r="6078" ht="18.75" customHeight="1">
      <c r="A6078" s="14"/>
      <c r="B6078" s="12"/>
      <c r="C6078" s="12"/>
      <c r="D6078" s="12"/>
      <c r="E6078" s="12"/>
      <c r="F6078" s="14"/>
      <c r="G6078" s="15"/>
      <c r="H6078" s="15"/>
      <c r="I6078" s="14"/>
      <c r="P6078" s="14"/>
    </row>
    <row r="6079" ht="18.75" customHeight="1">
      <c r="A6079" s="14"/>
      <c r="B6079" s="12"/>
      <c r="C6079" s="12"/>
      <c r="D6079" s="12"/>
      <c r="E6079" s="12"/>
      <c r="F6079" s="14"/>
      <c r="G6079" s="15"/>
      <c r="H6079" s="15"/>
      <c r="I6079" s="14"/>
      <c r="P6079" s="14"/>
    </row>
    <row r="6080" ht="18.75" customHeight="1">
      <c r="A6080" s="14"/>
      <c r="B6080" s="12"/>
      <c r="C6080" s="12"/>
      <c r="D6080" s="12"/>
      <c r="E6080" s="12"/>
      <c r="F6080" s="14"/>
      <c r="G6080" s="15"/>
      <c r="H6080" s="15"/>
      <c r="I6080" s="14"/>
      <c r="P6080" s="14"/>
    </row>
    <row r="6081" ht="18.75" customHeight="1">
      <c r="A6081" s="14"/>
      <c r="B6081" s="12"/>
      <c r="C6081" s="12"/>
      <c r="D6081" s="12"/>
      <c r="E6081" s="12"/>
      <c r="F6081" s="14"/>
      <c r="G6081" s="15"/>
      <c r="H6081" s="15"/>
      <c r="I6081" s="14"/>
      <c r="P6081" s="14"/>
    </row>
    <row r="6082" ht="18.75" customHeight="1">
      <c r="A6082" s="14"/>
      <c r="B6082" s="12"/>
      <c r="C6082" s="12"/>
      <c r="D6082" s="12"/>
      <c r="E6082" s="12"/>
      <c r="F6082" s="14"/>
      <c r="G6082" s="15"/>
      <c r="H6082" s="15"/>
      <c r="I6082" s="14"/>
      <c r="P6082" s="14"/>
    </row>
    <row r="6083" ht="18.75" customHeight="1">
      <c r="A6083" s="14"/>
      <c r="B6083" s="12"/>
      <c r="C6083" s="12"/>
      <c r="D6083" s="12"/>
      <c r="E6083" s="12"/>
      <c r="F6083" s="14"/>
      <c r="G6083" s="15"/>
      <c r="H6083" s="15"/>
      <c r="I6083" s="14"/>
      <c r="P6083" s="14"/>
    </row>
    <row r="6084" ht="18.75" customHeight="1">
      <c r="A6084" s="14"/>
      <c r="B6084" s="12"/>
      <c r="C6084" s="12"/>
      <c r="D6084" s="12"/>
      <c r="E6084" s="12"/>
      <c r="F6084" s="14"/>
      <c r="G6084" s="15"/>
      <c r="H6084" s="15"/>
      <c r="I6084" s="14"/>
      <c r="P6084" s="14"/>
    </row>
    <row r="6085" ht="18.75" customHeight="1">
      <c r="A6085" s="14"/>
      <c r="B6085" s="12"/>
      <c r="C6085" s="12"/>
      <c r="D6085" s="12"/>
      <c r="E6085" s="12"/>
      <c r="F6085" s="14"/>
      <c r="G6085" s="15"/>
      <c r="H6085" s="15"/>
      <c r="I6085" s="14"/>
      <c r="P6085" s="14"/>
    </row>
    <row r="6086" ht="18.75" customHeight="1">
      <c r="A6086" s="14"/>
      <c r="B6086" s="12"/>
      <c r="C6086" s="12"/>
      <c r="D6086" s="12"/>
      <c r="E6086" s="12"/>
      <c r="F6086" s="14"/>
      <c r="G6086" s="15"/>
      <c r="H6086" s="15"/>
      <c r="I6086" s="14"/>
      <c r="P6086" s="14"/>
    </row>
    <row r="6087" ht="18.75" customHeight="1">
      <c r="A6087" s="14"/>
      <c r="B6087" s="12"/>
      <c r="C6087" s="12"/>
      <c r="D6087" s="12"/>
      <c r="E6087" s="12"/>
      <c r="F6087" s="14"/>
      <c r="G6087" s="15"/>
      <c r="H6087" s="15"/>
      <c r="I6087" s="14"/>
      <c r="P6087" s="14"/>
    </row>
    <row r="6088" ht="18.75" customHeight="1">
      <c r="A6088" s="14"/>
      <c r="B6088" s="12"/>
      <c r="C6088" s="12"/>
      <c r="D6088" s="12"/>
      <c r="E6088" s="12"/>
      <c r="F6088" s="14"/>
      <c r="G6088" s="15"/>
      <c r="H6088" s="15"/>
      <c r="I6088" s="14"/>
      <c r="P6088" s="14"/>
    </row>
    <row r="6089" ht="18.75" customHeight="1">
      <c r="A6089" s="14"/>
      <c r="B6089" s="12"/>
      <c r="C6089" s="12"/>
      <c r="D6089" s="12"/>
      <c r="E6089" s="12"/>
      <c r="F6089" s="14"/>
      <c r="G6089" s="15"/>
      <c r="H6089" s="15"/>
      <c r="I6089" s="14"/>
      <c r="P6089" s="14"/>
    </row>
    <row r="6090" ht="18.75" customHeight="1">
      <c r="A6090" s="14"/>
      <c r="B6090" s="12"/>
      <c r="C6090" s="12"/>
      <c r="D6090" s="12"/>
      <c r="E6090" s="12"/>
      <c r="F6090" s="14"/>
      <c r="G6090" s="15"/>
      <c r="H6090" s="15"/>
      <c r="I6090" s="14"/>
      <c r="P6090" s="14"/>
    </row>
    <row r="6091" ht="18.75" customHeight="1">
      <c r="A6091" s="14"/>
      <c r="B6091" s="12"/>
      <c r="C6091" s="12"/>
      <c r="D6091" s="12"/>
      <c r="E6091" s="12"/>
      <c r="F6091" s="14"/>
      <c r="G6091" s="15"/>
      <c r="H6091" s="15"/>
      <c r="I6091" s="14"/>
      <c r="P6091" s="14"/>
    </row>
    <row r="6092" ht="18.75" customHeight="1">
      <c r="A6092" s="14"/>
      <c r="B6092" s="12"/>
      <c r="C6092" s="12"/>
      <c r="D6092" s="12"/>
      <c r="E6092" s="12"/>
      <c r="F6092" s="14"/>
      <c r="G6092" s="15"/>
      <c r="H6092" s="15"/>
      <c r="I6092" s="14"/>
      <c r="P6092" s="14"/>
    </row>
    <row r="6093" ht="18.75" customHeight="1">
      <c r="A6093" s="14"/>
      <c r="B6093" s="12"/>
      <c r="C6093" s="12"/>
      <c r="D6093" s="12"/>
      <c r="E6093" s="12"/>
      <c r="F6093" s="14"/>
      <c r="G6093" s="15"/>
      <c r="H6093" s="15"/>
      <c r="I6093" s="14"/>
      <c r="P6093" s="14"/>
    </row>
    <row r="6094" ht="18.75" customHeight="1">
      <c r="A6094" s="14"/>
      <c r="B6094" s="12"/>
      <c r="C6094" s="12"/>
      <c r="D6094" s="12"/>
      <c r="E6094" s="12"/>
      <c r="F6094" s="14"/>
      <c r="G6094" s="15"/>
      <c r="H6094" s="15"/>
      <c r="I6094" s="14"/>
      <c r="P6094" s="14"/>
    </row>
    <row r="6095" ht="18.75" customHeight="1">
      <c r="A6095" s="14"/>
      <c r="B6095" s="12"/>
      <c r="C6095" s="12"/>
      <c r="D6095" s="12"/>
      <c r="E6095" s="12"/>
      <c r="F6095" s="14"/>
      <c r="G6095" s="15"/>
      <c r="H6095" s="15"/>
      <c r="I6095" s="14"/>
      <c r="P6095" s="14"/>
    </row>
    <row r="6096" ht="18.75" customHeight="1">
      <c r="A6096" s="14"/>
      <c r="B6096" s="12"/>
      <c r="C6096" s="12"/>
      <c r="D6096" s="12"/>
      <c r="E6096" s="12"/>
      <c r="F6096" s="14"/>
      <c r="G6096" s="15"/>
      <c r="H6096" s="15"/>
      <c r="I6096" s="14"/>
      <c r="P6096" s="14"/>
    </row>
    <row r="6097" ht="18.75" customHeight="1">
      <c r="A6097" s="14"/>
      <c r="B6097" s="12"/>
      <c r="C6097" s="12"/>
      <c r="D6097" s="12"/>
      <c r="E6097" s="12"/>
      <c r="F6097" s="14"/>
      <c r="G6097" s="15"/>
      <c r="H6097" s="15"/>
      <c r="I6097" s="14"/>
      <c r="P6097" s="14"/>
    </row>
    <row r="6098" ht="18.75" customHeight="1">
      <c r="A6098" s="14"/>
      <c r="B6098" s="12"/>
      <c r="C6098" s="12"/>
      <c r="D6098" s="12"/>
      <c r="E6098" s="12"/>
      <c r="F6098" s="14"/>
      <c r="G6098" s="15"/>
      <c r="H6098" s="15"/>
      <c r="I6098" s="14"/>
      <c r="P6098" s="14"/>
    </row>
    <row r="6099" ht="18.75" customHeight="1">
      <c r="A6099" s="14"/>
      <c r="B6099" s="12"/>
      <c r="C6099" s="12"/>
      <c r="D6099" s="12"/>
      <c r="E6099" s="12"/>
      <c r="F6099" s="14"/>
      <c r="G6099" s="15"/>
      <c r="H6099" s="15"/>
      <c r="I6099" s="14"/>
      <c r="P6099" s="14"/>
    </row>
    <row r="6100" ht="18.75" customHeight="1">
      <c r="A6100" s="14"/>
      <c r="B6100" s="12"/>
      <c r="C6100" s="12"/>
      <c r="D6100" s="12"/>
      <c r="E6100" s="12"/>
      <c r="F6100" s="14"/>
      <c r="G6100" s="15"/>
      <c r="H6100" s="15"/>
      <c r="I6100" s="14"/>
      <c r="P6100" s="14"/>
    </row>
    <row r="6101" ht="18.75" customHeight="1">
      <c r="A6101" s="14"/>
      <c r="B6101" s="12"/>
      <c r="C6101" s="12"/>
      <c r="D6101" s="12"/>
      <c r="E6101" s="12"/>
      <c r="F6101" s="14"/>
      <c r="G6101" s="15"/>
      <c r="H6101" s="15"/>
      <c r="I6101" s="14"/>
      <c r="P6101" s="14"/>
    </row>
    <row r="6102" ht="18.75" customHeight="1">
      <c r="A6102" s="14"/>
      <c r="B6102" s="12"/>
      <c r="C6102" s="12"/>
      <c r="D6102" s="12"/>
      <c r="E6102" s="12"/>
      <c r="F6102" s="14"/>
      <c r="G6102" s="15"/>
      <c r="H6102" s="15"/>
      <c r="I6102" s="14"/>
      <c r="P6102" s="14"/>
    </row>
    <row r="6103" ht="18.75" customHeight="1">
      <c r="A6103" s="14"/>
      <c r="B6103" s="12"/>
      <c r="C6103" s="12"/>
      <c r="D6103" s="12"/>
      <c r="E6103" s="12"/>
      <c r="F6103" s="14"/>
      <c r="G6103" s="15"/>
      <c r="H6103" s="15"/>
      <c r="I6103" s="14"/>
      <c r="P6103" s="14"/>
    </row>
    <row r="6104" ht="18.75" customHeight="1">
      <c r="A6104" s="14"/>
      <c r="B6104" s="12"/>
      <c r="C6104" s="12"/>
      <c r="D6104" s="12"/>
      <c r="E6104" s="12"/>
      <c r="F6104" s="14"/>
      <c r="G6104" s="15"/>
      <c r="H6104" s="15"/>
      <c r="I6104" s="14"/>
      <c r="P6104" s="14"/>
    </row>
    <row r="6105" ht="18.75" customHeight="1">
      <c r="A6105" s="14"/>
      <c r="B6105" s="12"/>
      <c r="C6105" s="12"/>
      <c r="D6105" s="12"/>
      <c r="E6105" s="12"/>
      <c r="F6105" s="14"/>
      <c r="G6105" s="15"/>
      <c r="H6105" s="15"/>
      <c r="I6105" s="14"/>
      <c r="P6105" s="14"/>
    </row>
    <row r="6106" ht="18.75" customHeight="1">
      <c r="A6106" s="14"/>
      <c r="B6106" s="12"/>
      <c r="C6106" s="12"/>
      <c r="D6106" s="12"/>
      <c r="E6106" s="12"/>
      <c r="F6106" s="14"/>
      <c r="G6106" s="15"/>
      <c r="H6106" s="15"/>
      <c r="I6106" s="14"/>
      <c r="P6106" s="14"/>
    </row>
    <row r="6107" ht="18.75" customHeight="1">
      <c r="A6107" s="14"/>
      <c r="B6107" s="12"/>
      <c r="C6107" s="12"/>
      <c r="D6107" s="12"/>
      <c r="E6107" s="12"/>
      <c r="F6107" s="14"/>
      <c r="G6107" s="15"/>
      <c r="H6107" s="15"/>
      <c r="I6107" s="14"/>
      <c r="P6107" s="14"/>
    </row>
    <row r="6108" ht="18.75" customHeight="1">
      <c r="A6108" s="14"/>
      <c r="B6108" s="12"/>
      <c r="C6108" s="12"/>
      <c r="D6108" s="12"/>
      <c r="E6108" s="12"/>
      <c r="F6108" s="14"/>
      <c r="G6108" s="15"/>
      <c r="H6108" s="15"/>
      <c r="I6108" s="14"/>
      <c r="P6108" s="14"/>
    </row>
    <row r="6109" ht="18.75" customHeight="1">
      <c r="A6109" s="14"/>
      <c r="B6109" s="12"/>
      <c r="C6109" s="12"/>
      <c r="D6109" s="12"/>
      <c r="E6109" s="12"/>
      <c r="F6109" s="14"/>
      <c r="G6109" s="15"/>
      <c r="H6109" s="15"/>
      <c r="I6109" s="14"/>
      <c r="P6109" s="14"/>
    </row>
    <row r="6110" ht="18.75" customHeight="1">
      <c r="A6110" s="14"/>
      <c r="B6110" s="12"/>
      <c r="C6110" s="12"/>
      <c r="D6110" s="12"/>
      <c r="E6110" s="12"/>
      <c r="F6110" s="14"/>
      <c r="G6110" s="15"/>
      <c r="H6110" s="15"/>
      <c r="I6110" s="14"/>
      <c r="P6110" s="14"/>
    </row>
    <row r="6111" ht="18.75" customHeight="1">
      <c r="A6111" s="14"/>
      <c r="B6111" s="12"/>
      <c r="C6111" s="12"/>
      <c r="D6111" s="12"/>
      <c r="E6111" s="12"/>
      <c r="F6111" s="14"/>
      <c r="G6111" s="15"/>
      <c r="H6111" s="15"/>
      <c r="I6111" s="14"/>
      <c r="P6111" s="14"/>
    </row>
    <row r="6112" ht="18.75" customHeight="1">
      <c r="A6112" s="14"/>
      <c r="B6112" s="12"/>
      <c r="C6112" s="12"/>
      <c r="D6112" s="12"/>
      <c r="E6112" s="12"/>
      <c r="F6112" s="14"/>
      <c r="G6112" s="15"/>
      <c r="H6112" s="15"/>
      <c r="I6112" s="14"/>
      <c r="P6112" s="14"/>
    </row>
    <row r="6113" ht="18.75" customHeight="1">
      <c r="A6113" s="14"/>
      <c r="B6113" s="12"/>
      <c r="C6113" s="12"/>
      <c r="D6113" s="12"/>
      <c r="E6113" s="12"/>
      <c r="F6113" s="14"/>
      <c r="G6113" s="15"/>
      <c r="H6113" s="15"/>
      <c r="I6113" s="14"/>
      <c r="P6113" s="14"/>
    </row>
    <row r="6114" ht="18.75" customHeight="1">
      <c r="A6114" s="14"/>
      <c r="B6114" s="12"/>
      <c r="C6114" s="12"/>
      <c r="D6114" s="12"/>
      <c r="E6114" s="12"/>
      <c r="F6114" s="14"/>
      <c r="G6114" s="15"/>
      <c r="H6114" s="15"/>
      <c r="I6114" s="14"/>
      <c r="P6114" s="14"/>
    </row>
    <row r="6115" ht="18.75" customHeight="1">
      <c r="A6115" s="14"/>
      <c r="B6115" s="12"/>
      <c r="C6115" s="12"/>
      <c r="D6115" s="12"/>
      <c r="E6115" s="12"/>
      <c r="F6115" s="14"/>
      <c r="G6115" s="15"/>
      <c r="H6115" s="15"/>
      <c r="I6115" s="14"/>
      <c r="P6115" s="14"/>
    </row>
    <row r="6116" ht="18.75" customHeight="1">
      <c r="A6116" s="14"/>
      <c r="B6116" s="12"/>
      <c r="C6116" s="12"/>
      <c r="D6116" s="12"/>
      <c r="E6116" s="12"/>
      <c r="F6116" s="14"/>
      <c r="G6116" s="15"/>
      <c r="H6116" s="15"/>
      <c r="I6116" s="14"/>
      <c r="P6116" s="14"/>
    </row>
    <row r="6117" ht="18.75" customHeight="1">
      <c r="A6117" s="14"/>
      <c r="B6117" s="12"/>
      <c r="C6117" s="12"/>
      <c r="D6117" s="12"/>
      <c r="E6117" s="12"/>
      <c r="F6117" s="14"/>
      <c r="G6117" s="15"/>
      <c r="H6117" s="15"/>
      <c r="I6117" s="14"/>
      <c r="P6117" s="14"/>
    </row>
    <row r="6118" ht="18.75" customHeight="1">
      <c r="A6118" s="14"/>
      <c r="B6118" s="12"/>
      <c r="C6118" s="12"/>
      <c r="D6118" s="12"/>
      <c r="E6118" s="12"/>
      <c r="F6118" s="14"/>
      <c r="G6118" s="15"/>
      <c r="H6118" s="15"/>
      <c r="I6118" s="14"/>
      <c r="P6118" s="14"/>
    </row>
    <row r="6119" ht="18.75" customHeight="1">
      <c r="A6119" s="14"/>
      <c r="B6119" s="12"/>
      <c r="C6119" s="12"/>
      <c r="D6119" s="12"/>
      <c r="E6119" s="12"/>
      <c r="F6119" s="14"/>
      <c r="G6119" s="15"/>
      <c r="H6119" s="15"/>
      <c r="I6119" s="14"/>
      <c r="P6119" s="14"/>
    </row>
    <row r="6120" ht="18.75" customHeight="1">
      <c r="A6120" s="14"/>
      <c r="B6120" s="12"/>
      <c r="C6120" s="12"/>
      <c r="D6120" s="12"/>
      <c r="E6120" s="12"/>
      <c r="F6120" s="14"/>
      <c r="G6120" s="15"/>
      <c r="H6120" s="15"/>
      <c r="I6120" s="14"/>
      <c r="P6120" s="14"/>
    </row>
    <row r="6121" ht="18.75" customHeight="1">
      <c r="A6121" s="14"/>
      <c r="B6121" s="12"/>
      <c r="C6121" s="12"/>
      <c r="D6121" s="12"/>
      <c r="E6121" s="12"/>
      <c r="F6121" s="14"/>
      <c r="G6121" s="15"/>
      <c r="H6121" s="15"/>
      <c r="I6121" s="14"/>
      <c r="P6121" s="14"/>
    </row>
    <row r="6122" ht="18.75" customHeight="1">
      <c r="A6122" s="14"/>
      <c r="B6122" s="12"/>
      <c r="C6122" s="12"/>
      <c r="D6122" s="12"/>
      <c r="E6122" s="12"/>
      <c r="F6122" s="14"/>
      <c r="G6122" s="15"/>
      <c r="H6122" s="15"/>
      <c r="I6122" s="14"/>
      <c r="P6122" s="14"/>
    </row>
    <row r="6123" ht="18.75" customHeight="1">
      <c r="A6123" s="14"/>
      <c r="B6123" s="12"/>
      <c r="C6123" s="12"/>
      <c r="D6123" s="12"/>
      <c r="E6123" s="12"/>
      <c r="F6123" s="14"/>
      <c r="G6123" s="15"/>
      <c r="H6123" s="15"/>
      <c r="I6123" s="14"/>
      <c r="P6123" s="14"/>
    </row>
    <row r="6124" ht="18.75" customHeight="1">
      <c r="A6124" s="14"/>
      <c r="B6124" s="12"/>
      <c r="C6124" s="12"/>
      <c r="D6124" s="12"/>
      <c r="E6124" s="12"/>
      <c r="F6124" s="14"/>
      <c r="G6124" s="15"/>
      <c r="H6124" s="15"/>
      <c r="I6124" s="14"/>
      <c r="P6124" s="14"/>
    </row>
    <row r="6125" ht="18.75" customHeight="1">
      <c r="A6125" s="14"/>
      <c r="B6125" s="12"/>
      <c r="C6125" s="12"/>
      <c r="D6125" s="12"/>
      <c r="E6125" s="12"/>
      <c r="F6125" s="14"/>
      <c r="G6125" s="15"/>
      <c r="H6125" s="15"/>
      <c r="I6125" s="14"/>
      <c r="P6125" s="14"/>
    </row>
    <row r="6126" ht="18.75" customHeight="1">
      <c r="A6126" s="14"/>
      <c r="B6126" s="12"/>
      <c r="C6126" s="12"/>
      <c r="D6126" s="12"/>
      <c r="E6126" s="12"/>
      <c r="F6126" s="14"/>
      <c r="G6126" s="15"/>
      <c r="H6126" s="15"/>
      <c r="I6126" s="14"/>
      <c r="P6126" s="14"/>
    </row>
    <row r="6127" ht="18.75" customHeight="1">
      <c r="A6127" s="14"/>
      <c r="B6127" s="12"/>
      <c r="C6127" s="12"/>
      <c r="D6127" s="12"/>
      <c r="E6127" s="12"/>
      <c r="F6127" s="14"/>
      <c r="G6127" s="15"/>
      <c r="H6127" s="15"/>
      <c r="I6127" s="14"/>
      <c r="P6127" s="14"/>
    </row>
    <row r="6128" ht="18.75" customHeight="1">
      <c r="A6128" s="14"/>
      <c r="B6128" s="12"/>
      <c r="C6128" s="12"/>
      <c r="D6128" s="12"/>
      <c r="E6128" s="12"/>
      <c r="F6128" s="14"/>
      <c r="G6128" s="15"/>
      <c r="H6128" s="15"/>
      <c r="I6128" s="14"/>
      <c r="P6128" s="14"/>
    </row>
    <row r="6129" ht="18.75" customHeight="1">
      <c r="A6129" s="14"/>
      <c r="B6129" s="12"/>
      <c r="C6129" s="12"/>
      <c r="D6129" s="12"/>
      <c r="E6129" s="12"/>
      <c r="F6129" s="14"/>
      <c r="G6129" s="15"/>
      <c r="H6129" s="15"/>
      <c r="I6129" s="14"/>
      <c r="P6129" s="14"/>
    </row>
    <row r="6130" ht="18.75" customHeight="1">
      <c r="A6130" s="14"/>
      <c r="B6130" s="12"/>
      <c r="C6130" s="12"/>
      <c r="D6130" s="12"/>
      <c r="E6130" s="12"/>
      <c r="F6130" s="14"/>
      <c r="G6130" s="15"/>
      <c r="H6130" s="15"/>
      <c r="I6130" s="14"/>
      <c r="P6130" s="14"/>
    </row>
    <row r="6131" ht="18.75" customHeight="1">
      <c r="A6131" s="14"/>
      <c r="B6131" s="12"/>
      <c r="C6131" s="12"/>
      <c r="D6131" s="12"/>
      <c r="E6131" s="12"/>
      <c r="F6131" s="14"/>
      <c r="G6131" s="15"/>
      <c r="H6131" s="15"/>
      <c r="I6131" s="14"/>
      <c r="P6131" s="14"/>
    </row>
    <row r="6132" ht="18.75" customHeight="1">
      <c r="A6132" s="14"/>
      <c r="B6132" s="12"/>
      <c r="C6132" s="12"/>
      <c r="D6132" s="12"/>
      <c r="E6132" s="12"/>
      <c r="F6132" s="14"/>
      <c r="G6132" s="15"/>
      <c r="H6132" s="15"/>
      <c r="I6132" s="14"/>
      <c r="P6132" s="14"/>
    </row>
    <row r="6133" ht="18.75" customHeight="1">
      <c r="A6133" s="14"/>
      <c r="B6133" s="12"/>
      <c r="C6133" s="12"/>
      <c r="D6133" s="12"/>
      <c r="E6133" s="12"/>
      <c r="F6133" s="14"/>
      <c r="G6133" s="15"/>
      <c r="H6133" s="15"/>
      <c r="I6133" s="14"/>
      <c r="P6133" s="14"/>
    </row>
    <row r="6134" ht="18.75" customHeight="1">
      <c r="A6134" s="14"/>
      <c r="B6134" s="12"/>
      <c r="C6134" s="12"/>
      <c r="D6134" s="12"/>
      <c r="E6134" s="12"/>
      <c r="F6134" s="14"/>
      <c r="G6134" s="15"/>
      <c r="H6134" s="15"/>
      <c r="I6134" s="14"/>
      <c r="P6134" s="14"/>
    </row>
    <row r="6135" ht="18.75" customHeight="1">
      <c r="A6135" s="14"/>
      <c r="B6135" s="12"/>
      <c r="C6135" s="12"/>
      <c r="D6135" s="12"/>
      <c r="E6135" s="12"/>
      <c r="F6135" s="14"/>
      <c r="G6135" s="15"/>
      <c r="H6135" s="15"/>
      <c r="I6135" s="14"/>
      <c r="P6135" s="14"/>
    </row>
    <row r="6136" ht="18.75" customHeight="1">
      <c r="A6136" s="14"/>
      <c r="B6136" s="12"/>
      <c r="C6136" s="12"/>
      <c r="D6136" s="12"/>
      <c r="E6136" s="12"/>
      <c r="F6136" s="14"/>
      <c r="G6136" s="15"/>
      <c r="H6136" s="15"/>
      <c r="I6136" s="14"/>
      <c r="P6136" s="14"/>
    </row>
    <row r="6137" ht="18.75" customHeight="1">
      <c r="A6137" s="14"/>
      <c r="B6137" s="12"/>
      <c r="C6137" s="12"/>
      <c r="D6137" s="12"/>
      <c r="E6137" s="12"/>
      <c r="F6137" s="14"/>
      <c r="G6137" s="15"/>
      <c r="H6137" s="15"/>
      <c r="I6137" s="14"/>
      <c r="P6137" s="14"/>
    </row>
    <row r="6138" ht="18.75" customHeight="1">
      <c r="A6138" s="14"/>
      <c r="B6138" s="12"/>
      <c r="C6138" s="12"/>
      <c r="D6138" s="12"/>
      <c r="E6138" s="12"/>
      <c r="F6138" s="14"/>
      <c r="G6138" s="15"/>
      <c r="H6138" s="15"/>
      <c r="I6138" s="14"/>
      <c r="P6138" s="14"/>
    </row>
    <row r="6139" ht="18.75" customHeight="1">
      <c r="A6139" s="14"/>
      <c r="B6139" s="12"/>
      <c r="C6139" s="12"/>
      <c r="D6139" s="12"/>
      <c r="E6139" s="12"/>
      <c r="F6139" s="14"/>
      <c r="G6139" s="15"/>
      <c r="H6139" s="15"/>
      <c r="I6139" s="14"/>
      <c r="P6139" s="14"/>
    </row>
    <row r="6140" ht="18.75" customHeight="1">
      <c r="A6140" s="14"/>
      <c r="B6140" s="12"/>
      <c r="C6140" s="12"/>
      <c r="D6140" s="12"/>
      <c r="E6140" s="12"/>
      <c r="F6140" s="14"/>
      <c r="G6140" s="15"/>
      <c r="H6140" s="15"/>
      <c r="I6140" s="14"/>
      <c r="P6140" s="14"/>
    </row>
    <row r="6141" ht="18.75" customHeight="1">
      <c r="A6141" s="14"/>
      <c r="B6141" s="12"/>
      <c r="C6141" s="12"/>
      <c r="D6141" s="12"/>
      <c r="E6141" s="12"/>
      <c r="F6141" s="14"/>
      <c r="G6141" s="15"/>
      <c r="H6141" s="15"/>
      <c r="I6141" s="14"/>
      <c r="P6141" s="14"/>
    </row>
    <row r="6142" ht="18.75" customHeight="1">
      <c r="A6142" s="14"/>
      <c r="B6142" s="12"/>
      <c r="C6142" s="12"/>
      <c r="D6142" s="12"/>
      <c r="E6142" s="12"/>
      <c r="F6142" s="14"/>
      <c r="G6142" s="15"/>
      <c r="H6142" s="15"/>
      <c r="I6142" s="14"/>
      <c r="P6142" s="14"/>
    </row>
    <row r="6143" ht="18.75" customHeight="1">
      <c r="A6143" s="14"/>
      <c r="B6143" s="12"/>
      <c r="C6143" s="12"/>
      <c r="D6143" s="12"/>
      <c r="E6143" s="12"/>
      <c r="F6143" s="14"/>
      <c r="G6143" s="15"/>
      <c r="H6143" s="15"/>
      <c r="I6143" s="14"/>
      <c r="P6143" s="14"/>
    </row>
    <row r="6144" ht="18.75" customHeight="1">
      <c r="A6144" s="14"/>
      <c r="B6144" s="12"/>
      <c r="C6144" s="12"/>
      <c r="D6144" s="12"/>
      <c r="E6144" s="12"/>
      <c r="F6144" s="14"/>
      <c r="G6144" s="15"/>
      <c r="H6144" s="15"/>
      <c r="I6144" s="14"/>
      <c r="P6144" s="14"/>
    </row>
    <row r="6145" ht="18.75" customHeight="1">
      <c r="A6145" s="14"/>
      <c r="B6145" s="12"/>
      <c r="C6145" s="12"/>
      <c r="D6145" s="12"/>
      <c r="E6145" s="12"/>
      <c r="F6145" s="14"/>
      <c r="G6145" s="15"/>
      <c r="H6145" s="15"/>
      <c r="I6145" s="14"/>
      <c r="P6145" s="14"/>
    </row>
    <row r="6146" ht="18.75" customHeight="1">
      <c r="A6146" s="14"/>
      <c r="B6146" s="12"/>
      <c r="C6146" s="12"/>
      <c r="D6146" s="12"/>
      <c r="E6146" s="12"/>
      <c r="F6146" s="14"/>
      <c r="G6146" s="15"/>
      <c r="H6146" s="15"/>
      <c r="I6146" s="14"/>
      <c r="P6146" s="14"/>
    </row>
    <row r="6147" ht="18.75" customHeight="1">
      <c r="A6147" s="14"/>
      <c r="B6147" s="12"/>
      <c r="C6147" s="12"/>
      <c r="D6147" s="12"/>
      <c r="E6147" s="12"/>
      <c r="F6147" s="14"/>
      <c r="G6147" s="15"/>
      <c r="H6147" s="15"/>
      <c r="I6147" s="14"/>
      <c r="P6147" s="14"/>
    </row>
    <row r="6148" ht="18.75" customHeight="1">
      <c r="A6148" s="14"/>
      <c r="B6148" s="12"/>
      <c r="C6148" s="12"/>
      <c r="D6148" s="12"/>
      <c r="E6148" s="12"/>
      <c r="F6148" s="14"/>
      <c r="G6148" s="15"/>
      <c r="H6148" s="15"/>
      <c r="I6148" s="14"/>
      <c r="P6148" s="14"/>
    </row>
    <row r="6149" ht="18.75" customHeight="1">
      <c r="A6149" s="14"/>
      <c r="B6149" s="12"/>
      <c r="C6149" s="12"/>
      <c r="D6149" s="12"/>
      <c r="E6149" s="12"/>
      <c r="F6149" s="14"/>
      <c r="G6149" s="15"/>
      <c r="H6149" s="15"/>
      <c r="I6149" s="14"/>
      <c r="P6149" s="14"/>
    </row>
    <row r="6150" ht="18.75" customHeight="1">
      <c r="A6150" s="14"/>
      <c r="B6150" s="12"/>
      <c r="C6150" s="12"/>
      <c r="D6150" s="12"/>
      <c r="E6150" s="12"/>
      <c r="F6150" s="14"/>
      <c r="G6150" s="15"/>
      <c r="H6150" s="15"/>
      <c r="I6150" s="14"/>
      <c r="P6150" s="14"/>
    </row>
    <row r="6151" ht="18.75" customHeight="1">
      <c r="A6151" s="14"/>
      <c r="B6151" s="12"/>
      <c r="C6151" s="12"/>
      <c r="D6151" s="12"/>
      <c r="E6151" s="12"/>
      <c r="F6151" s="14"/>
      <c r="G6151" s="15"/>
      <c r="H6151" s="15"/>
      <c r="I6151" s="14"/>
      <c r="P6151" s="14"/>
    </row>
    <row r="6152" ht="18.75" customHeight="1">
      <c r="A6152" s="14"/>
      <c r="B6152" s="12"/>
      <c r="C6152" s="12"/>
      <c r="D6152" s="12"/>
      <c r="E6152" s="12"/>
      <c r="F6152" s="14"/>
      <c r="G6152" s="15"/>
      <c r="H6152" s="15"/>
      <c r="I6152" s="14"/>
      <c r="P6152" s="14"/>
    </row>
    <row r="6153" ht="18.75" customHeight="1">
      <c r="A6153" s="14"/>
      <c r="B6153" s="12"/>
      <c r="C6153" s="12"/>
      <c r="D6153" s="12"/>
      <c r="E6153" s="12"/>
      <c r="F6153" s="14"/>
      <c r="G6153" s="15"/>
      <c r="H6153" s="15"/>
      <c r="I6153" s="14"/>
      <c r="P6153" s="14"/>
    </row>
    <row r="6154" ht="18.75" customHeight="1">
      <c r="A6154" s="14"/>
      <c r="B6154" s="12"/>
      <c r="C6154" s="12"/>
      <c r="D6154" s="12"/>
      <c r="E6154" s="12"/>
      <c r="F6154" s="14"/>
      <c r="G6154" s="15"/>
      <c r="H6154" s="15"/>
      <c r="I6154" s="14"/>
      <c r="P6154" s="14"/>
    </row>
    <row r="6155" ht="18.75" customHeight="1">
      <c r="A6155" s="14"/>
      <c r="B6155" s="12"/>
      <c r="C6155" s="12"/>
      <c r="D6155" s="12"/>
      <c r="E6155" s="12"/>
      <c r="F6155" s="14"/>
      <c r="G6155" s="15"/>
      <c r="H6155" s="15"/>
      <c r="I6155" s="14"/>
      <c r="P6155" s="14"/>
    </row>
    <row r="6156" ht="18.75" customHeight="1">
      <c r="A6156" s="14"/>
      <c r="B6156" s="12"/>
      <c r="C6156" s="12"/>
      <c r="D6156" s="12"/>
      <c r="E6156" s="12"/>
      <c r="F6156" s="14"/>
      <c r="G6156" s="15"/>
      <c r="H6156" s="15"/>
      <c r="I6156" s="14"/>
      <c r="P6156" s="14"/>
    </row>
    <row r="6157" ht="18.75" customHeight="1">
      <c r="A6157" s="14"/>
      <c r="B6157" s="12"/>
      <c r="C6157" s="12"/>
      <c r="D6157" s="12"/>
      <c r="E6157" s="12"/>
      <c r="F6157" s="14"/>
      <c r="G6157" s="15"/>
      <c r="H6157" s="15"/>
      <c r="I6157" s="14"/>
      <c r="P6157" s="14"/>
    </row>
    <row r="6158" ht="18.75" customHeight="1">
      <c r="A6158" s="14"/>
      <c r="B6158" s="12"/>
      <c r="C6158" s="12"/>
      <c r="D6158" s="12"/>
      <c r="E6158" s="12"/>
      <c r="F6158" s="14"/>
      <c r="G6158" s="15"/>
      <c r="H6158" s="15"/>
      <c r="I6158" s="14"/>
      <c r="P6158" s="14"/>
    </row>
    <row r="6159" ht="18.75" customHeight="1">
      <c r="A6159" s="14"/>
      <c r="B6159" s="12"/>
      <c r="C6159" s="12"/>
      <c r="D6159" s="12"/>
      <c r="E6159" s="12"/>
      <c r="F6159" s="14"/>
      <c r="G6159" s="15"/>
      <c r="H6159" s="15"/>
      <c r="I6159" s="14"/>
      <c r="P6159" s="14"/>
    </row>
    <row r="6160" ht="18.75" customHeight="1">
      <c r="A6160" s="14"/>
      <c r="B6160" s="12"/>
      <c r="C6160" s="12"/>
      <c r="D6160" s="12"/>
      <c r="E6160" s="12"/>
      <c r="F6160" s="14"/>
      <c r="G6160" s="15"/>
      <c r="H6160" s="15"/>
      <c r="I6160" s="14"/>
      <c r="P6160" s="14"/>
    </row>
    <row r="6161" ht="18.75" customHeight="1">
      <c r="A6161" s="14"/>
      <c r="B6161" s="12"/>
      <c r="C6161" s="12"/>
      <c r="D6161" s="12"/>
      <c r="E6161" s="12"/>
      <c r="F6161" s="14"/>
      <c r="G6161" s="15"/>
      <c r="H6161" s="15"/>
      <c r="I6161" s="14"/>
      <c r="P6161" s="14"/>
    </row>
    <row r="6162" ht="18.75" customHeight="1">
      <c r="A6162" s="14"/>
      <c r="B6162" s="12"/>
      <c r="C6162" s="12"/>
      <c r="D6162" s="12"/>
      <c r="E6162" s="12"/>
      <c r="F6162" s="14"/>
      <c r="G6162" s="15"/>
      <c r="H6162" s="15"/>
      <c r="I6162" s="14"/>
      <c r="P6162" s="14"/>
    </row>
    <row r="6163" ht="18.75" customHeight="1">
      <c r="A6163" s="14"/>
      <c r="B6163" s="12"/>
      <c r="C6163" s="12"/>
      <c r="D6163" s="12"/>
      <c r="E6163" s="12"/>
      <c r="F6163" s="14"/>
      <c r="G6163" s="15"/>
      <c r="H6163" s="15"/>
      <c r="I6163" s="14"/>
      <c r="P6163" s="14"/>
    </row>
    <row r="6164" ht="18.75" customHeight="1">
      <c r="A6164" s="14"/>
      <c r="B6164" s="12"/>
      <c r="C6164" s="12"/>
      <c r="D6164" s="12"/>
      <c r="E6164" s="12"/>
      <c r="F6164" s="14"/>
      <c r="G6164" s="15"/>
      <c r="H6164" s="15"/>
      <c r="I6164" s="14"/>
      <c r="P6164" s="14"/>
    </row>
    <row r="6165" ht="18.75" customHeight="1">
      <c r="A6165" s="14"/>
      <c r="B6165" s="12"/>
      <c r="C6165" s="12"/>
      <c r="D6165" s="12"/>
      <c r="E6165" s="12"/>
      <c r="F6165" s="14"/>
      <c r="G6165" s="15"/>
      <c r="H6165" s="15"/>
      <c r="I6165" s="14"/>
      <c r="P6165" s="14"/>
    </row>
    <row r="6166" ht="18.75" customHeight="1">
      <c r="A6166" s="14"/>
      <c r="B6166" s="12"/>
      <c r="C6166" s="12"/>
      <c r="D6166" s="12"/>
      <c r="E6166" s="12"/>
      <c r="F6166" s="14"/>
      <c r="G6166" s="15"/>
      <c r="H6166" s="15"/>
      <c r="I6166" s="14"/>
      <c r="P6166" s="14"/>
    </row>
    <row r="6167" ht="18.75" customHeight="1">
      <c r="A6167" s="14"/>
      <c r="B6167" s="12"/>
      <c r="C6167" s="12"/>
      <c r="D6167" s="12"/>
      <c r="E6167" s="12"/>
      <c r="F6167" s="14"/>
      <c r="G6167" s="15"/>
      <c r="H6167" s="15"/>
      <c r="I6167" s="14"/>
      <c r="P6167" s="14"/>
    </row>
    <row r="6168" ht="18.75" customHeight="1">
      <c r="A6168" s="14"/>
      <c r="B6168" s="12"/>
      <c r="C6168" s="12"/>
      <c r="D6168" s="12"/>
      <c r="E6168" s="12"/>
      <c r="F6168" s="14"/>
      <c r="G6168" s="15"/>
      <c r="H6168" s="15"/>
      <c r="I6168" s="14"/>
      <c r="P6168" s="14"/>
    </row>
    <row r="6169" ht="18.75" customHeight="1">
      <c r="A6169" s="14"/>
      <c r="B6169" s="12"/>
      <c r="C6169" s="12"/>
      <c r="D6169" s="12"/>
      <c r="E6169" s="12"/>
      <c r="F6169" s="14"/>
      <c r="G6169" s="15"/>
      <c r="H6169" s="15"/>
      <c r="I6169" s="14"/>
      <c r="P6169" s="14"/>
    </row>
    <row r="6170" ht="18.75" customHeight="1">
      <c r="A6170" s="14"/>
      <c r="B6170" s="12"/>
      <c r="C6170" s="12"/>
      <c r="D6170" s="12"/>
      <c r="E6170" s="12"/>
      <c r="F6170" s="14"/>
      <c r="G6170" s="15"/>
      <c r="H6170" s="15"/>
      <c r="I6170" s="14"/>
      <c r="P6170" s="14"/>
    </row>
    <row r="6171" ht="18.75" customHeight="1">
      <c r="A6171" s="14"/>
      <c r="B6171" s="12"/>
      <c r="C6171" s="12"/>
      <c r="D6171" s="12"/>
      <c r="E6171" s="12"/>
      <c r="F6171" s="14"/>
      <c r="G6171" s="15"/>
      <c r="H6171" s="15"/>
      <c r="I6171" s="14"/>
      <c r="P6171" s="14"/>
    </row>
    <row r="6172" ht="18.75" customHeight="1">
      <c r="A6172" s="14"/>
      <c r="B6172" s="12"/>
      <c r="C6172" s="12"/>
      <c r="D6172" s="12"/>
      <c r="E6172" s="12"/>
      <c r="F6172" s="14"/>
      <c r="G6172" s="15"/>
      <c r="H6172" s="15"/>
      <c r="I6172" s="14"/>
      <c r="P6172" s="14"/>
    </row>
    <row r="6173" ht="18.75" customHeight="1">
      <c r="A6173" s="14"/>
      <c r="B6173" s="12"/>
      <c r="C6173" s="12"/>
      <c r="D6173" s="12"/>
      <c r="E6173" s="12"/>
      <c r="F6173" s="14"/>
      <c r="G6173" s="15"/>
      <c r="H6173" s="15"/>
      <c r="I6173" s="14"/>
      <c r="P6173" s="14"/>
    </row>
    <row r="6174" ht="18.75" customHeight="1">
      <c r="A6174" s="14"/>
      <c r="B6174" s="12"/>
      <c r="C6174" s="12"/>
      <c r="D6174" s="12"/>
      <c r="E6174" s="12"/>
      <c r="F6174" s="14"/>
      <c r="G6174" s="15"/>
      <c r="H6174" s="15"/>
      <c r="I6174" s="14"/>
      <c r="P6174" s="14"/>
    </row>
    <row r="6175" ht="18.75" customHeight="1">
      <c r="A6175" s="14"/>
      <c r="B6175" s="12"/>
      <c r="C6175" s="12"/>
      <c r="D6175" s="12"/>
      <c r="E6175" s="12"/>
      <c r="F6175" s="14"/>
      <c r="G6175" s="15"/>
      <c r="H6175" s="15"/>
      <c r="I6175" s="14"/>
      <c r="P6175" s="14"/>
    </row>
    <row r="6176" ht="18.75" customHeight="1">
      <c r="A6176" s="14"/>
      <c r="B6176" s="12"/>
      <c r="C6176" s="12"/>
      <c r="D6176" s="12"/>
      <c r="E6176" s="12"/>
      <c r="F6176" s="14"/>
      <c r="G6176" s="15"/>
      <c r="H6176" s="15"/>
      <c r="I6176" s="14"/>
      <c r="P6176" s="14"/>
    </row>
    <row r="6177" ht="18.75" customHeight="1">
      <c r="A6177" s="14"/>
      <c r="B6177" s="12"/>
      <c r="C6177" s="12"/>
      <c r="D6177" s="12"/>
      <c r="E6177" s="12"/>
      <c r="F6177" s="14"/>
      <c r="G6177" s="15"/>
      <c r="H6177" s="15"/>
      <c r="I6177" s="14"/>
      <c r="P6177" s="14"/>
    </row>
    <row r="6178" ht="18.75" customHeight="1">
      <c r="A6178" s="14"/>
      <c r="B6178" s="12"/>
      <c r="C6178" s="12"/>
      <c r="D6178" s="12"/>
      <c r="E6178" s="12"/>
      <c r="F6178" s="14"/>
      <c r="G6178" s="15"/>
      <c r="H6178" s="15"/>
      <c r="I6178" s="14"/>
      <c r="P6178" s="14"/>
    </row>
    <row r="6179" ht="18.75" customHeight="1">
      <c r="A6179" s="14"/>
      <c r="B6179" s="12"/>
      <c r="C6179" s="12"/>
      <c r="D6179" s="12"/>
      <c r="E6179" s="12"/>
      <c r="F6179" s="14"/>
      <c r="G6179" s="15"/>
      <c r="H6179" s="15"/>
      <c r="I6179" s="14"/>
      <c r="P6179" s="14"/>
    </row>
    <row r="6180" ht="18.75" customHeight="1">
      <c r="A6180" s="14"/>
      <c r="B6180" s="12"/>
      <c r="C6180" s="12"/>
      <c r="D6180" s="12"/>
      <c r="E6180" s="12"/>
      <c r="F6180" s="14"/>
      <c r="G6180" s="15"/>
      <c r="H6180" s="15"/>
      <c r="I6180" s="14"/>
      <c r="P6180" s="14"/>
    </row>
    <row r="6181" ht="18.75" customHeight="1">
      <c r="A6181" s="14"/>
      <c r="B6181" s="12"/>
      <c r="C6181" s="12"/>
      <c r="D6181" s="12"/>
      <c r="E6181" s="12"/>
      <c r="F6181" s="14"/>
      <c r="G6181" s="15"/>
      <c r="H6181" s="15"/>
      <c r="I6181" s="14"/>
      <c r="P6181" s="14"/>
    </row>
    <row r="6182" ht="18.75" customHeight="1">
      <c r="A6182" s="14"/>
      <c r="B6182" s="12"/>
      <c r="C6182" s="12"/>
      <c r="D6182" s="12"/>
      <c r="E6182" s="12"/>
      <c r="F6182" s="14"/>
      <c r="G6182" s="15"/>
      <c r="H6182" s="15"/>
      <c r="I6182" s="14"/>
      <c r="P6182" s="14"/>
    </row>
    <row r="6183" ht="18.75" customHeight="1">
      <c r="A6183" s="14"/>
      <c r="B6183" s="12"/>
      <c r="C6183" s="12"/>
      <c r="D6183" s="12"/>
      <c r="E6183" s="12"/>
      <c r="F6183" s="14"/>
      <c r="G6183" s="15"/>
      <c r="H6183" s="15"/>
      <c r="I6183" s="14"/>
      <c r="P6183" s="14"/>
    </row>
    <row r="6184" ht="18.75" customHeight="1">
      <c r="A6184" s="14"/>
      <c r="B6184" s="12"/>
      <c r="C6184" s="12"/>
      <c r="D6184" s="12"/>
      <c r="E6184" s="12"/>
      <c r="F6184" s="14"/>
      <c r="G6184" s="15"/>
      <c r="H6184" s="15"/>
      <c r="I6184" s="14"/>
      <c r="P6184" s="14"/>
    </row>
    <row r="6185" ht="18.75" customHeight="1">
      <c r="A6185" s="14"/>
      <c r="B6185" s="12"/>
      <c r="C6185" s="12"/>
      <c r="D6185" s="12"/>
      <c r="E6185" s="12"/>
      <c r="F6185" s="14"/>
      <c r="G6185" s="15"/>
      <c r="H6185" s="15"/>
      <c r="I6185" s="14"/>
      <c r="P6185" s="14"/>
    </row>
    <row r="6186" ht="18.75" customHeight="1">
      <c r="A6186" s="14"/>
      <c r="B6186" s="12"/>
      <c r="C6186" s="12"/>
      <c r="D6186" s="12"/>
      <c r="E6186" s="12"/>
      <c r="F6186" s="14"/>
      <c r="G6186" s="15"/>
      <c r="H6186" s="15"/>
      <c r="I6186" s="14"/>
      <c r="P6186" s="14"/>
    </row>
    <row r="6187" ht="18.75" customHeight="1">
      <c r="A6187" s="14"/>
      <c r="B6187" s="12"/>
      <c r="C6187" s="12"/>
      <c r="D6187" s="12"/>
      <c r="E6187" s="12"/>
      <c r="F6187" s="14"/>
      <c r="G6187" s="15"/>
      <c r="H6187" s="15"/>
      <c r="I6187" s="14"/>
      <c r="P6187" s="14"/>
    </row>
    <row r="6188" ht="18.75" customHeight="1">
      <c r="A6188" s="14"/>
      <c r="B6188" s="12"/>
      <c r="C6188" s="12"/>
      <c r="D6188" s="12"/>
      <c r="E6188" s="12"/>
      <c r="F6188" s="14"/>
      <c r="G6188" s="15"/>
      <c r="H6188" s="15"/>
      <c r="I6188" s="14"/>
      <c r="P6188" s="14"/>
    </row>
    <row r="6189" ht="18.75" customHeight="1">
      <c r="A6189" s="14"/>
      <c r="B6189" s="12"/>
      <c r="C6189" s="12"/>
      <c r="D6189" s="12"/>
      <c r="E6189" s="12"/>
      <c r="F6189" s="14"/>
      <c r="G6189" s="15"/>
      <c r="H6189" s="15"/>
      <c r="I6189" s="14"/>
      <c r="P6189" s="14"/>
    </row>
    <row r="6190" ht="18.75" customHeight="1">
      <c r="A6190" s="14"/>
      <c r="B6190" s="12"/>
      <c r="C6190" s="12"/>
      <c r="D6190" s="12"/>
      <c r="E6190" s="12"/>
      <c r="F6190" s="14"/>
      <c r="G6190" s="15"/>
      <c r="H6190" s="15"/>
      <c r="I6190" s="14"/>
      <c r="P6190" s="14"/>
    </row>
    <row r="6191" ht="18.75" customHeight="1">
      <c r="A6191" s="14"/>
      <c r="B6191" s="12"/>
      <c r="C6191" s="12"/>
      <c r="D6191" s="12"/>
      <c r="E6191" s="12"/>
      <c r="F6191" s="14"/>
      <c r="G6191" s="15"/>
      <c r="H6191" s="15"/>
      <c r="I6191" s="14"/>
      <c r="P6191" s="14"/>
    </row>
    <row r="6192" ht="18.75" customHeight="1">
      <c r="A6192" s="14"/>
      <c r="B6192" s="12"/>
      <c r="C6192" s="12"/>
      <c r="D6192" s="12"/>
      <c r="E6192" s="12"/>
      <c r="F6192" s="14"/>
      <c r="G6192" s="15"/>
      <c r="H6192" s="15"/>
      <c r="I6192" s="14"/>
      <c r="P6192" s="14"/>
    </row>
    <row r="6193" ht="18.75" customHeight="1">
      <c r="A6193" s="14"/>
      <c r="B6193" s="12"/>
      <c r="C6193" s="12"/>
      <c r="D6193" s="12"/>
      <c r="E6193" s="12"/>
      <c r="F6193" s="14"/>
      <c r="G6193" s="15"/>
      <c r="H6193" s="15"/>
      <c r="I6193" s="14"/>
      <c r="P6193" s="14"/>
    </row>
    <row r="6194" ht="18.75" customHeight="1">
      <c r="A6194" s="14"/>
      <c r="B6194" s="12"/>
      <c r="C6194" s="12"/>
      <c r="D6194" s="12"/>
      <c r="E6194" s="12"/>
      <c r="F6194" s="14"/>
      <c r="G6194" s="15"/>
      <c r="H6194" s="15"/>
      <c r="I6194" s="14"/>
      <c r="P6194" s="14"/>
    </row>
    <row r="6195" ht="18.75" customHeight="1">
      <c r="A6195" s="14"/>
      <c r="B6195" s="12"/>
      <c r="C6195" s="12"/>
      <c r="D6195" s="12"/>
      <c r="E6195" s="12"/>
      <c r="F6195" s="14"/>
      <c r="G6195" s="15"/>
      <c r="H6195" s="15"/>
      <c r="I6195" s="14"/>
      <c r="P6195" s="14"/>
    </row>
    <row r="6196" ht="18.75" customHeight="1">
      <c r="A6196" s="14"/>
      <c r="B6196" s="12"/>
      <c r="C6196" s="12"/>
      <c r="D6196" s="12"/>
      <c r="E6196" s="12"/>
      <c r="F6196" s="14"/>
      <c r="G6196" s="15"/>
      <c r="H6196" s="15"/>
      <c r="I6196" s="14"/>
      <c r="P6196" s="14"/>
    </row>
    <row r="6197" ht="18.75" customHeight="1">
      <c r="A6197" s="14"/>
      <c r="B6197" s="12"/>
      <c r="C6197" s="12"/>
      <c r="D6197" s="12"/>
      <c r="E6197" s="12"/>
      <c r="F6197" s="14"/>
      <c r="G6197" s="15"/>
      <c r="H6197" s="15"/>
      <c r="I6197" s="14"/>
      <c r="P6197" s="14"/>
    </row>
    <row r="6198" ht="18.75" customHeight="1">
      <c r="A6198" s="14"/>
      <c r="B6198" s="12"/>
      <c r="C6198" s="12"/>
      <c r="D6198" s="12"/>
      <c r="E6198" s="12"/>
      <c r="F6198" s="14"/>
      <c r="G6198" s="15"/>
      <c r="H6198" s="15"/>
      <c r="I6198" s="14"/>
      <c r="P6198" s="14"/>
    </row>
    <row r="6199" ht="18.75" customHeight="1">
      <c r="A6199" s="14"/>
      <c r="B6199" s="12"/>
      <c r="C6199" s="12"/>
      <c r="D6199" s="12"/>
      <c r="E6199" s="12"/>
      <c r="F6199" s="14"/>
      <c r="G6199" s="15"/>
      <c r="H6199" s="15"/>
      <c r="I6199" s="14"/>
      <c r="P6199" s="14"/>
    </row>
    <row r="6200" ht="18.75" customHeight="1">
      <c r="A6200" s="14"/>
      <c r="B6200" s="12"/>
      <c r="C6200" s="12"/>
      <c r="D6200" s="12"/>
      <c r="E6200" s="12"/>
      <c r="F6200" s="14"/>
      <c r="G6200" s="15"/>
      <c r="H6200" s="15"/>
      <c r="I6200" s="14"/>
      <c r="P6200" s="14"/>
    </row>
    <row r="6201" ht="18.75" customHeight="1">
      <c r="A6201" s="14"/>
      <c r="B6201" s="12"/>
      <c r="C6201" s="12"/>
      <c r="D6201" s="12"/>
      <c r="E6201" s="12"/>
      <c r="F6201" s="14"/>
      <c r="G6201" s="15"/>
      <c r="H6201" s="15"/>
      <c r="I6201" s="14"/>
      <c r="P6201" s="14"/>
    </row>
    <row r="6202" ht="18.75" customHeight="1">
      <c r="A6202" s="14"/>
      <c r="B6202" s="12"/>
      <c r="C6202" s="12"/>
      <c r="D6202" s="12"/>
      <c r="E6202" s="12"/>
      <c r="F6202" s="14"/>
      <c r="G6202" s="15"/>
      <c r="H6202" s="15"/>
      <c r="I6202" s="14"/>
      <c r="P6202" s="14"/>
    </row>
    <row r="6203" ht="18.75" customHeight="1">
      <c r="A6203" s="14"/>
      <c r="B6203" s="12"/>
      <c r="C6203" s="12"/>
      <c r="D6203" s="12"/>
      <c r="E6203" s="12"/>
      <c r="F6203" s="14"/>
      <c r="G6203" s="15"/>
      <c r="H6203" s="15"/>
      <c r="I6203" s="14"/>
      <c r="P6203" s="14"/>
    </row>
    <row r="6204" ht="18.75" customHeight="1">
      <c r="A6204" s="14"/>
      <c r="B6204" s="12"/>
      <c r="C6204" s="12"/>
      <c r="D6204" s="12"/>
      <c r="E6204" s="12"/>
      <c r="F6204" s="14"/>
      <c r="G6204" s="15"/>
      <c r="H6204" s="15"/>
      <c r="I6204" s="14"/>
      <c r="P6204" s="14"/>
    </row>
    <row r="6205" ht="18.75" customHeight="1">
      <c r="A6205" s="14"/>
      <c r="B6205" s="12"/>
      <c r="C6205" s="12"/>
      <c r="D6205" s="12"/>
      <c r="E6205" s="12"/>
      <c r="F6205" s="14"/>
      <c r="G6205" s="15"/>
      <c r="H6205" s="15"/>
      <c r="I6205" s="14"/>
      <c r="P6205" s="14"/>
    </row>
    <row r="6206" ht="18.75" customHeight="1">
      <c r="A6206" s="14"/>
      <c r="B6206" s="12"/>
      <c r="C6206" s="12"/>
      <c r="D6206" s="12"/>
      <c r="E6206" s="12"/>
      <c r="F6206" s="14"/>
      <c r="G6206" s="15"/>
      <c r="H6206" s="15"/>
      <c r="I6206" s="14"/>
      <c r="P6206" s="14"/>
    </row>
    <row r="6207" ht="18.75" customHeight="1">
      <c r="A6207" s="14"/>
      <c r="B6207" s="12"/>
      <c r="C6207" s="12"/>
      <c r="D6207" s="12"/>
      <c r="E6207" s="12"/>
      <c r="F6207" s="14"/>
      <c r="G6207" s="15"/>
      <c r="H6207" s="15"/>
      <c r="I6207" s="14"/>
      <c r="P6207" s="14"/>
    </row>
    <row r="6208" ht="18.75" customHeight="1">
      <c r="A6208" s="14"/>
      <c r="B6208" s="12"/>
      <c r="C6208" s="12"/>
      <c r="D6208" s="12"/>
      <c r="E6208" s="12"/>
      <c r="F6208" s="14"/>
      <c r="G6208" s="15"/>
      <c r="H6208" s="15"/>
      <c r="I6208" s="14"/>
      <c r="P6208" s="14"/>
    </row>
    <row r="6209" ht="18.75" customHeight="1">
      <c r="A6209" s="14"/>
      <c r="B6209" s="12"/>
      <c r="C6209" s="12"/>
      <c r="D6209" s="12"/>
      <c r="E6209" s="12"/>
      <c r="F6209" s="14"/>
      <c r="G6209" s="15"/>
      <c r="H6209" s="15"/>
      <c r="I6209" s="14"/>
      <c r="P6209" s="14"/>
    </row>
    <row r="6210" ht="18.75" customHeight="1">
      <c r="A6210" s="14"/>
      <c r="B6210" s="12"/>
      <c r="C6210" s="12"/>
      <c r="D6210" s="12"/>
      <c r="E6210" s="12"/>
      <c r="F6210" s="14"/>
      <c r="G6210" s="15"/>
      <c r="H6210" s="15"/>
      <c r="I6210" s="14"/>
      <c r="P6210" s="14"/>
    </row>
    <row r="6211" ht="18.75" customHeight="1">
      <c r="A6211" s="14"/>
      <c r="B6211" s="12"/>
      <c r="C6211" s="12"/>
      <c r="D6211" s="12"/>
      <c r="E6211" s="12"/>
      <c r="F6211" s="14"/>
      <c r="G6211" s="15"/>
      <c r="H6211" s="15"/>
      <c r="I6211" s="14"/>
      <c r="P6211" s="14"/>
    </row>
    <row r="6212" ht="18.75" customHeight="1">
      <c r="A6212" s="14"/>
      <c r="B6212" s="12"/>
      <c r="C6212" s="12"/>
      <c r="D6212" s="12"/>
      <c r="E6212" s="12"/>
      <c r="F6212" s="14"/>
      <c r="G6212" s="15"/>
      <c r="H6212" s="15"/>
      <c r="I6212" s="14"/>
      <c r="P6212" s="14"/>
    </row>
    <row r="6213" ht="18.75" customHeight="1">
      <c r="A6213" s="14"/>
      <c r="B6213" s="12"/>
      <c r="C6213" s="12"/>
      <c r="D6213" s="12"/>
      <c r="E6213" s="12"/>
      <c r="F6213" s="14"/>
      <c r="G6213" s="15"/>
      <c r="H6213" s="15"/>
      <c r="I6213" s="14"/>
      <c r="P6213" s="14"/>
    </row>
    <row r="6214" ht="18.75" customHeight="1">
      <c r="A6214" s="14"/>
      <c r="B6214" s="12"/>
      <c r="C6214" s="12"/>
      <c r="D6214" s="12"/>
      <c r="E6214" s="12"/>
      <c r="F6214" s="14"/>
      <c r="G6214" s="15"/>
      <c r="H6214" s="15"/>
      <c r="I6214" s="14"/>
      <c r="P6214" s="14"/>
    </row>
    <row r="6215" ht="18.75" customHeight="1">
      <c r="A6215" s="14"/>
      <c r="B6215" s="12"/>
      <c r="C6215" s="12"/>
      <c r="D6215" s="12"/>
      <c r="E6215" s="12"/>
      <c r="F6215" s="14"/>
      <c r="G6215" s="15"/>
      <c r="H6215" s="15"/>
      <c r="I6215" s="14"/>
      <c r="P6215" s="14"/>
    </row>
    <row r="6216" ht="18.75" customHeight="1">
      <c r="A6216" s="14"/>
      <c r="B6216" s="12"/>
      <c r="C6216" s="12"/>
      <c r="D6216" s="12"/>
      <c r="E6216" s="12"/>
      <c r="F6216" s="14"/>
      <c r="G6216" s="15"/>
      <c r="H6216" s="15"/>
      <c r="I6216" s="14"/>
      <c r="P6216" s="14"/>
    </row>
    <row r="6217" ht="18.75" customHeight="1">
      <c r="A6217" s="14"/>
      <c r="B6217" s="12"/>
      <c r="C6217" s="12"/>
      <c r="D6217" s="12"/>
      <c r="E6217" s="12"/>
      <c r="F6217" s="14"/>
      <c r="G6217" s="15"/>
      <c r="H6217" s="15"/>
      <c r="I6217" s="14"/>
      <c r="P6217" s="14"/>
    </row>
    <row r="6218" ht="18.75" customHeight="1">
      <c r="A6218" s="14"/>
      <c r="B6218" s="12"/>
      <c r="C6218" s="12"/>
      <c r="D6218" s="12"/>
      <c r="E6218" s="12"/>
      <c r="F6218" s="14"/>
      <c r="G6218" s="15"/>
      <c r="H6218" s="15"/>
      <c r="I6218" s="14"/>
      <c r="P6218" s="14"/>
    </row>
    <row r="6219" ht="18.75" customHeight="1">
      <c r="A6219" s="14"/>
      <c r="B6219" s="12"/>
      <c r="C6219" s="12"/>
      <c r="D6219" s="12"/>
      <c r="E6219" s="12"/>
      <c r="F6219" s="14"/>
      <c r="G6219" s="15"/>
      <c r="H6219" s="15"/>
      <c r="I6219" s="14"/>
      <c r="P6219" s="14"/>
    </row>
    <row r="6220" ht="18.75" customHeight="1">
      <c r="A6220" s="14"/>
      <c r="B6220" s="12"/>
      <c r="C6220" s="12"/>
      <c r="D6220" s="12"/>
      <c r="E6220" s="12"/>
      <c r="F6220" s="14"/>
      <c r="G6220" s="15"/>
      <c r="H6220" s="15"/>
      <c r="I6220" s="14"/>
      <c r="P6220" s="14"/>
    </row>
    <row r="6221" ht="18.75" customHeight="1">
      <c r="A6221" s="14"/>
      <c r="B6221" s="12"/>
      <c r="C6221" s="12"/>
      <c r="D6221" s="12"/>
      <c r="E6221" s="12"/>
      <c r="F6221" s="14"/>
      <c r="G6221" s="15"/>
      <c r="H6221" s="15"/>
      <c r="I6221" s="14"/>
      <c r="P6221" s="14"/>
    </row>
    <row r="6222" ht="18.75" customHeight="1">
      <c r="A6222" s="14"/>
      <c r="B6222" s="12"/>
      <c r="C6222" s="12"/>
      <c r="D6222" s="12"/>
      <c r="E6222" s="12"/>
      <c r="F6222" s="14"/>
      <c r="G6222" s="15"/>
      <c r="H6222" s="15"/>
      <c r="I6222" s="14"/>
      <c r="P6222" s="14"/>
    </row>
    <row r="6223" ht="18.75" customHeight="1">
      <c r="A6223" s="14"/>
      <c r="B6223" s="12"/>
      <c r="C6223" s="12"/>
      <c r="D6223" s="12"/>
      <c r="E6223" s="12"/>
      <c r="F6223" s="14"/>
      <c r="G6223" s="15"/>
      <c r="H6223" s="15"/>
      <c r="I6223" s="14"/>
      <c r="P6223" s="14"/>
    </row>
    <row r="6224" ht="18.75" customHeight="1">
      <c r="A6224" s="14"/>
      <c r="B6224" s="12"/>
      <c r="C6224" s="12"/>
      <c r="D6224" s="12"/>
      <c r="E6224" s="12"/>
      <c r="F6224" s="14"/>
      <c r="G6224" s="15"/>
      <c r="H6224" s="15"/>
      <c r="I6224" s="14"/>
      <c r="P6224" s="14"/>
    </row>
    <row r="6225" ht="18.75" customHeight="1">
      <c r="A6225" s="14"/>
      <c r="B6225" s="12"/>
      <c r="C6225" s="12"/>
      <c r="D6225" s="12"/>
      <c r="E6225" s="12"/>
      <c r="F6225" s="14"/>
      <c r="G6225" s="15"/>
      <c r="H6225" s="15"/>
      <c r="I6225" s="14"/>
      <c r="P6225" s="14"/>
    </row>
    <row r="6226" ht="18.75" customHeight="1">
      <c r="A6226" s="14"/>
      <c r="B6226" s="12"/>
      <c r="C6226" s="12"/>
      <c r="D6226" s="12"/>
      <c r="E6226" s="12"/>
      <c r="F6226" s="14"/>
      <c r="G6226" s="15"/>
      <c r="H6226" s="15"/>
      <c r="I6226" s="14"/>
      <c r="P6226" s="14"/>
    </row>
    <row r="6227" ht="18.75" customHeight="1">
      <c r="A6227" s="14"/>
      <c r="B6227" s="12"/>
      <c r="C6227" s="12"/>
      <c r="D6227" s="12"/>
      <c r="E6227" s="12"/>
      <c r="F6227" s="14"/>
      <c r="G6227" s="15"/>
      <c r="H6227" s="15"/>
      <c r="I6227" s="14"/>
      <c r="P6227" s="14"/>
    </row>
    <row r="6228" ht="18.75" customHeight="1">
      <c r="A6228" s="14"/>
      <c r="B6228" s="12"/>
      <c r="C6228" s="12"/>
      <c r="D6228" s="12"/>
      <c r="E6228" s="12"/>
      <c r="F6228" s="14"/>
      <c r="G6228" s="15"/>
      <c r="H6228" s="15"/>
      <c r="I6228" s="14"/>
      <c r="P6228" s="14"/>
    </row>
    <row r="6229" ht="18.75" customHeight="1">
      <c r="A6229" s="14"/>
      <c r="B6229" s="12"/>
      <c r="C6229" s="12"/>
      <c r="D6229" s="12"/>
      <c r="E6229" s="12"/>
      <c r="F6229" s="14"/>
      <c r="G6229" s="15"/>
      <c r="H6229" s="15"/>
      <c r="I6229" s="14"/>
      <c r="P6229" s="14"/>
    </row>
    <row r="6230" ht="18.75" customHeight="1">
      <c r="A6230" s="14"/>
      <c r="B6230" s="12"/>
      <c r="C6230" s="12"/>
      <c r="D6230" s="12"/>
      <c r="E6230" s="12"/>
      <c r="F6230" s="14"/>
      <c r="G6230" s="15"/>
      <c r="H6230" s="15"/>
      <c r="I6230" s="14"/>
      <c r="P6230" s="14"/>
    </row>
    <row r="6231" ht="18.75" customHeight="1">
      <c r="A6231" s="14"/>
      <c r="B6231" s="12"/>
      <c r="C6231" s="12"/>
      <c r="D6231" s="12"/>
      <c r="E6231" s="12"/>
      <c r="F6231" s="14"/>
      <c r="G6231" s="15"/>
      <c r="H6231" s="15"/>
      <c r="I6231" s="14"/>
      <c r="P6231" s="14"/>
    </row>
    <row r="6232" ht="18.75" customHeight="1">
      <c r="A6232" s="14"/>
      <c r="B6232" s="12"/>
      <c r="C6232" s="12"/>
      <c r="D6232" s="12"/>
      <c r="E6232" s="12"/>
      <c r="F6232" s="14"/>
      <c r="G6232" s="15"/>
      <c r="H6232" s="15"/>
      <c r="I6232" s="14"/>
      <c r="P6232" s="14"/>
    </row>
    <row r="6233" ht="18.75" customHeight="1">
      <c r="A6233" s="14"/>
      <c r="B6233" s="12"/>
      <c r="C6233" s="12"/>
      <c r="D6233" s="12"/>
      <c r="E6233" s="12"/>
      <c r="F6233" s="14"/>
      <c r="G6233" s="15"/>
      <c r="H6233" s="15"/>
      <c r="I6233" s="14"/>
      <c r="P6233" s="14"/>
    </row>
    <row r="6234" ht="18.75" customHeight="1">
      <c r="A6234" s="14"/>
      <c r="B6234" s="12"/>
      <c r="C6234" s="12"/>
      <c r="D6234" s="12"/>
      <c r="E6234" s="12"/>
      <c r="F6234" s="14"/>
      <c r="G6234" s="15"/>
      <c r="H6234" s="15"/>
      <c r="I6234" s="14"/>
      <c r="P6234" s="14"/>
    </row>
    <row r="6235" ht="18.75" customHeight="1">
      <c r="A6235" s="14"/>
      <c r="B6235" s="12"/>
      <c r="C6235" s="12"/>
      <c r="D6235" s="12"/>
      <c r="E6235" s="12"/>
      <c r="F6235" s="14"/>
      <c r="G6235" s="15"/>
      <c r="H6235" s="15"/>
      <c r="I6235" s="14"/>
      <c r="P6235" s="14"/>
    </row>
    <row r="6236" ht="18.75" customHeight="1">
      <c r="A6236" s="14"/>
      <c r="B6236" s="12"/>
      <c r="C6236" s="12"/>
      <c r="D6236" s="12"/>
      <c r="E6236" s="12"/>
      <c r="F6236" s="14"/>
      <c r="G6236" s="15"/>
      <c r="H6236" s="15"/>
      <c r="I6236" s="14"/>
      <c r="P6236" s="14"/>
    </row>
    <row r="6237" ht="18.75" customHeight="1">
      <c r="A6237" s="14"/>
      <c r="B6237" s="12"/>
      <c r="C6237" s="12"/>
      <c r="D6237" s="12"/>
      <c r="E6237" s="12"/>
      <c r="F6237" s="14"/>
      <c r="G6237" s="15"/>
      <c r="H6237" s="15"/>
      <c r="I6237" s="14"/>
      <c r="P6237" s="14"/>
    </row>
    <row r="6238" ht="18.75" customHeight="1">
      <c r="A6238" s="14"/>
      <c r="B6238" s="12"/>
      <c r="C6238" s="12"/>
      <c r="D6238" s="12"/>
      <c r="E6238" s="12"/>
      <c r="F6238" s="14"/>
      <c r="G6238" s="15"/>
      <c r="H6238" s="15"/>
      <c r="I6238" s="14"/>
      <c r="P6238" s="14"/>
    </row>
    <row r="6239" ht="18.75" customHeight="1">
      <c r="A6239" s="14"/>
      <c r="B6239" s="12"/>
      <c r="C6239" s="12"/>
      <c r="D6239" s="12"/>
      <c r="E6239" s="12"/>
      <c r="F6239" s="14"/>
      <c r="G6239" s="15"/>
      <c r="H6239" s="15"/>
      <c r="I6239" s="14"/>
      <c r="P6239" s="14"/>
    </row>
    <row r="6240" ht="18.75" customHeight="1">
      <c r="A6240" s="14"/>
      <c r="B6240" s="12"/>
      <c r="C6240" s="12"/>
      <c r="D6240" s="12"/>
      <c r="E6240" s="12"/>
      <c r="F6240" s="14"/>
      <c r="G6240" s="15"/>
      <c r="H6240" s="15"/>
      <c r="I6240" s="14"/>
      <c r="P6240" s="14"/>
    </row>
    <row r="6241" ht="18.75" customHeight="1">
      <c r="A6241" s="14"/>
      <c r="B6241" s="12"/>
      <c r="C6241" s="12"/>
      <c r="D6241" s="12"/>
      <c r="E6241" s="12"/>
      <c r="F6241" s="14"/>
      <c r="G6241" s="15"/>
      <c r="H6241" s="15"/>
      <c r="I6241" s="14"/>
      <c r="P6241" s="14"/>
    </row>
    <row r="6242" ht="18.75" customHeight="1">
      <c r="A6242" s="14"/>
      <c r="B6242" s="12"/>
      <c r="C6242" s="12"/>
      <c r="D6242" s="12"/>
      <c r="E6242" s="12"/>
      <c r="F6242" s="14"/>
      <c r="G6242" s="15"/>
      <c r="H6242" s="15"/>
      <c r="I6242" s="14"/>
      <c r="P6242" s="14"/>
    </row>
    <row r="6243" ht="18.75" customHeight="1">
      <c r="A6243" s="14"/>
      <c r="B6243" s="12"/>
      <c r="C6243" s="12"/>
      <c r="D6243" s="12"/>
      <c r="E6243" s="12"/>
      <c r="F6243" s="14"/>
      <c r="G6243" s="15"/>
      <c r="H6243" s="15"/>
      <c r="I6243" s="14"/>
      <c r="P6243" s="14"/>
    </row>
    <row r="6244" ht="18.75" customHeight="1">
      <c r="A6244" s="14"/>
      <c r="B6244" s="12"/>
      <c r="C6244" s="12"/>
      <c r="D6244" s="12"/>
      <c r="E6244" s="12"/>
      <c r="F6244" s="14"/>
      <c r="G6244" s="15"/>
      <c r="H6244" s="15"/>
      <c r="I6244" s="14"/>
      <c r="P6244" s="14"/>
    </row>
    <row r="6245" ht="18.75" customHeight="1">
      <c r="A6245" s="14"/>
      <c r="B6245" s="12"/>
      <c r="C6245" s="12"/>
      <c r="D6245" s="12"/>
      <c r="E6245" s="12"/>
      <c r="F6245" s="14"/>
      <c r="G6245" s="15"/>
      <c r="H6245" s="15"/>
      <c r="I6245" s="14"/>
      <c r="P6245" s="14"/>
    </row>
    <row r="6246" ht="18.75" customHeight="1">
      <c r="A6246" s="14"/>
      <c r="B6246" s="12"/>
      <c r="C6246" s="12"/>
      <c r="D6246" s="12"/>
      <c r="E6246" s="12"/>
      <c r="F6246" s="14"/>
      <c r="G6246" s="15"/>
      <c r="H6246" s="15"/>
      <c r="I6246" s="14"/>
      <c r="P6246" s="14"/>
    </row>
    <row r="6247" ht="18.75" customHeight="1">
      <c r="A6247" s="14"/>
      <c r="B6247" s="12"/>
      <c r="C6247" s="12"/>
      <c r="D6247" s="12"/>
      <c r="E6247" s="12"/>
      <c r="F6247" s="14"/>
      <c r="G6247" s="15"/>
      <c r="H6247" s="15"/>
      <c r="I6247" s="14"/>
      <c r="P6247" s="14"/>
    </row>
    <row r="6248" ht="18.75" customHeight="1">
      <c r="A6248" s="14"/>
      <c r="B6248" s="12"/>
      <c r="C6248" s="12"/>
      <c r="D6248" s="12"/>
      <c r="E6248" s="12"/>
      <c r="F6248" s="14"/>
      <c r="G6248" s="15"/>
      <c r="H6248" s="15"/>
      <c r="I6248" s="14"/>
      <c r="P6248" s="14"/>
    </row>
    <row r="6249" ht="18.75" customHeight="1">
      <c r="A6249" s="14"/>
      <c r="B6249" s="12"/>
      <c r="C6249" s="12"/>
      <c r="D6249" s="12"/>
      <c r="E6249" s="12"/>
      <c r="F6249" s="14"/>
      <c r="G6249" s="15"/>
      <c r="H6249" s="15"/>
      <c r="I6249" s="14"/>
      <c r="P6249" s="14"/>
    </row>
    <row r="6250" ht="18.75" customHeight="1">
      <c r="A6250" s="14"/>
      <c r="B6250" s="12"/>
      <c r="C6250" s="12"/>
      <c r="D6250" s="12"/>
      <c r="E6250" s="12"/>
      <c r="F6250" s="14"/>
      <c r="G6250" s="15"/>
      <c r="H6250" s="15"/>
      <c r="I6250" s="14"/>
      <c r="P6250" s="14"/>
    </row>
    <row r="6251" ht="18.75" customHeight="1">
      <c r="A6251" s="14"/>
      <c r="B6251" s="12"/>
      <c r="C6251" s="12"/>
      <c r="D6251" s="12"/>
      <c r="E6251" s="12"/>
      <c r="F6251" s="14"/>
      <c r="G6251" s="15"/>
      <c r="H6251" s="15"/>
      <c r="I6251" s="14"/>
      <c r="P6251" s="14"/>
    </row>
    <row r="6252" ht="18.75" customHeight="1">
      <c r="A6252" s="14"/>
      <c r="B6252" s="12"/>
      <c r="C6252" s="12"/>
      <c r="D6252" s="12"/>
      <c r="E6252" s="12"/>
      <c r="F6252" s="14"/>
      <c r="G6252" s="15"/>
      <c r="H6252" s="15"/>
      <c r="I6252" s="14"/>
      <c r="P6252" s="14"/>
    </row>
    <row r="6253" ht="18.75" customHeight="1">
      <c r="A6253" s="14"/>
      <c r="B6253" s="12"/>
      <c r="C6253" s="12"/>
      <c r="D6253" s="12"/>
      <c r="E6253" s="12"/>
      <c r="F6253" s="14"/>
      <c r="G6253" s="15"/>
      <c r="H6253" s="15"/>
      <c r="I6253" s="14"/>
      <c r="P6253" s="14"/>
    </row>
    <row r="6254" ht="18.75" customHeight="1">
      <c r="A6254" s="14"/>
      <c r="B6254" s="12"/>
      <c r="C6254" s="12"/>
      <c r="D6254" s="12"/>
      <c r="E6254" s="12"/>
      <c r="F6254" s="14"/>
      <c r="G6254" s="15"/>
      <c r="H6254" s="15"/>
      <c r="I6254" s="14"/>
      <c r="P6254" s="14"/>
    </row>
    <row r="6255" ht="18.75" customHeight="1">
      <c r="A6255" s="14"/>
      <c r="B6255" s="12"/>
      <c r="C6255" s="12"/>
      <c r="D6255" s="12"/>
      <c r="E6255" s="12"/>
      <c r="F6255" s="14"/>
      <c r="G6255" s="15"/>
      <c r="H6255" s="15"/>
      <c r="I6255" s="14"/>
      <c r="P6255" s="14"/>
    </row>
    <row r="6256" ht="18.75" customHeight="1">
      <c r="A6256" s="14"/>
      <c r="B6256" s="12"/>
      <c r="C6256" s="12"/>
      <c r="D6256" s="12"/>
      <c r="E6256" s="12"/>
      <c r="F6256" s="14"/>
      <c r="G6256" s="15"/>
      <c r="H6256" s="15"/>
      <c r="I6256" s="14"/>
      <c r="P6256" s="14"/>
    </row>
    <row r="6257" ht="18.75" customHeight="1">
      <c r="A6257" s="14"/>
      <c r="B6257" s="12"/>
      <c r="C6257" s="12"/>
      <c r="D6257" s="12"/>
      <c r="E6257" s="12"/>
      <c r="F6257" s="14"/>
      <c r="G6257" s="15"/>
      <c r="H6257" s="15"/>
      <c r="I6257" s="14"/>
      <c r="P6257" s="14"/>
    </row>
    <row r="6258" ht="18.75" customHeight="1">
      <c r="A6258" s="14"/>
      <c r="B6258" s="12"/>
      <c r="C6258" s="12"/>
      <c r="D6258" s="12"/>
      <c r="E6258" s="12"/>
      <c r="F6258" s="14"/>
      <c r="G6258" s="15"/>
      <c r="H6258" s="15"/>
      <c r="I6258" s="14"/>
      <c r="P6258" s="14"/>
    </row>
    <row r="6259" ht="18.75" customHeight="1">
      <c r="A6259" s="14"/>
      <c r="B6259" s="12"/>
      <c r="C6259" s="12"/>
      <c r="D6259" s="12"/>
      <c r="E6259" s="12"/>
      <c r="F6259" s="14"/>
      <c r="G6259" s="15"/>
      <c r="H6259" s="15"/>
      <c r="I6259" s="14"/>
      <c r="P6259" s="14"/>
    </row>
    <row r="6260" ht="18.75" customHeight="1">
      <c r="A6260" s="14"/>
      <c r="B6260" s="12"/>
      <c r="C6260" s="12"/>
      <c r="D6260" s="12"/>
      <c r="E6260" s="12"/>
      <c r="F6260" s="14"/>
      <c r="G6260" s="15"/>
      <c r="H6260" s="15"/>
      <c r="I6260" s="14"/>
      <c r="P6260" s="14"/>
    </row>
    <row r="6261" ht="18.75" customHeight="1">
      <c r="A6261" s="14"/>
      <c r="B6261" s="12"/>
      <c r="C6261" s="12"/>
      <c r="D6261" s="12"/>
      <c r="E6261" s="12"/>
      <c r="F6261" s="14"/>
      <c r="G6261" s="15"/>
      <c r="H6261" s="15"/>
      <c r="I6261" s="14"/>
      <c r="P6261" s="14"/>
    </row>
    <row r="6262" ht="18.75" customHeight="1">
      <c r="A6262" s="14"/>
      <c r="B6262" s="12"/>
      <c r="C6262" s="12"/>
      <c r="D6262" s="12"/>
      <c r="E6262" s="12"/>
      <c r="F6262" s="14"/>
      <c r="G6262" s="15"/>
      <c r="H6262" s="15"/>
      <c r="I6262" s="14"/>
      <c r="P6262" s="14"/>
    </row>
    <row r="6263" ht="18.75" customHeight="1">
      <c r="A6263" s="14"/>
      <c r="B6263" s="12"/>
      <c r="C6263" s="12"/>
      <c r="D6263" s="12"/>
      <c r="E6263" s="12"/>
      <c r="F6263" s="14"/>
      <c r="G6263" s="15"/>
      <c r="H6263" s="15"/>
      <c r="I6263" s="14"/>
      <c r="P6263" s="14"/>
    </row>
    <row r="6264" ht="18.75" customHeight="1">
      <c r="A6264" s="14"/>
      <c r="B6264" s="12"/>
      <c r="C6264" s="12"/>
      <c r="D6264" s="12"/>
      <c r="E6264" s="12"/>
      <c r="F6264" s="14"/>
      <c r="G6264" s="15"/>
      <c r="H6264" s="15"/>
      <c r="I6264" s="14"/>
      <c r="P6264" s="14"/>
    </row>
    <row r="6265" ht="18.75" customHeight="1">
      <c r="A6265" s="14"/>
      <c r="B6265" s="12"/>
      <c r="C6265" s="12"/>
      <c r="D6265" s="12"/>
      <c r="E6265" s="12"/>
      <c r="F6265" s="14"/>
      <c r="G6265" s="15"/>
      <c r="H6265" s="15"/>
      <c r="I6265" s="14"/>
      <c r="P6265" s="14"/>
    </row>
    <row r="6266" ht="18.75" customHeight="1">
      <c r="A6266" s="14"/>
      <c r="B6266" s="12"/>
      <c r="C6266" s="12"/>
      <c r="D6266" s="12"/>
      <c r="E6266" s="12"/>
      <c r="F6266" s="14"/>
      <c r="G6266" s="15"/>
      <c r="H6266" s="15"/>
      <c r="I6266" s="14"/>
      <c r="P6266" s="14"/>
    </row>
    <row r="6267" ht="18.75" customHeight="1">
      <c r="A6267" s="14"/>
      <c r="B6267" s="12"/>
      <c r="C6267" s="12"/>
      <c r="D6267" s="12"/>
      <c r="E6267" s="12"/>
      <c r="F6267" s="14"/>
      <c r="G6267" s="15"/>
      <c r="H6267" s="15"/>
      <c r="I6267" s="14"/>
      <c r="P6267" s="14"/>
    </row>
    <row r="6268" ht="18.75" customHeight="1">
      <c r="A6268" s="14"/>
      <c r="B6268" s="12"/>
      <c r="C6268" s="12"/>
      <c r="D6268" s="12"/>
      <c r="E6268" s="12"/>
      <c r="F6268" s="14"/>
      <c r="G6268" s="15"/>
      <c r="H6268" s="15"/>
      <c r="I6268" s="14"/>
      <c r="P6268" s="14"/>
    </row>
    <row r="6269" ht="18.75" customHeight="1">
      <c r="A6269" s="14"/>
      <c r="B6269" s="12"/>
      <c r="C6269" s="12"/>
      <c r="D6269" s="12"/>
      <c r="E6269" s="12"/>
      <c r="F6269" s="14"/>
      <c r="G6269" s="15"/>
      <c r="H6269" s="15"/>
      <c r="I6269" s="14"/>
      <c r="P6269" s="14"/>
    </row>
    <row r="6270" ht="18.75" customHeight="1">
      <c r="A6270" s="14"/>
      <c r="B6270" s="12"/>
      <c r="C6270" s="12"/>
      <c r="D6270" s="12"/>
      <c r="E6270" s="12"/>
      <c r="F6270" s="14"/>
      <c r="G6270" s="15"/>
      <c r="H6270" s="15"/>
      <c r="I6270" s="14"/>
      <c r="P6270" s="14"/>
    </row>
    <row r="6271" ht="18.75" customHeight="1">
      <c r="A6271" s="14"/>
      <c r="B6271" s="12"/>
      <c r="C6271" s="12"/>
      <c r="D6271" s="12"/>
      <c r="E6271" s="12"/>
      <c r="F6271" s="14"/>
      <c r="G6271" s="15"/>
      <c r="H6271" s="15"/>
      <c r="I6271" s="14"/>
      <c r="P6271" s="14"/>
    </row>
    <row r="6272" ht="18.75" customHeight="1">
      <c r="A6272" s="14"/>
      <c r="B6272" s="12"/>
      <c r="C6272" s="12"/>
      <c r="D6272" s="12"/>
      <c r="E6272" s="12"/>
      <c r="F6272" s="14"/>
      <c r="G6272" s="15"/>
      <c r="H6272" s="15"/>
      <c r="I6272" s="14"/>
      <c r="P6272" s="14"/>
    </row>
    <row r="6273" ht="18.75" customHeight="1">
      <c r="A6273" s="14"/>
      <c r="B6273" s="12"/>
      <c r="C6273" s="12"/>
      <c r="D6273" s="12"/>
      <c r="E6273" s="12"/>
      <c r="F6273" s="14"/>
      <c r="G6273" s="15"/>
      <c r="H6273" s="15"/>
      <c r="I6273" s="14"/>
      <c r="P6273" s="14"/>
    </row>
    <row r="6274" ht="18.75" customHeight="1">
      <c r="A6274" s="14"/>
      <c r="B6274" s="12"/>
      <c r="C6274" s="12"/>
      <c r="D6274" s="12"/>
      <c r="E6274" s="12"/>
      <c r="F6274" s="14"/>
      <c r="G6274" s="15"/>
      <c r="H6274" s="15"/>
      <c r="I6274" s="14"/>
      <c r="P6274" s="14"/>
    </row>
    <row r="6275" ht="18.75" customHeight="1">
      <c r="A6275" s="14"/>
      <c r="B6275" s="12"/>
      <c r="C6275" s="12"/>
      <c r="D6275" s="12"/>
      <c r="E6275" s="12"/>
      <c r="F6275" s="14"/>
      <c r="G6275" s="15"/>
      <c r="H6275" s="15"/>
      <c r="I6275" s="14"/>
      <c r="P6275" s="14"/>
    </row>
    <row r="6276" ht="18.75" customHeight="1">
      <c r="A6276" s="14"/>
      <c r="B6276" s="12"/>
      <c r="C6276" s="12"/>
      <c r="D6276" s="12"/>
      <c r="E6276" s="12"/>
      <c r="F6276" s="14"/>
      <c r="G6276" s="15"/>
      <c r="H6276" s="15"/>
      <c r="I6276" s="14"/>
      <c r="P6276" s="14"/>
    </row>
    <row r="6277" ht="18.75" customHeight="1">
      <c r="A6277" s="14"/>
      <c r="B6277" s="12"/>
      <c r="C6277" s="12"/>
      <c r="D6277" s="12"/>
      <c r="E6277" s="12"/>
      <c r="F6277" s="14"/>
      <c r="G6277" s="15"/>
      <c r="H6277" s="15"/>
      <c r="I6277" s="14"/>
      <c r="P6277" s="14"/>
    </row>
    <row r="6278" ht="18.75" customHeight="1">
      <c r="A6278" s="14"/>
      <c r="B6278" s="12"/>
      <c r="C6278" s="12"/>
      <c r="D6278" s="12"/>
      <c r="E6278" s="12"/>
      <c r="F6278" s="14"/>
      <c r="G6278" s="15"/>
      <c r="H6278" s="15"/>
      <c r="I6278" s="14"/>
      <c r="P6278" s="14"/>
    </row>
    <row r="6279" ht="18.75" customHeight="1">
      <c r="A6279" s="14"/>
      <c r="B6279" s="12"/>
      <c r="C6279" s="12"/>
      <c r="D6279" s="12"/>
      <c r="E6279" s="12"/>
      <c r="F6279" s="14"/>
      <c r="G6279" s="15"/>
      <c r="H6279" s="15"/>
      <c r="I6279" s="14"/>
      <c r="P6279" s="14"/>
    </row>
    <row r="6280" ht="18.75" customHeight="1">
      <c r="A6280" s="14"/>
      <c r="B6280" s="12"/>
      <c r="C6280" s="12"/>
      <c r="D6280" s="12"/>
      <c r="E6280" s="12"/>
      <c r="F6280" s="14"/>
      <c r="G6280" s="15"/>
      <c r="H6280" s="15"/>
      <c r="I6280" s="14"/>
      <c r="P6280" s="14"/>
    </row>
    <row r="6281" ht="18.75" customHeight="1">
      <c r="A6281" s="14"/>
      <c r="B6281" s="12"/>
      <c r="C6281" s="12"/>
      <c r="D6281" s="12"/>
      <c r="E6281" s="12"/>
      <c r="F6281" s="14"/>
      <c r="G6281" s="15"/>
      <c r="H6281" s="15"/>
      <c r="I6281" s="14"/>
      <c r="P6281" s="14"/>
    </row>
    <row r="6282" ht="18.75" customHeight="1">
      <c r="A6282" s="14"/>
      <c r="B6282" s="12"/>
      <c r="C6282" s="12"/>
      <c r="D6282" s="12"/>
      <c r="E6282" s="12"/>
      <c r="F6282" s="14"/>
      <c r="G6282" s="15"/>
      <c r="H6282" s="15"/>
      <c r="I6282" s="14"/>
      <c r="P6282" s="14"/>
    </row>
    <row r="6283" ht="18.75" customHeight="1">
      <c r="A6283" s="14"/>
      <c r="B6283" s="12"/>
      <c r="C6283" s="12"/>
      <c r="D6283" s="12"/>
      <c r="E6283" s="12"/>
      <c r="F6283" s="14"/>
      <c r="G6283" s="15"/>
      <c r="H6283" s="15"/>
      <c r="I6283" s="14"/>
      <c r="P6283" s="14"/>
    </row>
    <row r="6284" ht="18.75" customHeight="1">
      <c r="A6284" s="14"/>
      <c r="B6284" s="12"/>
      <c r="C6284" s="12"/>
      <c r="D6284" s="12"/>
      <c r="E6284" s="12"/>
      <c r="F6284" s="14"/>
      <c r="G6284" s="15"/>
      <c r="H6284" s="15"/>
      <c r="I6284" s="14"/>
      <c r="P6284" s="14"/>
    </row>
    <row r="6285" ht="18.75" customHeight="1">
      <c r="A6285" s="14"/>
      <c r="B6285" s="12"/>
      <c r="C6285" s="12"/>
      <c r="D6285" s="12"/>
      <c r="E6285" s="12"/>
      <c r="F6285" s="14"/>
      <c r="G6285" s="15"/>
      <c r="H6285" s="15"/>
      <c r="I6285" s="14"/>
      <c r="P6285" s="14"/>
    </row>
    <row r="6286" ht="18.75" customHeight="1">
      <c r="A6286" s="14"/>
      <c r="B6286" s="12"/>
      <c r="C6286" s="12"/>
      <c r="D6286" s="12"/>
      <c r="E6286" s="12"/>
      <c r="F6286" s="14"/>
      <c r="G6286" s="15"/>
      <c r="H6286" s="15"/>
      <c r="I6286" s="14"/>
      <c r="P6286" s="14"/>
    </row>
    <row r="6287" ht="18.75" customHeight="1">
      <c r="A6287" s="14"/>
      <c r="B6287" s="12"/>
      <c r="C6287" s="12"/>
      <c r="D6287" s="12"/>
      <c r="E6287" s="12"/>
      <c r="F6287" s="14"/>
      <c r="G6287" s="15"/>
      <c r="H6287" s="15"/>
      <c r="I6287" s="14"/>
      <c r="P6287" s="14"/>
    </row>
    <row r="6288" ht="18.75" customHeight="1">
      <c r="A6288" s="14"/>
      <c r="B6288" s="12"/>
      <c r="C6288" s="12"/>
      <c r="D6288" s="12"/>
      <c r="E6288" s="12"/>
      <c r="F6288" s="14"/>
      <c r="G6288" s="15"/>
      <c r="H6288" s="15"/>
      <c r="I6288" s="14"/>
      <c r="P6288" s="14"/>
    </row>
    <row r="6289" ht="18.75" customHeight="1">
      <c r="A6289" s="14"/>
      <c r="B6289" s="12"/>
      <c r="C6289" s="12"/>
      <c r="D6289" s="12"/>
      <c r="E6289" s="12"/>
      <c r="F6289" s="14"/>
      <c r="G6289" s="15"/>
      <c r="H6289" s="15"/>
      <c r="I6289" s="14"/>
      <c r="P6289" s="14"/>
    </row>
    <row r="6290" ht="18.75" customHeight="1">
      <c r="A6290" s="14"/>
      <c r="B6290" s="12"/>
      <c r="C6290" s="12"/>
      <c r="D6290" s="12"/>
      <c r="E6290" s="12"/>
      <c r="F6290" s="14"/>
      <c r="G6290" s="15"/>
      <c r="H6290" s="15"/>
      <c r="I6290" s="14"/>
      <c r="P6290" s="14"/>
    </row>
    <row r="6291" ht="18.75" customHeight="1">
      <c r="A6291" s="14"/>
      <c r="B6291" s="12"/>
      <c r="C6291" s="12"/>
      <c r="D6291" s="12"/>
      <c r="E6291" s="12"/>
      <c r="F6291" s="14"/>
      <c r="G6291" s="15"/>
      <c r="H6291" s="15"/>
      <c r="I6291" s="14"/>
      <c r="P6291" s="14"/>
    </row>
    <row r="6292" ht="18.75" customHeight="1">
      <c r="A6292" s="14"/>
      <c r="B6292" s="12"/>
      <c r="C6292" s="12"/>
      <c r="D6292" s="12"/>
      <c r="E6292" s="12"/>
      <c r="F6292" s="14"/>
      <c r="G6292" s="15"/>
      <c r="H6292" s="15"/>
      <c r="I6292" s="14"/>
      <c r="P6292" s="14"/>
    </row>
    <row r="6293" ht="18.75" customHeight="1">
      <c r="A6293" s="14"/>
      <c r="B6293" s="12"/>
      <c r="C6293" s="12"/>
      <c r="D6293" s="12"/>
      <c r="E6293" s="12"/>
      <c r="F6293" s="14"/>
      <c r="G6293" s="15"/>
      <c r="H6293" s="15"/>
      <c r="I6293" s="14"/>
      <c r="P6293" s="14"/>
    </row>
    <row r="6294" ht="18.75" customHeight="1">
      <c r="A6294" s="14"/>
      <c r="B6294" s="12"/>
      <c r="C6294" s="12"/>
      <c r="D6294" s="12"/>
      <c r="E6294" s="12"/>
      <c r="F6294" s="14"/>
      <c r="G6294" s="15"/>
      <c r="H6294" s="15"/>
      <c r="I6294" s="14"/>
      <c r="P6294" s="14"/>
    </row>
    <row r="6295" ht="18.75" customHeight="1">
      <c r="A6295" s="14"/>
      <c r="B6295" s="12"/>
      <c r="C6295" s="12"/>
      <c r="D6295" s="12"/>
      <c r="E6295" s="12"/>
      <c r="F6295" s="14"/>
      <c r="G6295" s="15"/>
      <c r="H6295" s="15"/>
      <c r="I6295" s="14"/>
      <c r="P6295" s="14"/>
    </row>
    <row r="6296" ht="18.75" customHeight="1">
      <c r="A6296" s="14"/>
      <c r="B6296" s="12"/>
      <c r="C6296" s="12"/>
      <c r="D6296" s="12"/>
      <c r="E6296" s="12"/>
      <c r="F6296" s="14"/>
      <c r="G6296" s="15"/>
      <c r="H6296" s="15"/>
      <c r="I6296" s="14"/>
      <c r="P6296" s="14"/>
    </row>
    <row r="6297" ht="18.75" customHeight="1">
      <c r="A6297" s="14"/>
      <c r="B6297" s="12"/>
      <c r="C6297" s="12"/>
      <c r="D6297" s="12"/>
      <c r="E6297" s="12"/>
      <c r="F6297" s="14"/>
      <c r="G6297" s="15"/>
      <c r="H6297" s="15"/>
      <c r="I6297" s="14"/>
      <c r="P6297" s="14"/>
    </row>
    <row r="6298" ht="18.75" customHeight="1">
      <c r="A6298" s="14"/>
      <c r="B6298" s="12"/>
      <c r="C6298" s="12"/>
      <c r="D6298" s="12"/>
      <c r="E6298" s="12"/>
      <c r="F6298" s="14"/>
      <c r="G6298" s="15"/>
      <c r="H6298" s="15"/>
      <c r="I6298" s="14"/>
      <c r="P6298" s="14"/>
    </row>
    <row r="6299" ht="18.75" customHeight="1">
      <c r="A6299" s="14"/>
      <c r="B6299" s="12"/>
      <c r="C6299" s="12"/>
      <c r="D6299" s="12"/>
      <c r="E6299" s="12"/>
      <c r="F6299" s="14"/>
      <c r="G6299" s="15"/>
      <c r="H6299" s="15"/>
      <c r="I6299" s="14"/>
      <c r="P6299" s="14"/>
    </row>
    <row r="6300" ht="18.75" customHeight="1">
      <c r="A6300" s="14"/>
      <c r="B6300" s="12"/>
      <c r="C6300" s="12"/>
      <c r="D6300" s="12"/>
      <c r="E6300" s="12"/>
      <c r="F6300" s="14"/>
      <c r="G6300" s="15"/>
      <c r="H6300" s="15"/>
      <c r="I6300" s="14"/>
      <c r="P6300" s="14"/>
    </row>
    <row r="6301" ht="18.75" customHeight="1">
      <c r="A6301" s="14"/>
      <c r="B6301" s="12"/>
      <c r="C6301" s="12"/>
      <c r="D6301" s="12"/>
      <c r="E6301" s="12"/>
      <c r="F6301" s="14"/>
      <c r="G6301" s="15"/>
      <c r="H6301" s="15"/>
      <c r="I6301" s="14"/>
      <c r="P6301" s="14"/>
    </row>
    <row r="6302" ht="18.75" customHeight="1">
      <c r="A6302" s="14"/>
      <c r="B6302" s="12"/>
      <c r="C6302" s="12"/>
      <c r="D6302" s="12"/>
      <c r="E6302" s="12"/>
      <c r="F6302" s="14"/>
      <c r="G6302" s="15"/>
      <c r="H6302" s="15"/>
      <c r="I6302" s="14"/>
      <c r="P6302" s="14"/>
    </row>
    <row r="6303" ht="18.75" customHeight="1">
      <c r="A6303" s="14"/>
      <c r="B6303" s="12"/>
      <c r="C6303" s="12"/>
      <c r="D6303" s="12"/>
      <c r="E6303" s="12"/>
      <c r="F6303" s="14"/>
      <c r="G6303" s="15"/>
      <c r="H6303" s="15"/>
      <c r="I6303" s="14"/>
      <c r="P6303" s="14"/>
    </row>
    <row r="6304" ht="18.75" customHeight="1">
      <c r="A6304" s="14"/>
      <c r="B6304" s="12"/>
      <c r="C6304" s="12"/>
      <c r="D6304" s="12"/>
      <c r="E6304" s="12"/>
      <c r="F6304" s="14"/>
      <c r="G6304" s="15"/>
      <c r="H6304" s="15"/>
      <c r="I6304" s="14"/>
      <c r="P6304" s="14"/>
    </row>
    <row r="6305" ht="18.75" customHeight="1">
      <c r="A6305" s="14"/>
      <c r="B6305" s="12"/>
      <c r="C6305" s="12"/>
      <c r="D6305" s="12"/>
      <c r="E6305" s="12"/>
      <c r="F6305" s="14"/>
      <c r="G6305" s="15"/>
      <c r="H6305" s="15"/>
      <c r="I6305" s="14"/>
      <c r="P6305" s="14"/>
    </row>
    <row r="6306" ht="18.75" customHeight="1">
      <c r="A6306" s="14"/>
      <c r="B6306" s="12"/>
      <c r="C6306" s="12"/>
      <c r="D6306" s="12"/>
      <c r="E6306" s="12"/>
      <c r="F6306" s="14"/>
      <c r="G6306" s="15"/>
      <c r="H6306" s="15"/>
      <c r="I6306" s="14"/>
      <c r="P6306" s="14"/>
    </row>
    <row r="6307" ht="18.75" customHeight="1">
      <c r="A6307" s="14"/>
      <c r="B6307" s="12"/>
      <c r="C6307" s="12"/>
      <c r="D6307" s="12"/>
      <c r="E6307" s="12"/>
      <c r="F6307" s="14"/>
      <c r="G6307" s="15"/>
      <c r="H6307" s="15"/>
      <c r="I6307" s="14"/>
      <c r="P6307" s="14"/>
    </row>
    <row r="6308" ht="18.75" customHeight="1">
      <c r="A6308" s="14"/>
      <c r="B6308" s="12"/>
      <c r="C6308" s="12"/>
      <c r="D6308" s="12"/>
      <c r="E6308" s="12"/>
      <c r="F6308" s="14"/>
      <c r="G6308" s="15"/>
      <c r="H6308" s="15"/>
      <c r="I6308" s="14"/>
      <c r="P6308" s="14"/>
    </row>
    <row r="6309" ht="18.75" customHeight="1">
      <c r="A6309" s="14"/>
      <c r="B6309" s="12"/>
      <c r="C6309" s="12"/>
      <c r="D6309" s="12"/>
      <c r="E6309" s="12"/>
      <c r="F6309" s="14"/>
      <c r="G6309" s="15"/>
      <c r="H6309" s="15"/>
      <c r="I6309" s="14"/>
      <c r="P6309" s="14"/>
    </row>
    <row r="6310" ht="18.75" customHeight="1">
      <c r="A6310" s="14"/>
      <c r="B6310" s="12"/>
      <c r="C6310" s="12"/>
      <c r="D6310" s="12"/>
      <c r="E6310" s="12"/>
      <c r="F6310" s="14"/>
      <c r="G6310" s="15"/>
      <c r="H6310" s="15"/>
      <c r="I6310" s="14"/>
      <c r="P6310" s="14"/>
    </row>
    <row r="6311" ht="18.75" customHeight="1">
      <c r="A6311" s="14"/>
      <c r="B6311" s="12"/>
      <c r="C6311" s="12"/>
      <c r="D6311" s="12"/>
      <c r="E6311" s="12"/>
      <c r="F6311" s="14"/>
      <c r="G6311" s="15"/>
      <c r="H6311" s="15"/>
      <c r="I6311" s="14"/>
      <c r="P6311" s="14"/>
    </row>
    <row r="6312" ht="18.75" customHeight="1">
      <c r="A6312" s="14"/>
      <c r="B6312" s="12"/>
      <c r="C6312" s="12"/>
      <c r="D6312" s="12"/>
      <c r="E6312" s="12"/>
      <c r="F6312" s="14"/>
      <c r="G6312" s="15"/>
      <c r="H6312" s="15"/>
      <c r="I6312" s="14"/>
      <c r="P6312" s="14"/>
    </row>
    <row r="6313" ht="18.75" customHeight="1">
      <c r="A6313" s="14"/>
      <c r="B6313" s="12"/>
      <c r="C6313" s="12"/>
      <c r="D6313" s="12"/>
      <c r="E6313" s="12"/>
      <c r="F6313" s="14"/>
      <c r="G6313" s="15"/>
      <c r="H6313" s="15"/>
      <c r="I6313" s="14"/>
      <c r="P6313" s="14"/>
    </row>
    <row r="6314" ht="18.75" customHeight="1">
      <c r="A6314" s="14"/>
      <c r="B6314" s="12"/>
      <c r="C6314" s="12"/>
      <c r="D6314" s="12"/>
      <c r="E6314" s="12"/>
      <c r="F6314" s="14"/>
      <c r="G6314" s="15"/>
      <c r="H6314" s="15"/>
      <c r="I6314" s="14"/>
      <c r="P6314" s="14"/>
    </row>
    <row r="6315" ht="18.75" customHeight="1">
      <c r="A6315" s="14"/>
      <c r="B6315" s="12"/>
      <c r="C6315" s="12"/>
      <c r="D6315" s="12"/>
      <c r="E6315" s="12"/>
      <c r="F6315" s="14"/>
      <c r="G6315" s="15"/>
      <c r="H6315" s="15"/>
      <c r="I6315" s="14"/>
      <c r="P6315" s="14"/>
    </row>
    <row r="6316" ht="18.75" customHeight="1">
      <c r="A6316" s="14"/>
      <c r="B6316" s="12"/>
      <c r="C6316" s="12"/>
      <c r="D6316" s="12"/>
      <c r="E6316" s="12"/>
      <c r="F6316" s="14"/>
      <c r="G6316" s="15"/>
      <c r="H6316" s="15"/>
      <c r="I6316" s="14"/>
      <c r="P6316" s="14"/>
    </row>
    <row r="6317" ht="18.75" customHeight="1">
      <c r="A6317" s="14"/>
      <c r="B6317" s="12"/>
      <c r="C6317" s="12"/>
      <c r="D6317" s="12"/>
      <c r="E6317" s="12"/>
      <c r="F6317" s="14"/>
      <c r="G6317" s="15"/>
      <c r="H6317" s="15"/>
      <c r="I6317" s="14"/>
      <c r="P6317" s="14"/>
    </row>
    <row r="6318" ht="18.75" customHeight="1">
      <c r="A6318" s="14"/>
      <c r="B6318" s="12"/>
      <c r="C6318" s="12"/>
      <c r="D6318" s="12"/>
      <c r="E6318" s="12"/>
      <c r="F6318" s="14"/>
      <c r="G6318" s="15"/>
      <c r="H6318" s="15"/>
      <c r="I6318" s="14"/>
      <c r="P6318" s="14"/>
    </row>
    <row r="6319" ht="18.75" customHeight="1">
      <c r="A6319" s="14"/>
      <c r="B6319" s="12"/>
      <c r="C6319" s="12"/>
      <c r="D6319" s="12"/>
      <c r="E6319" s="12"/>
      <c r="F6319" s="14"/>
      <c r="G6319" s="15"/>
      <c r="H6319" s="15"/>
      <c r="I6319" s="14"/>
      <c r="P6319" s="14"/>
    </row>
    <row r="6320" ht="18.75" customHeight="1">
      <c r="A6320" s="14"/>
      <c r="B6320" s="12"/>
      <c r="C6320" s="12"/>
      <c r="D6320" s="12"/>
      <c r="E6320" s="12"/>
      <c r="F6320" s="14"/>
      <c r="G6320" s="15"/>
      <c r="H6320" s="15"/>
      <c r="I6320" s="14"/>
      <c r="P6320" s="14"/>
    </row>
    <row r="6321" ht="18.75" customHeight="1">
      <c r="A6321" s="14"/>
      <c r="B6321" s="12"/>
      <c r="C6321" s="12"/>
      <c r="D6321" s="12"/>
      <c r="E6321" s="12"/>
      <c r="F6321" s="14"/>
      <c r="G6321" s="15"/>
      <c r="H6321" s="15"/>
      <c r="I6321" s="14"/>
      <c r="P6321" s="14"/>
    </row>
    <row r="6322" ht="18.75" customHeight="1">
      <c r="A6322" s="14"/>
      <c r="B6322" s="12"/>
      <c r="C6322" s="12"/>
      <c r="D6322" s="12"/>
      <c r="E6322" s="12"/>
      <c r="F6322" s="14"/>
      <c r="G6322" s="15"/>
      <c r="H6322" s="15"/>
      <c r="I6322" s="14"/>
      <c r="P6322" s="14"/>
    </row>
    <row r="6323" ht="18.75" customHeight="1">
      <c r="A6323" s="14"/>
      <c r="B6323" s="12"/>
      <c r="C6323" s="12"/>
      <c r="D6323" s="12"/>
      <c r="E6323" s="12"/>
      <c r="F6323" s="14"/>
      <c r="G6323" s="15"/>
      <c r="H6323" s="15"/>
      <c r="I6323" s="14"/>
      <c r="P6323" s="14"/>
    </row>
    <row r="6324" ht="18.75" customHeight="1">
      <c r="A6324" s="14"/>
      <c r="B6324" s="12"/>
      <c r="C6324" s="12"/>
      <c r="D6324" s="12"/>
      <c r="E6324" s="12"/>
      <c r="F6324" s="14"/>
      <c r="G6324" s="15"/>
      <c r="H6324" s="15"/>
      <c r="I6324" s="14"/>
      <c r="P6324" s="14"/>
    </row>
    <row r="6325" ht="18.75" customHeight="1">
      <c r="A6325" s="14"/>
      <c r="B6325" s="12"/>
      <c r="C6325" s="12"/>
      <c r="D6325" s="12"/>
      <c r="E6325" s="12"/>
      <c r="F6325" s="14"/>
      <c r="G6325" s="15"/>
      <c r="H6325" s="15"/>
      <c r="I6325" s="14"/>
      <c r="P6325" s="14"/>
    </row>
    <row r="6326" ht="18.75" customHeight="1">
      <c r="A6326" s="14"/>
      <c r="B6326" s="12"/>
      <c r="C6326" s="12"/>
      <c r="D6326" s="12"/>
      <c r="E6326" s="12"/>
      <c r="F6326" s="14"/>
      <c r="G6326" s="15"/>
      <c r="H6326" s="15"/>
      <c r="I6326" s="14"/>
      <c r="P6326" s="14"/>
    </row>
    <row r="6327" ht="18.75" customHeight="1">
      <c r="A6327" s="14"/>
      <c r="B6327" s="12"/>
      <c r="C6327" s="12"/>
      <c r="D6327" s="12"/>
      <c r="E6327" s="12"/>
      <c r="F6327" s="14"/>
      <c r="G6327" s="15"/>
      <c r="H6327" s="15"/>
      <c r="I6327" s="14"/>
      <c r="P6327" s="14"/>
    </row>
    <row r="6328" ht="18.75" customHeight="1">
      <c r="A6328" s="14"/>
      <c r="B6328" s="12"/>
      <c r="C6328" s="12"/>
      <c r="D6328" s="12"/>
      <c r="E6328" s="12"/>
      <c r="F6328" s="14"/>
      <c r="G6328" s="15"/>
      <c r="H6328" s="15"/>
      <c r="I6328" s="14"/>
      <c r="P6328" s="14"/>
    </row>
    <row r="6329" ht="18.75" customHeight="1">
      <c r="A6329" s="14"/>
      <c r="B6329" s="12"/>
      <c r="C6329" s="12"/>
      <c r="D6329" s="12"/>
      <c r="E6329" s="12"/>
      <c r="F6329" s="14"/>
      <c r="G6329" s="15"/>
      <c r="H6329" s="15"/>
      <c r="I6329" s="14"/>
      <c r="P6329" s="14"/>
    </row>
    <row r="6330" ht="18.75" customHeight="1">
      <c r="A6330" s="14"/>
      <c r="B6330" s="12"/>
      <c r="C6330" s="12"/>
      <c r="D6330" s="12"/>
      <c r="E6330" s="12"/>
      <c r="F6330" s="14"/>
      <c r="G6330" s="15"/>
      <c r="H6330" s="15"/>
      <c r="I6330" s="14"/>
      <c r="P6330" s="14"/>
    </row>
    <row r="6331" ht="18.75" customHeight="1">
      <c r="A6331" s="14"/>
      <c r="B6331" s="12"/>
      <c r="C6331" s="12"/>
      <c r="D6331" s="12"/>
      <c r="E6331" s="12"/>
      <c r="F6331" s="14"/>
      <c r="G6331" s="15"/>
      <c r="H6331" s="15"/>
      <c r="I6331" s="14"/>
      <c r="P6331" s="14"/>
    </row>
    <row r="6332" ht="18.75" customHeight="1">
      <c r="A6332" s="14"/>
      <c r="B6332" s="12"/>
      <c r="C6332" s="12"/>
      <c r="D6332" s="12"/>
      <c r="E6332" s="12"/>
      <c r="F6332" s="14"/>
      <c r="G6332" s="15"/>
      <c r="H6332" s="15"/>
      <c r="I6332" s="14"/>
      <c r="P6332" s="14"/>
    </row>
    <row r="6333" ht="18.75" customHeight="1">
      <c r="A6333" s="14"/>
      <c r="B6333" s="12"/>
      <c r="C6333" s="12"/>
      <c r="D6333" s="12"/>
      <c r="E6333" s="12"/>
      <c r="F6333" s="14"/>
      <c r="G6333" s="15"/>
      <c r="H6333" s="15"/>
      <c r="I6333" s="14"/>
      <c r="P6333" s="14"/>
    </row>
    <row r="6334" ht="18.75" customHeight="1">
      <c r="A6334" s="14"/>
      <c r="B6334" s="12"/>
      <c r="C6334" s="12"/>
      <c r="D6334" s="12"/>
      <c r="E6334" s="12"/>
      <c r="F6334" s="14"/>
      <c r="G6334" s="15"/>
      <c r="H6334" s="15"/>
      <c r="I6334" s="14"/>
      <c r="P6334" s="14"/>
    </row>
    <row r="6335" ht="18.75" customHeight="1">
      <c r="A6335" s="14"/>
      <c r="B6335" s="12"/>
      <c r="C6335" s="12"/>
      <c r="D6335" s="12"/>
      <c r="E6335" s="12"/>
      <c r="F6335" s="14"/>
      <c r="G6335" s="15"/>
      <c r="H6335" s="15"/>
      <c r="I6335" s="14"/>
      <c r="P6335" s="14"/>
    </row>
    <row r="6336" ht="18.75" customHeight="1">
      <c r="A6336" s="14"/>
      <c r="B6336" s="12"/>
      <c r="C6336" s="12"/>
      <c r="D6336" s="12"/>
      <c r="E6336" s="12"/>
      <c r="F6336" s="14"/>
      <c r="G6336" s="15"/>
      <c r="H6336" s="15"/>
      <c r="I6336" s="14"/>
      <c r="P6336" s="14"/>
    </row>
    <row r="6337" ht="18.75" customHeight="1">
      <c r="A6337" s="14"/>
      <c r="B6337" s="12"/>
      <c r="C6337" s="12"/>
      <c r="D6337" s="12"/>
      <c r="E6337" s="12"/>
      <c r="F6337" s="14"/>
      <c r="G6337" s="15"/>
      <c r="H6337" s="15"/>
      <c r="I6337" s="14"/>
      <c r="P6337" s="14"/>
    </row>
    <row r="6338" ht="18.75" customHeight="1">
      <c r="A6338" s="14"/>
      <c r="B6338" s="12"/>
      <c r="C6338" s="12"/>
      <c r="D6338" s="12"/>
      <c r="E6338" s="12"/>
      <c r="F6338" s="14"/>
      <c r="G6338" s="15"/>
      <c r="H6338" s="15"/>
      <c r="I6338" s="14"/>
      <c r="P6338" s="14"/>
    </row>
    <row r="6339" ht="18.75" customHeight="1">
      <c r="A6339" s="14"/>
      <c r="B6339" s="12"/>
      <c r="C6339" s="12"/>
      <c r="D6339" s="12"/>
      <c r="E6339" s="12"/>
      <c r="F6339" s="14"/>
      <c r="G6339" s="15"/>
      <c r="H6339" s="15"/>
      <c r="I6339" s="14"/>
      <c r="P6339" s="14"/>
    </row>
    <row r="6340" ht="18.75" customHeight="1">
      <c r="A6340" s="14"/>
      <c r="B6340" s="12"/>
      <c r="C6340" s="12"/>
      <c r="D6340" s="12"/>
      <c r="E6340" s="12"/>
      <c r="F6340" s="14"/>
      <c r="G6340" s="15"/>
      <c r="H6340" s="15"/>
      <c r="I6340" s="14"/>
      <c r="P6340" s="14"/>
    </row>
    <row r="6341" ht="18.75" customHeight="1">
      <c r="A6341" s="14"/>
      <c r="B6341" s="12"/>
      <c r="C6341" s="12"/>
      <c r="D6341" s="12"/>
      <c r="E6341" s="12"/>
      <c r="F6341" s="14"/>
      <c r="G6341" s="15"/>
      <c r="H6341" s="15"/>
      <c r="I6341" s="14"/>
      <c r="P6341" s="14"/>
    </row>
    <row r="6342" ht="18.75" customHeight="1">
      <c r="A6342" s="14"/>
      <c r="B6342" s="12"/>
      <c r="C6342" s="12"/>
      <c r="D6342" s="12"/>
      <c r="E6342" s="12"/>
      <c r="F6342" s="14"/>
      <c r="G6342" s="15"/>
      <c r="H6342" s="15"/>
      <c r="I6342" s="14"/>
      <c r="P6342" s="14"/>
    </row>
    <row r="6343" ht="18.75" customHeight="1">
      <c r="A6343" s="14"/>
      <c r="B6343" s="12"/>
      <c r="C6343" s="12"/>
      <c r="D6343" s="12"/>
      <c r="E6343" s="12"/>
      <c r="F6343" s="14"/>
      <c r="G6343" s="15"/>
      <c r="H6343" s="15"/>
      <c r="I6343" s="14"/>
      <c r="P6343" s="14"/>
    </row>
    <row r="6344" ht="18.75" customHeight="1">
      <c r="A6344" s="14"/>
      <c r="B6344" s="12"/>
      <c r="C6344" s="12"/>
      <c r="D6344" s="12"/>
      <c r="E6344" s="12"/>
      <c r="F6344" s="14"/>
      <c r="G6344" s="15"/>
      <c r="H6344" s="15"/>
      <c r="I6344" s="14"/>
      <c r="P6344" s="14"/>
    </row>
    <row r="6345" ht="18.75" customHeight="1">
      <c r="A6345" s="14"/>
      <c r="B6345" s="12"/>
      <c r="C6345" s="12"/>
      <c r="D6345" s="12"/>
      <c r="E6345" s="12"/>
      <c r="F6345" s="14"/>
      <c r="G6345" s="15"/>
      <c r="H6345" s="15"/>
      <c r="I6345" s="14"/>
      <c r="P6345" s="14"/>
    </row>
    <row r="6346" ht="18.75" customHeight="1">
      <c r="A6346" s="14"/>
      <c r="B6346" s="12"/>
      <c r="C6346" s="12"/>
      <c r="D6346" s="12"/>
      <c r="E6346" s="12"/>
      <c r="F6346" s="14"/>
      <c r="G6346" s="15"/>
      <c r="H6346" s="15"/>
      <c r="I6346" s="14"/>
      <c r="P6346" s="14"/>
    </row>
    <row r="6347" ht="18.75" customHeight="1">
      <c r="A6347" s="14"/>
      <c r="B6347" s="12"/>
      <c r="C6347" s="12"/>
      <c r="D6347" s="12"/>
      <c r="E6347" s="12"/>
      <c r="F6347" s="14"/>
      <c r="G6347" s="15"/>
      <c r="H6347" s="15"/>
      <c r="I6347" s="14"/>
      <c r="P6347" s="14"/>
    </row>
    <row r="6348" ht="18.75" customHeight="1">
      <c r="A6348" s="14"/>
      <c r="B6348" s="12"/>
      <c r="C6348" s="12"/>
      <c r="D6348" s="12"/>
      <c r="E6348" s="12"/>
      <c r="F6348" s="14"/>
      <c r="G6348" s="15"/>
      <c r="H6348" s="15"/>
      <c r="I6348" s="14"/>
      <c r="P6348" s="14"/>
    </row>
    <row r="6349" ht="18.75" customHeight="1">
      <c r="A6349" s="14"/>
      <c r="B6349" s="12"/>
      <c r="C6349" s="12"/>
      <c r="D6349" s="12"/>
      <c r="E6349" s="12"/>
      <c r="F6349" s="14"/>
      <c r="G6349" s="15"/>
      <c r="H6349" s="15"/>
      <c r="I6349" s="14"/>
      <c r="P6349" s="14"/>
    </row>
    <row r="6350" ht="18.75" customHeight="1">
      <c r="A6350" s="14"/>
      <c r="B6350" s="12"/>
      <c r="C6350" s="12"/>
      <c r="D6350" s="12"/>
      <c r="E6350" s="12"/>
      <c r="F6350" s="14"/>
      <c r="G6350" s="15"/>
      <c r="H6350" s="15"/>
      <c r="I6350" s="14"/>
      <c r="P6350" s="14"/>
    </row>
    <row r="6351" ht="18.75" customHeight="1">
      <c r="A6351" s="14"/>
      <c r="B6351" s="12"/>
      <c r="C6351" s="12"/>
      <c r="D6351" s="12"/>
      <c r="E6351" s="12"/>
      <c r="F6351" s="14"/>
      <c r="G6351" s="15"/>
      <c r="H6351" s="15"/>
      <c r="I6351" s="14"/>
      <c r="P6351" s="14"/>
    </row>
    <row r="6352" ht="18.75" customHeight="1">
      <c r="A6352" s="14"/>
      <c r="B6352" s="12"/>
      <c r="C6352" s="12"/>
      <c r="D6352" s="12"/>
      <c r="E6352" s="12"/>
      <c r="F6352" s="14"/>
      <c r="G6352" s="15"/>
      <c r="H6352" s="15"/>
      <c r="I6352" s="14"/>
      <c r="P6352" s="14"/>
    </row>
    <row r="6353" ht="18.75" customHeight="1">
      <c r="A6353" s="14"/>
      <c r="B6353" s="12"/>
      <c r="C6353" s="12"/>
      <c r="D6353" s="12"/>
      <c r="E6353" s="12"/>
      <c r="F6353" s="14"/>
      <c r="G6353" s="15"/>
      <c r="H6353" s="15"/>
      <c r="I6353" s="14"/>
      <c r="P6353" s="14"/>
    </row>
    <row r="6354" ht="18.75" customHeight="1">
      <c r="A6354" s="14"/>
      <c r="B6354" s="12"/>
      <c r="C6354" s="12"/>
      <c r="D6354" s="12"/>
      <c r="E6354" s="12"/>
      <c r="F6354" s="14"/>
      <c r="G6354" s="15"/>
      <c r="H6354" s="15"/>
      <c r="I6354" s="14"/>
      <c r="P6354" s="14"/>
    </row>
    <row r="6355" ht="18.75" customHeight="1">
      <c r="A6355" s="14"/>
      <c r="B6355" s="12"/>
      <c r="C6355" s="12"/>
      <c r="D6355" s="12"/>
      <c r="E6355" s="12"/>
      <c r="F6355" s="14"/>
      <c r="G6355" s="15"/>
      <c r="H6355" s="15"/>
      <c r="I6355" s="14"/>
      <c r="P6355" s="14"/>
    </row>
    <row r="6356" ht="18.75" customHeight="1">
      <c r="A6356" s="14"/>
      <c r="B6356" s="12"/>
      <c r="C6356" s="12"/>
      <c r="D6356" s="12"/>
      <c r="E6356" s="12"/>
      <c r="F6356" s="14"/>
      <c r="G6356" s="15"/>
      <c r="H6356" s="15"/>
      <c r="I6356" s="14"/>
      <c r="P6356" s="14"/>
    </row>
    <row r="6357" ht="18.75" customHeight="1">
      <c r="A6357" s="14"/>
      <c r="B6357" s="12"/>
      <c r="C6357" s="12"/>
      <c r="D6357" s="12"/>
      <c r="E6357" s="12"/>
      <c r="F6357" s="14"/>
      <c r="G6357" s="15"/>
      <c r="H6357" s="15"/>
      <c r="I6357" s="14"/>
      <c r="P6357" s="14"/>
    </row>
    <row r="6358" ht="18.75" customHeight="1">
      <c r="A6358" s="14"/>
      <c r="B6358" s="12"/>
      <c r="C6358" s="12"/>
      <c r="D6358" s="12"/>
      <c r="E6358" s="12"/>
      <c r="F6358" s="14"/>
      <c r="G6358" s="15"/>
      <c r="H6358" s="15"/>
      <c r="I6358" s="14"/>
      <c r="P6358" s="14"/>
    </row>
    <row r="6359" ht="18.75" customHeight="1">
      <c r="A6359" s="14"/>
      <c r="B6359" s="12"/>
      <c r="C6359" s="12"/>
      <c r="D6359" s="12"/>
      <c r="E6359" s="12"/>
      <c r="F6359" s="14"/>
      <c r="G6359" s="15"/>
      <c r="H6359" s="15"/>
      <c r="I6359" s="14"/>
      <c r="P6359" s="14"/>
    </row>
    <row r="6360" ht="18.75" customHeight="1">
      <c r="A6360" s="14"/>
      <c r="B6360" s="12"/>
      <c r="C6360" s="12"/>
      <c r="D6360" s="12"/>
      <c r="E6360" s="12"/>
      <c r="F6360" s="14"/>
      <c r="G6360" s="15"/>
      <c r="H6360" s="15"/>
      <c r="I6360" s="14"/>
      <c r="P6360" s="14"/>
    </row>
    <row r="6361" ht="18.75" customHeight="1">
      <c r="A6361" s="14"/>
      <c r="B6361" s="12"/>
      <c r="C6361" s="12"/>
      <c r="D6361" s="12"/>
      <c r="E6361" s="12"/>
      <c r="F6361" s="14"/>
      <c r="G6361" s="15"/>
      <c r="H6361" s="15"/>
      <c r="I6361" s="14"/>
      <c r="P6361" s="14"/>
    </row>
    <row r="6362" ht="18.75" customHeight="1">
      <c r="A6362" s="14"/>
      <c r="B6362" s="12"/>
      <c r="C6362" s="12"/>
      <c r="D6362" s="12"/>
      <c r="E6362" s="12"/>
      <c r="F6362" s="14"/>
      <c r="G6362" s="15"/>
      <c r="H6362" s="15"/>
      <c r="I6362" s="14"/>
      <c r="P6362" s="14"/>
    </row>
    <row r="6363" ht="18.75" customHeight="1">
      <c r="A6363" s="14"/>
      <c r="B6363" s="12"/>
      <c r="C6363" s="12"/>
      <c r="D6363" s="12"/>
      <c r="E6363" s="12"/>
      <c r="F6363" s="14"/>
      <c r="G6363" s="15"/>
      <c r="H6363" s="15"/>
      <c r="I6363" s="14"/>
      <c r="P6363" s="14"/>
    </row>
    <row r="6364" ht="18.75" customHeight="1">
      <c r="A6364" s="14"/>
      <c r="B6364" s="12"/>
      <c r="C6364" s="12"/>
      <c r="D6364" s="12"/>
      <c r="E6364" s="12"/>
      <c r="F6364" s="14"/>
      <c r="G6364" s="15"/>
      <c r="H6364" s="15"/>
      <c r="I6364" s="14"/>
      <c r="P6364" s="14"/>
    </row>
    <row r="6365" ht="18.75" customHeight="1">
      <c r="A6365" s="14"/>
      <c r="B6365" s="12"/>
      <c r="C6365" s="12"/>
      <c r="D6365" s="12"/>
      <c r="E6365" s="12"/>
      <c r="F6365" s="14"/>
      <c r="G6365" s="15"/>
      <c r="H6365" s="15"/>
      <c r="I6365" s="14"/>
      <c r="P6365" s="14"/>
    </row>
    <row r="6366" ht="18.75" customHeight="1">
      <c r="A6366" s="14"/>
      <c r="B6366" s="12"/>
      <c r="C6366" s="12"/>
      <c r="D6366" s="12"/>
      <c r="E6366" s="12"/>
      <c r="F6366" s="14"/>
      <c r="G6366" s="15"/>
      <c r="H6366" s="15"/>
      <c r="I6366" s="14"/>
      <c r="P6366" s="14"/>
    </row>
    <row r="6367" ht="18.75" customHeight="1">
      <c r="A6367" s="14"/>
      <c r="B6367" s="12"/>
      <c r="C6367" s="12"/>
      <c r="D6367" s="12"/>
      <c r="E6367" s="12"/>
      <c r="F6367" s="14"/>
      <c r="G6367" s="15"/>
      <c r="H6367" s="15"/>
      <c r="I6367" s="14"/>
      <c r="P6367" s="14"/>
    </row>
    <row r="6368" ht="18.75" customHeight="1">
      <c r="A6368" s="14"/>
      <c r="B6368" s="12"/>
      <c r="C6368" s="12"/>
      <c r="D6368" s="12"/>
      <c r="E6368" s="12"/>
      <c r="F6368" s="14"/>
      <c r="G6368" s="15"/>
      <c r="H6368" s="15"/>
      <c r="I6368" s="14"/>
      <c r="P6368" s="14"/>
    </row>
    <row r="6369" ht="18.75" customHeight="1">
      <c r="A6369" s="14"/>
      <c r="B6369" s="12"/>
      <c r="C6369" s="12"/>
      <c r="D6369" s="12"/>
      <c r="E6369" s="12"/>
      <c r="F6369" s="14"/>
      <c r="G6369" s="15"/>
      <c r="H6369" s="15"/>
      <c r="I6369" s="14"/>
      <c r="P6369" s="14"/>
    </row>
    <row r="6370" ht="18.75" customHeight="1">
      <c r="A6370" s="14"/>
      <c r="B6370" s="12"/>
      <c r="C6370" s="12"/>
      <c r="D6370" s="12"/>
      <c r="E6370" s="12"/>
      <c r="F6370" s="14"/>
      <c r="G6370" s="15"/>
      <c r="H6370" s="15"/>
      <c r="I6370" s="14"/>
      <c r="P6370" s="14"/>
    </row>
    <row r="6371" ht="18.75" customHeight="1">
      <c r="A6371" s="14"/>
      <c r="B6371" s="12"/>
      <c r="C6371" s="12"/>
      <c r="D6371" s="12"/>
      <c r="E6371" s="12"/>
      <c r="F6371" s="14"/>
      <c r="G6371" s="15"/>
      <c r="H6371" s="15"/>
      <c r="I6371" s="14"/>
      <c r="P6371" s="14"/>
    </row>
    <row r="6372" ht="18.75" customHeight="1">
      <c r="A6372" s="14"/>
      <c r="B6372" s="12"/>
      <c r="C6372" s="12"/>
      <c r="D6372" s="12"/>
      <c r="E6372" s="12"/>
      <c r="F6372" s="14"/>
      <c r="G6372" s="15"/>
      <c r="H6372" s="15"/>
      <c r="I6372" s="14"/>
      <c r="P6372" s="14"/>
    </row>
    <row r="6373" ht="18.75" customHeight="1">
      <c r="A6373" s="14"/>
      <c r="B6373" s="12"/>
      <c r="C6373" s="12"/>
      <c r="D6373" s="12"/>
      <c r="E6373" s="12"/>
      <c r="F6373" s="14"/>
      <c r="G6373" s="15"/>
      <c r="H6373" s="15"/>
      <c r="I6373" s="14"/>
      <c r="P6373" s="14"/>
    </row>
    <row r="6374" ht="18.75" customHeight="1">
      <c r="A6374" s="14"/>
      <c r="B6374" s="12"/>
      <c r="C6374" s="12"/>
      <c r="D6374" s="12"/>
      <c r="E6374" s="12"/>
      <c r="F6374" s="14"/>
      <c r="G6374" s="15"/>
      <c r="H6374" s="15"/>
      <c r="I6374" s="14"/>
      <c r="P6374" s="14"/>
    </row>
    <row r="6375" ht="18.75" customHeight="1">
      <c r="A6375" s="14"/>
      <c r="B6375" s="12"/>
      <c r="C6375" s="12"/>
      <c r="D6375" s="12"/>
      <c r="E6375" s="12"/>
      <c r="F6375" s="14"/>
      <c r="G6375" s="15"/>
      <c r="H6375" s="15"/>
      <c r="I6375" s="14"/>
      <c r="P6375" s="14"/>
    </row>
    <row r="6376" ht="18.75" customHeight="1">
      <c r="A6376" s="14"/>
      <c r="B6376" s="12"/>
      <c r="C6376" s="12"/>
      <c r="D6376" s="12"/>
      <c r="E6376" s="12"/>
      <c r="F6376" s="14"/>
      <c r="G6376" s="15"/>
      <c r="H6376" s="15"/>
      <c r="I6376" s="14"/>
      <c r="P6376" s="14"/>
    </row>
    <row r="6377" ht="18.75" customHeight="1">
      <c r="A6377" s="14"/>
      <c r="B6377" s="12"/>
      <c r="C6377" s="12"/>
      <c r="D6377" s="12"/>
      <c r="E6377" s="12"/>
      <c r="F6377" s="14"/>
      <c r="G6377" s="15"/>
      <c r="H6377" s="15"/>
      <c r="I6377" s="14"/>
      <c r="P6377" s="14"/>
    </row>
    <row r="6378" ht="18.75" customHeight="1">
      <c r="A6378" s="14"/>
      <c r="B6378" s="12"/>
      <c r="C6378" s="12"/>
      <c r="D6378" s="12"/>
      <c r="E6378" s="12"/>
      <c r="F6378" s="14"/>
      <c r="G6378" s="15"/>
      <c r="H6378" s="15"/>
      <c r="I6378" s="14"/>
      <c r="P6378" s="14"/>
    </row>
    <row r="6379" ht="18.75" customHeight="1">
      <c r="A6379" s="14"/>
      <c r="B6379" s="12"/>
      <c r="C6379" s="12"/>
      <c r="D6379" s="12"/>
      <c r="E6379" s="12"/>
      <c r="F6379" s="14"/>
      <c r="G6379" s="15"/>
      <c r="H6379" s="15"/>
      <c r="I6379" s="14"/>
      <c r="P6379" s="14"/>
    </row>
    <row r="6380" ht="18.75" customHeight="1">
      <c r="A6380" s="14"/>
      <c r="B6380" s="12"/>
      <c r="C6380" s="12"/>
      <c r="D6380" s="12"/>
      <c r="E6380" s="12"/>
      <c r="F6380" s="14"/>
      <c r="G6380" s="15"/>
      <c r="H6380" s="15"/>
      <c r="I6380" s="14"/>
      <c r="P6380" s="14"/>
    </row>
    <row r="6381" ht="18.75" customHeight="1">
      <c r="A6381" s="14"/>
      <c r="B6381" s="12"/>
      <c r="C6381" s="12"/>
      <c r="D6381" s="12"/>
      <c r="E6381" s="12"/>
      <c r="F6381" s="14"/>
      <c r="G6381" s="15"/>
      <c r="H6381" s="15"/>
      <c r="I6381" s="14"/>
      <c r="P6381" s="14"/>
    </row>
    <row r="6382" ht="18.75" customHeight="1">
      <c r="A6382" s="14"/>
      <c r="B6382" s="12"/>
      <c r="C6382" s="12"/>
      <c r="D6382" s="12"/>
      <c r="E6382" s="12"/>
      <c r="F6382" s="14"/>
      <c r="G6382" s="15"/>
      <c r="H6382" s="15"/>
      <c r="I6382" s="14"/>
      <c r="P6382" s="14"/>
    </row>
    <row r="6383" ht="18.75" customHeight="1">
      <c r="A6383" s="14"/>
      <c r="B6383" s="12"/>
      <c r="C6383" s="12"/>
      <c r="D6383" s="12"/>
      <c r="E6383" s="12"/>
      <c r="F6383" s="14"/>
      <c r="G6383" s="15"/>
      <c r="H6383" s="15"/>
      <c r="I6383" s="14"/>
      <c r="P6383" s="14"/>
    </row>
    <row r="6384" ht="18.75" customHeight="1">
      <c r="A6384" s="14"/>
      <c r="B6384" s="12"/>
      <c r="C6384" s="12"/>
      <c r="D6384" s="12"/>
      <c r="E6384" s="12"/>
      <c r="F6384" s="14"/>
      <c r="G6384" s="15"/>
      <c r="H6384" s="15"/>
      <c r="I6384" s="14"/>
      <c r="P6384" s="14"/>
    </row>
    <row r="6385" ht="18.75" customHeight="1">
      <c r="A6385" s="14"/>
      <c r="B6385" s="12"/>
      <c r="C6385" s="12"/>
      <c r="D6385" s="12"/>
      <c r="E6385" s="12"/>
      <c r="F6385" s="14"/>
      <c r="G6385" s="15"/>
      <c r="H6385" s="15"/>
      <c r="I6385" s="14"/>
      <c r="P6385" s="14"/>
    </row>
    <row r="6386" ht="18.75" customHeight="1">
      <c r="A6386" s="14"/>
      <c r="B6386" s="12"/>
      <c r="C6386" s="12"/>
      <c r="D6386" s="12"/>
      <c r="E6386" s="12"/>
      <c r="F6386" s="14"/>
      <c r="G6386" s="15"/>
      <c r="H6386" s="15"/>
      <c r="I6386" s="14"/>
      <c r="P6386" s="14"/>
    </row>
    <row r="6387" ht="18.75" customHeight="1">
      <c r="A6387" s="14"/>
      <c r="B6387" s="12"/>
      <c r="C6387" s="12"/>
      <c r="D6387" s="12"/>
      <c r="E6387" s="12"/>
      <c r="F6387" s="14"/>
      <c r="G6387" s="15"/>
      <c r="H6387" s="15"/>
      <c r="I6387" s="14"/>
      <c r="P6387" s="14"/>
    </row>
    <row r="6388" ht="18.75" customHeight="1">
      <c r="A6388" s="14"/>
      <c r="B6388" s="12"/>
      <c r="C6388" s="12"/>
      <c r="D6388" s="12"/>
      <c r="E6388" s="12"/>
      <c r="F6388" s="14"/>
      <c r="G6388" s="15"/>
      <c r="H6388" s="15"/>
      <c r="I6388" s="14"/>
      <c r="P6388" s="14"/>
    </row>
    <row r="6389" ht="18.75" customHeight="1">
      <c r="A6389" s="14"/>
      <c r="B6389" s="12"/>
      <c r="C6389" s="12"/>
      <c r="D6389" s="12"/>
      <c r="E6389" s="12"/>
      <c r="F6389" s="14"/>
      <c r="G6389" s="15"/>
      <c r="H6389" s="15"/>
      <c r="I6389" s="14"/>
      <c r="P6389" s="14"/>
    </row>
    <row r="6390" ht="18.75" customHeight="1">
      <c r="A6390" s="14"/>
      <c r="B6390" s="12"/>
      <c r="C6390" s="12"/>
      <c r="D6390" s="12"/>
      <c r="E6390" s="12"/>
      <c r="F6390" s="14"/>
      <c r="G6390" s="15"/>
      <c r="H6390" s="15"/>
      <c r="I6390" s="14"/>
      <c r="P6390" s="14"/>
    </row>
    <row r="6391" ht="18.75" customHeight="1">
      <c r="A6391" s="14"/>
      <c r="B6391" s="12"/>
      <c r="C6391" s="12"/>
      <c r="D6391" s="12"/>
      <c r="E6391" s="12"/>
      <c r="F6391" s="14"/>
      <c r="G6391" s="15"/>
      <c r="H6391" s="15"/>
      <c r="I6391" s="14"/>
      <c r="P6391" s="14"/>
    </row>
    <row r="6392" ht="18.75" customHeight="1">
      <c r="A6392" s="14"/>
      <c r="B6392" s="12"/>
      <c r="C6392" s="12"/>
      <c r="D6392" s="12"/>
      <c r="E6392" s="12"/>
      <c r="F6392" s="14"/>
      <c r="G6392" s="15"/>
      <c r="H6392" s="15"/>
      <c r="I6392" s="14"/>
      <c r="P6392" s="14"/>
    </row>
    <row r="6393" ht="18.75" customHeight="1">
      <c r="A6393" s="14"/>
      <c r="B6393" s="12"/>
      <c r="C6393" s="12"/>
      <c r="D6393" s="12"/>
      <c r="E6393" s="12"/>
      <c r="F6393" s="14"/>
      <c r="G6393" s="15"/>
      <c r="H6393" s="15"/>
      <c r="I6393" s="14"/>
      <c r="P6393" s="14"/>
    </row>
    <row r="6394" ht="18.75" customHeight="1">
      <c r="A6394" s="14"/>
      <c r="B6394" s="12"/>
      <c r="C6394" s="12"/>
      <c r="D6394" s="12"/>
      <c r="E6394" s="12"/>
      <c r="F6394" s="14"/>
      <c r="G6394" s="15"/>
      <c r="H6394" s="15"/>
      <c r="I6394" s="14"/>
      <c r="P6394" s="14"/>
    </row>
    <row r="6395" ht="18.75" customHeight="1">
      <c r="A6395" s="14"/>
      <c r="B6395" s="12"/>
      <c r="C6395" s="12"/>
      <c r="D6395" s="12"/>
      <c r="E6395" s="12"/>
      <c r="F6395" s="14"/>
      <c r="G6395" s="15"/>
      <c r="H6395" s="15"/>
      <c r="I6395" s="14"/>
      <c r="P6395" s="14"/>
    </row>
    <row r="6396" ht="18.75" customHeight="1">
      <c r="A6396" s="14"/>
      <c r="B6396" s="12"/>
      <c r="C6396" s="12"/>
      <c r="D6396" s="12"/>
      <c r="E6396" s="12"/>
      <c r="F6396" s="14"/>
      <c r="G6396" s="15"/>
      <c r="H6396" s="15"/>
      <c r="I6396" s="14"/>
      <c r="P6396" s="14"/>
    </row>
    <row r="6397" ht="18.75" customHeight="1">
      <c r="A6397" s="14"/>
      <c r="B6397" s="12"/>
      <c r="C6397" s="12"/>
      <c r="D6397" s="12"/>
      <c r="E6397" s="12"/>
      <c r="F6397" s="14"/>
      <c r="G6397" s="15"/>
      <c r="H6397" s="15"/>
      <c r="I6397" s="14"/>
      <c r="P6397" s="14"/>
    </row>
    <row r="6398" ht="18.75" customHeight="1">
      <c r="A6398" s="14"/>
      <c r="B6398" s="12"/>
      <c r="C6398" s="12"/>
      <c r="D6398" s="12"/>
      <c r="E6398" s="12"/>
      <c r="F6398" s="14"/>
      <c r="G6398" s="15"/>
      <c r="H6398" s="15"/>
      <c r="I6398" s="14"/>
      <c r="P6398" s="14"/>
    </row>
    <row r="6399" ht="18.75" customHeight="1">
      <c r="A6399" s="14"/>
      <c r="B6399" s="12"/>
      <c r="C6399" s="12"/>
      <c r="D6399" s="12"/>
      <c r="E6399" s="12"/>
      <c r="F6399" s="14"/>
      <c r="G6399" s="15"/>
      <c r="H6399" s="15"/>
      <c r="I6399" s="14"/>
      <c r="P6399" s="14"/>
    </row>
    <row r="6400" ht="18.75" customHeight="1">
      <c r="A6400" s="14"/>
      <c r="B6400" s="12"/>
      <c r="C6400" s="12"/>
      <c r="D6400" s="12"/>
      <c r="E6400" s="12"/>
      <c r="F6400" s="14"/>
      <c r="G6400" s="15"/>
      <c r="H6400" s="15"/>
      <c r="I6400" s="14"/>
      <c r="P6400" s="14"/>
    </row>
    <row r="6401" ht="18.75" customHeight="1">
      <c r="A6401" s="14"/>
      <c r="B6401" s="12"/>
      <c r="C6401" s="12"/>
      <c r="D6401" s="12"/>
      <c r="E6401" s="12"/>
      <c r="F6401" s="14"/>
      <c r="G6401" s="15"/>
      <c r="H6401" s="15"/>
      <c r="I6401" s="14"/>
      <c r="P6401" s="14"/>
    </row>
    <row r="6402" ht="18.75" customHeight="1">
      <c r="A6402" s="14"/>
      <c r="B6402" s="12"/>
      <c r="C6402" s="12"/>
      <c r="D6402" s="12"/>
      <c r="E6402" s="12"/>
      <c r="F6402" s="14"/>
      <c r="G6402" s="15"/>
      <c r="H6402" s="15"/>
      <c r="I6402" s="14"/>
      <c r="P6402" s="14"/>
    </row>
    <row r="6403" ht="18.75" customHeight="1">
      <c r="A6403" s="14"/>
      <c r="B6403" s="12"/>
      <c r="C6403" s="12"/>
      <c r="D6403" s="12"/>
      <c r="E6403" s="12"/>
      <c r="F6403" s="14"/>
      <c r="G6403" s="15"/>
      <c r="H6403" s="15"/>
      <c r="I6403" s="14"/>
      <c r="P6403" s="14"/>
    </row>
    <row r="6404" ht="18.75" customHeight="1">
      <c r="A6404" s="14"/>
      <c r="B6404" s="12"/>
      <c r="C6404" s="12"/>
      <c r="D6404" s="12"/>
      <c r="E6404" s="12"/>
      <c r="F6404" s="14"/>
      <c r="G6404" s="15"/>
      <c r="H6404" s="15"/>
      <c r="I6404" s="14"/>
      <c r="P6404" s="14"/>
    </row>
    <row r="6405" ht="18.75" customHeight="1">
      <c r="A6405" s="14"/>
      <c r="B6405" s="12"/>
      <c r="C6405" s="12"/>
      <c r="D6405" s="12"/>
      <c r="E6405" s="12"/>
      <c r="F6405" s="14"/>
      <c r="G6405" s="15"/>
      <c r="H6405" s="15"/>
      <c r="I6405" s="14"/>
      <c r="P6405" s="14"/>
    </row>
    <row r="6406" ht="18.75" customHeight="1">
      <c r="A6406" s="14"/>
      <c r="B6406" s="12"/>
      <c r="C6406" s="12"/>
      <c r="D6406" s="12"/>
      <c r="E6406" s="12"/>
      <c r="F6406" s="14"/>
      <c r="G6406" s="15"/>
      <c r="H6406" s="15"/>
      <c r="I6406" s="14"/>
      <c r="P6406" s="14"/>
    </row>
    <row r="6407" ht="18.75" customHeight="1">
      <c r="A6407" s="14"/>
      <c r="B6407" s="12"/>
      <c r="C6407" s="12"/>
      <c r="D6407" s="12"/>
      <c r="E6407" s="12"/>
      <c r="F6407" s="14"/>
      <c r="G6407" s="15"/>
      <c r="H6407" s="15"/>
      <c r="I6407" s="14"/>
      <c r="P6407" s="14"/>
    </row>
    <row r="6408" ht="18.75" customHeight="1">
      <c r="A6408" s="14"/>
      <c r="B6408" s="12"/>
      <c r="C6408" s="12"/>
      <c r="D6408" s="12"/>
      <c r="E6408" s="12"/>
      <c r="F6408" s="14"/>
      <c r="G6408" s="15"/>
      <c r="H6408" s="15"/>
      <c r="I6408" s="14"/>
      <c r="P6408" s="14"/>
    </row>
    <row r="6409" ht="18.75" customHeight="1">
      <c r="A6409" s="14"/>
      <c r="B6409" s="12"/>
      <c r="C6409" s="12"/>
      <c r="D6409" s="12"/>
      <c r="E6409" s="12"/>
      <c r="F6409" s="14"/>
      <c r="G6409" s="15"/>
      <c r="H6409" s="15"/>
      <c r="I6409" s="14"/>
      <c r="P6409" s="14"/>
    </row>
    <row r="6410" ht="18.75" customHeight="1">
      <c r="A6410" s="14"/>
      <c r="B6410" s="12"/>
      <c r="C6410" s="12"/>
      <c r="D6410" s="12"/>
      <c r="E6410" s="12"/>
      <c r="F6410" s="14"/>
      <c r="G6410" s="15"/>
      <c r="H6410" s="15"/>
      <c r="I6410" s="14"/>
      <c r="P6410" s="14"/>
    </row>
    <row r="6411" ht="18.75" customHeight="1">
      <c r="A6411" s="14"/>
      <c r="B6411" s="12"/>
      <c r="C6411" s="12"/>
      <c r="D6411" s="12"/>
      <c r="E6411" s="12"/>
      <c r="F6411" s="14"/>
      <c r="G6411" s="15"/>
      <c r="H6411" s="15"/>
      <c r="I6411" s="14"/>
      <c r="P6411" s="14"/>
    </row>
    <row r="6412" ht="18.75" customHeight="1">
      <c r="A6412" s="14"/>
      <c r="B6412" s="12"/>
      <c r="C6412" s="12"/>
      <c r="D6412" s="12"/>
      <c r="E6412" s="12"/>
      <c r="F6412" s="14"/>
      <c r="G6412" s="15"/>
      <c r="H6412" s="15"/>
      <c r="I6412" s="14"/>
      <c r="P6412" s="14"/>
    </row>
    <row r="6413" ht="18.75" customHeight="1">
      <c r="A6413" s="14"/>
      <c r="B6413" s="12"/>
      <c r="C6413" s="12"/>
      <c r="D6413" s="12"/>
      <c r="E6413" s="12"/>
      <c r="F6413" s="14"/>
      <c r="G6413" s="15"/>
      <c r="H6413" s="15"/>
      <c r="I6413" s="14"/>
      <c r="P6413" s="14"/>
    </row>
    <row r="6414" ht="18.75" customHeight="1">
      <c r="A6414" s="14"/>
      <c r="B6414" s="12"/>
      <c r="C6414" s="12"/>
      <c r="D6414" s="12"/>
      <c r="E6414" s="12"/>
      <c r="F6414" s="14"/>
      <c r="G6414" s="15"/>
      <c r="H6414" s="15"/>
      <c r="I6414" s="14"/>
      <c r="P6414" s="14"/>
    </row>
    <row r="6415" ht="18.75" customHeight="1">
      <c r="A6415" s="14"/>
      <c r="B6415" s="12"/>
      <c r="C6415" s="12"/>
      <c r="D6415" s="12"/>
      <c r="E6415" s="12"/>
      <c r="F6415" s="14"/>
      <c r="G6415" s="15"/>
      <c r="H6415" s="15"/>
      <c r="I6415" s="14"/>
      <c r="P6415" s="14"/>
    </row>
    <row r="6416" ht="18.75" customHeight="1">
      <c r="A6416" s="14"/>
      <c r="B6416" s="12"/>
      <c r="C6416" s="12"/>
      <c r="D6416" s="12"/>
      <c r="E6416" s="12"/>
      <c r="F6416" s="14"/>
      <c r="G6416" s="15"/>
      <c r="H6416" s="15"/>
      <c r="I6416" s="14"/>
      <c r="P6416" s="14"/>
    </row>
    <row r="6417" ht="18.75" customHeight="1">
      <c r="A6417" s="14"/>
      <c r="B6417" s="12"/>
      <c r="C6417" s="12"/>
      <c r="D6417" s="12"/>
      <c r="E6417" s="12"/>
      <c r="F6417" s="14"/>
      <c r="G6417" s="15"/>
      <c r="H6417" s="15"/>
      <c r="I6417" s="14"/>
      <c r="P6417" s="14"/>
    </row>
    <row r="6418" ht="18.75" customHeight="1">
      <c r="A6418" s="14"/>
      <c r="B6418" s="12"/>
      <c r="C6418" s="12"/>
      <c r="D6418" s="12"/>
      <c r="E6418" s="12"/>
      <c r="F6418" s="14"/>
      <c r="G6418" s="15"/>
      <c r="H6418" s="15"/>
      <c r="I6418" s="14"/>
      <c r="P6418" s="14"/>
    </row>
    <row r="6419" ht="18.75" customHeight="1">
      <c r="A6419" s="14"/>
      <c r="B6419" s="12"/>
      <c r="C6419" s="12"/>
      <c r="D6419" s="12"/>
      <c r="E6419" s="12"/>
      <c r="F6419" s="14"/>
      <c r="G6419" s="15"/>
      <c r="H6419" s="15"/>
      <c r="I6419" s="14"/>
      <c r="P6419" s="14"/>
    </row>
    <row r="6420" ht="18.75" customHeight="1">
      <c r="A6420" s="14"/>
      <c r="B6420" s="12"/>
      <c r="C6420" s="12"/>
      <c r="D6420" s="12"/>
      <c r="E6420" s="12"/>
      <c r="F6420" s="14"/>
      <c r="G6420" s="15"/>
      <c r="H6420" s="15"/>
      <c r="I6420" s="14"/>
      <c r="P6420" s="14"/>
    </row>
    <row r="6421" ht="18.75" customHeight="1">
      <c r="A6421" s="14"/>
      <c r="B6421" s="12"/>
      <c r="C6421" s="12"/>
      <c r="D6421" s="12"/>
      <c r="E6421" s="12"/>
      <c r="F6421" s="14"/>
      <c r="G6421" s="15"/>
      <c r="H6421" s="15"/>
      <c r="I6421" s="14"/>
      <c r="P6421" s="14"/>
    </row>
    <row r="6422" ht="18.75" customHeight="1">
      <c r="A6422" s="14"/>
      <c r="B6422" s="12"/>
      <c r="C6422" s="12"/>
      <c r="D6422" s="12"/>
      <c r="E6422" s="12"/>
      <c r="F6422" s="14"/>
      <c r="G6422" s="15"/>
      <c r="H6422" s="15"/>
      <c r="I6422" s="14"/>
      <c r="P6422" s="14"/>
    </row>
    <row r="6423" ht="18.75" customHeight="1">
      <c r="A6423" s="14"/>
      <c r="B6423" s="12"/>
      <c r="C6423" s="12"/>
      <c r="D6423" s="12"/>
      <c r="E6423" s="12"/>
      <c r="F6423" s="14"/>
      <c r="G6423" s="15"/>
      <c r="H6423" s="15"/>
      <c r="I6423" s="14"/>
      <c r="P6423" s="14"/>
    </row>
    <row r="6424" ht="18.75" customHeight="1">
      <c r="A6424" s="14"/>
      <c r="B6424" s="12"/>
      <c r="C6424" s="12"/>
      <c r="D6424" s="12"/>
      <c r="E6424" s="12"/>
      <c r="F6424" s="14"/>
      <c r="G6424" s="15"/>
      <c r="H6424" s="15"/>
      <c r="I6424" s="14"/>
      <c r="P6424" s="14"/>
    </row>
    <row r="6425" ht="18.75" customHeight="1">
      <c r="A6425" s="14"/>
      <c r="B6425" s="12"/>
      <c r="C6425" s="12"/>
      <c r="D6425" s="12"/>
      <c r="E6425" s="12"/>
      <c r="F6425" s="14"/>
      <c r="G6425" s="15"/>
      <c r="H6425" s="15"/>
      <c r="I6425" s="14"/>
      <c r="P6425" s="14"/>
    </row>
    <row r="6426" ht="18.75" customHeight="1">
      <c r="A6426" s="14"/>
      <c r="B6426" s="12"/>
      <c r="C6426" s="12"/>
      <c r="D6426" s="12"/>
      <c r="E6426" s="12"/>
      <c r="F6426" s="14"/>
      <c r="G6426" s="15"/>
      <c r="H6426" s="15"/>
      <c r="I6426" s="14"/>
      <c r="P6426" s="14"/>
    </row>
    <row r="6427" ht="18.75" customHeight="1">
      <c r="A6427" s="14"/>
      <c r="B6427" s="12"/>
      <c r="C6427" s="12"/>
      <c r="D6427" s="12"/>
      <c r="E6427" s="12"/>
      <c r="F6427" s="14"/>
      <c r="G6427" s="15"/>
      <c r="H6427" s="15"/>
      <c r="I6427" s="14"/>
      <c r="P6427" s="14"/>
    </row>
    <row r="6428" ht="18.75" customHeight="1">
      <c r="A6428" s="14"/>
      <c r="B6428" s="12"/>
      <c r="C6428" s="12"/>
      <c r="D6428" s="12"/>
      <c r="E6428" s="12"/>
      <c r="F6428" s="14"/>
      <c r="G6428" s="15"/>
      <c r="H6428" s="15"/>
      <c r="I6428" s="14"/>
      <c r="P6428" s="14"/>
    </row>
    <row r="6429" ht="18.75" customHeight="1">
      <c r="A6429" s="14"/>
      <c r="B6429" s="12"/>
      <c r="C6429" s="12"/>
      <c r="D6429" s="12"/>
      <c r="E6429" s="12"/>
      <c r="F6429" s="14"/>
      <c r="G6429" s="15"/>
      <c r="H6429" s="15"/>
      <c r="I6429" s="14"/>
      <c r="P6429" s="14"/>
    </row>
    <row r="6430" ht="18.75" customHeight="1">
      <c r="A6430" s="14"/>
      <c r="B6430" s="12"/>
      <c r="C6430" s="12"/>
      <c r="D6430" s="12"/>
      <c r="E6430" s="12"/>
      <c r="F6430" s="14"/>
      <c r="G6430" s="15"/>
      <c r="H6430" s="15"/>
      <c r="I6430" s="14"/>
      <c r="P6430" s="14"/>
    </row>
    <row r="6431" ht="18.75" customHeight="1">
      <c r="A6431" s="14"/>
      <c r="B6431" s="12"/>
      <c r="C6431" s="12"/>
      <c r="D6431" s="12"/>
      <c r="E6431" s="12"/>
      <c r="F6431" s="14"/>
      <c r="G6431" s="15"/>
      <c r="H6431" s="15"/>
      <c r="I6431" s="14"/>
      <c r="P6431" s="14"/>
    </row>
    <row r="6432" ht="18.75" customHeight="1">
      <c r="A6432" s="14"/>
      <c r="B6432" s="12"/>
      <c r="C6432" s="12"/>
      <c r="D6432" s="12"/>
      <c r="E6432" s="12"/>
      <c r="F6432" s="14"/>
      <c r="G6432" s="15"/>
      <c r="H6432" s="15"/>
      <c r="I6432" s="14"/>
      <c r="P6432" s="14"/>
    </row>
    <row r="6433" ht="18.75" customHeight="1">
      <c r="A6433" s="14"/>
      <c r="B6433" s="12"/>
      <c r="C6433" s="12"/>
      <c r="D6433" s="12"/>
      <c r="E6433" s="12"/>
      <c r="F6433" s="14"/>
      <c r="G6433" s="15"/>
      <c r="H6433" s="15"/>
      <c r="I6433" s="14"/>
      <c r="P6433" s="14"/>
    </row>
    <row r="6434" ht="18.75" customHeight="1">
      <c r="A6434" s="14"/>
      <c r="B6434" s="12"/>
      <c r="C6434" s="12"/>
      <c r="D6434" s="12"/>
      <c r="E6434" s="12"/>
      <c r="F6434" s="14"/>
      <c r="G6434" s="15"/>
      <c r="H6434" s="15"/>
      <c r="I6434" s="14"/>
      <c r="P6434" s="14"/>
    </row>
    <row r="6435" ht="18.75" customHeight="1">
      <c r="A6435" s="14"/>
      <c r="B6435" s="12"/>
      <c r="C6435" s="12"/>
      <c r="D6435" s="12"/>
      <c r="E6435" s="12"/>
      <c r="F6435" s="14"/>
      <c r="G6435" s="15"/>
      <c r="H6435" s="15"/>
      <c r="I6435" s="14"/>
      <c r="P6435" s="14"/>
    </row>
    <row r="6436" ht="18.75" customHeight="1">
      <c r="A6436" s="14"/>
      <c r="B6436" s="12"/>
      <c r="C6436" s="12"/>
      <c r="D6436" s="12"/>
      <c r="E6436" s="12"/>
      <c r="F6436" s="14"/>
      <c r="G6436" s="15"/>
      <c r="H6436" s="15"/>
      <c r="I6436" s="14"/>
      <c r="P6436" s="14"/>
    </row>
    <row r="6437" ht="18.75" customHeight="1">
      <c r="A6437" s="14"/>
      <c r="B6437" s="12"/>
      <c r="C6437" s="12"/>
      <c r="D6437" s="12"/>
      <c r="E6437" s="12"/>
      <c r="F6437" s="14"/>
      <c r="G6437" s="15"/>
      <c r="H6437" s="15"/>
      <c r="I6437" s="14"/>
      <c r="P6437" s="14"/>
    </row>
    <row r="6438" ht="18.75" customHeight="1">
      <c r="A6438" s="14"/>
      <c r="B6438" s="12"/>
      <c r="C6438" s="12"/>
      <c r="D6438" s="12"/>
      <c r="E6438" s="12"/>
      <c r="F6438" s="14"/>
      <c r="G6438" s="15"/>
      <c r="H6438" s="15"/>
      <c r="I6438" s="14"/>
      <c r="P6438" s="14"/>
    </row>
    <row r="6439" ht="18.75" customHeight="1">
      <c r="A6439" s="14"/>
      <c r="B6439" s="12"/>
      <c r="C6439" s="12"/>
      <c r="D6439" s="12"/>
      <c r="E6439" s="12"/>
      <c r="F6439" s="14"/>
      <c r="G6439" s="15"/>
      <c r="H6439" s="15"/>
      <c r="I6439" s="14"/>
      <c r="P6439" s="14"/>
    </row>
    <row r="6440" ht="18.75" customHeight="1">
      <c r="A6440" s="14"/>
      <c r="B6440" s="12"/>
      <c r="C6440" s="12"/>
      <c r="D6440" s="12"/>
      <c r="E6440" s="12"/>
      <c r="F6440" s="14"/>
      <c r="G6440" s="15"/>
      <c r="H6440" s="15"/>
      <c r="I6440" s="14"/>
      <c r="P6440" s="14"/>
    </row>
    <row r="6441" ht="18.75" customHeight="1">
      <c r="A6441" s="14"/>
      <c r="B6441" s="12"/>
      <c r="C6441" s="12"/>
      <c r="D6441" s="12"/>
      <c r="E6441" s="12"/>
      <c r="F6441" s="14"/>
      <c r="G6441" s="15"/>
      <c r="H6441" s="15"/>
      <c r="I6441" s="14"/>
      <c r="P6441" s="14"/>
    </row>
    <row r="6442" ht="18.75" customHeight="1">
      <c r="A6442" s="14"/>
      <c r="B6442" s="12"/>
      <c r="C6442" s="12"/>
      <c r="D6442" s="12"/>
      <c r="E6442" s="12"/>
      <c r="F6442" s="14"/>
      <c r="G6442" s="15"/>
      <c r="H6442" s="15"/>
      <c r="I6442" s="14"/>
      <c r="P6442" s="14"/>
    </row>
    <row r="6443" ht="18.75" customHeight="1">
      <c r="A6443" s="14"/>
      <c r="B6443" s="12"/>
      <c r="C6443" s="12"/>
      <c r="D6443" s="12"/>
      <c r="E6443" s="12"/>
      <c r="F6443" s="14"/>
      <c r="G6443" s="15"/>
      <c r="H6443" s="15"/>
      <c r="I6443" s="14"/>
      <c r="P6443" s="14"/>
    </row>
    <row r="6444" ht="18.75" customHeight="1">
      <c r="A6444" s="14"/>
      <c r="B6444" s="12"/>
      <c r="C6444" s="12"/>
      <c r="D6444" s="12"/>
      <c r="E6444" s="12"/>
      <c r="F6444" s="14"/>
      <c r="G6444" s="15"/>
      <c r="H6444" s="15"/>
      <c r="I6444" s="14"/>
      <c r="P6444" s="14"/>
    </row>
    <row r="6445" ht="18.75" customHeight="1">
      <c r="A6445" s="14"/>
      <c r="B6445" s="12"/>
      <c r="C6445" s="12"/>
      <c r="D6445" s="12"/>
      <c r="E6445" s="12"/>
      <c r="F6445" s="14"/>
      <c r="G6445" s="15"/>
      <c r="H6445" s="15"/>
      <c r="I6445" s="14"/>
      <c r="P6445" s="14"/>
    </row>
    <row r="6446" ht="18.75" customHeight="1">
      <c r="A6446" s="14"/>
      <c r="B6446" s="12"/>
      <c r="C6446" s="12"/>
      <c r="D6446" s="12"/>
      <c r="E6446" s="12"/>
      <c r="F6446" s="14"/>
      <c r="G6446" s="15"/>
      <c r="H6446" s="15"/>
      <c r="I6446" s="14"/>
      <c r="P6446" s="14"/>
    </row>
    <row r="6447" ht="18.75" customHeight="1">
      <c r="A6447" s="14"/>
      <c r="B6447" s="12"/>
      <c r="C6447" s="12"/>
      <c r="D6447" s="12"/>
      <c r="E6447" s="12"/>
      <c r="F6447" s="14"/>
      <c r="G6447" s="15"/>
      <c r="H6447" s="15"/>
      <c r="I6447" s="14"/>
      <c r="P6447" s="14"/>
    </row>
    <row r="6448" ht="18.75" customHeight="1">
      <c r="A6448" s="14"/>
      <c r="B6448" s="12"/>
      <c r="C6448" s="12"/>
      <c r="D6448" s="12"/>
      <c r="E6448" s="12"/>
      <c r="F6448" s="14"/>
      <c r="G6448" s="15"/>
      <c r="H6448" s="15"/>
      <c r="I6448" s="14"/>
      <c r="P6448" s="14"/>
    </row>
    <row r="6449" ht="18.75" customHeight="1">
      <c r="A6449" s="14"/>
      <c r="B6449" s="12"/>
      <c r="C6449" s="12"/>
      <c r="D6449" s="12"/>
      <c r="E6449" s="12"/>
      <c r="F6449" s="14"/>
      <c r="G6449" s="15"/>
      <c r="H6449" s="15"/>
      <c r="I6449" s="14"/>
      <c r="P6449" s="14"/>
    </row>
    <row r="6450" ht="18.75" customHeight="1">
      <c r="A6450" s="14"/>
      <c r="B6450" s="12"/>
      <c r="C6450" s="12"/>
      <c r="D6450" s="12"/>
      <c r="E6450" s="12"/>
      <c r="F6450" s="14"/>
      <c r="G6450" s="15"/>
      <c r="H6450" s="15"/>
      <c r="I6450" s="14"/>
      <c r="P6450" s="14"/>
    </row>
    <row r="6451" ht="18.75" customHeight="1">
      <c r="A6451" s="14"/>
      <c r="B6451" s="12"/>
      <c r="C6451" s="12"/>
      <c r="D6451" s="12"/>
      <c r="E6451" s="12"/>
      <c r="F6451" s="14"/>
      <c r="G6451" s="15"/>
      <c r="H6451" s="15"/>
      <c r="I6451" s="14"/>
      <c r="P6451" s="14"/>
    </row>
    <row r="6452" ht="18.75" customHeight="1">
      <c r="A6452" s="14"/>
      <c r="B6452" s="12"/>
      <c r="C6452" s="12"/>
      <c r="D6452" s="12"/>
      <c r="E6452" s="12"/>
      <c r="F6452" s="14"/>
      <c r="G6452" s="15"/>
      <c r="H6452" s="15"/>
      <c r="I6452" s="14"/>
      <c r="P6452" s="14"/>
    </row>
    <row r="6453" ht="18.75" customHeight="1">
      <c r="A6453" s="14"/>
      <c r="B6453" s="12"/>
      <c r="C6453" s="12"/>
      <c r="D6453" s="12"/>
      <c r="E6453" s="12"/>
      <c r="F6453" s="14"/>
      <c r="G6453" s="15"/>
      <c r="H6453" s="15"/>
      <c r="I6453" s="14"/>
      <c r="P6453" s="14"/>
    </row>
    <row r="6454" ht="18.75" customHeight="1">
      <c r="A6454" s="14"/>
      <c r="B6454" s="12"/>
      <c r="C6454" s="12"/>
      <c r="D6454" s="12"/>
      <c r="E6454" s="12"/>
      <c r="F6454" s="14"/>
      <c r="G6454" s="15"/>
      <c r="H6454" s="15"/>
      <c r="I6454" s="14"/>
      <c r="P6454" s="14"/>
    </row>
    <row r="6455" ht="18.75" customHeight="1">
      <c r="A6455" s="14"/>
      <c r="B6455" s="12"/>
      <c r="C6455" s="12"/>
      <c r="D6455" s="12"/>
      <c r="E6455" s="12"/>
      <c r="F6455" s="14"/>
      <c r="G6455" s="15"/>
      <c r="H6455" s="15"/>
      <c r="I6455" s="14"/>
      <c r="P6455" s="14"/>
    </row>
    <row r="6456" ht="18.75" customHeight="1">
      <c r="A6456" s="14"/>
      <c r="B6456" s="12"/>
      <c r="C6456" s="12"/>
      <c r="D6456" s="12"/>
      <c r="E6456" s="12"/>
      <c r="F6456" s="14"/>
      <c r="G6456" s="15"/>
      <c r="H6456" s="15"/>
      <c r="I6456" s="14"/>
      <c r="P6456" s="14"/>
    </row>
    <row r="6457" ht="18.75" customHeight="1">
      <c r="A6457" s="14"/>
      <c r="B6457" s="12"/>
      <c r="C6457" s="12"/>
      <c r="D6457" s="12"/>
      <c r="E6457" s="12"/>
      <c r="F6457" s="14"/>
      <c r="G6457" s="15"/>
      <c r="H6457" s="15"/>
      <c r="I6457" s="14"/>
      <c r="P6457" s="14"/>
    </row>
    <row r="6458" ht="18.75" customHeight="1">
      <c r="A6458" s="14"/>
      <c r="B6458" s="12"/>
      <c r="C6458" s="12"/>
      <c r="D6458" s="12"/>
      <c r="E6458" s="12"/>
      <c r="F6458" s="14"/>
      <c r="G6458" s="15"/>
      <c r="H6458" s="15"/>
      <c r="I6458" s="14"/>
      <c r="P6458" s="14"/>
    </row>
    <row r="6459" ht="18.75" customHeight="1">
      <c r="A6459" s="14"/>
      <c r="B6459" s="12"/>
      <c r="C6459" s="12"/>
      <c r="D6459" s="12"/>
      <c r="E6459" s="12"/>
      <c r="F6459" s="14"/>
      <c r="G6459" s="15"/>
      <c r="H6459" s="15"/>
      <c r="I6459" s="14"/>
      <c r="P6459" s="14"/>
    </row>
    <row r="6460" ht="18.75" customHeight="1">
      <c r="A6460" s="14"/>
      <c r="B6460" s="12"/>
      <c r="C6460" s="12"/>
      <c r="D6460" s="12"/>
      <c r="E6460" s="12"/>
      <c r="F6460" s="14"/>
      <c r="G6460" s="15"/>
      <c r="H6460" s="15"/>
      <c r="I6460" s="14"/>
      <c r="P6460" s="14"/>
    </row>
    <row r="6461" ht="18.75" customHeight="1">
      <c r="A6461" s="14"/>
      <c r="B6461" s="12"/>
      <c r="C6461" s="12"/>
      <c r="D6461" s="12"/>
      <c r="E6461" s="12"/>
      <c r="F6461" s="14"/>
      <c r="G6461" s="15"/>
      <c r="H6461" s="15"/>
      <c r="I6461" s="14"/>
      <c r="P6461" s="14"/>
    </row>
    <row r="6462" ht="18.75" customHeight="1">
      <c r="A6462" s="14"/>
      <c r="B6462" s="12"/>
      <c r="C6462" s="12"/>
      <c r="D6462" s="12"/>
      <c r="E6462" s="12"/>
      <c r="F6462" s="14"/>
      <c r="G6462" s="15"/>
      <c r="H6462" s="15"/>
      <c r="I6462" s="14"/>
      <c r="P6462" s="14"/>
    </row>
    <row r="6463" ht="18.75" customHeight="1">
      <c r="A6463" s="14"/>
      <c r="B6463" s="12"/>
      <c r="C6463" s="12"/>
      <c r="D6463" s="12"/>
      <c r="E6463" s="12"/>
      <c r="F6463" s="14"/>
      <c r="G6463" s="15"/>
      <c r="H6463" s="15"/>
      <c r="I6463" s="14"/>
      <c r="P6463" s="14"/>
    </row>
    <row r="6464" ht="18.75" customHeight="1">
      <c r="A6464" s="14"/>
      <c r="B6464" s="12"/>
      <c r="C6464" s="12"/>
      <c r="D6464" s="12"/>
      <c r="E6464" s="12"/>
      <c r="F6464" s="14"/>
      <c r="G6464" s="15"/>
      <c r="H6464" s="15"/>
      <c r="I6464" s="14"/>
      <c r="P6464" s="14"/>
    </row>
    <row r="6465" ht="18.75" customHeight="1">
      <c r="A6465" s="14"/>
      <c r="B6465" s="12"/>
      <c r="C6465" s="12"/>
      <c r="D6465" s="12"/>
      <c r="E6465" s="12"/>
      <c r="F6465" s="14"/>
      <c r="G6465" s="15"/>
      <c r="H6465" s="15"/>
      <c r="I6465" s="14"/>
      <c r="P6465" s="14"/>
    </row>
    <row r="6466" ht="18.75" customHeight="1">
      <c r="A6466" s="14"/>
      <c r="B6466" s="12"/>
      <c r="C6466" s="12"/>
      <c r="D6466" s="12"/>
      <c r="E6466" s="12"/>
      <c r="F6466" s="14"/>
      <c r="G6466" s="15"/>
      <c r="H6466" s="15"/>
      <c r="I6466" s="14"/>
      <c r="P6466" s="14"/>
    </row>
    <row r="6467" ht="18.75" customHeight="1">
      <c r="A6467" s="14"/>
      <c r="B6467" s="12"/>
      <c r="C6467" s="12"/>
      <c r="D6467" s="12"/>
      <c r="E6467" s="12"/>
      <c r="F6467" s="14"/>
      <c r="G6467" s="15"/>
      <c r="H6467" s="15"/>
      <c r="I6467" s="14"/>
      <c r="P6467" s="14"/>
    </row>
    <row r="6468" ht="18.75" customHeight="1">
      <c r="A6468" s="14"/>
      <c r="B6468" s="12"/>
      <c r="C6468" s="12"/>
      <c r="D6468" s="12"/>
      <c r="E6468" s="12"/>
      <c r="F6468" s="14"/>
      <c r="G6468" s="15"/>
      <c r="H6468" s="15"/>
      <c r="I6468" s="14"/>
      <c r="P6468" s="14"/>
    </row>
    <row r="6469" ht="18.75" customHeight="1">
      <c r="A6469" s="14"/>
      <c r="B6469" s="12"/>
      <c r="C6469" s="12"/>
      <c r="D6469" s="12"/>
      <c r="E6469" s="12"/>
      <c r="F6469" s="14"/>
      <c r="G6469" s="15"/>
      <c r="H6469" s="15"/>
      <c r="I6469" s="14"/>
      <c r="P6469" s="14"/>
    </row>
    <row r="6470" ht="18.75" customHeight="1">
      <c r="A6470" s="14"/>
      <c r="B6470" s="12"/>
      <c r="C6470" s="12"/>
      <c r="D6470" s="12"/>
      <c r="E6470" s="12"/>
      <c r="F6470" s="14"/>
      <c r="G6470" s="15"/>
      <c r="H6470" s="15"/>
      <c r="I6470" s="14"/>
      <c r="P6470" s="14"/>
    </row>
    <row r="6471" ht="18.75" customHeight="1">
      <c r="A6471" s="14"/>
      <c r="B6471" s="12"/>
      <c r="C6471" s="12"/>
      <c r="D6471" s="12"/>
      <c r="E6471" s="12"/>
      <c r="F6471" s="14"/>
      <c r="G6471" s="15"/>
      <c r="H6471" s="15"/>
      <c r="I6471" s="14"/>
      <c r="P6471" s="14"/>
    </row>
    <row r="6472" ht="18.75" customHeight="1">
      <c r="A6472" s="14"/>
      <c r="B6472" s="12"/>
      <c r="C6472" s="12"/>
      <c r="D6472" s="12"/>
      <c r="E6472" s="12"/>
      <c r="F6472" s="14"/>
      <c r="G6472" s="15"/>
      <c r="H6472" s="15"/>
      <c r="I6472" s="14"/>
      <c r="P6472" s="14"/>
    </row>
    <row r="6473" ht="18.75" customHeight="1">
      <c r="A6473" s="14"/>
      <c r="B6473" s="12"/>
      <c r="C6473" s="12"/>
      <c r="D6473" s="12"/>
      <c r="E6473" s="12"/>
      <c r="F6473" s="14"/>
      <c r="G6473" s="15"/>
      <c r="H6473" s="15"/>
      <c r="I6473" s="14"/>
      <c r="P6473" s="14"/>
    </row>
    <row r="6474" ht="18.75" customHeight="1">
      <c r="A6474" s="14"/>
      <c r="B6474" s="12"/>
      <c r="C6474" s="12"/>
      <c r="D6474" s="12"/>
      <c r="E6474" s="12"/>
      <c r="F6474" s="14"/>
      <c r="G6474" s="15"/>
      <c r="H6474" s="15"/>
      <c r="I6474" s="14"/>
      <c r="P6474" s="14"/>
    </row>
    <row r="6475" ht="18.75" customHeight="1">
      <c r="A6475" s="14"/>
      <c r="B6475" s="12"/>
      <c r="C6475" s="12"/>
      <c r="D6475" s="12"/>
      <c r="E6475" s="12"/>
      <c r="F6475" s="14"/>
      <c r="G6475" s="15"/>
      <c r="H6475" s="15"/>
      <c r="I6475" s="14"/>
      <c r="P6475" s="14"/>
    </row>
    <row r="6476" ht="18.75" customHeight="1">
      <c r="A6476" s="14"/>
      <c r="B6476" s="12"/>
      <c r="C6476" s="12"/>
      <c r="D6476" s="12"/>
      <c r="E6476" s="12"/>
      <c r="F6476" s="14"/>
      <c r="G6476" s="15"/>
      <c r="H6476" s="15"/>
      <c r="I6476" s="14"/>
      <c r="P6476" s="14"/>
    </row>
    <row r="6477" ht="18.75" customHeight="1">
      <c r="A6477" s="14"/>
      <c r="B6477" s="12"/>
      <c r="C6477" s="12"/>
      <c r="D6477" s="12"/>
      <c r="E6477" s="12"/>
      <c r="F6477" s="14"/>
      <c r="G6477" s="15"/>
      <c r="H6477" s="15"/>
      <c r="I6477" s="14"/>
      <c r="P6477" s="14"/>
    </row>
    <row r="6478" ht="18.75" customHeight="1">
      <c r="A6478" s="14"/>
      <c r="B6478" s="12"/>
      <c r="C6478" s="12"/>
      <c r="D6478" s="12"/>
      <c r="E6478" s="12"/>
      <c r="F6478" s="14"/>
      <c r="G6478" s="15"/>
      <c r="H6478" s="15"/>
      <c r="I6478" s="14"/>
      <c r="P6478" s="14"/>
    </row>
    <row r="6479" ht="18.75" customHeight="1">
      <c r="A6479" s="14"/>
      <c r="B6479" s="12"/>
      <c r="C6479" s="12"/>
      <c r="D6479" s="12"/>
      <c r="E6479" s="12"/>
      <c r="F6479" s="14"/>
      <c r="G6479" s="15"/>
      <c r="H6479" s="15"/>
      <c r="I6479" s="14"/>
      <c r="P6479" s="14"/>
    </row>
    <row r="6480" ht="18.75" customHeight="1">
      <c r="A6480" s="14"/>
      <c r="B6480" s="12"/>
      <c r="C6480" s="12"/>
      <c r="D6480" s="12"/>
      <c r="E6480" s="12"/>
      <c r="F6480" s="14"/>
      <c r="G6480" s="15"/>
      <c r="H6480" s="15"/>
      <c r="I6480" s="14"/>
      <c r="P6480" s="14"/>
    </row>
    <row r="6481" ht="18.75" customHeight="1">
      <c r="A6481" s="14"/>
      <c r="B6481" s="12"/>
      <c r="C6481" s="12"/>
      <c r="D6481" s="12"/>
      <c r="E6481" s="12"/>
      <c r="F6481" s="14"/>
      <c r="G6481" s="15"/>
      <c r="H6481" s="15"/>
      <c r="I6481" s="14"/>
      <c r="P6481" s="14"/>
    </row>
    <row r="6482" ht="18.75" customHeight="1">
      <c r="A6482" s="14"/>
      <c r="B6482" s="12"/>
      <c r="C6482" s="12"/>
      <c r="D6482" s="12"/>
      <c r="E6482" s="12"/>
      <c r="F6482" s="14"/>
      <c r="G6482" s="15"/>
      <c r="H6482" s="15"/>
      <c r="I6482" s="14"/>
      <c r="P6482" s="14"/>
    </row>
    <row r="6483" ht="18.75" customHeight="1">
      <c r="A6483" s="14"/>
      <c r="B6483" s="12"/>
      <c r="C6483" s="12"/>
      <c r="D6483" s="12"/>
      <c r="E6483" s="12"/>
      <c r="F6483" s="14"/>
      <c r="G6483" s="15"/>
      <c r="H6483" s="15"/>
      <c r="I6483" s="14"/>
      <c r="P6483" s="14"/>
    </row>
    <row r="6484" ht="18.75" customHeight="1">
      <c r="A6484" s="14"/>
      <c r="B6484" s="12"/>
      <c r="C6484" s="12"/>
      <c r="D6484" s="12"/>
      <c r="E6484" s="12"/>
      <c r="F6484" s="14"/>
      <c r="G6484" s="15"/>
      <c r="H6484" s="15"/>
      <c r="I6484" s="14"/>
      <c r="P6484" s="14"/>
    </row>
    <row r="6485" ht="18.75" customHeight="1">
      <c r="A6485" s="14"/>
      <c r="B6485" s="12"/>
      <c r="C6485" s="12"/>
      <c r="D6485" s="12"/>
      <c r="E6485" s="12"/>
      <c r="F6485" s="14"/>
      <c r="G6485" s="15"/>
      <c r="H6485" s="15"/>
      <c r="I6485" s="14"/>
      <c r="P6485" s="14"/>
    </row>
    <row r="6486" ht="18.75" customHeight="1">
      <c r="A6486" s="14"/>
      <c r="B6486" s="12"/>
      <c r="C6486" s="12"/>
      <c r="D6486" s="12"/>
      <c r="E6486" s="12"/>
      <c r="F6486" s="14"/>
      <c r="G6486" s="15"/>
      <c r="H6486" s="15"/>
      <c r="I6486" s="14"/>
      <c r="P6486" s="14"/>
    </row>
    <row r="6487" ht="18.75" customHeight="1">
      <c r="A6487" s="14"/>
      <c r="B6487" s="12"/>
      <c r="C6487" s="12"/>
      <c r="D6487" s="12"/>
      <c r="E6487" s="12"/>
      <c r="F6487" s="14"/>
      <c r="G6487" s="15"/>
      <c r="H6487" s="15"/>
      <c r="I6487" s="14"/>
      <c r="P6487" s="14"/>
    </row>
    <row r="6488" ht="18.75" customHeight="1">
      <c r="A6488" s="14"/>
      <c r="B6488" s="12"/>
      <c r="C6488" s="12"/>
      <c r="D6488" s="12"/>
      <c r="E6488" s="12"/>
      <c r="F6488" s="14"/>
      <c r="G6488" s="15"/>
      <c r="H6488" s="15"/>
      <c r="I6488" s="14"/>
      <c r="P6488" s="14"/>
    </row>
    <row r="6489" ht="18.75" customHeight="1">
      <c r="A6489" s="14"/>
      <c r="B6489" s="12"/>
      <c r="C6489" s="12"/>
      <c r="D6489" s="12"/>
      <c r="E6489" s="12"/>
      <c r="F6489" s="14"/>
      <c r="G6489" s="15"/>
      <c r="H6489" s="15"/>
      <c r="I6489" s="14"/>
      <c r="P6489" s="14"/>
    </row>
    <row r="6490" ht="18.75" customHeight="1">
      <c r="A6490" s="14"/>
      <c r="B6490" s="12"/>
      <c r="C6490" s="12"/>
      <c r="D6490" s="12"/>
      <c r="E6490" s="12"/>
      <c r="F6490" s="14"/>
      <c r="G6490" s="15"/>
      <c r="H6490" s="15"/>
      <c r="I6490" s="14"/>
      <c r="P6490" s="14"/>
    </row>
    <row r="6491" ht="18.75" customHeight="1">
      <c r="A6491" s="14"/>
      <c r="B6491" s="12"/>
      <c r="C6491" s="12"/>
      <c r="D6491" s="12"/>
      <c r="E6491" s="12"/>
      <c r="F6491" s="14"/>
      <c r="G6491" s="15"/>
      <c r="H6491" s="15"/>
      <c r="I6491" s="14"/>
      <c r="P6491" s="14"/>
    </row>
    <row r="6492" ht="18.75" customHeight="1">
      <c r="A6492" s="14"/>
      <c r="B6492" s="12"/>
      <c r="C6492" s="12"/>
      <c r="D6492" s="12"/>
      <c r="E6492" s="12"/>
      <c r="F6492" s="14"/>
      <c r="G6492" s="15"/>
      <c r="H6492" s="15"/>
      <c r="I6492" s="14"/>
      <c r="P6492" s="14"/>
    </row>
    <row r="6493" ht="18.75" customHeight="1">
      <c r="A6493" s="14"/>
      <c r="B6493" s="12"/>
      <c r="C6493" s="12"/>
      <c r="D6493" s="12"/>
      <c r="E6493" s="12"/>
      <c r="F6493" s="14"/>
      <c r="G6493" s="15"/>
      <c r="H6493" s="15"/>
      <c r="I6493" s="14"/>
      <c r="P6493" s="14"/>
    </row>
    <row r="6494" ht="18.75" customHeight="1">
      <c r="A6494" s="14"/>
      <c r="B6494" s="12"/>
      <c r="C6494" s="12"/>
      <c r="D6494" s="12"/>
      <c r="E6494" s="12"/>
      <c r="F6494" s="14"/>
      <c r="G6494" s="15"/>
      <c r="H6494" s="15"/>
      <c r="I6494" s="14"/>
      <c r="P6494" s="14"/>
    </row>
    <row r="6495" ht="18.75" customHeight="1">
      <c r="A6495" s="14"/>
      <c r="B6495" s="12"/>
      <c r="C6495" s="12"/>
      <c r="D6495" s="12"/>
      <c r="E6495" s="12"/>
      <c r="F6495" s="14"/>
      <c r="G6495" s="15"/>
      <c r="H6495" s="15"/>
      <c r="I6495" s="14"/>
      <c r="P6495" s="14"/>
    </row>
    <row r="6496" ht="18.75" customHeight="1">
      <c r="A6496" s="14"/>
      <c r="B6496" s="12"/>
      <c r="C6496" s="12"/>
      <c r="D6496" s="12"/>
      <c r="E6496" s="12"/>
      <c r="F6496" s="14"/>
      <c r="G6496" s="15"/>
      <c r="H6496" s="15"/>
      <c r="I6496" s="14"/>
      <c r="P6496" s="14"/>
    </row>
    <row r="6497" ht="18.75" customHeight="1">
      <c r="A6497" s="14"/>
      <c r="B6497" s="12"/>
      <c r="C6497" s="12"/>
      <c r="D6497" s="12"/>
      <c r="E6497" s="12"/>
      <c r="F6497" s="14"/>
      <c r="G6497" s="15"/>
      <c r="H6497" s="15"/>
      <c r="I6497" s="14"/>
      <c r="P6497" s="14"/>
    </row>
    <row r="6498" ht="18.75" customHeight="1">
      <c r="A6498" s="14"/>
      <c r="B6498" s="12"/>
      <c r="C6498" s="12"/>
      <c r="D6498" s="12"/>
      <c r="E6498" s="12"/>
      <c r="F6498" s="14"/>
      <c r="G6498" s="15"/>
      <c r="H6498" s="15"/>
      <c r="I6498" s="14"/>
      <c r="P6498" s="14"/>
    </row>
    <row r="6499" ht="18.75" customHeight="1">
      <c r="A6499" s="14"/>
      <c r="B6499" s="12"/>
      <c r="C6499" s="12"/>
      <c r="D6499" s="12"/>
      <c r="E6499" s="12"/>
      <c r="F6499" s="14"/>
      <c r="G6499" s="15"/>
      <c r="H6499" s="15"/>
      <c r="I6499" s="14"/>
      <c r="P6499" s="14"/>
    </row>
    <row r="6500" ht="18.75" customHeight="1">
      <c r="A6500" s="14"/>
      <c r="B6500" s="12"/>
      <c r="C6500" s="12"/>
      <c r="D6500" s="12"/>
      <c r="E6500" s="12"/>
      <c r="F6500" s="14"/>
      <c r="G6500" s="15"/>
      <c r="H6500" s="15"/>
      <c r="I6500" s="14"/>
      <c r="P6500" s="14"/>
    </row>
    <row r="6501" ht="18.75" customHeight="1">
      <c r="A6501" s="14"/>
      <c r="B6501" s="12"/>
      <c r="C6501" s="12"/>
      <c r="D6501" s="12"/>
      <c r="E6501" s="12"/>
      <c r="F6501" s="14"/>
      <c r="G6501" s="15"/>
      <c r="H6501" s="15"/>
      <c r="I6501" s="14"/>
      <c r="P6501" s="14"/>
    </row>
    <row r="6502" ht="18.75" customHeight="1">
      <c r="A6502" s="14"/>
      <c r="B6502" s="12"/>
      <c r="C6502" s="12"/>
      <c r="D6502" s="12"/>
      <c r="E6502" s="12"/>
      <c r="F6502" s="14"/>
      <c r="G6502" s="15"/>
      <c r="H6502" s="15"/>
      <c r="I6502" s="14"/>
      <c r="P6502" s="14"/>
    </row>
    <row r="6503" ht="18.75" customHeight="1">
      <c r="A6503" s="14"/>
      <c r="B6503" s="12"/>
      <c r="C6503" s="12"/>
      <c r="D6503" s="12"/>
      <c r="E6503" s="12"/>
      <c r="F6503" s="14"/>
      <c r="G6503" s="15"/>
      <c r="H6503" s="15"/>
      <c r="I6503" s="14"/>
      <c r="P6503" s="14"/>
    </row>
    <row r="6504" ht="18.75" customHeight="1">
      <c r="A6504" s="14"/>
      <c r="B6504" s="12"/>
      <c r="C6504" s="12"/>
      <c r="D6504" s="12"/>
      <c r="E6504" s="12"/>
      <c r="F6504" s="14"/>
      <c r="G6504" s="15"/>
      <c r="H6504" s="15"/>
      <c r="I6504" s="14"/>
      <c r="P6504" s="14"/>
    </row>
    <row r="6505" ht="18.75" customHeight="1">
      <c r="A6505" s="14"/>
      <c r="B6505" s="12"/>
      <c r="C6505" s="12"/>
      <c r="D6505" s="12"/>
      <c r="E6505" s="12"/>
      <c r="F6505" s="14"/>
      <c r="G6505" s="15"/>
      <c r="H6505" s="15"/>
      <c r="I6505" s="14"/>
      <c r="P6505" s="14"/>
    </row>
    <row r="6506" ht="18.75" customHeight="1">
      <c r="A6506" s="14"/>
      <c r="B6506" s="12"/>
      <c r="C6506" s="12"/>
      <c r="D6506" s="12"/>
      <c r="E6506" s="12"/>
      <c r="F6506" s="14"/>
      <c r="G6506" s="15"/>
      <c r="H6506" s="15"/>
      <c r="I6506" s="14"/>
      <c r="P6506" s="14"/>
    </row>
    <row r="6507" ht="18.75" customHeight="1">
      <c r="A6507" s="14"/>
      <c r="B6507" s="12"/>
      <c r="C6507" s="12"/>
      <c r="D6507" s="12"/>
      <c r="E6507" s="12"/>
      <c r="F6507" s="14"/>
      <c r="G6507" s="15"/>
      <c r="H6507" s="15"/>
      <c r="I6507" s="14"/>
      <c r="P6507" s="14"/>
    </row>
    <row r="6508" ht="18.75" customHeight="1">
      <c r="A6508" s="14"/>
      <c r="B6508" s="12"/>
      <c r="C6508" s="12"/>
      <c r="D6508" s="12"/>
      <c r="E6508" s="12"/>
      <c r="F6508" s="14"/>
      <c r="G6508" s="15"/>
      <c r="H6508" s="15"/>
      <c r="I6508" s="14"/>
      <c r="P6508" s="14"/>
    </row>
    <row r="6509" ht="18.75" customHeight="1">
      <c r="A6509" s="14"/>
      <c r="B6509" s="12"/>
      <c r="C6509" s="12"/>
      <c r="D6509" s="12"/>
      <c r="E6509" s="12"/>
      <c r="F6509" s="14"/>
      <c r="G6509" s="15"/>
      <c r="H6509" s="15"/>
      <c r="I6509" s="14"/>
      <c r="P6509" s="14"/>
    </row>
    <row r="6510" ht="18.75" customHeight="1">
      <c r="A6510" s="14"/>
      <c r="B6510" s="12"/>
      <c r="C6510" s="12"/>
      <c r="D6510" s="12"/>
      <c r="E6510" s="12"/>
      <c r="F6510" s="14"/>
      <c r="G6510" s="15"/>
      <c r="H6510" s="15"/>
      <c r="I6510" s="14"/>
      <c r="P6510" s="14"/>
    </row>
    <row r="6511" ht="18.75" customHeight="1">
      <c r="A6511" s="14"/>
      <c r="B6511" s="12"/>
      <c r="C6511" s="12"/>
      <c r="D6511" s="12"/>
      <c r="E6511" s="12"/>
      <c r="F6511" s="14"/>
      <c r="G6511" s="15"/>
      <c r="H6511" s="15"/>
      <c r="I6511" s="14"/>
      <c r="P6511" s="14"/>
    </row>
    <row r="6512" ht="18.75" customHeight="1">
      <c r="A6512" s="14"/>
      <c r="B6512" s="12"/>
      <c r="C6512" s="12"/>
      <c r="D6512" s="12"/>
      <c r="E6512" s="12"/>
      <c r="F6512" s="14"/>
      <c r="G6512" s="15"/>
      <c r="H6512" s="15"/>
      <c r="I6512" s="14"/>
      <c r="P6512" s="14"/>
    </row>
    <row r="6513" ht="18.75" customHeight="1">
      <c r="A6513" s="14"/>
      <c r="B6513" s="12"/>
      <c r="C6513" s="12"/>
      <c r="D6513" s="12"/>
      <c r="E6513" s="12"/>
      <c r="F6513" s="14"/>
      <c r="G6513" s="15"/>
      <c r="H6513" s="15"/>
      <c r="I6513" s="14"/>
      <c r="P6513" s="14"/>
    </row>
    <row r="6514" ht="18.75" customHeight="1">
      <c r="A6514" s="14"/>
      <c r="B6514" s="12"/>
      <c r="C6514" s="12"/>
      <c r="D6514" s="12"/>
      <c r="E6514" s="12"/>
      <c r="F6514" s="14"/>
      <c r="G6514" s="15"/>
      <c r="H6514" s="15"/>
      <c r="I6514" s="14"/>
      <c r="P6514" s="14"/>
    </row>
    <row r="6515" ht="18.75" customHeight="1">
      <c r="A6515" s="14"/>
      <c r="B6515" s="12"/>
      <c r="C6515" s="12"/>
      <c r="D6515" s="12"/>
      <c r="E6515" s="12"/>
      <c r="F6515" s="14"/>
      <c r="G6515" s="15"/>
      <c r="H6515" s="15"/>
      <c r="I6515" s="14"/>
      <c r="P6515" s="14"/>
    </row>
    <row r="6516" ht="18.75" customHeight="1">
      <c r="A6516" s="14"/>
      <c r="B6516" s="12"/>
      <c r="C6516" s="12"/>
      <c r="D6516" s="12"/>
      <c r="E6516" s="12"/>
      <c r="F6516" s="14"/>
      <c r="G6516" s="15"/>
      <c r="H6516" s="15"/>
      <c r="I6516" s="14"/>
      <c r="P6516" s="14"/>
    </row>
    <row r="6517" ht="18.75" customHeight="1">
      <c r="A6517" s="14"/>
      <c r="B6517" s="12"/>
      <c r="C6517" s="12"/>
      <c r="D6517" s="12"/>
      <c r="E6517" s="12"/>
      <c r="F6517" s="14"/>
      <c r="G6517" s="15"/>
      <c r="H6517" s="15"/>
      <c r="I6517" s="14"/>
      <c r="P6517" s="14"/>
    </row>
    <row r="6518" ht="18.75" customHeight="1">
      <c r="A6518" s="14"/>
      <c r="B6518" s="12"/>
      <c r="C6518" s="12"/>
      <c r="D6518" s="12"/>
      <c r="E6518" s="12"/>
      <c r="F6518" s="14"/>
      <c r="G6518" s="15"/>
      <c r="H6518" s="15"/>
      <c r="I6518" s="14"/>
      <c r="P6518" s="14"/>
    </row>
    <row r="6519" ht="18.75" customHeight="1">
      <c r="A6519" s="14"/>
      <c r="B6519" s="12"/>
      <c r="C6519" s="12"/>
      <c r="D6519" s="12"/>
      <c r="E6519" s="12"/>
      <c r="F6519" s="14"/>
      <c r="G6519" s="15"/>
      <c r="H6519" s="15"/>
      <c r="I6519" s="14"/>
      <c r="P6519" s="14"/>
    </row>
    <row r="6520" ht="18.75" customHeight="1">
      <c r="A6520" s="14"/>
      <c r="B6520" s="12"/>
      <c r="C6520" s="12"/>
      <c r="D6520" s="12"/>
      <c r="E6520" s="12"/>
      <c r="F6520" s="14"/>
      <c r="G6520" s="15"/>
      <c r="H6520" s="15"/>
      <c r="I6520" s="14"/>
      <c r="P6520" s="14"/>
    </row>
    <row r="6521" ht="18.75" customHeight="1">
      <c r="A6521" s="14"/>
      <c r="B6521" s="12"/>
      <c r="C6521" s="12"/>
      <c r="D6521" s="12"/>
      <c r="E6521" s="12"/>
      <c r="F6521" s="14"/>
      <c r="G6521" s="15"/>
      <c r="H6521" s="15"/>
      <c r="I6521" s="14"/>
      <c r="P6521" s="14"/>
    </row>
    <row r="6522" ht="18.75" customHeight="1">
      <c r="A6522" s="14"/>
      <c r="B6522" s="12"/>
      <c r="C6522" s="12"/>
      <c r="D6522" s="12"/>
      <c r="E6522" s="12"/>
      <c r="F6522" s="14"/>
      <c r="G6522" s="15"/>
      <c r="H6522" s="15"/>
      <c r="I6522" s="14"/>
      <c r="P6522" s="14"/>
    </row>
    <row r="6523" ht="18.75" customHeight="1">
      <c r="A6523" s="14"/>
      <c r="B6523" s="12"/>
      <c r="C6523" s="12"/>
      <c r="D6523" s="12"/>
      <c r="E6523" s="12"/>
      <c r="F6523" s="14"/>
      <c r="G6523" s="15"/>
      <c r="H6523" s="15"/>
      <c r="I6523" s="14"/>
      <c r="P6523" s="14"/>
    </row>
    <row r="6524" ht="18.75" customHeight="1">
      <c r="A6524" s="14"/>
      <c r="B6524" s="12"/>
      <c r="C6524" s="12"/>
      <c r="D6524" s="12"/>
      <c r="E6524" s="12"/>
      <c r="F6524" s="14"/>
      <c r="G6524" s="15"/>
      <c r="H6524" s="15"/>
      <c r="I6524" s="14"/>
      <c r="P6524" s="14"/>
    </row>
    <row r="6525" ht="18.75" customHeight="1">
      <c r="A6525" s="14"/>
      <c r="B6525" s="12"/>
      <c r="C6525" s="12"/>
      <c r="D6525" s="12"/>
      <c r="E6525" s="12"/>
      <c r="F6525" s="14"/>
      <c r="G6525" s="15"/>
      <c r="H6525" s="15"/>
      <c r="I6525" s="14"/>
      <c r="P6525" s="14"/>
    </row>
    <row r="6526" ht="18.75" customHeight="1">
      <c r="A6526" s="14"/>
      <c r="B6526" s="12"/>
      <c r="C6526" s="12"/>
      <c r="D6526" s="12"/>
      <c r="E6526" s="12"/>
      <c r="F6526" s="14"/>
      <c r="G6526" s="15"/>
      <c r="H6526" s="15"/>
      <c r="I6526" s="14"/>
      <c r="P6526" s="14"/>
    </row>
    <row r="6527" ht="18.75" customHeight="1">
      <c r="A6527" s="14"/>
      <c r="B6527" s="12"/>
      <c r="C6527" s="12"/>
      <c r="D6527" s="12"/>
      <c r="E6527" s="12"/>
      <c r="F6527" s="14"/>
      <c r="G6527" s="15"/>
      <c r="H6527" s="15"/>
      <c r="I6527" s="14"/>
      <c r="P6527" s="14"/>
    </row>
    <row r="6528" ht="18.75" customHeight="1">
      <c r="A6528" s="14"/>
      <c r="B6528" s="12"/>
      <c r="C6528" s="12"/>
      <c r="D6528" s="12"/>
      <c r="E6528" s="12"/>
      <c r="F6528" s="14"/>
      <c r="G6528" s="15"/>
      <c r="H6528" s="15"/>
      <c r="I6528" s="14"/>
      <c r="P6528" s="14"/>
    </row>
    <row r="6529" ht="18.75" customHeight="1">
      <c r="A6529" s="14"/>
      <c r="B6529" s="12"/>
      <c r="C6529" s="12"/>
      <c r="D6529" s="12"/>
      <c r="E6529" s="12"/>
      <c r="F6529" s="14"/>
      <c r="G6529" s="15"/>
      <c r="H6529" s="15"/>
      <c r="I6529" s="14"/>
      <c r="P6529" s="14"/>
    </row>
    <row r="6530" ht="18.75" customHeight="1">
      <c r="A6530" s="14"/>
      <c r="B6530" s="12"/>
      <c r="C6530" s="12"/>
      <c r="D6530" s="12"/>
      <c r="E6530" s="12"/>
      <c r="F6530" s="14"/>
      <c r="G6530" s="15"/>
      <c r="H6530" s="15"/>
      <c r="I6530" s="14"/>
      <c r="P6530" s="14"/>
    </row>
    <row r="6531" ht="18.75" customHeight="1">
      <c r="A6531" s="14"/>
      <c r="B6531" s="12"/>
      <c r="C6531" s="12"/>
      <c r="D6531" s="12"/>
      <c r="E6531" s="12"/>
      <c r="F6531" s="14"/>
      <c r="G6531" s="15"/>
      <c r="H6531" s="15"/>
      <c r="I6531" s="14"/>
      <c r="P6531" s="14"/>
    </row>
    <row r="6532" ht="18.75" customHeight="1">
      <c r="A6532" s="14"/>
      <c r="B6532" s="12"/>
      <c r="C6532" s="12"/>
      <c r="D6532" s="12"/>
      <c r="E6532" s="12"/>
      <c r="F6532" s="14"/>
      <c r="G6532" s="15"/>
      <c r="H6532" s="15"/>
      <c r="I6532" s="14"/>
      <c r="P6532" s="14"/>
    </row>
    <row r="6533" ht="18.75" customHeight="1">
      <c r="A6533" s="14"/>
      <c r="B6533" s="12"/>
      <c r="C6533" s="12"/>
      <c r="D6533" s="12"/>
      <c r="E6533" s="12"/>
      <c r="F6533" s="14"/>
      <c r="G6533" s="15"/>
      <c r="H6533" s="15"/>
      <c r="I6533" s="14"/>
      <c r="P6533" s="14"/>
    </row>
    <row r="6534" ht="18.75" customHeight="1">
      <c r="A6534" s="14"/>
      <c r="B6534" s="12"/>
      <c r="C6534" s="12"/>
      <c r="D6534" s="12"/>
      <c r="E6534" s="12"/>
      <c r="F6534" s="14"/>
      <c r="G6534" s="15"/>
      <c r="H6534" s="15"/>
      <c r="I6534" s="14"/>
      <c r="P6534" s="14"/>
    </row>
    <row r="6535" ht="18.75" customHeight="1">
      <c r="A6535" s="14"/>
      <c r="B6535" s="12"/>
      <c r="C6535" s="12"/>
      <c r="D6535" s="12"/>
      <c r="E6535" s="12"/>
      <c r="F6535" s="14"/>
      <c r="G6535" s="15"/>
      <c r="H6535" s="15"/>
      <c r="I6535" s="14"/>
      <c r="P6535" s="14"/>
    </row>
    <row r="6536" ht="18.75" customHeight="1">
      <c r="A6536" s="14"/>
      <c r="B6536" s="12"/>
      <c r="C6536" s="12"/>
      <c r="D6536" s="12"/>
      <c r="E6536" s="12"/>
      <c r="F6536" s="14"/>
      <c r="G6536" s="15"/>
      <c r="H6536" s="15"/>
      <c r="I6536" s="14"/>
      <c r="P6536" s="14"/>
    </row>
    <row r="6537" ht="18.75" customHeight="1">
      <c r="A6537" s="14"/>
      <c r="B6537" s="12"/>
      <c r="C6537" s="12"/>
      <c r="D6537" s="12"/>
      <c r="E6537" s="12"/>
      <c r="F6537" s="14"/>
      <c r="G6537" s="15"/>
      <c r="H6537" s="15"/>
      <c r="I6537" s="14"/>
      <c r="P6537" s="14"/>
    </row>
    <row r="6538" ht="18.75" customHeight="1">
      <c r="A6538" s="14"/>
      <c r="B6538" s="12"/>
      <c r="C6538" s="12"/>
      <c r="D6538" s="12"/>
      <c r="E6538" s="12"/>
      <c r="F6538" s="14"/>
      <c r="G6538" s="15"/>
      <c r="H6538" s="15"/>
      <c r="I6538" s="14"/>
      <c r="P6538" s="14"/>
    </row>
    <row r="6539" ht="18.75" customHeight="1">
      <c r="A6539" s="14"/>
      <c r="B6539" s="12"/>
      <c r="C6539" s="12"/>
      <c r="D6539" s="12"/>
      <c r="E6539" s="12"/>
      <c r="F6539" s="14"/>
      <c r="G6539" s="15"/>
      <c r="H6539" s="15"/>
      <c r="I6539" s="14"/>
      <c r="P6539" s="14"/>
    </row>
    <row r="6540" ht="18.75" customHeight="1">
      <c r="A6540" s="14"/>
      <c r="B6540" s="12"/>
      <c r="C6540" s="12"/>
      <c r="D6540" s="12"/>
      <c r="E6540" s="12"/>
      <c r="F6540" s="14"/>
      <c r="G6540" s="15"/>
      <c r="H6540" s="15"/>
      <c r="I6540" s="14"/>
      <c r="P6540" s="14"/>
    </row>
    <row r="6541" ht="18.75" customHeight="1">
      <c r="A6541" s="14"/>
      <c r="B6541" s="12"/>
      <c r="C6541" s="12"/>
      <c r="D6541" s="12"/>
      <c r="E6541" s="12"/>
      <c r="F6541" s="14"/>
      <c r="G6541" s="15"/>
      <c r="H6541" s="15"/>
      <c r="I6541" s="14"/>
      <c r="P6541" s="14"/>
    </row>
    <row r="6542" ht="18.75" customHeight="1">
      <c r="A6542" s="14"/>
      <c r="B6542" s="12"/>
      <c r="C6542" s="12"/>
      <c r="D6542" s="12"/>
      <c r="E6542" s="12"/>
      <c r="F6542" s="14"/>
      <c r="G6542" s="15"/>
      <c r="H6542" s="15"/>
      <c r="I6542" s="14"/>
      <c r="P6542" s="14"/>
    </row>
    <row r="6543" ht="18.75" customHeight="1">
      <c r="A6543" s="14"/>
      <c r="B6543" s="12"/>
      <c r="C6543" s="12"/>
      <c r="D6543" s="12"/>
      <c r="E6543" s="12"/>
      <c r="F6543" s="14"/>
      <c r="G6543" s="15"/>
      <c r="H6543" s="15"/>
      <c r="I6543" s="14"/>
      <c r="P6543" s="14"/>
    </row>
    <row r="6544" ht="18.75" customHeight="1">
      <c r="A6544" s="14"/>
      <c r="B6544" s="12"/>
      <c r="C6544" s="12"/>
      <c r="D6544" s="12"/>
      <c r="E6544" s="12"/>
      <c r="F6544" s="14"/>
      <c r="G6544" s="15"/>
      <c r="H6544" s="15"/>
      <c r="I6544" s="14"/>
      <c r="P6544" s="14"/>
    </row>
    <row r="6545" ht="18.75" customHeight="1">
      <c r="A6545" s="14"/>
      <c r="B6545" s="12"/>
      <c r="C6545" s="12"/>
      <c r="D6545" s="12"/>
      <c r="E6545" s="12"/>
      <c r="F6545" s="14"/>
      <c r="G6545" s="15"/>
      <c r="H6545" s="15"/>
      <c r="I6545" s="14"/>
      <c r="P6545" s="14"/>
    </row>
    <row r="6546" ht="18.75" customHeight="1">
      <c r="A6546" s="14"/>
      <c r="B6546" s="12"/>
      <c r="C6546" s="12"/>
      <c r="D6546" s="12"/>
      <c r="E6546" s="12"/>
      <c r="F6546" s="14"/>
      <c r="G6546" s="15"/>
      <c r="H6546" s="15"/>
      <c r="I6546" s="14"/>
      <c r="P6546" s="14"/>
    </row>
    <row r="6547" ht="18.75" customHeight="1">
      <c r="A6547" s="14"/>
      <c r="B6547" s="12"/>
      <c r="C6547" s="12"/>
      <c r="D6547" s="12"/>
      <c r="E6547" s="12"/>
      <c r="F6547" s="14"/>
      <c r="G6547" s="15"/>
      <c r="H6547" s="15"/>
      <c r="I6547" s="14"/>
      <c r="P6547" s="14"/>
    </row>
    <row r="6548" ht="18.75" customHeight="1">
      <c r="A6548" s="14"/>
      <c r="B6548" s="12"/>
      <c r="C6548" s="12"/>
      <c r="D6548" s="12"/>
      <c r="E6548" s="12"/>
      <c r="F6548" s="14"/>
      <c r="G6548" s="15"/>
      <c r="H6548" s="15"/>
      <c r="I6548" s="14"/>
      <c r="P6548" s="14"/>
    </row>
    <row r="6549" ht="18.75" customHeight="1">
      <c r="A6549" s="14"/>
      <c r="B6549" s="12"/>
      <c r="C6549" s="12"/>
      <c r="D6549" s="12"/>
      <c r="E6549" s="12"/>
      <c r="F6549" s="14"/>
      <c r="G6549" s="15"/>
      <c r="H6549" s="15"/>
      <c r="I6549" s="14"/>
      <c r="P6549" s="14"/>
    </row>
    <row r="6550" ht="18.75" customHeight="1">
      <c r="A6550" s="14"/>
      <c r="B6550" s="12"/>
      <c r="C6550" s="12"/>
      <c r="D6550" s="12"/>
      <c r="E6550" s="12"/>
      <c r="F6550" s="14"/>
      <c r="G6550" s="15"/>
      <c r="H6550" s="15"/>
      <c r="I6550" s="14"/>
      <c r="P6550" s="14"/>
    </row>
    <row r="6551" ht="18.75" customHeight="1">
      <c r="A6551" s="14"/>
      <c r="B6551" s="12"/>
      <c r="C6551" s="12"/>
      <c r="D6551" s="12"/>
      <c r="E6551" s="12"/>
      <c r="F6551" s="14"/>
      <c r="G6551" s="15"/>
      <c r="H6551" s="15"/>
      <c r="I6551" s="14"/>
      <c r="P6551" s="14"/>
    </row>
    <row r="6552" ht="18.75" customHeight="1">
      <c r="A6552" s="14"/>
      <c r="B6552" s="12"/>
      <c r="C6552" s="12"/>
      <c r="D6552" s="12"/>
      <c r="E6552" s="12"/>
      <c r="F6552" s="14"/>
      <c r="G6552" s="15"/>
      <c r="H6552" s="15"/>
      <c r="I6552" s="14"/>
      <c r="P6552" s="14"/>
    </row>
    <row r="6553" ht="18.75" customHeight="1">
      <c r="A6553" s="14"/>
      <c r="B6553" s="12"/>
      <c r="C6553" s="12"/>
      <c r="D6553" s="12"/>
      <c r="E6553" s="12"/>
      <c r="F6553" s="14"/>
      <c r="G6553" s="15"/>
      <c r="H6553" s="15"/>
      <c r="I6553" s="14"/>
      <c r="P6553" s="14"/>
    </row>
    <row r="6554" ht="18.75" customHeight="1">
      <c r="A6554" s="14"/>
      <c r="B6554" s="12"/>
      <c r="C6554" s="12"/>
      <c r="D6554" s="12"/>
      <c r="E6554" s="12"/>
      <c r="F6554" s="14"/>
      <c r="G6554" s="15"/>
      <c r="H6554" s="15"/>
      <c r="I6554" s="14"/>
      <c r="P6554" s="14"/>
    </row>
    <row r="6555" ht="18.75" customHeight="1">
      <c r="A6555" s="14"/>
      <c r="B6555" s="12"/>
      <c r="C6555" s="12"/>
      <c r="D6555" s="12"/>
      <c r="E6555" s="12"/>
      <c r="F6555" s="14"/>
      <c r="G6555" s="15"/>
      <c r="H6555" s="15"/>
      <c r="I6555" s="14"/>
      <c r="P6555" s="14"/>
    </row>
    <row r="6556" ht="18.75" customHeight="1">
      <c r="A6556" s="14"/>
      <c r="B6556" s="12"/>
      <c r="C6556" s="12"/>
      <c r="D6556" s="12"/>
      <c r="E6556" s="12"/>
      <c r="F6556" s="14"/>
      <c r="G6556" s="15"/>
      <c r="H6556" s="15"/>
      <c r="I6556" s="14"/>
      <c r="P6556" s="14"/>
    </row>
    <row r="6557" ht="18.75" customHeight="1">
      <c r="A6557" s="14"/>
      <c r="B6557" s="12"/>
      <c r="C6557" s="12"/>
      <c r="D6557" s="12"/>
      <c r="E6557" s="12"/>
      <c r="F6557" s="14"/>
      <c r="G6557" s="15"/>
      <c r="H6557" s="15"/>
      <c r="I6557" s="14"/>
      <c r="P6557" s="14"/>
    </row>
    <row r="6558" ht="18.75" customHeight="1">
      <c r="A6558" s="14"/>
      <c r="B6558" s="12"/>
      <c r="C6558" s="12"/>
      <c r="D6558" s="12"/>
      <c r="E6558" s="12"/>
      <c r="F6558" s="14"/>
      <c r="G6558" s="15"/>
      <c r="H6558" s="15"/>
      <c r="I6558" s="14"/>
      <c r="P6558" s="14"/>
    </row>
    <row r="6559" ht="18.75" customHeight="1">
      <c r="A6559" s="14"/>
      <c r="B6559" s="12"/>
      <c r="C6559" s="12"/>
      <c r="D6559" s="12"/>
      <c r="E6559" s="12"/>
      <c r="F6559" s="14"/>
      <c r="G6559" s="15"/>
      <c r="H6559" s="15"/>
      <c r="I6559" s="14"/>
      <c r="P6559" s="14"/>
    </row>
    <row r="6560" ht="18.75" customHeight="1">
      <c r="A6560" s="14"/>
      <c r="B6560" s="12"/>
      <c r="C6560" s="12"/>
      <c r="D6560" s="12"/>
      <c r="E6560" s="12"/>
      <c r="F6560" s="14"/>
      <c r="G6560" s="15"/>
      <c r="H6560" s="15"/>
      <c r="I6560" s="14"/>
      <c r="P6560" s="14"/>
    </row>
    <row r="6561" ht="18.75" customHeight="1">
      <c r="A6561" s="14"/>
      <c r="B6561" s="12"/>
      <c r="C6561" s="12"/>
      <c r="D6561" s="12"/>
      <c r="E6561" s="12"/>
      <c r="F6561" s="14"/>
      <c r="G6561" s="15"/>
      <c r="H6561" s="15"/>
      <c r="I6561" s="14"/>
      <c r="P6561" s="14"/>
    </row>
    <row r="6562" ht="18.75" customHeight="1">
      <c r="A6562" s="14"/>
      <c r="B6562" s="12"/>
      <c r="C6562" s="12"/>
      <c r="D6562" s="12"/>
      <c r="E6562" s="12"/>
      <c r="F6562" s="14"/>
      <c r="G6562" s="15"/>
      <c r="H6562" s="15"/>
      <c r="I6562" s="14"/>
      <c r="P6562" s="14"/>
    </row>
    <row r="6563" ht="18.75" customHeight="1">
      <c r="A6563" s="14"/>
      <c r="B6563" s="12"/>
      <c r="C6563" s="12"/>
      <c r="D6563" s="12"/>
      <c r="E6563" s="12"/>
      <c r="F6563" s="14"/>
      <c r="G6563" s="15"/>
      <c r="H6563" s="15"/>
      <c r="I6563" s="14"/>
      <c r="P6563" s="14"/>
    </row>
    <row r="6564" ht="18.75" customHeight="1">
      <c r="A6564" s="14"/>
      <c r="B6564" s="12"/>
      <c r="C6564" s="12"/>
      <c r="D6564" s="12"/>
      <c r="E6564" s="12"/>
      <c r="F6564" s="14"/>
      <c r="G6564" s="15"/>
      <c r="H6564" s="15"/>
      <c r="I6564" s="14"/>
      <c r="P6564" s="14"/>
    </row>
    <row r="6565" ht="18.75" customHeight="1">
      <c r="A6565" s="14"/>
      <c r="B6565" s="12"/>
      <c r="C6565" s="12"/>
      <c r="D6565" s="12"/>
      <c r="E6565" s="12"/>
      <c r="F6565" s="14"/>
      <c r="G6565" s="15"/>
      <c r="H6565" s="15"/>
      <c r="I6565" s="14"/>
      <c r="P6565" s="14"/>
    </row>
    <row r="6566" ht="18.75" customHeight="1">
      <c r="A6566" s="14"/>
      <c r="B6566" s="12"/>
      <c r="C6566" s="12"/>
      <c r="D6566" s="12"/>
      <c r="E6566" s="12"/>
      <c r="F6566" s="14"/>
      <c r="G6566" s="15"/>
      <c r="H6566" s="15"/>
      <c r="I6566" s="14"/>
      <c r="P6566" s="14"/>
    </row>
    <row r="6567" ht="18.75" customHeight="1">
      <c r="A6567" s="14"/>
      <c r="B6567" s="12"/>
      <c r="C6567" s="12"/>
      <c r="D6567" s="12"/>
      <c r="E6567" s="12"/>
      <c r="F6567" s="14"/>
      <c r="G6567" s="15"/>
      <c r="H6567" s="15"/>
      <c r="I6567" s="14"/>
      <c r="P6567" s="14"/>
    </row>
    <row r="6568" ht="18.75" customHeight="1">
      <c r="A6568" s="14"/>
      <c r="B6568" s="12"/>
      <c r="C6568" s="12"/>
      <c r="D6568" s="12"/>
      <c r="E6568" s="12"/>
      <c r="F6568" s="14"/>
      <c r="G6568" s="15"/>
      <c r="H6568" s="15"/>
      <c r="I6568" s="14"/>
      <c r="P6568" s="14"/>
    </row>
    <row r="6569" ht="18.75" customHeight="1">
      <c r="A6569" s="14"/>
      <c r="B6569" s="12"/>
      <c r="C6569" s="12"/>
      <c r="D6569" s="12"/>
      <c r="E6569" s="12"/>
      <c r="F6569" s="14"/>
      <c r="G6569" s="15"/>
      <c r="H6569" s="15"/>
      <c r="I6569" s="14"/>
      <c r="P6569" s="14"/>
    </row>
    <row r="6570" ht="18.75" customHeight="1">
      <c r="A6570" s="14"/>
      <c r="B6570" s="12"/>
      <c r="C6570" s="12"/>
      <c r="D6570" s="12"/>
      <c r="E6570" s="12"/>
      <c r="F6570" s="14"/>
      <c r="G6570" s="15"/>
      <c r="H6570" s="15"/>
      <c r="I6570" s="14"/>
      <c r="P6570" s="14"/>
    </row>
    <row r="6571" ht="18.75" customHeight="1">
      <c r="A6571" s="14"/>
      <c r="B6571" s="12"/>
      <c r="C6571" s="12"/>
      <c r="D6571" s="12"/>
      <c r="E6571" s="12"/>
      <c r="F6571" s="14"/>
      <c r="G6571" s="15"/>
      <c r="H6571" s="15"/>
      <c r="I6571" s="14"/>
      <c r="P6571" s="14"/>
    </row>
    <row r="6572" ht="18.75" customHeight="1">
      <c r="A6572" s="14"/>
      <c r="B6572" s="12"/>
      <c r="C6572" s="12"/>
      <c r="D6572" s="12"/>
      <c r="E6572" s="12"/>
      <c r="F6572" s="14"/>
      <c r="G6572" s="15"/>
      <c r="H6572" s="15"/>
      <c r="I6572" s="14"/>
      <c r="P6572" s="14"/>
    </row>
    <row r="6573" ht="18.75" customHeight="1">
      <c r="A6573" s="14"/>
      <c r="B6573" s="12"/>
      <c r="C6573" s="12"/>
      <c r="D6573" s="12"/>
      <c r="E6573" s="12"/>
      <c r="F6573" s="14"/>
      <c r="G6573" s="15"/>
      <c r="H6573" s="15"/>
      <c r="I6573" s="14"/>
      <c r="P6573" s="14"/>
    </row>
    <row r="6574" ht="18.75" customHeight="1">
      <c r="A6574" s="14"/>
      <c r="B6574" s="12"/>
      <c r="C6574" s="12"/>
      <c r="D6574" s="12"/>
      <c r="E6574" s="12"/>
      <c r="F6574" s="14"/>
      <c r="G6574" s="15"/>
      <c r="H6574" s="15"/>
      <c r="I6574" s="14"/>
      <c r="P6574" s="14"/>
    </row>
    <row r="6575" ht="18.75" customHeight="1">
      <c r="A6575" s="14"/>
      <c r="B6575" s="12"/>
      <c r="C6575" s="12"/>
      <c r="D6575" s="12"/>
      <c r="E6575" s="12"/>
      <c r="F6575" s="14"/>
      <c r="G6575" s="15"/>
      <c r="H6575" s="15"/>
      <c r="I6575" s="14"/>
      <c r="P6575" s="14"/>
    </row>
    <row r="6576" ht="18.75" customHeight="1">
      <c r="A6576" s="14"/>
      <c r="B6576" s="12"/>
      <c r="C6576" s="12"/>
      <c r="D6576" s="12"/>
      <c r="E6576" s="12"/>
      <c r="F6576" s="14"/>
      <c r="G6576" s="15"/>
      <c r="H6576" s="15"/>
      <c r="I6576" s="14"/>
      <c r="P6576" s="14"/>
    </row>
    <row r="6577" ht="18.75" customHeight="1">
      <c r="A6577" s="14"/>
      <c r="B6577" s="12"/>
      <c r="C6577" s="12"/>
      <c r="D6577" s="12"/>
      <c r="E6577" s="12"/>
      <c r="F6577" s="14"/>
      <c r="G6577" s="15"/>
      <c r="H6577" s="15"/>
      <c r="I6577" s="14"/>
      <c r="P6577" s="14"/>
    </row>
    <row r="6578" ht="18.75" customHeight="1">
      <c r="A6578" s="14"/>
      <c r="B6578" s="12"/>
      <c r="C6578" s="12"/>
      <c r="D6578" s="12"/>
      <c r="E6578" s="12"/>
      <c r="F6578" s="14"/>
      <c r="G6578" s="15"/>
      <c r="H6578" s="15"/>
      <c r="I6578" s="14"/>
      <c r="P6578" s="14"/>
    </row>
    <row r="6579" ht="18.75" customHeight="1">
      <c r="A6579" s="14"/>
      <c r="B6579" s="12"/>
      <c r="C6579" s="12"/>
      <c r="D6579" s="12"/>
      <c r="E6579" s="12"/>
      <c r="F6579" s="14"/>
      <c r="G6579" s="15"/>
      <c r="H6579" s="15"/>
      <c r="I6579" s="14"/>
      <c r="P6579" s="14"/>
    </row>
    <row r="6580" ht="18.75" customHeight="1">
      <c r="A6580" s="14"/>
      <c r="B6580" s="12"/>
      <c r="C6580" s="12"/>
      <c r="D6580" s="12"/>
      <c r="E6580" s="12"/>
      <c r="F6580" s="14"/>
      <c r="G6580" s="15"/>
      <c r="H6580" s="15"/>
      <c r="I6580" s="14"/>
      <c r="P6580" s="14"/>
    </row>
    <row r="6581" ht="18.75" customHeight="1">
      <c r="A6581" s="14"/>
      <c r="B6581" s="12"/>
      <c r="C6581" s="12"/>
      <c r="D6581" s="12"/>
      <c r="E6581" s="12"/>
      <c r="F6581" s="14"/>
      <c r="G6581" s="15"/>
      <c r="H6581" s="15"/>
      <c r="I6581" s="14"/>
      <c r="P6581" s="14"/>
    </row>
    <row r="6582" ht="18.75" customHeight="1">
      <c r="A6582" s="14"/>
      <c r="B6582" s="12"/>
      <c r="C6582" s="12"/>
      <c r="D6582" s="12"/>
      <c r="E6582" s="12"/>
      <c r="F6582" s="14"/>
      <c r="G6582" s="15"/>
      <c r="H6582" s="15"/>
      <c r="I6582" s="14"/>
      <c r="P6582" s="14"/>
    </row>
    <row r="6583" ht="18.75" customHeight="1">
      <c r="A6583" s="14"/>
      <c r="B6583" s="12"/>
      <c r="C6583" s="12"/>
      <c r="D6583" s="12"/>
      <c r="E6583" s="12"/>
      <c r="F6583" s="14"/>
      <c r="G6583" s="15"/>
      <c r="H6583" s="15"/>
      <c r="I6583" s="14"/>
      <c r="P6583" s="14"/>
    </row>
    <row r="6584" ht="18.75" customHeight="1">
      <c r="A6584" s="14"/>
      <c r="B6584" s="12"/>
      <c r="C6584" s="12"/>
      <c r="D6584" s="12"/>
      <c r="E6584" s="12"/>
      <c r="F6584" s="14"/>
      <c r="G6584" s="15"/>
      <c r="H6584" s="15"/>
      <c r="I6584" s="14"/>
      <c r="P6584" s="14"/>
    </row>
    <row r="6585" ht="18.75" customHeight="1">
      <c r="A6585" s="14"/>
      <c r="B6585" s="12"/>
      <c r="C6585" s="12"/>
      <c r="D6585" s="12"/>
      <c r="E6585" s="12"/>
      <c r="F6585" s="14"/>
      <c r="G6585" s="15"/>
      <c r="H6585" s="15"/>
      <c r="I6585" s="14"/>
      <c r="P6585" s="14"/>
    </row>
    <row r="6586" ht="18.75" customHeight="1">
      <c r="A6586" s="14"/>
      <c r="B6586" s="12"/>
      <c r="C6586" s="12"/>
      <c r="D6586" s="12"/>
      <c r="E6586" s="12"/>
      <c r="F6586" s="14"/>
      <c r="G6586" s="15"/>
      <c r="H6586" s="15"/>
      <c r="I6586" s="14"/>
      <c r="P6586" s="14"/>
    </row>
    <row r="6587" ht="18.75" customHeight="1">
      <c r="A6587" s="14"/>
      <c r="B6587" s="12"/>
      <c r="C6587" s="12"/>
      <c r="D6587" s="12"/>
      <c r="E6587" s="12"/>
      <c r="F6587" s="14"/>
      <c r="G6587" s="15"/>
      <c r="H6587" s="15"/>
      <c r="I6587" s="14"/>
      <c r="P6587" s="14"/>
    </row>
    <row r="6588" ht="18.75" customHeight="1">
      <c r="A6588" s="14"/>
      <c r="B6588" s="12"/>
      <c r="C6588" s="12"/>
      <c r="D6588" s="12"/>
      <c r="E6588" s="12"/>
      <c r="F6588" s="14"/>
      <c r="G6588" s="15"/>
      <c r="H6588" s="15"/>
      <c r="I6588" s="14"/>
      <c r="P6588" s="14"/>
    </row>
    <row r="6589" ht="18.75" customHeight="1">
      <c r="A6589" s="14"/>
      <c r="B6589" s="12"/>
      <c r="C6589" s="12"/>
      <c r="D6589" s="12"/>
      <c r="E6589" s="12"/>
      <c r="F6589" s="14"/>
      <c r="G6589" s="15"/>
      <c r="H6589" s="15"/>
      <c r="I6589" s="14"/>
      <c r="P6589" s="14"/>
    </row>
    <row r="6590" ht="18.75" customHeight="1">
      <c r="A6590" s="14"/>
      <c r="B6590" s="12"/>
      <c r="C6590" s="12"/>
      <c r="D6590" s="12"/>
      <c r="E6590" s="12"/>
      <c r="F6590" s="14"/>
      <c r="G6590" s="15"/>
      <c r="H6590" s="15"/>
      <c r="I6590" s="14"/>
      <c r="P6590" s="14"/>
    </row>
    <row r="6591" ht="18.75" customHeight="1">
      <c r="A6591" s="14"/>
      <c r="B6591" s="12"/>
      <c r="C6591" s="12"/>
      <c r="D6591" s="12"/>
      <c r="E6591" s="12"/>
      <c r="F6591" s="14"/>
      <c r="G6591" s="15"/>
      <c r="H6591" s="15"/>
      <c r="I6591" s="14"/>
      <c r="P6591" s="14"/>
    </row>
    <row r="6592" ht="18.75" customHeight="1">
      <c r="A6592" s="14"/>
      <c r="B6592" s="12"/>
      <c r="C6592" s="12"/>
      <c r="D6592" s="12"/>
      <c r="E6592" s="12"/>
      <c r="F6592" s="14"/>
      <c r="G6592" s="15"/>
      <c r="H6592" s="15"/>
      <c r="I6592" s="14"/>
      <c r="P6592" s="14"/>
    </row>
    <row r="6593" ht="18.75" customHeight="1">
      <c r="A6593" s="14"/>
      <c r="B6593" s="12"/>
      <c r="C6593" s="12"/>
      <c r="D6593" s="12"/>
      <c r="E6593" s="12"/>
      <c r="F6593" s="14"/>
      <c r="G6593" s="15"/>
      <c r="H6593" s="15"/>
      <c r="I6593" s="14"/>
      <c r="P6593" s="14"/>
    </row>
    <row r="6594" ht="18.75" customHeight="1">
      <c r="A6594" s="14"/>
      <c r="B6594" s="12"/>
      <c r="C6594" s="12"/>
      <c r="D6594" s="12"/>
      <c r="E6594" s="12"/>
      <c r="F6594" s="14"/>
      <c r="G6594" s="15"/>
      <c r="H6594" s="15"/>
      <c r="I6594" s="14"/>
      <c r="P6594" s="14"/>
    </row>
    <row r="6595" ht="18.75" customHeight="1">
      <c r="A6595" s="14"/>
      <c r="B6595" s="12"/>
      <c r="C6595" s="12"/>
      <c r="D6595" s="12"/>
      <c r="E6595" s="12"/>
      <c r="F6595" s="14"/>
      <c r="G6595" s="15"/>
      <c r="H6595" s="15"/>
      <c r="I6595" s="14"/>
      <c r="P6595" s="14"/>
    </row>
    <row r="6596" ht="18.75" customHeight="1">
      <c r="A6596" s="14"/>
      <c r="B6596" s="12"/>
      <c r="C6596" s="12"/>
      <c r="D6596" s="12"/>
      <c r="E6596" s="12"/>
      <c r="F6596" s="14"/>
      <c r="G6596" s="15"/>
      <c r="H6596" s="15"/>
      <c r="I6596" s="14"/>
      <c r="P6596" s="14"/>
    </row>
    <row r="6597" ht="18.75" customHeight="1">
      <c r="A6597" s="14"/>
      <c r="B6597" s="12"/>
      <c r="C6597" s="12"/>
      <c r="D6597" s="12"/>
      <c r="E6597" s="12"/>
      <c r="F6597" s="14"/>
      <c r="G6597" s="15"/>
      <c r="H6597" s="15"/>
      <c r="I6597" s="14"/>
      <c r="P6597" s="14"/>
    </row>
    <row r="6598" ht="18.75" customHeight="1">
      <c r="A6598" s="14"/>
      <c r="B6598" s="12"/>
      <c r="C6598" s="12"/>
      <c r="D6598" s="12"/>
      <c r="E6598" s="12"/>
      <c r="F6598" s="14"/>
      <c r="G6598" s="15"/>
      <c r="H6598" s="15"/>
      <c r="I6598" s="14"/>
      <c r="P6598" s="14"/>
    </row>
    <row r="6599" ht="18.75" customHeight="1">
      <c r="A6599" s="14"/>
      <c r="B6599" s="12"/>
      <c r="C6599" s="12"/>
      <c r="D6599" s="12"/>
      <c r="E6599" s="12"/>
      <c r="F6599" s="14"/>
      <c r="G6599" s="15"/>
      <c r="H6599" s="15"/>
      <c r="I6599" s="14"/>
      <c r="P6599" s="14"/>
    </row>
    <row r="6600" ht="18.75" customHeight="1">
      <c r="A6600" s="14"/>
      <c r="B6600" s="12"/>
      <c r="C6600" s="12"/>
      <c r="D6600" s="12"/>
      <c r="E6600" s="12"/>
      <c r="F6600" s="14"/>
      <c r="G6600" s="15"/>
      <c r="H6600" s="15"/>
      <c r="I6600" s="14"/>
      <c r="P6600" s="14"/>
    </row>
    <row r="6601" ht="18.75" customHeight="1">
      <c r="A6601" s="14"/>
      <c r="B6601" s="12"/>
      <c r="C6601" s="12"/>
      <c r="D6601" s="12"/>
      <c r="E6601" s="12"/>
      <c r="F6601" s="14"/>
      <c r="G6601" s="15"/>
      <c r="H6601" s="15"/>
      <c r="I6601" s="14"/>
      <c r="P6601" s="14"/>
    </row>
    <row r="6602" ht="18.75" customHeight="1">
      <c r="A6602" s="14"/>
      <c r="B6602" s="12"/>
      <c r="C6602" s="12"/>
      <c r="D6602" s="12"/>
      <c r="E6602" s="12"/>
      <c r="F6602" s="14"/>
      <c r="G6602" s="15"/>
      <c r="H6602" s="15"/>
      <c r="I6602" s="14"/>
      <c r="P6602" s="14"/>
    </row>
    <row r="6603" ht="18.75" customHeight="1">
      <c r="A6603" s="14"/>
      <c r="B6603" s="12"/>
      <c r="C6603" s="12"/>
      <c r="D6603" s="12"/>
      <c r="E6603" s="12"/>
      <c r="F6603" s="14"/>
      <c r="G6603" s="15"/>
      <c r="H6603" s="15"/>
      <c r="I6603" s="14"/>
      <c r="P6603" s="14"/>
    </row>
    <row r="6604" ht="18.75" customHeight="1">
      <c r="A6604" s="14"/>
      <c r="B6604" s="12"/>
      <c r="C6604" s="12"/>
      <c r="D6604" s="12"/>
      <c r="E6604" s="12"/>
      <c r="F6604" s="14"/>
      <c r="G6604" s="15"/>
      <c r="H6604" s="15"/>
      <c r="I6604" s="14"/>
      <c r="P6604" s="14"/>
    </row>
    <row r="6605" ht="18.75" customHeight="1">
      <c r="A6605" s="14"/>
      <c r="B6605" s="12"/>
      <c r="C6605" s="12"/>
      <c r="D6605" s="12"/>
      <c r="E6605" s="12"/>
      <c r="F6605" s="14"/>
      <c r="G6605" s="15"/>
      <c r="H6605" s="15"/>
      <c r="I6605" s="14"/>
      <c r="P6605" s="14"/>
    </row>
    <row r="6606" ht="18.75" customHeight="1">
      <c r="A6606" s="14"/>
      <c r="B6606" s="12"/>
      <c r="C6606" s="12"/>
      <c r="D6606" s="12"/>
      <c r="E6606" s="12"/>
      <c r="F6606" s="14"/>
      <c r="G6606" s="15"/>
      <c r="H6606" s="15"/>
      <c r="I6606" s="14"/>
      <c r="P6606" s="14"/>
    </row>
    <row r="6607" ht="18.75" customHeight="1">
      <c r="A6607" s="14"/>
      <c r="B6607" s="12"/>
      <c r="C6607" s="12"/>
      <c r="D6607" s="12"/>
      <c r="E6607" s="12"/>
      <c r="F6607" s="14"/>
      <c r="G6607" s="15"/>
      <c r="H6607" s="15"/>
      <c r="I6607" s="14"/>
      <c r="P6607" s="14"/>
    </row>
    <row r="6608" ht="18.75" customHeight="1">
      <c r="A6608" s="14"/>
      <c r="B6608" s="12"/>
      <c r="C6608" s="12"/>
      <c r="D6608" s="12"/>
      <c r="E6608" s="12"/>
      <c r="F6608" s="14"/>
      <c r="G6608" s="15"/>
      <c r="H6608" s="15"/>
      <c r="I6608" s="14"/>
      <c r="P6608" s="14"/>
    </row>
    <row r="6609" ht="18.75" customHeight="1">
      <c r="A6609" s="14"/>
      <c r="B6609" s="12"/>
      <c r="C6609" s="12"/>
      <c r="D6609" s="12"/>
      <c r="E6609" s="12"/>
      <c r="F6609" s="14"/>
      <c r="G6609" s="15"/>
      <c r="H6609" s="15"/>
      <c r="I6609" s="14"/>
      <c r="P6609" s="14"/>
    </row>
    <row r="6610" ht="18.75" customHeight="1">
      <c r="A6610" s="14"/>
      <c r="B6610" s="12"/>
      <c r="C6610" s="12"/>
      <c r="D6610" s="12"/>
      <c r="E6610" s="12"/>
      <c r="F6610" s="14"/>
      <c r="G6610" s="15"/>
      <c r="H6610" s="15"/>
      <c r="I6610" s="14"/>
      <c r="P6610" s="14"/>
    </row>
    <row r="6611" ht="18.75" customHeight="1">
      <c r="A6611" s="14"/>
      <c r="B6611" s="12"/>
      <c r="C6611" s="12"/>
      <c r="D6611" s="12"/>
      <c r="E6611" s="12"/>
      <c r="F6611" s="14"/>
      <c r="G6611" s="15"/>
      <c r="H6611" s="15"/>
      <c r="I6611" s="14"/>
      <c r="P6611" s="14"/>
    </row>
    <row r="6612" ht="18.75" customHeight="1">
      <c r="A6612" s="14"/>
      <c r="B6612" s="12"/>
      <c r="C6612" s="12"/>
      <c r="D6612" s="12"/>
      <c r="E6612" s="12"/>
      <c r="F6612" s="14"/>
      <c r="G6612" s="15"/>
      <c r="H6612" s="15"/>
      <c r="I6612" s="14"/>
      <c r="P6612" s="14"/>
    </row>
    <row r="6613" ht="18.75" customHeight="1">
      <c r="A6613" s="14"/>
      <c r="B6613" s="12"/>
      <c r="C6613" s="12"/>
      <c r="D6613" s="12"/>
      <c r="E6613" s="12"/>
      <c r="F6613" s="14"/>
      <c r="G6613" s="15"/>
      <c r="H6613" s="15"/>
      <c r="I6613" s="14"/>
      <c r="P6613" s="14"/>
    </row>
    <row r="6614" ht="18.75" customHeight="1">
      <c r="A6614" s="14"/>
      <c r="B6614" s="12"/>
      <c r="C6614" s="12"/>
      <c r="D6614" s="12"/>
      <c r="E6614" s="12"/>
      <c r="F6614" s="14"/>
      <c r="G6614" s="15"/>
      <c r="H6614" s="15"/>
      <c r="I6614" s="14"/>
      <c r="P6614" s="14"/>
    </row>
    <row r="6615" ht="18.75" customHeight="1">
      <c r="A6615" s="14"/>
      <c r="B6615" s="12"/>
      <c r="C6615" s="12"/>
      <c r="D6615" s="12"/>
      <c r="E6615" s="12"/>
      <c r="F6615" s="14"/>
      <c r="G6615" s="15"/>
      <c r="H6615" s="15"/>
      <c r="I6615" s="14"/>
      <c r="P6615" s="14"/>
    </row>
    <row r="6616" ht="18.75" customHeight="1">
      <c r="A6616" s="14"/>
      <c r="B6616" s="12"/>
      <c r="C6616" s="12"/>
      <c r="D6616" s="12"/>
      <c r="E6616" s="12"/>
      <c r="F6616" s="14"/>
      <c r="G6616" s="15"/>
      <c r="H6616" s="15"/>
      <c r="I6616" s="14"/>
      <c r="P6616" s="14"/>
    </row>
    <row r="6617" ht="18.75" customHeight="1">
      <c r="A6617" s="14"/>
      <c r="B6617" s="12"/>
      <c r="C6617" s="12"/>
      <c r="D6617" s="12"/>
      <c r="E6617" s="12"/>
      <c r="F6617" s="14"/>
      <c r="G6617" s="15"/>
      <c r="H6617" s="15"/>
      <c r="I6617" s="14"/>
      <c r="P6617" s="14"/>
    </row>
    <row r="6618" ht="18.75" customHeight="1">
      <c r="A6618" s="14"/>
      <c r="B6618" s="12"/>
      <c r="C6618" s="12"/>
      <c r="D6618" s="12"/>
      <c r="E6618" s="12"/>
      <c r="F6618" s="14"/>
      <c r="G6618" s="15"/>
      <c r="H6618" s="15"/>
      <c r="I6618" s="14"/>
      <c r="P6618" s="14"/>
    </row>
    <row r="6619" ht="18.75" customHeight="1">
      <c r="A6619" s="14"/>
      <c r="B6619" s="12"/>
      <c r="C6619" s="12"/>
      <c r="D6619" s="12"/>
      <c r="E6619" s="12"/>
      <c r="F6619" s="14"/>
      <c r="G6619" s="15"/>
      <c r="H6619" s="15"/>
      <c r="I6619" s="14"/>
      <c r="P6619" s="14"/>
    </row>
    <row r="6620" ht="18.75" customHeight="1">
      <c r="A6620" s="14"/>
      <c r="B6620" s="12"/>
      <c r="C6620" s="12"/>
      <c r="D6620" s="12"/>
      <c r="E6620" s="12"/>
      <c r="F6620" s="14"/>
      <c r="G6620" s="15"/>
      <c r="H6620" s="15"/>
      <c r="I6620" s="14"/>
      <c r="P6620" s="14"/>
    </row>
    <row r="6621" ht="18.75" customHeight="1">
      <c r="A6621" s="14"/>
      <c r="B6621" s="12"/>
      <c r="C6621" s="12"/>
      <c r="D6621" s="12"/>
      <c r="E6621" s="12"/>
      <c r="F6621" s="14"/>
      <c r="G6621" s="15"/>
      <c r="H6621" s="15"/>
      <c r="I6621" s="14"/>
      <c r="P6621" s="14"/>
    </row>
    <row r="6622" ht="18.75" customHeight="1">
      <c r="A6622" s="14"/>
      <c r="B6622" s="12"/>
      <c r="C6622" s="12"/>
      <c r="D6622" s="12"/>
      <c r="E6622" s="12"/>
      <c r="F6622" s="14"/>
      <c r="G6622" s="15"/>
      <c r="H6622" s="15"/>
      <c r="I6622" s="14"/>
      <c r="P6622" s="14"/>
    </row>
    <row r="6623" ht="18.75" customHeight="1">
      <c r="A6623" s="14"/>
      <c r="B6623" s="12"/>
      <c r="C6623" s="12"/>
      <c r="D6623" s="12"/>
      <c r="E6623" s="12"/>
      <c r="F6623" s="14"/>
      <c r="G6623" s="15"/>
      <c r="H6623" s="15"/>
      <c r="I6623" s="14"/>
      <c r="P6623" s="14"/>
    </row>
    <row r="6624" ht="18.75" customHeight="1">
      <c r="A6624" s="14"/>
      <c r="B6624" s="12"/>
      <c r="C6624" s="12"/>
      <c r="D6624" s="12"/>
      <c r="E6624" s="12"/>
      <c r="F6624" s="14"/>
      <c r="G6624" s="15"/>
      <c r="H6624" s="15"/>
      <c r="I6624" s="14"/>
      <c r="P6624" s="14"/>
    </row>
    <row r="6625" ht="18.75" customHeight="1">
      <c r="A6625" s="14"/>
      <c r="B6625" s="12"/>
      <c r="C6625" s="12"/>
      <c r="D6625" s="12"/>
      <c r="E6625" s="12"/>
      <c r="F6625" s="14"/>
      <c r="G6625" s="15"/>
      <c r="H6625" s="15"/>
      <c r="I6625" s="14"/>
      <c r="P6625" s="14"/>
    </row>
    <row r="6626" ht="18.75" customHeight="1">
      <c r="A6626" s="14"/>
      <c r="B6626" s="12"/>
      <c r="C6626" s="12"/>
      <c r="D6626" s="12"/>
      <c r="E6626" s="12"/>
      <c r="F6626" s="14"/>
      <c r="G6626" s="15"/>
      <c r="H6626" s="15"/>
      <c r="I6626" s="14"/>
      <c r="P6626" s="14"/>
    </row>
    <row r="6627" ht="18.75" customHeight="1">
      <c r="A6627" s="14"/>
      <c r="B6627" s="12"/>
      <c r="C6627" s="12"/>
      <c r="D6627" s="12"/>
      <c r="E6627" s="12"/>
      <c r="F6627" s="14"/>
      <c r="G6627" s="15"/>
      <c r="H6627" s="15"/>
      <c r="I6627" s="14"/>
      <c r="P6627" s="14"/>
    </row>
    <row r="6628" ht="18.75" customHeight="1">
      <c r="A6628" s="14"/>
      <c r="B6628" s="12"/>
      <c r="C6628" s="12"/>
      <c r="D6628" s="12"/>
      <c r="E6628" s="12"/>
      <c r="F6628" s="14"/>
      <c r="G6628" s="15"/>
      <c r="H6628" s="15"/>
      <c r="I6628" s="14"/>
      <c r="P6628" s="14"/>
    </row>
    <row r="6629" ht="18.75" customHeight="1">
      <c r="A6629" s="14"/>
      <c r="B6629" s="12"/>
      <c r="C6629" s="12"/>
      <c r="D6629" s="12"/>
      <c r="E6629" s="12"/>
      <c r="F6629" s="14"/>
      <c r="G6629" s="15"/>
      <c r="H6629" s="15"/>
      <c r="I6629" s="14"/>
      <c r="P6629" s="14"/>
    </row>
    <row r="6630" ht="18.75" customHeight="1">
      <c r="A6630" s="14"/>
      <c r="B6630" s="12"/>
      <c r="C6630" s="12"/>
      <c r="D6630" s="12"/>
      <c r="E6630" s="12"/>
      <c r="F6630" s="14"/>
      <c r="G6630" s="15"/>
      <c r="H6630" s="15"/>
      <c r="I6630" s="14"/>
      <c r="P6630" s="14"/>
    </row>
    <row r="6631" ht="18.75" customHeight="1">
      <c r="A6631" s="14"/>
      <c r="B6631" s="12"/>
      <c r="C6631" s="12"/>
      <c r="D6631" s="12"/>
      <c r="E6631" s="12"/>
      <c r="F6631" s="14"/>
      <c r="G6631" s="15"/>
      <c r="H6631" s="15"/>
      <c r="I6631" s="14"/>
      <c r="P6631" s="14"/>
    </row>
    <row r="6632" ht="18.75" customHeight="1">
      <c r="A6632" s="14"/>
      <c r="B6632" s="12"/>
      <c r="C6632" s="12"/>
      <c r="D6632" s="12"/>
      <c r="E6632" s="12"/>
      <c r="F6632" s="14"/>
      <c r="G6632" s="15"/>
      <c r="H6632" s="15"/>
      <c r="I6632" s="14"/>
      <c r="P6632" s="14"/>
    </row>
    <row r="6633" ht="18.75" customHeight="1">
      <c r="A6633" s="14"/>
      <c r="B6633" s="12"/>
      <c r="C6633" s="12"/>
      <c r="D6633" s="12"/>
      <c r="E6633" s="12"/>
      <c r="F6633" s="14"/>
      <c r="G6633" s="15"/>
      <c r="H6633" s="15"/>
      <c r="I6633" s="14"/>
      <c r="P6633" s="14"/>
    </row>
    <row r="6634" ht="18.75" customHeight="1">
      <c r="A6634" s="14"/>
      <c r="B6634" s="12"/>
      <c r="C6634" s="12"/>
      <c r="D6634" s="12"/>
      <c r="E6634" s="12"/>
      <c r="F6634" s="14"/>
      <c r="G6634" s="15"/>
      <c r="H6634" s="15"/>
      <c r="I6634" s="14"/>
      <c r="P6634" s="14"/>
    </row>
    <row r="6635" ht="18.75" customHeight="1">
      <c r="A6635" s="14"/>
      <c r="B6635" s="12"/>
      <c r="C6635" s="12"/>
      <c r="D6635" s="12"/>
      <c r="E6635" s="12"/>
      <c r="F6635" s="14"/>
      <c r="G6635" s="15"/>
      <c r="H6635" s="15"/>
      <c r="I6635" s="14"/>
      <c r="P6635" s="14"/>
    </row>
    <row r="6636" ht="18.75" customHeight="1">
      <c r="A6636" s="14"/>
      <c r="B6636" s="12"/>
      <c r="C6636" s="12"/>
      <c r="D6636" s="12"/>
      <c r="E6636" s="12"/>
      <c r="F6636" s="14"/>
      <c r="G6636" s="15"/>
      <c r="H6636" s="15"/>
      <c r="I6636" s="14"/>
      <c r="P6636" s="14"/>
    </row>
    <row r="6637" ht="18.75" customHeight="1">
      <c r="A6637" s="14"/>
      <c r="B6637" s="12"/>
      <c r="C6637" s="12"/>
      <c r="D6637" s="12"/>
      <c r="E6637" s="12"/>
      <c r="F6637" s="14"/>
      <c r="G6637" s="15"/>
      <c r="H6637" s="15"/>
      <c r="I6637" s="14"/>
      <c r="P6637" s="14"/>
    </row>
    <row r="6638" ht="18.75" customHeight="1">
      <c r="A6638" s="14"/>
      <c r="B6638" s="12"/>
      <c r="C6638" s="12"/>
      <c r="D6638" s="12"/>
      <c r="E6638" s="12"/>
      <c r="F6638" s="14"/>
      <c r="G6638" s="15"/>
      <c r="H6638" s="15"/>
      <c r="I6638" s="14"/>
      <c r="P6638" s="14"/>
    </row>
    <row r="6639" ht="18.75" customHeight="1">
      <c r="A6639" s="14"/>
      <c r="B6639" s="12"/>
      <c r="C6639" s="12"/>
      <c r="D6639" s="12"/>
      <c r="E6639" s="12"/>
      <c r="F6639" s="14"/>
      <c r="G6639" s="15"/>
      <c r="H6639" s="15"/>
      <c r="I6639" s="14"/>
      <c r="P6639" s="14"/>
    </row>
    <row r="6640" ht="18.75" customHeight="1">
      <c r="A6640" s="14"/>
      <c r="B6640" s="12"/>
      <c r="C6640" s="12"/>
      <c r="D6640" s="12"/>
      <c r="E6640" s="12"/>
      <c r="F6640" s="14"/>
      <c r="G6640" s="15"/>
      <c r="H6640" s="15"/>
      <c r="I6640" s="14"/>
      <c r="P6640" s="14"/>
    </row>
    <row r="6641" ht="18.75" customHeight="1">
      <c r="A6641" s="14"/>
      <c r="B6641" s="12"/>
      <c r="C6641" s="12"/>
      <c r="D6641" s="12"/>
      <c r="E6641" s="12"/>
      <c r="F6641" s="14"/>
      <c r="G6641" s="15"/>
      <c r="H6641" s="15"/>
      <c r="I6641" s="14"/>
      <c r="P6641" s="14"/>
    </row>
    <row r="6642" ht="18.75" customHeight="1">
      <c r="A6642" s="14"/>
      <c r="B6642" s="12"/>
      <c r="C6642" s="12"/>
      <c r="D6642" s="12"/>
      <c r="E6642" s="12"/>
      <c r="F6642" s="14"/>
      <c r="G6642" s="15"/>
      <c r="H6642" s="15"/>
      <c r="I6642" s="14"/>
      <c r="P6642" s="14"/>
    </row>
    <row r="6643" ht="18.75" customHeight="1">
      <c r="A6643" s="14"/>
      <c r="B6643" s="12"/>
      <c r="C6643" s="12"/>
      <c r="D6643" s="12"/>
      <c r="E6643" s="12"/>
      <c r="F6643" s="14"/>
      <c r="G6643" s="15"/>
      <c r="H6643" s="15"/>
      <c r="I6643" s="14"/>
      <c r="P6643" s="14"/>
    </row>
    <row r="6644" ht="18.75" customHeight="1">
      <c r="A6644" s="14"/>
      <c r="B6644" s="12"/>
      <c r="C6644" s="12"/>
      <c r="D6644" s="12"/>
      <c r="E6644" s="12"/>
      <c r="F6644" s="14"/>
      <c r="G6644" s="15"/>
      <c r="H6644" s="15"/>
      <c r="I6644" s="14"/>
      <c r="P6644" s="14"/>
    </row>
    <row r="6645" ht="18.75" customHeight="1">
      <c r="A6645" s="14"/>
      <c r="B6645" s="12"/>
      <c r="C6645" s="12"/>
      <c r="D6645" s="12"/>
      <c r="E6645" s="12"/>
      <c r="F6645" s="14"/>
      <c r="G6645" s="15"/>
      <c r="H6645" s="15"/>
      <c r="I6645" s="14"/>
      <c r="P6645" s="14"/>
    </row>
    <row r="6646" ht="18.75" customHeight="1">
      <c r="A6646" s="14"/>
      <c r="B6646" s="12"/>
      <c r="C6646" s="12"/>
      <c r="D6646" s="12"/>
      <c r="E6646" s="12"/>
      <c r="F6646" s="14"/>
      <c r="G6646" s="15"/>
      <c r="H6646" s="15"/>
      <c r="I6646" s="14"/>
      <c r="P6646" s="14"/>
    </row>
    <row r="6647" ht="18.75" customHeight="1">
      <c r="A6647" s="14"/>
      <c r="B6647" s="12"/>
      <c r="C6647" s="12"/>
      <c r="D6647" s="12"/>
      <c r="E6647" s="12"/>
      <c r="F6647" s="14"/>
      <c r="G6647" s="15"/>
      <c r="H6647" s="15"/>
      <c r="I6647" s="14"/>
      <c r="P6647" s="14"/>
    </row>
    <row r="6648" ht="18.75" customHeight="1">
      <c r="A6648" s="14"/>
      <c r="B6648" s="12"/>
      <c r="C6648" s="12"/>
      <c r="D6648" s="12"/>
      <c r="E6648" s="12"/>
      <c r="F6648" s="14"/>
      <c r="G6648" s="15"/>
      <c r="H6648" s="15"/>
      <c r="I6648" s="14"/>
      <c r="P6648" s="14"/>
    </row>
    <row r="6649" ht="18.75" customHeight="1">
      <c r="A6649" s="14"/>
      <c r="B6649" s="12"/>
      <c r="C6649" s="12"/>
      <c r="D6649" s="12"/>
      <c r="E6649" s="12"/>
      <c r="F6649" s="14"/>
      <c r="G6649" s="15"/>
      <c r="H6649" s="15"/>
      <c r="I6649" s="14"/>
      <c r="P6649" s="14"/>
    </row>
    <row r="6650" ht="18.75" customHeight="1">
      <c r="A6650" s="14"/>
      <c r="B6650" s="12"/>
      <c r="C6650" s="12"/>
      <c r="D6650" s="12"/>
      <c r="E6650" s="12"/>
      <c r="F6650" s="14"/>
      <c r="G6650" s="15"/>
      <c r="H6650" s="15"/>
      <c r="I6650" s="14"/>
      <c r="P6650" s="14"/>
    </row>
    <row r="6651" ht="18.75" customHeight="1">
      <c r="A6651" s="14"/>
      <c r="B6651" s="12"/>
      <c r="C6651" s="12"/>
      <c r="D6651" s="12"/>
      <c r="E6651" s="12"/>
      <c r="F6651" s="14"/>
      <c r="G6651" s="15"/>
      <c r="H6651" s="15"/>
      <c r="I6651" s="14"/>
      <c r="P6651" s="14"/>
    </row>
    <row r="6652" ht="18.75" customHeight="1">
      <c r="A6652" s="14"/>
      <c r="B6652" s="12"/>
      <c r="C6652" s="12"/>
      <c r="D6652" s="12"/>
      <c r="E6652" s="12"/>
      <c r="F6652" s="14"/>
      <c r="G6652" s="15"/>
      <c r="H6652" s="15"/>
      <c r="I6652" s="14"/>
      <c r="P6652" s="14"/>
    </row>
    <row r="6653" ht="18.75" customHeight="1">
      <c r="A6653" s="14"/>
      <c r="B6653" s="12"/>
      <c r="C6653" s="12"/>
      <c r="D6653" s="12"/>
      <c r="E6653" s="12"/>
      <c r="F6653" s="14"/>
      <c r="G6653" s="15"/>
      <c r="H6653" s="15"/>
      <c r="I6653" s="14"/>
      <c r="P6653" s="14"/>
    </row>
    <row r="6654" ht="18.75" customHeight="1">
      <c r="A6654" s="14"/>
      <c r="B6654" s="12"/>
      <c r="C6654" s="12"/>
      <c r="D6654" s="12"/>
      <c r="E6654" s="12"/>
      <c r="F6654" s="14"/>
      <c r="G6654" s="15"/>
      <c r="H6654" s="15"/>
      <c r="I6654" s="14"/>
      <c r="P6654" s="14"/>
    </row>
    <row r="6655" ht="18.75" customHeight="1">
      <c r="A6655" s="14"/>
      <c r="B6655" s="12"/>
      <c r="C6655" s="12"/>
      <c r="D6655" s="12"/>
      <c r="E6655" s="12"/>
      <c r="F6655" s="14"/>
      <c r="G6655" s="15"/>
      <c r="H6655" s="15"/>
      <c r="I6655" s="14"/>
      <c r="P6655" s="14"/>
    </row>
    <row r="6656" ht="18.75" customHeight="1">
      <c r="A6656" s="14"/>
      <c r="B6656" s="12"/>
      <c r="C6656" s="12"/>
      <c r="D6656" s="12"/>
      <c r="E6656" s="12"/>
      <c r="F6656" s="14"/>
      <c r="G6656" s="15"/>
      <c r="H6656" s="15"/>
      <c r="I6656" s="14"/>
      <c r="P6656" s="14"/>
    </row>
    <row r="6657" ht="18.75" customHeight="1">
      <c r="A6657" s="14"/>
      <c r="B6657" s="12"/>
      <c r="C6657" s="12"/>
      <c r="D6657" s="12"/>
      <c r="E6657" s="12"/>
      <c r="F6657" s="14"/>
      <c r="G6657" s="15"/>
      <c r="H6657" s="15"/>
      <c r="I6657" s="14"/>
      <c r="P6657" s="14"/>
    </row>
    <row r="6658" ht="18.75" customHeight="1">
      <c r="A6658" s="14"/>
      <c r="B6658" s="12"/>
      <c r="C6658" s="12"/>
      <c r="D6658" s="12"/>
      <c r="E6658" s="12"/>
      <c r="F6658" s="14"/>
      <c r="G6658" s="15"/>
      <c r="H6658" s="15"/>
      <c r="I6658" s="14"/>
      <c r="P6658" s="14"/>
    </row>
    <row r="6659" ht="18.75" customHeight="1">
      <c r="A6659" s="14"/>
      <c r="B6659" s="12"/>
      <c r="C6659" s="12"/>
      <c r="D6659" s="12"/>
      <c r="E6659" s="12"/>
      <c r="F6659" s="14"/>
      <c r="G6659" s="15"/>
      <c r="H6659" s="15"/>
      <c r="I6659" s="14"/>
      <c r="P6659" s="14"/>
    </row>
    <row r="6660" ht="18.75" customHeight="1">
      <c r="A6660" s="14"/>
      <c r="B6660" s="12"/>
      <c r="C6660" s="12"/>
      <c r="D6660" s="12"/>
      <c r="E6660" s="12"/>
      <c r="F6660" s="14"/>
      <c r="G6660" s="15"/>
      <c r="H6660" s="15"/>
      <c r="I6660" s="14"/>
      <c r="P6660" s="14"/>
    </row>
    <row r="6661" ht="18.75" customHeight="1">
      <c r="A6661" s="14"/>
      <c r="B6661" s="12"/>
      <c r="C6661" s="12"/>
      <c r="D6661" s="12"/>
      <c r="E6661" s="12"/>
      <c r="F6661" s="14"/>
      <c r="G6661" s="15"/>
      <c r="H6661" s="15"/>
      <c r="I6661" s="14"/>
      <c r="P6661" s="14"/>
    </row>
    <row r="6662" ht="18.75" customHeight="1">
      <c r="A6662" s="14"/>
      <c r="B6662" s="12"/>
      <c r="C6662" s="12"/>
      <c r="D6662" s="12"/>
      <c r="E6662" s="12"/>
      <c r="F6662" s="14"/>
      <c r="G6662" s="15"/>
      <c r="H6662" s="15"/>
      <c r="I6662" s="14"/>
      <c r="P6662" s="14"/>
    </row>
    <row r="6663" ht="18.75" customHeight="1">
      <c r="A6663" s="14"/>
      <c r="B6663" s="12"/>
      <c r="C6663" s="12"/>
      <c r="D6663" s="12"/>
      <c r="E6663" s="12"/>
      <c r="F6663" s="14"/>
      <c r="G6663" s="15"/>
      <c r="H6663" s="15"/>
      <c r="I6663" s="14"/>
      <c r="P6663" s="14"/>
    </row>
    <row r="6664" ht="18.75" customHeight="1">
      <c r="A6664" s="14"/>
      <c r="B6664" s="12"/>
      <c r="C6664" s="12"/>
      <c r="D6664" s="12"/>
      <c r="E6664" s="12"/>
      <c r="F6664" s="14"/>
      <c r="G6664" s="15"/>
      <c r="H6664" s="15"/>
      <c r="I6664" s="14"/>
      <c r="P6664" s="14"/>
    </row>
    <row r="6665" ht="18.75" customHeight="1">
      <c r="A6665" s="14"/>
      <c r="B6665" s="12"/>
      <c r="C6665" s="12"/>
      <c r="D6665" s="12"/>
      <c r="E6665" s="12"/>
      <c r="F6665" s="14"/>
      <c r="G6665" s="15"/>
      <c r="H6665" s="15"/>
      <c r="I6665" s="14"/>
      <c r="P6665" s="14"/>
    </row>
    <row r="6666" ht="18.75" customHeight="1">
      <c r="A6666" s="14"/>
      <c r="B6666" s="12"/>
      <c r="C6666" s="12"/>
      <c r="D6666" s="12"/>
      <c r="E6666" s="12"/>
      <c r="F6666" s="14"/>
      <c r="G6666" s="15"/>
      <c r="H6666" s="15"/>
      <c r="I6666" s="14"/>
      <c r="P6666" s="14"/>
    </row>
    <row r="6667" ht="18.75" customHeight="1">
      <c r="A6667" s="14"/>
      <c r="B6667" s="12"/>
      <c r="C6667" s="12"/>
      <c r="D6667" s="12"/>
      <c r="E6667" s="12"/>
      <c r="F6667" s="14"/>
      <c r="G6667" s="15"/>
      <c r="H6667" s="15"/>
      <c r="I6667" s="14"/>
      <c r="P6667" s="14"/>
    </row>
    <row r="6668" ht="18.75" customHeight="1">
      <c r="A6668" s="14"/>
      <c r="B6668" s="12"/>
      <c r="C6668" s="12"/>
      <c r="D6668" s="12"/>
      <c r="E6668" s="12"/>
      <c r="F6668" s="14"/>
      <c r="G6668" s="15"/>
      <c r="H6668" s="15"/>
      <c r="I6668" s="14"/>
      <c r="P6668" s="14"/>
    </row>
    <row r="6669" ht="18.75" customHeight="1">
      <c r="A6669" s="14"/>
      <c r="B6669" s="12"/>
      <c r="C6669" s="12"/>
      <c r="D6669" s="12"/>
      <c r="E6669" s="12"/>
      <c r="F6669" s="14"/>
      <c r="G6669" s="15"/>
      <c r="H6669" s="15"/>
      <c r="I6669" s="14"/>
      <c r="P6669" s="14"/>
    </row>
    <row r="6670" ht="18.75" customHeight="1">
      <c r="A6670" s="14"/>
      <c r="B6670" s="12"/>
      <c r="C6670" s="12"/>
      <c r="D6670" s="12"/>
      <c r="E6670" s="12"/>
      <c r="F6670" s="14"/>
      <c r="G6670" s="15"/>
      <c r="H6670" s="15"/>
      <c r="I6670" s="14"/>
      <c r="P6670" s="14"/>
    </row>
    <row r="6671" ht="18.75" customHeight="1">
      <c r="A6671" s="14"/>
      <c r="B6671" s="12"/>
      <c r="C6671" s="12"/>
      <c r="D6671" s="12"/>
      <c r="E6671" s="12"/>
      <c r="F6671" s="14"/>
      <c r="G6671" s="15"/>
      <c r="H6671" s="15"/>
      <c r="I6671" s="14"/>
      <c r="P6671" s="14"/>
    </row>
    <row r="6672" ht="18.75" customHeight="1">
      <c r="A6672" s="14"/>
      <c r="B6672" s="12"/>
      <c r="C6672" s="12"/>
      <c r="D6672" s="12"/>
      <c r="E6672" s="12"/>
      <c r="F6672" s="14"/>
      <c r="G6672" s="15"/>
      <c r="H6672" s="15"/>
      <c r="I6672" s="14"/>
      <c r="P6672" s="14"/>
    </row>
    <row r="6673" ht="18.75" customHeight="1">
      <c r="A6673" s="14"/>
      <c r="B6673" s="12"/>
      <c r="C6673" s="12"/>
      <c r="D6673" s="12"/>
      <c r="E6673" s="12"/>
      <c r="F6673" s="14"/>
      <c r="G6673" s="15"/>
      <c r="H6673" s="15"/>
      <c r="I6673" s="14"/>
      <c r="P6673" s="14"/>
    </row>
    <row r="6674" ht="18.75" customHeight="1">
      <c r="A6674" s="14"/>
      <c r="B6674" s="12"/>
      <c r="C6674" s="12"/>
      <c r="D6674" s="12"/>
      <c r="E6674" s="12"/>
      <c r="F6674" s="14"/>
      <c r="G6674" s="15"/>
      <c r="H6674" s="15"/>
      <c r="I6674" s="14"/>
      <c r="P6674" s="14"/>
    </row>
    <row r="6675" ht="18.75" customHeight="1">
      <c r="A6675" s="14"/>
      <c r="B6675" s="12"/>
      <c r="C6675" s="12"/>
      <c r="D6675" s="12"/>
      <c r="E6675" s="12"/>
      <c r="F6675" s="14"/>
      <c r="G6675" s="15"/>
      <c r="H6675" s="15"/>
      <c r="I6675" s="14"/>
      <c r="P6675" s="14"/>
    </row>
    <row r="6676" ht="18.75" customHeight="1">
      <c r="A6676" s="14"/>
      <c r="B6676" s="12"/>
      <c r="C6676" s="12"/>
      <c r="D6676" s="12"/>
      <c r="E6676" s="12"/>
      <c r="F6676" s="14"/>
      <c r="G6676" s="15"/>
      <c r="H6676" s="15"/>
      <c r="I6676" s="14"/>
      <c r="P6676" s="14"/>
    </row>
    <row r="6677" ht="18.75" customHeight="1">
      <c r="A6677" s="14"/>
      <c r="B6677" s="12"/>
      <c r="C6677" s="12"/>
      <c r="D6677" s="12"/>
      <c r="E6677" s="12"/>
      <c r="F6677" s="14"/>
      <c r="G6677" s="15"/>
      <c r="H6677" s="15"/>
      <c r="I6677" s="14"/>
      <c r="P6677" s="14"/>
    </row>
    <row r="6678" ht="18.75" customHeight="1">
      <c r="A6678" s="14"/>
      <c r="B6678" s="12"/>
      <c r="C6678" s="12"/>
      <c r="D6678" s="12"/>
      <c r="E6678" s="12"/>
      <c r="F6678" s="14"/>
      <c r="G6678" s="15"/>
      <c r="H6678" s="15"/>
      <c r="I6678" s="14"/>
      <c r="P6678" s="14"/>
    </row>
    <row r="6679" ht="18.75" customHeight="1">
      <c r="A6679" s="14"/>
      <c r="B6679" s="12"/>
      <c r="C6679" s="12"/>
      <c r="D6679" s="12"/>
      <c r="E6679" s="12"/>
      <c r="F6679" s="14"/>
      <c r="G6679" s="15"/>
      <c r="H6679" s="15"/>
      <c r="I6679" s="14"/>
      <c r="P6679" s="14"/>
    </row>
    <row r="6680" ht="18.75" customHeight="1">
      <c r="A6680" s="14"/>
      <c r="B6680" s="12"/>
      <c r="C6680" s="12"/>
      <c r="D6680" s="12"/>
      <c r="E6680" s="12"/>
      <c r="F6680" s="14"/>
      <c r="G6680" s="15"/>
      <c r="H6680" s="15"/>
      <c r="I6680" s="14"/>
      <c r="P6680" s="14"/>
    </row>
    <row r="6681" ht="18.75" customHeight="1">
      <c r="A6681" s="14"/>
      <c r="B6681" s="12"/>
      <c r="C6681" s="12"/>
      <c r="D6681" s="12"/>
      <c r="E6681" s="12"/>
      <c r="F6681" s="14"/>
      <c r="G6681" s="15"/>
      <c r="H6681" s="15"/>
      <c r="I6681" s="14"/>
      <c r="P6681" s="14"/>
    </row>
    <row r="6682" ht="18.75" customHeight="1">
      <c r="A6682" s="14"/>
      <c r="B6682" s="12"/>
      <c r="C6682" s="12"/>
      <c r="D6682" s="12"/>
      <c r="E6682" s="12"/>
      <c r="F6682" s="14"/>
      <c r="G6682" s="15"/>
      <c r="H6682" s="15"/>
      <c r="I6682" s="14"/>
      <c r="P6682" s="14"/>
    </row>
    <row r="6683" ht="18.75" customHeight="1">
      <c r="A6683" s="14"/>
      <c r="B6683" s="12"/>
      <c r="C6683" s="12"/>
      <c r="D6683" s="12"/>
      <c r="E6683" s="12"/>
      <c r="F6683" s="14"/>
      <c r="G6683" s="15"/>
      <c r="H6683" s="15"/>
      <c r="I6683" s="14"/>
      <c r="P6683" s="14"/>
    </row>
    <row r="6684" ht="18.75" customHeight="1">
      <c r="A6684" s="14"/>
      <c r="B6684" s="12"/>
      <c r="C6684" s="12"/>
      <c r="D6684" s="12"/>
      <c r="E6684" s="12"/>
      <c r="F6684" s="14"/>
      <c r="G6684" s="15"/>
      <c r="H6684" s="15"/>
      <c r="I6684" s="14"/>
      <c r="P6684" s="14"/>
    </row>
    <row r="6685" ht="18.75" customHeight="1">
      <c r="A6685" s="14"/>
      <c r="B6685" s="12"/>
      <c r="C6685" s="12"/>
      <c r="D6685" s="12"/>
      <c r="E6685" s="12"/>
      <c r="F6685" s="14"/>
      <c r="G6685" s="15"/>
      <c r="H6685" s="15"/>
      <c r="I6685" s="14"/>
      <c r="P6685" s="14"/>
    </row>
    <row r="6686" ht="18.75" customHeight="1">
      <c r="A6686" s="14"/>
      <c r="B6686" s="12"/>
      <c r="C6686" s="12"/>
      <c r="D6686" s="12"/>
      <c r="E6686" s="12"/>
      <c r="F6686" s="14"/>
      <c r="G6686" s="15"/>
      <c r="H6686" s="15"/>
      <c r="I6686" s="14"/>
      <c r="P6686" s="14"/>
    </row>
    <row r="6687" ht="18.75" customHeight="1">
      <c r="A6687" s="14"/>
      <c r="B6687" s="12"/>
      <c r="C6687" s="12"/>
      <c r="D6687" s="12"/>
      <c r="E6687" s="12"/>
      <c r="F6687" s="14"/>
      <c r="G6687" s="15"/>
      <c r="H6687" s="15"/>
      <c r="I6687" s="14"/>
      <c r="P6687" s="14"/>
    </row>
    <row r="6688" ht="18.75" customHeight="1">
      <c r="A6688" s="14"/>
      <c r="B6688" s="12"/>
      <c r="C6688" s="12"/>
      <c r="D6688" s="12"/>
      <c r="E6688" s="12"/>
      <c r="F6688" s="14"/>
      <c r="G6688" s="15"/>
      <c r="H6688" s="15"/>
      <c r="I6688" s="14"/>
      <c r="P6688" s="14"/>
    </row>
    <row r="6689" ht="18.75" customHeight="1">
      <c r="A6689" s="14"/>
      <c r="B6689" s="12"/>
      <c r="C6689" s="12"/>
      <c r="D6689" s="12"/>
      <c r="E6689" s="12"/>
      <c r="F6689" s="14"/>
      <c r="G6689" s="15"/>
      <c r="H6689" s="15"/>
      <c r="I6689" s="14"/>
      <c r="P6689" s="14"/>
    </row>
    <row r="6690" ht="18.75" customHeight="1">
      <c r="A6690" s="14"/>
      <c r="B6690" s="12"/>
      <c r="C6690" s="12"/>
      <c r="D6690" s="12"/>
      <c r="E6690" s="12"/>
      <c r="F6690" s="14"/>
      <c r="G6690" s="15"/>
      <c r="H6690" s="15"/>
      <c r="I6690" s="14"/>
      <c r="P6690" s="14"/>
    </row>
    <row r="6691" ht="18.75" customHeight="1">
      <c r="A6691" s="14"/>
      <c r="B6691" s="12"/>
      <c r="C6691" s="12"/>
      <c r="D6691" s="12"/>
      <c r="E6691" s="12"/>
      <c r="F6691" s="14"/>
      <c r="G6691" s="15"/>
      <c r="H6691" s="15"/>
      <c r="I6691" s="14"/>
      <c r="P6691" s="14"/>
    </row>
    <row r="6692" ht="18.75" customHeight="1">
      <c r="A6692" s="14"/>
      <c r="B6692" s="12"/>
      <c r="C6692" s="12"/>
      <c r="D6692" s="12"/>
      <c r="E6692" s="12"/>
      <c r="F6692" s="14"/>
      <c r="G6692" s="15"/>
      <c r="H6692" s="15"/>
      <c r="I6692" s="14"/>
      <c r="P6692" s="14"/>
    </row>
    <row r="6693" ht="18.75" customHeight="1">
      <c r="A6693" s="14"/>
      <c r="B6693" s="12"/>
      <c r="C6693" s="12"/>
      <c r="D6693" s="12"/>
      <c r="E6693" s="12"/>
      <c r="F6693" s="14"/>
      <c r="G6693" s="15"/>
      <c r="H6693" s="15"/>
      <c r="I6693" s="14"/>
      <c r="P6693" s="14"/>
    </row>
    <row r="6694" ht="18.75" customHeight="1">
      <c r="A6694" s="14"/>
      <c r="B6694" s="12"/>
      <c r="C6694" s="12"/>
      <c r="D6694" s="12"/>
      <c r="E6694" s="12"/>
      <c r="F6694" s="14"/>
      <c r="G6694" s="15"/>
      <c r="H6694" s="15"/>
      <c r="I6694" s="14"/>
      <c r="P6694" s="14"/>
    </row>
    <row r="6695" ht="18.75" customHeight="1">
      <c r="A6695" s="14"/>
      <c r="B6695" s="12"/>
      <c r="C6695" s="12"/>
      <c r="D6695" s="12"/>
      <c r="E6695" s="12"/>
      <c r="F6695" s="14"/>
      <c r="G6695" s="15"/>
      <c r="H6695" s="15"/>
      <c r="I6695" s="14"/>
      <c r="P6695" s="14"/>
    </row>
    <row r="6696" ht="18.75" customHeight="1">
      <c r="A6696" s="14"/>
      <c r="B6696" s="12"/>
      <c r="C6696" s="12"/>
      <c r="D6696" s="12"/>
      <c r="E6696" s="12"/>
      <c r="F6696" s="14"/>
      <c r="G6696" s="15"/>
      <c r="H6696" s="15"/>
      <c r="I6696" s="14"/>
      <c r="P6696" s="14"/>
    </row>
    <row r="6697" ht="18.75" customHeight="1">
      <c r="A6697" s="14"/>
      <c r="B6697" s="12"/>
      <c r="C6697" s="12"/>
      <c r="D6697" s="12"/>
      <c r="E6697" s="12"/>
      <c r="F6697" s="14"/>
      <c r="G6697" s="15"/>
      <c r="H6697" s="15"/>
      <c r="I6697" s="14"/>
      <c r="P6697" s="14"/>
    </row>
    <row r="6698" ht="18.75" customHeight="1">
      <c r="A6698" s="14"/>
      <c r="B6698" s="12"/>
      <c r="C6698" s="12"/>
      <c r="D6698" s="12"/>
      <c r="E6698" s="12"/>
      <c r="F6698" s="14"/>
      <c r="G6698" s="15"/>
      <c r="H6698" s="15"/>
      <c r="I6698" s="14"/>
      <c r="P6698" s="14"/>
    </row>
    <row r="6699" ht="18.75" customHeight="1">
      <c r="A6699" s="14"/>
      <c r="B6699" s="12"/>
      <c r="C6699" s="12"/>
      <c r="D6699" s="12"/>
      <c r="E6699" s="12"/>
      <c r="F6699" s="14"/>
      <c r="G6699" s="15"/>
      <c r="H6699" s="15"/>
      <c r="I6699" s="14"/>
      <c r="P6699" s="14"/>
    </row>
    <row r="6700" ht="18.75" customHeight="1">
      <c r="A6700" s="14"/>
      <c r="B6700" s="12"/>
      <c r="C6700" s="12"/>
      <c r="D6700" s="12"/>
      <c r="E6700" s="12"/>
      <c r="F6700" s="14"/>
      <c r="G6700" s="15"/>
      <c r="H6700" s="15"/>
      <c r="I6700" s="14"/>
      <c r="P6700" s="14"/>
    </row>
    <row r="6701" ht="18.75" customHeight="1">
      <c r="A6701" s="14"/>
      <c r="B6701" s="12"/>
      <c r="C6701" s="12"/>
      <c r="D6701" s="12"/>
      <c r="E6701" s="12"/>
      <c r="F6701" s="14"/>
      <c r="G6701" s="15"/>
      <c r="H6701" s="15"/>
      <c r="I6701" s="14"/>
      <c r="P6701" s="14"/>
    </row>
    <row r="6702" ht="18.75" customHeight="1">
      <c r="A6702" s="14"/>
      <c r="B6702" s="12"/>
      <c r="C6702" s="12"/>
      <c r="D6702" s="12"/>
      <c r="E6702" s="12"/>
      <c r="F6702" s="14"/>
      <c r="G6702" s="15"/>
      <c r="H6702" s="15"/>
      <c r="I6702" s="14"/>
      <c r="P6702" s="14"/>
    </row>
    <row r="6703" ht="18.75" customHeight="1">
      <c r="A6703" s="14"/>
      <c r="B6703" s="12"/>
      <c r="C6703" s="12"/>
      <c r="D6703" s="12"/>
      <c r="E6703" s="12"/>
      <c r="F6703" s="14"/>
      <c r="G6703" s="15"/>
      <c r="H6703" s="15"/>
      <c r="I6703" s="14"/>
      <c r="P6703" s="14"/>
    </row>
    <row r="6704" ht="18.75" customHeight="1">
      <c r="A6704" s="14"/>
      <c r="B6704" s="12"/>
      <c r="C6704" s="12"/>
      <c r="D6704" s="12"/>
      <c r="E6704" s="12"/>
      <c r="F6704" s="14"/>
      <c r="G6704" s="15"/>
      <c r="H6704" s="15"/>
      <c r="I6704" s="14"/>
      <c r="P6704" s="14"/>
    </row>
    <row r="6705" ht="18.75" customHeight="1">
      <c r="A6705" s="14"/>
      <c r="B6705" s="12"/>
      <c r="C6705" s="12"/>
      <c r="D6705" s="12"/>
      <c r="E6705" s="12"/>
      <c r="F6705" s="14"/>
      <c r="G6705" s="15"/>
      <c r="H6705" s="15"/>
      <c r="I6705" s="14"/>
      <c r="P6705" s="14"/>
    </row>
    <row r="6706" ht="18.75" customHeight="1">
      <c r="A6706" s="14"/>
      <c r="B6706" s="12"/>
      <c r="C6706" s="12"/>
      <c r="D6706" s="12"/>
      <c r="E6706" s="12"/>
      <c r="F6706" s="14"/>
      <c r="G6706" s="15"/>
      <c r="H6706" s="15"/>
      <c r="I6706" s="14"/>
      <c r="P6706" s="14"/>
    </row>
    <row r="6707" ht="18.75" customHeight="1">
      <c r="A6707" s="14"/>
      <c r="B6707" s="12"/>
      <c r="C6707" s="12"/>
      <c r="D6707" s="12"/>
      <c r="E6707" s="12"/>
      <c r="F6707" s="14"/>
      <c r="G6707" s="15"/>
      <c r="H6707" s="15"/>
      <c r="I6707" s="14"/>
      <c r="P6707" s="14"/>
    </row>
    <row r="6708" ht="18.75" customHeight="1">
      <c r="A6708" s="14"/>
      <c r="B6708" s="12"/>
      <c r="C6708" s="12"/>
      <c r="D6708" s="12"/>
      <c r="E6708" s="12"/>
      <c r="F6708" s="14"/>
      <c r="G6708" s="15"/>
      <c r="H6708" s="15"/>
      <c r="I6708" s="14"/>
      <c r="P6708" s="14"/>
    </row>
    <row r="6709" ht="18.75" customHeight="1">
      <c r="A6709" s="14"/>
      <c r="B6709" s="12"/>
      <c r="C6709" s="12"/>
      <c r="D6709" s="12"/>
      <c r="E6709" s="12"/>
      <c r="F6709" s="14"/>
      <c r="G6709" s="15"/>
      <c r="H6709" s="15"/>
      <c r="I6709" s="14"/>
      <c r="P6709" s="14"/>
    </row>
    <row r="6710" ht="18.75" customHeight="1">
      <c r="A6710" s="14"/>
      <c r="B6710" s="12"/>
      <c r="C6710" s="12"/>
      <c r="D6710" s="12"/>
      <c r="E6710" s="12"/>
      <c r="F6710" s="14"/>
      <c r="G6710" s="15"/>
      <c r="H6710" s="15"/>
      <c r="I6710" s="14"/>
      <c r="P6710" s="14"/>
    </row>
    <row r="6711" ht="18.75" customHeight="1">
      <c r="A6711" s="14"/>
      <c r="B6711" s="12"/>
      <c r="C6711" s="12"/>
      <c r="D6711" s="12"/>
      <c r="E6711" s="12"/>
      <c r="F6711" s="14"/>
      <c r="G6711" s="15"/>
      <c r="H6711" s="15"/>
      <c r="I6711" s="14"/>
      <c r="P6711" s="14"/>
    </row>
    <row r="6712" ht="18.75" customHeight="1">
      <c r="A6712" s="14"/>
      <c r="B6712" s="12"/>
      <c r="C6712" s="12"/>
      <c r="D6712" s="12"/>
      <c r="E6712" s="12"/>
      <c r="F6712" s="14"/>
      <c r="G6712" s="15"/>
      <c r="H6712" s="15"/>
      <c r="I6712" s="14"/>
      <c r="P6712" s="14"/>
    </row>
    <row r="6713" ht="18.75" customHeight="1">
      <c r="A6713" s="14"/>
      <c r="B6713" s="12"/>
      <c r="C6713" s="12"/>
      <c r="D6713" s="12"/>
      <c r="E6713" s="12"/>
      <c r="F6713" s="14"/>
      <c r="G6713" s="15"/>
      <c r="H6713" s="15"/>
      <c r="I6713" s="14"/>
      <c r="P6713" s="14"/>
    </row>
    <row r="6714" ht="18.75" customHeight="1">
      <c r="A6714" s="14"/>
      <c r="B6714" s="12"/>
      <c r="C6714" s="12"/>
      <c r="D6714" s="12"/>
      <c r="E6714" s="12"/>
      <c r="F6714" s="14"/>
      <c r="G6714" s="15"/>
      <c r="H6714" s="15"/>
      <c r="I6714" s="14"/>
      <c r="P6714" s="14"/>
    </row>
    <row r="6715" ht="18.75" customHeight="1">
      <c r="A6715" s="14"/>
      <c r="B6715" s="12"/>
      <c r="C6715" s="12"/>
      <c r="D6715" s="12"/>
      <c r="E6715" s="12"/>
      <c r="F6715" s="14"/>
      <c r="G6715" s="15"/>
      <c r="H6715" s="15"/>
      <c r="I6715" s="14"/>
      <c r="P6715" s="14"/>
    </row>
    <row r="6716" ht="18.75" customHeight="1">
      <c r="A6716" s="14"/>
      <c r="B6716" s="12"/>
      <c r="C6716" s="12"/>
      <c r="D6716" s="12"/>
      <c r="E6716" s="12"/>
      <c r="F6716" s="14"/>
      <c r="G6716" s="15"/>
      <c r="H6716" s="15"/>
      <c r="I6716" s="14"/>
      <c r="P6716" s="14"/>
    </row>
    <row r="6717" ht="18.75" customHeight="1">
      <c r="A6717" s="14"/>
      <c r="B6717" s="12"/>
      <c r="C6717" s="12"/>
      <c r="D6717" s="12"/>
      <c r="E6717" s="12"/>
      <c r="F6717" s="14"/>
      <c r="G6717" s="15"/>
      <c r="H6717" s="15"/>
      <c r="I6717" s="14"/>
      <c r="P6717" s="14"/>
    </row>
    <row r="6718" ht="18.75" customHeight="1">
      <c r="A6718" s="14"/>
      <c r="B6718" s="12"/>
      <c r="C6718" s="12"/>
      <c r="D6718" s="12"/>
      <c r="E6718" s="12"/>
      <c r="F6718" s="14"/>
      <c r="G6718" s="15"/>
      <c r="H6718" s="15"/>
      <c r="I6718" s="14"/>
      <c r="P6718" s="14"/>
    </row>
    <row r="6719" ht="18.75" customHeight="1">
      <c r="A6719" s="14"/>
      <c r="B6719" s="12"/>
      <c r="C6719" s="12"/>
      <c r="D6719" s="12"/>
      <c r="E6719" s="12"/>
      <c r="F6719" s="14"/>
      <c r="G6719" s="15"/>
      <c r="H6719" s="15"/>
      <c r="I6719" s="14"/>
      <c r="P6719" s="14"/>
    </row>
    <row r="6720" ht="18.75" customHeight="1">
      <c r="A6720" s="14"/>
      <c r="B6720" s="12"/>
      <c r="C6720" s="12"/>
      <c r="D6720" s="12"/>
      <c r="E6720" s="12"/>
      <c r="F6720" s="14"/>
      <c r="G6720" s="15"/>
      <c r="H6720" s="15"/>
      <c r="I6720" s="14"/>
      <c r="P6720" s="14"/>
    </row>
    <row r="6721" ht="18.75" customHeight="1">
      <c r="A6721" s="14"/>
      <c r="B6721" s="12"/>
      <c r="C6721" s="12"/>
      <c r="D6721" s="12"/>
      <c r="E6721" s="12"/>
      <c r="F6721" s="14"/>
      <c r="G6721" s="15"/>
      <c r="H6721" s="15"/>
      <c r="I6721" s="14"/>
      <c r="P6721" s="14"/>
    </row>
    <row r="6722" ht="18.75" customHeight="1">
      <c r="A6722" s="14"/>
      <c r="B6722" s="12"/>
      <c r="C6722" s="12"/>
      <c r="D6722" s="12"/>
      <c r="E6722" s="12"/>
      <c r="F6722" s="14"/>
      <c r="G6722" s="15"/>
      <c r="H6722" s="15"/>
      <c r="I6722" s="14"/>
      <c r="P6722" s="14"/>
    </row>
    <row r="6723" ht="18.75" customHeight="1">
      <c r="A6723" s="14"/>
      <c r="B6723" s="12"/>
      <c r="C6723" s="12"/>
      <c r="D6723" s="12"/>
      <c r="E6723" s="12"/>
      <c r="F6723" s="14"/>
      <c r="G6723" s="15"/>
      <c r="H6723" s="15"/>
      <c r="I6723" s="14"/>
      <c r="P6723" s="14"/>
    </row>
    <row r="6724" ht="18.75" customHeight="1">
      <c r="A6724" s="14"/>
      <c r="B6724" s="12"/>
      <c r="C6724" s="12"/>
      <c r="D6724" s="12"/>
      <c r="E6724" s="12"/>
      <c r="F6724" s="14"/>
      <c r="G6724" s="15"/>
      <c r="H6724" s="15"/>
      <c r="I6724" s="14"/>
      <c r="P6724" s="14"/>
    </row>
    <row r="6725" ht="18.75" customHeight="1">
      <c r="A6725" s="14"/>
      <c r="B6725" s="12"/>
      <c r="C6725" s="12"/>
      <c r="D6725" s="12"/>
      <c r="E6725" s="12"/>
      <c r="F6725" s="14"/>
      <c r="G6725" s="15"/>
      <c r="H6725" s="15"/>
      <c r="I6725" s="14"/>
      <c r="P6725" s="14"/>
    </row>
    <row r="6726" ht="18.75" customHeight="1">
      <c r="A6726" s="14"/>
      <c r="B6726" s="12"/>
      <c r="C6726" s="12"/>
      <c r="D6726" s="12"/>
      <c r="E6726" s="12"/>
      <c r="F6726" s="14"/>
      <c r="G6726" s="15"/>
      <c r="H6726" s="15"/>
      <c r="I6726" s="14"/>
      <c r="P6726" s="14"/>
    </row>
    <row r="6727" ht="18.75" customHeight="1">
      <c r="A6727" s="14"/>
      <c r="B6727" s="12"/>
      <c r="C6727" s="12"/>
      <c r="D6727" s="12"/>
      <c r="E6727" s="12"/>
      <c r="F6727" s="14"/>
      <c r="G6727" s="15"/>
      <c r="H6727" s="15"/>
      <c r="I6727" s="14"/>
      <c r="P6727" s="14"/>
    </row>
    <row r="6728" ht="18.75" customHeight="1">
      <c r="A6728" s="14"/>
      <c r="B6728" s="12"/>
      <c r="C6728" s="12"/>
      <c r="D6728" s="12"/>
      <c r="E6728" s="12"/>
      <c r="F6728" s="14"/>
      <c r="G6728" s="15"/>
      <c r="H6728" s="15"/>
      <c r="I6728" s="14"/>
      <c r="P6728" s="14"/>
    </row>
    <row r="6729" ht="18.75" customHeight="1">
      <c r="A6729" s="14"/>
      <c r="B6729" s="12"/>
      <c r="C6729" s="12"/>
      <c r="D6729" s="12"/>
      <c r="E6729" s="12"/>
      <c r="F6729" s="14"/>
      <c r="G6729" s="15"/>
      <c r="H6729" s="15"/>
      <c r="I6729" s="14"/>
      <c r="P6729" s="14"/>
    </row>
    <row r="6730" ht="18.75" customHeight="1">
      <c r="A6730" s="14"/>
      <c r="B6730" s="12"/>
      <c r="C6730" s="12"/>
      <c r="D6730" s="12"/>
      <c r="E6730" s="12"/>
      <c r="F6730" s="14"/>
      <c r="G6730" s="15"/>
      <c r="H6730" s="15"/>
      <c r="I6730" s="14"/>
      <c r="P6730" s="14"/>
    </row>
    <row r="6731" ht="18.75" customHeight="1">
      <c r="A6731" s="14"/>
      <c r="B6731" s="12"/>
      <c r="C6731" s="12"/>
      <c r="D6731" s="12"/>
      <c r="E6731" s="12"/>
      <c r="F6731" s="14"/>
      <c r="G6731" s="15"/>
      <c r="H6731" s="15"/>
      <c r="I6731" s="14"/>
      <c r="P6731" s="14"/>
    </row>
    <row r="6732" ht="18.75" customHeight="1">
      <c r="A6732" s="14"/>
      <c r="B6732" s="12"/>
      <c r="C6732" s="12"/>
      <c r="D6732" s="12"/>
      <c r="E6732" s="12"/>
      <c r="F6732" s="14"/>
      <c r="G6732" s="15"/>
      <c r="H6732" s="15"/>
      <c r="I6732" s="14"/>
      <c r="P6732" s="14"/>
    </row>
    <row r="6733" ht="18.75" customHeight="1">
      <c r="A6733" s="14"/>
      <c r="B6733" s="12"/>
      <c r="C6733" s="12"/>
      <c r="D6733" s="12"/>
      <c r="E6733" s="12"/>
      <c r="F6733" s="14"/>
      <c r="G6733" s="15"/>
      <c r="H6733" s="15"/>
      <c r="I6733" s="14"/>
      <c r="P6733" s="14"/>
    </row>
    <row r="6734" ht="18.75" customHeight="1">
      <c r="A6734" s="14"/>
      <c r="B6734" s="12"/>
      <c r="C6734" s="12"/>
      <c r="D6734" s="12"/>
      <c r="E6734" s="12"/>
      <c r="F6734" s="14"/>
      <c r="G6734" s="15"/>
      <c r="H6734" s="15"/>
      <c r="I6734" s="14"/>
      <c r="P6734" s="14"/>
    </row>
    <row r="6735" ht="18.75" customHeight="1">
      <c r="A6735" s="14"/>
      <c r="B6735" s="12"/>
      <c r="C6735" s="12"/>
      <c r="D6735" s="12"/>
      <c r="E6735" s="12"/>
      <c r="F6735" s="14"/>
      <c r="G6735" s="15"/>
      <c r="H6735" s="15"/>
      <c r="I6735" s="14"/>
      <c r="P6735" s="14"/>
    </row>
    <row r="6736" ht="18.75" customHeight="1">
      <c r="A6736" s="14"/>
      <c r="B6736" s="12"/>
      <c r="C6736" s="12"/>
      <c r="D6736" s="12"/>
      <c r="E6736" s="12"/>
      <c r="F6736" s="14"/>
      <c r="G6736" s="15"/>
      <c r="H6736" s="15"/>
      <c r="I6736" s="14"/>
      <c r="P6736" s="14"/>
    </row>
    <row r="6737" ht="18.75" customHeight="1">
      <c r="A6737" s="14"/>
      <c r="B6737" s="12"/>
      <c r="C6737" s="12"/>
      <c r="D6737" s="12"/>
      <c r="E6737" s="12"/>
      <c r="F6737" s="14"/>
      <c r="G6737" s="15"/>
      <c r="H6737" s="15"/>
      <c r="I6737" s="14"/>
      <c r="P6737" s="14"/>
    </row>
    <row r="6738" ht="18.75" customHeight="1">
      <c r="A6738" s="14"/>
      <c r="B6738" s="12"/>
      <c r="C6738" s="12"/>
      <c r="D6738" s="12"/>
      <c r="E6738" s="12"/>
      <c r="F6738" s="14"/>
      <c r="G6738" s="15"/>
      <c r="H6738" s="15"/>
      <c r="I6738" s="14"/>
      <c r="P6738" s="14"/>
    </row>
    <row r="6739" ht="18.75" customHeight="1">
      <c r="A6739" s="14"/>
      <c r="B6739" s="12"/>
      <c r="C6739" s="12"/>
      <c r="D6739" s="12"/>
      <c r="E6739" s="12"/>
      <c r="F6739" s="14"/>
      <c r="G6739" s="15"/>
      <c r="H6739" s="15"/>
      <c r="I6739" s="14"/>
      <c r="P6739" s="14"/>
    </row>
    <row r="6740" ht="18.75" customHeight="1">
      <c r="A6740" s="14"/>
      <c r="B6740" s="12"/>
      <c r="C6740" s="12"/>
      <c r="D6740" s="12"/>
      <c r="E6740" s="12"/>
      <c r="F6740" s="14"/>
      <c r="G6740" s="15"/>
      <c r="H6740" s="15"/>
      <c r="I6740" s="14"/>
      <c r="P6740" s="14"/>
    </row>
    <row r="6741" ht="18.75" customHeight="1">
      <c r="A6741" s="14"/>
      <c r="B6741" s="12"/>
      <c r="C6741" s="12"/>
      <c r="D6741" s="12"/>
      <c r="E6741" s="12"/>
      <c r="F6741" s="14"/>
      <c r="G6741" s="15"/>
      <c r="H6741" s="15"/>
      <c r="I6741" s="14"/>
      <c r="P6741" s="14"/>
    </row>
    <row r="6742" ht="18.75" customHeight="1">
      <c r="A6742" s="14"/>
      <c r="B6742" s="12"/>
      <c r="C6742" s="12"/>
      <c r="D6742" s="12"/>
      <c r="E6742" s="12"/>
      <c r="F6742" s="14"/>
      <c r="G6742" s="15"/>
      <c r="H6742" s="15"/>
      <c r="I6742" s="14"/>
      <c r="P6742" s="14"/>
    </row>
    <row r="6743" ht="18.75" customHeight="1">
      <c r="A6743" s="14"/>
      <c r="B6743" s="12"/>
      <c r="C6743" s="12"/>
      <c r="D6743" s="12"/>
      <c r="E6743" s="12"/>
      <c r="F6743" s="14"/>
      <c r="G6743" s="15"/>
      <c r="H6743" s="15"/>
      <c r="I6743" s="14"/>
      <c r="P6743" s="14"/>
    </row>
    <row r="6744" ht="18.75" customHeight="1">
      <c r="A6744" s="14"/>
      <c r="B6744" s="12"/>
      <c r="C6744" s="12"/>
      <c r="D6744" s="12"/>
      <c r="E6744" s="12"/>
      <c r="F6744" s="14"/>
      <c r="G6744" s="15"/>
      <c r="H6744" s="15"/>
      <c r="I6744" s="14"/>
      <c r="P6744" s="14"/>
    </row>
    <row r="6745" ht="18.75" customHeight="1">
      <c r="A6745" s="14"/>
      <c r="B6745" s="12"/>
      <c r="C6745" s="12"/>
      <c r="D6745" s="12"/>
      <c r="E6745" s="12"/>
      <c r="F6745" s="14"/>
      <c r="G6745" s="15"/>
      <c r="H6745" s="15"/>
      <c r="I6745" s="14"/>
      <c r="P6745" s="14"/>
    </row>
    <row r="6746" ht="18.75" customHeight="1">
      <c r="A6746" s="14"/>
      <c r="B6746" s="12"/>
      <c r="C6746" s="12"/>
      <c r="D6746" s="12"/>
      <c r="E6746" s="12"/>
      <c r="F6746" s="14"/>
      <c r="G6746" s="15"/>
      <c r="H6746" s="15"/>
      <c r="I6746" s="14"/>
      <c r="P6746" s="14"/>
    </row>
    <row r="6747" ht="18.75" customHeight="1">
      <c r="A6747" s="14"/>
      <c r="B6747" s="12"/>
      <c r="C6747" s="12"/>
      <c r="D6747" s="12"/>
      <c r="E6747" s="12"/>
      <c r="F6747" s="14"/>
      <c r="G6747" s="15"/>
      <c r="H6747" s="15"/>
      <c r="I6747" s="14"/>
      <c r="P6747" s="14"/>
    </row>
    <row r="6748" ht="18.75" customHeight="1">
      <c r="A6748" s="14"/>
      <c r="B6748" s="12"/>
      <c r="C6748" s="12"/>
      <c r="D6748" s="12"/>
      <c r="E6748" s="12"/>
      <c r="F6748" s="14"/>
      <c r="G6748" s="15"/>
      <c r="H6748" s="15"/>
      <c r="I6748" s="14"/>
      <c r="P6748" s="14"/>
    </row>
    <row r="6749" ht="18.75" customHeight="1">
      <c r="A6749" s="14"/>
      <c r="B6749" s="12"/>
      <c r="C6749" s="12"/>
      <c r="D6749" s="12"/>
      <c r="E6749" s="12"/>
      <c r="F6749" s="14"/>
      <c r="G6749" s="15"/>
      <c r="H6749" s="15"/>
      <c r="I6749" s="14"/>
      <c r="P6749" s="14"/>
    </row>
    <row r="6750" ht="18.75" customHeight="1">
      <c r="A6750" s="14"/>
      <c r="B6750" s="12"/>
      <c r="C6750" s="12"/>
      <c r="D6750" s="12"/>
      <c r="E6750" s="12"/>
      <c r="F6750" s="14"/>
      <c r="G6750" s="15"/>
      <c r="H6750" s="15"/>
      <c r="I6750" s="14"/>
      <c r="P6750" s="14"/>
    </row>
    <row r="6751" ht="18.75" customHeight="1">
      <c r="A6751" s="14"/>
      <c r="B6751" s="12"/>
      <c r="C6751" s="12"/>
      <c r="D6751" s="12"/>
      <c r="E6751" s="12"/>
      <c r="F6751" s="14"/>
      <c r="G6751" s="15"/>
      <c r="H6751" s="15"/>
      <c r="I6751" s="14"/>
      <c r="P6751" s="14"/>
    </row>
    <row r="6752" ht="18.75" customHeight="1">
      <c r="A6752" s="14"/>
      <c r="B6752" s="12"/>
      <c r="C6752" s="12"/>
      <c r="D6752" s="12"/>
      <c r="E6752" s="12"/>
      <c r="F6752" s="14"/>
      <c r="G6752" s="15"/>
      <c r="H6752" s="15"/>
      <c r="I6752" s="14"/>
      <c r="P6752" s="14"/>
    </row>
    <row r="6753" ht="18.75" customHeight="1">
      <c r="A6753" s="14"/>
      <c r="B6753" s="12"/>
      <c r="C6753" s="12"/>
      <c r="D6753" s="12"/>
      <c r="E6753" s="12"/>
      <c r="F6753" s="14"/>
      <c r="G6753" s="15"/>
      <c r="H6753" s="15"/>
      <c r="I6753" s="14"/>
      <c r="P6753" s="14"/>
    </row>
    <row r="6754" ht="18.75" customHeight="1">
      <c r="A6754" s="14"/>
      <c r="B6754" s="12"/>
      <c r="C6754" s="12"/>
      <c r="D6754" s="12"/>
      <c r="E6754" s="12"/>
      <c r="F6754" s="14"/>
      <c r="G6754" s="15"/>
      <c r="H6754" s="15"/>
      <c r="I6754" s="14"/>
      <c r="P6754" s="14"/>
    </row>
    <row r="6755" ht="18.75" customHeight="1">
      <c r="A6755" s="14"/>
      <c r="B6755" s="12"/>
      <c r="C6755" s="12"/>
      <c r="D6755" s="12"/>
      <c r="E6755" s="12"/>
      <c r="F6755" s="14"/>
      <c r="G6755" s="15"/>
      <c r="H6755" s="15"/>
      <c r="I6755" s="14"/>
      <c r="P6755" s="14"/>
    </row>
    <row r="6756" ht="18.75" customHeight="1">
      <c r="A6756" s="14"/>
      <c r="B6756" s="12"/>
      <c r="C6756" s="12"/>
      <c r="D6756" s="12"/>
      <c r="E6756" s="12"/>
      <c r="F6756" s="14"/>
      <c r="G6756" s="15"/>
      <c r="H6756" s="15"/>
      <c r="I6756" s="14"/>
      <c r="P6756" s="14"/>
    </row>
    <row r="6757" ht="18.75" customHeight="1">
      <c r="A6757" s="14"/>
      <c r="B6757" s="12"/>
      <c r="C6757" s="12"/>
      <c r="D6757" s="12"/>
      <c r="E6757" s="12"/>
      <c r="F6757" s="14"/>
      <c r="G6757" s="15"/>
      <c r="H6757" s="15"/>
      <c r="I6757" s="14"/>
      <c r="P6757" s="14"/>
    </row>
    <row r="6758" ht="18.75" customHeight="1">
      <c r="A6758" s="14"/>
      <c r="B6758" s="12"/>
      <c r="C6758" s="12"/>
      <c r="D6758" s="12"/>
      <c r="E6758" s="12"/>
      <c r="F6758" s="14"/>
      <c r="G6758" s="15"/>
      <c r="H6758" s="15"/>
      <c r="I6758" s="14"/>
      <c r="P6758" s="14"/>
    </row>
    <row r="6759" ht="18.75" customHeight="1">
      <c r="A6759" s="14"/>
      <c r="B6759" s="12"/>
      <c r="C6759" s="12"/>
      <c r="D6759" s="12"/>
      <c r="E6759" s="12"/>
      <c r="F6759" s="14"/>
      <c r="G6759" s="15"/>
      <c r="H6759" s="15"/>
      <c r="I6759" s="14"/>
      <c r="P6759" s="14"/>
    </row>
    <row r="6760" ht="18.75" customHeight="1">
      <c r="A6760" s="14"/>
      <c r="B6760" s="12"/>
      <c r="C6760" s="12"/>
      <c r="D6760" s="12"/>
      <c r="E6760" s="12"/>
      <c r="F6760" s="14"/>
      <c r="G6760" s="15"/>
      <c r="H6760" s="15"/>
      <c r="I6760" s="14"/>
      <c r="P6760" s="14"/>
    </row>
    <row r="6761" ht="18.75" customHeight="1">
      <c r="A6761" s="14"/>
      <c r="B6761" s="12"/>
      <c r="C6761" s="12"/>
      <c r="D6761" s="12"/>
      <c r="E6761" s="12"/>
      <c r="F6761" s="14"/>
      <c r="G6761" s="15"/>
      <c r="H6761" s="15"/>
      <c r="I6761" s="14"/>
      <c r="P6761" s="14"/>
    </row>
    <row r="6762" ht="18.75" customHeight="1">
      <c r="A6762" s="14"/>
      <c r="B6762" s="12"/>
      <c r="C6762" s="12"/>
      <c r="D6762" s="12"/>
      <c r="E6762" s="12"/>
      <c r="F6762" s="14"/>
      <c r="G6762" s="15"/>
      <c r="H6762" s="15"/>
      <c r="I6762" s="14"/>
      <c r="P6762" s="14"/>
    </row>
    <row r="6763" ht="18.75" customHeight="1">
      <c r="A6763" s="14"/>
      <c r="B6763" s="12"/>
      <c r="C6763" s="12"/>
      <c r="D6763" s="12"/>
      <c r="E6763" s="12"/>
      <c r="F6763" s="14"/>
      <c r="G6763" s="15"/>
      <c r="H6763" s="15"/>
      <c r="I6763" s="14"/>
      <c r="P6763" s="14"/>
    </row>
    <row r="6764" ht="18.75" customHeight="1">
      <c r="A6764" s="14"/>
      <c r="B6764" s="12"/>
      <c r="C6764" s="12"/>
      <c r="D6764" s="12"/>
      <c r="E6764" s="12"/>
      <c r="F6764" s="14"/>
      <c r="G6764" s="15"/>
      <c r="H6764" s="15"/>
      <c r="I6764" s="14"/>
      <c r="P6764" s="14"/>
    </row>
    <row r="6765" ht="18.75" customHeight="1">
      <c r="A6765" s="14"/>
      <c r="B6765" s="12"/>
      <c r="C6765" s="12"/>
      <c r="D6765" s="12"/>
      <c r="E6765" s="12"/>
      <c r="F6765" s="14"/>
      <c r="G6765" s="15"/>
      <c r="H6765" s="15"/>
      <c r="I6765" s="14"/>
      <c r="P6765" s="14"/>
    </row>
    <row r="6766" ht="18.75" customHeight="1">
      <c r="A6766" s="14"/>
      <c r="B6766" s="12"/>
      <c r="C6766" s="12"/>
      <c r="D6766" s="12"/>
      <c r="E6766" s="12"/>
      <c r="F6766" s="14"/>
      <c r="G6766" s="15"/>
      <c r="H6766" s="15"/>
      <c r="I6766" s="14"/>
      <c r="P6766" s="14"/>
    </row>
    <row r="6767" ht="18.75" customHeight="1">
      <c r="A6767" s="14"/>
      <c r="B6767" s="12"/>
      <c r="C6767" s="12"/>
      <c r="D6767" s="12"/>
      <c r="E6767" s="12"/>
      <c r="F6767" s="14"/>
      <c r="G6767" s="15"/>
      <c r="H6767" s="15"/>
      <c r="I6767" s="14"/>
      <c r="P6767" s="14"/>
    </row>
    <row r="6768" ht="18.75" customHeight="1">
      <c r="A6768" s="14"/>
      <c r="B6768" s="12"/>
      <c r="C6768" s="12"/>
      <c r="D6768" s="12"/>
      <c r="E6768" s="12"/>
      <c r="F6768" s="14"/>
      <c r="G6768" s="15"/>
      <c r="H6768" s="15"/>
      <c r="I6768" s="14"/>
      <c r="P6768" s="14"/>
    </row>
    <row r="6769" ht="18.75" customHeight="1">
      <c r="A6769" s="14"/>
      <c r="B6769" s="12"/>
      <c r="C6769" s="12"/>
      <c r="D6769" s="12"/>
      <c r="E6769" s="12"/>
      <c r="F6769" s="14"/>
      <c r="G6769" s="15"/>
      <c r="H6769" s="15"/>
      <c r="I6769" s="14"/>
      <c r="P6769" s="14"/>
    </row>
    <row r="6770" ht="18.75" customHeight="1">
      <c r="A6770" s="14"/>
      <c r="B6770" s="12"/>
      <c r="C6770" s="12"/>
      <c r="D6770" s="12"/>
      <c r="E6770" s="12"/>
      <c r="F6770" s="14"/>
      <c r="G6770" s="15"/>
      <c r="H6770" s="15"/>
      <c r="I6770" s="14"/>
      <c r="P6770" s="14"/>
    </row>
    <row r="6771" ht="18.75" customHeight="1">
      <c r="A6771" s="14"/>
      <c r="B6771" s="12"/>
      <c r="C6771" s="12"/>
      <c r="D6771" s="12"/>
      <c r="E6771" s="12"/>
      <c r="F6771" s="14"/>
      <c r="G6771" s="15"/>
      <c r="H6771" s="15"/>
      <c r="I6771" s="14"/>
      <c r="P6771" s="14"/>
    </row>
    <row r="6772" ht="18.75" customHeight="1">
      <c r="A6772" s="14"/>
      <c r="B6772" s="12"/>
      <c r="C6772" s="12"/>
      <c r="D6772" s="12"/>
      <c r="E6772" s="12"/>
      <c r="F6772" s="14"/>
      <c r="G6772" s="15"/>
      <c r="H6772" s="15"/>
      <c r="I6772" s="14"/>
      <c r="P6772" s="14"/>
    </row>
    <row r="6773" ht="18.75" customHeight="1">
      <c r="A6773" s="14"/>
      <c r="B6773" s="12"/>
      <c r="C6773" s="12"/>
      <c r="D6773" s="12"/>
      <c r="E6773" s="12"/>
      <c r="F6773" s="14"/>
      <c r="G6773" s="15"/>
      <c r="H6773" s="15"/>
      <c r="I6773" s="14"/>
      <c r="P6773" s="14"/>
    </row>
    <row r="6774" ht="18.75" customHeight="1">
      <c r="A6774" s="14"/>
      <c r="B6774" s="12"/>
      <c r="C6774" s="12"/>
      <c r="D6774" s="12"/>
      <c r="E6774" s="12"/>
      <c r="F6774" s="14"/>
      <c r="G6774" s="15"/>
      <c r="H6774" s="15"/>
      <c r="I6774" s="14"/>
      <c r="P6774" s="14"/>
    </row>
    <row r="6775" ht="18.75" customHeight="1">
      <c r="A6775" s="14"/>
      <c r="B6775" s="12"/>
      <c r="C6775" s="12"/>
      <c r="D6775" s="12"/>
      <c r="E6775" s="12"/>
      <c r="F6775" s="14"/>
      <c r="G6775" s="15"/>
      <c r="H6775" s="15"/>
      <c r="I6775" s="14"/>
      <c r="P6775" s="14"/>
    </row>
    <row r="6776" ht="18.75" customHeight="1">
      <c r="A6776" s="14"/>
      <c r="B6776" s="12"/>
      <c r="C6776" s="12"/>
      <c r="D6776" s="12"/>
      <c r="E6776" s="12"/>
      <c r="F6776" s="14"/>
      <c r="G6776" s="15"/>
      <c r="H6776" s="15"/>
      <c r="I6776" s="14"/>
      <c r="P6776" s="14"/>
    </row>
    <row r="6777" ht="18.75" customHeight="1">
      <c r="A6777" s="14"/>
      <c r="B6777" s="12"/>
      <c r="C6777" s="12"/>
      <c r="D6777" s="12"/>
      <c r="E6777" s="12"/>
      <c r="F6777" s="14"/>
      <c r="G6777" s="15"/>
      <c r="H6777" s="15"/>
      <c r="I6777" s="14"/>
      <c r="P6777" s="14"/>
    </row>
    <row r="6778" ht="18.75" customHeight="1">
      <c r="A6778" s="14"/>
      <c r="B6778" s="12"/>
      <c r="C6778" s="12"/>
      <c r="D6778" s="12"/>
      <c r="E6778" s="12"/>
      <c r="F6778" s="14"/>
      <c r="G6778" s="15"/>
      <c r="H6778" s="15"/>
      <c r="I6778" s="14"/>
      <c r="P6778" s="14"/>
    </row>
    <row r="6779" ht="18.75" customHeight="1">
      <c r="A6779" s="14"/>
      <c r="B6779" s="12"/>
      <c r="C6779" s="12"/>
      <c r="D6779" s="12"/>
      <c r="E6779" s="12"/>
      <c r="F6779" s="14"/>
      <c r="G6779" s="15"/>
      <c r="H6779" s="15"/>
      <c r="I6779" s="14"/>
      <c r="P6779" s="14"/>
    </row>
    <row r="6780" ht="18.75" customHeight="1">
      <c r="A6780" s="14"/>
      <c r="B6780" s="12"/>
      <c r="C6780" s="12"/>
      <c r="D6780" s="12"/>
      <c r="E6780" s="12"/>
      <c r="F6780" s="14"/>
      <c r="G6780" s="15"/>
      <c r="H6780" s="15"/>
      <c r="I6780" s="14"/>
      <c r="P6780" s="14"/>
    </row>
    <row r="6781" ht="18.75" customHeight="1">
      <c r="A6781" s="14"/>
      <c r="B6781" s="12"/>
      <c r="C6781" s="12"/>
      <c r="D6781" s="12"/>
      <c r="E6781" s="12"/>
      <c r="F6781" s="14"/>
      <c r="G6781" s="15"/>
      <c r="H6781" s="15"/>
      <c r="I6781" s="14"/>
      <c r="P6781" s="14"/>
    </row>
    <row r="6782" ht="18.75" customHeight="1">
      <c r="A6782" s="14"/>
      <c r="B6782" s="12"/>
      <c r="C6782" s="12"/>
      <c r="D6782" s="12"/>
      <c r="E6782" s="12"/>
      <c r="F6782" s="14"/>
      <c r="G6782" s="15"/>
      <c r="H6782" s="15"/>
      <c r="I6782" s="14"/>
      <c r="P6782" s="14"/>
    </row>
    <row r="6783" ht="18.75" customHeight="1">
      <c r="A6783" s="14"/>
      <c r="B6783" s="12"/>
      <c r="C6783" s="12"/>
      <c r="D6783" s="12"/>
      <c r="E6783" s="12"/>
      <c r="F6783" s="14"/>
      <c r="G6783" s="15"/>
      <c r="H6783" s="15"/>
      <c r="I6783" s="14"/>
      <c r="P6783" s="14"/>
    </row>
    <row r="6784" ht="18.75" customHeight="1">
      <c r="A6784" s="14"/>
      <c r="B6784" s="12"/>
      <c r="C6784" s="12"/>
      <c r="D6784" s="12"/>
      <c r="E6784" s="12"/>
      <c r="F6784" s="14"/>
      <c r="G6784" s="15"/>
      <c r="H6784" s="15"/>
      <c r="I6784" s="14"/>
      <c r="P6784" s="14"/>
    </row>
    <row r="6785" ht="18.75" customHeight="1">
      <c r="A6785" s="14"/>
      <c r="B6785" s="12"/>
      <c r="C6785" s="12"/>
      <c r="D6785" s="12"/>
      <c r="E6785" s="12"/>
      <c r="F6785" s="14"/>
      <c r="G6785" s="15"/>
      <c r="H6785" s="15"/>
      <c r="I6785" s="14"/>
      <c r="P6785" s="14"/>
    </row>
    <row r="6786" ht="18.75" customHeight="1">
      <c r="A6786" s="14"/>
      <c r="B6786" s="12"/>
      <c r="C6786" s="12"/>
      <c r="D6786" s="12"/>
      <c r="E6786" s="12"/>
      <c r="F6786" s="14"/>
      <c r="G6786" s="15"/>
      <c r="H6786" s="15"/>
      <c r="I6786" s="14"/>
      <c r="P6786" s="14"/>
    </row>
    <row r="6787" ht="18.75" customHeight="1">
      <c r="A6787" s="14"/>
      <c r="B6787" s="12"/>
      <c r="C6787" s="12"/>
      <c r="D6787" s="12"/>
      <c r="E6787" s="12"/>
      <c r="F6787" s="14"/>
      <c r="G6787" s="15"/>
      <c r="H6787" s="15"/>
      <c r="I6787" s="14"/>
      <c r="P6787" s="14"/>
    </row>
    <row r="6788" ht="18.75" customHeight="1">
      <c r="A6788" s="14"/>
      <c r="B6788" s="12"/>
      <c r="C6788" s="12"/>
      <c r="D6788" s="12"/>
      <c r="E6788" s="12"/>
      <c r="F6788" s="14"/>
      <c r="G6788" s="15"/>
      <c r="H6788" s="15"/>
      <c r="I6788" s="14"/>
      <c r="P6788" s="14"/>
    </row>
    <row r="6789" ht="18.75" customHeight="1">
      <c r="A6789" s="14"/>
      <c r="B6789" s="12"/>
      <c r="C6789" s="12"/>
      <c r="D6789" s="12"/>
      <c r="E6789" s="12"/>
      <c r="F6789" s="14"/>
      <c r="G6789" s="15"/>
      <c r="H6789" s="15"/>
      <c r="I6789" s="14"/>
      <c r="P6789" s="14"/>
    </row>
    <row r="6790" ht="18.75" customHeight="1">
      <c r="A6790" s="14"/>
      <c r="B6790" s="12"/>
      <c r="C6790" s="12"/>
      <c r="D6790" s="12"/>
      <c r="E6790" s="12"/>
      <c r="F6790" s="14"/>
      <c r="G6790" s="15"/>
      <c r="H6790" s="15"/>
      <c r="I6790" s="14"/>
      <c r="P6790" s="14"/>
    </row>
    <row r="6791" ht="18.75" customHeight="1">
      <c r="A6791" s="14"/>
      <c r="B6791" s="12"/>
      <c r="C6791" s="12"/>
      <c r="D6791" s="12"/>
      <c r="E6791" s="12"/>
      <c r="F6791" s="14"/>
      <c r="G6791" s="15"/>
      <c r="H6791" s="15"/>
      <c r="I6791" s="14"/>
      <c r="P6791" s="14"/>
    </row>
    <row r="6792" ht="18.75" customHeight="1">
      <c r="A6792" s="14"/>
      <c r="B6792" s="12"/>
      <c r="C6792" s="12"/>
      <c r="D6792" s="12"/>
      <c r="E6792" s="12"/>
      <c r="F6792" s="14"/>
      <c r="G6792" s="15"/>
      <c r="H6792" s="15"/>
      <c r="I6792" s="14"/>
      <c r="P6792" s="14"/>
    </row>
    <row r="6793" ht="18.75" customHeight="1">
      <c r="A6793" s="14"/>
      <c r="B6793" s="12"/>
      <c r="C6793" s="12"/>
      <c r="D6793" s="12"/>
      <c r="E6793" s="12"/>
      <c r="F6793" s="14"/>
      <c r="G6793" s="15"/>
      <c r="H6793" s="15"/>
      <c r="I6793" s="14"/>
      <c r="P6793" s="14"/>
    </row>
    <row r="6794" ht="18.75" customHeight="1">
      <c r="A6794" s="14"/>
      <c r="B6794" s="12"/>
      <c r="C6794" s="12"/>
      <c r="D6794" s="12"/>
      <c r="E6794" s="12"/>
      <c r="F6794" s="14"/>
      <c r="G6794" s="15"/>
      <c r="H6794" s="15"/>
      <c r="I6794" s="14"/>
      <c r="P6794" s="14"/>
    </row>
    <row r="6795" ht="18.75" customHeight="1">
      <c r="A6795" s="14"/>
      <c r="B6795" s="12"/>
      <c r="C6795" s="12"/>
      <c r="D6795" s="12"/>
      <c r="E6795" s="12"/>
      <c r="F6795" s="14"/>
      <c r="G6795" s="15"/>
      <c r="H6795" s="15"/>
      <c r="I6795" s="14"/>
      <c r="P6795" s="14"/>
    </row>
    <row r="6796" ht="18.75" customHeight="1">
      <c r="A6796" s="14"/>
      <c r="B6796" s="12"/>
      <c r="C6796" s="12"/>
      <c r="D6796" s="12"/>
      <c r="E6796" s="12"/>
      <c r="F6796" s="14"/>
      <c r="G6796" s="15"/>
      <c r="H6796" s="15"/>
      <c r="I6796" s="14"/>
      <c r="P6796" s="14"/>
    </row>
    <row r="6797" ht="18.75" customHeight="1">
      <c r="A6797" s="14"/>
      <c r="B6797" s="12"/>
      <c r="C6797" s="12"/>
      <c r="D6797" s="12"/>
      <c r="E6797" s="12"/>
      <c r="F6797" s="14"/>
      <c r="G6797" s="15"/>
      <c r="H6797" s="15"/>
      <c r="I6797" s="14"/>
      <c r="P6797" s="14"/>
    </row>
    <row r="6798" ht="18.75" customHeight="1">
      <c r="A6798" s="14"/>
      <c r="B6798" s="12"/>
      <c r="C6798" s="12"/>
      <c r="D6798" s="12"/>
      <c r="E6798" s="12"/>
      <c r="F6798" s="14"/>
      <c r="G6798" s="15"/>
      <c r="H6798" s="15"/>
      <c r="I6798" s="14"/>
      <c r="P6798" s="14"/>
    </row>
    <row r="6799" ht="18.75" customHeight="1">
      <c r="A6799" s="14"/>
      <c r="B6799" s="12"/>
      <c r="C6799" s="12"/>
      <c r="D6799" s="12"/>
      <c r="E6799" s="12"/>
      <c r="F6799" s="14"/>
      <c r="G6799" s="15"/>
      <c r="H6799" s="15"/>
      <c r="I6799" s="14"/>
      <c r="P6799" s="14"/>
    </row>
    <row r="6800" ht="18.75" customHeight="1">
      <c r="A6800" s="14"/>
      <c r="B6800" s="12"/>
      <c r="C6800" s="12"/>
      <c r="D6800" s="12"/>
      <c r="E6800" s="12"/>
      <c r="F6800" s="14"/>
      <c r="G6800" s="15"/>
      <c r="H6800" s="15"/>
      <c r="I6800" s="14"/>
      <c r="P6800" s="14"/>
    </row>
    <row r="6801" ht="18.75" customHeight="1">
      <c r="A6801" s="14"/>
      <c r="B6801" s="12"/>
      <c r="C6801" s="12"/>
      <c r="D6801" s="12"/>
      <c r="E6801" s="12"/>
      <c r="F6801" s="14"/>
      <c r="G6801" s="15"/>
      <c r="H6801" s="15"/>
      <c r="I6801" s="14"/>
      <c r="P6801" s="14"/>
    </row>
    <row r="6802" ht="18.75" customHeight="1">
      <c r="A6802" s="14"/>
      <c r="B6802" s="12"/>
      <c r="C6802" s="12"/>
      <c r="D6802" s="12"/>
      <c r="E6802" s="12"/>
      <c r="F6802" s="14"/>
      <c r="G6802" s="15"/>
      <c r="H6802" s="15"/>
      <c r="I6802" s="14"/>
      <c r="P6802" s="14"/>
    </row>
    <row r="6803" ht="18.75" customHeight="1">
      <c r="A6803" s="14"/>
      <c r="B6803" s="12"/>
      <c r="C6803" s="12"/>
      <c r="D6803" s="12"/>
      <c r="E6803" s="12"/>
      <c r="F6803" s="14"/>
      <c r="G6803" s="15"/>
      <c r="H6803" s="15"/>
      <c r="I6803" s="14"/>
      <c r="P6803" s="14"/>
    </row>
    <row r="6804" ht="18.75" customHeight="1">
      <c r="A6804" s="14"/>
      <c r="B6804" s="12"/>
      <c r="C6804" s="12"/>
      <c r="D6804" s="12"/>
      <c r="E6804" s="12"/>
      <c r="F6804" s="14"/>
      <c r="G6804" s="15"/>
      <c r="H6804" s="15"/>
      <c r="I6804" s="14"/>
      <c r="P6804" s="14"/>
    </row>
    <row r="6805" ht="18.75" customHeight="1">
      <c r="A6805" s="14"/>
      <c r="B6805" s="12"/>
      <c r="C6805" s="12"/>
      <c r="D6805" s="12"/>
      <c r="E6805" s="12"/>
      <c r="F6805" s="14"/>
      <c r="G6805" s="15"/>
      <c r="H6805" s="15"/>
      <c r="I6805" s="14"/>
      <c r="P6805" s="14"/>
    </row>
    <row r="6806" ht="18.75" customHeight="1">
      <c r="A6806" s="14"/>
      <c r="B6806" s="12"/>
      <c r="C6806" s="12"/>
      <c r="D6806" s="12"/>
      <c r="E6806" s="12"/>
      <c r="F6806" s="14"/>
      <c r="G6806" s="15"/>
      <c r="H6806" s="15"/>
      <c r="I6806" s="14"/>
      <c r="P6806" s="14"/>
    </row>
    <row r="6807" ht="18.75" customHeight="1">
      <c r="A6807" s="14"/>
      <c r="B6807" s="12"/>
      <c r="C6807" s="12"/>
      <c r="D6807" s="12"/>
      <c r="E6807" s="12"/>
      <c r="F6807" s="14"/>
      <c r="G6807" s="15"/>
      <c r="H6807" s="15"/>
      <c r="I6807" s="14"/>
      <c r="P6807" s="14"/>
    </row>
    <row r="6808" ht="18.75" customHeight="1">
      <c r="A6808" s="14"/>
      <c r="B6808" s="12"/>
      <c r="C6808" s="12"/>
      <c r="D6808" s="12"/>
      <c r="E6808" s="12"/>
      <c r="F6808" s="14"/>
      <c r="G6808" s="15"/>
      <c r="H6808" s="15"/>
      <c r="I6808" s="14"/>
      <c r="P6808" s="14"/>
    </row>
    <row r="6809" ht="18.75" customHeight="1">
      <c r="A6809" s="14"/>
      <c r="B6809" s="12"/>
      <c r="C6809" s="12"/>
      <c r="D6809" s="12"/>
      <c r="E6809" s="12"/>
      <c r="F6809" s="14"/>
      <c r="G6809" s="15"/>
      <c r="H6809" s="15"/>
      <c r="I6809" s="14"/>
      <c r="P6809" s="14"/>
    </row>
    <row r="6810" ht="18.75" customHeight="1">
      <c r="A6810" s="14"/>
      <c r="B6810" s="12"/>
      <c r="C6810" s="12"/>
      <c r="D6810" s="12"/>
      <c r="E6810" s="12"/>
      <c r="F6810" s="14"/>
      <c r="G6810" s="15"/>
      <c r="H6810" s="15"/>
      <c r="I6810" s="14"/>
      <c r="P6810" s="14"/>
    </row>
    <row r="6811" ht="18.75" customHeight="1">
      <c r="A6811" s="14"/>
      <c r="B6811" s="12"/>
      <c r="C6811" s="12"/>
      <c r="D6811" s="12"/>
      <c r="E6811" s="12"/>
      <c r="F6811" s="14"/>
      <c r="G6811" s="15"/>
      <c r="H6811" s="15"/>
      <c r="I6811" s="14"/>
      <c r="P6811" s="14"/>
    </row>
    <row r="6812" ht="18.75" customHeight="1">
      <c r="A6812" s="14"/>
      <c r="B6812" s="12"/>
      <c r="C6812" s="12"/>
      <c r="D6812" s="12"/>
      <c r="E6812" s="12"/>
      <c r="F6812" s="14"/>
      <c r="G6812" s="15"/>
      <c r="H6812" s="15"/>
      <c r="I6812" s="14"/>
      <c r="P6812" s="14"/>
    </row>
    <row r="6813" ht="18.75" customHeight="1">
      <c r="A6813" s="14"/>
      <c r="B6813" s="12"/>
      <c r="C6813" s="12"/>
      <c r="D6813" s="12"/>
      <c r="E6813" s="12"/>
      <c r="F6813" s="14"/>
      <c r="G6813" s="15"/>
      <c r="H6813" s="15"/>
      <c r="I6813" s="14"/>
      <c r="P6813" s="14"/>
    </row>
    <row r="6814" ht="18.75" customHeight="1">
      <c r="A6814" s="14"/>
      <c r="B6814" s="12"/>
      <c r="C6814" s="12"/>
      <c r="D6814" s="12"/>
      <c r="E6814" s="12"/>
      <c r="F6814" s="14"/>
      <c r="G6814" s="15"/>
      <c r="H6814" s="15"/>
      <c r="I6814" s="14"/>
      <c r="P6814" s="14"/>
    </row>
    <row r="6815" ht="18.75" customHeight="1">
      <c r="A6815" s="14"/>
      <c r="B6815" s="12"/>
      <c r="C6815" s="12"/>
      <c r="D6815" s="12"/>
      <c r="E6815" s="12"/>
      <c r="F6815" s="14"/>
      <c r="G6815" s="15"/>
      <c r="H6815" s="15"/>
      <c r="I6815" s="14"/>
      <c r="P6815" s="14"/>
    </row>
    <row r="6816" ht="18.75" customHeight="1">
      <c r="A6816" s="14"/>
      <c r="B6816" s="12"/>
      <c r="C6816" s="12"/>
      <c r="D6816" s="12"/>
      <c r="E6816" s="12"/>
      <c r="F6816" s="14"/>
      <c r="G6816" s="15"/>
      <c r="H6816" s="15"/>
      <c r="I6816" s="14"/>
      <c r="P6816" s="14"/>
    </row>
    <row r="6817" ht="18.75" customHeight="1">
      <c r="A6817" s="14"/>
      <c r="B6817" s="12"/>
      <c r="C6817" s="12"/>
      <c r="D6817" s="12"/>
      <c r="E6817" s="12"/>
      <c r="F6817" s="14"/>
      <c r="G6817" s="15"/>
      <c r="H6817" s="15"/>
      <c r="I6817" s="14"/>
      <c r="P6817" s="14"/>
    </row>
    <row r="6818" ht="18.75" customHeight="1">
      <c r="A6818" s="14"/>
      <c r="B6818" s="12"/>
      <c r="C6818" s="12"/>
      <c r="D6818" s="12"/>
      <c r="E6818" s="12"/>
      <c r="F6818" s="14"/>
      <c r="G6818" s="15"/>
      <c r="H6818" s="15"/>
      <c r="I6818" s="14"/>
      <c r="P6818" s="14"/>
    </row>
    <row r="6819" ht="18.75" customHeight="1">
      <c r="A6819" s="14"/>
      <c r="B6819" s="12"/>
      <c r="C6819" s="12"/>
      <c r="D6819" s="12"/>
      <c r="E6819" s="12"/>
      <c r="F6819" s="14"/>
      <c r="G6819" s="15"/>
      <c r="H6819" s="15"/>
      <c r="I6819" s="14"/>
      <c r="P6819" s="14"/>
    </row>
    <row r="6820" ht="18.75" customHeight="1">
      <c r="A6820" s="14"/>
      <c r="B6820" s="12"/>
      <c r="C6820" s="12"/>
      <c r="D6820" s="12"/>
      <c r="E6820" s="12"/>
      <c r="F6820" s="14"/>
      <c r="G6820" s="15"/>
      <c r="H6820" s="15"/>
      <c r="I6820" s="14"/>
      <c r="P6820" s="14"/>
    </row>
    <row r="6821" ht="18.75" customHeight="1">
      <c r="A6821" s="14"/>
      <c r="B6821" s="12"/>
      <c r="C6821" s="12"/>
      <c r="D6821" s="12"/>
      <c r="E6821" s="12"/>
      <c r="F6821" s="14"/>
      <c r="G6821" s="15"/>
      <c r="H6821" s="15"/>
      <c r="I6821" s="14"/>
      <c r="P6821" s="14"/>
    </row>
    <row r="6822" ht="18.75" customHeight="1">
      <c r="A6822" s="14"/>
      <c r="B6822" s="12"/>
      <c r="C6822" s="12"/>
      <c r="D6822" s="12"/>
      <c r="E6822" s="12"/>
      <c r="F6822" s="14"/>
      <c r="G6822" s="15"/>
      <c r="H6822" s="15"/>
      <c r="I6822" s="14"/>
      <c r="P6822" s="14"/>
    </row>
    <row r="6823" ht="18.75" customHeight="1">
      <c r="A6823" s="14"/>
      <c r="B6823" s="12"/>
      <c r="C6823" s="12"/>
      <c r="D6823" s="12"/>
      <c r="E6823" s="12"/>
      <c r="F6823" s="14"/>
      <c r="G6823" s="15"/>
      <c r="H6823" s="15"/>
      <c r="I6823" s="14"/>
      <c r="P6823" s="14"/>
    </row>
    <row r="6824" ht="18.75" customHeight="1">
      <c r="A6824" s="14"/>
      <c r="B6824" s="12"/>
      <c r="C6824" s="12"/>
      <c r="D6824" s="12"/>
      <c r="E6824" s="12"/>
      <c r="F6824" s="14"/>
      <c r="G6824" s="15"/>
      <c r="H6824" s="15"/>
      <c r="I6824" s="14"/>
      <c r="P6824" s="14"/>
    </row>
    <row r="6825" ht="18.75" customHeight="1">
      <c r="A6825" s="14"/>
      <c r="B6825" s="12"/>
      <c r="C6825" s="12"/>
      <c r="D6825" s="12"/>
      <c r="E6825" s="12"/>
      <c r="F6825" s="14"/>
      <c r="G6825" s="15"/>
      <c r="H6825" s="15"/>
      <c r="I6825" s="14"/>
      <c r="P6825" s="14"/>
    </row>
    <row r="6826" ht="18.75" customHeight="1">
      <c r="A6826" s="14"/>
      <c r="B6826" s="12"/>
      <c r="C6826" s="12"/>
      <c r="D6826" s="12"/>
      <c r="E6826" s="12"/>
      <c r="F6826" s="14"/>
      <c r="G6826" s="15"/>
      <c r="H6826" s="15"/>
      <c r="I6826" s="14"/>
      <c r="P6826" s="14"/>
    </row>
    <row r="6827" ht="18.75" customHeight="1">
      <c r="A6827" s="14"/>
      <c r="B6827" s="12"/>
      <c r="C6827" s="12"/>
      <c r="D6827" s="12"/>
      <c r="E6827" s="12"/>
      <c r="F6827" s="14"/>
      <c r="G6827" s="15"/>
      <c r="H6827" s="15"/>
      <c r="I6827" s="14"/>
      <c r="P6827" s="14"/>
    </row>
    <row r="6828" ht="18.75" customHeight="1">
      <c r="A6828" s="14"/>
      <c r="B6828" s="12"/>
      <c r="C6828" s="12"/>
      <c r="D6828" s="12"/>
      <c r="E6828" s="12"/>
      <c r="F6828" s="14"/>
      <c r="G6828" s="15"/>
      <c r="H6828" s="15"/>
      <c r="I6828" s="14"/>
      <c r="P6828" s="14"/>
    </row>
    <row r="6829" ht="18.75" customHeight="1">
      <c r="A6829" s="14"/>
      <c r="B6829" s="12"/>
      <c r="C6829" s="12"/>
      <c r="D6829" s="12"/>
      <c r="E6829" s="12"/>
      <c r="F6829" s="14"/>
      <c r="G6829" s="15"/>
      <c r="H6829" s="15"/>
      <c r="I6829" s="14"/>
      <c r="P6829" s="14"/>
    </row>
    <row r="6830" ht="18.75" customHeight="1">
      <c r="A6830" s="14"/>
      <c r="B6830" s="12"/>
      <c r="C6830" s="12"/>
      <c r="D6830" s="12"/>
      <c r="E6830" s="12"/>
      <c r="F6830" s="14"/>
      <c r="G6830" s="15"/>
      <c r="H6830" s="15"/>
      <c r="I6830" s="14"/>
      <c r="P6830" s="14"/>
    </row>
    <row r="6831" ht="18.75" customHeight="1">
      <c r="A6831" s="14"/>
      <c r="B6831" s="12"/>
      <c r="C6831" s="12"/>
      <c r="D6831" s="12"/>
      <c r="E6831" s="12"/>
      <c r="F6831" s="14"/>
      <c r="G6831" s="15"/>
      <c r="H6831" s="15"/>
      <c r="I6831" s="14"/>
      <c r="P6831" s="14"/>
    </row>
    <row r="6832" ht="18.75" customHeight="1">
      <c r="A6832" s="14"/>
      <c r="B6832" s="12"/>
      <c r="C6832" s="12"/>
      <c r="D6832" s="12"/>
      <c r="E6832" s="12"/>
      <c r="F6832" s="14"/>
      <c r="G6832" s="15"/>
      <c r="H6832" s="15"/>
      <c r="I6832" s="14"/>
      <c r="P6832" s="14"/>
    </row>
    <row r="6833" ht="18.75" customHeight="1">
      <c r="A6833" s="14"/>
      <c r="B6833" s="12"/>
      <c r="C6833" s="12"/>
      <c r="D6833" s="12"/>
      <c r="E6833" s="12"/>
      <c r="F6833" s="14"/>
      <c r="G6833" s="15"/>
      <c r="H6833" s="15"/>
      <c r="I6833" s="14"/>
      <c r="P6833" s="14"/>
    </row>
    <row r="6834" ht="18.75" customHeight="1">
      <c r="A6834" s="14"/>
      <c r="B6834" s="12"/>
      <c r="C6834" s="12"/>
      <c r="D6834" s="12"/>
      <c r="E6834" s="12"/>
      <c r="F6834" s="14"/>
      <c r="G6834" s="15"/>
      <c r="H6834" s="15"/>
      <c r="I6834" s="14"/>
      <c r="P6834" s="14"/>
    </row>
    <row r="6835" ht="18.75" customHeight="1">
      <c r="A6835" s="14"/>
      <c r="B6835" s="12"/>
      <c r="C6835" s="12"/>
      <c r="D6835" s="12"/>
      <c r="E6835" s="12"/>
      <c r="F6835" s="14"/>
      <c r="G6835" s="15"/>
      <c r="H6835" s="15"/>
      <c r="I6835" s="14"/>
      <c r="P6835" s="14"/>
    </row>
    <row r="6836" ht="18.75" customHeight="1">
      <c r="A6836" s="14"/>
      <c r="B6836" s="12"/>
      <c r="C6836" s="12"/>
      <c r="D6836" s="12"/>
      <c r="E6836" s="12"/>
      <c r="F6836" s="14"/>
      <c r="G6836" s="15"/>
      <c r="H6836" s="15"/>
      <c r="I6836" s="14"/>
      <c r="P6836" s="14"/>
    </row>
    <row r="6837" ht="18.75" customHeight="1">
      <c r="A6837" s="14"/>
      <c r="B6837" s="12"/>
      <c r="C6837" s="12"/>
      <c r="D6837" s="12"/>
      <c r="E6837" s="12"/>
      <c r="F6837" s="14"/>
      <c r="G6837" s="15"/>
      <c r="H6837" s="15"/>
      <c r="I6837" s="14"/>
      <c r="P6837" s="14"/>
    </row>
    <row r="6838" ht="18.75" customHeight="1">
      <c r="A6838" s="14"/>
      <c r="B6838" s="12"/>
      <c r="C6838" s="12"/>
      <c r="D6838" s="12"/>
      <c r="E6838" s="12"/>
      <c r="F6838" s="14"/>
      <c r="G6838" s="15"/>
      <c r="H6838" s="15"/>
      <c r="I6838" s="14"/>
      <c r="P6838" s="14"/>
    </row>
    <row r="6839" ht="18.75" customHeight="1">
      <c r="A6839" s="14"/>
      <c r="B6839" s="12"/>
      <c r="C6839" s="12"/>
      <c r="D6839" s="12"/>
      <c r="E6839" s="12"/>
      <c r="F6839" s="14"/>
      <c r="G6839" s="15"/>
      <c r="H6839" s="15"/>
      <c r="I6839" s="14"/>
      <c r="P6839" s="14"/>
    </row>
    <row r="6840" ht="18.75" customHeight="1">
      <c r="A6840" s="14"/>
      <c r="B6840" s="12"/>
      <c r="C6840" s="12"/>
      <c r="D6840" s="12"/>
      <c r="E6840" s="12"/>
      <c r="F6840" s="14"/>
      <c r="G6840" s="15"/>
      <c r="H6840" s="15"/>
      <c r="I6840" s="14"/>
      <c r="P6840" s="14"/>
    </row>
    <row r="6841" ht="18.75" customHeight="1">
      <c r="A6841" s="14"/>
      <c r="B6841" s="12"/>
      <c r="C6841" s="12"/>
      <c r="D6841" s="12"/>
      <c r="E6841" s="12"/>
      <c r="F6841" s="14"/>
      <c r="G6841" s="15"/>
      <c r="H6841" s="15"/>
      <c r="I6841" s="14"/>
      <c r="P6841" s="14"/>
    </row>
    <row r="6842" ht="18.75" customHeight="1">
      <c r="A6842" s="14"/>
      <c r="B6842" s="12"/>
      <c r="C6842" s="12"/>
      <c r="D6842" s="12"/>
      <c r="E6842" s="12"/>
      <c r="F6842" s="14"/>
      <c r="G6842" s="15"/>
      <c r="H6842" s="15"/>
      <c r="I6842" s="14"/>
      <c r="P6842" s="14"/>
    </row>
    <row r="6843" ht="18.75" customHeight="1">
      <c r="A6843" s="14"/>
      <c r="B6843" s="12"/>
      <c r="C6843" s="12"/>
      <c r="D6843" s="12"/>
      <c r="E6843" s="12"/>
      <c r="F6843" s="14"/>
      <c r="G6843" s="15"/>
      <c r="H6843" s="15"/>
      <c r="I6843" s="14"/>
      <c r="P6843" s="14"/>
    </row>
    <row r="6844" ht="18.75" customHeight="1">
      <c r="A6844" s="14"/>
      <c r="B6844" s="12"/>
      <c r="C6844" s="12"/>
      <c r="D6844" s="12"/>
      <c r="E6844" s="12"/>
      <c r="F6844" s="14"/>
      <c r="G6844" s="15"/>
      <c r="H6844" s="15"/>
      <c r="I6844" s="14"/>
      <c r="P6844" s="14"/>
    </row>
    <row r="6845" ht="18.75" customHeight="1">
      <c r="A6845" s="14"/>
      <c r="B6845" s="12"/>
      <c r="C6845" s="12"/>
      <c r="D6845" s="12"/>
      <c r="E6845" s="12"/>
      <c r="F6845" s="14"/>
      <c r="G6845" s="15"/>
      <c r="H6845" s="15"/>
      <c r="I6845" s="14"/>
      <c r="P6845" s="14"/>
    </row>
    <row r="6846" ht="18.75" customHeight="1">
      <c r="A6846" s="14"/>
      <c r="B6846" s="12"/>
      <c r="C6846" s="12"/>
      <c r="D6846" s="12"/>
      <c r="E6846" s="12"/>
      <c r="F6846" s="14"/>
      <c r="G6846" s="15"/>
      <c r="H6846" s="15"/>
      <c r="I6846" s="14"/>
      <c r="P6846" s="14"/>
    </row>
    <row r="6847" ht="18.75" customHeight="1">
      <c r="A6847" s="14"/>
      <c r="B6847" s="12"/>
      <c r="C6847" s="12"/>
      <c r="D6847" s="12"/>
      <c r="E6847" s="12"/>
      <c r="F6847" s="14"/>
      <c r="G6847" s="15"/>
      <c r="H6847" s="15"/>
      <c r="I6847" s="14"/>
      <c r="P6847" s="14"/>
    </row>
    <row r="6848" ht="18.75" customHeight="1">
      <c r="A6848" s="14"/>
      <c r="B6848" s="12"/>
      <c r="C6848" s="12"/>
      <c r="D6848" s="12"/>
      <c r="E6848" s="12"/>
      <c r="F6848" s="14"/>
      <c r="G6848" s="15"/>
      <c r="H6848" s="15"/>
      <c r="I6848" s="14"/>
      <c r="P6848" s="14"/>
    </row>
    <row r="6849" ht="18.75" customHeight="1">
      <c r="A6849" s="14"/>
      <c r="B6849" s="12"/>
      <c r="C6849" s="12"/>
      <c r="D6849" s="12"/>
      <c r="E6849" s="12"/>
      <c r="F6849" s="14"/>
      <c r="G6849" s="15"/>
      <c r="H6849" s="15"/>
      <c r="I6849" s="14"/>
      <c r="P6849" s="14"/>
    </row>
    <row r="6850" ht="18.75" customHeight="1">
      <c r="A6850" s="14"/>
      <c r="B6850" s="12"/>
      <c r="C6850" s="12"/>
      <c r="D6850" s="12"/>
      <c r="E6850" s="12"/>
      <c r="F6850" s="14"/>
      <c r="G6850" s="15"/>
      <c r="H6850" s="15"/>
      <c r="I6850" s="14"/>
      <c r="P6850" s="14"/>
    </row>
    <row r="6851" ht="18.75" customHeight="1">
      <c r="A6851" s="14"/>
      <c r="B6851" s="12"/>
      <c r="C6851" s="12"/>
      <c r="D6851" s="12"/>
      <c r="E6851" s="12"/>
      <c r="F6851" s="14"/>
      <c r="G6851" s="15"/>
      <c r="H6851" s="15"/>
      <c r="I6851" s="14"/>
      <c r="P6851" s="14"/>
    </row>
    <row r="6852" ht="18.75" customHeight="1">
      <c r="A6852" s="14"/>
      <c r="B6852" s="12"/>
      <c r="C6852" s="12"/>
      <c r="D6852" s="12"/>
      <c r="E6852" s="12"/>
      <c r="F6852" s="14"/>
      <c r="G6852" s="15"/>
      <c r="H6852" s="15"/>
      <c r="I6852" s="14"/>
      <c r="P6852" s="14"/>
    </row>
    <row r="6853" ht="18.75" customHeight="1">
      <c r="A6853" s="14"/>
      <c r="B6853" s="12"/>
      <c r="C6853" s="12"/>
      <c r="D6853" s="12"/>
      <c r="E6853" s="12"/>
      <c r="F6853" s="14"/>
      <c r="G6853" s="15"/>
      <c r="H6853" s="15"/>
      <c r="I6853" s="14"/>
      <c r="P6853" s="14"/>
    </row>
    <row r="6854" ht="18.75" customHeight="1">
      <c r="A6854" s="14"/>
      <c r="B6854" s="12"/>
      <c r="C6854" s="12"/>
      <c r="D6854" s="12"/>
      <c r="E6854" s="12"/>
      <c r="F6854" s="14"/>
      <c r="G6854" s="15"/>
      <c r="H6854" s="15"/>
      <c r="I6854" s="14"/>
      <c r="P6854" s="14"/>
    </row>
    <row r="6855" ht="18.75" customHeight="1">
      <c r="A6855" s="14"/>
      <c r="B6855" s="12"/>
      <c r="C6855" s="12"/>
      <c r="D6855" s="12"/>
      <c r="E6855" s="12"/>
      <c r="F6855" s="14"/>
      <c r="G6855" s="15"/>
      <c r="H6855" s="15"/>
      <c r="I6855" s="14"/>
      <c r="P6855" s="14"/>
    </row>
    <row r="6856" ht="18.75" customHeight="1">
      <c r="A6856" s="14"/>
      <c r="B6856" s="12"/>
      <c r="C6856" s="12"/>
      <c r="D6856" s="12"/>
      <c r="E6856" s="12"/>
      <c r="F6856" s="14"/>
      <c r="G6856" s="15"/>
      <c r="H6856" s="15"/>
      <c r="I6856" s="14"/>
      <c r="P6856" s="14"/>
    </row>
    <row r="6857" ht="18.75" customHeight="1">
      <c r="A6857" s="14"/>
      <c r="B6857" s="12"/>
      <c r="C6857" s="12"/>
      <c r="D6857" s="12"/>
      <c r="E6857" s="12"/>
      <c r="F6857" s="14"/>
      <c r="G6857" s="15"/>
      <c r="H6857" s="15"/>
      <c r="I6857" s="14"/>
      <c r="P6857" s="14"/>
    </row>
    <row r="6858" ht="18.75" customHeight="1">
      <c r="A6858" s="14"/>
      <c r="B6858" s="12"/>
      <c r="C6858" s="12"/>
      <c r="D6858" s="12"/>
      <c r="E6858" s="12"/>
      <c r="F6858" s="14"/>
      <c r="G6858" s="15"/>
      <c r="H6858" s="15"/>
      <c r="I6858" s="14"/>
      <c r="P6858" s="14"/>
    </row>
    <row r="6859" ht="18.75" customHeight="1">
      <c r="A6859" s="14"/>
      <c r="B6859" s="12"/>
      <c r="C6859" s="12"/>
      <c r="D6859" s="12"/>
      <c r="E6859" s="12"/>
      <c r="F6859" s="14"/>
      <c r="G6859" s="15"/>
      <c r="H6859" s="15"/>
      <c r="I6859" s="14"/>
      <c r="P6859" s="14"/>
    </row>
    <row r="6860" ht="18.75" customHeight="1">
      <c r="A6860" s="14"/>
      <c r="B6860" s="12"/>
      <c r="C6860" s="12"/>
      <c r="D6860" s="12"/>
      <c r="E6860" s="12"/>
      <c r="F6860" s="14"/>
      <c r="G6860" s="15"/>
      <c r="H6860" s="15"/>
      <c r="I6860" s="14"/>
      <c r="P6860" s="14"/>
    </row>
    <row r="6861" ht="18.75" customHeight="1">
      <c r="A6861" s="14"/>
      <c r="B6861" s="12"/>
      <c r="C6861" s="12"/>
      <c r="D6861" s="12"/>
      <c r="E6861" s="12"/>
      <c r="F6861" s="14"/>
      <c r="G6861" s="15"/>
      <c r="H6861" s="15"/>
      <c r="I6861" s="14"/>
      <c r="P6861" s="14"/>
    </row>
    <row r="6862" ht="18.75" customHeight="1">
      <c r="A6862" s="14"/>
      <c r="B6862" s="12"/>
      <c r="C6862" s="12"/>
      <c r="D6862" s="12"/>
      <c r="E6862" s="12"/>
      <c r="F6862" s="14"/>
      <c r="G6862" s="15"/>
      <c r="H6862" s="15"/>
      <c r="I6862" s="14"/>
      <c r="P6862" s="14"/>
    </row>
    <row r="6863" ht="18.75" customHeight="1">
      <c r="A6863" s="14"/>
      <c r="B6863" s="12"/>
      <c r="C6863" s="12"/>
      <c r="D6863" s="12"/>
      <c r="E6863" s="12"/>
      <c r="F6863" s="14"/>
      <c r="G6863" s="15"/>
      <c r="H6863" s="15"/>
      <c r="I6863" s="14"/>
      <c r="P6863" s="14"/>
    </row>
    <row r="6864" ht="18.75" customHeight="1">
      <c r="A6864" s="14"/>
      <c r="B6864" s="12"/>
      <c r="C6864" s="12"/>
      <c r="D6864" s="12"/>
      <c r="E6864" s="12"/>
      <c r="F6864" s="14"/>
      <c r="G6864" s="15"/>
      <c r="H6864" s="15"/>
      <c r="I6864" s="14"/>
      <c r="P6864" s="14"/>
    </row>
    <row r="6865" ht="18.75" customHeight="1">
      <c r="A6865" s="14"/>
      <c r="B6865" s="12"/>
      <c r="C6865" s="12"/>
      <c r="D6865" s="12"/>
      <c r="E6865" s="12"/>
      <c r="F6865" s="14"/>
      <c r="G6865" s="15"/>
      <c r="H6865" s="15"/>
      <c r="I6865" s="14"/>
      <c r="P6865" s="14"/>
    </row>
    <row r="6866" ht="18.75" customHeight="1">
      <c r="A6866" s="14"/>
      <c r="B6866" s="12"/>
      <c r="C6866" s="12"/>
      <c r="D6866" s="12"/>
      <c r="E6866" s="12"/>
      <c r="F6866" s="14"/>
      <c r="G6866" s="15"/>
      <c r="H6866" s="15"/>
      <c r="I6866" s="14"/>
      <c r="P6866" s="14"/>
    </row>
    <row r="6867" ht="18.75" customHeight="1">
      <c r="A6867" s="14"/>
      <c r="B6867" s="12"/>
      <c r="C6867" s="12"/>
      <c r="D6867" s="12"/>
      <c r="E6867" s="12"/>
      <c r="F6867" s="14"/>
      <c r="G6867" s="15"/>
      <c r="H6867" s="15"/>
      <c r="I6867" s="14"/>
      <c r="P6867" s="14"/>
    </row>
    <row r="6868" ht="18.75" customHeight="1">
      <c r="A6868" s="14"/>
      <c r="B6868" s="12"/>
      <c r="C6868" s="12"/>
      <c r="D6868" s="12"/>
      <c r="E6868" s="12"/>
      <c r="F6868" s="14"/>
      <c r="G6868" s="15"/>
      <c r="H6868" s="15"/>
      <c r="I6868" s="14"/>
      <c r="P6868" s="14"/>
    </row>
    <row r="6869" ht="18.75" customHeight="1">
      <c r="A6869" s="14"/>
      <c r="B6869" s="12"/>
      <c r="C6869" s="12"/>
      <c r="D6869" s="12"/>
      <c r="E6869" s="12"/>
      <c r="F6869" s="14"/>
      <c r="G6869" s="15"/>
      <c r="H6869" s="15"/>
      <c r="I6869" s="14"/>
      <c r="P6869" s="14"/>
    </row>
    <row r="6870" ht="18.75" customHeight="1">
      <c r="A6870" s="14"/>
      <c r="B6870" s="12"/>
      <c r="C6870" s="12"/>
      <c r="D6870" s="12"/>
      <c r="E6870" s="12"/>
      <c r="F6870" s="14"/>
      <c r="G6870" s="15"/>
      <c r="H6870" s="15"/>
      <c r="I6870" s="14"/>
      <c r="P6870" s="14"/>
    </row>
    <row r="6871" ht="18.75" customHeight="1">
      <c r="A6871" s="14"/>
      <c r="B6871" s="12"/>
      <c r="C6871" s="12"/>
      <c r="D6871" s="12"/>
      <c r="E6871" s="12"/>
      <c r="F6871" s="14"/>
      <c r="G6871" s="15"/>
      <c r="H6871" s="15"/>
      <c r="I6871" s="14"/>
      <c r="P6871" s="14"/>
    </row>
    <row r="6872" ht="18.75" customHeight="1">
      <c r="A6872" s="14"/>
      <c r="B6872" s="12"/>
      <c r="C6872" s="12"/>
      <c r="D6872" s="12"/>
      <c r="E6872" s="12"/>
      <c r="F6872" s="14"/>
      <c r="G6872" s="15"/>
      <c r="H6872" s="15"/>
      <c r="I6872" s="14"/>
      <c r="P6872" s="14"/>
    </row>
    <row r="6873" ht="18.75" customHeight="1">
      <c r="A6873" s="14"/>
      <c r="B6873" s="12"/>
      <c r="C6873" s="12"/>
      <c r="D6873" s="12"/>
      <c r="E6873" s="12"/>
      <c r="F6873" s="14"/>
      <c r="G6873" s="15"/>
      <c r="H6873" s="15"/>
      <c r="I6873" s="14"/>
      <c r="P6873" s="14"/>
    </row>
    <row r="6874" ht="18.75" customHeight="1">
      <c r="A6874" s="14"/>
      <c r="B6874" s="12"/>
      <c r="C6874" s="12"/>
      <c r="D6874" s="12"/>
      <c r="E6874" s="12"/>
      <c r="F6874" s="14"/>
      <c r="G6874" s="15"/>
      <c r="H6874" s="15"/>
      <c r="I6874" s="14"/>
      <c r="P6874" s="14"/>
    </row>
    <row r="6875" ht="18.75" customHeight="1">
      <c r="A6875" s="14"/>
      <c r="B6875" s="12"/>
      <c r="C6875" s="12"/>
      <c r="D6875" s="12"/>
      <c r="E6875" s="12"/>
      <c r="F6875" s="14"/>
      <c r="G6875" s="15"/>
      <c r="H6875" s="15"/>
      <c r="I6875" s="14"/>
      <c r="P6875" s="14"/>
    </row>
    <row r="6876" ht="18.75" customHeight="1">
      <c r="A6876" s="14"/>
      <c r="B6876" s="12"/>
      <c r="C6876" s="12"/>
      <c r="D6876" s="12"/>
      <c r="E6876" s="12"/>
      <c r="F6876" s="14"/>
      <c r="G6876" s="15"/>
      <c r="H6876" s="15"/>
      <c r="I6876" s="14"/>
      <c r="P6876" s="14"/>
    </row>
    <row r="6877" ht="18.75" customHeight="1">
      <c r="A6877" s="14"/>
      <c r="B6877" s="12"/>
      <c r="C6877" s="12"/>
      <c r="D6877" s="12"/>
      <c r="E6877" s="12"/>
      <c r="F6877" s="14"/>
      <c r="G6877" s="15"/>
      <c r="H6877" s="15"/>
      <c r="I6877" s="14"/>
      <c r="P6877" s="14"/>
    </row>
    <row r="6878" ht="18.75" customHeight="1">
      <c r="A6878" s="14"/>
      <c r="B6878" s="12"/>
      <c r="C6878" s="12"/>
      <c r="D6878" s="12"/>
      <c r="E6878" s="12"/>
      <c r="F6878" s="14"/>
      <c r="G6878" s="15"/>
      <c r="H6878" s="15"/>
      <c r="I6878" s="14"/>
      <c r="P6878" s="14"/>
    </row>
    <row r="6879" ht="18.75" customHeight="1">
      <c r="A6879" s="14"/>
      <c r="B6879" s="12"/>
      <c r="C6879" s="12"/>
      <c r="D6879" s="12"/>
      <c r="E6879" s="12"/>
      <c r="F6879" s="14"/>
      <c r="G6879" s="15"/>
      <c r="H6879" s="15"/>
      <c r="I6879" s="14"/>
      <c r="P6879" s="14"/>
    </row>
    <row r="6880" ht="18.75" customHeight="1">
      <c r="A6880" s="14"/>
      <c r="B6880" s="12"/>
      <c r="C6880" s="12"/>
      <c r="D6880" s="12"/>
      <c r="E6880" s="12"/>
      <c r="F6880" s="14"/>
      <c r="G6880" s="15"/>
      <c r="H6880" s="15"/>
      <c r="I6880" s="14"/>
      <c r="P6880" s="14"/>
    </row>
    <row r="6881" ht="18.75" customHeight="1">
      <c r="A6881" s="14"/>
      <c r="B6881" s="12"/>
      <c r="C6881" s="12"/>
      <c r="D6881" s="12"/>
      <c r="E6881" s="12"/>
      <c r="F6881" s="14"/>
      <c r="G6881" s="15"/>
      <c r="H6881" s="15"/>
      <c r="I6881" s="14"/>
      <c r="P6881" s="14"/>
    </row>
    <row r="6882" ht="18.75" customHeight="1">
      <c r="A6882" s="14"/>
      <c r="B6882" s="12"/>
      <c r="C6882" s="12"/>
      <c r="D6882" s="12"/>
      <c r="E6882" s="12"/>
      <c r="F6882" s="14"/>
      <c r="G6882" s="15"/>
      <c r="H6882" s="15"/>
      <c r="I6882" s="14"/>
      <c r="P6882" s="14"/>
    </row>
    <row r="6883" ht="18.75" customHeight="1">
      <c r="A6883" s="14"/>
      <c r="B6883" s="12"/>
      <c r="C6883" s="12"/>
      <c r="D6883" s="12"/>
      <c r="E6883" s="12"/>
      <c r="F6883" s="14"/>
      <c r="G6883" s="15"/>
      <c r="H6883" s="15"/>
      <c r="I6883" s="14"/>
      <c r="P6883" s="14"/>
    </row>
    <row r="6884" ht="18.75" customHeight="1">
      <c r="A6884" s="14"/>
      <c r="B6884" s="12"/>
      <c r="C6884" s="12"/>
      <c r="D6884" s="12"/>
      <c r="E6884" s="12"/>
      <c r="F6884" s="14"/>
      <c r="G6884" s="15"/>
      <c r="H6884" s="15"/>
      <c r="I6884" s="14"/>
      <c r="P6884" s="14"/>
    </row>
    <row r="6885" ht="18.75" customHeight="1">
      <c r="A6885" s="14"/>
      <c r="B6885" s="12"/>
      <c r="C6885" s="12"/>
      <c r="D6885" s="12"/>
      <c r="E6885" s="12"/>
      <c r="F6885" s="14"/>
      <c r="G6885" s="15"/>
      <c r="H6885" s="15"/>
      <c r="I6885" s="14"/>
      <c r="P6885" s="14"/>
    </row>
    <row r="6886" ht="18.75" customHeight="1">
      <c r="A6886" s="14"/>
      <c r="B6886" s="12"/>
      <c r="C6886" s="12"/>
      <c r="D6886" s="12"/>
      <c r="E6886" s="12"/>
      <c r="F6886" s="14"/>
      <c r="G6886" s="15"/>
      <c r="H6886" s="15"/>
      <c r="I6886" s="14"/>
      <c r="P6886" s="14"/>
    </row>
    <row r="6887" ht="18.75" customHeight="1">
      <c r="A6887" s="14"/>
      <c r="B6887" s="12"/>
      <c r="C6887" s="12"/>
      <c r="D6887" s="12"/>
      <c r="E6887" s="12"/>
      <c r="F6887" s="14"/>
      <c r="G6887" s="15"/>
      <c r="H6887" s="15"/>
      <c r="I6887" s="14"/>
      <c r="P6887" s="14"/>
    </row>
    <row r="6888" ht="18.75" customHeight="1">
      <c r="A6888" s="14"/>
      <c r="B6888" s="12"/>
      <c r="C6888" s="12"/>
      <c r="D6888" s="12"/>
      <c r="E6888" s="12"/>
      <c r="F6888" s="14"/>
      <c r="G6888" s="15"/>
      <c r="H6888" s="15"/>
      <c r="I6888" s="14"/>
      <c r="P6888" s="14"/>
    </row>
    <row r="6889" ht="18.75" customHeight="1">
      <c r="A6889" s="14"/>
      <c r="B6889" s="12"/>
      <c r="C6889" s="12"/>
      <c r="D6889" s="12"/>
      <c r="E6889" s="12"/>
      <c r="F6889" s="14"/>
      <c r="G6889" s="15"/>
      <c r="H6889" s="15"/>
      <c r="I6889" s="14"/>
      <c r="P6889" s="14"/>
    </row>
    <row r="6890" ht="18.75" customHeight="1">
      <c r="A6890" s="14"/>
      <c r="B6890" s="12"/>
      <c r="C6890" s="12"/>
      <c r="D6890" s="12"/>
      <c r="E6890" s="12"/>
      <c r="F6890" s="14"/>
      <c r="G6890" s="15"/>
      <c r="H6890" s="15"/>
      <c r="I6890" s="14"/>
      <c r="P6890" s="14"/>
    </row>
    <row r="6891" ht="18.75" customHeight="1">
      <c r="A6891" s="14"/>
      <c r="B6891" s="12"/>
      <c r="C6891" s="12"/>
      <c r="D6891" s="12"/>
      <c r="E6891" s="12"/>
      <c r="F6891" s="14"/>
      <c r="G6891" s="15"/>
      <c r="H6891" s="15"/>
      <c r="I6891" s="14"/>
      <c r="P6891" s="14"/>
    </row>
    <row r="6892" ht="18.75" customHeight="1">
      <c r="A6892" s="14"/>
      <c r="B6892" s="12"/>
      <c r="C6892" s="12"/>
      <c r="D6892" s="12"/>
      <c r="E6892" s="12"/>
      <c r="F6892" s="14"/>
      <c r="G6892" s="15"/>
      <c r="H6892" s="15"/>
      <c r="I6892" s="14"/>
      <c r="P6892" s="14"/>
    </row>
    <row r="6893" ht="18.75" customHeight="1">
      <c r="A6893" s="14"/>
      <c r="B6893" s="12"/>
      <c r="C6893" s="12"/>
      <c r="D6893" s="12"/>
      <c r="E6893" s="12"/>
      <c r="F6893" s="14"/>
      <c r="G6893" s="15"/>
      <c r="H6893" s="15"/>
      <c r="I6893" s="14"/>
      <c r="P6893" s="14"/>
    </row>
    <row r="6894" ht="18.75" customHeight="1">
      <c r="A6894" s="14"/>
      <c r="B6894" s="12"/>
      <c r="C6894" s="12"/>
      <c r="D6894" s="12"/>
      <c r="E6894" s="12"/>
      <c r="F6894" s="14"/>
      <c r="G6894" s="15"/>
      <c r="H6894" s="15"/>
      <c r="I6894" s="14"/>
      <c r="P6894" s="14"/>
    </row>
    <row r="6895" ht="18.75" customHeight="1">
      <c r="A6895" s="14"/>
      <c r="B6895" s="12"/>
      <c r="C6895" s="12"/>
      <c r="D6895" s="12"/>
      <c r="E6895" s="12"/>
      <c r="F6895" s="14"/>
      <c r="G6895" s="15"/>
      <c r="H6895" s="15"/>
      <c r="I6895" s="14"/>
      <c r="P6895" s="14"/>
    </row>
    <row r="6896" ht="18.75" customHeight="1">
      <c r="A6896" s="14"/>
      <c r="B6896" s="12"/>
      <c r="C6896" s="12"/>
      <c r="D6896" s="12"/>
      <c r="E6896" s="12"/>
      <c r="F6896" s="14"/>
      <c r="G6896" s="15"/>
      <c r="H6896" s="15"/>
      <c r="I6896" s="14"/>
      <c r="P6896" s="14"/>
    </row>
    <row r="6897" ht="18.75" customHeight="1">
      <c r="A6897" s="14"/>
      <c r="B6897" s="12"/>
      <c r="C6897" s="12"/>
      <c r="D6897" s="12"/>
      <c r="E6897" s="12"/>
      <c r="F6897" s="14"/>
      <c r="G6897" s="15"/>
      <c r="H6897" s="15"/>
      <c r="I6897" s="14"/>
      <c r="P6897" s="14"/>
    </row>
    <row r="6898" ht="18.75" customHeight="1">
      <c r="A6898" s="14"/>
      <c r="B6898" s="12"/>
      <c r="C6898" s="12"/>
      <c r="D6898" s="12"/>
      <c r="E6898" s="12"/>
      <c r="F6898" s="14"/>
      <c r="G6898" s="15"/>
      <c r="H6898" s="15"/>
      <c r="I6898" s="14"/>
      <c r="P6898" s="14"/>
    </row>
    <row r="6899" ht="18.75" customHeight="1">
      <c r="A6899" s="14"/>
      <c r="B6899" s="12"/>
      <c r="C6899" s="12"/>
      <c r="D6899" s="12"/>
      <c r="E6899" s="12"/>
      <c r="F6899" s="14"/>
      <c r="G6899" s="15"/>
      <c r="H6899" s="15"/>
      <c r="I6899" s="14"/>
      <c r="P6899" s="14"/>
    </row>
    <row r="6900" ht="18.75" customHeight="1">
      <c r="A6900" s="14"/>
      <c r="B6900" s="12"/>
      <c r="C6900" s="12"/>
      <c r="D6900" s="12"/>
      <c r="E6900" s="12"/>
      <c r="F6900" s="14"/>
      <c r="G6900" s="15"/>
      <c r="H6900" s="15"/>
      <c r="I6900" s="14"/>
      <c r="P6900" s="14"/>
    </row>
    <row r="6901" ht="18.75" customHeight="1">
      <c r="A6901" s="14"/>
      <c r="B6901" s="12"/>
      <c r="C6901" s="12"/>
      <c r="D6901" s="12"/>
      <c r="E6901" s="12"/>
      <c r="F6901" s="14"/>
      <c r="G6901" s="15"/>
      <c r="H6901" s="15"/>
      <c r="I6901" s="14"/>
      <c r="P6901" s="14"/>
    </row>
    <row r="6902" ht="18.75" customHeight="1">
      <c r="A6902" s="14"/>
      <c r="B6902" s="12"/>
      <c r="C6902" s="12"/>
      <c r="D6902" s="12"/>
      <c r="E6902" s="12"/>
      <c r="F6902" s="14"/>
      <c r="G6902" s="15"/>
      <c r="H6902" s="15"/>
      <c r="I6902" s="14"/>
      <c r="P6902" s="14"/>
    </row>
    <row r="6903" ht="18.75" customHeight="1">
      <c r="A6903" s="14"/>
      <c r="B6903" s="12"/>
      <c r="C6903" s="12"/>
      <c r="D6903" s="12"/>
      <c r="E6903" s="12"/>
      <c r="F6903" s="14"/>
      <c r="G6903" s="15"/>
      <c r="H6903" s="15"/>
      <c r="I6903" s="14"/>
      <c r="P6903" s="14"/>
    </row>
    <row r="6904" ht="18.75" customHeight="1">
      <c r="A6904" s="14"/>
      <c r="B6904" s="12"/>
      <c r="C6904" s="12"/>
      <c r="D6904" s="12"/>
      <c r="E6904" s="12"/>
      <c r="F6904" s="14"/>
      <c r="G6904" s="15"/>
      <c r="H6904" s="15"/>
      <c r="I6904" s="14"/>
      <c r="P6904" s="14"/>
    </row>
    <row r="6905" ht="18.75" customHeight="1">
      <c r="A6905" s="14"/>
      <c r="B6905" s="12"/>
      <c r="C6905" s="12"/>
      <c r="D6905" s="12"/>
      <c r="E6905" s="12"/>
      <c r="F6905" s="14"/>
      <c r="G6905" s="15"/>
      <c r="H6905" s="15"/>
      <c r="I6905" s="14"/>
      <c r="P6905" s="14"/>
    </row>
    <row r="6906" ht="18.75" customHeight="1">
      <c r="A6906" s="14"/>
      <c r="B6906" s="12"/>
      <c r="C6906" s="12"/>
      <c r="D6906" s="12"/>
      <c r="E6906" s="12"/>
      <c r="F6906" s="14"/>
      <c r="G6906" s="15"/>
      <c r="H6906" s="15"/>
      <c r="I6906" s="14"/>
      <c r="P6906" s="14"/>
    </row>
    <row r="6907" ht="18.75" customHeight="1">
      <c r="A6907" s="14"/>
      <c r="B6907" s="12"/>
      <c r="C6907" s="12"/>
      <c r="D6907" s="12"/>
      <c r="E6907" s="12"/>
      <c r="F6907" s="14"/>
      <c r="G6907" s="15"/>
      <c r="H6907" s="15"/>
      <c r="I6907" s="14"/>
      <c r="P6907" s="14"/>
    </row>
    <row r="6908" ht="18.75" customHeight="1">
      <c r="A6908" s="14"/>
      <c r="B6908" s="12"/>
      <c r="C6908" s="12"/>
      <c r="D6908" s="12"/>
      <c r="E6908" s="12"/>
      <c r="F6908" s="14"/>
      <c r="G6908" s="15"/>
      <c r="H6908" s="15"/>
      <c r="I6908" s="14"/>
      <c r="P6908" s="14"/>
    </row>
    <row r="6909" ht="18.75" customHeight="1">
      <c r="A6909" s="14"/>
      <c r="B6909" s="12"/>
      <c r="C6909" s="12"/>
      <c r="D6909" s="12"/>
      <c r="E6909" s="12"/>
      <c r="F6909" s="14"/>
      <c r="G6909" s="15"/>
      <c r="H6909" s="15"/>
      <c r="I6909" s="14"/>
      <c r="P6909" s="14"/>
    </row>
    <row r="6910" ht="18.75" customHeight="1">
      <c r="A6910" s="14"/>
      <c r="B6910" s="12"/>
      <c r="C6910" s="12"/>
      <c r="D6910" s="12"/>
      <c r="E6910" s="12"/>
      <c r="F6910" s="14"/>
      <c r="G6910" s="15"/>
      <c r="H6910" s="15"/>
      <c r="I6910" s="14"/>
      <c r="P6910" s="14"/>
    </row>
    <row r="6911" ht="18.75" customHeight="1">
      <c r="A6911" s="14"/>
      <c r="B6911" s="12"/>
      <c r="C6911" s="12"/>
      <c r="D6911" s="12"/>
      <c r="E6911" s="12"/>
      <c r="F6911" s="14"/>
      <c r="G6911" s="15"/>
      <c r="H6911" s="15"/>
      <c r="I6911" s="14"/>
      <c r="P6911" s="14"/>
    </row>
    <row r="6912" ht="18.75" customHeight="1">
      <c r="A6912" s="14"/>
      <c r="B6912" s="12"/>
      <c r="C6912" s="12"/>
      <c r="D6912" s="12"/>
      <c r="E6912" s="12"/>
      <c r="F6912" s="14"/>
      <c r="G6912" s="15"/>
      <c r="H6912" s="15"/>
      <c r="I6912" s="14"/>
      <c r="P6912" s="14"/>
    </row>
    <row r="6913" ht="18.75" customHeight="1">
      <c r="A6913" s="14"/>
      <c r="B6913" s="12"/>
      <c r="C6913" s="12"/>
      <c r="D6913" s="12"/>
      <c r="E6913" s="12"/>
      <c r="F6913" s="14"/>
      <c r="G6913" s="15"/>
      <c r="H6913" s="15"/>
      <c r="I6913" s="14"/>
      <c r="P6913" s="14"/>
    </row>
    <row r="6914" ht="18.75" customHeight="1">
      <c r="A6914" s="14"/>
      <c r="B6914" s="12"/>
      <c r="C6914" s="12"/>
      <c r="D6914" s="12"/>
      <c r="E6914" s="12"/>
      <c r="F6914" s="14"/>
      <c r="G6914" s="15"/>
      <c r="H6914" s="15"/>
      <c r="I6914" s="14"/>
      <c r="P6914" s="14"/>
    </row>
    <row r="6915" ht="18.75" customHeight="1">
      <c r="A6915" s="14"/>
      <c r="B6915" s="12"/>
      <c r="C6915" s="12"/>
      <c r="D6915" s="12"/>
      <c r="E6915" s="12"/>
      <c r="F6915" s="14"/>
      <c r="G6915" s="15"/>
      <c r="H6915" s="15"/>
      <c r="I6915" s="14"/>
      <c r="P6915" s="14"/>
    </row>
    <row r="6916" ht="18.75" customHeight="1">
      <c r="A6916" s="14"/>
      <c r="B6916" s="12"/>
      <c r="C6916" s="12"/>
      <c r="D6916" s="12"/>
      <c r="E6916" s="12"/>
      <c r="F6916" s="14"/>
      <c r="G6916" s="15"/>
      <c r="H6916" s="15"/>
      <c r="I6916" s="14"/>
      <c r="P6916" s="14"/>
    </row>
    <row r="6917" ht="18.75" customHeight="1">
      <c r="A6917" s="14"/>
      <c r="B6917" s="12"/>
      <c r="C6917" s="12"/>
      <c r="D6917" s="12"/>
      <c r="E6917" s="12"/>
      <c r="F6917" s="14"/>
      <c r="G6917" s="15"/>
      <c r="H6917" s="15"/>
      <c r="I6917" s="14"/>
      <c r="P6917" s="14"/>
    </row>
    <row r="6918" ht="18.75" customHeight="1">
      <c r="A6918" s="14"/>
      <c r="B6918" s="12"/>
      <c r="C6918" s="12"/>
      <c r="D6918" s="12"/>
      <c r="E6918" s="12"/>
      <c r="F6918" s="14"/>
      <c r="G6918" s="15"/>
      <c r="H6918" s="15"/>
      <c r="I6918" s="14"/>
      <c r="P6918" s="14"/>
    </row>
    <row r="6919" ht="18.75" customHeight="1">
      <c r="A6919" s="14"/>
      <c r="B6919" s="12"/>
      <c r="C6919" s="12"/>
      <c r="D6919" s="12"/>
      <c r="E6919" s="12"/>
      <c r="F6919" s="14"/>
      <c r="G6919" s="15"/>
      <c r="H6919" s="15"/>
      <c r="I6919" s="14"/>
      <c r="P6919" s="14"/>
    </row>
    <row r="6920" ht="18.75" customHeight="1">
      <c r="A6920" s="14"/>
      <c r="B6920" s="12"/>
      <c r="C6920" s="12"/>
      <c r="D6920" s="12"/>
      <c r="E6920" s="12"/>
      <c r="F6920" s="14"/>
      <c r="G6920" s="15"/>
      <c r="H6920" s="15"/>
      <c r="I6920" s="14"/>
      <c r="P6920" s="14"/>
    </row>
    <row r="6921" ht="18.75" customHeight="1">
      <c r="A6921" s="14"/>
      <c r="B6921" s="12"/>
      <c r="C6921" s="12"/>
      <c r="D6921" s="12"/>
      <c r="E6921" s="12"/>
      <c r="F6921" s="14"/>
      <c r="G6921" s="15"/>
      <c r="H6921" s="15"/>
      <c r="I6921" s="14"/>
      <c r="P6921" s="14"/>
    </row>
    <row r="6922" ht="18.75" customHeight="1">
      <c r="A6922" s="14"/>
      <c r="B6922" s="12"/>
      <c r="C6922" s="12"/>
      <c r="D6922" s="12"/>
      <c r="E6922" s="12"/>
      <c r="F6922" s="14"/>
      <c r="G6922" s="15"/>
      <c r="H6922" s="15"/>
      <c r="I6922" s="14"/>
      <c r="P6922" s="14"/>
    </row>
    <row r="6923" ht="18.75" customHeight="1">
      <c r="A6923" s="14"/>
      <c r="B6923" s="12"/>
      <c r="C6923" s="12"/>
      <c r="D6923" s="12"/>
      <c r="E6923" s="12"/>
      <c r="F6923" s="14"/>
      <c r="G6923" s="15"/>
      <c r="H6923" s="15"/>
      <c r="I6923" s="14"/>
      <c r="P6923" s="14"/>
    </row>
    <row r="6924" ht="18.75" customHeight="1">
      <c r="A6924" s="14"/>
      <c r="B6924" s="12"/>
      <c r="C6924" s="12"/>
      <c r="D6924" s="12"/>
      <c r="E6924" s="12"/>
      <c r="F6924" s="14"/>
      <c r="G6924" s="15"/>
      <c r="H6924" s="15"/>
      <c r="I6924" s="14"/>
      <c r="P6924" s="14"/>
    </row>
    <row r="6925" ht="18.75" customHeight="1">
      <c r="A6925" s="14"/>
      <c r="B6925" s="12"/>
      <c r="C6925" s="12"/>
      <c r="D6925" s="12"/>
      <c r="E6925" s="12"/>
      <c r="F6925" s="14"/>
      <c r="G6925" s="15"/>
      <c r="H6925" s="15"/>
      <c r="I6925" s="14"/>
      <c r="P6925" s="14"/>
    </row>
    <row r="6926" ht="18.75" customHeight="1">
      <c r="A6926" s="14"/>
      <c r="B6926" s="12"/>
      <c r="C6926" s="12"/>
      <c r="D6926" s="12"/>
      <c r="E6926" s="12"/>
      <c r="F6926" s="14"/>
      <c r="G6926" s="15"/>
      <c r="H6926" s="15"/>
      <c r="I6926" s="14"/>
      <c r="P6926" s="14"/>
    </row>
    <row r="6927" ht="18.75" customHeight="1">
      <c r="A6927" s="14"/>
      <c r="B6927" s="12"/>
      <c r="C6927" s="12"/>
      <c r="D6927" s="12"/>
      <c r="E6927" s="12"/>
      <c r="F6927" s="14"/>
      <c r="G6927" s="15"/>
      <c r="H6927" s="15"/>
      <c r="I6927" s="14"/>
      <c r="P6927" s="14"/>
    </row>
    <row r="6928" ht="18.75" customHeight="1">
      <c r="A6928" s="14"/>
      <c r="B6928" s="12"/>
      <c r="C6928" s="12"/>
      <c r="D6928" s="12"/>
      <c r="E6928" s="12"/>
      <c r="F6928" s="14"/>
      <c r="G6928" s="15"/>
      <c r="H6928" s="15"/>
      <c r="I6928" s="14"/>
      <c r="P6928" s="14"/>
    </row>
    <row r="6929" ht="18.75" customHeight="1">
      <c r="A6929" s="14"/>
      <c r="B6929" s="12"/>
      <c r="C6929" s="12"/>
      <c r="D6929" s="12"/>
      <c r="E6929" s="12"/>
      <c r="F6929" s="14"/>
      <c r="G6929" s="15"/>
      <c r="H6929" s="15"/>
      <c r="I6929" s="14"/>
      <c r="P6929" s="14"/>
    </row>
    <row r="6930" ht="18.75" customHeight="1">
      <c r="A6930" s="14"/>
      <c r="B6930" s="12"/>
      <c r="C6930" s="12"/>
      <c r="D6930" s="12"/>
      <c r="E6930" s="12"/>
      <c r="F6930" s="14"/>
      <c r="G6930" s="15"/>
      <c r="H6930" s="15"/>
      <c r="I6930" s="14"/>
      <c r="P6930" s="14"/>
    </row>
    <row r="6931" ht="18.75" customHeight="1">
      <c r="A6931" s="14"/>
      <c r="B6931" s="12"/>
      <c r="C6931" s="12"/>
      <c r="D6931" s="12"/>
      <c r="E6931" s="12"/>
      <c r="F6931" s="14"/>
      <c r="G6931" s="15"/>
      <c r="H6931" s="15"/>
      <c r="I6931" s="14"/>
      <c r="P6931" s="14"/>
    </row>
    <row r="6932" ht="18.75" customHeight="1">
      <c r="A6932" s="14"/>
      <c r="B6932" s="12"/>
      <c r="C6932" s="12"/>
      <c r="D6932" s="12"/>
      <c r="E6932" s="12"/>
      <c r="F6932" s="14"/>
      <c r="G6932" s="15"/>
      <c r="H6932" s="15"/>
      <c r="I6932" s="14"/>
      <c r="P6932" s="14"/>
    </row>
    <row r="6933" ht="18.75" customHeight="1">
      <c r="A6933" s="14"/>
      <c r="B6933" s="12"/>
      <c r="C6933" s="12"/>
      <c r="D6933" s="12"/>
      <c r="E6933" s="12"/>
      <c r="F6933" s="14"/>
      <c r="G6933" s="15"/>
      <c r="H6933" s="15"/>
      <c r="I6933" s="14"/>
      <c r="P6933" s="14"/>
    </row>
    <row r="6934" ht="18.75" customHeight="1">
      <c r="A6934" s="14"/>
      <c r="B6934" s="12"/>
      <c r="C6934" s="12"/>
      <c r="D6934" s="12"/>
      <c r="E6934" s="12"/>
      <c r="F6934" s="14"/>
      <c r="G6934" s="15"/>
      <c r="H6934" s="15"/>
      <c r="I6934" s="14"/>
      <c r="P6934" s="14"/>
    </row>
    <row r="6935" ht="18.75" customHeight="1">
      <c r="A6935" s="14"/>
      <c r="B6935" s="12"/>
      <c r="C6935" s="12"/>
      <c r="D6935" s="12"/>
      <c r="E6935" s="12"/>
      <c r="F6935" s="14"/>
      <c r="G6935" s="15"/>
      <c r="H6935" s="15"/>
      <c r="I6935" s="14"/>
      <c r="P6935" s="14"/>
    </row>
    <row r="6936" ht="18.75" customHeight="1">
      <c r="A6936" s="14"/>
      <c r="B6936" s="12"/>
      <c r="C6936" s="12"/>
      <c r="D6936" s="12"/>
      <c r="E6936" s="12"/>
      <c r="F6936" s="14"/>
      <c r="G6936" s="15"/>
      <c r="H6936" s="15"/>
      <c r="I6936" s="14"/>
      <c r="P6936" s="14"/>
    </row>
    <row r="6937" ht="18.75" customHeight="1">
      <c r="A6937" s="14"/>
      <c r="B6937" s="12"/>
      <c r="C6937" s="12"/>
      <c r="D6937" s="12"/>
      <c r="E6937" s="12"/>
      <c r="F6937" s="14"/>
      <c r="G6937" s="15"/>
      <c r="H6937" s="15"/>
      <c r="I6937" s="14"/>
      <c r="P6937" s="14"/>
    </row>
    <row r="6938" ht="18.75" customHeight="1">
      <c r="A6938" s="14"/>
      <c r="B6938" s="12"/>
      <c r="C6938" s="12"/>
      <c r="D6938" s="12"/>
      <c r="E6938" s="12"/>
      <c r="F6938" s="14"/>
      <c r="G6938" s="15"/>
      <c r="H6938" s="15"/>
      <c r="I6938" s="14"/>
      <c r="P6938" s="14"/>
    </row>
    <row r="6939" ht="18.75" customHeight="1">
      <c r="A6939" s="14"/>
      <c r="B6939" s="12"/>
      <c r="C6939" s="12"/>
      <c r="D6939" s="12"/>
      <c r="E6939" s="12"/>
      <c r="F6939" s="14"/>
      <c r="G6939" s="15"/>
      <c r="H6939" s="15"/>
      <c r="I6939" s="14"/>
      <c r="P6939" s="14"/>
    </row>
    <row r="6940" ht="18.75" customHeight="1">
      <c r="A6940" s="14"/>
      <c r="B6940" s="12"/>
      <c r="C6940" s="12"/>
      <c r="D6940" s="12"/>
      <c r="E6940" s="12"/>
      <c r="F6940" s="14"/>
      <c r="G6940" s="15"/>
      <c r="H6940" s="15"/>
      <c r="I6940" s="14"/>
      <c r="P6940" s="14"/>
    </row>
    <row r="6941" ht="18.75" customHeight="1">
      <c r="A6941" s="14"/>
      <c r="B6941" s="12"/>
      <c r="C6941" s="12"/>
      <c r="D6941" s="12"/>
      <c r="E6941" s="12"/>
      <c r="F6941" s="14"/>
      <c r="G6941" s="15"/>
      <c r="H6941" s="15"/>
      <c r="I6941" s="14"/>
      <c r="P6941" s="14"/>
    </row>
    <row r="6942" ht="18.75" customHeight="1">
      <c r="A6942" s="14"/>
      <c r="B6942" s="12"/>
      <c r="C6942" s="12"/>
      <c r="D6942" s="12"/>
      <c r="E6942" s="12"/>
      <c r="F6942" s="14"/>
      <c r="G6942" s="15"/>
      <c r="H6942" s="15"/>
      <c r="I6942" s="14"/>
      <c r="P6942" s="14"/>
    </row>
    <row r="6943" ht="18.75" customHeight="1">
      <c r="A6943" s="14"/>
      <c r="B6943" s="12"/>
      <c r="C6943" s="12"/>
      <c r="D6943" s="12"/>
      <c r="E6943" s="12"/>
      <c r="F6943" s="14"/>
      <c r="G6943" s="15"/>
      <c r="H6943" s="15"/>
      <c r="I6943" s="14"/>
      <c r="P6943" s="14"/>
    </row>
    <row r="6944" ht="18.75" customHeight="1">
      <c r="A6944" s="14"/>
      <c r="B6944" s="12"/>
      <c r="C6944" s="12"/>
      <c r="D6944" s="12"/>
      <c r="E6944" s="12"/>
      <c r="F6944" s="14"/>
      <c r="G6944" s="15"/>
      <c r="H6944" s="15"/>
      <c r="I6944" s="14"/>
      <c r="P6944" s="14"/>
    </row>
    <row r="6945" ht="18.75" customHeight="1">
      <c r="A6945" s="14"/>
      <c r="B6945" s="12"/>
      <c r="C6945" s="12"/>
      <c r="D6945" s="12"/>
      <c r="E6945" s="12"/>
      <c r="F6945" s="14"/>
      <c r="G6945" s="15"/>
      <c r="H6945" s="15"/>
      <c r="I6945" s="14"/>
      <c r="P6945" s="14"/>
    </row>
    <row r="6946" ht="18.75" customHeight="1">
      <c r="A6946" s="14"/>
      <c r="B6946" s="12"/>
      <c r="C6946" s="12"/>
      <c r="D6946" s="12"/>
      <c r="E6946" s="12"/>
      <c r="F6946" s="14"/>
      <c r="G6946" s="15"/>
      <c r="H6946" s="15"/>
      <c r="I6946" s="14"/>
      <c r="P6946" s="14"/>
    </row>
    <row r="6947" ht="18.75" customHeight="1">
      <c r="A6947" s="14"/>
      <c r="B6947" s="12"/>
      <c r="C6947" s="12"/>
      <c r="D6947" s="12"/>
      <c r="E6947" s="12"/>
      <c r="F6947" s="14"/>
      <c r="G6947" s="15"/>
      <c r="H6947" s="15"/>
      <c r="I6947" s="14"/>
      <c r="P6947" s="14"/>
    </row>
    <row r="6948" ht="18.75" customHeight="1">
      <c r="A6948" s="14"/>
      <c r="B6948" s="12"/>
      <c r="C6948" s="12"/>
      <c r="D6948" s="12"/>
      <c r="E6948" s="12"/>
      <c r="F6948" s="14"/>
      <c r="G6948" s="15"/>
      <c r="H6948" s="15"/>
      <c r="I6948" s="14"/>
      <c r="P6948" s="14"/>
    </row>
    <row r="6949" ht="18.75" customHeight="1">
      <c r="A6949" s="14"/>
      <c r="B6949" s="12"/>
      <c r="C6949" s="12"/>
      <c r="D6949" s="12"/>
      <c r="E6949" s="12"/>
      <c r="F6949" s="14"/>
      <c r="G6949" s="15"/>
      <c r="H6949" s="15"/>
      <c r="I6949" s="14"/>
      <c r="P6949" s="14"/>
    </row>
    <row r="6950" ht="18.75" customHeight="1">
      <c r="A6950" s="14"/>
      <c r="B6950" s="12"/>
      <c r="C6950" s="12"/>
      <c r="D6950" s="12"/>
      <c r="E6950" s="12"/>
      <c r="F6950" s="14"/>
      <c r="G6950" s="15"/>
      <c r="H6950" s="15"/>
      <c r="I6950" s="14"/>
      <c r="P6950" s="14"/>
    </row>
    <row r="6951" ht="18.75" customHeight="1">
      <c r="A6951" s="14"/>
      <c r="B6951" s="12"/>
      <c r="C6951" s="12"/>
      <c r="D6951" s="12"/>
      <c r="E6951" s="12"/>
      <c r="F6951" s="14"/>
      <c r="G6951" s="15"/>
      <c r="H6951" s="15"/>
      <c r="I6951" s="14"/>
      <c r="P6951" s="14"/>
    </row>
    <row r="6952" ht="18.75" customHeight="1">
      <c r="A6952" s="14"/>
      <c r="B6952" s="12"/>
      <c r="C6952" s="12"/>
      <c r="D6952" s="12"/>
      <c r="E6952" s="12"/>
      <c r="F6952" s="14"/>
      <c r="G6952" s="15"/>
      <c r="H6952" s="15"/>
      <c r="I6952" s="14"/>
      <c r="P6952" s="14"/>
    </row>
    <row r="6953" ht="18.75" customHeight="1">
      <c r="A6953" s="14"/>
      <c r="B6953" s="12"/>
      <c r="C6953" s="12"/>
      <c r="D6953" s="12"/>
      <c r="E6953" s="12"/>
      <c r="F6953" s="14"/>
      <c r="G6953" s="15"/>
      <c r="H6953" s="15"/>
      <c r="I6953" s="14"/>
      <c r="P6953" s="14"/>
    </row>
    <row r="6954" ht="18.75" customHeight="1">
      <c r="A6954" s="14"/>
      <c r="B6954" s="12"/>
      <c r="C6954" s="12"/>
      <c r="D6954" s="12"/>
      <c r="E6954" s="12"/>
      <c r="F6954" s="14"/>
      <c r="G6954" s="15"/>
      <c r="H6954" s="15"/>
      <c r="I6954" s="14"/>
      <c r="P6954" s="14"/>
    </row>
    <row r="6955" ht="18.75" customHeight="1">
      <c r="A6955" s="14"/>
      <c r="B6955" s="12"/>
      <c r="C6955" s="12"/>
      <c r="D6955" s="12"/>
      <c r="E6955" s="12"/>
      <c r="F6955" s="14"/>
      <c r="G6955" s="15"/>
      <c r="H6955" s="15"/>
      <c r="I6955" s="14"/>
      <c r="P6955" s="14"/>
    </row>
    <row r="6956" ht="18.75" customHeight="1">
      <c r="A6956" s="14"/>
      <c r="B6956" s="12"/>
      <c r="C6956" s="12"/>
      <c r="D6956" s="12"/>
      <c r="E6956" s="12"/>
      <c r="F6956" s="14"/>
      <c r="G6956" s="15"/>
      <c r="H6956" s="15"/>
      <c r="I6956" s="14"/>
      <c r="P6956" s="14"/>
    </row>
    <row r="6957" ht="18.75" customHeight="1">
      <c r="A6957" s="14"/>
      <c r="B6957" s="12"/>
      <c r="C6957" s="12"/>
      <c r="D6957" s="12"/>
      <c r="E6957" s="12"/>
      <c r="F6957" s="14"/>
      <c r="G6957" s="15"/>
      <c r="H6957" s="15"/>
      <c r="I6957" s="14"/>
      <c r="P6957" s="14"/>
    </row>
    <row r="6958" ht="18.75" customHeight="1">
      <c r="A6958" s="14"/>
      <c r="B6958" s="12"/>
      <c r="C6958" s="12"/>
      <c r="D6958" s="12"/>
      <c r="E6958" s="12"/>
      <c r="F6958" s="14"/>
      <c r="G6958" s="15"/>
      <c r="H6958" s="15"/>
      <c r="I6958" s="14"/>
      <c r="P6958" s="14"/>
    </row>
    <row r="6959" ht="18.75" customHeight="1">
      <c r="A6959" s="14"/>
      <c r="B6959" s="12"/>
      <c r="C6959" s="12"/>
      <c r="D6959" s="12"/>
      <c r="E6959" s="12"/>
      <c r="F6959" s="14"/>
      <c r="G6959" s="15"/>
      <c r="H6959" s="15"/>
      <c r="I6959" s="14"/>
      <c r="P6959" s="14"/>
    </row>
    <row r="6960" ht="18.75" customHeight="1">
      <c r="A6960" s="14"/>
      <c r="B6960" s="12"/>
      <c r="C6960" s="12"/>
      <c r="D6960" s="12"/>
      <c r="E6960" s="12"/>
      <c r="F6960" s="14"/>
      <c r="G6960" s="15"/>
      <c r="H6960" s="15"/>
      <c r="I6960" s="14"/>
      <c r="P6960" s="14"/>
    </row>
    <row r="6961" ht="18.75" customHeight="1">
      <c r="A6961" s="14"/>
      <c r="B6961" s="12"/>
      <c r="C6961" s="12"/>
      <c r="D6961" s="12"/>
      <c r="E6961" s="12"/>
      <c r="F6961" s="14"/>
      <c r="G6961" s="15"/>
      <c r="H6961" s="15"/>
      <c r="I6961" s="14"/>
      <c r="P6961" s="14"/>
    </row>
    <row r="6962" ht="18.75" customHeight="1">
      <c r="A6962" s="14"/>
      <c r="B6962" s="12"/>
      <c r="C6962" s="12"/>
      <c r="D6962" s="12"/>
      <c r="E6962" s="12"/>
      <c r="F6962" s="14"/>
      <c r="G6962" s="15"/>
      <c r="H6962" s="15"/>
      <c r="I6962" s="14"/>
      <c r="P6962" s="14"/>
    </row>
    <row r="6963" ht="18.75" customHeight="1">
      <c r="A6963" s="14"/>
      <c r="B6963" s="12"/>
      <c r="C6963" s="12"/>
      <c r="D6963" s="12"/>
      <c r="E6963" s="12"/>
      <c r="F6963" s="14"/>
      <c r="G6963" s="15"/>
      <c r="H6963" s="15"/>
      <c r="I6963" s="14"/>
      <c r="P6963" s="14"/>
    </row>
    <row r="6964" ht="18.75" customHeight="1">
      <c r="A6964" s="14"/>
      <c r="B6964" s="12"/>
      <c r="C6964" s="12"/>
      <c r="D6964" s="12"/>
      <c r="E6964" s="12"/>
      <c r="F6964" s="14"/>
      <c r="G6964" s="15"/>
      <c r="H6964" s="15"/>
      <c r="I6964" s="14"/>
      <c r="P6964" s="14"/>
    </row>
    <row r="6965" ht="18.75" customHeight="1">
      <c r="A6965" s="14"/>
      <c r="B6965" s="12"/>
      <c r="C6965" s="12"/>
      <c r="D6965" s="12"/>
      <c r="E6965" s="12"/>
      <c r="F6965" s="14"/>
      <c r="G6965" s="15"/>
      <c r="H6965" s="15"/>
      <c r="I6965" s="14"/>
      <c r="P6965" s="14"/>
    </row>
    <row r="6966" ht="18.75" customHeight="1">
      <c r="A6966" s="14"/>
      <c r="B6966" s="12"/>
      <c r="C6966" s="12"/>
      <c r="D6966" s="12"/>
      <c r="E6966" s="12"/>
      <c r="F6966" s="14"/>
      <c r="G6966" s="15"/>
      <c r="H6966" s="15"/>
      <c r="I6966" s="14"/>
      <c r="P6966" s="14"/>
    </row>
    <row r="6967" ht="18.75" customHeight="1">
      <c r="A6967" s="14"/>
      <c r="B6967" s="12"/>
      <c r="C6967" s="12"/>
      <c r="D6967" s="12"/>
      <c r="E6967" s="12"/>
      <c r="F6967" s="14"/>
      <c r="G6967" s="15"/>
      <c r="H6967" s="15"/>
      <c r="I6967" s="14"/>
      <c r="P6967" s="14"/>
    </row>
    <row r="6968" ht="18.75" customHeight="1">
      <c r="A6968" s="14"/>
      <c r="B6968" s="12"/>
      <c r="C6968" s="12"/>
      <c r="D6968" s="12"/>
      <c r="E6968" s="12"/>
      <c r="F6968" s="14"/>
      <c r="G6968" s="15"/>
      <c r="H6968" s="15"/>
      <c r="I6968" s="14"/>
      <c r="P6968" s="14"/>
    </row>
    <row r="6969" ht="18.75" customHeight="1">
      <c r="A6969" s="14"/>
      <c r="B6969" s="12"/>
      <c r="C6969" s="12"/>
      <c r="D6969" s="12"/>
      <c r="E6969" s="12"/>
      <c r="F6969" s="14"/>
      <c r="G6969" s="15"/>
      <c r="H6969" s="15"/>
      <c r="I6969" s="14"/>
      <c r="P6969" s="14"/>
    </row>
    <row r="6970" ht="18.75" customHeight="1">
      <c r="A6970" s="14"/>
      <c r="B6970" s="12"/>
      <c r="C6970" s="12"/>
      <c r="D6970" s="12"/>
      <c r="E6970" s="12"/>
      <c r="F6970" s="14"/>
      <c r="G6970" s="15"/>
      <c r="H6970" s="15"/>
      <c r="I6970" s="14"/>
      <c r="P6970" s="14"/>
    </row>
    <row r="6971" ht="18.75" customHeight="1">
      <c r="A6971" s="14"/>
      <c r="B6971" s="12"/>
      <c r="C6971" s="12"/>
      <c r="D6971" s="12"/>
      <c r="E6971" s="12"/>
      <c r="F6971" s="14"/>
      <c r="G6971" s="15"/>
      <c r="H6971" s="15"/>
      <c r="I6971" s="14"/>
      <c r="P6971" s="14"/>
    </row>
    <row r="6972" ht="18.75" customHeight="1">
      <c r="A6972" s="14"/>
      <c r="B6972" s="12"/>
      <c r="C6972" s="12"/>
      <c r="D6972" s="12"/>
      <c r="E6972" s="12"/>
      <c r="F6972" s="14"/>
      <c r="G6972" s="15"/>
      <c r="H6972" s="15"/>
      <c r="I6972" s="14"/>
      <c r="P6972" s="14"/>
    </row>
    <row r="6973" ht="18.75" customHeight="1">
      <c r="A6973" s="14"/>
      <c r="B6973" s="12"/>
      <c r="C6973" s="12"/>
      <c r="D6973" s="12"/>
      <c r="E6973" s="12"/>
      <c r="F6973" s="14"/>
      <c r="G6973" s="15"/>
      <c r="H6973" s="15"/>
      <c r="I6973" s="14"/>
      <c r="P6973" s="14"/>
    </row>
    <row r="6974" ht="18.75" customHeight="1">
      <c r="A6974" s="14"/>
      <c r="B6974" s="12"/>
      <c r="C6974" s="12"/>
      <c r="D6974" s="12"/>
      <c r="E6974" s="12"/>
      <c r="F6974" s="14"/>
      <c r="G6974" s="15"/>
      <c r="H6974" s="15"/>
      <c r="I6974" s="14"/>
      <c r="P6974" s="14"/>
    </row>
    <row r="6975" ht="18.75" customHeight="1">
      <c r="A6975" s="14"/>
      <c r="B6975" s="12"/>
      <c r="C6975" s="12"/>
      <c r="D6975" s="12"/>
      <c r="E6975" s="12"/>
      <c r="F6975" s="14"/>
      <c r="G6975" s="15"/>
      <c r="H6975" s="15"/>
      <c r="I6975" s="14"/>
      <c r="P6975" s="14"/>
    </row>
    <row r="6976" ht="18.75" customHeight="1">
      <c r="A6976" s="14"/>
      <c r="B6976" s="12"/>
      <c r="C6976" s="12"/>
      <c r="D6976" s="12"/>
      <c r="E6976" s="12"/>
      <c r="F6976" s="14"/>
      <c r="G6976" s="15"/>
      <c r="H6976" s="15"/>
      <c r="I6976" s="14"/>
      <c r="P6976" s="14"/>
    </row>
    <row r="6977" ht="18.75" customHeight="1">
      <c r="A6977" s="14"/>
      <c r="B6977" s="12"/>
      <c r="C6977" s="12"/>
      <c r="D6977" s="12"/>
      <c r="E6977" s="12"/>
      <c r="F6977" s="14"/>
      <c r="G6977" s="15"/>
      <c r="H6977" s="15"/>
      <c r="I6977" s="14"/>
      <c r="P6977" s="14"/>
    </row>
    <row r="6978" ht="18.75" customHeight="1">
      <c r="A6978" s="14"/>
      <c r="B6978" s="12"/>
      <c r="C6978" s="12"/>
      <c r="D6978" s="12"/>
      <c r="E6978" s="12"/>
      <c r="F6978" s="14"/>
      <c r="G6978" s="15"/>
      <c r="H6978" s="15"/>
      <c r="I6978" s="14"/>
      <c r="P6978" s="14"/>
    </row>
    <row r="6979" ht="18.75" customHeight="1">
      <c r="A6979" s="14"/>
      <c r="B6979" s="12"/>
      <c r="C6979" s="12"/>
      <c r="D6979" s="12"/>
      <c r="E6979" s="12"/>
      <c r="F6979" s="14"/>
      <c r="G6979" s="15"/>
      <c r="H6979" s="15"/>
      <c r="I6979" s="14"/>
      <c r="P6979" s="14"/>
    </row>
    <row r="6980" ht="18.75" customHeight="1">
      <c r="A6980" s="14"/>
      <c r="B6980" s="12"/>
      <c r="C6980" s="12"/>
      <c r="D6980" s="12"/>
      <c r="E6980" s="12"/>
      <c r="F6980" s="14"/>
      <c r="G6980" s="15"/>
      <c r="H6980" s="15"/>
      <c r="I6980" s="14"/>
      <c r="P6980" s="14"/>
    </row>
    <row r="6981" ht="18.75" customHeight="1">
      <c r="A6981" s="14"/>
      <c r="B6981" s="12"/>
      <c r="C6981" s="12"/>
      <c r="D6981" s="12"/>
      <c r="E6981" s="12"/>
      <c r="F6981" s="14"/>
      <c r="G6981" s="15"/>
      <c r="H6981" s="15"/>
      <c r="I6981" s="14"/>
      <c r="P6981" s="14"/>
    </row>
    <row r="6982" ht="18.75" customHeight="1">
      <c r="A6982" s="14"/>
      <c r="B6982" s="12"/>
      <c r="C6982" s="12"/>
      <c r="D6982" s="12"/>
      <c r="E6982" s="12"/>
      <c r="F6982" s="14"/>
      <c r="G6982" s="15"/>
      <c r="H6982" s="15"/>
      <c r="I6982" s="14"/>
      <c r="P6982" s="14"/>
    </row>
    <row r="6983" ht="18.75" customHeight="1">
      <c r="A6983" s="14"/>
      <c r="B6983" s="12"/>
      <c r="C6983" s="12"/>
      <c r="D6983" s="12"/>
      <c r="E6983" s="12"/>
      <c r="F6983" s="14"/>
      <c r="G6983" s="15"/>
      <c r="H6983" s="15"/>
      <c r="I6983" s="14"/>
      <c r="P6983" s="14"/>
    </row>
    <row r="6984" ht="18.75" customHeight="1">
      <c r="A6984" s="14"/>
      <c r="B6984" s="12"/>
      <c r="C6984" s="12"/>
      <c r="D6984" s="12"/>
      <c r="E6984" s="12"/>
      <c r="F6984" s="14"/>
      <c r="G6984" s="15"/>
      <c r="H6984" s="15"/>
      <c r="I6984" s="14"/>
      <c r="P6984" s="14"/>
    </row>
    <row r="6985" ht="18.75" customHeight="1">
      <c r="A6985" s="14"/>
      <c r="B6985" s="12"/>
      <c r="C6985" s="12"/>
      <c r="D6985" s="12"/>
      <c r="E6985" s="12"/>
      <c r="F6985" s="14"/>
      <c r="G6985" s="15"/>
      <c r="H6985" s="15"/>
      <c r="I6985" s="14"/>
      <c r="P6985" s="14"/>
    </row>
    <row r="6986" ht="18.75" customHeight="1">
      <c r="A6986" s="14"/>
      <c r="B6986" s="12"/>
      <c r="C6986" s="12"/>
      <c r="D6986" s="12"/>
      <c r="E6986" s="12"/>
      <c r="F6986" s="14"/>
      <c r="G6986" s="15"/>
      <c r="H6986" s="15"/>
      <c r="I6986" s="14"/>
      <c r="P6986" s="14"/>
    </row>
    <row r="6987" ht="18.75" customHeight="1">
      <c r="A6987" s="14"/>
      <c r="B6987" s="12"/>
      <c r="C6987" s="12"/>
      <c r="D6987" s="12"/>
      <c r="E6987" s="12"/>
      <c r="F6987" s="14"/>
      <c r="G6987" s="15"/>
      <c r="H6987" s="15"/>
      <c r="I6987" s="14"/>
      <c r="P6987" s="14"/>
    </row>
    <row r="6988" ht="18.75" customHeight="1">
      <c r="A6988" s="14"/>
      <c r="B6988" s="12"/>
      <c r="C6988" s="12"/>
      <c r="D6988" s="12"/>
      <c r="E6988" s="12"/>
      <c r="F6988" s="14"/>
      <c r="G6988" s="15"/>
      <c r="H6988" s="15"/>
      <c r="I6988" s="14"/>
      <c r="P6988" s="14"/>
    </row>
    <row r="6989" ht="18.75" customHeight="1">
      <c r="A6989" s="14"/>
      <c r="B6989" s="12"/>
      <c r="C6989" s="12"/>
      <c r="D6989" s="12"/>
      <c r="E6989" s="12"/>
      <c r="F6989" s="14"/>
      <c r="G6989" s="15"/>
      <c r="H6989" s="15"/>
      <c r="I6989" s="14"/>
      <c r="P6989" s="14"/>
    </row>
    <row r="6990" ht="18.75" customHeight="1">
      <c r="A6990" s="14"/>
      <c r="B6990" s="12"/>
      <c r="C6990" s="12"/>
      <c r="D6990" s="12"/>
      <c r="E6990" s="12"/>
      <c r="F6990" s="14"/>
      <c r="G6990" s="15"/>
      <c r="H6990" s="15"/>
      <c r="I6990" s="14"/>
      <c r="P6990" s="14"/>
    </row>
    <row r="6991" ht="18.75" customHeight="1">
      <c r="A6991" s="14"/>
      <c r="B6991" s="12"/>
      <c r="C6991" s="12"/>
      <c r="D6991" s="12"/>
      <c r="E6991" s="12"/>
      <c r="F6991" s="14"/>
      <c r="G6991" s="15"/>
      <c r="H6991" s="15"/>
      <c r="I6991" s="14"/>
      <c r="P6991" s="14"/>
    </row>
    <row r="6992" ht="18.75" customHeight="1">
      <c r="A6992" s="14"/>
      <c r="B6992" s="12"/>
      <c r="C6992" s="12"/>
      <c r="D6992" s="12"/>
      <c r="E6992" s="12"/>
      <c r="F6992" s="14"/>
      <c r="G6992" s="15"/>
      <c r="H6992" s="15"/>
      <c r="I6992" s="14"/>
      <c r="P6992" s="14"/>
    </row>
    <row r="6993" ht="18.75" customHeight="1">
      <c r="A6993" s="14"/>
      <c r="B6993" s="12"/>
      <c r="C6993" s="12"/>
      <c r="D6993" s="12"/>
      <c r="E6993" s="12"/>
      <c r="F6993" s="14"/>
      <c r="G6993" s="15"/>
      <c r="H6993" s="15"/>
      <c r="I6993" s="14"/>
      <c r="P6993" s="14"/>
    </row>
    <row r="6994" ht="18.75" customHeight="1">
      <c r="A6994" s="14"/>
      <c r="B6994" s="12"/>
      <c r="C6994" s="12"/>
      <c r="D6994" s="12"/>
      <c r="E6994" s="12"/>
      <c r="F6994" s="14"/>
      <c r="G6994" s="15"/>
      <c r="H6994" s="15"/>
      <c r="I6994" s="14"/>
      <c r="P6994" s="14"/>
    </row>
    <row r="6995" ht="18.75" customHeight="1">
      <c r="A6995" s="14"/>
      <c r="B6995" s="12"/>
      <c r="C6995" s="12"/>
      <c r="D6995" s="12"/>
      <c r="E6995" s="12"/>
      <c r="F6995" s="14"/>
      <c r="G6995" s="15"/>
      <c r="H6995" s="15"/>
      <c r="I6995" s="14"/>
      <c r="P6995" s="14"/>
    </row>
    <row r="6996" ht="18.75" customHeight="1">
      <c r="A6996" s="14"/>
      <c r="B6996" s="12"/>
      <c r="C6996" s="12"/>
      <c r="D6996" s="12"/>
      <c r="E6996" s="12"/>
      <c r="F6996" s="14"/>
      <c r="G6996" s="15"/>
      <c r="H6996" s="15"/>
      <c r="I6996" s="14"/>
      <c r="P6996" s="14"/>
    </row>
    <row r="6997" ht="18.75" customHeight="1">
      <c r="A6997" s="14"/>
      <c r="B6997" s="12"/>
      <c r="C6997" s="12"/>
      <c r="D6997" s="12"/>
      <c r="E6997" s="12"/>
      <c r="F6997" s="14"/>
      <c r="G6997" s="15"/>
      <c r="H6997" s="15"/>
      <c r="I6997" s="14"/>
      <c r="P6997" s="14"/>
    </row>
    <row r="6998" ht="18.75" customHeight="1">
      <c r="A6998" s="14"/>
      <c r="B6998" s="12"/>
      <c r="C6998" s="12"/>
      <c r="D6998" s="12"/>
      <c r="E6998" s="12"/>
      <c r="F6998" s="14"/>
      <c r="G6998" s="15"/>
      <c r="H6998" s="15"/>
      <c r="I6998" s="14"/>
      <c r="P6998" s="14"/>
    </row>
    <row r="6999" ht="18.75" customHeight="1">
      <c r="A6999" s="14"/>
      <c r="B6999" s="12"/>
      <c r="C6999" s="12"/>
      <c r="D6999" s="12"/>
      <c r="E6999" s="12"/>
      <c r="F6999" s="14"/>
      <c r="G6999" s="15"/>
      <c r="H6999" s="15"/>
      <c r="I6999" s="14"/>
      <c r="P6999" s="14"/>
    </row>
    <row r="7000" ht="18.75" customHeight="1">
      <c r="A7000" s="14"/>
      <c r="B7000" s="12"/>
      <c r="C7000" s="12"/>
      <c r="D7000" s="12"/>
      <c r="E7000" s="12"/>
      <c r="F7000" s="14"/>
      <c r="G7000" s="15"/>
      <c r="H7000" s="15"/>
      <c r="I7000" s="14"/>
      <c r="P7000" s="14"/>
    </row>
    <row r="7001" ht="18.75" customHeight="1">
      <c r="A7001" s="14"/>
      <c r="B7001" s="12"/>
      <c r="C7001" s="12"/>
      <c r="D7001" s="12"/>
      <c r="E7001" s="12"/>
      <c r="F7001" s="14"/>
      <c r="G7001" s="15"/>
      <c r="H7001" s="15"/>
      <c r="I7001" s="14"/>
      <c r="P7001" s="14"/>
    </row>
    <row r="7002" ht="18.75" customHeight="1">
      <c r="A7002" s="14"/>
      <c r="B7002" s="12"/>
      <c r="C7002" s="12"/>
      <c r="D7002" s="12"/>
      <c r="E7002" s="12"/>
      <c r="F7002" s="14"/>
      <c r="G7002" s="15"/>
      <c r="H7002" s="15"/>
      <c r="I7002" s="14"/>
      <c r="P7002" s="14"/>
    </row>
    <row r="7003" ht="18.75" customHeight="1">
      <c r="A7003" s="14"/>
      <c r="B7003" s="12"/>
      <c r="C7003" s="12"/>
      <c r="D7003" s="12"/>
      <c r="E7003" s="12"/>
      <c r="F7003" s="14"/>
      <c r="G7003" s="15"/>
      <c r="H7003" s="15"/>
      <c r="I7003" s="14"/>
      <c r="P7003" s="14"/>
    </row>
    <row r="7004" ht="18.75" customHeight="1">
      <c r="A7004" s="14"/>
      <c r="B7004" s="12"/>
      <c r="C7004" s="12"/>
      <c r="D7004" s="12"/>
      <c r="E7004" s="12"/>
      <c r="F7004" s="14"/>
      <c r="G7004" s="15"/>
      <c r="H7004" s="15"/>
      <c r="I7004" s="14"/>
      <c r="P7004" s="14"/>
    </row>
    <row r="7005" ht="18.75" customHeight="1">
      <c r="A7005" s="14"/>
      <c r="B7005" s="12"/>
      <c r="C7005" s="12"/>
      <c r="D7005" s="12"/>
      <c r="E7005" s="12"/>
      <c r="F7005" s="14"/>
      <c r="G7005" s="15"/>
      <c r="H7005" s="15"/>
      <c r="I7005" s="14"/>
      <c r="P7005" s="14"/>
    </row>
    <row r="7006" ht="18.75" customHeight="1">
      <c r="A7006" s="14"/>
      <c r="B7006" s="12"/>
      <c r="C7006" s="12"/>
      <c r="D7006" s="12"/>
      <c r="E7006" s="12"/>
      <c r="F7006" s="14"/>
      <c r="G7006" s="15"/>
      <c r="H7006" s="15"/>
      <c r="I7006" s="14"/>
      <c r="P7006" s="14"/>
    </row>
    <row r="7007" ht="18.75" customHeight="1">
      <c r="A7007" s="14"/>
      <c r="B7007" s="12"/>
      <c r="C7007" s="12"/>
      <c r="D7007" s="12"/>
      <c r="E7007" s="12"/>
      <c r="F7007" s="14"/>
      <c r="G7007" s="15"/>
      <c r="H7007" s="15"/>
      <c r="I7007" s="14"/>
      <c r="P7007" s="14"/>
    </row>
    <row r="7008" ht="18.75" customHeight="1">
      <c r="A7008" s="14"/>
      <c r="B7008" s="12"/>
      <c r="C7008" s="12"/>
      <c r="D7008" s="12"/>
      <c r="E7008" s="12"/>
      <c r="F7008" s="14"/>
      <c r="G7008" s="15"/>
      <c r="H7008" s="15"/>
      <c r="I7008" s="14"/>
      <c r="P7008" s="14"/>
    </row>
    <row r="7009" ht="18.75" customHeight="1">
      <c r="A7009" s="14"/>
      <c r="B7009" s="12"/>
      <c r="C7009" s="12"/>
      <c r="D7009" s="12"/>
      <c r="E7009" s="12"/>
      <c r="F7009" s="14"/>
      <c r="G7009" s="15"/>
      <c r="H7009" s="15"/>
      <c r="I7009" s="14"/>
      <c r="P7009" s="14"/>
    </row>
    <row r="7010" ht="18.75" customHeight="1">
      <c r="A7010" s="14"/>
      <c r="B7010" s="12"/>
      <c r="C7010" s="12"/>
      <c r="D7010" s="12"/>
      <c r="E7010" s="12"/>
      <c r="F7010" s="14"/>
      <c r="G7010" s="15"/>
      <c r="H7010" s="15"/>
      <c r="I7010" s="14"/>
      <c r="P7010" s="14"/>
    </row>
    <row r="7011" ht="18.75" customHeight="1">
      <c r="A7011" s="14"/>
      <c r="B7011" s="12"/>
      <c r="C7011" s="12"/>
      <c r="D7011" s="12"/>
      <c r="E7011" s="12"/>
      <c r="F7011" s="14"/>
      <c r="G7011" s="15"/>
      <c r="H7011" s="15"/>
      <c r="I7011" s="14"/>
      <c r="P7011" s="14"/>
    </row>
    <row r="7012" ht="18.75" customHeight="1">
      <c r="A7012" s="14"/>
      <c r="B7012" s="12"/>
      <c r="C7012" s="12"/>
      <c r="D7012" s="12"/>
      <c r="E7012" s="12"/>
      <c r="F7012" s="14"/>
      <c r="G7012" s="15"/>
      <c r="H7012" s="15"/>
      <c r="I7012" s="14"/>
      <c r="P7012" s="14"/>
    </row>
    <row r="7013" ht="18.75" customHeight="1">
      <c r="A7013" s="14"/>
      <c r="B7013" s="12"/>
      <c r="C7013" s="12"/>
      <c r="D7013" s="12"/>
      <c r="E7013" s="12"/>
      <c r="F7013" s="14"/>
      <c r="G7013" s="15"/>
      <c r="H7013" s="15"/>
      <c r="I7013" s="14"/>
      <c r="P7013" s="14"/>
    </row>
    <row r="7014" ht="18.75" customHeight="1">
      <c r="A7014" s="14"/>
      <c r="B7014" s="12"/>
      <c r="C7014" s="12"/>
      <c r="D7014" s="12"/>
      <c r="E7014" s="12"/>
      <c r="F7014" s="14"/>
      <c r="G7014" s="15"/>
      <c r="H7014" s="15"/>
      <c r="I7014" s="14"/>
      <c r="P7014" s="14"/>
    </row>
    <row r="7015" ht="18.75" customHeight="1">
      <c r="A7015" s="14"/>
      <c r="B7015" s="12"/>
      <c r="C7015" s="12"/>
      <c r="D7015" s="12"/>
      <c r="E7015" s="12"/>
      <c r="F7015" s="14"/>
      <c r="G7015" s="15"/>
      <c r="H7015" s="15"/>
      <c r="I7015" s="14"/>
      <c r="P7015" s="14"/>
    </row>
    <row r="7016" ht="18.75" customHeight="1">
      <c r="A7016" s="14"/>
      <c r="B7016" s="12"/>
      <c r="C7016" s="12"/>
      <c r="D7016" s="12"/>
      <c r="E7016" s="12"/>
      <c r="F7016" s="14"/>
      <c r="G7016" s="15"/>
      <c r="H7016" s="15"/>
      <c r="I7016" s="14"/>
      <c r="P7016" s="14"/>
    </row>
    <row r="7017" ht="18.75" customHeight="1">
      <c r="A7017" s="14"/>
      <c r="B7017" s="12"/>
      <c r="C7017" s="12"/>
      <c r="D7017" s="12"/>
      <c r="E7017" s="12"/>
      <c r="F7017" s="14"/>
      <c r="G7017" s="15"/>
      <c r="H7017" s="15"/>
      <c r="I7017" s="14"/>
      <c r="P7017" s="14"/>
    </row>
    <row r="7018" ht="18.75" customHeight="1">
      <c r="A7018" s="14"/>
      <c r="B7018" s="12"/>
      <c r="C7018" s="12"/>
      <c r="D7018" s="12"/>
      <c r="E7018" s="12"/>
      <c r="F7018" s="14"/>
      <c r="G7018" s="15"/>
      <c r="H7018" s="15"/>
      <c r="I7018" s="14"/>
      <c r="P7018" s="14"/>
    </row>
    <row r="7019" ht="18.75" customHeight="1">
      <c r="A7019" s="14"/>
      <c r="B7019" s="12"/>
      <c r="C7019" s="12"/>
      <c r="D7019" s="12"/>
      <c r="E7019" s="12"/>
      <c r="F7019" s="14"/>
      <c r="G7019" s="15"/>
      <c r="H7019" s="15"/>
      <c r="I7019" s="14"/>
      <c r="P7019" s="14"/>
    </row>
    <row r="7020" ht="18.75" customHeight="1">
      <c r="A7020" s="14"/>
      <c r="B7020" s="12"/>
      <c r="C7020" s="12"/>
      <c r="D7020" s="12"/>
      <c r="E7020" s="12"/>
      <c r="F7020" s="14"/>
      <c r="G7020" s="15"/>
      <c r="H7020" s="15"/>
      <c r="I7020" s="14"/>
      <c r="P7020" s="14"/>
    </row>
    <row r="7021" ht="18.75" customHeight="1">
      <c r="A7021" s="14"/>
      <c r="B7021" s="12"/>
      <c r="C7021" s="12"/>
      <c r="D7021" s="12"/>
      <c r="E7021" s="12"/>
      <c r="F7021" s="14"/>
      <c r="G7021" s="15"/>
      <c r="H7021" s="15"/>
      <c r="I7021" s="14"/>
      <c r="P7021" s="14"/>
    </row>
    <row r="7022" ht="18.75" customHeight="1">
      <c r="A7022" s="14"/>
      <c r="B7022" s="12"/>
      <c r="C7022" s="12"/>
      <c r="D7022" s="12"/>
      <c r="E7022" s="12"/>
      <c r="F7022" s="14"/>
      <c r="G7022" s="15"/>
      <c r="H7022" s="15"/>
      <c r="I7022" s="14"/>
      <c r="P7022" s="14"/>
    </row>
    <row r="7023" ht="18.75" customHeight="1">
      <c r="A7023" s="14"/>
      <c r="B7023" s="12"/>
      <c r="C7023" s="12"/>
      <c r="D7023" s="12"/>
      <c r="E7023" s="12"/>
      <c r="F7023" s="14"/>
      <c r="G7023" s="15"/>
      <c r="H7023" s="15"/>
      <c r="I7023" s="14"/>
      <c r="P7023" s="14"/>
    </row>
    <row r="7024" ht="18.75" customHeight="1">
      <c r="A7024" s="14"/>
      <c r="B7024" s="12"/>
      <c r="C7024" s="12"/>
      <c r="D7024" s="12"/>
      <c r="E7024" s="12"/>
      <c r="F7024" s="14"/>
      <c r="G7024" s="15"/>
      <c r="H7024" s="15"/>
      <c r="I7024" s="14"/>
      <c r="P7024" s="14"/>
    </row>
    <row r="7025" ht="18.75" customHeight="1">
      <c r="A7025" s="14"/>
      <c r="B7025" s="12"/>
      <c r="C7025" s="12"/>
      <c r="D7025" s="12"/>
      <c r="E7025" s="12"/>
      <c r="F7025" s="14"/>
      <c r="G7025" s="15"/>
      <c r="H7025" s="15"/>
      <c r="I7025" s="14"/>
      <c r="P7025" s="14"/>
    </row>
    <row r="7026" ht="18.75" customHeight="1">
      <c r="A7026" s="14"/>
      <c r="B7026" s="12"/>
      <c r="C7026" s="12"/>
      <c r="D7026" s="12"/>
      <c r="E7026" s="12"/>
      <c r="F7026" s="14"/>
      <c r="G7026" s="15"/>
      <c r="H7026" s="15"/>
      <c r="I7026" s="14"/>
      <c r="P7026" s="14"/>
    </row>
    <row r="7027" ht="18.75" customHeight="1">
      <c r="A7027" s="14"/>
      <c r="B7027" s="12"/>
      <c r="C7027" s="12"/>
      <c r="D7027" s="12"/>
      <c r="E7027" s="12"/>
      <c r="F7027" s="14"/>
      <c r="G7027" s="15"/>
      <c r="H7027" s="15"/>
      <c r="I7027" s="14"/>
      <c r="P7027" s="14"/>
    </row>
    <row r="7028" ht="18.75" customHeight="1">
      <c r="A7028" s="14"/>
      <c r="B7028" s="12"/>
      <c r="C7028" s="12"/>
      <c r="D7028" s="12"/>
      <c r="E7028" s="12"/>
      <c r="F7028" s="14"/>
      <c r="G7028" s="15"/>
      <c r="H7028" s="15"/>
      <c r="I7028" s="14"/>
      <c r="P7028" s="14"/>
    </row>
    <row r="7029" ht="18.75" customHeight="1">
      <c r="A7029" s="14"/>
      <c r="B7029" s="12"/>
      <c r="C7029" s="12"/>
      <c r="D7029" s="12"/>
      <c r="E7029" s="12"/>
      <c r="F7029" s="14"/>
      <c r="G7029" s="15"/>
      <c r="H7029" s="15"/>
      <c r="I7029" s="14"/>
      <c r="P7029" s="14"/>
    </row>
    <row r="7030" ht="18.75" customHeight="1">
      <c r="A7030" s="14"/>
      <c r="B7030" s="12"/>
      <c r="C7030" s="12"/>
      <c r="D7030" s="12"/>
      <c r="E7030" s="12"/>
      <c r="F7030" s="14"/>
      <c r="G7030" s="15"/>
      <c r="H7030" s="15"/>
      <c r="I7030" s="14"/>
      <c r="P7030" s="14"/>
    </row>
    <row r="7031" ht="18.75" customHeight="1">
      <c r="A7031" s="14"/>
      <c r="B7031" s="12"/>
      <c r="C7031" s="12"/>
      <c r="D7031" s="12"/>
      <c r="E7031" s="12"/>
      <c r="F7031" s="14"/>
      <c r="G7031" s="15"/>
      <c r="H7031" s="15"/>
      <c r="I7031" s="14"/>
      <c r="P7031" s="14"/>
    </row>
    <row r="7032" ht="18.75" customHeight="1">
      <c r="A7032" s="14"/>
      <c r="B7032" s="12"/>
      <c r="C7032" s="12"/>
      <c r="D7032" s="12"/>
      <c r="E7032" s="12"/>
      <c r="F7032" s="14"/>
      <c r="G7032" s="15"/>
      <c r="H7032" s="15"/>
      <c r="I7032" s="14"/>
      <c r="P7032" s="14"/>
    </row>
    <row r="7033" ht="18.75" customHeight="1">
      <c r="A7033" s="14"/>
      <c r="B7033" s="12"/>
      <c r="C7033" s="12"/>
      <c r="D7033" s="12"/>
      <c r="E7033" s="12"/>
      <c r="F7033" s="14"/>
      <c r="G7033" s="15"/>
      <c r="H7033" s="15"/>
      <c r="I7033" s="14"/>
      <c r="P7033" s="14"/>
    </row>
    <row r="7034" ht="18.75" customHeight="1">
      <c r="A7034" s="14"/>
      <c r="B7034" s="12"/>
      <c r="C7034" s="12"/>
      <c r="D7034" s="12"/>
      <c r="E7034" s="12"/>
      <c r="F7034" s="14"/>
      <c r="G7034" s="15"/>
      <c r="H7034" s="15"/>
      <c r="I7034" s="14"/>
      <c r="P7034" s="14"/>
    </row>
    <row r="7035" ht="18.75" customHeight="1">
      <c r="A7035" s="14"/>
      <c r="B7035" s="12"/>
      <c r="C7035" s="12"/>
      <c r="D7035" s="12"/>
      <c r="E7035" s="12"/>
      <c r="F7035" s="14"/>
      <c r="G7035" s="15"/>
      <c r="H7035" s="15"/>
      <c r="I7035" s="14"/>
      <c r="P7035" s="14"/>
    </row>
    <row r="7036" ht="18.75" customHeight="1">
      <c r="A7036" s="14"/>
      <c r="B7036" s="12"/>
      <c r="C7036" s="12"/>
      <c r="D7036" s="12"/>
      <c r="E7036" s="12"/>
      <c r="F7036" s="14"/>
      <c r="G7036" s="15"/>
      <c r="H7036" s="15"/>
      <c r="I7036" s="14"/>
      <c r="P7036" s="14"/>
    </row>
    <row r="7037" ht="18.75" customHeight="1">
      <c r="A7037" s="14"/>
      <c r="B7037" s="12"/>
      <c r="C7037" s="12"/>
      <c r="D7037" s="12"/>
      <c r="E7037" s="12"/>
      <c r="F7037" s="14"/>
      <c r="G7037" s="15"/>
      <c r="H7037" s="15"/>
      <c r="I7037" s="14"/>
      <c r="P7037" s="14"/>
    </row>
    <row r="7038" ht="18.75" customHeight="1">
      <c r="A7038" s="14"/>
      <c r="B7038" s="12"/>
      <c r="C7038" s="12"/>
      <c r="D7038" s="12"/>
      <c r="E7038" s="12"/>
      <c r="F7038" s="14"/>
      <c r="G7038" s="15"/>
      <c r="H7038" s="15"/>
      <c r="I7038" s="14"/>
      <c r="P7038" s="14"/>
    </row>
    <row r="7039" ht="18.75" customHeight="1">
      <c r="A7039" s="14"/>
      <c r="B7039" s="12"/>
      <c r="C7039" s="12"/>
      <c r="D7039" s="12"/>
      <c r="E7039" s="12"/>
      <c r="F7039" s="14"/>
      <c r="G7039" s="15"/>
      <c r="H7039" s="15"/>
      <c r="I7039" s="14"/>
      <c r="P7039" s="14"/>
    </row>
    <row r="7040" ht="18.75" customHeight="1">
      <c r="A7040" s="14"/>
      <c r="B7040" s="12"/>
      <c r="C7040" s="12"/>
      <c r="D7040" s="12"/>
      <c r="E7040" s="12"/>
      <c r="F7040" s="14"/>
      <c r="G7040" s="15"/>
      <c r="H7040" s="15"/>
      <c r="I7040" s="14"/>
      <c r="P7040" s="14"/>
    </row>
    <row r="7041" ht="18.75" customHeight="1">
      <c r="A7041" s="14"/>
      <c r="B7041" s="12"/>
      <c r="C7041" s="12"/>
      <c r="D7041" s="12"/>
      <c r="E7041" s="12"/>
      <c r="F7041" s="14"/>
      <c r="G7041" s="15"/>
      <c r="H7041" s="15"/>
      <c r="I7041" s="14"/>
      <c r="P7041" s="14"/>
    </row>
    <row r="7042" ht="18.75" customHeight="1">
      <c r="A7042" s="14"/>
      <c r="B7042" s="12"/>
      <c r="C7042" s="12"/>
      <c r="D7042" s="12"/>
      <c r="E7042" s="12"/>
      <c r="F7042" s="14"/>
      <c r="G7042" s="15"/>
      <c r="H7042" s="15"/>
      <c r="I7042" s="14"/>
      <c r="P7042" s="14"/>
    </row>
    <row r="7043" ht="18.75" customHeight="1">
      <c r="A7043" s="14"/>
      <c r="B7043" s="12"/>
      <c r="C7043" s="12"/>
      <c r="D7043" s="12"/>
      <c r="E7043" s="12"/>
      <c r="F7043" s="14"/>
      <c r="G7043" s="15"/>
      <c r="H7043" s="15"/>
      <c r="I7043" s="14"/>
      <c r="P7043" s="14"/>
    </row>
    <row r="7044" ht="18.75" customHeight="1">
      <c r="A7044" s="14"/>
      <c r="B7044" s="12"/>
      <c r="C7044" s="12"/>
      <c r="D7044" s="12"/>
      <c r="E7044" s="12"/>
      <c r="F7044" s="14"/>
      <c r="G7044" s="15"/>
      <c r="H7044" s="15"/>
      <c r="I7044" s="14"/>
      <c r="P7044" s="14"/>
    </row>
    <row r="7045" ht="18.75" customHeight="1">
      <c r="A7045" s="14"/>
      <c r="B7045" s="12"/>
      <c r="C7045" s="12"/>
      <c r="D7045" s="12"/>
      <c r="E7045" s="12"/>
      <c r="F7045" s="14"/>
      <c r="G7045" s="15"/>
      <c r="H7045" s="15"/>
      <c r="I7045" s="14"/>
      <c r="P7045" s="14"/>
    </row>
    <row r="7046" ht="18.75" customHeight="1">
      <c r="A7046" s="14"/>
      <c r="B7046" s="12"/>
      <c r="C7046" s="12"/>
      <c r="D7046" s="12"/>
      <c r="E7046" s="12"/>
      <c r="F7046" s="14"/>
      <c r="G7046" s="15"/>
      <c r="H7046" s="15"/>
      <c r="I7046" s="14"/>
      <c r="P7046" s="14"/>
    </row>
    <row r="7047" ht="18.75" customHeight="1">
      <c r="A7047" s="14"/>
      <c r="B7047" s="12"/>
      <c r="C7047" s="12"/>
      <c r="D7047" s="12"/>
      <c r="E7047" s="12"/>
      <c r="F7047" s="14"/>
      <c r="G7047" s="15"/>
      <c r="H7047" s="15"/>
      <c r="I7047" s="14"/>
      <c r="P7047" s="14"/>
    </row>
    <row r="7048" ht="18.75" customHeight="1">
      <c r="A7048" s="14"/>
      <c r="B7048" s="12"/>
      <c r="C7048" s="12"/>
      <c r="D7048" s="12"/>
      <c r="E7048" s="12"/>
      <c r="F7048" s="14"/>
      <c r="G7048" s="15"/>
      <c r="H7048" s="15"/>
      <c r="I7048" s="14"/>
      <c r="P7048" s="14"/>
    </row>
    <row r="7049" ht="18.75" customHeight="1">
      <c r="A7049" s="14"/>
      <c r="B7049" s="12"/>
      <c r="C7049" s="12"/>
      <c r="D7049" s="12"/>
      <c r="E7049" s="12"/>
      <c r="F7049" s="14"/>
      <c r="G7049" s="15"/>
      <c r="H7049" s="15"/>
      <c r="I7049" s="14"/>
      <c r="P7049" s="14"/>
    </row>
    <row r="7050" ht="18.75" customHeight="1">
      <c r="A7050" s="14"/>
      <c r="B7050" s="12"/>
      <c r="C7050" s="12"/>
      <c r="D7050" s="12"/>
      <c r="E7050" s="12"/>
      <c r="F7050" s="14"/>
      <c r="G7050" s="15"/>
      <c r="H7050" s="15"/>
      <c r="I7050" s="14"/>
      <c r="P7050" s="14"/>
    </row>
    <row r="7051" ht="18.75" customHeight="1">
      <c r="A7051" s="14"/>
      <c r="B7051" s="12"/>
      <c r="C7051" s="12"/>
      <c r="D7051" s="12"/>
      <c r="E7051" s="12"/>
      <c r="F7051" s="14"/>
      <c r="G7051" s="15"/>
      <c r="H7051" s="15"/>
      <c r="I7051" s="14"/>
      <c r="P7051" s="14"/>
    </row>
    <row r="7052" ht="18.75" customHeight="1">
      <c r="A7052" s="14"/>
      <c r="B7052" s="12"/>
      <c r="C7052" s="12"/>
      <c r="D7052" s="12"/>
      <c r="E7052" s="12"/>
      <c r="F7052" s="14"/>
      <c r="G7052" s="15"/>
      <c r="H7052" s="15"/>
      <c r="I7052" s="14"/>
      <c r="P7052" s="14"/>
    </row>
    <row r="7053" ht="18.75" customHeight="1">
      <c r="A7053" s="14"/>
      <c r="B7053" s="12"/>
      <c r="C7053" s="12"/>
      <c r="D7053" s="12"/>
      <c r="E7053" s="12"/>
      <c r="F7053" s="14"/>
      <c r="G7053" s="15"/>
      <c r="H7053" s="15"/>
      <c r="I7053" s="14"/>
      <c r="P7053" s="14"/>
    </row>
    <row r="7054" ht="18.75" customHeight="1">
      <c r="A7054" s="14"/>
      <c r="B7054" s="12"/>
      <c r="C7054" s="12"/>
      <c r="D7054" s="12"/>
      <c r="E7054" s="12"/>
      <c r="F7054" s="14"/>
      <c r="G7054" s="15"/>
      <c r="H7054" s="15"/>
      <c r="I7054" s="14"/>
      <c r="P7054" s="14"/>
    </row>
    <row r="7055" ht="18.75" customHeight="1">
      <c r="A7055" s="14"/>
      <c r="B7055" s="12"/>
      <c r="C7055" s="12"/>
      <c r="D7055" s="12"/>
      <c r="E7055" s="12"/>
      <c r="F7055" s="14"/>
      <c r="G7055" s="15"/>
      <c r="H7055" s="15"/>
      <c r="I7055" s="14"/>
      <c r="P7055" s="14"/>
    </row>
    <row r="7056" ht="18.75" customHeight="1">
      <c r="A7056" s="14"/>
      <c r="B7056" s="12"/>
      <c r="C7056" s="12"/>
      <c r="D7056" s="12"/>
      <c r="E7056" s="12"/>
      <c r="F7056" s="14"/>
      <c r="G7056" s="15"/>
      <c r="H7056" s="15"/>
      <c r="I7056" s="14"/>
      <c r="P7056" s="14"/>
    </row>
    <row r="7057" ht="18.75" customHeight="1">
      <c r="A7057" s="14"/>
      <c r="B7057" s="12"/>
      <c r="C7057" s="12"/>
      <c r="D7057" s="12"/>
      <c r="E7057" s="12"/>
      <c r="F7057" s="14"/>
      <c r="G7057" s="15"/>
      <c r="H7057" s="15"/>
      <c r="I7057" s="14"/>
      <c r="P7057" s="14"/>
    </row>
    <row r="7058" ht="18.75" customHeight="1">
      <c r="A7058" s="14"/>
      <c r="B7058" s="12"/>
      <c r="C7058" s="12"/>
      <c r="D7058" s="12"/>
      <c r="E7058" s="12"/>
      <c r="F7058" s="14"/>
      <c r="G7058" s="15"/>
      <c r="H7058" s="15"/>
      <c r="I7058" s="14"/>
      <c r="P7058" s="14"/>
    </row>
    <row r="7059" ht="18.75" customHeight="1">
      <c r="A7059" s="14"/>
      <c r="B7059" s="12"/>
      <c r="C7059" s="12"/>
      <c r="D7059" s="12"/>
      <c r="E7059" s="12"/>
      <c r="F7059" s="14"/>
      <c r="G7059" s="15"/>
      <c r="H7059" s="15"/>
      <c r="I7059" s="14"/>
      <c r="P7059" s="14"/>
    </row>
    <row r="7060" ht="18.75" customHeight="1">
      <c r="A7060" s="14"/>
      <c r="B7060" s="12"/>
      <c r="C7060" s="12"/>
      <c r="D7060" s="12"/>
      <c r="E7060" s="12"/>
      <c r="F7060" s="14"/>
      <c r="G7060" s="15"/>
      <c r="H7060" s="15"/>
      <c r="I7060" s="14"/>
      <c r="P7060" s="14"/>
    </row>
    <row r="7061" ht="18.75" customHeight="1">
      <c r="A7061" s="14"/>
      <c r="B7061" s="12"/>
      <c r="C7061" s="12"/>
      <c r="D7061" s="12"/>
      <c r="E7061" s="12"/>
      <c r="F7061" s="14"/>
      <c r="G7061" s="15"/>
      <c r="H7061" s="15"/>
      <c r="I7061" s="14"/>
      <c r="P7061" s="14"/>
    </row>
    <row r="7062" ht="18.75" customHeight="1">
      <c r="A7062" s="14"/>
      <c r="B7062" s="12"/>
      <c r="C7062" s="12"/>
      <c r="D7062" s="12"/>
      <c r="E7062" s="12"/>
      <c r="F7062" s="14"/>
      <c r="G7062" s="15"/>
      <c r="H7062" s="15"/>
      <c r="I7062" s="14"/>
      <c r="P7062" s="14"/>
    </row>
    <row r="7063" ht="18.75" customHeight="1">
      <c r="A7063" s="14"/>
      <c r="B7063" s="12"/>
      <c r="C7063" s="12"/>
      <c r="D7063" s="12"/>
      <c r="E7063" s="12"/>
      <c r="F7063" s="14"/>
      <c r="G7063" s="15"/>
      <c r="H7063" s="15"/>
      <c r="I7063" s="14"/>
      <c r="P7063" s="14"/>
    </row>
    <row r="7064" ht="18.75" customHeight="1">
      <c r="A7064" s="14"/>
      <c r="B7064" s="12"/>
      <c r="C7064" s="12"/>
      <c r="D7064" s="12"/>
      <c r="E7064" s="12"/>
      <c r="F7064" s="14"/>
      <c r="G7064" s="15"/>
      <c r="H7064" s="15"/>
      <c r="I7064" s="14"/>
      <c r="P7064" s="14"/>
    </row>
    <row r="7065" ht="18.75" customHeight="1">
      <c r="A7065" s="14"/>
      <c r="B7065" s="12"/>
      <c r="C7065" s="12"/>
      <c r="D7065" s="12"/>
      <c r="E7065" s="12"/>
      <c r="F7065" s="14"/>
      <c r="G7065" s="15"/>
      <c r="H7065" s="15"/>
      <c r="I7065" s="14"/>
      <c r="P7065" s="14"/>
    </row>
    <row r="7066" ht="18.75" customHeight="1">
      <c r="A7066" s="14"/>
      <c r="B7066" s="12"/>
      <c r="C7066" s="12"/>
      <c r="D7066" s="12"/>
      <c r="E7066" s="12"/>
      <c r="F7066" s="14"/>
      <c r="G7066" s="15"/>
      <c r="H7066" s="15"/>
      <c r="I7066" s="14"/>
      <c r="P7066" s="14"/>
    </row>
    <row r="7067" ht="18.75" customHeight="1">
      <c r="A7067" s="14"/>
      <c r="B7067" s="12"/>
      <c r="C7067" s="12"/>
      <c r="D7067" s="12"/>
      <c r="E7067" s="12"/>
      <c r="F7067" s="14"/>
      <c r="G7067" s="15"/>
      <c r="H7067" s="15"/>
      <c r="I7067" s="14"/>
      <c r="P7067" s="14"/>
    </row>
    <row r="7068" ht="18.75" customHeight="1">
      <c r="A7068" s="14"/>
      <c r="B7068" s="12"/>
      <c r="C7068" s="12"/>
      <c r="D7068" s="12"/>
      <c r="E7068" s="12"/>
      <c r="F7068" s="14"/>
      <c r="G7068" s="15"/>
      <c r="H7068" s="15"/>
      <c r="I7068" s="14"/>
      <c r="P7068" s="14"/>
    </row>
    <row r="7069" ht="18.75" customHeight="1">
      <c r="A7069" s="14"/>
      <c r="B7069" s="12"/>
      <c r="C7069" s="12"/>
      <c r="D7069" s="12"/>
      <c r="E7069" s="12"/>
      <c r="F7069" s="14"/>
      <c r="G7069" s="15"/>
      <c r="H7069" s="15"/>
      <c r="I7069" s="14"/>
      <c r="P7069" s="14"/>
    </row>
    <row r="7070" ht="18.75" customHeight="1">
      <c r="A7070" s="14"/>
      <c r="B7070" s="12"/>
      <c r="C7070" s="12"/>
      <c r="D7070" s="12"/>
      <c r="E7070" s="12"/>
      <c r="F7070" s="14"/>
      <c r="G7070" s="15"/>
      <c r="H7070" s="15"/>
      <c r="I7070" s="14"/>
      <c r="P7070" s="14"/>
    </row>
    <row r="7071" ht="18.75" customHeight="1">
      <c r="A7071" s="14"/>
      <c r="B7071" s="12"/>
      <c r="C7071" s="12"/>
      <c r="D7071" s="12"/>
      <c r="E7071" s="12"/>
      <c r="F7071" s="14"/>
      <c r="G7071" s="15"/>
      <c r="H7071" s="15"/>
      <c r="I7071" s="14"/>
      <c r="P7071" s="14"/>
    </row>
    <row r="7072" ht="18.75" customHeight="1">
      <c r="A7072" s="14"/>
      <c r="B7072" s="12"/>
      <c r="C7072" s="12"/>
      <c r="D7072" s="12"/>
      <c r="E7072" s="12"/>
      <c r="F7072" s="14"/>
      <c r="G7072" s="15"/>
      <c r="H7072" s="15"/>
      <c r="I7072" s="14"/>
      <c r="P7072" s="14"/>
    </row>
    <row r="7073" ht="18.75" customHeight="1">
      <c r="A7073" s="14"/>
      <c r="B7073" s="12"/>
      <c r="C7073" s="12"/>
      <c r="D7073" s="12"/>
      <c r="E7073" s="12"/>
      <c r="F7073" s="14"/>
      <c r="G7073" s="15"/>
      <c r="H7073" s="15"/>
      <c r="I7073" s="14"/>
      <c r="P7073" s="14"/>
    </row>
    <row r="7074" ht="18.75" customHeight="1">
      <c r="A7074" s="14"/>
      <c r="B7074" s="12"/>
      <c r="C7074" s="12"/>
      <c r="D7074" s="12"/>
      <c r="E7074" s="12"/>
      <c r="F7074" s="14"/>
      <c r="G7074" s="15"/>
      <c r="H7074" s="15"/>
      <c r="I7074" s="14"/>
      <c r="P7074" s="14"/>
    </row>
    <row r="7075" ht="18.75" customHeight="1">
      <c r="A7075" s="14"/>
      <c r="B7075" s="12"/>
      <c r="C7075" s="12"/>
      <c r="D7075" s="12"/>
      <c r="E7075" s="12"/>
      <c r="F7075" s="14"/>
      <c r="G7075" s="15"/>
      <c r="H7075" s="15"/>
      <c r="I7075" s="14"/>
      <c r="P7075" s="14"/>
    </row>
    <row r="7076" ht="18.75" customHeight="1">
      <c r="A7076" s="14"/>
      <c r="B7076" s="12"/>
      <c r="C7076" s="12"/>
      <c r="D7076" s="12"/>
      <c r="E7076" s="12"/>
      <c r="F7076" s="14"/>
      <c r="G7076" s="15"/>
      <c r="H7076" s="15"/>
      <c r="I7076" s="14"/>
      <c r="P7076" s="14"/>
    </row>
    <row r="7077" ht="18.75" customHeight="1">
      <c r="A7077" s="14"/>
      <c r="B7077" s="12"/>
      <c r="C7077" s="12"/>
      <c r="D7077" s="12"/>
      <c r="E7077" s="12"/>
      <c r="F7077" s="14"/>
      <c r="G7077" s="15"/>
      <c r="H7077" s="15"/>
      <c r="I7077" s="14"/>
      <c r="P7077" s="14"/>
    </row>
    <row r="7078" ht="18.75" customHeight="1">
      <c r="A7078" s="14"/>
      <c r="B7078" s="12"/>
      <c r="C7078" s="12"/>
      <c r="D7078" s="12"/>
      <c r="E7078" s="12"/>
      <c r="F7078" s="14"/>
      <c r="G7078" s="15"/>
      <c r="H7078" s="15"/>
      <c r="I7078" s="14"/>
      <c r="P7078" s="14"/>
    </row>
    <row r="7079" ht="18.75" customHeight="1">
      <c r="A7079" s="14"/>
      <c r="B7079" s="12"/>
      <c r="C7079" s="12"/>
      <c r="D7079" s="12"/>
      <c r="E7079" s="12"/>
      <c r="F7079" s="14"/>
      <c r="G7079" s="15"/>
      <c r="H7079" s="15"/>
      <c r="I7079" s="14"/>
      <c r="P7079" s="14"/>
    </row>
    <row r="7080" ht="18.75" customHeight="1">
      <c r="A7080" s="14"/>
      <c r="B7080" s="12"/>
      <c r="C7080" s="12"/>
      <c r="D7080" s="12"/>
      <c r="E7080" s="12"/>
      <c r="F7080" s="14"/>
      <c r="G7080" s="15"/>
      <c r="H7080" s="15"/>
      <c r="I7080" s="14"/>
      <c r="P7080" s="14"/>
    </row>
    <row r="7081" ht="18.75" customHeight="1">
      <c r="A7081" s="14"/>
      <c r="B7081" s="12"/>
      <c r="C7081" s="12"/>
      <c r="D7081" s="12"/>
      <c r="E7081" s="12"/>
      <c r="F7081" s="14"/>
      <c r="G7081" s="15"/>
      <c r="H7081" s="15"/>
      <c r="I7081" s="14"/>
      <c r="P7081" s="14"/>
    </row>
    <row r="7082" ht="18.75" customHeight="1">
      <c r="A7082" s="14"/>
      <c r="B7082" s="12"/>
      <c r="C7082" s="12"/>
      <c r="D7082" s="12"/>
      <c r="E7082" s="12"/>
      <c r="F7082" s="14"/>
      <c r="G7082" s="15"/>
      <c r="H7082" s="15"/>
      <c r="I7082" s="14"/>
      <c r="P7082" s="14"/>
    </row>
    <row r="7083" ht="18.75" customHeight="1">
      <c r="A7083" s="14"/>
      <c r="B7083" s="12"/>
      <c r="C7083" s="12"/>
      <c r="D7083" s="12"/>
      <c r="E7083" s="12"/>
      <c r="F7083" s="14"/>
      <c r="G7083" s="15"/>
      <c r="H7083" s="15"/>
      <c r="I7083" s="14"/>
      <c r="P7083" s="14"/>
    </row>
    <row r="7084" ht="18.75" customHeight="1">
      <c r="A7084" s="14"/>
      <c r="B7084" s="12"/>
      <c r="C7084" s="12"/>
      <c r="D7084" s="12"/>
      <c r="E7084" s="12"/>
      <c r="F7084" s="14"/>
      <c r="G7084" s="15"/>
      <c r="H7084" s="15"/>
      <c r="I7084" s="14"/>
      <c r="P7084" s="14"/>
    </row>
    <row r="7085" ht="18.75" customHeight="1">
      <c r="A7085" s="14"/>
      <c r="B7085" s="12"/>
      <c r="C7085" s="12"/>
      <c r="D7085" s="12"/>
      <c r="E7085" s="12"/>
      <c r="F7085" s="14"/>
      <c r="G7085" s="15"/>
      <c r="H7085" s="15"/>
      <c r="I7085" s="14"/>
      <c r="P7085" s="14"/>
    </row>
    <row r="7086" ht="18.75" customHeight="1">
      <c r="A7086" s="14"/>
      <c r="B7086" s="12"/>
      <c r="C7086" s="12"/>
      <c r="D7086" s="12"/>
      <c r="E7086" s="12"/>
      <c r="F7086" s="14"/>
      <c r="G7086" s="15"/>
      <c r="H7086" s="15"/>
      <c r="I7086" s="14"/>
      <c r="P7086" s="14"/>
    </row>
    <row r="7087" ht="18.75" customHeight="1">
      <c r="A7087" s="14"/>
      <c r="B7087" s="12"/>
      <c r="C7087" s="12"/>
      <c r="D7087" s="12"/>
      <c r="E7087" s="12"/>
      <c r="F7087" s="14"/>
      <c r="G7087" s="15"/>
      <c r="H7087" s="15"/>
      <c r="I7087" s="14"/>
      <c r="P7087" s="14"/>
    </row>
    <row r="7088" ht="18.75" customHeight="1">
      <c r="A7088" s="14"/>
      <c r="B7088" s="12"/>
      <c r="C7088" s="12"/>
      <c r="D7088" s="12"/>
      <c r="E7088" s="12"/>
      <c r="F7088" s="14"/>
      <c r="G7088" s="15"/>
      <c r="H7088" s="15"/>
      <c r="I7088" s="14"/>
      <c r="P7088" s="14"/>
    </row>
    <row r="7089" ht="18.75" customHeight="1">
      <c r="A7089" s="14"/>
      <c r="B7089" s="12"/>
      <c r="C7089" s="12"/>
      <c r="D7089" s="12"/>
      <c r="E7089" s="12"/>
      <c r="F7089" s="14"/>
      <c r="G7089" s="15"/>
      <c r="H7089" s="15"/>
      <c r="I7089" s="14"/>
      <c r="P7089" s="14"/>
    </row>
    <row r="7090" ht="18.75" customHeight="1">
      <c r="A7090" s="14"/>
      <c r="B7090" s="12"/>
      <c r="C7090" s="12"/>
      <c r="D7090" s="12"/>
      <c r="E7090" s="12"/>
      <c r="F7090" s="14"/>
      <c r="G7090" s="15"/>
      <c r="H7090" s="15"/>
      <c r="I7090" s="14"/>
      <c r="P7090" s="14"/>
    </row>
    <row r="7091" ht="18.75" customHeight="1">
      <c r="A7091" s="14"/>
      <c r="B7091" s="12"/>
      <c r="C7091" s="12"/>
      <c r="D7091" s="12"/>
      <c r="E7091" s="12"/>
      <c r="F7091" s="14"/>
      <c r="G7091" s="15"/>
      <c r="H7091" s="15"/>
      <c r="I7091" s="14"/>
      <c r="P7091" s="14"/>
    </row>
    <row r="7092" ht="18.75" customHeight="1">
      <c r="A7092" s="14"/>
      <c r="B7092" s="12"/>
      <c r="C7092" s="12"/>
      <c r="D7092" s="12"/>
      <c r="E7092" s="12"/>
      <c r="F7092" s="14"/>
      <c r="G7092" s="15"/>
      <c r="H7092" s="15"/>
      <c r="I7092" s="14"/>
      <c r="P7092" s="14"/>
    </row>
    <row r="7093" ht="18.75" customHeight="1">
      <c r="A7093" s="14"/>
      <c r="B7093" s="12"/>
      <c r="C7093" s="12"/>
      <c r="D7093" s="12"/>
      <c r="E7093" s="12"/>
      <c r="F7093" s="14"/>
      <c r="G7093" s="15"/>
      <c r="H7093" s="15"/>
      <c r="I7093" s="14"/>
      <c r="P7093" s="14"/>
    </row>
    <row r="7094" ht="18.75" customHeight="1">
      <c r="A7094" s="14"/>
      <c r="B7094" s="12"/>
      <c r="C7094" s="12"/>
      <c r="D7094" s="12"/>
      <c r="E7094" s="12"/>
      <c r="F7094" s="14"/>
      <c r="G7094" s="15"/>
      <c r="H7094" s="15"/>
      <c r="I7094" s="14"/>
      <c r="P7094" s="14"/>
    </row>
    <row r="7095" ht="18.75" customHeight="1">
      <c r="A7095" s="14"/>
      <c r="B7095" s="12"/>
      <c r="C7095" s="12"/>
      <c r="D7095" s="12"/>
      <c r="E7095" s="12"/>
      <c r="F7095" s="14"/>
      <c r="G7095" s="15"/>
      <c r="H7095" s="15"/>
      <c r="I7095" s="14"/>
      <c r="P7095" s="14"/>
    </row>
    <row r="7096" ht="18.75" customHeight="1">
      <c r="A7096" s="14"/>
      <c r="B7096" s="12"/>
      <c r="C7096" s="12"/>
      <c r="D7096" s="12"/>
      <c r="E7096" s="12"/>
      <c r="F7096" s="14"/>
      <c r="G7096" s="15"/>
      <c r="H7096" s="15"/>
      <c r="I7096" s="14"/>
      <c r="P7096" s="14"/>
    </row>
    <row r="7097" ht="18.75" customHeight="1">
      <c r="A7097" s="14"/>
      <c r="B7097" s="12"/>
      <c r="C7097" s="12"/>
      <c r="D7097" s="12"/>
      <c r="E7097" s="12"/>
      <c r="F7097" s="14"/>
      <c r="G7097" s="15"/>
      <c r="H7097" s="15"/>
      <c r="I7097" s="14"/>
      <c r="P7097" s="14"/>
    </row>
    <row r="7098" ht="18.75" customHeight="1">
      <c r="A7098" s="14"/>
      <c r="B7098" s="12"/>
      <c r="C7098" s="12"/>
      <c r="D7098" s="12"/>
      <c r="E7098" s="12"/>
      <c r="F7098" s="14"/>
      <c r="G7098" s="15"/>
      <c r="H7098" s="15"/>
      <c r="I7098" s="14"/>
      <c r="P7098" s="14"/>
    </row>
    <row r="7099" ht="18.75" customHeight="1">
      <c r="A7099" s="14"/>
      <c r="B7099" s="12"/>
      <c r="C7099" s="12"/>
      <c r="D7099" s="12"/>
      <c r="E7099" s="12"/>
      <c r="F7099" s="14"/>
      <c r="G7099" s="15"/>
      <c r="H7099" s="15"/>
      <c r="I7099" s="14"/>
      <c r="P7099" s="14"/>
    </row>
    <row r="7100" ht="18.75" customHeight="1">
      <c r="A7100" s="14"/>
      <c r="B7100" s="12"/>
      <c r="C7100" s="12"/>
      <c r="D7100" s="12"/>
      <c r="E7100" s="12"/>
      <c r="F7100" s="14"/>
      <c r="G7100" s="15"/>
      <c r="H7100" s="15"/>
      <c r="I7100" s="14"/>
      <c r="P7100" s="14"/>
    </row>
    <row r="7101" ht="18.75" customHeight="1">
      <c r="A7101" s="14"/>
      <c r="B7101" s="12"/>
      <c r="C7101" s="12"/>
      <c r="D7101" s="12"/>
      <c r="E7101" s="12"/>
      <c r="F7101" s="14"/>
      <c r="G7101" s="15"/>
      <c r="H7101" s="15"/>
      <c r="I7101" s="14"/>
      <c r="P7101" s="14"/>
    </row>
    <row r="7102" ht="18.75" customHeight="1">
      <c r="A7102" s="14"/>
      <c r="B7102" s="12"/>
      <c r="C7102" s="12"/>
      <c r="D7102" s="12"/>
      <c r="E7102" s="12"/>
      <c r="F7102" s="14"/>
      <c r="G7102" s="15"/>
      <c r="H7102" s="15"/>
      <c r="I7102" s="14"/>
      <c r="P7102" s="14"/>
    </row>
    <row r="7103" ht="18.75" customHeight="1">
      <c r="A7103" s="14"/>
      <c r="B7103" s="12"/>
      <c r="C7103" s="12"/>
      <c r="D7103" s="12"/>
      <c r="E7103" s="12"/>
      <c r="F7103" s="14"/>
      <c r="G7103" s="15"/>
      <c r="H7103" s="15"/>
      <c r="I7103" s="14"/>
      <c r="P7103" s="14"/>
    </row>
    <row r="7104" ht="18.75" customHeight="1">
      <c r="A7104" s="14"/>
      <c r="B7104" s="12"/>
      <c r="C7104" s="12"/>
      <c r="D7104" s="12"/>
      <c r="E7104" s="12"/>
      <c r="F7104" s="14"/>
      <c r="G7104" s="15"/>
      <c r="H7104" s="15"/>
      <c r="I7104" s="14"/>
      <c r="P7104" s="14"/>
    </row>
    <row r="7105" ht="18.75" customHeight="1">
      <c r="A7105" s="14"/>
      <c r="B7105" s="12"/>
      <c r="C7105" s="12"/>
      <c r="D7105" s="12"/>
      <c r="E7105" s="12"/>
      <c r="F7105" s="14"/>
      <c r="G7105" s="15"/>
      <c r="H7105" s="15"/>
      <c r="I7105" s="14"/>
      <c r="P7105" s="14"/>
    </row>
    <row r="7106" ht="18.75" customHeight="1">
      <c r="A7106" s="14"/>
      <c r="B7106" s="12"/>
      <c r="C7106" s="12"/>
      <c r="D7106" s="12"/>
      <c r="E7106" s="12"/>
      <c r="F7106" s="14"/>
      <c r="G7106" s="15"/>
      <c r="H7106" s="15"/>
      <c r="I7106" s="14"/>
      <c r="P7106" s="14"/>
    </row>
    <row r="7107" ht="18.75" customHeight="1">
      <c r="A7107" s="14"/>
      <c r="B7107" s="12"/>
      <c r="C7107" s="12"/>
      <c r="D7107" s="12"/>
      <c r="E7107" s="12"/>
      <c r="F7107" s="14"/>
      <c r="G7107" s="15"/>
      <c r="H7107" s="15"/>
      <c r="I7107" s="14"/>
      <c r="P7107" s="14"/>
    </row>
    <row r="7108" ht="18.75" customHeight="1">
      <c r="A7108" s="14"/>
      <c r="B7108" s="12"/>
      <c r="C7108" s="12"/>
      <c r="D7108" s="12"/>
      <c r="E7108" s="12"/>
      <c r="F7108" s="14"/>
      <c r="G7108" s="15"/>
      <c r="H7108" s="15"/>
      <c r="I7108" s="14"/>
      <c r="P7108" s="14"/>
    </row>
    <row r="7109" ht="18.75" customHeight="1">
      <c r="A7109" s="14"/>
      <c r="B7109" s="12"/>
      <c r="C7109" s="12"/>
      <c r="D7109" s="12"/>
      <c r="E7109" s="12"/>
      <c r="F7109" s="14"/>
      <c r="G7109" s="15"/>
      <c r="H7109" s="15"/>
      <c r="I7109" s="14"/>
      <c r="P7109" s="14"/>
    </row>
    <row r="7110" ht="18.75" customHeight="1">
      <c r="A7110" s="14"/>
      <c r="B7110" s="12"/>
      <c r="C7110" s="12"/>
      <c r="D7110" s="12"/>
      <c r="E7110" s="12"/>
      <c r="F7110" s="14"/>
      <c r="G7110" s="15"/>
      <c r="H7110" s="15"/>
      <c r="I7110" s="14"/>
      <c r="P7110" s="14"/>
    </row>
    <row r="7111" ht="18.75" customHeight="1">
      <c r="A7111" s="14"/>
      <c r="B7111" s="12"/>
      <c r="C7111" s="12"/>
      <c r="D7111" s="12"/>
      <c r="E7111" s="12"/>
      <c r="F7111" s="14"/>
      <c r="G7111" s="15"/>
      <c r="H7111" s="15"/>
      <c r="I7111" s="14"/>
      <c r="P7111" s="14"/>
    </row>
    <row r="7112" ht="18.75" customHeight="1">
      <c r="A7112" s="14"/>
      <c r="B7112" s="12"/>
      <c r="C7112" s="12"/>
      <c r="D7112" s="12"/>
      <c r="E7112" s="12"/>
      <c r="F7112" s="14"/>
      <c r="G7112" s="15"/>
      <c r="H7112" s="15"/>
      <c r="I7112" s="14"/>
      <c r="P7112" s="14"/>
    </row>
    <row r="7113" ht="18.75" customHeight="1">
      <c r="A7113" s="14"/>
      <c r="B7113" s="12"/>
      <c r="C7113" s="12"/>
      <c r="D7113" s="12"/>
      <c r="E7113" s="12"/>
      <c r="F7113" s="14"/>
      <c r="G7113" s="15"/>
      <c r="H7113" s="15"/>
      <c r="I7113" s="14"/>
      <c r="P7113" s="14"/>
    </row>
    <row r="7114" ht="18.75" customHeight="1">
      <c r="A7114" s="14"/>
      <c r="B7114" s="12"/>
      <c r="C7114" s="12"/>
      <c r="D7114" s="12"/>
      <c r="E7114" s="12"/>
      <c r="F7114" s="14"/>
      <c r="G7114" s="15"/>
      <c r="H7114" s="15"/>
      <c r="I7114" s="14"/>
      <c r="P7114" s="14"/>
    </row>
    <row r="7115" ht="18.75" customHeight="1">
      <c r="A7115" s="14"/>
      <c r="B7115" s="12"/>
      <c r="C7115" s="12"/>
      <c r="D7115" s="12"/>
      <c r="E7115" s="12"/>
      <c r="F7115" s="14"/>
      <c r="G7115" s="15"/>
      <c r="H7115" s="15"/>
      <c r="I7115" s="14"/>
      <c r="P7115" s="14"/>
    </row>
    <row r="7116" ht="18.75" customHeight="1">
      <c r="A7116" s="14"/>
      <c r="B7116" s="12"/>
      <c r="C7116" s="12"/>
      <c r="D7116" s="12"/>
      <c r="E7116" s="12"/>
      <c r="F7116" s="14"/>
      <c r="G7116" s="15"/>
      <c r="H7116" s="15"/>
      <c r="I7116" s="14"/>
      <c r="P7116" s="14"/>
    </row>
    <row r="7117" ht="18.75" customHeight="1">
      <c r="A7117" s="14"/>
      <c r="B7117" s="12"/>
      <c r="C7117" s="12"/>
      <c r="D7117" s="12"/>
      <c r="E7117" s="12"/>
      <c r="F7117" s="14"/>
      <c r="G7117" s="15"/>
      <c r="H7117" s="15"/>
      <c r="I7117" s="14"/>
      <c r="P7117" s="14"/>
    </row>
    <row r="7118" ht="18.75" customHeight="1">
      <c r="A7118" s="14"/>
      <c r="B7118" s="12"/>
      <c r="C7118" s="12"/>
      <c r="D7118" s="12"/>
      <c r="E7118" s="12"/>
      <c r="F7118" s="14"/>
      <c r="G7118" s="15"/>
      <c r="H7118" s="15"/>
      <c r="I7118" s="14"/>
      <c r="P7118" s="14"/>
    </row>
    <row r="7119" ht="18.75" customHeight="1">
      <c r="A7119" s="14"/>
      <c r="B7119" s="12"/>
      <c r="C7119" s="12"/>
      <c r="D7119" s="12"/>
      <c r="E7119" s="12"/>
      <c r="F7119" s="14"/>
      <c r="G7119" s="15"/>
      <c r="H7119" s="15"/>
      <c r="I7119" s="14"/>
      <c r="P7119" s="14"/>
    </row>
    <row r="7120" ht="18.75" customHeight="1">
      <c r="A7120" s="14"/>
      <c r="B7120" s="12"/>
      <c r="C7120" s="12"/>
      <c r="D7120" s="12"/>
      <c r="E7120" s="12"/>
      <c r="F7120" s="14"/>
      <c r="G7120" s="15"/>
      <c r="H7120" s="15"/>
      <c r="I7120" s="14"/>
      <c r="P7120" s="14"/>
    </row>
    <row r="7121" ht="18.75" customHeight="1">
      <c r="A7121" s="14"/>
      <c r="B7121" s="12"/>
      <c r="C7121" s="12"/>
      <c r="D7121" s="12"/>
      <c r="E7121" s="12"/>
      <c r="F7121" s="14"/>
      <c r="G7121" s="15"/>
      <c r="H7121" s="15"/>
      <c r="I7121" s="14"/>
      <c r="P7121" s="14"/>
    </row>
    <row r="7122" ht="18.75" customHeight="1">
      <c r="A7122" s="14"/>
      <c r="B7122" s="12"/>
      <c r="C7122" s="12"/>
      <c r="D7122" s="12"/>
      <c r="E7122" s="12"/>
      <c r="F7122" s="14"/>
      <c r="G7122" s="15"/>
      <c r="H7122" s="15"/>
      <c r="I7122" s="14"/>
      <c r="P7122" s="14"/>
    </row>
    <row r="7123" ht="18.75" customHeight="1">
      <c r="A7123" s="14"/>
      <c r="B7123" s="12"/>
      <c r="C7123" s="12"/>
      <c r="D7123" s="12"/>
      <c r="E7123" s="12"/>
      <c r="F7123" s="14"/>
      <c r="G7123" s="15"/>
      <c r="H7123" s="15"/>
      <c r="I7123" s="14"/>
      <c r="P7123" s="14"/>
    </row>
    <row r="7124" ht="18.75" customHeight="1">
      <c r="A7124" s="14"/>
      <c r="B7124" s="12"/>
      <c r="C7124" s="12"/>
      <c r="D7124" s="12"/>
      <c r="E7124" s="12"/>
      <c r="F7124" s="14"/>
      <c r="G7124" s="15"/>
      <c r="H7124" s="15"/>
      <c r="I7124" s="14"/>
      <c r="P7124" s="14"/>
    </row>
    <row r="7125" ht="18.75" customHeight="1">
      <c r="A7125" s="14"/>
      <c r="B7125" s="12"/>
      <c r="C7125" s="12"/>
      <c r="D7125" s="12"/>
      <c r="E7125" s="12"/>
      <c r="F7125" s="14"/>
      <c r="G7125" s="15"/>
      <c r="H7125" s="15"/>
      <c r="I7125" s="14"/>
      <c r="P7125" s="14"/>
    </row>
    <row r="7126" ht="18.75" customHeight="1">
      <c r="A7126" s="14"/>
      <c r="B7126" s="12"/>
      <c r="C7126" s="12"/>
      <c r="D7126" s="12"/>
      <c r="E7126" s="12"/>
      <c r="F7126" s="14"/>
      <c r="G7126" s="15"/>
      <c r="H7126" s="15"/>
      <c r="I7126" s="14"/>
      <c r="P7126" s="14"/>
    </row>
    <row r="7127" ht="18.75" customHeight="1">
      <c r="A7127" s="14"/>
      <c r="B7127" s="12"/>
      <c r="C7127" s="12"/>
      <c r="D7127" s="12"/>
      <c r="E7127" s="12"/>
      <c r="F7127" s="14"/>
      <c r="G7127" s="15"/>
      <c r="H7127" s="15"/>
      <c r="I7127" s="14"/>
      <c r="P7127" s="14"/>
    </row>
    <row r="7128" ht="18.75" customHeight="1">
      <c r="A7128" s="14"/>
      <c r="B7128" s="12"/>
      <c r="C7128" s="12"/>
      <c r="D7128" s="12"/>
      <c r="E7128" s="12"/>
      <c r="F7128" s="14"/>
      <c r="G7128" s="15"/>
      <c r="H7128" s="15"/>
      <c r="I7128" s="14"/>
      <c r="P7128" s="14"/>
    </row>
    <row r="7129" ht="18.75" customHeight="1">
      <c r="A7129" s="14"/>
      <c r="B7129" s="12"/>
      <c r="C7129" s="12"/>
      <c r="D7129" s="12"/>
      <c r="E7129" s="12"/>
      <c r="F7129" s="14"/>
      <c r="G7129" s="15"/>
      <c r="H7129" s="15"/>
      <c r="I7129" s="14"/>
      <c r="P7129" s="14"/>
    </row>
    <row r="7130" ht="18.75" customHeight="1">
      <c r="A7130" s="14"/>
      <c r="B7130" s="12"/>
      <c r="C7130" s="12"/>
      <c r="D7130" s="12"/>
      <c r="E7130" s="12"/>
      <c r="F7130" s="14"/>
      <c r="G7130" s="15"/>
      <c r="H7130" s="15"/>
      <c r="I7130" s="14"/>
      <c r="P7130" s="14"/>
    </row>
    <row r="7131" ht="18.75" customHeight="1">
      <c r="A7131" s="14"/>
      <c r="B7131" s="12"/>
      <c r="C7131" s="12"/>
      <c r="D7131" s="12"/>
      <c r="E7131" s="12"/>
      <c r="F7131" s="14"/>
      <c r="G7131" s="15"/>
      <c r="H7131" s="15"/>
      <c r="I7131" s="14"/>
      <c r="P7131" s="14"/>
    </row>
    <row r="7132" ht="18.75" customHeight="1">
      <c r="A7132" s="14"/>
      <c r="B7132" s="12"/>
      <c r="C7132" s="12"/>
      <c r="D7132" s="12"/>
      <c r="E7132" s="12"/>
      <c r="F7132" s="14"/>
      <c r="G7132" s="15"/>
      <c r="H7132" s="15"/>
      <c r="I7132" s="14"/>
      <c r="P7132" s="14"/>
    </row>
    <row r="7133" ht="18.75" customHeight="1">
      <c r="A7133" s="14"/>
      <c r="B7133" s="12"/>
      <c r="C7133" s="12"/>
      <c r="D7133" s="12"/>
      <c r="E7133" s="12"/>
      <c r="F7133" s="14"/>
      <c r="G7133" s="15"/>
      <c r="H7133" s="15"/>
      <c r="I7133" s="14"/>
      <c r="P7133" s="14"/>
    </row>
    <row r="7134" ht="18.75" customHeight="1">
      <c r="A7134" s="14"/>
      <c r="B7134" s="12"/>
      <c r="C7134" s="12"/>
      <c r="D7134" s="12"/>
      <c r="E7134" s="12"/>
      <c r="F7134" s="14"/>
      <c r="G7134" s="15"/>
      <c r="H7134" s="15"/>
      <c r="I7134" s="14"/>
      <c r="P7134" s="14"/>
    </row>
    <row r="7135" ht="18.75" customHeight="1">
      <c r="A7135" s="14"/>
      <c r="B7135" s="12"/>
      <c r="C7135" s="12"/>
      <c r="D7135" s="12"/>
      <c r="E7135" s="12"/>
      <c r="F7135" s="14"/>
      <c r="G7135" s="15"/>
      <c r="H7135" s="15"/>
      <c r="I7135" s="14"/>
      <c r="P7135" s="14"/>
    </row>
    <row r="7136" ht="18.75" customHeight="1">
      <c r="A7136" s="14"/>
      <c r="B7136" s="12"/>
      <c r="C7136" s="12"/>
      <c r="D7136" s="12"/>
      <c r="E7136" s="12"/>
      <c r="F7136" s="14"/>
      <c r="G7136" s="15"/>
      <c r="H7136" s="15"/>
      <c r="I7136" s="14"/>
      <c r="P7136" s="14"/>
    </row>
    <row r="7137" ht="18.75" customHeight="1">
      <c r="A7137" s="14"/>
      <c r="B7137" s="12"/>
      <c r="C7137" s="12"/>
      <c r="D7137" s="12"/>
      <c r="E7137" s="12"/>
      <c r="F7137" s="14"/>
      <c r="G7137" s="15"/>
      <c r="H7137" s="15"/>
      <c r="I7137" s="14"/>
      <c r="P7137" s="14"/>
    </row>
    <row r="7138" ht="18.75" customHeight="1">
      <c r="A7138" s="14"/>
      <c r="B7138" s="12"/>
      <c r="C7138" s="12"/>
      <c r="D7138" s="12"/>
      <c r="E7138" s="12"/>
      <c r="F7138" s="14"/>
      <c r="G7138" s="15"/>
      <c r="H7138" s="15"/>
      <c r="I7138" s="14"/>
      <c r="P7138" s="14"/>
    </row>
    <row r="7139" ht="18.75" customHeight="1">
      <c r="A7139" s="14"/>
      <c r="B7139" s="12"/>
      <c r="C7139" s="12"/>
      <c r="D7139" s="12"/>
      <c r="E7139" s="12"/>
      <c r="F7139" s="14"/>
      <c r="G7139" s="15"/>
      <c r="H7139" s="15"/>
      <c r="I7139" s="14"/>
      <c r="P7139" s="14"/>
    </row>
    <row r="7140" ht="18.75" customHeight="1">
      <c r="A7140" s="14"/>
      <c r="B7140" s="12"/>
      <c r="C7140" s="12"/>
      <c r="D7140" s="12"/>
      <c r="E7140" s="12"/>
      <c r="F7140" s="14"/>
      <c r="G7140" s="15"/>
      <c r="H7140" s="15"/>
      <c r="I7140" s="14"/>
      <c r="P7140" s="14"/>
    </row>
    <row r="7141" ht="18.75" customHeight="1">
      <c r="A7141" s="14"/>
      <c r="B7141" s="12"/>
      <c r="C7141" s="12"/>
      <c r="D7141" s="12"/>
      <c r="E7141" s="12"/>
      <c r="F7141" s="14"/>
      <c r="G7141" s="15"/>
      <c r="H7141" s="15"/>
      <c r="I7141" s="14"/>
      <c r="P7141" s="14"/>
    </row>
    <row r="7142" ht="18.75" customHeight="1">
      <c r="A7142" s="14"/>
      <c r="B7142" s="12"/>
      <c r="C7142" s="12"/>
      <c r="D7142" s="12"/>
      <c r="E7142" s="12"/>
      <c r="F7142" s="14"/>
      <c r="G7142" s="15"/>
      <c r="H7142" s="15"/>
      <c r="I7142" s="14"/>
      <c r="P7142" s="14"/>
    </row>
    <row r="7143" ht="18.75" customHeight="1">
      <c r="A7143" s="14"/>
      <c r="B7143" s="12"/>
      <c r="C7143" s="12"/>
      <c r="D7143" s="12"/>
      <c r="E7143" s="12"/>
      <c r="F7143" s="14"/>
      <c r="G7143" s="15"/>
      <c r="H7143" s="15"/>
      <c r="I7143" s="14"/>
      <c r="P7143" s="14"/>
    </row>
    <row r="7144" ht="18.75" customHeight="1">
      <c r="A7144" s="14"/>
      <c r="B7144" s="12"/>
      <c r="C7144" s="12"/>
      <c r="D7144" s="12"/>
      <c r="E7144" s="12"/>
      <c r="F7144" s="14"/>
      <c r="G7144" s="15"/>
      <c r="H7144" s="15"/>
      <c r="I7144" s="14"/>
      <c r="P7144" s="14"/>
    </row>
    <row r="7145" ht="18.75" customHeight="1">
      <c r="A7145" s="14"/>
      <c r="B7145" s="12"/>
      <c r="C7145" s="12"/>
      <c r="D7145" s="12"/>
      <c r="E7145" s="12"/>
      <c r="F7145" s="14"/>
      <c r="G7145" s="15"/>
      <c r="H7145" s="15"/>
      <c r="I7145" s="14"/>
      <c r="P7145" s="14"/>
    </row>
    <row r="7146" ht="18.75" customHeight="1">
      <c r="A7146" s="14"/>
      <c r="B7146" s="12"/>
      <c r="C7146" s="12"/>
      <c r="D7146" s="12"/>
      <c r="E7146" s="12"/>
      <c r="F7146" s="14"/>
      <c r="G7146" s="15"/>
      <c r="H7146" s="15"/>
      <c r="I7146" s="14"/>
      <c r="P7146" s="14"/>
    </row>
    <row r="7147" ht="18.75" customHeight="1">
      <c r="A7147" s="14"/>
      <c r="B7147" s="12"/>
      <c r="C7147" s="12"/>
      <c r="D7147" s="12"/>
      <c r="E7147" s="12"/>
      <c r="F7147" s="14"/>
      <c r="G7147" s="15"/>
      <c r="H7147" s="15"/>
      <c r="I7147" s="14"/>
      <c r="P7147" s="14"/>
    </row>
    <row r="7148" ht="18.75" customHeight="1">
      <c r="A7148" s="14"/>
      <c r="B7148" s="12"/>
      <c r="C7148" s="12"/>
      <c r="D7148" s="12"/>
      <c r="E7148" s="12"/>
      <c r="F7148" s="14"/>
      <c r="G7148" s="15"/>
      <c r="H7148" s="15"/>
      <c r="I7148" s="14"/>
      <c r="P7148" s="14"/>
    </row>
    <row r="7149" ht="18.75" customHeight="1">
      <c r="A7149" s="14"/>
      <c r="B7149" s="12"/>
      <c r="C7149" s="12"/>
      <c r="D7149" s="12"/>
      <c r="E7149" s="12"/>
      <c r="F7149" s="14"/>
      <c r="G7149" s="15"/>
      <c r="H7149" s="15"/>
      <c r="I7149" s="14"/>
      <c r="P7149" s="14"/>
    </row>
    <row r="7150" ht="18.75" customHeight="1">
      <c r="A7150" s="14"/>
      <c r="B7150" s="12"/>
      <c r="C7150" s="12"/>
      <c r="D7150" s="12"/>
      <c r="E7150" s="12"/>
      <c r="F7150" s="14"/>
      <c r="G7150" s="15"/>
      <c r="H7150" s="15"/>
      <c r="I7150" s="14"/>
      <c r="P7150" s="14"/>
    </row>
    <row r="7151" ht="18.75" customHeight="1">
      <c r="A7151" s="14"/>
      <c r="B7151" s="12"/>
      <c r="C7151" s="12"/>
      <c r="D7151" s="12"/>
      <c r="E7151" s="12"/>
      <c r="F7151" s="14"/>
      <c r="G7151" s="15"/>
      <c r="H7151" s="15"/>
      <c r="I7151" s="14"/>
      <c r="P7151" s="14"/>
    </row>
    <row r="7152" ht="18.75" customHeight="1">
      <c r="A7152" s="14"/>
      <c r="B7152" s="12"/>
      <c r="C7152" s="12"/>
      <c r="D7152" s="12"/>
      <c r="E7152" s="12"/>
      <c r="F7152" s="14"/>
      <c r="G7152" s="15"/>
      <c r="H7152" s="15"/>
      <c r="I7152" s="14"/>
      <c r="P7152" s="14"/>
    </row>
    <row r="7153" ht="18.75" customHeight="1">
      <c r="A7153" s="14"/>
      <c r="B7153" s="12"/>
      <c r="C7153" s="12"/>
      <c r="D7153" s="12"/>
      <c r="E7153" s="12"/>
      <c r="F7153" s="14"/>
      <c r="G7153" s="15"/>
      <c r="H7153" s="15"/>
      <c r="I7153" s="14"/>
      <c r="P7153" s="14"/>
    </row>
    <row r="7154" ht="18.75" customHeight="1">
      <c r="A7154" s="14"/>
      <c r="B7154" s="12"/>
      <c r="C7154" s="12"/>
      <c r="D7154" s="12"/>
      <c r="E7154" s="12"/>
      <c r="F7154" s="14"/>
      <c r="G7154" s="15"/>
      <c r="H7154" s="15"/>
      <c r="I7154" s="14"/>
      <c r="P7154" s="14"/>
    </row>
    <row r="7155" ht="18.75" customHeight="1">
      <c r="A7155" s="14"/>
      <c r="B7155" s="12"/>
      <c r="C7155" s="12"/>
      <c r="D7155" s="12"/>
      <c r="E7155" s="12"/>
      <c r="F7155" s="14"/>
      <c r="G7155" s="15"/>
      <c r="H7155" s="15"/>
      <c r="I7155" s="14"/>
      <c r="P7155" s="14"/>
    </row>
    <row r="7156" ht="18.75" customHeight="1">
      <c r="A7156" s="14"/>
      <c r="B7156" s="12"/>
      <c r="C7156" s="12"/>
      <c r="D7156" s="12"/>
      <c r="E7156" s="12"/>
      <c r="F7156" s="14"/>
      <c r="G7156" s="15"/>
      <c r="H7156" s="15"/>
      <c r="I7156" s="14"/>
      <c r="P7156" s="14"/>
    </row>
    <row r="7157" ht="18.75" customHeight="1">
      <c r="A7157" s="14"/>
      <c r="B7157" s="12"/>
      <c r="C7157" s="12"/>
      <c r="D7157" s="12"/>
      <c r="E7157" s="12"/>
      <c r="F7157" s="14"/>
      <c r="G7157" s="15"/>
      <c r="H7157" s="15"/>
      <c r="I7157" s="14"/>
      <c r="P7157" s="14"/>
    </row>
    <row r="7158" ht="18.75" customHeight="1">
      <c r="A7158" s="14"/>
      <c r="B7158" s="12"/>
      <c r="C7158" s="12"/>
      <c r="D7158" s="12"/>
      <c r="E7158" s="12"/>
      <c r="F7158" s="14"/>
      <c r="G7158" s="15"/>
      <c r="H7158" s="15"/>
      <c r="I7158" s="14"/>
      <c r="P7158" s="14"/>
    </row>
    <row r="7159" ht="18.75" customHeight="1">
      <c r="A7159" s="14"/>
      <c r="B7159" s="12"/>
      <c r="C7159" s="12"/>
      <c r="D7159" s="12"/>
      <c r="E7159" s="12"/>
      <c r="F7159" s="14"/>
      <c r="G7159" s="15"/>
      <c r="H7159" s="15"/>
      <c r="I7159" s="14"/>
      <c r="P7159" s="14"/>
    </row>
    <row r="7160" ht="18.75" customHeight="1">
      <c r="A7160" s="14"/>
      <c r="B7160" s="12"/>
      <c r="C7160" s="12"/>
      <c r="D7160" s="12"/>
      <c r="E7160" s="12"/>
      <c r="F7160" s="14"/>
      <c r="G7160" s="15"/>
      <c r="H7160" s="15"/>
      <c r="I7160" s="14"/>
      <c r="P7160" s="14"/>
    </row>
    <row r="7161" ht="18.75" customHeight="1">
      <c r="A7161" s="14"/>
      <c r="B7161" s="12"/>
      <c r="C7161" s="12"/>
      <c r="D7161" s="12"/>
      <c r="E7161" s="12"/>
      <c r="F7161" s="14"/>
      <c r="G7161" s="15"/>
      <c r="H7161" s="15"/>
      <c r="I7161" s="14"/>
      <c r="P7161" s="14"/>
    </row>
    <row r="7162" ht="18.75" customHeight="1">
      <c r="A7162" s="14"/>
      <c r="B7162" s="12"/>
      <c r="C7162" s="12"/>
      <c r="D7162" s="12"/>
      <c r="E7162" s="12"/>
      <c r="F7162" s="14"/>
      <c r="G7162" s="15"/>
      <c r="H7162" s="15"/>
      <c r="I7162" s="14"/>
      <c r="P7162" s="14"/>
    </row>
    <row r="7163" ht="18.75" customHeight="1">
      <c r="A7163" s="14"/>
      <c r="B7163" s="12"/>
      <c r="C7163" s="12"/>
      <c r="D7163" s="12"/>
      <c r="E7163" s="12"/>
      <c r="F7163" s="14"/>
      <c r="G7163" s="15"/>
      <c r="H7163" s="15"/>
      <c r="I7163" s="14"/>
      <c r="P7163" s="14"/>
    </row>
    <row r="7164" ht="18.75" customHeight="1">
      <c r="A7164" s="14"/>
      <c r="B7164" s="12"/>
      <c r="C7164" s="12"/>
      <c r="D7164" s="12"/>
      <c r="E7164" s="12"/>
      <c r="F7164" s="14"/>
      <c r="G7164" s="15"/>
      <c r="H7164" s="15"/>
      <c r="I7164" s="14"/>
      <c r="P7164" s="14"/>
    </row>
    <row r="7165" ht="18.75" customHeight="1">
      <c r="A7165" s="14"/>
      <c r="B7165" s="12"/>
      <c r="C7165" s="12"/>
      <c r="D7165" s="12"/>
      <c r="E7165" s="12"/>
      <c r="F7165" s="14"/>
      <c r="G7165" s="15"/>
      <c r="H7165" s="15"/>
      <c r="I7165" s="14"/>
      <c r="P7165" s="14"/>
    </row>
    <row r="7166" ht="18.75" customHeight="1">
      <c r="A7166" s="14"/>
      <c r="B7166" s="12"/>
      <c r="C7166" s="12"/>
      <c r="D7166" s="12"/>
      <c r="E7166" s="12"/>
      <c r="F7166" s="14"/>
      <c r="G7166" s="15"/>
      <c r="H7166" s="15"/>
      <c r="I7166" s="14"/>
      <c r="P7166" s="14"/>
    </row>
    <row r="7167" ht="18.75" customHeight="1">
      <c r="A7167" s="14"/>
      <c r="B7167" s="12"/>
      <c r="C7167" s="12"/>
      <c r="D7167" s="12"/>
      <c r="E7167" s="12"/>
      <c r="F7167" s="14"/>
      <c r="G7167" s="15"/>
      <c r="H7167" s="15"/>
      <c r="I7167" s="14"/>
      <c r="P7167" s="14"/>
    </row>
    <row r="7168" ht="18.75" customHeight="1">
      <c r="A7168" s="14"/>
      <c r="B7168" s="12"/>
      <c r="C7168" s="12"/>
      <c r="D7168" s="12"/>
      <c r="E7168" s="12"/>
      <c r="F7168" s="14"/>
      <c r="G7168" s="15"/>
      <c r="H7168" s="15"/>
      <c r="I7168" s="14"/>
      <c r="P7168" s="14"/>
    </row>
    <row r="7169" ht="18.75" customHeight="1">
      <c r="A7169" s="14"/>
      <c r="B7169" s="12"/>
      <c r="C7169" s="12"/>
      <c r="D7169" s="12"/>
      <c r="E7169" s="12"/>
      <c r="F7169" s="14"/>
      <c r="G7169" s="15"/>
      <c r="H7169" s="15"/>
      <c r="I7169" s="14"/>
      <c r="P7169" s="14"/>
    </row>
    <row r="7170" ht="18.75" customHeight="1">
      <c r="A7170" s="14"/>
      <c r="B7170" s="12"/>
      <c r="C7170" s="12"/>
      <c r="D7170" s="12"/>
      <c r="E7170" s="12"/>
      <c r="F7170" s="14"/>
      <c r="G7170" s="15"/>
      <c r="H7170" s="15"/>
      <c r="I7170" s="14"/>
      <c r="P7170" s="14"/>
    </row>
    <row r="7171" ht="18.75" customHeight="1">
      <c r="A7171" s="14"/>
      <c r="B7171" s="12"/>
      <c r="C7171" s="12"/>
      <c r="D7171" s="12"/>
      <c r="E7171" s="12"/>
      <c r="F7171" s="14"/>
      <c r="G7171" s="15"/>
      <c r="H7171" s="15"/>
      <c r="I7171" s="14"/>
      <c r="P7171" s="14"/>
    </row>
    <row r="7172" ht="18.75" customHeight="1">
      <c r="A7172" s="14"/>
      <c r="B7172" s="12"/>
      <c r="C7172" s="12"/>
      <c r="D7172" s="12"/>
      <c r="E7172" s="12"/>
      <c r="F7172" s="14"/>
      <c r="G7172" s="15"/>
      <c r="H7172" s="15"/>
      <c r="I7172" s="14"/>
      <c r="P7172" s="14"/>
    </row>
    <row r="7173" ht="18.75" customHeight="1">
      <c r="A7173" s="14"/>
      <c r="B7173" s="12"/>
      <c r="C7173" s="12"/>
      <c r="D7173" s="12"/>
      <c r="E7173" s="12"/>
      <c r="F7173" s="14"/>
      <c r="G7173" s="15"/>
      <c r="H7173" s="15"/>
      <c r="I7173" s="14"/>
      <c r="P7173" s="14"/>
    </row>
    <row r="7174" ht="18.75" customHeight="1">
      <c r="A7174" s="14"/>
      <c r="B7174" s="12"/>
      <c r="C7174" s="12"/>
      <c r="D7174" s="12"/>
      <c r="E7174" s="12"/>
      <c r="F7174" s="14"/>
      <c r="G7174" s="15"/>
      <c r="H7174" s="15"/>
      <c r="I7174" s="14"/>
      <c r="P7174" s="14"/>
    </row>
    <row r="7175" ht="18.75" customHeight="1">
      <c r="A7175" s="14"/>
      <c r="B7175" s="12"/>
      <c r="C7175" s="12"/>
      <c r="D7175" s="12"/>
      <c r="E7175" s="12"/>
      <c r="F7175" s="14"/>
      <c r="G7175" s="15"/>
      <c r="H7175" s="15"/>
      <c r="I7175" s="14"/>
      <c r="P7175" s="14"/>
    </row>
    <row r="7176" ht="18.75" customHeight="1">
      <c r="A7176" s="14"/>
      <c r="B7176" s="12"/>
      <c r="C7176" s="12"/>
      <c r="D7176" s="12"/>
      <c r="E7176" s="12"/>
      <c r="F7176" s="14"/>
      <c r="G7176" s="15"/>
      <c r="H7176" s="15"/>
      <c r="I7176" s="14"/>
      <c r="P7176" s="14"/>
    </row>
    <row r="7177" ht="18.75" customHeight="1">
      <c r="A7177" s="14"/>
      <c r="B7177" s="12"/>
      <c r="C7177" s="12"/>
      <c r="D7177" s="12"/>
      <c r="E7177" s="12"/>
      <c r="F7177" s="14"/>
      <c r="G7177" s="15"/>
      <c r="H7177" s="15"/>
      <c r="I7177" s="14"/>
      <c r="P7177" s="14"/>
    </row>
    <row r="7178" ht="18.75" customHeight="1">
      <c r="A7178" s="14"/>
      <c r="B7178" s="12"/>
      <c r="C7178" s="12"/>
      <c r="D7178" s="12"/>
      <c r="E7178" s="12"/>
      <c r="F7178" s="14"/>
      <c r="G7178" s="15"/>
      <c r="H7178" s="15"/>
      <c r="I7178" s="14"/>
      <c r="P7178" s="14"/>
    </row>
    <row r="7179" ht="18.75" customHeight="1">
      <c r="A7179" s="14"/>
      <c r="B7179" s="12"/>
      <c r="C7179" s="12"/>
      <c r="D7179" s="12"/>
      <c r="E7179" s="12"/>
      <c r="F7179" s="14"/>
      <c r="G7179" s="15"/>
      <c r="H7179" s="15"/>
      <c r="I7179" s="14"/>
      <c r="P7179" s="14"/>
    </row>
    <row r="7180" ht="18.75" customHeight="1">
      <c r="A7180" s="14"/>
      <c r="B7180" s="12"/>
      <c r="C7180" s="12"/>
      <c r="D7180" s="12"/>
      <c r="E7180" s="12"/>
      <c r="F7180" s="14"/>
      <c r="G7180" s="15"/>
      <c r="H7180" s="15"/>
      <c r="I7180" s="14"/>
      <c r="P7180" s="14"/>
    </row>
    <row r="7181" ht="18.75" customHeight="1">
      <c r="A7181" s="14"/>
      <c r="B7181" s="12"/>
      <c r="C7181" s="12"/>
      <c r="D7181" s="12"/>
      <c r="E7181" s="12"/>
      <c r="F7181" s="14"/>
      <c r="G7181" s="15"/>
      <c r="H7181" s="15"/>
      <c r="I7181" s="14"/>
      <c r="P7181" s="14"/>
    </row>
    <row r="7182" ht="18.75" customHeight="1">
      <c r="A7182" s="14"/>
      <c r="B7182" s="12"/>
      <c r="C7182" s="12"/>
      <c r="D7182" s="12"/>
      <c r="E7182" s="12"/>
      <c r="F7182" s="14"/>
      <c r="G7182" s="15"/>
      <c r="H7182" s="15"/>
      <c r="I7182" s="14"/>
      <c r="P7182" s="14"/>
    </row>
    <row r="7183" ht="18.75" customHeight="1">
      <c r="A7183" s="14"/>
      <c r="B7183" s="12"/>
      <c r="C7183" s="12"/>
      <c r="D7183" s="12"/>
      <c r="E7183" s="12"/>
      <c r="F7183" s="14"/>
      <c r="G7183" s="15"/>
      <c r="H7183" s="15"/>
      <c r="I7183" s="14"/>
      <c r="P7183" s="14"/>
    </row>
    <row r="7184" ht="18.75" customHeight="1">
      <c r="A7184" s="14"/>
      <c r="B7184" s="12"/>
      <c r="C7184" s="12"/>
      <c r="D7184" s="12"/>
      <c r="E7184" s="12"/>
      <c r="F7184" s="14"/>
      <c r="G7184" s="15"/>
      <c r="H7184" s="15"/>
      <c r="I7184" s="14"/>
      <c r="P7184" s="14"/>
    </row>
    <row r="7185" ht="18.75" customHeight="1">
      <c r="A7185" s="14"/>
      <c r="B7185" s="12"/>
      <c r="C7185" s="12"/>
      <c r="D7185" s="12"/>
      <c r="E7185" s="12"/>
      <c r="F7185" s="14"/>
      <c r="G7185" s="15"/>
      <c r="H7185" s="15"/>
      <c r="I7185" s="14"/>
      <c r="P7185" s="14"/>
    </row>
    <row r="7186" ht="18.75" customHeight="1">
      <c r="A7186" s="14"/>
      <c r="B7186" s="12"/>
      <c r="C7186" s="12"/>
      <c r="D7186" s="12"/>
      <c r="E7186" s="12"/>
      <c r="F7186" s="14"/>
      <c r="G7186" s="15"/>
      <c r="H7186" s="15"/>
      <c r="I7186" s="14"/>
      <c r="P7186" s="14"/>
    </row>
    <row r="7187" ht="18.75" customHeight="1">
      <c r="A7187" s="14"/>
      <c r="B7187" s="12"/>
      <c r="C7187" s="12"/>
      <c r="D7187" s="12"/>
      <c r="E7187" s="12"/>
      <c r="F7187" s="14"/>
      <c r="G7187" s="15"/>
      <c r="H7187" s="15"/>
      <c r="I7187" s="14"/>
      <c r="P7187" s="14"/>
    </row>
    <row r="7188" ht="18.75" customHeight="1">
      <c r="A7188" s="14"/>
      <c r="B7188" s="12"/>
      <c r="C7188" s="12"/>
      <c r="D7188" s="12"/>
      <c r="E7188" s="12"/>
      <c r="F7188" s="14"/>
      <c r="G7188" s="15"/>
      <c r="H7188" s="15"/>
      <c r="I7188" s="14"/>
      <c r="P7188" s="14"/>
    </row>
    <row r="7189" ht="18.75" customHeight="1">
      <c r="A7189" s="14"/>
      <c r="B7189" s="12"/>
      <c r="C7189" s="12"/>
      <c r="D7189" s="12"/>
      <c r="E7189" s="12"/>
      <c r="F7189" s="14"/>
      <c r="G7189" s="15"/>
      <c r="H7189" s="15"/>
      <c r="I7189" s="14"/>
      <c r="P7189" s="14"/>
    </row>
    <row r="7190" ht="18.75" customHeight="1">
      <c r="A7190" s="14"/>
      <c r="B7190" s="12"/>
      <c r="C7190" s="12"/>
      <c r="D7190" s="12"/>
      <c r="E7190" s="12"/>
      <c r="F7190" s="14"/>
      <c r="G7190" s="15"/>
      <c r="H7190" s="15"/>
      <c r="I7190" s="14"/>
      <c r="P7190" s="14"/>
    </row>
    <row r="7191" ht="18.75" customHeight="1">
      <c r="A7191" s="14"/>
      <c r="B7191" s="12"/>
      <c r="C7191" s="12"/>
      <c r="D7191" s="12"/>
      <c r="E7191" s="12"/>
      <c r="F7191" s="14"/>
      <c r="G7191" s="15"/>
      <c r="H7191" s="15"/>
      <c r="I7191" s="14"/>
      <c r="P7191" s="14"/>
    </row>
    <row r="7192" ht="18.75" customHeight="1">
      <c r="A7192" s="14"/>
      <c r="B7192" s="12"/>
      <c r="C7192" s="12"/>
      <c r="D7192" s="12"/>
      <c r="E7192" s="12"/>
      <c r="F7192" s="14"/>
      <c r="G7192" s="15"/>
      <c r="H7192" s="15"/>
      <c r="I7192" s="14"/>
      <c r="P7192" s="14"/>
    </row>
    <row r="7193" ht="18.75" customHeight="1">
      <c r="A7193" s="14"/>
      <c r="B7193" s="12"/>
      <c r="C7193" s="12"/>
      <c r="D7193" s="12"/>
      <c r="E7193" s="12"/>
      <c r="F7193" s="14"/>
      <c r="G7193" s="15"/>
      <c r="H7193" s="15"/>
      <c r="I7193" s="14"/>
      <c r="P7193" s="14"/>
    </row>
    <row r="7194" ht="18.75" customHeight="1">
      <c r="A7194" s="14"/>
      <c r="B7194" s="12"/>
      <c r="C7194" s="12"/>
      <c r="D7194" s="12"/>
      <c r="E7194" s="12"/>
      <c r="F7194" s="14"/>
      <c r="G7194" s="15"/>
      <c r="H7194" s="15"/>
      <c r="I7194" s="14"/>
      <c r="P7194" s="14"/>
    </row>
    <row r="7195" ht="18.75" customHeight="1">
      <c r="A7195" s="14"/>
      <c r="B7195" s="12"/>
      <c r="C7195" s="12"/>
      <c r="D7195" s="12"/>
      <c r="E7195" s="12"/>
      <c r="F7195" s="14"/>
      <c r="G7195" s="15"/>
      <c r="H7195" s="15"/>
      <c r="I7195" s="14"/>
      <c r="P7195" s="14"/>
    </row>
    <row r="7196" ht="18.75" customHeight="1">
      <c r="A7196" s="14"/>
      <c r="B7196" s="12"/>
      <c r="C7196" s="12"/>
      <c r="D7196" s="12"/>
      <c r="E7196" s="12"/>
      <c r="F7196" s="14"/>
      <c r="G7196" s="15"/>
      <c r="H7196" s="15"/>
      <c r="I7196" s="14"/>
      <c r="P7196" s="14"/>
    </row>
    <row r="7197" ht="18.75" customHeight="1">
      <c r="A7197" s="14"/>
      <c r="B7197" s="12"/>
      <c r="C7197" s="12"/>
      <c r="D7197" s="12"/>
      <c r="E7197" s="12"/>
      <c r="F7197" s="14"/>
      <c r="G7197" s="15"/>
      <c r="H7197" s="15"/>
      <c r="I7197" s="14"/>
      <c r="P7197" s="14"/>
    </row>
    <row r="7198" ht="18.75" customHeight="1">
      <c r="A7198" s="14"/>
      <c r="B7198" s="12"/>
      <c r="C7198" s="12"/>
      <c r="D7198" s="12"/>
      <c r="E7198" s="12"/>
      <c r="F7198" s="14"/>
      <c r="G7198" s="15"/>
      <c r="H7198" s="15"/>
      <c r="I7198" s="14"/>
      <c r="P7198" s="14"/>
    </row>
    <row r="7199" ht="18.75" customHeight="1">
      <c r="A7199" s="14"/>
      <c r="B7199" s="12"/>
      <c r="C7199" s="12"/>
      <c r="D7199" s="12"/>
      <c r="E7199" s="12"/>
      <c r="F7199" s="14"/>
      <c r="G7199" s="15"/>
      <c r="H7199" s="15"/>
      <c r="I7199" s="14"/>
      <c r="P7199" s="14"/>
    </row>
    <row r="7200" ht="18.75" customHeight="1">
      <c r="A7200" s="14"/>
      <c r="B7200" s="12"/>
      <c r="C7200" s="12"/>
      <c r="D7200" s="12"/>
      <c r="E7200" s="12"/>
      <c r="F7200" s="14"/>
      <c r="G7200" s="15"/>
      <c r="H7200" s="15"/>
      <c r="I7200" s="14"/>
      <c r="P7200" s="14"/>
    </row>
    <row r="7201" ht="18.75" customHeight="1">
      <c r="A7201" s="14"/>
      <c r="B7201" s="12"/>
      <c r="C7201" s="12"/>
      <c r="D7201" s="12"/>
      <c r="E7201" s="12"/>
      <c r="F7201" s="14"/>
      <c r="G7201" s="15"/>
      <c r="H7201" s="15"/>
      <c r="I7201" s="14"/>
      <c r="P7201" s="14"/>
    </row>
    <row r="7202" ht="18.75" customHeight="1">
      <c r="A7202" s="14"/>
      <c r="B7202" s="12"/>
      <c r="C7202" s="12"/>
      <c r="D7202" s="12"/>
      <c r="E7202" s="12"/>
      <c r="F7202" s="14"/>
      <c r="G7202" s="15"/>
      <c r="H7202" s="15"/>
      <c r="I7202" s="14"/>
      <c r="P7202" s="14"/>
    </row>
    <row r="7203" ht="18.75" customHeight="1">
      <c r="A7203" s="14"/>
      <c r="B7203" s="12"/>
      <c r="C7203" s="12"/>
      <c r="D7203" s="12"/>
      <c r="E7203" s="12"/>
      <c r="F7203" s="14"/>
      <c r="G7203" s="15"/>
      <c r="H7203" s="15"/>
      <c r="I7203" s="14"/>
      <c r="P7203" s="14"/>
    </row>
    <row r="7204" ht="18.75" customHeight="1">
      <c r="A7204" s="14"/>
      <c r="B7204" s="12"/>
      <c r="C7204" s="12"/>
      <c r="D7204" s="12"/>
      <c r="E7204" s="12"/>
      <c r="F7204" s="14"/>
      <c r="G7204" s="15"/>
      <c r="H7204" s="15"/>
      <c r="I7204" s="14"/>
      <c r="P7204" s="14"/>
    </row>
    <row r="7205" ht="18.75" customHeight="1">
      <c r="A7205" s="14"/>
      <c r="B7205" s="12"/>
      <c r="C7205" s="12"/>
      <c r="D7205" s="12"/>
      <c r="E7205" s="12"/>
      <c r="F7205" s="14"/>
      <c r="G7205" s="15"/>
      <c r="H7205" s="15"/>
      <c r="I7205" s="14"/>
      <c r="P7205" s="14"/>
    </row>
    <row r="7206" ht="18.75" customHeight="1">
      <c r="A7206" s="14"/>
      <c r="B7206" s="12"/>
      <c r="C7206" s="12"/>
      <c r="D7206" s="12"/>
      <c r="E7206" s="12"/>
      <c r="F7206" s="14"/>
      <c r="G7206" s="15"/>
      <c r="H7206" s="15"/>
      <c r="I7206" s="14"/>
      <c r="P7206" s="14"/>
    </row>
    <row r="7207" ht="18.75" customHeight="1">
      <c r="A7207" s="14"/>
      <c r="B7207" s="12"/>
      <c r="C7207" s="12"/>
      <c r="D7207" s="12"/>
      <c r="E7207" s="12"/>
      <c r="F7207" s="14"/>
      <c r="G7207" s="15"/>
      <c r="H7207" s="15"/>
      <c r="I7207" s="14"/>
      <c r="P7207" s="14"/>
    </row>
    <row r="7208" ht="18.75" customHeight="1">
      <c r="A7208" s="14"/>
      <c r="B7208" s="12"/>
      <c r="C7208" s="12"/>
      <c r="D7208" s="12"/>
      <c r="E7208" s="12"/>
      <c r="F7208" s="14"/>
      <c r="G7208" s="15"/>
      <c r="H7208" s="15"/>
      <c r="I7208" s="14"/>
      <c r="P7208" s="14"/>
    </row>
    <row r="7209" ht="18.75" customHeight="1">
      <c r="A7209" s="14"/>
      <c r="B7209" s="12"/>
      <c r="C7209" s="12"/>
      <c r="D7209" s="12"/>
      <c r="E7209" s="12"/>
      <c r="F7209" s="14"/>
      <c r="G7209" s="15"/>
      <c r="H7209" s="15"/>
      <c r="I7209" s="14"/>
      <c r="P7209" s="14"/>
    </row>
    <row r="7210" ht="18.75" customHeight="1">
      <c r="A7210" s="14"/>
      <c r="B7210" s="12"/>
      <c r="C7210" s="12"/>
      <c r="D7210" s="12"/>
      <c r="E7210" s="12"/>
      <c r="F7210" s="14"/>
      <c r="G7210" s="15"/>
      <c r="H7210" s="15"/>
      <c r="I7210" s="14"/>
      <c r="P7210" s="14"/>
    </row>
    <row r="7211" ht="18.75" customHeight="1">
      <c r="A7211" s="14"/>
      <c r="B7211" s="12"/>
      <c r="C7211" s="12"/>
      <c r="D7211" s="12"/>
      <c r="E7211" s="12"/>
      <c r="F7211" s="14"/>
      <c r="G7211" s="15"/>
      <c r="H7211" s="15"/>
      <c r="I7211" s="14"/>
      <c r="P7211" s="14"/>
    </row>
    <row r="7212" ht="18.75" customHeight="1">
      <c r="A7212" s="14"/>
      <c r="B7212" s="12"/>
      <c r="C7212" s="12"/>
      <c r="D7212" s="12"/>
      <c r="E7212" s="12"/>
      <c r="F7212" s="14"/>
      <c r="G7212" s="15"/>
      <c r="H7212" s="15"/>
      <c r="I7212" s="14"/>
      <c r="P7212" s="14"/>
    </row>
    <row r="7213" ht="18.75" customHeight="1">
      <c r="A7213" s="14"/>
      <c r="B7213" s="12"/>
      <c r="C7213" s="12"/>
      <c r="D7213" s="12"/>
      <c r="E7213" s="12"/>
      <c r="F7213" s="14"/>
      <c r="G7213" s="15"/>
      <c r="H7213" s="15"/>
      <c r="I7213" s="14"/>
      <c r="P7213" s="14"/>
    </row>
    <row r="7214" ht="18.75" customHeight="1">
      <c r="A7214" s="14"/>
      <c r="B7214" s="12"/>
      <c r="C7214" s="12"/>
      <c r="D7214" s="12"/>
      <c r="E7214" s="12"/>
      <c r="F7214" s="14"/>
      <c r="G7214" s="15"/>
      <c r="H7214" s="15"/>
      <c r="I7214" s="14"/>
      <c r="P7214" s="14"/>
    </row>
    <row r="7215" ht="18.75" customHeight="1">
      <c r="A7215" s="14"/>
      <c r="B7215" s="12"/>
      <c r="C7215" s="12"/>
      <c r="D7215" s="12"/>
      <c r="E7215" s="12"/>
      <c r="F7215" s="14"/>
      <c r="G7215" s="15"/>
      <c r="H7215" s="15"/>
      <c r="I7215" s="14"/>
      <c r="P7215" s="14"/>
    </row>
    <row r="7216" ht="18.75" customHeight="1">
      <c r="A7216" s="14"/>
      <c r="B7216" s="12"/>
      <c r="C7216" s="12"/>
      <c r="D7216" s="12"/>
      <c r="E7216" s="12"/>
      <c r="F7216" s="14"/>
      <c r="G7216" s="15"/>
      <c r="H7216" s="15"/>
      <c r="I7216" s="14"/>
      <c r="P7216" s="14"/>
    </row>
    <row r="7217" ht="18.75" customHeight="1">
      <c r="A7217" s="14"/>
      <c r="B7217" s="12"/>
      <c r="C7217" s="12"/>
      <c r="D7217" s="12"/>
      <c r="E7217" s="12"/>
      <c r="F7217" s="14"/>
      <c r="G7217" s="15"/>
      <c r="H7217" s="15"/>
      <c r="I7217" s="14"/>
      <c r="P7217" s="14"/>
    </row>
    <row r="7218" ht="18.75" customHeight="1">
      <c r="A7218" s="14"/>
      <c r="B7218" s="12"/>
      <c r="C7218" s="12"/>
      <c r="D7218" s="12"/>
      <c r="E7218" s="12"/>
      <c r="F7218" s="14"/>
      <c r="G7218" s="15"/>
      <c r="H7218" s="15"/>
      <c r="I7218" s="14"/>
      <c r="P7218" s="14"/>
    </row>
    <row r="7219" ht="18.75" customHeight="1">
      <c r="A7219" s="14"/>
      <c r="B7219" s="12"/>
      <c r="C7219" s="12"/>
      <c r="D7219" s="12"/>
      <c r="E7219" s="12"/>
      <c r="F7219" s="14"/>
      <c r="G7219" s="15"/>
      <c r="H7219" s="15"/>
      <c r="I7219" s="14"/>
      <c r="P7219" s="14"/>
    </row>
    <row r="7220" ht="18.75" customHeight="1">
      <c r="A7220" s="14"/>
      <c r="B7220" s="12"/>
      <c r="C7220" s="12"/>
      <c r="D7220" s="12"/>
      <c r="E7220" s="12"/>
      <c r="F7220" s="14"/>
      <c r="G7220" s="15"/>
      <c r="H7220" s="15"/>
      <c r="I7220" s="14"/>
      <c r="P7220" s="14"/>
    </row>
    <row r="7221" ht="18.75" customHeight="1">
      <c r="A7221" s="14"/>
      <c r="B7221" s="12"/>
      <c r="C7221" s="12"/>
      <c r="D7221" s="12"/>
      <c r="E7221" s="12"/>
      <c r="F7221" s="14"/>
      <c r="G7221" s="15"/>
      <c r="H7221" s="15"/>
      <c r="I7221" s="14"/>
      <c r="P7221" s="14"/>
    </row>
    <row r="7222" ht="18.75" customHeight="1">
      <c r="A7222" s="14"/>
      <c r="B7222" s="12"/>
      <c r="C7222" s="12"/>
      <c r="D7222" s="12"/>
      <c r="E7222" s="12"/>
      <c r="F7222" s="14"/>
      <c r="G7222" s="15"/>
      <c r="H7222" s="15"/>
      <c r="I7222" s="14"/>
      <c r="P7222" s="14"/>
    </row>
    <row r="7223" ht="18.75" customHeight="1">
      <c r="A7223" s="14"/>
      <c r="B7223" s="12"/>
      <c r="C7223" s="12"/>
      <c r="D7223" s="12"/>
      <c r="E7223" s="12"/>
      <c r="F7223" s="14"/>
      <c r="G7223" s="15"/>
      <c r="H7223" s="15"/>
      <c r="I7223" s="14"/>
      <c r="P7223" s="14"/>
    </row>
    <row r="7224" ht="18.75" customHeight="1">
      <c r="A7224" s="14"/>
      <c r="B7224" s="12"/>
      <c r="C7224" s="12"/>
      <c r="D7224" s="12"/>
      <c r="E7224" s="12"/>
      <c r="F7224" s="14"/>
      <c r="G7224" s="15"/>
      <c r="H7224" s="15"/>
      <c r="I7224" s="14"/>
      <c r="P7224" s="14"/>
    </row>
    <row r="7225" ht="18.75" customHeight="1">
      <c r="A7225" s="14"/>
      <c r="B7225" s="12"/>
      <c r="C7225" s="12"/>
      <c r="D7225" s="12"/>
      <c r="E7225" s="12"/>
      <c r="F7225" s="14"/>
      <c r="G7225" s="15"/>
      <c r="H7225" s="15"/>
      <c r="I7225" s="14"/>
      <c r="P7225" s="14"/>
    </row>
    <row r="7226" ht="18.75" customHeight="1">
      <c r="A7226" s="14"/>
      <c r="B7226" s="12"/>
      <c r="C7226" s="12"/>
      <c r="D7226" s="12"/>
      <c r="E7226" s="12"/>
      <c r="F7226" s="14"/>
      <c r="G7226" s="15"/>
      <c r="H7226" s="15"/>
      <c r="I7226" s="14"/>
      <c r="P7226" s="14"/>
    </row>
    <row r="7227" ht="18.75" customHeight="1">
      <c r="A7227" s="14"/>
      <c r="B7227" s="12"/>
      <c r="C7227" s="12"/>
      <c r="D7227" s="12"/>
      <c r="E7227" s="12"/>
      <c r="F7227" s="14"/>
      <c r="G7227" s="15"/>
      <c r="H7227" s="15"/>
      <c r="I7227" s="14"/>
      <c r="P7227" s="14"/>
    </row>
    <row r="7228" ht="18.75" customHeight="1">
      <c r="A7228" s="14"/>
      <c r="B7228" s="12"/>
      <c r="C7228" s="12"/>
      <c r="D7228" s="12"/>
      <c r="E7228" s="12"/>
      <c r="F7228" s="14"/>
      <c r="G7228" s="15"/>
      <c r="H7228" s="15"/>
      <c r="I7228" s="14"/>
      <c r="P7228" s="14"/>
    </row>
    <row r="7229" ht="18.75" customHeight="1">
      <c r="A7229" s="14"/>
      <c r="B7229" s="12"/>
      <c r="C7229" s="12"/>
      <c r="D7229" s="12"/>
      <c r="E7229" s="12"/>
      <c r="F7229" s="14"/>
      <c r="G7229" s="15"/>
      <c r="H7229" s="15"/>
      <c r="I7229" s="14"/>
      <c r="P7229" s="14"/>
    </row>
    <row r="7230" ht="18.75" customHeight="1">
      <c r="A7230" s="14"/>
      <c r="B7230" s="12"/>
      <c r="C7230" s="12"/>
      <c r="D7230" s="12"/>
      <c r="E7230" s="12"/>
      <c r="F7230" s="14"/>
      <c r="G7230" s="15"/>
      <c r="H7230" s="15"/>
      <c r="I7230" s="14"/>
      <c r="P7230" s="14"/>
    </row>
    <row r="7231" ht="18.75" customHeight="1">
      <c r="A7231" s="14"/>
      <c r="B7231" s="12"/>
      <c r="C7231" s="12"/>
      <c r="D7231" s="12"/>
      <c r="E7231" s="12"/>
      <c r="F7231" s="14"/>
      <c r="G7231" s="15"/>
      <c r="H7231" s="15"/>
      <c r="I7231" s="14"/>
      <c r="P7231" s="14"/>
    </row>
    <row r="7232" ht="18.75" customHeight="1">
      <c r="A7232" s="14"/>
      <c r="B7232" s="12"/>
      <c r="C7232" s="12"/>
      <c r="D7232" s="12"/>
      <c r="E7232" s="12"/>
      <c r="F7232" s="14"/>
      <c r="G7232" s="15"/>
      <c r="H7232" s="15"/>
      <c r="I7232" s="14"/>
      <c r="P7232" s="14"/>
    </row>
    <row r="7233" ht="18.75" customHeight="1">
      <c r="A7233" s="14"/>
      <c r="B7233" s="12"/>
      <c r="C7233" s="12"/>
      <c r="D7233" s="12"/>
      <c r="E7233" s="12"/>
      <c r="F7233" s="14"/>
      <c r="G7233" s="15"/>
      <c r="H7233" s="15"/>
      <c r="I7233" s="14"/>
      <c r="P7233" s="14"/>
    </row>
    <row r="7234" ht="18.75" customHeight="1">
      <c r="A7234" s="14"/>
      <c r="B7234" s="12"/>
      <c r="C7234" s="12"/>
      <c r="D7234" s="12"/>
      <c r="E7234" s="12"/>
      <c r="F7234" s="14"/>
      <c r="G7234" s="15"/>
      <c r="H7234" s="15"/>
      <c r="I7234" s="14"/>
      <c r="P7234" s="14"/>
    </row>
    <row r="7235" ht="18.75" customHeight="1">
      <c r="A7235" s="14"/>
      <c r="B7235" s="12"/>
      <c r="C7235" s="12"/>
      <c r="D7235" s="12"/>
      <c r="E7235" s="12"/>
      <c r="F7235" s="14"/>
      <c r="G7235" s="15"/>
      <c r="H7235" s="15"/>
      <c r="I7235" s="14"/>
      <c r="P7235" s="14"/>
    </row>
    <row r="7236" ht="18.75" customHeight="1">
      <c r="A7236" s="14"/>
      <c r="B7236" s="12"/>
      <c r="C7236" s="12"/>
      <c r="D7236" s="12"/>
      <c r="E7236" s="12"/>
      <c r="F7236" s="14"/>
      <c r="G7236" s="15"/>
      <c r="H7236" s="15"/>
      <c r="I7236" s="14"/>
      <c r="P7236" s="14"/>
    </row>
    <row r="7237" ht="18.75" customHeight="1">
      <c r="A7237" s="14"/>
      <c r="B7237" s="12"/>
      <c r="C7237" s="12"/>
      <c r="D7237" s="12"/>
      <c r="E7237" s="12"/>
      <c r="F7237" s="14"/>
      <c r="G7237" s="15"/>
      <c r="H7237" s="15"/>
      <c r="I7237" s="14"/>
      <c r="P7237" s="14"/>
    </row>
    <row r="7238" ht="18.75" customHeight="1">
      <c r="A7238" s="14"/>
      <c r="B7238" s="12"/>
      <c r="C7238" s="12"/>
      <c r="D7238" s="12"/>
      <c r="E7238" s="12"/>
      <c r="F7238" s="14"/>
      <c r="G7238" s="15"/>
      <c r="H7238" s="15"/>
      <c r="I7238" s="14"/>
      <c r="P7238" s="14"/>
    </row>
    <row r="7239" ht="18.75" customHeight="1">
      <c r="A7239" s="14"/>
      <c r="B7239" s="12"/>
      <c r="C7239" s="12"/>
      <c r="D7239" s="12"/>
      <c r="E7239" s="12"/>
      <c r="F7239" s="14"/>
      <c r="G7239" s="15"/>
      <c r="H7239" s="15"/>
      <c r="I7239" s="14"/>
      <c r="P7239" s="14"/>
    </row>
    <row r="7240" ht="18.75" customHeight="1">
      <c r="A7240" s="14"/>
      <c r="B7240" s="12"/>
      <c r="C7240" s="12"/>
      <c r="D7240" s="12"/>
      <c r="E7240" s="12"/>
      <c r="F7240" s="14"/>
      <c r="G7240" s="15"/>
      <c r="H7240" s="15"/>
      <c r="I7240" s="14"/>
      <c r="P7240" s="14"/>
    </row>
    <row r="7241" ht="18.75" customHeight="1">
      <c r="A7241" s="14"/>
      <c r="B7241" s="12"/>
      <c r="C7241" s="12"/>
      <c r="D7241" s="12"/>
      <c r="E7241" s="12"/>
      <c r="F7241" s="14"/>
      <c r="G7241" s="15"/>
      <c r="H7241" s="15"/>
      <c r="I7241" s="14"/>
      <c r="P7241" s="14"/>
    </row>
    <row r="7242" ht="18.75" customHeight="1">
      <c r="A7242" s="14"/>
      <c r="B7242" s="12"/>
      <c r="C7242" s="12"/>
      <c r="D7242" s="12"/>
      <c r="E7242" s="12"/>
      <c r="F7242" s="14"/>
      <c r="G7242" s="15"/>
      <c r="H7242" s="15"/>
      <c r="I7242" s="14"/>
      <c r="P7242" s="14"/>
    </row>
    <row r="7243" ht="18.75" customHeight="1">
      <c r="A7243" s="14"/>
      <c r="B7243" s="12"/>
      <c r="C7243" s="12"/>
      <c r="D7243" s="12"/>
      <c r="E7243" s="12"/>
      <c r="F7243" s="14"/>
      <c r="G7243" s="15"/>
      <c r="H7243" s="15"/>
      <c r="I7243" s="14"/>
      <c r="P7243" s="14"/>
    </row>
    <row r="7244" ht="18.75" customHeight="1">
      <c r="A7244" s="14"/>
      <c r="B7244" s="12"/>
      <c r="C7244" s="12"/>
      <c r="D7244" s="12"/>
      <c r="E7244" s="12"/>
      <c r="F7244" s="14"/>
      <c r="G7244" s="15"/>
      <c r="H7244" s="15"/>
      <c r="I7244" s="14"/>
      <c r="P7244" s="14"/>
    </row>
    <row r="7245" ht="18.75" customHeight="1">
      <c r="A7245" s="14"/>
      <c r="B7245" s="12"/>
      <c r="C7245" s="12"/>
      <c r="D7245" s="12"/>
      <c r="E7245" s="12"/>
      <c r="F7245" s="14"/>
      <c r="G7245" s="15"/>
      <c r="H7245" s="15"/>
      <c r="I7245" s="14"/>
      <c r="P7245" s="14"/>
    </row>
    <row r="7246" ht="18.75" customHeight="1">
      <c r="A7246" s="14"/>
      <c r="B7246" s="12"/>
      <c r="C7246" s="12"/>
      <c r="D7246" s="12"/>
      <c r="E7246" s="12"/>
      <c r="F7246" s="14"/>
      <c r="G7246" s="15"/>
      <c r="H7246" s="15"/>
      <c r="I7246" s="14"/>
      <c r="P7246" s="14"/>
    </row>
    <row r="7247" ht="18.75" customHeight="1">
      <c r="A7247" s="14"/>
      <c r="B7247" s="12"/>
      <c r="C7247" s="12"/>
      <c r="D7247" s="12"/>
      <c r="E7247" s="12"/>
      <c r="F7247" s="14"/>
      <c r="G7247" s="15"/>
      <c r="H7247" s="15"/>
      <c r="I7247" s="14"/>
      <c r="P7247" s="14"/>
    </row>
    <row r="7248" ht="18.75" customHeight="1">
      <c r="A7248" s="14"/>
      <c r="B7248" s="12"/>
      <c r="C7248" s="12"/>
      <c r="D7248" s="12"/>
      <c r="E7248" s="12"/>
      <c r="F7248" s="14"/>
      <c r="G7248" s="15"/>
      <c r="H7248" s="15"/>
      <c r="I7248" s="14"/>
      <c r="P7248" s="14"/>
    </row>
    <row r="7249" ht="18.75" customHeight="1">
      <c r="A7249" s="14"/>
      <c r="B7249" s="12"/>
      <c r="C7249" s="12"/>
      <c r="D7249" s="12"/>
      <c r="E7249" s="12"/>
      <c r="F7249" s="14"/>
      <c r="G7249" s="15"/>
      <c r="H7249" s="15"/>
      <c r="I7249" s="14"/>
      <c r="P7249" s="14"/>
    </row>
    <row r="7250" ht="18.75" customHeight="1">
      <c r="A7250" s="14"/>
      <c r="B7250" s="12"/>
      <c r="C7250" s="12"/>
      <c r="D7250" s="12"/>
      <c r="E7250" s="12"/>
      <c r="F7250" s="14"/>
      <c r="G7250" s="15"/>
      <c r="H7250" s="15"/>
      <c r="I7250" s="14"/>
      <c r="P7250" s="14"/>
    </row>
    <row r="7251" ht="18.75" customHeight="1">
      <c r="A7251" s="14"/>
      <c r="B7251" s="12"/>
      <c r="C7251" s="12"/>
      <c r="D7251" s="12"/>
      <c r="E7251" s="12"/>
      <c r="F7251" s="14"/>
      <c r="G7251" s="15"/>
      <c r="H7251" s="15"/>
      <c r="I7251" s="14"/>
      <c r="P7251" s="14"/>
    </row>
    <row r="7252" ht="18.75" customHeight="1">
      <c r="A7252" s="14"/>
      <c r="B7252" s="12"/>
      <c r="C7252" s="12"/>
      <c r="D7252" s="12"/>
      <c r="E7252" s="12"/>
      <c r="F7252" s="14"/>
      <c r="G7252" s="15"/>
      <c r="H7252" s="15"/>
      <c r="I7252" s="14"/>
      <c r="P7252" s="14"/>
    </row>
    <row r="7253" ht="18.75" customHeight="1">
      <c r="A7253" s="14"/>
      <c r="B7253" s="12"/>
      <c r="C7253" s="12"/>
      <c r="D7253" s="12"/>
      <c r="E7253" s="12"/>
      <c r="F7253" s="14"/>
      <c r="G7253" s="15"/>
      <c r="H7253" s="15"/>
      <c r="I7253" s="14"/>
      <c r="P7253" s="14"/>
    </row>
    <row r="7254" ht="18.75" customHeight="1">
      <c r="A7254" s="14"/>
      <c r="B7254" s="12"/>
      <c r="C7254" s="12"/>
      <c r="D7254" s="12"/>
      <c r="E7254" s="12"/>
      <c r="F7254" s="14"/>
      <c r="G7254" s="15"/>
      <c r="H7254" s="15"/>
      <c r="I7254" s="14"/>
      <c r="P7254" s="14"/>
    </row>
    <row r="7255" ht="18.75" customHeight="1">
      <c r="A7255" s="14"/>
      <c r="B7255" s="12"/>
      <c r="C7255" s="12"/>
      <c r="D7255" s="12"/>
      <c r="E7255" s="12"/>
      <c r="F7255" s="14"/>
      <c r="G7255" s="15"/>
      <c r="H7255" s="15"/>
      <c r="I7255" s="14"/>
      <c r="P7255" s="14"/>
    </row>
    <row r="7256" ht="18.75" customHeight="1">
      <c r="A7256" s="14"/>
      <c r="B7256" s="12"/>
      <c r="C7256" s="12"/>
      <c r="D7256" s="12"/>
      <c r="E7256" s="12"/>
      <c r="F7256" s="14"/>
      <c r="G7256" s="15"/>
      <c r="H7256" s="15"/>
      <c r="I7256" s="14"/>
      <c r="P7256" s="14"/>
    </row>
    <row r="7257" ht="18.75" customHeight="1">
      <c r="A7257" s="14"/>
      <c r="B7257" s="12"/>
      <c r="C7257" s="12"/>
      <c r="D7257" s="12"/>
      <c r="E7257" s="12"/>
      <c r="F7257" s="14"/>
      <c r="G7257" s="15"/>
      <c r="H7257" s="15"/>
      <c r="I7257" s="14"/>
      <c r="P7257" s="14"/>
    </row>
    <row r="7258" ht="18.75" customHeight="1">
      <c r="A7258" s="14"/>
      <c r="B7258" s="12"/>
      <c r="C7258" s="12"/>
      <c r="D7258" s="12"/>
      <c r="E7258" s="12"/>
      <c r="F7258" s="14"/>
      <c r="G7258" s="15"/>
      <c r="H7258" s="15"/>
      <c r="I7258" s="14"/>
      <c r="P7258" s="14"/>
    </row>
    <row r="7259" ht="18.75" customHeight="1">
      <c r="A7259" s="14"/>
      <c r="B7259" s="12"/>
      <c r="C7259" s="12"/>
      <c r="D7259" s="12"/>
      <c r="E7259" s="12"/>
      <c r="F7259" s="14"/>
      <c r="G7259" s="15"/>
      <c r="H7259" s="15"/>
      <c r="I7259" s="14"/>
      <c r="P7259" s="14"/>
    </row>
    <row r="7260" ht="18.75" customHeight="1">
      <c r="A7260" s="14"/>
      <c r="B7260" s="12"/>
      <c r="C7260" s="12"/>
      <c r="D7260" s="12"/>
      <c r="E7260" s="12"/>
      <c r="F7260" s="14"/>
      <c r="G7260" s="15"/>
      <c r="H7260" s="15"/>
      <c r="I7260" s="14"/>
      <c r="P7260" s="14"/>
    </row>
    <row r="7261" ht="18.75" customHeight="1">
      <c r="A7261" s="14"/>
      <c r="B7261" s="12"/>
      <c r="C7261" s="12"/>
      <c r="D7261" s="12"/>
      <c r="E7261" s="12"/>
      <c r="F7261" s="14"/>
      <c r="G7261" s="15"/>
      <c r="H7261" s="15"/>
      <c r="I7261" s="14"/>
      <c r="P7261" s="14"/>
    </row>
    <row r="7262" ht="18.75" customHeight="1">
      <c r="A7262" s="14"/>
      <c r="B7262" s="12"/>
      <c r="C7262" s="12"/>
      <c r="D7262" s="12"/>
      <c r="E7262" s="12"/>
      <c r="F7262" s="14"/>
      <c r="G7262" s="15"/>
      <c r="H7262" s="15"/>
      <c r="I7262" s="14"/>
      <c r="P7262" s="14"/>
    </row>
    <row r="7263" ht="18.75" customHeight="1">
      <c r="A7263" s="14"/>
      <c r="B7263" s="12"/>
      <c r="C7263" s="12"/>
      <c r="D7263" s="12"/>
      <c r="E7263" s="12"/>
      <c r="F7263" s="14"/>
      <c r="G7263" s="15"/>
      <c r="H7263" s="15"/>
      <c r="I7263" s="14"/>
      <c r="P7263" s="14"/>
    </row>
    <row r="7264" ht="18.75" customHeight="1">
      <c r="A7264" s="14"/>
      <c r="B7264" s="12"/>
      <c r="C7264" s="12"/>
      <c r="D7264" s="12"/>
      <c r="E7264" s="12"/>
      <c r="F7264" s="14"/>
      <c r="G7264" s="15"/>
      <c r="H7264" s="15"/>
      <c r="I7264" s="14"/>
      <c r="P7264" s="14"/>
    </row>
    <row r="7265" ht="18.75" customHeight="1">
      <c r="A7265" s="14"/>
      <c r="B7265" s="12"/>
      <c r="C7265" s="12"/>
      <c r="D7265" s="12"/>
      <c r="E7265" s="12"/>
      <c r="F7265" s="14"/>
      <c r="G7265" s="15"/>
      <c r="H7265" s="15"/>
      <c r="I7265" s="14"/>
      <c r="P7265" s="14"/>
    </row>
    <row r="7266" ht="18.75" customHeight="1">
      <c r="A7266" s="14"/>
      <c r="B7266" s="12"/>
      <c r="C7266" s="12"/>
      <c r="D7266" s="12"/>
      <c r="E7266" s="12"/>
      <c r="F7266" s="14"/>
      <c r="G7266" s="15"/>
      <c r="H7266" s="15"/>
      <c r="I7266" s="14"/>
      <c r="P7266" s="14"/>
    </row>
    <row r="7267" ht="18.75" customHeight="1">
      <c r="A7267" s="14"/>
      <c r="B7267" s="12"/>
      <c r="C7267" s="12"/>
      <c r="D7267" s="12"/>
      <c r="E7267" s="12"/>
      <c r="F7267" s="14"/>
      <c r="G7267" s="15"/>
      <c r="H7267" s="15"/>
      <c r="I7267" s="14"/>
      <c r="P7267" s="14"/>
    </row>
    <row r="7268" ht="18.75" customHeight="1">
      <c r="A7268" s="14"/>
      <c r="B7268" s="12"/>
      <c r="C7268" s="12"/>
      <c r="D7268" s="12"/>
      <c r="E7268" s="12"/>
      <c r="F7268" s="14"/>
      <c r="G7268" s="15"/>
      <c r="H7268" s="15"/>
      <c r="I7268" s="14"/>
      <c r="P7268" s="14"/>
    </row>
    <row r="7269" ht="18.75" customHeight="1">
      <c r="A7269" s="14"/>
      <c r="B7269" s="12"/>
      <c r="C7269" s="12"/>
      <c r="D7269" s="12"/>
      <c r="E7269" s="12"/>
      <c r="F7269" s="14"/>
      <c r="G7269" s="15"/>
      <c r="H7269" s="15"/>
      <c r="I7269" s="14"/>
      <c r="P7269" s="14"/>
    </row>
    <row r="7270" ht="18.75" customHeight="1">
      <c r="A7270" s="14"/>
      <c r="B7270" s="12"/>
      <c r="C7270" s="12"/>
      <c r="D7270" s="12"/>
      <c r="E7270" s="12"/>
      <c r="F7270" s="14"/>
      <c r="G7270" s="15"/>
      <c r="H7270" s="15"/>
      <c r="I7270" s="14"/>
      <c r="P7270" s="14"/>
    </row>
    <row r="7271" ht="18.75" customHeight="1">
      <c r="A7271" s="14"/>
      <c r="B7271" s="12"/>
      <c r="C7271" s="12"/>
      <c r="D7271" s="12"/>
      <c r="E7271" s="12"/>
      <c r="F7271" s="14"/>
      <c r="G7271" s="15"/>
      <c r="H7271" s="15"/>
      <c r="I7271" s="14"/>
      <c r="P7271" s="14"/>
    </row>
    <row r="7272" ht="18.75" customHeight="1">
      <c r="A7272" s="14"/>
      <c r="B7272" s="12"/>
      <c r="C7272" s="12"/>
      <c r="D7272" s="12"/>
      <c r="E7272" s="12"/>
      <c r="F7272" s="14"/>
      <c r="G7272" s="15"/>
      <c r="H7272" s="15"/>
      <c r="I7272" s="14"/>
      <c r="P7272" s="14"/>
    </row>
    <row r="7273" ht="18.75" customHeight="1">
      <c r="A7273" s="14"/>
      <c r="B7273" s="12"/>
      <c r="C7273" s="12"/>
      <c r="D7273" s="12"/>
      <c r="E7273" s="12"/>
      <c r="F7273" s="14"/>
      <c r="G7273" s="15"/>
      <c r="H7273" s="15"/>
      <c r="I7273" s="14"/>
      <c r="P7273" s="14"/>
    </row>
    <row r="7274" ht="18.75" customHeight="1">
      <c r="A7274" s="14"/>
      <c r="B7274" s="12"/>
      <c r="C7274" s="12"/>
      <c r="D7274" s="12"/>
      <c r="E7274" s="12"/>
      <c r="F7274" s="14"/>
      <c r="G7274" s="15"/>
      <c r="H7274" s="15"/>
      <c r="I7274" s="14"/>
      <c r="P7274" s="14"/>
    </row>
    <row r="7275" ht="18.75" customHeight="1">
      <c r="A7275" s="14"/>
      <c r="B7275" s="12"/>
      <c r="C7275" s="12"/>
      <c r="D7275" s="12"/>
      <c r="E7275" s="12"/>
      <c r="F7275" s="14"/>
      <c r="G7275" s="15"/>
      <c r="H7275" s="15"/>
      <c r="I7275" s="14"/>
      <c r="P7275" s="14"/>
    </row>
    <row r="7276" ht="18.75" customHeight="1">
      <c r="A7276" s="14"/>
      <c r="B7276" s="12"/>
      <c r="C7276" s="12"/>
      <c r="D7276" s="12"/>
      <c r="E7276" s="12"/>
      <c r="F7276" s="14"/>
      <c r="G7276" s="15"/>
      <c r="H7276" s="15"/>
      <c r="I7276" s="14"/>
      <c r="P7276" s="14"/>
    </row>
    <row r="7277" ht="18.75" customHeight="1">
      <c r="A7277" s="14"/>
      <c r="B7277" s="12"/>
      <c r="C7277" s="12"/>
      <c r="D7277" s="12"/>
      <c r="E7277" s="12"/>
      <c r="F7277" s="14"/>
      <c r="G7277" s="15"/>
      <c r="H7277" s="15"/>
      <c r="I7277" s="14"/>
      <c r="P7277" s="14"/>
    </row>
    <row r="7278" ht="18.75" customHeight="1">
      <c r="A7278" s="14"/>
      <c r="B7278" s="12"/>
      <c r="C7278" s="12"/>
      <c r="D7278" s="12"/>
      <c r="E7278" s="12"/>
      <c r="F7278" s="14"/>
      <c r="G7278" s="15"/>
      <c r="H7278" s="15"/>
      <c r="I7278" s="14"/>
      <c r="P7278" s="14"/>
    </row>
    <row r="7279" ht="18.75" customHeight="1">
      <c r="A7279" s="14"/>
      <c r="B7279" s="12"/>
      <c r="C7279" s="12"/>
      <c r="D7279" s="12"/>
      <c r="E7279" s="12"/>
      <c r="F7279" s="14"/>
      <c r="G7279" s="15"/>
      <c r="H7279" s="15"/>
      <c r="I7279" s="14"/>
      <c r="P7279" s="14"/>
    </row>
    <row r="7280" ht="18.75" customHeight="1">
      <c r="A7280" s="14"/>
      <c r="B7280" s="12"/>
      <c r="C7280" s="12"/>
      <c r="D7280" s="12"/>
      <c r="E7280" s="12"/>
      <c r="F7280" s="14"/>
      <c r="G7280" s="15"/>
      <c r="H7280" s="15"/>
      <c r="I7280" s="14"/>
      <c r="P7280" s="14"/>
    </row>
    <row r="7281" ht="18.75" customHeight="1">
      <c r="A7281" s="14"/>
      <c r="B7281" s="12"/>
      <c r="C7281" s="12"/>
      <c r="D7281" s="12"/>
      <c r="E7281" s="12"/>
      <c r="F7281" s="14"/>
      <c r="G7281" s="15"/>
      <c r="H7281" s="15"/>
      <c r="I7281" s="14"/>
      <c r="P7281" s="14"/>
    </row>
    <row r="7282" ht="18.75" customHeight="1">
      <c r="A7282" s="14"/>
      <c r="B7282" s="12"/>
      <c r="C7282" s="12"/>
      <c r="D7282" s="12"/>
      <c r="E7282" s="12"/>
      <c r="F7282" s="14"/>
      <c r="G7282" s="15"/>
      <c r="H7282" s="15"/>
      <c r="I7282" s="14"/>
      <c r="P7282" s="14"/>
    </row>
    <row r="7283" ht="18.75" customHeight="1">
      <c r="A7283" s="14"/>
      <c r="B7283" s="12"/>
      <c r="C7283" s="12"/>
      <c r="D7283" s="12"/>
      <c r="E7283" s="12"/>
      <c r="F7283" s="14"/>
      <c r="G7283" s="15"/>
      <c r="H7283" s="15"/>
      <c r="I7283" s="14"/>
      <c r="P7283" s="14"/>
    </row>
    <row r="7284" ht="18.75" customHeight="1">
      <c r="A7284" s="14"/>
      <c r="B7284" s="12"/>
      <c r="C7284" s="12"/>
      <c r="D7284" s="12"/>
      <c r="E7284" s="12"/>
      <c r="F7284" s="14"/>
      <c r="G7284" s="15"/>
      <c r="H7284" s="15"/>
      <c r="I7284" s="14"/>
      <c r="P7284" s="14"/>
    </row>
    <row r="7285" ht="18.75" customHeight="1">
      <c r="A7285" s="14"/>
      <c r="B7285" s="12"/>
      <c r="C7285" s="12"/>
      <c r="D7285" s="12"/>
      <c r="E7285" s="12"/>
      <c r="F7285" s="14"/>
      <c r="G7285" s="15"/>
      <c r="H7285" s="15"/>
      <c r="I7285" s="14"/>
      <c r="P7285" s="14"/>
    </row>
    <row r="7286" ht="18.75" customHeight="1">
      <c r="A7286" s="14"/>
      <c r="B7286" s="12"/>
      <c r="C7286" s="12"/>
      <c r="D7286" s="12"/>
      <c r="E7286" s="12"/>
      <c r="F7286" s="14"/>
      <c r="G7286" s="15"/>
      <c r="H7286" s="15"/>
      <c r="I7286" s="14"/>
      <c r="P7286" s="14"/>
    </row>
    <row r="7287" ht="18.75" customHeight="1">
      <c r="A7287" s="14"/>
      <c r="B7287" s="12"/>
      <c r="C7287" s="12"/>
      <c r="D7287" s="12"/>
      <c r="E7287" s="12"/>
      <c r="F7287" s="14"/>
      <c r="G7287" s="15"/>
      <c r="H7287" s="15"/>
      <c r="I7287" s="14"/>
      <c r="P7287" s="14"/>
    </row>
    <row r="7288" ht="18.75" customHeight="1">
      <c r="A7288" s="14"/>
      <c r="B7288" s="12"/>
      <c r="C7288" s="12"/>
      <c r="D7288" s="12"/>
      <c r="E7288" s="12"/>
      <c r="F7288" s="14"/>
      <c r="G7288" s="15"/>
      <c r="H7288" s="15"/>
      <c r="I7288" s="14"/>
      <c r="P7288" s="14"/>
    </row>
    <row r="7289" ht="18.75" customHeight="1">
      <c r="A7289" s="14"/>
      <c r="B7289" s="12"/>
      <c r="C7289" s="12"/>
      <c r="D7289" s="12"/>
      <c r="E7289" s="12"/>
      <c r="F7289" s="14"/>
      <c r="G7289" s="15"/>
      <c r="H7289" s="15"/>
      <c r="I7289" s="14"/>
      <c r="P7289" s="14"/>
    </row>
    <row r="7290" ht="18.75" customHeight="1">
      <c r="A7290" s="14"/>
      <c r="B7290" s="12"/>
      <c r="C7290" s="12"/>
      <c r="D7290" s="12"/>
      <c r="E7290" s="12"/>
      <c r="F7290" s="14"/>
      <c r="G7290" s="15"/>
      <c r="H7290" s="15"/>
      <c r="I7290" s="14"/>
      <c r="P7290" s="14"/>
    </row>
    <row r="7291" ht="18.75" customHeight="1">
      <c r="A7291" s="14"/>
      <c r="B7291" s="12"/>
      <c r="C7291" s="12"/>
      <c r="D7291" s="12"/>
      <c r="E7291" s="12"/>
      <c r="F7291" s="14"/>
      <c r="G7291" s="15"/>
      <c r="H7291" s="15"/>
      <c r="I7291" s="14"/>
      <c r="P7291" s="14"/>
    </row>
    <row r="7292" ht="18.75" customHeight="1">
      <c r="A7292" s="14"/>
      <c r="B7292" s="12"/>
      <c r="C7292" s="12"/>
      <c r="D7292" s="12"/>
      <c r="E7292" s="12"/>
      <c r="F7292" s="14"/>
      <c r="G7292" s="15"/>
      <c r="H7292" s="15"/>
      <c r="I7292" s="14"/>
      <c r="P7292" s="14"/>
    </row>
    <row r="7293" ht="18.75" customHeight="1">
      <c r="A7293" s="14"/>
      <c r="B7293" s="12"/>
      <c r="C7293" s="12"/>
      <c r="D7293" s="12"/>
      <c r="E7293" s="12"/>
      <c r="F7293" s="14"/>
      <c r="G7293" s="15"/>
      <c r="H7293" s="15"/>
      <c r="I7293" s="14"/>
      <c r="P7293" s="14"/>
    </row>
    <row r="7294" ht="18.75" customHeight="1">
      <c r="A7294" s="14"/>
      <c r="B7294" s="12"/>
      <c r="C7294" s="12"/>
      <c r="D7294" s="12"/>
      <c r="E7294" s="12"/>
      <c r="F7294" s="14"/>
      <c r="G7294" s="15"/>
      <c r="H7294" s="15"/>
      <c r="I7294" s="14"/>
      <c r="P7294" s="14"/>
    </row>
    <row r="7295" ht="18.75" customHeight="1">
      <c r="A7295" s="14"/>
      <c r="B7295" s="12"/>
      <c r="C7295" s="12"/>
      <c r="D7295" s="12"/>
      <c r="E7295" s="12"/>
      <c r="F7295" s="14"/>
      <c r="G7295" s="15"/>
      <c r="H7295" s="15"/>
      <c r="I7295" s="14"/>
      <c r="P7295" s="14"/>
    </row>
    <row r="7296" ht="18.75" customHeight="1">
      <c r="A7296" s="14"/>
      <c r="B7296" s="12"/>
      <c r="C7296" s="12"/>
      <c r="D7296" s="12"/>
      <c r="E7296" s="12"/>
      <c r="F7296" s="14"/>
      <c r="G7296" s="15"/>
      <c r="H7296" s="15"/>
      <c r="I7296" s="14"/>
      <c r="P7296" s="14"/>
    </row>
    <row r="7297" ht="18.75" customHeight="1">
      <c r="A7297" s="14"/>
      <c r="B7297" s="12"/>
      <c r="C7297" s="12"/>
      <c r="D7297" s="12"/>
      <c r="E7297" s="12"/>
      <c r="F7297" s="14"/>
      <c r="G7297" s="15"/>
      <c r="H7297" s="15"/>
      <c r="I7297" s="14"/>
      <c r="P7297" s="14"/>
    </row>
    <row r="7298" ht="18.75" customHeight="1">
      <c r="A7298" s="14"/>
      <c r="B7298" s="12"/>
      <c r="C7298" s="12"/>
      <c r="D7298" s="12"/>
      <c r="E7298" s="12"/>
      <c r="F7298" s="14"/>
      <c r="G7298" s="15"/>
      <c r="H7298" s="15"/>
      <c r="I7298" s="14"/>
      <c r="P7298" s="14"/>
    </row>
    <row r="7299" ht="18.75" customHeight="1">
      <c r="A7299" s="14"/>
      <c r="B7299" s="12"/>
      <c r="C7299" s="12"/>
      <c r="D7299" s="12"/>
      <c r="E7299" s="12"/>
      <c r="F7299" s="14"/>
      <c r="G7299" s="15"/>
      <c r="H7299" s="15"/>
      <c r="I7299" s="14"/>
      <c r="P7299" s="14"/>
    </row>
    <row r="7300" ht="18.75" customHeight="1">
      <c r="A7300" s="14"/>
      <c r="B7300" s="12"/>
      <c r="C7300" s="12"/>
      <c r="D7300" s="12"/>
      <c r="E7300" s="12"/>
      <c r="F7300" s="14"/>
      <c r="G7300" s="15"/>
      <c r="H7300" s="15"/>
      <c r="I7300" s="14"/>
      <c r="P7300" s="14"/>
    </row>
    <row r="7301" ht="18.75" customHeight="1">
      <c r="A7301" s="14"/>
      <c r="B7301" s="12"/>
      <c r="C7301" s="12"/>
      <c r="D7301" s="12"/>
      <c r="E7301" s="12"/>
      <c r="F7301" s="14"/>
      <c r="G7301" s="15"/>
      <c r="H7301" s="15"/>
      <c r="I7301" s="14"/>
      <c r="P7301" s="14"/>
    </row>
    <row r="7302" ht="18.75" customHeight="1">
      <c r="A7302" s="14"/>
      <c r="B7302" s="12"/>
      <c r="C7302" s="12"/>
      <c r="D7302" s="12"/>
      <c r="E7302" s="12"/>
      <c r="F7302" s="14"/>
      <c r="G7302" s="15"/>
      <c r="H7302" s="15"/>
      <c r="I7302" s="14"/>
      <c r="P7302" s="14"/>
    </row>
    <row r="7303" ht="18.75" customHeight="1">
      <c r="A7303" s="14"/>
      <c r="B7303" s="12"/>
      <c r="C7303" s="12"/>
      <c r="D7303" s="12"/>
      <c r="E7303" s="12"/>
      <c r="F7303" s="14"/>
      <c r="G7303" s="15"/>
      <c r="H7303" s="15"/>
      <c r="I7303" s="14"/>
      <c r="P7303" s="14"/>
    </row>
    <row r="7304" ht="18.75" customHeight="1">
      <c r="A7304" s="14"/>
      <c r="B7304" s="12"/>
      <c r="C7304" s="12"/>
      <c r="D7304" s="12"/>
      <c r="E7304" s="12"/>
      <c r="F7304" s="14"/>
      <c r="G7304" s="15"/>
      <c r="H7304" s="15"/>
      <c r="I7304" s="14"/>
      <c r="P7304" s="14"/>
    </row>
    <row r="7305" ht="18.75" customHeight="1">
      <c r="A7305" s="14"/>
      <c r="B7305" s="12"/>
      <c r="C7305" s="12"/>
      <c r="D7305" s="12"/>
      <c r="E7305" s="12"/>
      <c r="F7305" s="14"/>
      <c r="G7305" s="15"/>
      <c r="H7305" s="15"/>
      <c r="I7305" s="14"/>
      <c r="P7305" s="14"/>
    </row>
    <row r="7306" ht="18.75" customHeight="1">
      <c r="A7306" s="14"/>
      <c r="B7306" s="12"/>
      <c r="C7306" s="12"/>
      <c r="D7306" s="12"/>
      <c r="E7306" s="12"/>
      <c r="F7306" s="14"/>
      <c r="G7306" s="15"/>
      <c r="H7306" s="15"/>
      <c r="I7306" s="14"/>
      <c r="P7306" s="14"/>
    </row>
    <row r="7307" ht="18.75" customHeight="1">
      <c r="A7307" s="14"/>
      <c r="B7307" s="12"/>
      <c r="C7307" s="12"/>
      <c r="D7307" s="12"/>
      <c r="E7307" s="12"/>
      <c r="F7307" s="14"/>
      <c r="G7307" s="15"/>
      <c r="H7307" s="15"/>
      <c r="I7307" s="14"/>
      <c r="P7307" s="14"/>
    </row>
    <row r="7308" ht="18.75" customHeight="1">
      <c r="A7308" s="14"/>
      <c r="B7308" s="12"/>
      <c r="C7308" s="12"/>
      <c r="D7308" s="12"/>
      <c r="E7308" s="12"/>
      <c r="F7308" s="14"/>
      <c r="G7308" s="15"/>
      <c r="H7308" s="15"/>
      <c r="I7308" s="14"/>
      <c r="P7308" s="14"/>
    </row>
    <row r="7309" ht="18.75" customHeight="1">
      <c r="A7309" s="14"/>
      <c r="B7309" s="12"/>
      <c r="C7309" s="12"/>
      <c r="D7309" s="12"/>
      <c r="E7309" s="12"/>
      <c r="F7309" s="14"/>
      <c r="G7309" s="15"/>
      <c r="H7309" s="15"/>
      <c r="I7309" s="14"/>
      <c r="P7309" s="14"/>
    </row>
    <row r="7310" ht="18.75" customHeight="1">
      <c r="A7310" s="14"/>
      <c r="B7310" s="12"/>
      <c r="C7310" s="12"/>
      <c r="D7310" s="12"/>
      <c r="E7310" s="12"/>
      <c r="F7310" s="14"/>
      <c r="G7310" s="15"/>
      <c r="H7310" s="15"/>
      <c r="I7310" s="14"/>
      <c r="P7310" s="14"/>
    </row>
    <row r="7311" ht="18.75" customHeight="1">
      <c r="A7311" s="14"/>
      <c r="B7311" s="12"/>
      <c r="C7311" s="12"/>
      <c r="D7311" s="12"/>
      <c r="E7311" s="12"/>
      <c r="F7311" s="14"/>
      <c r="G7311" s="15"/>
      <c r="H7311" s="15"/>
      <c r="I7311" s="14"/>
      <c r="P7311" s="14"/>
    </row>
    <row r="7312" ht="18.75" customHeight="1">
      <c r="A7312" s="14"/>
      <c r="B7312" s="12"/>
      <c r="C7312" s="12"/>
      <c r="D7312" s="12"/>
      <c r="E7312" s="12"/>
      <c r="F7312" s="14"/>
      <c r="G7312" s="15"/>
      <c r="H7312" s="15"/>
      <c r="I7312" s="14"/>
      <c r="P7312" s="14"/>
    </row>
    <row r="7313" ht="18.75" customHeight="1">
      <c r="A7313" s="14"/>
      <c r="B7313" s="12"/>
      <c r="C7313" s="12"/>
      <c r="D7313" s="12"/>
      <c r="E7313" s="12"/>
      <c r="F7313" s="14"/>
      <c r="G7313" s="15"/>
      <c r="H7313" s="15"/>
      <c r="I7313" s="14"/>
      <c r="P7313" s="14"/>
    </row>
    <row r="7314" ht="18.75" customHeight="1">
      <c r="A7314" s="14"/>
      <c r="B7314" s="12"/>
      <c r="C7314" s="12"/>
      <c r="D7314" s="12"/>
      <c r="E7314" s="12"/>
      <c r="F7314" s="14"/>
      <c r="G7314" s="15"/>
      <c r="H7314" s="15"/>
      <c r="I7314" s="14"/>
      <c r="P7314" s="14"/>
    </row>
    <row r="7315" ht="18.75" customHeight="1">
      <c r="A7315" s="14"/>
      <c r="B7315" s="12"/>
      <c r="C7315" s="12"/>
      <c r="D7315" s="12"/>
      <c r="E7315" s="12"/>
      <c r="F7315" s="14"/>
      <c r="G7315" s="15"/>
      <c r="H7315" s="15"/>
      <c r="I7315" s="14"/>
      <c r="P7315" s="14"/>
    </row>
    <row r="7316" ht="18.75" customHeight="1">
      <c r="A7316" s="14"/>
      <c r="B7316" s="12"/>
      <c r="C7316" s="12"/>
      <c r="D7316" s="12"/>
      <c r="E7316" s="12"/>
      <c r="F7316" s="14"/>
      <c r="G7316" s="15"/>
      <c r="H7316" s="15"/>
      <c r="I7316" s="14"/>
      <c r="P7316" s="14"/>
    </row>
    <row r="7317" ht="18.75" customHeight="1">
      <c r="A7317" s="14"/>
      <c r="B7317" s="12"/>
      <c r="C7317" s="12"/>
      <c r="D7317" s="12"/>
      <c r="E7317" s="12"/>
      <c r="F7317" s="14"/>
      <c r="G7317" s="15"/>
      <c r="H7317" s="15"/>
      <c r="I7317" s="14"/>
      <c r="P7317" s="14"/>
    </row>
    <row r="7318" ht="18.75" customHeight="1">
      <c r="A7318" s="14"/>
      <c r="B7318" s="12"/>
      <c r="C7318" s="12"/>
      <c r="D7318" s="12"/>
      <c r="E7318" s="12"/>
      <c r="F7318" s="14"/>
      <c r="G7318" s="15"/>
      <c r="H7318" s="15"/>
      <c r="I7318" s="14"/>
      <c r="P7318" s="14"/>
    </row>
    <row r="7319" ht="18.75" customHeight="1">
      <c r="A7319" s="14"/>
      <c r="B7319" s="12"/>
      <c r="C7319" s="12"/>
      <c r="D7319" s="12"/>
      <c r="E7319" s="12"/>
      <c r="F7319" s="14"/>
      <c r="G7319" s="15"/>
      <c r="H7319" s="15"/>
      <c r="I7319" s="14"/>
      <c r="P7319" s="14"/>
    </row>
    <row r="7320" ht="18.75" customHeight="1">
      <c r="A7320" s="14"/>
      <c r="B7320" s="12"/>
      <c r="C7320" s="12"/>
      <c r="D7320" s="12"/>
      <c r="E7320" s="12"/>
      <c r="F7320" s="14"/>
      <c r="G7320" s="15"/>
      <c r="H7320" s="15"/>
      <c r="I7320" s="14"/>
      <c r="P7320" s="14"/>
    </row>
    <row r="7321" ht="18.75" customHeight="1">
      <c r="A7321" s="14"/>
      <c r="B7321" s="12"/>
      <c r="C7321" s="12"/>
      <c r="D7321" s="12"/>
      <c r="E7321" s="12"/>
      <c r="F7321" s="14"/>
      <c r="G7321" s="15"/>
      <c r="H7321" s="15"/>
      <c r="I7321" s="14"/>
      <c r="P7321" s="14"/>
    </row>
    <row r="7322" ht="18.75" customHeight="1">
      <c r="A7322" s="14"/>
      <c r="B7322" s="12"/>
      <c r="C7322" s="12"/>
      <c r="D7322" s="12"/>
      <c r="E7322" s="12"/>
      <c r="F7322" s="14"/>
      <c r="G7322" s="15"/>
      <c r="H7322" s="15"/>
      <c r="I7322" s="14"/>
      <c r="P7322" s="14"/>
    </row>
    <row r="7323" ht="18.75" customHeight="1">
      <c r="A7323" s="14"/>
      <c r="B7323" s="12"/>
      <c r="C7323" s="12"/>
      <c r="D7323" s="12"/>
      <c r="E7323" s="12"/>
      <c r="F7323" s="14"/>
      <c r="G7323" s="15"/>
      <c r="H7323" s="15"/>
      <c r="I7323" s="14"/>
      <c r="P7323" s="14"/>
    </row>
    <row r="7324" ht="18.75" customHeight="1">
      <c r="A7324" s="14"/>
      <c r="B7324" s="12"/>
      <c r="C7324" s="12"/>
      <c r="D7324" s="12"/>
      <c r="E7324" s="12"/>
      <c r="F7324" s="14"/>
      <c r="G7324" s="15"/>
      <c r="H7324" s="15"/>
      <c r="I7324" s="14"/>
      <c r="P7324" s="14"/>
    </row>
    <row r="7325" ht="18.75" customHeight="1">
      <c r="A7325" s="14"/>
      <c r="B7325" s="12"/>
      <c r="C7325" s="12"/>
      <c r="D7325" s="12"/>
      <c r="E7325" s="12"/>
      <c r="F7325" s="14"/>
      <c r="G7325" s="15"/>
      <c r="H7325" s="15"/>
      <c r="I7325" s="14"/>
      <c r="P7325" s="14"/>
    </row>
    <row r="7326" ht="18.75" customHeight="1">
      <c r="A7326" s="14"/>
      <c r="B7326" s="12"/>
      <c r="C7326" s="12"/>
      <c r="D7326" s="12"/>
      <c r="E7326" s="12"/>
      <c r="F7326" s="14"/>
      <c r="G7326" s="15"/>
      <c r="H7326" s="15"/>
      <c r="I7326" s="14"/>
      <c r="P7326" s="14"/>
    </row>
    <row r="7327" ht="18.75" customHeight="1">
      <c r="A7327" s="14"/>
      <c r="B7327" s="12"/>
      <c r="C7327" s="12"/>
      <c r="D7327" s="12"/>
      <c r="E7327" s="12"/>
      <c r="F7327" s="14"/>
      <c r="G7327" s="15"/>
      <c r="H7327" s="15"/>
      <c r="I7327" s="14"/>
      <c r="P7327" s="14"/>
    </row>
    <row r="7328" ht="18.75" customHeight="1">
      <c r="A7328" s="14"/>
      <c r="B7328" s="12"/>
      <c r="C7328" s="12"/>
      <c r="D7328" s="12"/>
      <c r="E7328" s="12"/>
      <c r="F7328" s="14"/>
      <c r="G7328" s="15"/>
      <c r="H7328" s="15"/>
      <c r="I7328" s="14"/>
      <c r="P7328" s="14"/>
    </row>
    <row r="7329" ht="18.75" customHeight="1">
      <c r="A7329" s="14"/>
      <c r="B7329" s="12"/>
      <c r="C7329" s="12"/>
      <c r="D7329" s="12"/>
      <c r="E7329" s="12"/>
      <c r="F7329" s="14"/>
      <c r="G7329" s="15"/>
      <c r="H7329" s="15"/>
      <c r="I7329" s="14"/>
      <c r="P7329" s="14"/>
    </row>
    <row r="7330" ht="18.75" customHeight="1">
      <c r="A7330" s="14"/>
      <c r="B7330" s="12"/>
      <c r="C7330" s="12"/>
      <c r="D7330" s="12"/>
      <c r="E7330" s="12"/>
      <c r="F7330" s="14"/>
      <c r="G7330" s="15"/>
      <c r="H7330" s="15"/>
      <c r="I7330" s="14"/>
      <c r="P7330" s="14"/>
    </row>
    <row r="7331" ht="18.75" customHeight="1">
      <c r="A7331" s="14"/>
      <c r="B7331" s="12"/>
      <c r="C7331" s="12"/>
      <c r="D7331" s="12"/>
      <c r="E7331" s="12"/>
      <c r="F7331" s="14"/>
      <c r="G7331" s="15"/>
      <c r="H7331" s="15"/>
      <c r="I7331" s="14"/>
      <c r="P7331" s="14"/>
    </row>
    <row r="7332" ht="18.75" customHeight="1">
      <c r="A7332" s="14"/>
      <c r="B7332" s="12"/>
      <c r="C7332" s="12"/>
      <c r="D7332" s="12"/>
      <c r="E7332" s="12"/>
      <c r="F7332" s="14"/>
      <c r="G7332" s="15"/>
      <c r="H7332" s="15"/>
      <c r="I7332" s="14"/>
      <c r="P7332" s="14"/>
    </row>
    <row r="7333" ht="18.75" customHeight="1">
      <c r="A7333" s="14"/>
      <c r="B7333" s="12"/>
      <c r="C7333" s="12"/>
      <c r="D7333" s="12"/>
      <c r="E7333" s="12"/>
      <c r="F7333" s="14"/>
      <c r="G7333" s="15"/>
      <c r="H7333" s="15"/>
      <c r="I7333" s="14"/>
      <c r="P7333" s="14"/>
    </row>
    <row r="7334" ht="18.75" customHeight="1">
      <c r="A7334" s="14"/>
      <c r="B7334" s="12"/>
      <c r="C7334" s="12"/>
      <c r="D7334" s="12"/>
      <c r="E7334" s="12"/>
      <c r="F7334" s="14"/>
      <c r="G7334" s="15"/>
      <c r="H7334" s="15"/>
      <c r="I7334" s="14"/>
      <c r="P7334" s="14"/>
    </row>
    <row r="7335" ht="18.75" customHeight="1">
      <c r="A7335" s="14"/>
      <c r="B7335" s="12"/>
      <c r="C7335" s="12"/>
      <c r="D7335" s="12"/>
      <c r="E7335" s="12"/>
      <c r="F7335" s="14"/>
      <c r="G7335" s="15"/>
      <c r="H7335" s="15"/>
      <c r="I7335" s="14"/>
      <c r="P7335" s="14"/>
    </row>
    <row r="7336" ht="18.75" customHeight="1">
      <c r="A7336" s="14"/>
      <c r="B7336" s="12"/>
      <c r="C7336" s="12"/>
      <c r="D7336" s="12"/>
      <c r="E7336" s="12"/>
      <c r="F7336" s="14"/>
      <c r="G7336" s="15"/>
      <c r="H7336" s="15"/>
      <c r="I7336" s="14"/>
      <c r="P7336" s="14"/>
    </row>
    <row r="7337" ht="18.75" customHeight="1">
      <c r="A7337" s="14"/>
      <c r="B7337" s="12"/>
      <c r="C7337" s="12"/>
      <c r="D7337" s="12"/>
      <c r="E7337" s="12"/>
      <c r="F7337" s="14"/>
      <c r="G7337" s="15"/>
      <c r="H7337" s="15"/>
      <c r="I7337" s="14"/>
      <c r="P7337" s="14"/>
    </row>
    <row r="7338" ht="18.75" customHeight="1">
      <c r="A7338" s="14"/>
      <c r="B7338" s="12"/>
      <c r="C7338" s="12"/>
      <c r="D7338" s="12"/>
      <c r="E7338" s="12"/>
      <c r="F7338" s="14"/>
      <c r="G7338" s="15"/>
      <c r="H7338" s="15"/>
      <c r="I7338" s="14"/>
      <c r="P7338" s="14"/>
    </row>
    <row r="7339" ht="18.75" customHeight="1">
      <c r="A7339" s="14"/>
      <c r="B7339" s="12"/>
      <c r="C7339" s="12"/>
      <c r="D7339" s="12"/>
      <c r="E7339" s="12"/>
      <c r="F7339" s="14"/>
      <c r="G7339" s="15"/>
      <c r="H7339" s="15"/>
      <c r="I7339" s="14"/>
      <c r="P7339" s="14"/>
    </row>
    <row r="7340" ht="18.75" customHeight="1">
      <c r="A7340" s="14"/>
      <c r="B7340" s="12"/>
      <c r="C7340" s="12"/>
      <c r="D7340" s="12"/>
      <c r="E7340" s="12"/>
      <c r="F7340" s="14"/>
      <c r="G7340" s="15"/>
      <c r="H7340" s="15"/>
      <c r="I7340" s="14"/>
      <c r="P7340" s="14"/>
    </row>
    <row r="7341" ht="18.75" customHeight="1">
      <c r="A7341" s="14"/>
      <c r="B7341" s="12"/>
      <c r="C7341" s="12"/>
      <c r="D7341" s="12"/>
      <c r="E7341" s="12"/>
      <c r="F7341" s="14"/>
      <c r="G7341" s="15"/>
      <c r="H7341" s="15"/>
      <c r="I7341" s="14"/>
      <c r="P7341" s="14"/>
    </row>
    <row r="7342" ht="18.75" customHeight="1">
      <c r="A7342" s="14"/>
      <c r="B7342" s="12"/>
      <c r="C7342" s="12"/>
      <c r="D7342" s="12"/>
      <c r="E7342" s="12"/>
      <c r="F7342" s="14"/>
      <c r="G7342" s="15"/>
      <c r="H7342" s="15"/>
      <c r="I7342" s="14"/>
      <c r="P7342" s="14"/>
    </row>
    <row r="7343" ht="18.75" customHeight="1">
      <c r="A7343" s="14"/>
      <c r="B7343" s="12"/>
      <c r="C7343" s="12"/>
      <c r="D7343" s="12"/>
      <c r="E7343" s="12"/>
      <c r="F7343" s="14"/>
      <c r="G7343" s="15"/>
      <c r="H7343" s="15"/>
      <c r="I7343" s="14"/>
      <c r="P7343" s="14"/>
    </row>
    <row r="7344" ht="18.75" customHeight="1">
      <c r="A7344" s="14"/>
      <c r="B7344" s="12"/>
      <c r="C7344" s="12"/>
      <c r="D7344" s="12"/>
      <c r="E7344" s="12"/>
      <c r="F7344" s="14"/>
      <c r="G7344" s="15"/>
      <c r="H7344" s="15"/>
      <c r="I7344" s="14"/>
      <c r="P7344" s="14"/>
    </row>
    <row r="7345" ht="18.75" customHeight="1">
      <c r="A7345" s="14"/>
      <c r="B7345" s="12"/>
      <c r="C7345" s="12"/>
      <c r="D7345" s="12"/>
      <c r="E7345" s="12"/>
      <c r="F7345" s="14"/>
      <c r="G7345" s="15"/>
      <c r="H7345" s="15"/>
      <c r="I7345" s="14"/>
      <c r="P7345" s="14"/>
    </row>
    <row r="7346" ht="18.75" customHeight="1">
      <c r="A7346" s="14"/>
      <c r="B7346" s="12"/>
      <c r="C7346" s="12"/>
      <c r="D7346" s="12"/>
      <c r="E7346" s="12"/>
      <c r="F7346" s="14"/>
      <c r="G7346" s="15"/>
      <c r="H7346" s="15"/>
      <c r="I7346" s="14"/>
      <c r="P7346" s="14"/>
    </row>
    <row r="7347" ht="18.75" customHeight="1">
      <c r="A7347" s="14"/>
      <c r="B7347" s="12"/>
      <c r="C7347" s="12"/>
      <c r="D7347" s="12"/>
      <c r="E7347" s="12"/>
      <c r="F7347" s="14"/>
      <c r="G7347" s="15"/>
      <c r="H7347" s="15"/>
      <c r="I7347" s="14"/>
      <c r="P7347" s="14"/>
    </row>
    <row r="7348" ht="18.75" customHeight="1">
      <c r="A7348" s="14"/>
      <c r="B7348" s="12"/>
      <c r="C7348" s="12"/>
      <c r="D7348" s="12"/>
      <c r="E7348" s="12"/>
      <c r="F7348" s="14"/>
      <c r="G7348" s="15"/>
      <c r="H7348" s="15"/>
      <c r="I7348" s="14"/>
      <c r="P7348" s="14"/>
    </row>
    <row r="7349" ht="18.75" customHeight="1">
      <c r="A7349" s="14"/>
      <c r="B7349" s="12"/>
      <c r="C7349" s="12"/>
      <c r="D7349" s="12"/>
      <c r="E7349" s="12"/>
      <c r="F7349" s="14"/>
      <c r="G7349" s="15"/>
      <c r="H7349" s="15"/>
      <c r="I7349" s="14"/>
      <c r="P7349" s="14"/>
    </row>
    <row r="7350" ht="18.75" customHeight="1">
      <c r="A7350" s="14"/>
      <c r="B7350" s="12"/>
      <c r="C7350" s="12"/>
      <c r="D7350" s="12"/>
      <c r="E7350" s="12"/>
      <c r="F7350" s="14"/>
      <c r="G7350" s="15"/>
      <c r="H7350" s="15"/>
      <c r="I7350" s="14"/>
      <c r="P7350" s="14"/>
    </row>
    <row r="7351" ht="18.75" customHeight="1">
      <c r="A7351" s="14"/>
      <c r="B7351" s="12"/>
      <c r="C7351" s="12"/>
      <c r="D7351" s="12"/>
      <c r="E7351" s="12"/>
      <c r="F7351" s="14"/>
      <c r="G7351" s="15"/>
      <c r="H7351" s="15"/>
      <c r="I7351" s="14"/>
      <c r="P7351" s="14"/>
    </row>
    <row r="7352" ht="18.75" customHeight="1">
      <c r="A7352" s="14"/>
      <c r="B7352" s="12"/>
      <c r="C7352" s="12"/>
      <c r="D7352" s="12"/>
      <c r="E7352" s="12"/>
      <c r="F7352" s="14"/>
      <c r="G7352" s="15"/>
      <c r="H7352" s="15"/>
      <c r="I7352" s="14"/>
      <c r="P7352" s="14"/>
    </row>
    <row r="7353" ht="18.75" customHeight="1">
      <c r="A7353" s="14"/>
      <c r="B7353" s="12"/>
      <c r="C7353" s="12"/>
      <c r="D7353" s="12"/>
      <c r="E7353" s="12"/>
      <c r="F7353" s="14"/>
      <c r="G7353" s="15"/>
      <c r="H7353" s="15"/>
      <c r="I7353" s="14"/>
      <c r="P7353" s="14"/>
    </row>
    <row r="7354" ht="18.75" customHeight="1">
      <c r="A7354" s="14"/>
      <c r="B7354" s="12"/>
      <c r="C7354" s="12"/>
      <c r="D7354" s="12"/>
      <c r="E7354" s="12"/>
      <c r="F7354" s="14"/>
      <c r="G7354" s="15"/>
      <c r="H7354" s="15"/>
      <c r="I7354" s="14"/>
      <c r="P7354" s="14"/>
    </row>
    <row r="7355" ht="18.75" customHeight="1">
      <c r="A7355" s="14"/>
      <c r="B7355" s="12"/>
      <c r="C7355" s="12"/>
      <c r="D7355" s="12"/>
      <c r="E7355" s="12"/>
      <c r="F7355" s="14"/>
      <c r="G7355" s="15"/>
      <c r="H7355" s="15"/>
      <c r="I7355" s="14"/>
      <c r="P7355" s="14"/>
    </row>
    <row r="7356" ht="18.75" customHeight="1">
      <c r="A7356" s="14"/>
      <c r="B7356" s="12"/>
      <c r="C7356" s="12"/>
      <c r="D7356" s="12"/>
      <c r="E7356" s="12"/>
      <c r="F7356" s="14"/>
      <c r="G7356" s="15"/>
      <c r="H7356" s="15"/>
      <c r="I7356" s="14"/>
      <c r="P7356" s="14"/>
    </row>
    <row r="7357" ht="18.75" customHeight="1">
      <c r="A7357" s="14"/>
      <c r="B7357" s="12"/>
      <c r="C7357" s="12"/>
      <c r="D7357" s="12"/>
      <c r="E7357" s="12"/>
      <c r="F7357" s="14"/>
      <c r="G7357" s="15"/>
      <c r="H7357" s="15"/>
      <c r="I7357" s="14"/>
      <c r="P7357" s="14"/>
    </row>
    <row r="7358" ht="18.75" customHeight="1">
      <c r="A7358" s="14"/>
      <c r="B7358" s="12"/>
      <c r="C7358" s="12"/>
      <c r="D7358" s="12"/>
      <c r="E7358" s="12"/>
      <c r="F7358" s="14"/>
      <c r="G7358" s="15"/>
      <c r="H7358" s="15"/>
      <c r="I7358" s="14"/>
      <c r="P7358" s="14"/>
    </row>
    <row r="7359" ht="18.75" customHeight="1">
      <c r="A7359" s="14"/>
      <c r="B7359" s="12"/>
      <c r="C7359" s="12"/>
      <c r="D7359" s="12"/>
      <c r="E7359" s="12"/>
      <c r="F7359" s="14"/>
      <c r="G7359" s="15"/>
      <c r="H7359" s="15"/>
      <c r="I7359" s="14"/>
      <c r="P7359" s="14"/>
    </row>
    <row r="7360" ht="18.75" customHeight="1">
      <c r="A7360" s="14"/>
      <c r="B7360" s="12"/>
      <c r="C7360" s="12"/>
      <c r="D7360" s="12"/>
      <c r="E7360" s="12"/>
      <c r="F7360" s="14"/>
      <c r="G7360" s="15"/>
      <c r="H7360" s="15"/>
      <c r="I7360" s="14"/>
      <c r="P7360" s="14"/>
    </row>
    <row r="7361" ht="18.75" customHeight="1">
      <c r="A7361" s="14"/>
      <c r="B7361" s="12"/>
      <c r="C7361" s="12"/>
      <c r="D7361" s="12"/>
      <c r="E7361" s="12"/>
      <c r="F7361" s="14"/>
      <c r="G7361" s="15"/>
      <c r="H7361" s="15"/>
      <c r="I7361" s="14"/>
      <c r="P7361" s="14"/>
    </row>
    <row r="7362" ht="18.75" customHeight="1">
      <c r="A7362" s="14"/>
      <c r="B7362" s="12"/>
      <c r="C7362" s="12"/>
      <c r="D7362" s="12"/>
      <c r="E7362" s="12"/>
      <c r="F7362" s="14"/>
      <c r="G7362" s="15"/>
      <c r="H7362" s="15"/>
      <c r="I7362" s="14"/>
      <c r="P7362" s="14"/>
    </row>
    <row r="7363" ht="18.75" customHeight="1">
      <c r="A7363" s="14"/>
      <c r="B7363" s="12"/>
      <c r="C7363" s="12"/>
      <c r="D7363" s="12"/>
      <c r="E7363" s="12"/>
      <c r="F7363" s="14"/>
      <c r="G7363" s="15"/>
      <c r="H7363" s="15"/>
      <c r="I7363" s="14"/>
      <c r="P7363" s="14"/>
    </row>
    <row r="7364" ht="18.75" customHeight="1">
      <c r="A7364" s="14"/>
      <c r="B7364" s="12"/>
      <c r="C7364" s="12"/>
      <c r="D7364" s="12"/>
      <c r="E7364" s="12"/>
      <c r="F7364" s="14"/>
      <c r="G7364" s="15"/>
      <c r="H7364" s="15"/>
      <c r="I7364" s="14"/>
      <c r="P7364" s="14"/>
    </row>
    <row r="7365" ht="18.75" customHeight="1">
      <c r="A7365" s="14"/>
      <c r="B7365" s="12"/>
      <c r="C7365" s="12"/>
      <c r="D7365" s="12"/>
      <c r="E7365" s="12"/>
      <c r="F7365" s="14"/>
      <c r="G7365" s="15"/>
      <c r="H7365" s="15"/>
      <c r="I7365" s="14"/>
      <c r="P7365" s="14"/>
    </row>
    <row r="7366" ht="18.75" customHeight="1">
      <c r="A7366" s="14"/>
      <c r="B7366" s="12"/>
      <c r="C7366" s="12"/>
      <c r="D7366" s="12"/>
      <c r="E7366" s="12"/>
      <c r="F7366" s="14"/>
      <c r="G7366" s="15"/>
      <c r="H7366" s="15"/>
      <c r="I7366" s="14"/>
      <c r="P7366" s="14"/>
    </row>
    <row r="7367" ht="18.75" customHeight="1">
      <c r="A7367" s="14"/>
      <c r="B7367" s="12"/>
      <c r="C7367" s="12"/>
      <c r="D7367" s="12"/>
      <c r="E7367" s="12"/>
      <c r="F7367" s="14"/>
      <c r="G7367" s="15"/>
      <c r="H7367" s="15"/>
      <c r="I7367" s="14"/>
      <c r="P7367" s="14"/>
    </row>
    <row r="7368" ht="18.75" customHeight="1">
      <c r="A7368" s="14"/>
      <c r="B7368" s="12"/>
      <c r="C7368" s="12"/>
      <c r="D7368" s="12"/>
      <c r="E7368" s="12"/>
      <c r="F7368" s="14"/>
      <c r="G7368" s="15"/>
      <c r="H7368" s="15"/>
      <c r="I7368" s="14"/>
      <c r="P7368" s="14"/>
    </row>
    <row r="7369" ht="18.75" customHeight="1">
      <c r="A7369" s="14"/>
      <c r="B7369" s="12"/>
      <c r="C7369" s="12"/>
      <c r="D7369" s="12"/>
      <c r="E7369" s="12"/>
      <c r="F7369" s="14"/>
      <c r="G7369" s="15"/>
      <c r="H7369" s="15"/>
      <c r="I7369" s="14"/>
      <c r="P7369" s="14"/>
    </row>
    <row r="7370" ht="18.75" customHeight="1">
      <c r="A7370" s="14"/>
      <c r="B7370" s="12"/>
      <c r="C7370" s="12"/>
      <c r="D7370" s="12"/>
      <c r="E7370" s="12"/>
      <c r="F7370" s="14"/>
      <c r="G7370" s="15"/>
      <c r="H7370" s="15"/>
      <c r="I7370" s="14"/>
      <c r="P7370" s="14"/>
    </row>
    <row r="7371" ht="18.75" customHeight="1">
      <c r="A7371" s="14"/>
      <c r="B7371" s="12"/>
      <c r="C7371" s="12"/>
      <c r="D7371" s="12"/>
      <c r="E7371" s="12"/>
      <c r="F7371" s="14"/>
      <c r="G7371" s="15"/>
      <c r="H7371" s="15"/>
      <c r="I7371" s="14"/>
      <c r="P7371" s="14"/>
    </row>
    <row r="7372" ht="18.75" customHeight="1">
      <c r="A7372" s="14"/>
      <c r="B7372" s="12"/>
      <c r="C7372" s="12"/>
      <c r="D7372" s="12"/>
      <c r="E7372" s="12"/>
      <c r="F7372" s="14"/>
      <c r="G7372" s="15"/>
      <c r="H7372" s="15"/>
      <c r="I7372" s="14"/>
      <c r="P7372" s="14"/>
    </row>
    <row r="7373" ht="18.75" customHeight="1">
      <c r="A7373" s="14"/>
      <c r="B7373" s="12"/>
      <c r="C7373" s="12"/>
      <c r="D7373" s="12"/>
      <c r="E7373" s="12"/>
      <c r="F7373" s="14"/>
      <c r="G7373" s="15"/>
      <c r="H7373" s="15"/>
      <c r="I7373" s="14"/>
      <c r="P7373" s="14"/>
    </row>
    <row r="7374" ht="18.75" customHeight="1">
      <c r="A7374" s="14"/>
      <c r="B7374" s="12"/>
      <c r="C7374" s="12"/>
      <c r="D7374" s="12"/>
      <c r="E7374" s="12"/>
      <c r="F7374" s="14"/>
      <c r="G7374" s="15"/>
      <c r="H7374" s="15"/>
      <c r="I7374" s="14"/>
      <c r="P7374" s="14"/>
    </row>
    <row r="7375" ht="18.75" customHeight="1">
      <c r="A7375" s="14"/>
      <c r="B7375" s="12"/>
      <c r="C7375" s="12"/>
      <c r="D7375" s="12"/>
      <c r="E7375" s="12"/>
      <c r="F7375" s="14"/>
      <c r="G7375" s="15"/>
      <c r="H7375" s="15"/>
      <c r="I7375" s="14"/>
      <c r="P7375" s="14"/>
    </row>
    <row r="7376" ht="18.75" customHeight="1">
      <c r="A7376" s="14"/>
      <c r="B7376" s="12"/>
      <c r="C7376" s="12"/>
      <c r="D7376" s="12"/>
      <c r="E7376" s="12"/>
      <c r="F7376" s="14"/>
      <c r="G7376" s="15"/>
      <c r="H7376" s="15"/>
      <c r="I7376" s="14"/>
      <c r="P7376" s="14"/>
    </row>
    <row r="7377" ht="18.75" customHeight="1">
      <c r="A7377" s="14"/>
      <c r="B7377" s="12"/>
      <c r="C7377" s="12"/>
      <c r="D7377" s="12"/>
      <c r="E7377" s="12"/>
      <c r="F7377" s="14"/>
      <c r="G7377" s="15"/>
      <c r="H7377" s="15"/>
      <c r="I7377" s="14"/>
      <c r="P7377" s="14"/>
    </row>
    <row r="7378" ht="18.75" customHeight="1">
      <c r="A7378" s="14"/>
      <c r="B7378" s="12"/>
      <c r="C7378" s="12"/>
      <c r="D7378" s="12"/>
      <c r="E7378" s="12"/>
      <c r="F7378" s="14"/>
      <c r="G7378" s="15"/>
      <c r="H7378" s="15"/>
      <c r="I7378" s="14"/>
      <c r="P7378" s="14"/>
    </row>
    <row r="7379" ht="18.75" customHeight="1">
      <c r="A7379" s="14"/>
      <c r="B7379" s="12"/>
      <c r="C7379" s="12"/>
      <c r="D7379" s="12"/>
      <c r="E7379" s="12"/>
      <c r="F7379" s="14"/>
      <c r="G7379" s="15"/>
      <c r="H7379" s="15"/>
      <c r="I7379" s="14"/>
      <c r="P7379" s="14"/>
    </row>
    <row r="7380" ht="18.75" customHeight="1">
      <c r="A7380" s="14"/>
      <c r="B7380" s="12"/>
      <c r="C7380" s="12"/>
      <c r="D7380" s="12"/>
      <c r="E7380" s="12"/>
      <c r="F7380" s="14"/>
      <c r="G7380" s="15"/>
      <c r="H7380" s="15"/>
      <c r="I7380" s="14"/>
      <c r="P7380" s="14"/>
    </row>
    <row r="7381" ht="18.75" customHeight="1">
      <c r="A7381" s="14"/>
      <c r="B7381" s="12"/>
      <c r="C7381" s="12"/>
      <c r="D7381" s="12"/>
      <c r="E7381" s="12"/>
      <c r="F7381" s="14"/>
      <c r="G7381" s="15"/>
      <c r="H7381" s="15"/>
      <c r="I7381" s="14"/>
      <c r="P7381" s="14"/>
    </row>
    <row r="7382" ht="18.75" customHeight="1">
      <c r="A7382" s="14"/>
      <c r="B7382" s="12"/>
      <c r="C7382" s="12"/>
      <c r="D7382" s="12"/>
      <c r="E7382" s="12"/>
      <c r="F7382" s="14"/>
      <c r="G7382" s="15"/>
      <c r="H7382" s="15"/>
      <c r="I7382" s="14"/>
      <c r="P7382" s="14"/>
    </row>
    <row r="7383" ht="18.75" customHeight="1">
      <c r="A7383" s="14"/>
      <c r="B7383" s="12"/>
      <c r="C7383" s="12"/>
      <c r="D7383" s="12"/>
      <c r="E7383" s="12"/>
      <c r="F7383" s="14"/>
      <c r="G7383" s="15"/>
      <c r="H7383" s="15"/>
      <c r="I7383" s="14"/>
      <c r="P7383" s="14"/>
    </row>
    <row r="7384" ht="18.75" customHeight="1">
      <c r="A7384" s="14"/>
      <c r="B7384" s="12"/>
      <c r="C7384" s="12"/>
      <c r="D7384" s="12"/>
      <c r="E7384" s="12"/>
      <c r="F7384" s="14"/>
      <c r="G7384" s="15"/>
      <c r="H7384" s="15"/>
      <c r="I7384" s="14"/>
      <c r="P7384" s="14"/>
    </row>
    <row r="7385" ht="18.75" customHeight="1">
      <c r="A7385" s="14"/>
      <c r="B7385" s="12"/>
      <c r="C7385" s="12"/>
      <c r="D7385" s="12"/>
      <c r="E7385" s="12"/>
      <c r="F7385" s="14"/>
      <c r="G7385" s="15"/>
      <c r="H7385" s="15"/>
      <c r="I7385" s="14"/>
      <c r="P7385" s="14"/>
    </row>
    <row r="7386" ht="18.75" customHeight="1">
      <c r="A7386" s="14"/>
      <c r="B7386" s="12"/>
      <c r="C7386" s="12"/>
      <c r="D7386" s="12"/>
      <c r="E7386" s="12"/>
      <c r="F7386" s="14"/>
      <c r="G7386" s="15"/>
      <c r="H7386" s="15"/>
      <c r="I7386" s="14"/>
      <c r="P7386" s="14"/>
    </row>
    <row r="7387" ht="18.75" customHeight="1">
      <c r="A7387" s="14"/>
      <c r="B7387" s="12"/>
      <c r="C7387" s="12"/>
      <c r="D7387" s="12"/>
      <c r="E7387" s="12"/>
      <c r="F7387" s="14"/>
      <c r="G7387" s="15"/>
      <c r="H7387" s="15"/>
      <c r="I7387" s="14"/>
      <c r="P7387" s="14"/>
    </row>
    <row r="7388" ht="18.75" customHeight="1">
      <c r="A7388" s="14"/>
      <c r="B7388" s="12"/>
      <c r="C7388" s="12"/>
      <c r="D7388" s="12"/>
      <c r="E7388" s="12"/>
      <c r="F7388" s="14"/>
      <c r="G7388" s="15"/>
      <c r="H7388" s="15"/>
      <c r="I7388" s="14"/>
      <c r="P7388" s="14"/>
    </row>
    <row r="7389" ht="18.75" customHeight="1">
      <c r="A7389" s="14"/>
      <c r="B7389" s="12"/>
      <c r="C7389" s="12"/>
      <c r="D7389" s="12"/>
      <c r="E7389" s="12"/>
      <c r="F7389" s="14"/>
      <c r="G7389" s="15"/>
      <c r="H7389" s="15"/>
      <c r="I7389" s="14"/>
      <c r="P7389" s="14"/>
    </row>
    <row r="7390" ht="18.75" customHeight="1">
      <c r="A7390" s="14"/>
      <c r="B7390" s="12"/>
      <c r="C7390" s="12"/>
      <c r="D7390" s="12"/>
      <c r="E7390" s="12"/>
      <c r="F7390" s="14"/>
      <c r="G7390" s="15"/>
      <c r="H7390" s="15"/>
      <c r="I7390" s="14"/>
      <c r="P7390" s="14"/>
    </row>
    <row r="7391" ht="18.75" customHeight="1">
      <c r="A7391" s="14"/>
      <c r="B7391" s="12"/>
      <c r="C7391" s="12"/>
      <c r="D7391" s="12"/>
      <c r="E7391" s="12"/>
      <c r="F7391" s="14"/>
      <c r="G7391" s="15"/>
      <c r="H7391" s="15"/>
      <c r="I7391" s="14"/>
      <c r="P7391" s="14"/>
    </row>
    <row r="7392" ht="18.75" customHeight="1">
      <c r="A7392" s="14"/>
      <c r="B7392" s="12"/>
      <c r="C7392" s="12"/>
      <c r="D7392" s="12"/>
      <c r="E7392" s="12"/>
      <c r="F7392" s="14"/>
      <c r="G7392" s="15"/>
      <c r="H7392" s="15"/>
      <c r="I7392" s="14"/>
      <c r="P7392" s="14"/>
    </row>
    <row r="7393" ht="18.75" customHeight="1">
      <c r="A7393" s="14"/>
      <c r="B7393" s="12"/>
      <c r="C7393" s="12"/>
      <c r="D7393" s="12"/>
      <c r="E7393" s="12"/>
      <c r="F7393" s="14"/>
      <c r="G7393" s="15"/>
      <c r="H7393" s="15"/>
      <c r="I7393" s="14"/>
      <c r="P7393" s="14"/>
    </row>
    <row r="7394" ht="18.75" customHeight="1">
      <c r="A7394" s="14"/>
      <c r="B7394" s="12"/>
      <c r="C7394" s="12"/>
      <c r="D7394" s="12"/>
      <c r="E7394" s="12"/>
      <c r="F7394" s="14"/>
      <c r="G7394" s="15"/>
      <c r="H7394" s="15"/>
      <c r="I7394" s="14"/>
      <c r="P7394" s="14"/>
    </row>
    <row r="7395" ht="18.75" customHeight="1">
      <c r="A7395" s="14"/>
      <c r="B7395" s="12"/>
      <c r="C7395" s="12"/>
      <c r="D7395" s="12"/>
      <c r="E7395" s="12"/>
      <c r="F7395" s="14"/>
      <c r="G7395" s="15"/>
      <c r="H7395" s="15"/>
      <c r="I7395" s="14"/>
      <c r="P7395" s="14"/>
    </row>
    <row r="7396" ht="18.75" customHeight="1">
      <c r="A7396" s="14"/>
      <c r="B7396" s="12"/>
      <c r="C7396" s="12"/>
      <c r="D7396" s="12"/>
      <c r="E7396" s="12"/>
      <c r="F7396" s="14"/>
      <c r="G7396" s="15"/>
      <c r="H7396" s="15"/>
      <c r="I7396" s="14"/>
      <c r="P7396" s="14"/>
    </row>
    <row r="7397" ht="18.75" customHeight="1">
      <c r="A7397" s="14"/>
      <c r="B7397" s="12"/>
      <c r="C7397" s="12"/>
      <c r="D7397" s="12"/>
      <c r="E7397" s="12"/>
      <c r="F7397" s="14"/>
      <c r="G7397" s="15"/>
      <c r="H7397" s="15"/>
      <c r="I7397" s="14"/>
      <c r="P7397" s="14"/>
    </row>
    <row r="7398" ht="18.75" customHeight="1">
      <c r="A7398" s="14"/>
      <c r="B7398" s="12"/>
      <c r="C7398" s="12"/>
      <c r="D7398" s="12"/>
      <c r="E7398" s="12"/>
      <c r="F7398" s="14"/>
      <c r="G7398" s="15"/>
      <c r="H7398" s="15"/>
      <c r="I7398" s="14"/>
      <c r="P7398" s="14"/>
    </row>
    <row r="7399" ht="18.75" customHeight="1">
      <c r="A7399" s="14"/>
      <c r="B7399" s="12"/>
      <c r="C7399" s="12"/>
      <c r="D7399" s="12"/>
      <c r="E7399" s="12"/>
      <c r="F7399" s="14"/>
      <c r="G7399" s="15"/>
      <c r="H7399" s="15"/>
      <c r="I7399" s="14"/>
      <c r="P7399" s="14"/>
    </row>
    <row r="7400" ht="18.75" customHeight="1">
      <c r="A7400" s="14"/>
      <c r="B7400" s="12"/>
      <c r="C7400" s="12"/>
      <c r="D7400" s="12"/>
      <c r="E7400" s="12"/>
      <c r="F7400" s="14"/>
      <c r="G7400" s="15"/>
      <c r="H7400" s="15"/>
      <c r="I7400" s="14"/>
      <c r="P7400" s="14"/>
    </row>
    <row r="7401" ht="18.75" customHeight="1">
      <c r="A7401" s="14"/>
      <c r="B7401" s="12"/>
      <c r="C7401" s="12"/>
      <c r="D7401" s="12"/>
      <c r="E7401" s="12"/>
      <c r="F7401" s="14"/>
      <c r="G7401" s="15"/>
      <c r="H7401" s="15"/>
      <c r="I7401" s="14"/>
      <c r="P7401" s="14"/>
    </row>
    <row r="7402" ht="18.75" customHeight="1">
      <c r="A7402" s="14"/>
      <c r="B7402" s="12"/>
      <c r="C7402" s="12"/>
      <c r="D7402" s="12"/>
      <c r="E7402" s="12"/>
      <c r="F7402" s="14"/>
      <c r="G7402" s="15"/>
      <c r="H7402" s="15"/>
      <c r="I7402" s="14"/>
      <c r="P7402" s="14"/>
    </row>
    <row r="7403" ht="18.75" customHeight="1">
      <c r="A7403" s="14"/>
      <c r="B7403" s="12"/>
      <c r="C7403" s="12"/>
      <c r="D7403" s="12"/>
      <c r="E7403" s="12"/>
      <c r="F7403" s="14"/>
      <c r="G7403" s="15"/>
      <c r="H7403" s="15"/>
      <c r="I7403" s="14"/>
      <c r="P7403" s="14"/>
    </row>
    <row r="7404" ht="18.75" customHeight="1">
      <c r="A7404" s="14"/>
      <c r="B7404" s="12"/>
      <c r="C7404" s="12"/>
      <c r="D7404" s="12"/>
      <c r="E7404" s="12"/>
      <c r="F7404" s="14"/>
      <c r="G7404" s="15"/>
      <c r="H7404" s="15"/>
      <c r="I7404" s="14"/>
      <c r="P7404" s="14"/>
    </row>
    <row r="7405" ht="18.75" customHeight="1">
      <c r="A7405" s="14"/>
      <c r="B7405" s="12"/>
      <c r="C7405" s="12"/>
      <c r="D7405" s="12"/>
      <c r="E7405" s="12"/>
      <c r="F7405" s="14"/>
      <c r="G7405" s="15"/>
      <c r="H7405" s="15"/>
      <c r="I7405" s="14"/>
      <c r="P7405" s="14"/>
    </row>
    <row r="7406" ht="18.75" customHeight="1">
      <c r="A7406" s="14"/>
      <c r="B7406" s="12"/>
      <c r="C7406" s="12"/>
      <c r="D7406" s="12"/>
      <c r="E7406" s="12"/>
      <c r="F7406" s="14"/>
      <c r="G7406" s="15"/>
      <c r="H7406" s="15"/>
      <c r="I7406" s="14"/>
      <c r="P7406" s="14"/>
    </row>
    <row r="7407" ht="18.75" customHeight="1">
      <c r="A7407" s="14"/>
      <c r="B7407" s="12"/>
      <c r="C7407" s="12"/>
      <c r="D7407" s="12"/>
      <c r="E7407" s="12"/>
      <c r="F7407" s="14"/>
      <c r="G7407" s="15"/>
      <c r="H7407" s="15"/>
      <c r="I7407" s="14"/>
      <c r="P7407" s="14"/>
    </row>
    <row r="7408" ht="18.75" customHeight="1">
      <c r="A7408" s="14"/>
      <c r="B7408" s="12"/>
      <c r="C7408" s="12"/>
      <c r="D7408" s="12"/>
      <c r="E7408" s="12"/>
      <c r="F7408" s="14"/>
      <c r="G7408" s="15"/>
      <c r="H7408" s="15"/>
      <c r="I7408" s="14"/>
      <c r="P7408" s="14"/>
    </row>
    <row r="7409" ht="18.75" customHeight="1">
      <c r="A7409" s="14"/>
      <c r="B7409" s="12"/>
      <c r="C7409" s="12"/>
      <c r="D7409" s="12"/>
      <c r="E7409" s="12"/>
      <c r="F7409" s="14"/>
      <c r="G7409" s="15"/>
      <c r="H7409" s="15"/>
      <c r="I7409" s="14"/>
      <c r="P7409" s="14"/>
    </row>
    <row r="7410" ht="18.75" customHeight="1">
      <c r="A7410" s="14"/>
      <c r="B7410" s="12"/>
      <c r="C7410" s="12"/>
      <c r="D7410" s="12"/>
      <c r="E7410" s="12"/>
      <c r="F7410" s="14"/>
      <c r="G7410" s="15"/>
      <c r="H7410" s="15"/>
      <c r="I7410" s="14"/>
      <c r="P7410" s="14"/>
    </row>
    <row r="7411" ht="18.75" customHeight="1">
      <c r="A7411" s="14"/>
      <c r="B7411" s="12"/>
      <c r="C7411" s="12"/>
      <c r="D7411" s="12"/>
      <c r="E7411" s="12"/>
      <c r="F7411" s="14"/>
      <c r="G7411" s="15"/>
      <c r="H7411" s="15"/>
      <c r="I7411" s="14"/>
      <c r="P7411" s="14"/>
    </row>
    <row r="7412" ht="18.75" customHeight="1">
      <c r="A7412" s="14"/>
      <c r="B7412" s="12"/>
      <c r="C7412" s="12"/>
      <c r="D7412" s="12"/>
      <c r="E7412" s="12"/>
      <c r="F7412" s="14"/>
      <c r="G7412" s="15"/>
      <c r="H7412" s="15"/>
      <c r="I7412" s="14"/>
      <c r="P7412" s="14"/>
    </row>
    <row r="7413" ht="18.75" customHeight="1">
      <c r="A7413" s="14"/>
      <c r="B7413" s="12"/>
      <c r="C7413" s="12"/>
      <c r="D7413" s="12"/>
      <c r="E7413" s="12"/>
      <c r="F7413" s="14"/>
      <c r="G7413" s="15"/>
      <c r="H7413" s="15"/>
      <c r="I7413" s="14"/>
      <c r="P7413" s="14"/>
    </row>
    <row r="7414" ht="18.75" customHeight="1">
      <c r="A7414" s="14"/>
      <c r="B7414" s="12"/>
      <c r="C7414" s="12"/>
      <c r="D7414" s="12"/>
      <c r="E7414" s="12"/>
      <c r="F7414" s="14"/>
      <c r="G7414" s="15"/>
      <c r="H7414" s="15"/>
      <c r="I7414" s="14"/>
      <c r="P7414" s="14"/>
    </row>
    <row r="7415" ht="18.75" customHeight="1">
      <c r="A7415" s="14"/>
      <c r="B7415" s="12"/>
      <c r="C7415" s="12"/>
      <c r="D7415" s="12"/>
      <c r="E7415" s="12"/>
      <c r="F7415" s="14"/>
      <c r="G7415" s="15"/>
      <c r="H7415" s="15"/>
      <c r="I7415" s="14"/>
      <c r="P7415" s="14"/>
    </row>
    <row r="7416" ht="18.75" customHeight="1">
      <c r="A7416" s="14"/>
      <c r="B7416" s="12"/>
      <c r="C7416" s="12"/>
      <c r="D7416" s="12"/>
      <c r="E7416" s="12"/>
      <c r="F7416" s="14"/>
      <c r="G7416" s="15"/>
      <c r="H7416" s="15"/>
      <c r="I7416" s="14"/>
      <c r="P7416" s="14"/>
    </row>
    <row r="7417" ht="18.75" customHeight="1">
      <c r="A7417" s="14"/>
      <c r="B7417" s="12"/>
      <c r="C7417" s="12"/>
      <c r="D7417" s="12"/>
      <c r="E7417" s="12"/>
      <c r="F7417" s="14"/>
      <c r="G7417" s="15"/>
      <c r="H7417" s="15"/>
      <c r="I7417" s="14"/>
      <c r="P7417" s="14"/>
    </row>
    <row r="7418" ht="18.75" customHeight="1">
      <c r="A7418" s="14"/>
      <c r="B7418" s="12"/>
      <c r="C7418" s="12"/>
      <c r="D7418" s="12"/>
      <c r="E7418" s="12"/>
      <c r="F7418" s="14"/>
      <c r="G7418" s="15"/>
      <c r="H7418" s="15"/>
      <c r="I7418" s="14"/>
      <c r="P7418" s="14"/>
    </row>
    <row r="7419" ht="18.75" customHeight="1">
      <c r="A7419" s="14"/>
      <c r="B7419" s="12"/>
      <c r="C7419" s="12"/>
      <c r="D7419" s="12"/>
      <c r="E7419" s="12"/>
      <c r="F7419" s="14"/>
      <c r="G7419" s="15"/>
      <c r="H7419" s="15"/>
      <c r="I7419" s="14"/>
      <c r="P7419" s="14"/>
    </row>
    <row r="7420" ht="18.75" customHeight="1">
      <c r="A7420" s="14"/>
      <c r="B7420" s="12"/>
      <c r="C7420" s="12"/>
      <c r="D7420" s="12"/>
      <c r="E7420" s="12"/>
      <c r="F7420" s="14"/>
      <c r="G7420" s="15"/>
      <c r="H7420" s="15"/>
      <c r="I7420" s="14"/>
      <c r="P7420" s="14"/>
    </row>
    <row r="7421" ht="18.75" customHeight="1">
      <c r="A7421" s="14"/>
      <c r="B7421" s="12"/>
      <c r="C7421" s="12"/>
      <c r="D7421" s="12"/>
      <c r="E7421" s="12"/>
      <c r="F7421" s="14"/>
      <c r="G7421" s="15"/>
      <c r="H7421" s="15"/>
      <c r="I7421" s="14"/>
      <c r="P7421" s="14"/>
    </row>
    <row r="7422" ht="18.75" customHeight="1">
      <c r="A7422" s="14"/>
      <c r="B7422" s="12"/>
      <c r="C7422" s="12"/>
      <c r="D7422" s="12"/>
      <c r="E7422" s="12"/>
      <c r="F7422" s="14"/>
      <c r="G7422" s="15"/>
      <c r="H7422" s="15"/>
      <c r="I7422" s="14"/>
      <c r="P7422" s="14"/>
    </row>
    <row r="7423" ht="18.75" customHeight="1">
      <c r="A7423" s="14"/>
      <c r="B7423" s="12"/>
      <c r="C7423" s="12"/>
      <c r="D7423" s="12"/>
      <c r="E7423" s="12"/>
      <c r="F7423" s="14"/>
      <c r="G7423" s="15"/>
      <c r="H7423" s="15"/>
      <c r="I7423" s="14"/>
      <c r="P7423" s="14"/>
    </row>
    <row r="7424" ht="18.75" customHeight="1">
      <c r="A7424" s="14"/>
      <c r="B7424" s="12"/>
      <c r="C7424" s="12"/>
      <c r="D7424" s="12"/>
      <c r="E7424" s="12"/>
      <c r="F7424" s="14"/>
      <c r="G7424" s="15"/>
      <c r="H7424" s="15"/>
      <c r="I7424" s="14"/>
      <c r="P7424" s="14"/>
    </row>
    <row r="7425" ht="18.75" customHeight="1">
      <c r="A7425" s="14"/>
      <c r="B7425" s="12"/>
      <c r="C7425" s="12"/>
      <c r="D7425" s="12"/>
      <c r="E7425" s="12"/>
      <c r="F7425" s="14"/>
      <c r="G7425" s="15"/>
      <c r="H7425" s="15"/>
      <c r="I7425" s="14"/>
      <c r="P7425" s="14"/>
    </row>
    <row r="7426" ht="18.75" customHeight="1">
      <c r="A7426" s="14"/>
      <c r="B7426" s="12"/>
      <c r="C7426" s="12"/>
      <c r="D7426" s="12"/>
      <c r="E7426" s="12"/>
      <c r="F7426" s="14"/>
      <c r="G7426" s="15"/>
      <c r="H7426" s="15"/>
      <c r="I7426" s="14"/>
      <c r="P7426" s="14"/>
    </row>
    <row r="7427" ht="18.75" customHeight="1">
      <c r="A7427" s="14"/>
      <c r="B7427" s="12"/>
      <c r="C7427" s="12"/>
      <c r="D7427" s="12"/>
      <c r="E7427" s="12"/>
      <c r="F7427" s="14"/>
      <c r="G7427" s="15"/>
      <c r="H7427" s="15"/>
      <c r="I7427" s="14"/>
      <c r="P7427" s="14"/>
    </row>
    <row r="7428" ht="18.75" customHeight="1">
      <c r="A7428" s="14"/>
      <c r="B7428" s="12"/>
      <c r="C7428" s="12"/>
      <c r="D7428" s="12"/>
      <c r="E7428" s="12"/>
      <c r="F7428" s="14"/>
      <c r="G7428" s="15"/>
      <c r="H7428" s="15"/>
      <c r="I7428" s="14"/>
      <c r="P7428" s="14"/>
    </row>
    <row r="7429" ht="18.75" customHeight="1">
      <c r="A7429" s="14"/>
      <c r="B7429" s="12"/>
      <c r="C7429" s="12"/>
      <c r="D7429" s="12"/>
      <c r="E7429" s="12"/>
      <c r="F7429" s="14"/>
      <c r="G7429" s="15"/>
      <c r="H7429" s="15"/>
      <c r="I7429" s="14"/>
      <c r="P7429" s="14"/>
    </row>
    <row r="7430" ht="18.75" customHeight="1">
      <c r="A7430" s="14"/>
      <c r="B7430" s="12"/>
      <c r="C7430" s="12"/>
      <c r="D7430" s="12"/>
      <c r="E7430" s="12"/>
      <c r="F7430" s="14"/>
      <c r="G7430" s="15"/>
      <c r="H7430" s="15"/>
      <c r="I7430" s="14"/>
      <c r="P7430" s="14"/>
    </row>
    <row r="7431" ht="18.75" customHeight="1">
      <c r="A7431" s="14"/>
      <c r="B7431" s="12"/>
      <c r="C7431" s="12"/>
      <c r="D7431" s="12"/>
      <c r="E7431" s="12"/>
      <c r="F7431" s="14"/>
      <c r="G7431" s="15"/>
      <c r="H7431" s="15"/>
      <c r="I7431" s="14"/>
      <c r="P7431" s="14"/>
    </row>
    <row r="7432" ht="18.75" customHeight="1">
      <c r="A7432" s="14"/>
      <c r="B7432" s="12"/>
      <c r="C7432" s="12"/>
      <c r="D7432" s="12"/>
      <c r="E7432" s="12"/>
      <c r="F7432" s="14"/>
      <c r="G7432" s="15"/>
      <c r="H7432" s="15"/>
      <c r="I7432" s="14"/>
      <c r="P7432" s="14"/>
    </row>
    <row r="7433" ht="18.75" customHeight="1">
      <c r="A7433" s="14"/>
      <c r="B7433" s="12"/>
      <c r="C7433" s="12"/>
      <c r="D7433" s="12"/>
      <c r="E7433" s="12"/>
      <c r="F7433" s="14"/>
      <c r="G7433" s="15"/>
      <c r="H7433" s="15"/>
      <c r="I7433" s="14"/>
      <c r="P7433" s="14"/>
    </row>
    <row r="7434" ht="18.75" customHeight="1">
      <c r="A7434" s="14"/>
      <c r="B7434" s="12"/>
      <c r="C7434" s="12"/>
      <c r="D7434" s="12"/>
      <c r="E7434" s="12"/>
      <c r="F7434" s="14"/>
      <c r="G7434" s="15"/>
      <c r="H7434" s="15"/>
      <c r="I7434" s="14"/>
      <c r="P7434" s="14"/>
    </row>
    <row r="7435" ht="18.75" customHeight="1">
      <c r="A7435" s="14"/>
      <c r="B7435" s="12"/>
      <c r="C7435" s="12"/>
      <c r="D7435" s="12"/>
      <c r="E7435" s="12"/>
      <c r="F7435" s="14"/>
      <c r="G7435" s="15"/>
      <c r="H7435" s="15"/>
      <c r="I7435" s="14"/>
      <c r="P7435" s="14"/>
    </row>
    <row r="7436" ht="18.75" customHeight="1">
      <c r="A7436" s="14"/>
      <c r="B7436" s="12"/>
      <c r="C7436" s="12"/>
      <c r="D7436" s="12"/>
      <c r="E7436" s="12"/>
      <c r="F7436" s="14"/>
      <c r="G7436" s="15"/>
      <c r="H7436" s="15"/>
      <c r="I7436" s="14"/>
      <c r="P7436" s="14"/>
    </row>
    <row r="7437" ht="18.75" customHeight="1">
      <c r="A7437" s="14"/>
      <c r="B7437" s="12"/>
      <c r="C7437" s="12"/>
      <c r="D7437" s="12"/>
      <c r="E7437" s="12"/>
      <c r="F7437" s="14"/>
      <c r="G7437" s="15"/>
      <c r="H7437" s="15"/>
      <c r="I7437" s="14"/>
      <c r="P7437" s="14"/>
    </row>
    <row r="7438" ht="18.75" customHeight="1">
      <c r="A7438" s="14"/>
      <c r="B7438" s="12"/>
      <c r="C7438" s="12"/>
      <c r="D7438" s="12"/>
      <c r="E7438" s="12"/>
      <c r="F7438" s="14"/>
      <c r="G7438" s="15"/>
      <c r="H7438" s="15"/>
      <c r="I7438" s="14"/>
      <c r="P7438" s="14"/>
    </row>
    <row r="7439" ht="18.75" customHeight="1">
      <c r="A7439" s="14"/>
      <c r="B7439" s="12"/>
      <c r="C7439" s="12"/>
      <c r="D7439" s="12"/>
      <c r="E7439" s="12"/>
      <c r="F7439" s="14"/>
      <c r="G7439" s="15"/>
      <c r="H7439" s="15"/>
      <c r="I7439" s="14"/>
      <c r="P7439" s="14"/>
    </row>
    <row r="7440" ht="18.75" customHeight="1">
      <c r="A7440" s="14"/>
      <c r="B7440" s="12"/>
      <c r="C7440" s="12"/>
      <c r="D7440" s="12"/>
      <c r="E7440" s="12"/>
      <c r="F7440" s="14"/>
      <c r="G7440" s="15"/>
      <c r="H7440" s="15"/>
      <c r="I7440" s="14"/>
      <c r="P7440" s="14"/>
    </row>
    <row r="7441" ht="18.75" customHeight="1">
      <c r="A7441" s="14"/>
      <c r="B7441" s="12"/>
      <c r="C7441" s="12"/>
      <c r="D7441" s="12"/>
      <c r="E7441" s="12"/>
      <c r="F7441" s="14"/>
      <c r="G7441" s="15"/>
      <c r="H7441" s="15"/>
      <c r="I7441" s="14"/>
      <c r="P7441" s="14"/>
    </row>
    <row r="7442" ht="18.75" customHeight="1">
      <c r="A7442" s="14"/>
      <c r="B7442" s="12"/>
      <c r="C7442" s="12"/>
      <c r="D7442" s="12"/>
      <c r="E7442" s="12"/>
      <c r="F7442" s="14"/>
      <c r="G7442" s="15"/>
      <c r="H7442" s="15"/>
      <c r="I7442" s="14"/>
      <c r="P7442" s="14"/>
    </row>
    <row r="7443" ht="18.75" customHeight="1">
      <c r="A7443" s="14"/>
      <c r="B7443" s="12"/>
      <c r="C7443" s="12"/>
      <c r="D7443" s="12"/>
      <c r="E7443" s="12"/>
      <c r="F7443" s="14"/>
      <c r="G7443" s="15"/>
      <c r="H7443" s="15"/>
      <c r="I7443" s="14"/>
      <c r="P7443" s="14"/>
    </row>
    <row r="7444" ht="18.75" customHeight="1">
      <c r="A7444" s="14"/>
      <c r="B7444" s="12"/>
      <c r="C7444" s="12"/>
      <c r="D7444" s="12"/>
      <c r="E7444" s="12"/>
      <c r="F7444" s="14"/>
      <c r="G7444" s="15"/>
      <c r="H7444" s="15"/>
      <c r="I7444" s="14"/>
      <c r="P7444" s="14"/>
    </row>
    <row r="7445" ht="18.75" customHeight="1">
      <c r="A7445" s="14"/>
      <c r="B7445" s="12"/>
      <c r="C7445" s="12"/>
      <c r="D7445" s="12"/>
      <c r="E7445" s="12"/>
      <c r="F7445" s="14"/>
      <c r="G7445" s="15"/>
      <c r="H7445" s="15"/>
      <c r="I7445" s="14"/>
      <c r="P7445" s="14"/>
    </row>
    <row r="7446" ht="18.75" customHeight="1">
      <c r="A7446" s="14"/>
      <c r="B7446" s="12"/>
      <c r="C7446" s="12"/>
      <c r="D7446" s="12"/>
      <c r="E7446" s="12"/>
      <c r="F7446" s="14"/>
      <c r="G7446" s="15"/>
      <c r="H7446" s="15"/>
      <c r="I7446" s="14"/>
      <c r="P7446" s="14"/>
    </row>
    <row r="7447" ht="18.75" customHeight="1">
      <c r="A7447" s="14"/>
      <c r="B7447" s="12"/>
      <c r="C7447" s="12"/>
      <c r="D7447" s="12"/>
      <c r="E7447" s="12"/>
      <c r="F7447" s="14"/>
      <c r="G7447" s="15"/>
      <c r="H7447" s="15"/>
      <c r="I7447" s="14"/>
      <c r="P7447" s="14"/>
    </row>
    <row r="7448" ht="18.75" customHeight="1">
      <c r="A7448" s="14"/>
      <c r="B7448" s="12"/>
      <c r="C7448" s="12"/>
      <c r="D7448" s="12"/>
      <c r="E7448" s="12"/>
      <c r="F7448" s="14"/>
      <c r="G7448" s="15"/>
      <c r="H7448" s="15"/>
      <c r="I7448" s="14"/>
      <c r="P7448" s="14"/>
    </row>
    <row r="7449" ht="18.75" customHeight="1">
      <c r="A7449" s="14"/>
      <c r="B7449" s="12"/>
      <c r="C7449" s="12"/>
      <c r="D7449" s="12"/>
      <c r="E7449" s="12"/>
      <c r="F7449" s="14"/>
      <c r="G7449" s="15"/>
      <c r="H7449" s="15"/>
      <c r="I7449" s="14"/>
      <c r="P7449" s="14"/>
    </row>
    <row r="7450" ht="18.75" customHeight="1">
      <c r="A7450" s="14"/>
      <c r="B7450" s="12"/>
      <c r="C7450" s="12"/>
      <c r="D7450" s="12"/>
      <c r="E7450" s="12"/>
      <c r="F7450" s="14"/>
      <c r="G7450" s="15"/>
      <c r="H7450" s="15"/>
      <c r="I7450" s="14"/>
      <c r="P7450" s="14"/>
    </row>
    <row r="7451" ht="18.75" customHeight="1">
      <c r="A7451" s="14"/>
      <c r="B7451" s="12"/>
      <c r="C7451" s="12"/>
      <c r="D7451" s="12"/>
      <c r="E7451" s="12"/>
      <c r="F7451" s="14"/>
      <c r="G7451" s="15"/>
      <c r="H7451" s="15"/>
      <c r="I7451" s="14"/>
      <c r="P7451" s="14"/>
    </row>
    <row r="7452" ht="18.75" customHeight="1">
      <c r="A7452" s="14"/>
      <c r="B7452" s="12"/>
      <c r="C7452" s="12"/>
      <c r="D7452" s="12"/>
      <c r="E7452" s="12"/>
      <c r="F7452" s="14"/>
      <c r="G7452" s="15"/>
      <c r="H7452" s="15"/>
      <c r="I7452" s="14"/>
      <c r="P7452" s="14"/>
    </row>
    <row r="7453" ht="18.75" customHeight="1">
      <c r="A7453" s="14"/>
      <c r="B7453" s="12"/>
      <c r="C7453" s="12"/>
      <c r="D7453" s="12"/>
      <c r="E7453" s="12"/>
      <c r="F7453" s="14"/>
      <c r="G7453" s="15"/>
      <c r="H7453" s="15"/>
      <c r="I7453" s="14"/>
      <c r="P7453" s="14"/>
    </row>
    <row r="7454" ht="18.75" customHeight="1">
      <c r="A7454" s="14"/>
      <c r="B7454" s="12"/>
      <c r="C7454" s="12"/>
      <c r="D7454" s="12"/>
      <c r="E7454" s="12"/>
      <c r="F7454" s="14"/>
      <c r="G7454" s="15"/>
      <c r="H7454" s="15"/>
      <c r="I7454" s="14"/>
      <c r="P7454" s="14"/>
    </row>
    <row r="7455" ht="18.75" customHeight="1">
      <c r="A7455" s="14"/>
      <c r="B7455" s="12"/>
      <c r="C7455" s="12"/>
      <c r="D7455" s="12"/>
      <c r="E7455" s="12"/>
      <c r="F7455" s="14"/>
      <c r="G7455" s="15"/>
      <c r="H7455" s="15"/>
      <c r="I7455" s="14"/>
      <c r="P7455" s="14"/>
    </row>
    <row r="7456" ht="18.75" customHeight="1">
      <c r="A7456" s="14"/>
      <c r="B7456" s="12"/>
      <c r="C7456" s="12"/>
      <c r="D7456" s="12"/>
      <c r="E7456" s="12"/>
      <c r="F7456" s="14"/>
      <c r="G7456" s="15"/>
      <c r="H7456" s="15"/>
      <c r="I7456" s="14"/>
      <c r="P7456" s="14"/>
    </row>
    <row r="7457" ht="18.75" customHeight="1">
      <c r="A7457" s="14"/>
      <c r="B7457" s="12"/>
      <c r="C7457" s="12"/>
      <c r="D7457" s="12"/>
      <c r="E7457" s="12"/>
      <c r="F7457" s="14"/>
      <c r="G7457" s="15"/>
      <c r="H7457" s="15"/>
      <c r="I7457" s="14"/>
      <c r="P7457" s="14"/>
    </row>
    <row r="7458" ht="18.75" customHeight="1">
      <c r="A7458" s="14"/>
      <c r="B7458" s="12"/>
      <c r="C7458" s="12"/>
      <c r="D7458" s="12"/>
      <c r="E7458" s="12"/>
      <c r="F7458" s="14"/>
      <c r="G7458" s="15"/>
      <c r="H7458" s="15"/>
      <c r="I7458" s="14"/>
      <c r="P7458" s="14"/>
    </row>
    <row r="7459" ht="18.75" customHeight="1">
      <c r="A7459" s="14"/>
      <c r="B7459" s="12"/>
      <c r="C7459" s="12"/>
      <c r="D7459" s="12"/>
      <c r="E7459" s="12"/>
      <c r="F7459" s="14"/>
      <c r="G7459" s="15"/>
      <c r="H7459" s="15"/>
      <c r="I7459" s="14"/>
      <c r="P7459" s="14"/>
    </row>
    <row r="7460" ht="18.75" customHeight="1">
      <c r="A7460" s="14"/>
      <c r="B7460" s="12"/>
      <c r="C7460" s="12"/>
      <c r="D7460" s="12"/>
      <c r="E7460" s="12"/>
      <c r="F7460" s="14"/>
      <c r="G7460" s="15"/>
      <c r="H7460" s="15"/>
      <c r="I7460" s="14"/>
      <c r="P7460" s="14"/>
    </row>
    <row r="7461" ht="18.75" customHeight="1">
      <c r="A7461" s="14"/>
      <c r="B7461" s="12"/>
      <c r="C7461" s="12"/>
      <c r="D7461" s="12"/>
      <c r="E7461" s="12"/>
      <c r="F7461" s="14"/>
      <c r="G7461" s="15"/>
      <c r="H7461" s="15"/>
      <c r="I7461" s="14"/>
      <c r="P7461" s="14"/>
    </row>
    <row r="7462" ht="18.75" customHeight="1">
      <c r="A7462" s="14"/>
      <c r="B7462" s="12"/>
      <c r="C7462" s="12"/>
      <c r="D7462" s="12"/>
      <c r="E7462" s="12"/>
      <c r="F7462" s="14"/>
      <c r="G7462" s="15"/>
      <c r="H7462" s="15"/>
      <c r="I7462" s="14"/>
      <c r="P7462" s="14"/>
    </row>
    <row r="7463" ht="18.75" customHeight="1">
      <c r="A7463" s="14"/>
      <c r="B7463" s="12"/>
      <c r="C7463" s="12"/>
      <c r="D7463" s="12"/>
      <c r="E7463" s="12"/>
      <c r="F7463" s="14"/>
      <c r="G7463" s="15"/>
      <c r="H7463" s="15"/>
      <c r="I7463" s="14"/>
      <c r="P7463" s="14"/>
    </row>
    <row r="7464" ht="18.75" customHeight="1">
      <c r="A7464" s="14"/>
      <c r="B7464" s="12"/>
      <c r="C7464" s="12"/>
      <c r="D7464" s="12"/>
      <c r="E7464" s="12"/>
      <c r="F7464" s="14"/>
      <c r="G7464" s="15"/>
      <c r="H7464" s="15"/>
      <c r="I7464" s="14"/>
      <c r="P7464" s="14"/>
    </row>
    <row r="7465" ht="18.75" customHeight="1">
      <c r="A7465" s="14"/>
      <c r="B7465" s="12"/>
      <c r="C7465" s="12"/>
      <c r="D7465" s="12"/>
      <c r="E7465" s="12"/>
      <c r="F7465" s="14"/>
      <c r="G7465" s="15"/>
      <c r="H7465" s="15"/>
      <c r="I7465" s="14"/>
      <c r="P7465" s="14"/>
    </row>
    <row r="7466" ht="18.75" customHeight="1">
      <c r="A7466" s="14"/>
      <c r="B7466" s="12"/>
      <c r="C7466" s="12"/>
      <c r="D7466" s="12"/>
      <c r="E7466" s="12"/>
      <c r="F7466" s="14"/>
      <c r="G7466" s="15"/>
      <c r="H7466" s="15"/>
      <c r="I7466" s="14"/>
      <c r="P7466" s="14"/>
    </row>
    <row r="7467" ht="18.75" customHeight="1">
      <c r="A7467" s="14"/>
      <c r="B7467" s="12"/>
      <c r="C7467" s="12"/>
      <c r="D7467" s="12"/>
      <c r="E7467" s="12"/>
      <c r="F7467" s="14"/>
      <c r="G7467" s="15"/>
      <c r="H7467" s="15"/>
      <c r="I7467" s="14"/>
      <c r="P7467" s="14"/>
    </row>
    <row r="7468" ht="18.75" customHeight="1">
      <c r="A7468" s="14"/>
      <c r="B7468" s="12"/>
      <c r="C7468" s="12"/>
      <c r="D7468" s="12"/>
      <c r="E7468" s="12"/>
      <c r="F7468" s="14"/>
      <c r="G7468" s="15"/>
      <c r="H7468" s="15"/>
      <c r="I7468" s="14"/>
      <c r="P7468" s="14"/>
    </row>
    <row r="7469" ht="18.75" customHeight="1">
      <c r="A7469" s="14"/>
      <c r="B7469" s="12"/>
      <c r="C7469" s="12"/>
      <c r="D7469" s="12"/>
      <c r="E7469" s="12"/>
      <c r="F7469" s="14"/>
      <c r="G7469" s="15"/>
      <c r="H7469" s="15"/>
      <c r="I7469" s="14"/>
      <c r="P7469" s="14"/>
    </row>
    <row r="7470" ht="18.75" customHeight="1">
      <c r="A7470" s="14"/>
      <c r="B7470" s="12"/>
      <c r="C7470" s="12"/>
      <c r="D7470" s="12"/>
      <c r="E7470" s="12"/>
      <c r="F7470" s="14"/>
      <c r="G7470" s="15"/>
      <c r="H7470" s="15"/>
      <c r="I7470" s="14"/>
      <c r="P7470" s="14"/>
    </row>
    <row r="7471" ht="18.75" customHeight="1">
      <c r="A7471" s="14"/>
      <c r="B7471" s="12"/>
      <c r="C7471" s="12"/>
      <c r="D7471" s="12"/>
      <c r="E7471" s="12"/>
      <c r="F7471" s="14"/>
      <c r="G7471" s="15"/>
      <c r="H7471" s="15"/>
      <c r="I7471" s="14"/>
      <c r="P7471" s="14"/>
    </row>
    <row r="7472" ht="18.75" customHeight="1">
      <c r="A7472" s="14"/>
      <c r="B7472" s="12"/>
      <c r="C7472" s="12"/>
      <c r="D7472" s="12"/>
      <c r="E7472" s="12"/>
      <c r="F7472" s="14"/>
      <c r="G7472" s="15"/>
      <c r="H7472" s="15"/>
      <c r="I7472" s="14"/>
      <c r="P7472" s="14"/>
    </row>
    <row r="7473" ht="18.75" customHeight="1">
      <c r="A7473" s="14"/>
      <c r="B7473" s="12"/>
      <c r="C7473" s="12"/>
      <c r="D7473" s="12"/>
      <c r="E7473" s="12"/>
      <c r="F7473" s="14"/>
      <c r="G7473" s="15"/>
      <c r="H7473" s="15"/>
      <c r="I7473" s="14"/>
      <c r="P7473" s="14"/>
    </row>
    <row r="7474" ht="18.75" customHeight="1">
      <c r="A7474" s="14"/>
      <c r="B7474" s="12"/>
      <c r="C7474" s="12"/>
      <c r="D7474" s="12"/>
      <c r="E7474" s="12"/>
      <c r="F7474" s="14"/>
      <c r="G7474" s="15"/>
      <c r="H7474" s="15"/>
      <c r="I7474" s="14"/>
      <c r="P7474" s="14"/>
    </row>
    <row r="7475" ht="18.75" customHeight="1">
      <c r="A7475" s="14"/>
      <c r="B7475" s="12"/>
      <c r="C7475" s="12"/>
      <c r="D7475" s="12"/>
      <c r="E7475" s="12"/>
      <c r="F7475" s="14"/>
      <c r="G7475" s="15"/>
      <c r="H7475" s="15"/>
      <c r="I7475" s="14"/>
      <c r="P7475" s="14"/>
    </row>
    <row r="7476" ht="18.75" customHeight="1">
      <c r="A7476" s="14"/>
      <c r="B7476" s="12"/>
      <c r="C7476" s="12"/>
      <c r="D7476" s="12"/>
      <c r="E7476" s="12"/>
      <c r="F7476" s="14"/>
      <c r="G7476" s="15"/>
      <c r="H7476" s="15"/>
      <c r="I7476" s="14"/>
      <c r="P7476" s="14"/>
    </row>
    <row r="7477" ht="18.75" customHeight="1">
      <c r="A7477" s="14"/>
      <c r="B7477" s="12"/>
      <c r="C7477" s="12"/>
      <c r="D7477" s="12"/>
      <c r="E7477" s="12"/>
      <c r="F7477" s="14"/>
      <c r="G7477" s="15"/>
      <c r="H7477" s="15"/>
      <c r="I7477" s="14"/>
      <c r="P7477" s="14"/>
    </row>
    <row r="7478" ht="18.75" customHeight="1">
      <c r="A7478" s="14"/>
      <c r="B7478" s="12"/>
      <c r="C7478" s="12"/>
      <c r="D7478" s="12"/>
      <c r="E7478" s="12"/>
      <c r="F7478" s="14"/>
      <c r="G7478" s="15"/>
      <c r="H7478" s="15"/>
      <c r="I7478" s="14"/>
      <c r="P7478" s="14"/>
    </row>
    <row r="7479" ht="18.75" customHeight="1">
      <c r="A7479" s="14"/>
      <c r="B7479" s="12"/>
      <c r="C7479" s="12"/>
      <c r="D7479" s="12"/>
      <c r="E7479" s="12"/>
      <c r="F7479" s="14"/>
      <c r="G7479" s="15"/>
      <c r="H7479" s="15"/>
      <c r="I7479" s="14"/>
      <c r="P7479" s="14"/>
    </row>
    <row r="7480" ht="18.75" customHeight="1">
      <c r="A7480" s="14"/>
      <c r="B7480" s="12"/>
      <c r="C7480" s="12"/>
      <c r="D7480" s="12"/>
      <c r="E7480" s="12"/>
      <c r="F7480" s="14"/>
      <c r="G7480" s="15"/>
      <c r="H7480" s="15"/>
      <c r="I7480" s="14"/>
      <c r="P7480" s="14"/>
    </row>
    <row r="7481" ht="18.75" customHeight="1">
      <c r="A7481" s="14"/>
      <c r="B7481" s="12"/>
      <c r="C7481" s="12"/>
      <c r="D7481" s="12"/>
      <c r="E7481" s="12"/>
      <c r="F7481" s="14"/>
      <c r="G7481" s="15"/>
      <c r="H7481" s="15"/>
      <c r="I7481" s="14"/>
      <c r="P7481" s="14"/>
    </row>
    <row r="7482" ht="18.75" customHeight="1">
      <c r="A7482" s="14"/>
      <c r="B7482" s="12"/>
      <c r="C7482" s="12"/>
      <c r="D7482" s="12"/>
      <c r="E7482" s="12"/>
      <c r="F7482" s="14"/>
      <c r="G7482" s="15"/>
      <c r="H7482" s="15"/>
      <c r="I7482" s="14"/>
      <c r="P7482" s="14"/>
    </row>
    <row r="7483" ht="18.75" customHeight="1">
      <c r="A7483" s="14"/>
      <c r="B7483" s="12"/>
      <c r="C7483" s="12"/>
      <c r="D7483" s="12"/>
      <c r="E7483" s="12"/>
      <c r="F7483" s="14"/>
      <c r="G7483" s="15"/>
      <c r="H7483" s="15"/>
      <c r="I7483" s="14"/>
      <c r="P7483" s="14"/>
    </row>
    <row r="7484" ht="18.75" customHeight="1">
      <c r="A7484" s="14"/>
      <c r="B7484" s="12"/>
      <c r="C7484" s="12"/>
      <c r="D7484" s="12"/>
      <c r="E7484" s="12"/>
      <c r="F7484" s="14"/>
      <c r="G7484" s="15"/>
      <c r="H7484" s="15"/>
      <c r="I7484" s="14"/>
      <c r="P7484" s="14"/>
    </row>
    <row r="7485" ht="18.75" customHeight="1">
      <c r="A7485" s="14"/>
      <c r="B7485" s="12"/>
      <c r="C7485" s="12"/>
      <c r="D7485" s="12"/>
      <c r="E7485" s="12"/>
      <c r="F7485" s="14"/>
      <c r="G7485" s="15"/>
      <c r="H7485" s="15"/>
      <c r="I7485" s="14"/>
      <c r="P7485" s="14"/>
    </row>
    <row r="7486" ht="18.75" customHeight="1">
      <c r="A7486" s="14"/>
      <c r="B7486" s="12"/>
      <c r="C7486" s="12"/>
      <c r="D7486" s="12"/>
      <c r="E7486" s="12"/>
      <c r="F7486" s="14"/>
      <c r="G7486" s="15"/>
      <c r="H7486" s="15"/>
      <c r="I7486" s="14"/>
      <c r="P7486" s="14"/>
    </row>
    <row r="7487" ht="18.75" customHeight="1">
      <c r="A7487" s="14"/>
      <c r="B7487" s="12"/>
      <c r="C7487" s="12"/>
      <c r="D7487" s="12"/>
      <c r="E7487" s="12"/>
      <c r="F7487" s="14"/>
      <c r="G7487" s="15"/>
      <c r="H7487" s="15"/>
      <c r="I7487" s="14"/>
      <c r="P7487" s="14"/>
    </row>
    <row r="7488" ht="18.75" customHeight="1">
      <c r="A7488" s="14"/>
      <c r="B7488" s="12"/>
      <c r="C7488" s="12"/>
      <c r="D7488" s="12"/>
      <c r="E7488" s="12"/>
      <c r="F7488" s="14"/>
      <c r="G7488" s="15"/>
      <c r="H7488" s="15"/>
      <c r="I7488" s="14"/>
      <c r="P7488" s="14"/>
    </row>
    <row r="7489" ht="18.75" customHeight="1">
      <c r="A7489" s="14"/>
      <c r="B7489" s="12"/>
      <c r="C7489" s="12"/>
      <c r="D7489" s="12"/>
      <c r="E7489" s="12"/>
      <c r="F7489" s="14"/>
      <c r="G7489" s="15"/>
      <c r="H7489" s="15"/>
      <c r="I7489" s="14"/>
      <c r="P7489" s="14"/>
    </row>
    <row r="7490" ht="18.75" customHeight="1">
      <c r="A7490" s="14"/>
      <c r="B7490" s="12"/>
      <c r="C7490" s="12"/>
      <c r="D7490" s="12"/>
      <c r="E7490" s="12"/>
      <c r="F7490" s="14"/>
      <c r="G7490" s="15"/>
      <c r="H7490" s="15"/>
      <c r="I7490" s="14"/>
      <c r="P7490" s="14"/>
    </row>
    <row r="7491" ht="18.75" customHeight="1">
      <c r="A7491" s="14"/>
      <c r="B7491" s="12"/>
      <c r="C7491" s="12"/>
      <c r="D7491" s="12"/>
      <c r="E7491" s="12"/>
      <c r="F7491" s="14"/>
      <c r="G7491" s="15"/>
      <c r="H7491" s="15"/>
      <c r="I7491" s="14"/>
      <c r="P7491" s="14"/>
    </row>
    <row r="7492" ht="18.75" customHeight="1">
      <c r="A7492" s="14"/>
      <c r="B7492" s="12"/>
      <c r="C7492" s="12"/>
      <c r="D7492" s="12"/>
      <c r="E7492" s="12"/>
      <c r="F7492" s="14"/>
      <c r="G7492" s="15"/>
      <c r="H7492" s="15"/>
      <c r="I7492" s="14"/>
      <c r="P7492" s="14"/>
    </row>
    <row r="7493" ht="18.75" customHeight="1">
      <c r="A7493" s="14"/>
      <c r="B7493" s="12"/>
      <c r="C7493" s="12"/>
      <c r="D7493" s="12"/>
      <c r="E7493" s="12"/>
      <c r="F7493" s="14"/>
      <c r="G7493" s="15"/>
      <c r="H7493" s="15"/>
      <c r="I7493" s="14"/>
      <c r="P7493" s="14"/>
    </row>
    <row r="7494" ht="18.75" customHeight="1">
      <c r="A7494" s="14"/>
      <c r="B7494" s="12"/>
      <c r="C7494" s="12"/>
      <c r="D7494" s="12"/>
      <c r="E7494" s="12"/>
      <c r="F7494" s="14"/>
      <c r="G7494" s="15"/>
      <c r="H7494" s="15"/>
      <c r="I7494" s="14"/>
      <c r="P7494" s="14"/>
    </row>
    <row r="7495" ht="18.75" customHeight="1">
      <c r="A7495" s="14"/>
      <c r="B7495" s="12"/>
      <c r="C7495" s="12"/>
      <c r="D7495" s="12"/>
      <c r="E7495" s="12"/>
      <c r="F7495" s="14"/>
      <c r="G7495" s="15"/>
      <c r="H7495" s="15"/>
      <c r="I7495" s="14"/>
      <c r="P7495" s="14"/>
    </row>
    <row r="7496" ht="18.75" customHeight="1">
      <c r="A7496" s="14"/>
      <c r="B7496" s="12"/>
      <c r="C7496" s="12"/>
      <c r="D7496" s="12"/>
      <c r="E7496" s="12"/>
      <c r="F7496" s="14"/>
      <c r="G7496" s="15"/>
      <c r="H7496" s="15"/>
      <c r="I7496" s="14"/>
      <c r="P7496" s="14"/>
    </row>
    <row r="7497" ht="18.75" customHeight="1">
      <c r="A7497" s="14"/>
      <c r="B7497" s="12"/>
      <c r="C7497" s="12"/>
      <c r="D7497" s="12"/>
      <c r="E7497" s="12"/>
      <c r="F7497" s="14"/>
      <c r="G7497" s="15"/>
      <c r="H7497" s="15"/>
      <c r="I7497" s="14"/>
      <c r="P7497" s="14"/>
    </row>
    <row r="7498" ht="18.75" customHeight="1">
      <c r="A7498" s="14"/>
      <c r="B7498" s="12"/>
      <c r="C7498" s="12"/>
      <c r="D7498" s="12"/>
      <c r="E7498" s="12"/>
      <c r="F7498" s="14"/>
      <c r="G7498" s="15"/>
      <c r="H7498" s="15"/>
      <c r="I7498" s="14"/>
      <c r="P7498" s="14"/>
    </row>
    <row r="7499" ht="18.75" customHeight="1">
      <c r="A7499" s="14"/>
      <c r="B7499" s="12"/>
      <c r="C7499" s="12"/>
      <c r="D7499" s="12"/>
      <c r="E7499" s="12"/>
      <c r="F7499" s="14"/>
      <c r="G7499" s="15"/>
      <c r="H7499" s="15"/>
      <c r="I7499" s="14"/>
      <c r="P7499" s="14"/>
    </row>
    <row r="7500" ht="18.75" customHeight="1">
      <c r="A7500" s="14"/>
      <c r="B7500" s="12"/>
      <c r="C7500" s="12"/>
      <c r="D7500" s="12"/>
      <c r="E7500" s="12"/>
      <c r="F7500" s="14"/>
      <c r="G7500" s="15"/>
      <c r="H7500" s="15"/>
      <c r="I7500" s="14"/>
      <c r="P7500" s="14"/>
    </row>
    <row r="7501" ht="18.75" customHeight="1">
      <c r="A7501" s="14"/>
      <c r="B7501" s="12"/>
      <c r="C7501" s="12"/>
      <c r="D7501" s="12"/>
      <c r="E7501" s="12"/>
      <c r="F7501" s="14"/>
      <c r="G7501" s="15"/>
      <c r="H7501" s="15"/>
      <c r="I7501" s="14"/>
      <c r="P7501" s="14"/>
    </row>
    <row r="7502" ht="18.75" customHeight="1">
      <c r="A7502" s="14"/>
      <c r="B7502" s="12"/>
      <c r="C7502" s="12"/>
      <c r="D7502" s="12"/>
      <c r="E7502" s="12"/>
      <c r="F7502" s="14"/>
      <c r="G7502" s="15"/>
      <c r="H7502" s="15"/>
      <c r="I7502" s="14"/>
      <c r="P7502" s="14"/>
    </row>
    <row r="7503" ht="18.75" customHeight="1">
      <c r="A7503" s="14"/>
      <c r="B7503" s="12"/>
      <c r="C7503" s="12"/>
      <c r="D7503" s="12"/>
      <c r="E7503" s="12"/>
      <c r="F7503" s="14"/>
      <c r="G7503" s="15"/>
      <c r="H7503" s="15"/>
      <c r="I7503" s="14"/>
      <c r="P7503" s="14"/>
    </row>
    <row r="7504" ht="18.75" customHeight="1">
      <c r="A7504" s="14"/>
      <c r="B7504" s="12"/>
      <c r="C7504" s="12"/>
      <c r="D7504" s="12"/>
      <c r="E7504" s="12"/>
      <c r="F7504" s="14"/>
      <c r="G7504" s="15"/>
      <c r="H7504" s="15"/>
      <c r="I7504" s="14"/>
      <c r="P7504" s="14"/>
    </row>
    <row r="7505" ht="18.75" customHeight="1">
      <c r="A7505" s="14"/>
      <c r="B7505" s="12"/>
      <c r="C7505" s="12"/>
      <c r="D7505" s="12"/>
      <c r="E7505" s="12"/>
      <c r="F7505" s="14"/>
      <c r="G7505" s="15"/>
      <c r="H7505" s="15"/>
      <c r="I7505" s="14"/>
      <c r="P7505" s="14"/>
    </row>
    <row r="7506" ht="18.75" customHeight="1">
      <c r="A7506" s="14"/>
      <c r="B7506" s="12"/>
      <c r="C7506" s="12"/>
      <c r="D7506" s="12"/>
      <c r="E7506" s="12"/>
      <c r="F7506" s="14"/>
      <c r="G7506" s="15"/>
      <c r="H7506" s="15"/>
      <c r="I7506" s="14"/>
      <c r="P7506" s="14"/>
    </row>
    <row r="7507" ht="18.75" customHeight="1">
      <c r="A7507" s="14"/>
      <c r="B7507" s="12"/>
      <c r="C7507" s="12"/>
      <c r="D7507" s="12"/>
      <c r="E7507" s="12"/>
      <c r="F7507" s="14"/>
      <c r="G7507" s="15"/>
      <c r="H7507" s="15"/>
      <c r="I7507" s="14"/>
      <c r="P7507" s="14"/>
    </row>
    <row r="7508" ht="18.75" customHeight="1">
      <c r="A7508" s="14"/>
      <c r="B7508" s="12"/>
      <c r="C7508" s="12"/>
      <c r="D7508" s="12"/>
      <c r="E7508" s="12"/>
      <c r="F7508" s="14"/>
      <c r="G7508" s="15"/>
      <c r="H7508" s="15"/>
      <c r="I7508" s="14"/>
      <c r="P7508" s="14"/>
    </row>
    <row r="7509" ht="18.75" customHeight="1">
      <c r="A7509" s="14"/>
      <c r="B7509" s="12"/>
      <c r="C7509" s="12"/>
      <c r="D7509" s="12"/>
      <c r="E7509" s="12"/>
      <c r="F7509" s="14"/>
      <c r="G7509" s="15"/>
      <c r="H7509" s="15"/>
      <c r="I7509" s="14"/>
      <c r="P7509" s="14"/>
    </row>
    <row r="7510" ht="18.75" customHeight="1">
      <c r="A7510" s="14"/>
      <c r="B7510" s="12"/>
      <c r="C7510" s="12"/>
      <c r="D7510" s="12"/>
      <c r="E7510" s="12"/>
      <c r="F7510" s="14"/>
      <c r="G7510" s="15"/>
      <c r="H7510" s="15"/>
      <c r="I7510" s="14"/>
      <c r="P7510" s="14"/>
    </row>
    <row r="7511" ht="18.75" customHeight="1">
      <c r="A7511" s="14"/>
      <c r="B7511" s="12"/>
      <c r="C7511" s="12"/>
      <c r="D7511" s="12"/>
      <c r="E7511" s="12"/>
      <c r="F7511" s="14"/>
      <c r="G7511" s="15"/>
      <c r="H7511" s="15"/>
      <c r="I7511" s="14"/>
      <c r="P7511" s="14"/>
    </row>
    <row r="7512" ht="18.75" customHeight="1">
      <c r="A7512" s="14"/>
      <c r="B7512" s="12"/>
      <c r="C7512" s="12"/>
      <c r="D7512" s="12"/>
      <c r="E7512" s="12"/>
      <c r="F7512" s="14"/>
      <c r="G7512" s="15"/>
      <c r="H7512" s="15"/>
      <c r="I7512" s="14"/>
      <c r="P7512" s="14"/>
    </row>
    <row r="7513" ht="18.75" customHeight="1">
      <c r="A7513" s="14"/>
      <c r="B7513" s="12"/>
      <c r="C7513" s="12"/>
      <c r="D7513" s="12"/>
      <c r="E7513" s="12"/>
      <c r="F7513" s="14"/>
      <c r="G7513" s="15"/>
      <c r="H7513" s="15"/>
      <c r="I7513" s="14"/>
      <c r="P7513" s="14"/>
    </row>
    <row r="7514" ht="18.75" customHeight="1">
      <c r="A7514" s="14"/>
      <c r="B7514" s="12"/>
      <c r="C7514" s="12"/>
      <c r="D7514" s="12"/>
      <c r="E7514" s="12"/>
      <c r="F7514" s="14"/>
      <c r="G7514" s="15"/>
      <c r="H7514" s="15"/>
      <c r="I7514" s="14"/>
      <c r="P7514" s="14"/>
    </row>
    <row r="7515" ht="18.75" customHeight="1">
      <c r="A7515" s="14"/>
      <c r="B7515" s="12"/>
      <c r="C7515" s="12"/>
      <c r="D7515" s="12"/>
      <c r="E7515" s="12"/>
      <c r="F7515" s="14"/>
      <c r="G7515" s="15"/>
      <c r="H7515" s="15"/>
      <c r="I7515" s="14"/>
      <c r="P7515" s="14"/>
    </row>
    <row r="7516" ht="18.75" customHeight="1">
      <c r="A7516" s="14"/>
      <c r="B7516" s="12"/>
      <c r="C7516" s="12"/>
      <c r="D7516" s="12"/>
      <c r="E7516" s="12"/>
      <c r="F7516" s="14"/>
      <c r="G7516" s="15"/>
      <c r="H7516" s="15"/>
      <c r="I7516" s="14"/>
      <c r="P7516" s="14"/>
    </row>
    <row r="7517" ht="18.75" customHeight="1">
      <c r="A7517" s="14"/>
      <c r="B7517" s="12"/>
      <c r="C7517" s="12"/>
      <c r="D7517" s="12"/>
      <c r="E7517" s="12"/>
      <c r="F7517" s="14"/>
      <c r="G7517" s="15"/>
      <c r="H7517" s="15"/>
      <c r="I7517" s="14"/>
      <c r="P7517" s="14"/>
    </row>
    <row r="7518" ht="18.75" customHeight="1">
      <c r="A7518" s="14"/>
      <c r="B7518" s="12"/>
      <c r="C7518" s="12"/>
      <c r="D7518" s="12"/>
      <c r="E7518" s="12"/>
      <c r="F7518" s="14"/>
      <c r="G7518" s="15"/>
      <c r="H7518" s="15"/>
      <c r="I7518" s="14"/>
      <c r="P7518" s="14"/>
    </row>
    <row r="7519" ht="18.75" customHeight="1">
      <c r="A7519" s="14"/>
      <c r="B7519" s="12"/>
      <c r="C7519" s="12"/>
      <c r="D7519" s="12"/>
      <c r="E7519" s="12"/>
      <c r="F7519" s="14"/>
      <c r="G7519" s="15"/>
      <c r="H7519" s="15"/>
      <c r="I7519" s="14"/>
      <c r="P7519" s="14"/>
    </row>
    <row r="7520" ht="18.75" customHeight="1">
      <c r="A7520" s="14"/>
      <c r="B7520" s="12"/>
      <c r="C7520" s="12"/>
      <c r="D7520" s="12"/>
      <c r="E7520" s="12"/>
      <c r="F7520" s="14"/>
      <c r="G7520" s="15"/>
      <c r="H7520" s="15"/>
      <c r="I7520" s="14"/>
      <c r="P7520" s="14"/>
    </row>
    <row r="7521" ht="18.75" customHeight="1">
      <c r="A7521" s="14"/>
      <c r="B7521" s="12"/>
      <c r="C7521" s="12"/>
      <c r="D7521" s="12"/>
      <c r="E7521" s="12"/>
      <c r="F7521" s="14"/>
      <c r="G7521" s="15"/>
      <c r="H7521" s="15"/>
      <c r="I7521" s="14"/>
      <c r="P7521" s="14"/>
    </row>
    <row r="7522" ht="18.75" customHeight="1">
      <c r="A7522" s="14"/>
      <c r="B7522" s="12"/>
      <c r="C7522" s="12"/>
      <c r="D7522" s="12"/>
      <c r="E7522" s="12"/>
      <c r="F7522" s="14"/>
      <c r="G7522" s="15"/>
      <c r="H7522" s="15"/>
      <c r="I7522" s="14"/>
      <c r="P7522" s="14"/>
    </row>
    <row r="7523" ht="18.75" customHeight="1">
      <c r="A7523" s="14"/>
      <c r="B7523" s="12"/>
      <c r="C7523" s="12"/>
      <c r="D7523" s="12"/>
      <c r="E7523" s="12"/>
      <c r="F7523" s="14"/>
      <c r="G7523" s="15"/>
      <c r="H7523" s="15"/>
      <c r="I7523" s="14"/>
      <c r="P7523" s="14"/>
    </row>
    <row r="7524" ht="18.75" customHeight="1">
      <c r="A7524" s="14"/>
      <c r="B7524" s="12"/>
      <c r="C7524" s="12"/>
      <c r="D7524" s="12"/>
      <c r="E7524" s="12"/>
      <c r="F7524" s="14"/>
      <c r="G7524" s="15"/>
      <c r="H7524" s="15"/>
      <c r="I7524" s="14"/>
      <c r="P7524" s="14"/>
    </row>
    <row r="7525" ht="18.75" customHeight="1">
      <c r="A7525" s="14"/>
      <c r="B7525" s="12"/>
      <c r="C7525" s="12"/>
      <c r="D7525" s="12"/>
      <c r="E7525" s="12"/>
      <c r="F7525" s="14"/>
      <c r="G7525" s="15"/>
      <c r="H7525" s="15"/>
      <c r="I7525" s="14"/>
      <c r="P7525" s="14"/>
    </row>
    <row r="7526" ht="18.75" customHeight="1">
      <c r="A7526" s="14"/>
      <c r="B7526" s="12"/>
      <c r="C7526" s="12"/>
      <c r="D7526" s="12"/>
      <c r="E7526" s="12"/>
      <c r="F7526" s="14"/>
      <c r="G7526" s="15"/>
      <c r="H7526" s="15"/>
      <c r="I7526" s="14"/>
      <c r="P7526" s="14"/>
    </row>
    <row r="7527" ht="18.75" customHeight="1">
      <c r="A7527" s="14"/>
      <c r="B7527" s="12"/>
      <c r="C7527" s="12"/>
      <c r="D7527" s="12"/>
      <c r="E7527" s="12"/>
      <c r="F7527" s="14"/>
      <c r="G7527" s="15"/>
      <c r="H7527" s="15"/>
      <c r="I7527" s="14"/>
      <c r="P7527" s="14"/>
    </row>
    <row r="7528" ht="18.75" customHeight="1">
      <c r="A7528" s="14"/>
      <c r="B7528" s="12"/>
      <c r="C7528" s="12"/>
      <c r="D7528" s="12"/>
      <c r="E7528" s="12"/>
      <c r="F7528" s="14"/>
      <c r="G7528" s="15"/>
      <c r="H7528" s="15"/>
      <c r="I7528" s="14"/>
      <c r="P7528" s="14"/>
    </row>
    <row r="7529" ht="18.75" customHeight="1">
      <c r="A7529" s="14"/>
      <c r="B7529" s="12"/>
      <c r="C7529" s="12"/>
      <c r="D7529" s="12"/>
      <c r="E7529" s="12"/>
      <c r="F7529" s="14"/>
      <c r="G7529" s="15"/>
      <c r="H7529" s="15"/>
      <c r="I7529" s="14"/>
      <c r="P7529" s="14"/>
    </row>
    <row r="7530" ht="18.75" customHeight="1">
      <c r="A7530" s="14"/>
      <c r="B7530" s="12"/>
      <c r="C7530" s="12"/>
      <c r="D7530" s="12"/>
      <c r="E7530" s="12"/>
      <c r="F7530" s="14"/>
      <c r="G7530" s="15"/>
      <c r="H7530" s="15"/>
      <c r="I7530" s="14"/>
      <c r="P7530" s="14"/>
    </row>
    <row r="7531" ht="18.75" customHeight="1">
      <c r="A7531" s="14"/>
      <c r="B7531" s="12"/>
      <c r="C7531" s="12"/>
      <c r="D7531" s="12"/>
      <c r="E7531" s="12"/>
      <c r="F7531" s="14"/>
      <c r="G7531" s="15"/>
      <c r="H7531" s="15"/>
      <c r="I7531" s="14"/>
      <c r="P7531" s="14"/>
    </row>
    <row r="7532" ht="18.75" customHeight="1">
      <c r="A7532" s="14"/>
      <c r="B7532" s="12"/>
      <c r="C7532" s="12"/>
      <c r="D7532" s="12"/>
      <c r="E7532" s="12"/>
      <c r="F7532" s="14"/>
      <c r="G7532" s="15"/>
      <c r="H7532" s="15"/>
      <c r="I7532" s="14"/>
      <c r="P7532" s="14"/>
    </row>
    <row r="7533" ht="18.75" customHeight="1">
      <c r="A7533" s="14"/>
      <c r="B7533" s="12"/>
      <c r="C7533" s="12"/>
      <c r="D7533" s="12"/>
      <c r="E7533" s="12"/>
      <c r="F7533" s="14"/>
      <c r="G7533" s="15"/>
      <c r="H7533" s="15"/>
      <c r="I7533" s="14"/>
      <c r="P7533" s="14"/>
    </row>
    <row r="7534" ht="18.75" customHeight="1">
      <c r="A7534" s="14"/>
      <c r="B7534" s="12"/>
      <c r="C7534" s="12"/>
      <c r="D7534" s="12"/>
      <c r="E7534" s="12"/>
      <c r="F7534" s="14"/>
      <c r="G7534" s="15"/>
      <c r="H7534" s="15"/>
      <c r="I7534" s="14"/>
      <c r="P7534" s="14"/>
    </row>
    <row r="7535" ht="18.75" customHeight="1">
      <c r="A7535" s="14"/>
      <c r="B7535" s="12"/>
      <c r="C7535" s="12"/>
      <c r="D7535" s="12"/>
      <c r="E7535" s="12"/>
      <c r="F7535" s="14"/>
      <c r="G7535" s="15"/>
      <c r="H7535" s="15"/>
      <c r="I7535" s="14"/>
      <c r="P7535" s="14"/>
    </row>
    <row r="7536" ht="18.75" customHeight="1">
      <c r="A7536" s="14"/>
      <c r="B7536" s="12"/>
      <c r="C7536" s="12"/>
      <c r="D7536" s="12"/>
      <c r="E7536" s="12"/>
      <c r="F7536" s="14"/>
      <c r="G7536" s="15"/>
      <c r="H7536" s="15"/>
      <c r="I7536" s="14"/>
      <c r="P7536" s="14"/>
    </row>
    <row r="7537" ht="18.75" customHeight="1">
      <c r="A7537" s="14"/>
      <c r="B7537" s="12"/>
      <c r="C7537" s="12"/>
      <c r="D7537" s="12"/>
      <c r="E7537" s="12"/>
      <c r="F7537" s="14"/>
      <c r="G7537" s="15"/>
      <c r="H7537" s="15"/>
      <c r="I7537" s="14"/>
      <c r="P7537" s="14"/>
    </row>
    <row r="7538" ht="18.75" customHeight="1">
      <c r="A7538" s="14"/>
      <c r="B7538" s="12"/>
      <c r="C7538" s="12"/>
      <c r="D7538" s="12"/>
      <c r="E7538" s="12"/>
      <c r="F7538" s="14"/>
      <c r="G7538" s="15"/>
      <c r="H7538" s="15"/>
      <c r="I7538" s="14"/>
      <c r="P7538" s="14"/>
    </row>
    <row r="7539" ht="18.75" customHeight="1">
      <c r="A7539" s="14"/>
      <c r="B7539" s="12"/>
      <c r="C7539" s="12"/>
      <c r="D7539" s="12"/>
      <c r="E7539" s="12"/>
      <c r="F7539" s="14"/>
      <c r="G7539" s="15"/>
      <c r="H7539" s="15"/>
      <c r="I7539" s="14"/>
      <c r="P7539" s="14"/>
    </row>
    <row r="7540" ht="18.75" customHeight="1">
      <c r="A7540" s="14"/>
      <c r="B7540" s="12"/>
      <c r="C7540" s="12"/>
      <c r="D7540" s="12"/>
      <c r="E7540" s="12"/>
      <c r="F7540" s="14"/>
      <c r="G7540" s="15"/>
      <c r="H7540" s="15"/>
      <c r="I7540" s="14"/>
      <c r="P7540" s="14"/>
    </row>
    <row r="7541" ht="18.75" customHeight="1">
      <c r="A7541" s="14"/>
      <c r="B7541" s="12"/>
      <c r="C7541" s="12"/>
      <c r="D7541" s="12"/>
      <c r="E7541" s="12"/>
      <c r="F7541" s="14"/>
      <c r="G7541" s="15"/>
      <c r="H7541" s="15"/>
      <c r="I7541" s="14"/>
      <c r="P7541" s="14"/>
    </row>
    <row r="7542" ht="18.75" customHeight="1">
      <c r="A7542" s="14"/>
      <c r="B7542" s="12"/>
      <c r="C7542" s="12"/>
      <c r="D7542" s="12"/>
      <c r="E7542" s="12"/>
      <c r="F7542" s="14"/>
      <c r="G7542" s="15"/>
      <c r="H7542" s="15"/>
      <c r="I7542" s="14"/>
      <c r="P7542" s="14"/>
    </row>
    <row r="7543" ht="18.75" customHeight="1">
      <c r="A7543" s="14"/>
      <c r="B7543" s="12"/>
      <c r="C7543" s="12"/>
      <c r="D7543" s="12"/>
      <c r="E7543" s="12"/>
      <c r="F7543" s="14"/>
      <c r="G7543" s="15"/>
      <c r="H7543" s="15"/>
      <c r="I7543" s="14"/>
      <c r="P7543" s="14"/>
    </row>
    <row r="7544" ht="18.75" customHeight="1">
      <c r="A7544" s="14"/>
      <c r="B7544" s="12"/>
      <c r="C7544" s="12"/>
      <c r="D7544" s="12"/>
      <c r="E7544" s="12"/>
      <c r="F7544" s="14"/>
      <c r="G7544" s="15"/>
      <c r="H7544" s="15"/>
      <c r="I7544" s="14"/>
      <c r="P7544" s="14"/>
    </row>
    <row r="7545" ht="18.75" customHeight="1">
      <c r="A7545" s="14"/>
      <c r="B7545" s="12"/>
      <c r="C7545" s="12"/>
      <c r="D7545" s="12"/>
      <c r="E7545" s="12"/>
      <c r="F7545" s="14"/>
      <c r="G7545" s="15"/>
      <c r="H7545" s="15"/>
      <c r="I7545" s="14"/>
      <c r="P7545" s="14"/>
    </row>
    <row r="7546" ht="18.75" customHeight="1">
      <c r="A7546" s="14"/>
      <c r="B7546" s="12"/>
      <c r="C7546" s="12"/>
      <c r="D7546" s="12"/>
      <c r="E7546" s="12"/>
      <c r="F7546" s="14"/>
      <c r="G7546" s="15"/>
      <c r="H7546" s="15"/>
      <c r="I7546" s="14"/>
      <c r="P7546" s="14"/>
    </row>
    <row r="7547" ht="18.75" customHeight="1">
      <c r="A7547" s="14"/>
      <c r="B7547" s="12"/>
      <c r="C7547" s="12"/>
      <c r="D7547" s="12"/>
      <c r="E7547" s="12"/>
      <c r="F7547" s="14"/>
      <c r="G7547" s="15"/>
      <c r="H7547" s="15"/>
      <c r="I7547" s="14"/>
      <c r="P7547" s="14"/>
    </row>
    <row r="7548" ht="18.75" customHeight="1">
      <c r="A7548" s="14"/>
      <c r="B7548" s="12"/>
      <c r="C7548" s="12"/>
      <c r="D7548" s="12"/>
      <c r="E7548" s="12"/>
      <c r="F7548" s="14"/>
      <c r="G7548" s="15"/>
      <c r="H7548" s="15"/>
      <c r="I7548" s="14"/>
      <c r="P7548" s="14"/>
    </row>
    <row r="7549" ht="18.75" customHeight="1">
      <c r="A7549" s="14"/>
      <c r="B7549" s="12"/>
      <c r="C7549" s="12"/>
      <c r="D7549" s="12"/>
      <c r="E7549" s="12"/>
      <c r="F7549" s="14"/>
      <c r="G7549" s="15"/>
      <c r="H7549" s="15"/>
      <c r="I7549" s="14"/>
      <c r="P7549" s="14"/>
    </row>
    <row r="7550" ht="18.75" customHeight="1">
      <c r="A7550" s="14"/>
      <c r="B7550" s="12"/>
      <c r="C7550" s="12"/>
      <c r="D7550" s="12"/>
      <c r="E7550" s="12"/>
      <c r="F7550" s="14"/>
      <c r="G7550" s="15"/>
      <c r="H7550" s="15"/>
      <c r="I7550" s="14"/>
      <c r="P7550" s="14"/>
    </row>
    <row r="7551" ht="18.75" customHeight="1">
      <c r="A7551" s="14"/>
      <c r="B7551" s="12"/>
      <c r="C7551" s="12"/>
      <c r="D7551" s="12"/>
      <c r="E7551" s="12"/>
      <c r="F7551" s="14"/>
      <c r="G7551" s="15"/>
      <c r="H7551" s="15"/>
      <c r="I7551" s="14"/>
      <c r="P7551" s="14"/>
    </row>
    <row r="7552" ht="18.75" customHeight="1">
      <c r="A7552" s="14"/>
      <c r="B7552" s="12"/>
      <c r="C7552" s="12"/>
      <c r="D7552" s="12"/>
      <c r="E7552" s="12"/>
      <c r="F7552" s="14"/>
      <c r="G7552" s="15"/>
      <c r="H7552" s="15"/>
      <c r="I7552" s="14"/>
      <c r="P7552" s="14"/>
    </row>
    <row r="7553" ht="18.75" customHeight="1">
      <c r="A7553" s="14"/>
      <c r="B7553" s="12"/>
      <c r="C7553" s="12"/>
      <c r="D7553" s="12"/>
      <c r="E7553" s="12"/>
      <c r="F7553" s="14"/>
      <c r="G7553" s="15"/>
      <c r="H7553" s="15"/>
      <c r="I7553" s="14"/>
      <c r="P7553" s="14"/>
    </row>
    <row r="7554" ht="18.75" customHeight="1">
      <c r="A7554" s="14"/>
      <c r="B7554" s="12"/>
      <c r="C7554" s="12"/>
      <c r="D7554" s="12"/>
      <c r="E7554" s="12"/>
      <c r="F7554" s="14"/>
      <c r="G7554" s="15"/>
      <c r="H7554" s="15"/>
      <c r="I7554" s="14"/>
      <c r="P7554" s="14"/>
    </row>
    <row r="7555" ht="18.75" customHeight="1">
      <c r="A7555" s="14"/>
      <c r="B7555" s="12"/>
      <c r="C7555" s="12"/>
      <c r="D7555" s="12"/>
      <c r="E7555" s="12"/>
      <c r="F7555" s="14"/>
      <c r="G7555" s="15"/>
      <c r="H7555" s="15"/>
      <c r="I7555" s="14"/>
      <c r="P7555" s="14"/>
    </row>
    <row r="7556" ht="18.75" customHeight="1">
      <c r="A7556" s="14"/>
      <c r="B7556" s="12"/>
      <c r="C7556" s="12"/>
      <c r="D7556" s="12"/>
      <c r="E7556" s="12"/>
      <c r="F7556" s="14"/>
      <c r="G7556" s="15"/>
      <c r="H7556" s="15"/>
      <c r="I7556" s="14"/>
      <c r="P7556" s="14"/>
    </row>
    <row r="7557" ht="18.75" customHeight="1">
      <c r="A7557" s="14"/>
      <c r="B7557" s="12"/>
      <c r="C7557" s="12"/>
      <c r="D7557" s="12"/>
      <c r="E7557" s="12"/>
      <c r="F7557" s="14"/>
      <c r="G7557" s="15"/>
      <c r="H7557" s="15"/>
      <c r="I7557" s="14"/>
      <c r="P7557" s="14"/>
    </row>
    <row r="7558" ht="18.75" customHeight="1">
      <c r="A7558" s="14"/>
      <c r="B7558" s="12"/>
      <c r="C7558" s="12"/>
      <c r="D7558" s="12"/>
      <c r="E7558" s="12"/>
      <c r="F7558" s="14"/>
      <c r="G7558" s="15"/>
      <c r="H7558" s="15"/>
      <c r="I7558" s="14"/>
      <c r="P7558" s="14"/>
    </row>
    <row r="7559" ht="18.75" customHeight="1">
      <c r="A7559" s="14"/>
      <c r="B7559" s="12"/>
      <c r="C7559" s="12"/>
      <c r="D7559" s="12"/>
      <c r="E7559" s="12"/>
      <c r="F7559" s="14"/>
      <c r="G7559" s="15"/>
      <c r="H7559" s="15"/>
      <c r="I7559" s="14"/>
      <c r="P7559" s="14"/>
    </row>
    <row r="7560" ht="18.75" customHeight="1">
      <c r="A7560" s="14"/>
      <c r="B7560" s="12"/>
      <c r="C7560" s="12"/>
      <c r="D7560" s="12"/>
      <c r="E7560" s="12"/>
      <c r="F7560" s="14"/>
      <c r="G7560" s="15"/>
      <c r="H7560" s="15"/>
      <c r="I7560" s="14"/>
      <c r="P7560" s="14"/>
    </row>
    <row r="7561" ht="18.75" customHeight="1">
      <c r="A7561" s="14"/>
      <c r="B7561" s="12"/>
      <c r="C7561" s="12"/>
      <c r="D7561" s="12"/>
      <c r="E7561" s="12"/>
      <c r="F7561" s="14"/>
      <c r="G7561" s="15"/>
      <c r="H7561" s="15"/>
      <c r="I7561" s="14"/>
      <c r="P7561" s="14"/>
    </row>
    <row r="7562" ht="18.75" customHeight="1">
      <c r="A7562" s="14"/>
      <c r="B7562" s="12"/>
      <c r="C7562" s="12"/>
      <c r="D7562" s="12"/>
      <c r="E7562" s="12"/>
      <c r="F7562" s="14"/>
      <c r="G7562" s="15"/>
      <c r="H7562" s="15"/>
      <c r="I7562" s="14"/>
      <c r="P7562" s="14"/>
    </row>
    <row r="7563" ht="18.75" customHeight="1">
      <c r="A7563" s="14"/>
      <c r="B7563" s="12"/>
      <c r="C7563" s="12"/>
      <c r="D7563" s="12"/>
      <c r="E7563" s="12"/>
      <c r="F7563" s="14"/>
      <c r="G7563" s="15"/>
      <c r="H7563" s="15"/>
      <c r="I7563" s="14"/>
      <c r="P7563" s="14"/>
    </row>
    <row r="7564" ht="18.75" customHeight="1">
      <c r="A7564" s="14"/>
      <c r="B7564" s="12"/>
      <c r="C7564" s="12"/>
      <c r="D7564" s="12"/>
      <c r="E7564" s="12"/>
      <c r="F7564" s="14"/>
      <c r="G7564" s="15"/>
      <c r="H7564" s="15"/>
      <c r="I7564" s="14"/>
      <c r="P7564" s="14"/>
    </row>
    <row r="7565" ht="18.75" customHeight="1">
      <c r="A7565" s="14"/>
      <c r="B7565" s="12"/>
      <c r="C7565" s="12"/>
      <c r="D7565" s="12"/>
      <c r="E7565" s="12"/>
      <c r="F7565" s="14"/>
      <c r="G7565" s="15"/>
      <c r="H7565" s="15"/>
      <c r="I7565" s="14"/>
      <c r="P7565" s="14"/>
    </row>
    <row r="7566" ht="18.75" customHeight="1">
      <c r="A7566" s="14"/>
      <c r="B7566" s="12"/>
      <c r="C7566" s="12"/>
      <c r="D7566" s="12"/>
      <c r="E7566" s="12"/>
      <c r="F7566" s="14"/>
      <c r="G7566" s="15"/>
      <c r="H7566" s="15"/>
      <c r="I7566" s="14"/>
      <c r="P7566" s="14"/>
    </row>
    <row r="7567" ht="18.75" customHeight="1">
      <c r="A7567" s="14"/>
      <c r="B7567" s="12"/>
      <c r="C7567" s="12"/>
      <c r="D7567" s="12"/>
      <c r="E7567" s="12"/>
      <c r="F7567" s="14"/>
      <c r="G7567" s="15"/>
      <c r="H7567" s="15"/>
      <c r="I7567" s="14"/>
      <c r="P7567" s="14"/>
    </row>
    <row r="7568" ht="18.75" customHeight="1">
      <c r="A7568" s="14"/>
      <c r="B7568" s="12"/>
      <c r="C7568" s="12"/>
      <c r="D7568" s="12"/>
      <c r="E7568" s="12"/>
      <c r="F7568" s="14"/>
      <c r="G7568" s="15"/>
      <c r="H7568" s="15"/>
      <c r="I7568" s="14"/>
      <c r="P7568" s="14"/>
    </row>
    <row r="7569" ht="18.75" customHeight="1">
      <c r="A7569" s="14"/>
      <c r="B7569" s="12"/>
      <c r="C7569" s="12"/>
      <c r="D7569" s="12"/>
      <c r="E7569" s="12"/>
      <c r="F7569" s="14"/>
      <c r="G7569" s="15"/>
      <c r="H7569" s="15"/>
      <c r="I7569" s="14"/>
      <c r="P7569" s="14"/>
    </row>
    <row r="7570" ht="18.75" customHeight="1">
      <c r="A7570" s="14"/>
      <c r="B7570" s="12"/>
      <c r="C7570" s="12"/>
      <c r="D7570" s="12"/>
      <c r="E7570" s="12"/>
      <c r="F7570" s="14"/>
      <c r="G7570" s="15"/>
      <c r="H7570" s="15"/>
      <c r="I7570" s="14"/>
      <c r="P7570" s="14"/>
    </row>
    <row r="7571" ht="18.75" customHeight="1">
      <c r="A7571" s="14"/>
      <c r="B7571" s="12"/>
      <c r="C7571" s="12"/>
      <c r="D7571" s="12"/>
      <c r="E7571" s="12"/>
      <c r="F7571" s="14"/>
      <c r="G7571" s="15"/>
      <c r="H7571" s="15"/>
      <c r="I7571" s="14"/>
      <c r="P7571" s="14"/>
    </row>
    <row r="7572" ht="18.75" customHeight="1">
      <c r="A7572" s="14"/>
      <c r="B7572" s="12"/>
      <c r="C7572" s="12"/>
      <c r="D7572" s="12"/>
      <c r="E7572" s="12"/>
      <c r="F7572" s="14"/>
      <c r="G7572" s="15"/>
      <c r="H7572" s="15"/>
      <c r="I7572" s="14"/>
      <c r="P7572" s="14"/>
    </row>
    <row r="7573" ht="18.75" customHeight="1">
      <c r="A7573" s="14"/>
      <c r="B7573" s="12"/>
      <c r="C7573" s="12"/>
      <c r="D7573" s="12"/>
      <c r="E7573" s="12"/>
      <c r="F7573" s="14"/>
      <c r="G7573" s="15"/>
      <c r="H7573" s="15"/>
      <c r="I7573" s="14"/>
      <c r="P7573" s="14"/>
    </row>
    <row r="7574" ht="18.75" customHeight="1">
      <c r="A7574" s="14"/>
      <c r="B7574" s="12"/>
      <c r="C7574" s="12"/>
      <c r="D7574" s="12"/>
      <c r="E7574" s="12"/>
      <c r="F7574" s="14"/>
      <c r="G7574" s="15"/>
      <c r="H7574" s="15"/>
      <c r="I7574" s="14"/>
      <c r="P7574" s="14"/>
    </row>
    <row r="7575" ht="18.75" customHeight="1">
      <c r="A7575" s="14"/>
      <c r="B7575" s="12"/>
      <c r="C7575" s="12"/>
      <c r="D7575" s="12"/>
      <c r="E7575" s="12"/>
      <c r="F7575" s="14"/>
      <c r="G7575" s="15"/>
      <c r="H7575" s="15"/>
      <c r="I7575" s="14"/>
      <c r="P7575" s="14"/>
    </row>
    <row r="7576" ht="18.75" customHeight="1">
      <c r="A7576" s="14"/>
      <c r="B7576" s="12"/>
      <c r="C7576" s="12"/>
      <c r="D7576" s="12"/>
      <c r="E7576" s="12"/>
      <c r="F7576" s="14"/>
      <c r="G7576" s="15"/>
      <c r="H7576" s="15"/>
      <c r="I7576" s="14"/>
      <c r="P7576" s="14"/>
    </row>
    <row r="7577" ht="18.75" customHeight="1">
      <c r="A7577" s="14"/>
      <c r="B7577" s="12"/>
      <c r="C7577" s="12"/>
      <c r="D7577" s="12"/>
      <c r="E7577" s="12"/>
      <c r="F7577" s="14"/>
      <c r="G7577" s="15"/>
      <c r="H7577" s="15"/>
      <c r="I7577" s="14"/>
      <c r="P7577" s="14"/>
    </row>
    <row r="7578" ht="18.75" customHeight="1">
      <c r="A7578" s="14"/>
      <c r="B7578" s="12"/>
      <c r="C7578" s="12"/>
      <c r="D7578" s="12"/>
      <c r="E7578" s="12"/>
      <c r="F7578" s="14"/>
      <c r="G7578" s="15"/>
      <c r="H7578" s="15"/>
      <c r="I7578" s="14"/>
      <c r="P7578" s="14"/>
    </row>
    <row r="7579" ht="18.75" customHeight="1">
      <c r="A7579" s="14"/>
      <c r="B7579" s="12"/>
      <c r="C7579" s="12"/>
      <c r="D7579" s="12"/>
      <c r="E7579" s="12"/>
      <c r="F7579" s="14"/>
      <c r="G7579" s="15"/>
      <c r="H7579" s="15"/>
      <c r="I7579" s="14"/>
      <c r="P7579" s="14"/>
    </row>
    <row r="7580" ht="18.75" customHeight="1">
      <c r="A7580" s="14"/>
      <c r="B7580" s="12"/>
      <c r="C7580" s="12"/>
      <c r="D7580" s="12"/>
      <c r="E7580" s="12"/>
      <c r="F7580" s="14"/>
      <c r="G7580" s="15"/>
      <c r="H7580" s="15"/>
      <c r="I7580" s="14"/>
      <c r="P7580" s="14"/>
    </row>
    <row r="7581" ht="18.75" customHeight="1">
      <c r="A7581" s="14"/>
      <c r="B7581" s="12"/>
      <c r="C7581" s="12"/>
      <c r="D7581" s="12"/>
      <c r="E7581" s="12"/>
      <c r="F7581" s="14"/>
      <c r="G7581" s="15"/>
      <c r="H7581" s="15"/>
      <c r="I7581" s="14"/>
      <c r="P7581" s="14"/>
    </row>
    <row r="7582" ht="18.75" customHeight="1">
      <c r="A7582" s="14"/>
      <c r="B7582" s="12"/>
      <c r="C7582" s="12"/>
      <c r="D7582" s="12"/>
      <c r="E7582" s="12"/>
      <c r="F7582" s="14"/>
      <c r="G7582" s="15"/>
      <c r="H7582" s="15"/>
      <c r="I7582" s="14"/>
      <c r="P7582" s="14"/>
    </row>
    <row r="7583" ht="18.75" customHeight="1">
      <c r="A7583" s="14"/>
      <c r="B7583" s="12"/>
      <c r="C7583" s="12"/>
      <c r="D7583" s="12"/>
      <c r="E7583" s="12"/>
      <c r="F7583" s="14"/>
      <c r="G7583" s="15"/>
      <c r="H7583" s="15"/>
      <c r="I7583" s="14"/>
      <c r="P7583" s="14"/>
    </row>
    <row r="7584" ht="18.75" customHeight="1">
      <c r="A7584" s="14"/>
      <c r="B7584" s="12"/>
      <c r="C7584" s="12"/>
      <c r="D7584" s="12"/>
      <c r="E7584" s="12"/>
      <c r="F7584" s="14"/>
      <c r="G7584" s="15"/>
      <c r="H7584" s="15"/>
      <c r="I7584" s="14"/>
      <c r="P7584" s="14"/>
    </row>
    <row r="7585" ht="18.75" customHeight="1">
      <c r="A7585" s="14"/>
      <c r="B7585" s="12"/>
      <c r="C7585" s="12"/>
      <c r="D7585" s="12"/>
      <c r="E7585" s="12"/>
      <c r="F7585" s="14"/>
      <c r="G7585" s="15"/>
      <c r="H7585" s="15"/>
      <c r="I7585" s="14"/>
      <c r="P7585" s="14"/>
    </row>
    <row r="7586" ht="18.75" customHeight="1">
      <c r="A7586" s="14"/>
      <c r="B7586" s="12"/>
      <c r="C7586" s="12"/>
      <c r="D7586" s="12"/>
      <c r="E7586" s="12"/>
      <c r="F7586" s="14"/>
      <c r="G7586" s="15"/>
      <c r="H7586" s="15"/>
      <c r="I7586" s="14"/>
      <c r="P7586" s="14"/>
    </row>
    <row r="7587" ht="18.75" customHeight="1">
      <c r="A7587" s="14"/>
      <c r="B7587" s="12"/>
      <c r="C7587" s="12"/>
      <c r="D7587" s="12"/>
      <c r="E7587" s="12"/>
      <c r="F7587" s="14"/>
      <c r="G7587" s="15"/>
      <c r="H7587" s="15"/>
      <c r="I7587" s="14"/>
      <c r="P7587" s="14"/>
    </row>
    <row r="7588" ht="18.75" customHeight="1">
      <c r="A7588" s="14"/>
      <c r="B7588" s="12"/>
      <c r="C7588" s="12"/>
      <c r="D7588" s="12"/>
      <c r="E7588" s="12"/>
      <c r="F7588" s="14"/>
      <c r="G7588" s="15"/>
      <c r="H7588" s="15"/>
      <c r="I7588" s="14"/>
      <c r="P7588" s="14"/>
    </row>
    <row r="7589" ht="18.75" customHeight="1">
      <c r="A7589" s="14"/>
      <c r="B7589" s="12"/>
      <c r="C7589" s="12"/>
      <c r="D7589" s="12"/>
      <c r="E7589" s="12"/>
      <c r="F7589" s="14"/>
      <c r="G7589" s="15"/>
      <c r="H7589" s="15"/>
      <c r="I7589" s="14"/>
      <c r="P7589" s="14"/>
    </row>
    <row r="7590" ht="18.75" customHeight="1">
      <c r="A7590" s="14"/>
      <c r="B7590" s="12"/>
      <c r="C7590" s="12"/>
      <c r="D7590" s="12"/>
      <c r="E7590" s="12"/>
      <c r="F7590" s="14"/>
      <c r="G7590" s="15"/>
      <c r="H7590" s="15"/>
      <c r="I7590" s="14"/>
      <c r="P7590" s="14"/>
    </row>
    <row r="7591" ht="18.75" customHeight="1">
      <c r="A7591" s="14"/>
      <c r="B7591" s="12"/>
      <c r="C7591" s="12"/>
      <c r="D7591" s="12"/>
      <c r="E7591" s="12"/>
      <c r="F7591" s="14"/>
      <c r="G7591" s="15"/>
      <c r="H7591" s="15"/>
      <c r="I7591" s="14"/>
      <c r="P7591" s="14"/>
    </row>
    <row r="7592" ht="18.75" customHeight="1">
      <c r="A7592" s="14"/>
      <c r="B7592" s="12"/>
      <c r="C7592" s="12"/>
      <c r="D7592" s="12"/>
      <c r="E7592" s="12"/>
      <c r="F7592" s="14"/>
      <c r="G7592" s="15"/>
      <c r="H7592" s="15"/>
      <c r="I7592" s="14"/>
      <c r="P7592" s="14"/>
    </row>
    <row r="7593" ht="18.75" customHeight="1">
      <c r="A7593" s="14"/>
      <c r="B7593" s="12"/>
      <c r="C7593" s="12"/>
      <c r="D7593" s="12"/>
      <c r="E7593" s="12"/>
      <c r="F7593" s="14"/>
      <c r="G7593" s="15"/>
      <c r="H7593" s="15"/>
      <c r="I7593" s="14"/>
      <c r="P7593" s="14"/>
    </row>
    <row r="7594" ht="18.75" customHeight="1">
      <c r="A7594" s="14"/>
      <c r="B7594" s="12"/>
      <c r="C7594" s="12"/>
      <c r="D7594" s="12"/>
      <c r="E7594" s="12"/>
      <c r="F7594" s="14"/>
      <c r="G7594" s="15"/>
      <c r="H7594" s="15"/>
      <c r="I7594" s="14"/>
      <c r="P7594" s="14"/>
    </row>
    <row r="7595" ht="18.75" customHeight="1">
      <c r="A7595" s="14"/>
      <c r="B7595" s="12"/>
      <c r="C7595" s="12"/>
      <c r="D7595" s="12"/>
      <c r="E7595" s="12"/>
      <c r="F7595" s="14"/>
      <c r="G7595" s="15"/>
      <c r="H7595" s="15"/>
      <c r="I7595" s="14"/>
      <c r="P7595" s="14"/>
    </row>
    <row r="7596" ht="18.75" customHeight="1">
      <c r="A7596" s="14"/>
      <c r="B7596" s="12"/>
      <c r="C7596" s="12"/>
      <c r="D7596" s="12"/>
      <c r="E7596" s="12"/>
      <c r="F7596" s="14"/>
      <c r="G7596" s="15"/>
      <c r="H7596" s="15"/>
      <c r="I7596" s="14"/>
      <c r="P7596" s="14"/>
    </row>
    <row r="7597" ht="18.75" customHeight="1">
      <c r="A7597" s="14"/>
      <c r="B7597" s="12"/>
      <c r="C7597" s="12"/>
      <c r="D7597" s="12"/>
      <c r="E7597" s="12"/>
      <c r="F7597" s="14"/>
      <c r="G7597" s="15"/>
      <c r="H7597" s="15"/>
      <c r="I7597" s="14"/>
      <c r="P7597" s="14"/>
    </row>
    <row r="7598" ht="18.75" customHeight="1">
      <c r="A7598" s="14"/>
      <c r="B7598" s="12"/>
      <c r="C7598" s="12"/>
      <c r="D7598" s="12"/>
      <c r="E7598" s="12"/>
      <c r="F7598" s="14"/>
      <c r="G7598" s="15"/>
      <c r="H7598" s="15"/>
      <c r="I7598" s="14"/>
      <c r="P7598" s="14"/>
    </row>
    <row r="7599" ht="18.75" customHeight="1">
      <c r="A7599" s="14"/>
      <c r="B7599" s="12"/>
      <c r="C7599" s="12"/>
      <c r="D7599" s="12"/>
      <c r="E7599" s="12"/>
      <c r="F7599" s="14"/>
      <c r="G7599" s="15"/>
      <c r="H7599" s="15"/>
      <c r="I7599" s="14"/>
      <c r="P7599" s="14"/>
    </row>
    <row r="7600" ht="18.75" customHeight="1">
      <c r="A7600" s="14"/>
      <c r="B7600" s="12"/>
      <c r="C7600" s="12"/>
      <c r="D7600" s="12"/>
      <c r="E7600" s="12"/>
      <c r="F7600" s="14"/>
      <c r="G7600" s="15"/>
      <c r="H7600" s="15"/>
      <c r="I7600" s="14"/>
      <c r="P7600" s="14"/>
    </row>
    <row r="7601" ht="18.75" customHeight="1">
      <c r="A7601" s="14"/>
      <c r="B7601" s="12"/>
      <c r="C7601" s="12"/>
      <c r="D7601" s="12"/>
      <c r="E7601" s="12"/>
      <c r="F7601" s="14"/>
      <c r="G7601" s="15"/>
      <c r="H7601" s="15"/>
      <c r="I7601" s="14"/>
      <c r="P7601" s="14"/>
    </row>
    <row r="7602" ht="18.75" customHeight="1">
      <c r="A7602" s="14"/>
      <c r="B7602" s="12"/>
      <c r="C7602" s="12"/>
      <c r="D7602" s="12"/>
      <c r="E7602" s="12"/>
      <c r="F7602" s="14"/>
      <c r="G7602" s="15"/>
      <c r="H7602" s="15"/>
      <c r="I7602" s="14"/>
      <c r="P7602" s="14"/>
    </row>
    <row r="7603" ht="18.75" customHeight="1">
      <c r="A7603" s="14"/>
      <c r="B7603" s="12"/>
      <c r="C7603" s="12"/>
      <c r="D7603" s="12"/>
      <c r="E7603" s="12"/>
      <c r="F7603" s="14"/>
      <c r="G7603" s="15"/>
      <c r="H7603" s="15"/>
      <c r="I7603" s="14"/>
      <c r="P7603" s="14"/>
    </row>
    <row r="7604" ht="18.75" customHeight="1">
      <c r="A7604" s="14"/>
      <c r="B7604" s="12"/>
      <c r="C7604" s="12"/>
      <c r="D7604" s="12"/>
      <c r="E7604" s="12"/>
      <c r="F7604" s="14"/>
      <c r="G7604" s="15"/>
      <c r="H7604" s="15"/>
      <c r="I7604" s="14"/>
      <c r="P7604" s="14"/>
    </row>
    <row r="7605" ht="18.75" customHeight="1">
      <c r="A7605" s="14"/>
      <c r="B7605" s="12"/>
      <c r="C7605" s="12"/>
      <c r="D7605" s="12"/>
      <c r="E7605" s="12"/>
      <c r="F7605" s="14"/>
      <c r="G7605" s="15"/>
      <c r="H7605" s="15"/>
      <c r="I7605" s="14"/>
      <c r="P7605" s="14"/>
    </row>
    <row r="7606" ht="18.75" customHeight="1">
      <c r="A7606" s="14"/>
      <c r="B7606" s="12"/>
      <c r="C7606" s="12"/>
      <c r="D7606" s="12"/>
      <c r="E7606" s="12"/>
      <c r="F7606" s="14"/>
      <c r="G7606" s="15"/>
      <c r="H7606" s="15"/>
      <c r="I7606" s="14"/>
      <c r="P7606" s="14"/>
    </row>
    <row r="7607" ht="18.75" customHeight="1">
      <c r="A7607" s="14"/>
      <c r="B7607" s="12"/>
      <c r="C7607" s="12"/>
      <c r="D7607" s="12"/>
      <c r="E7607" s="12"/>
      <c r="F7607" s="14"/>
      <c r="G7607" s="15"/>
      <c r="H7607" s="15"/>
      <c r="I7607" s="14"/>
      <c r="P7607" s="14"/>
    </row>
    <row r="7608" ht="18.75" customHeight="1">
      <c r="A7608" s="14"/>
      <c r="B7608" s="12"/>
      <c r="C7608" s="12"/>
      <c r="D7608" s="12"/>
      <c r="E7608" s="12"/>
      <c r="F7608" s="14"/>
      <c r="G7608" s="15"/>
      <c r="H7608" s="15"/>
      <c r="I7608" s="14"/>
      <c r="P7608" s="14"/>
    </row>
    <row r="7609" ht="18.75" customHeight="1">
      <c r="A7609" s="14"/>
      <c r="B7609" s="12"/>
      <c r="C7609" s="12"/>
      <c r="D7609" s="12"/>
      <c r="E7609" s="12"/>
      <c r="F7609" s="14"/>
      <c r="G7609" s="15"/>
      <c r="H7609" s="15"/>
      <c r="I7609" s="14"/>
      <c r="P7609" s="14"/>
    </row>
    <row r="7610" ht="18.75" customHeight="1">
      <c r="A7610" s="14"/>
      <c r="B7610" s="12"/>
      <c r="C7610" s="12"/>
      <c r="D7610" s="12"/>
      <c r="E7610" s="12"/>
      <c r="F7610" s="14"/>
      <c r="G7610" s="15"/>
      <c r="H7610" s="15"/>
      <c r="I7610" s="14"/>
      <c r="P7610" s="14"/>
    </row>
    <row r="7611" ht="18.75" customHeight="1">
      <c r="A7611" s="14"/>
      <c r="B7611" s="12"/>
      <c r="C7611" s="12"/>
      <c r="D7611" s="12"/>
      <c r="E7611" s="12"/>
      <c r="F7611" s="14"/>
      <c r="G7611" s="15"/>
      <c r="H7611" s="15"/>
      <c r="I7611" s="14"/>
      <c r="P7611" s="14"/>
    </row>
    <row r="7612" ht="18.75" customHeight="1">
      <c r="A7612" s="14"/>
      <c r="B7612" s="12"/>
      <c r="C7612" s="12"/>
      <c r="D7612" s="12"/>
      <c r="E7612" s="12"/>
      <c r="F7612" s="14"/>
      <c r="G7612" s="15"/>
      <c r="H7612" s="15"/>
      <c r="I7612" s="14"/>
      <c r="P7612" s="14"/>
    </row>
    <row r="7613" ht="18.75" customHeight="1">
      <c r="A7613" s="14"/>
      <c r="B7613" s="12"/>
      <c r="C7613" s="12"/>
      <c r="D7613" s="12"/>
      <c r="E7613" s="12"/>
      <c r="F7613" s="14"/>
      <c r="G7613" s="15"/>
      <c r="H7613" s="15"/>
      <c r="I7613" s="14"/>
      <c r="P7613" s="14"/>
    </row>
    <row r="7614" ht="18.75" customHeight="1">
      <c r="A7614" s="14"/>
      <c r="B7614" s="12"/>
      <c r="C7614" s="12"/>
      <c r="D7614" s="12"/>
      <c r="E7614" s="12"/>
      <c r="F7614" s="14"/>
      <c r="G7614" s="15"/>
      <c r="H7614" s="15"/>
      <c r="I7614" s="14"/>
      <c r="P7614" s="14"/>
    </row>
    <row r="7615" ht="18.75" customHeight="1">
      <c r="A7615" s="14"/>
      <c r="B7615" s="12"/>
      <c r="C7615" s="12"/>
      <c r="D7615" s="12"/>
      <c r="E7615" s="12"/>
      <c r="F7615" s="14"/>
      <c r="G7615" s="15"/>
      <c r="H7615" s="15"/>
      <c r="I7615" s="14"/>
      <c r="P7615" s="14"/>
    </row>
    <row r="7616" ht="18.75" customHeight="1">
      <c r="A7616" s="14"/>
      <c r="B7616" s="12"/>
      <c r="C7616" s="12"/>
      <c r="D7616" s="12"/>
      <c r="E7616" s="12"/>
      <c r="F7616" s="14"/>
      <c r="G7616" s="15"/>
      <c r="H7616" s="15"/>
      <c r="I7616" s="14"/>
      <c r="P7616" s="14"/>
    </row>
    <row r="7617" ht="18.75" customHeight="1">
      <c r="A7617" s="14"/>
      <c r="B7617" s="12"/>
      <c r="C7617" s="12"/>
      <c r="D7617" s="12"/>
      <c r="E7617" s="12"/>
      <c r="F7617" s="14"/>
      <c r="G7617" s="15"/>
      <c r="H7617" s="15"/>
      <c r="I7617" s="14"/>
      <c r="P7617" s="14"/>
    </row>
    <row r="7618" ht="18.75" customHeight="1">
      <c r="A7618" s="14"/>
      <c r="B7618" s="12"/>
      <c r="C7618" s="12"/>
      <c r="D7618" s="12"/>
      <c r="E7618" s="12"/>
      <c r="F7618" s="14"/>
      <c r="G7618" s="15"/>
      <c r="H7618" s="15"/>
      <c r="I7618" s="14"/>
      <c r="P7618" s="14"/>
    </row>
    <row r="7619" ht="18.75" customHeight="1">
      <c r="A7619" s="14"/>
      <c r="B7619" s="12"/>
      <c r="C7619" s="12"/>
      <c r="D7619" s="12"/>
      <c r="E7619" s="12"/>
      <c r="F7619" s="14"/>
      <c r="G7619" s="15"/>
      <c r="H7619" s="15"/>
      <c r="I7619" s="14"/>
      <c r="P7619" s="14"/>
    </row>
    <row r="7620" ht="18.75" customHeight="1">
      <c r="A7620" s="14"/>
      <c r="B7620" s="12"/>
      <c r="C7620" s="12"/>
      <c r="D7620" s="12"/>
      <c r="E7620" s="12"/>
      <c r="F7620" s="14"/>
      <c r="G7620" s="15"/>
      <c r="H7620" s="15"/>
      <c r="I7620" s="14"/>
      <c r="P7620" s="14"/>
    </row>
    <row r="7621" ht="18.75" customHeight="1">
      <c r="A7621" s="14"/>
      <c r="B7621" s="12"/>
      <c r="C7621" s="12"/>
      <c r="D7621" s="12"/>
      <c r="E7621" s="12"/>
      <c r="F7621" s="14"/>
      <c r="G7621" s="15"/>
      <c r="H7621" s="15"/>
      <c r="I7621" s="14"/>
      <c r="P7621" s="14"/>
    </row>
    <row r="7622" ht="18.75" customHeight="1">
      <c r="A7622" s="14"/>
      <c r="B7622" s="12"/>
      <c r="C7622" s="12"/>
      <c r="D7622" s="12"/>
      <c r="E7622" s="12"/>
      <c r="F7622" s="14"/>
      <c r="G7622" s="15"/>
      <c r="H7622" s="15"/>
      <c r="I7622" s="14"/>
      <c r="P7622" s="14"/>
    </row>
    <row r="7623" ht="18.75" customHeight="1">
      <c r="A7623" s="14"/>
      <c r="B7623" s="12"/>
      <c r="C7623" s="12"/>
      <c r="D7623" s="12"/>
      <c r="E7623" s="12"/>
      <c r="F7623" s="14"/>
      <c r="G7623" s="15"/>
      <c r="H7623" s="15"/>
      <c r="I7623" s="14"/>
      <c r="P7623" s="14"/>
    </row>
    <row r="7624" ht="18.75" customHeight="1">
      <c r="A7624" s="14"/>
      <c r="B7624" s="12"/>
      <c r="C7624" s="12"/>
      <c r="D7624" s="12"/>
      <c r="E7624" s="12"/>
      <c r="F7624" s="14"/>
      <c r="G7624" s="15"/>
      <c r="H7624" s="15"/>
      <c r="I7624" s="14"/>
      <c r="P7624" s="14"/>
    </row>
    <row r="7625" ht="18.75" customHeight="1">
      <c r="A7625" s="14"/>
      <c r="B7625" s="12"/>
      <c r="C7625" s="12"/>
      <c r="D7625" s="12"/>
      <c r="E7625" s="12"/>
      <c r="F7625" s="14"/>
      <c r="G7625" s="15"/>
      <c r="H7625" s="15"/>
      <c r="I7625" s="14"/>
      <c r="P7625" s="14"/>
    </row>
    <row r="7626" ht="18.75" customHeight="1">
      <c r="A7626" s="14"/>
      <c r="B7626" s="12"/>
      <c r="C7626" s="12"/>
      <c r="D7626" s="12"/>
      <c r="E7626" s="12"/>
      <c r="F7626" s="14"/>
      <c r="G7626" s="15"/>
      <c r="H7626" s="15"/>
      <c r="I7626" s="14"/>
      <c r="P7626" s="14"/>
    </row>
    <row r="7627" ht="18.75" customHeight="1">
      <c r="A7627" s="14"/>
      <c r="B7627" s="12"/>
      <c r="C7627" s="12"/>
      <c r="D7627" s="12"/>
      <c r="E7627" s="12"/>
      <c r="F7627" s="14"/>
      <c r="G7627" s="15"/>
      <c r="H7627" s="15"/>
      <c r="I7627" s="14"/>
      <c r="P7627" s="14"/>
    </row>
    <row r="7628" ht="18.75" customHeight="1">
      <c r="A7628" s="14"/>
      <c r="B7628" s="12"/>
      <c r="C7628" s="12"/>
      <c r="D7628" s="12"/>
      <c r="E7628" s="12"/>
      <c r="F7628" s="14"/>
      <c r="G7628" s="15"/>
      <c r="H7628" s="15"/>
      <c r="I7628" s="14"/>
      <c r="P7628" s="14"/>
    </row>
    <row r="7629" ht="18.75" customHeight="1">
      <c r="A7629" s="14"/>
      <c r="B7629" s="12"/>
      <c r="C7629" s="12"/>
      <c r="D7629" s="12"/>
      <c r="E7629" s="12"/>
      <c r="F7629" s="14"/>
      <c r="G7629" s="15"/>
      <c r="H7629" s="15"/>
      <c r="I7629" s="14"/>
      <c r="P7629" s="14"/>
    </row>
    <row r="7630" ht="18.75" customHeight="1">
      <c r="A7630" s="14"/>
      <c r="B7630" s="12"/>
      <c r="C7630" s="12"/>
      <c r="D7630" s="12"/>
      <c r="E7630" s="12"/>
      <c r="F7630" s="14"/>
      <c r="G7630" s="15"/>
      <c r="H7630" s="15"/>
      <c r="I7630" s="14"/>
      <c r="P7630" s="14"/>
    </row>
    <row r="7631" ht="18.75" customHeight="1">
      <c r="A7631" s="14"/>
      <c r="B7631" s="12"/>
      <c r="C7631" s="12"/>
      <c r="D7631" s="12"/>
      <c r="E7631" s="12"/>
      <c r="F7631" s="14"/>
      <c r="G7631" s="15"/>
      <c r="H7631" s="15"/>
      <c r="I7631" s="14"/>
      <c r="P7631" s="14"/>
    </row>
    <row r="7632" ht="18.75" customHeight="1">
      <c r="A7632" s="14"/>
      <c r="B7632" s="12"/>
      <c r="C7632" s="12"/>
      <c r="D7632" s="12"/>
      <c r="E7632" s="12"/>
      <c r="F7632" s="14"/>
      <c r="G7632" s="15"/>
      <c r="H7632" s="15"/>
      <c r="I7632" s="14"/>
      <c r="P7632" s="14"/>
    </row>
    <row r="7633" ht="18.75" customHeight="1">
      <c r="A7633" s="14"/>
      <c r="B7633" s="12"/>
      <c r="C7633" s="12"/>
      <c r="D7633" s="12"/>
      <c r="E7633" s="12"/>
      <c r="F7633" s="14"/>
      <c r="G7633" s="15"/>
      <c r="H7633" s="15"/>
      <c r="I7633" s="14"/>
      <c r="P7633" s="14"/>
    </row>
    <row r="7634" ht="18.75" customHeight="1">
      <c r="A7634" s="14"/>
      <c r="B7634" s="12"/>
      <c r="C7634" s="12"/>
      <c r="D7634" s="12"/>
      <c r="E7634" s="12"/>
      <c r="F7634" s="14"/>
      <c r="G7634" s="15"/>
      <c r="H7634" s="15"/>
      <c r="I7634" s="14"/>
      <c r="P7634" s="14"/>
    </row>
    <row r="7635" ht="18.75" customHeight="1">
      <c r="A7635" s="14"/>
      <c r="B7635" s="12"/>
      <c r="C7635" s="12"/>
      <c r="D7635" s="12"/>
      <c r="E7635" s="12"/>
      <c r="F7635" s="14"/>
      <c r="G7635" s="15"/>
      <c r="H7635" s="15"/>
      <c r="I7635" s="14"/>
      <c r="P7635" s="14"/>
    </row>
    <row r="7636" ht="18.75" customHeight="1">
      <c r="A7636" s="14"/>
      <c r="B7636" s="12"/>
      <c r="C7636" s="12"/>
      <c r="D7636" s="12"/>
      <c r="E7636" s="12"/>
      <c r="F7636" s="14"/>
      <c r="G7636" s="15"/>
      <c r="H7636" s="15"/>
      <c r="I7636" s="14"/>
      <c r="P7636" s="14"/>
    </row>
    <row r="7637" ht="18.75" customHeight="1">
      <c r="A7637" s="14"/>
      <c r="B7637" s="12"/>
      <c r="C7637" s="12"/>
      <c r="D7637" s="12"/>
      <c r="E7637" s="12"/>
      <c r="F7637" s="14"/>
      <c r="G7637" s="15"/>
      <c r="H7637" s="15"/>
      <c r="I7637" s="14"/>
      <c r="P7637" s="14"/>
    </row>
    <row r="7638" ht="18.75" customHeight="1">
      <c r="A7638" s="14"/>
      <c r="B7638" s="12"/>
      <c r="C7638" s="12"/>
      <c r="D7638" s="12"/>
      <c r="E7638" s="12"/>
      <c r="F7638" s="14"/>
      <c r="G7638" s="15"/>
      <c r="H7638" s="15"/>
      <c r="I7638" s="14"/>
      <c r="P7638" s="14"/>
    </row>
    <row r="7639" ht="18.75" customHeight="1">
      <c r="A7639" s="14"/>
      <c r="B7639" s="12"/>
      <c r="C7639" s="12"/>
      <c r="D7639" s="12"/>
      <c r="E7639" s="12"/>
      <c r="F7639" s="14"/>
      <c r="G7639" s="15"/>
      <c r="H7639" s="15"/>
      <c r="I7639" s="14"/>
      <c r="P7639" s="14"/>
    </row>
    <row r="7640" ht="18.75" customHeight="1">
      <c r="A7640" s="14"/>
      <c r="B7640" s="12"/>
      <c r="C7640" s="12"/>
      <c r="D7640" s="12"/>
      <c r="E7640" s="12"/>
      <c r="F7640" s="14"/>
      <c r="G7640" s="15"/>
      <c r="H7640" s="15"/>
      <c r="I7640" s="14"/>
      <c r="P7640" s="14"/>
    </row>
    <row r="7641" ht="18.75" customHeight="1">
      <c r="A7641" s="14"/>
      <c r="B7641" s="12"/>
      <c r="C7641" s="12"/>
      <c r="D7641" s="12"/>
      <c r="E7641" s="12"/>
      <c r="F7641" s="14"/>
      <c r="G7641" s="15"/>
      <c r="H7641" s="15"/>
      <c r="I7641" s="14"/>
      <c r="P7641" s="14"/>
    </row>
    <row r="7642" ht="18.75" customHeight="1">
      <c r="A7642" s="14"/>
      <c r="B7642" s="12"/>
      <c r="C7642" s="12"/>
      <c r="D7642" s="12"/>
      <c r="E7642" s="12"/>
      <c r="F7642" s="14"/>
      <c r="G7642" s="15"/>
      <c r="H7642" s="15"/>
      <c r="I7642" s="14"/>
      <c r="P7642" s="14"/>
    </row>
    <row r="7643" ht="18.75" customHeight="1">
      <c r="A7643" s="14"/>
      <c r="B7643" s="12"/>
      <c r="C7643" s="12"/>
      <c r="D7643" s="12"/>
      <c r="E7643" s="12"/>
      <c r="F7643" s="14"/>
      <c r="G7643" s="15"/>
      <c r="H7643" s="15"/>
      <c r="I7643" s="14"/>
      <c r="P7643" s="14"/>
    </row>
    <row r="7644" ht="18.75" customHeight="1">
      <c r="A7644" s="14"/>
      <c r="B7644" s="12"/>
      <c r="C7644" s="12"/>
      <c r="D7644" s="12"/>
      <c r="E7644" s="12"/>
      <c r="F7644" s="14"/>
      <c r="G7644" s="15"/>
      <c r="H7644" s="15"/>
      <c r="I7644" s="14"/>
      <c r="P7644" s="14"/>
    </row>
    <row r="7645" ht="18.75" customHeight="1">
      <c r="A7645" s="14"/>
      <c r="B7645" s="12"/>
      <c r="C7645" s="12"/>
      <c r="D7645" s="12"/>
      <c r="E7645" s="12"/>
      <c r="F7645" s="14"/>
      <c r="G7645" s="15"/>
      <c r="H7645" s="15"/>
      <c r="I7645" s="14"/>
      <c r="P7645" s="14"/>
    </row>
    <row r="7646" ht="18.75" customHeight="1">
      <c r="A7646" s="14"/>
      <c r="B7646" s="12"/>
      <c r="C7646" s="12"/>
      <c r="D7646" s="12"/>
      <c r="E7646" s="12"/>
      <c r="F7646" s="14"/>
      <c r="G7646" s="15"/>
      <c r="H7646" s="15"/>
      <c r="I7646" s="14"/>
      <c r="P7646" s="14"/>
    </row>
    <row r="7647" ht="18.75" customHeight="1">
      <c r="A7647" s="14"/>
      <c r="B7647" s="12"/>
      <c r="C7647" s="12"/>
      <c r="D7647" s="12"/>
      <c r="E7647" s="12"/>
      <c r="F7647" s="14"/>
      <c r="G7647" s="15"/>
      <c r="H7647" s="15"/>
      <c r="I7647" s="14"/>
      <c r="P7647" s="14"/>
    </row>
    <row r="7648" ht="18.75" customHeight="1">
      <c r="A7648" s="14"/>
      <c r="B7648" s="12"/>
      <c r="C7648" s="12"/>
      <c r="D7648" s="12"/>
      <c r="E7648" s="12"/>
      <c r="F7648" s="14"/>
      <c r="G7648" s="15"/>
      <c r="H7648" s="15"/>
      <c r="I7648" s="14"/>
      <c r="P7648" s="14"/>
    </row>
    <row r="7649" ht="18.75" customHeight="1">
      <c r="A7649" s="14"/>
      <c r="B7649" s="12"/>
      <c r="C7649" s="12"/>
      <c r="D7649" s="12"/>
      <c r="E7649" s="12"/>
      <c r="F7649" s="14"/>
      <c r="G7649" s="15"/>
      <c r="H7649" s="15"/>
      <c r="I7649" s="14"/>
      <c r="P7649" s="14"/>
    </row>
    <row r="7650" ht="18.75" customHeight="1">
      <c r="A7650" s="14"/>
      <c r="B7650" s="12"/>
      <c r="C7650" s="12"/>
      <c r="D7650" s="12"/>
      <c r="E7650" s="12"/>
      <c r="F7650" s="14"/>
      <c r="G7650" s="15"/>
      <c r="H7650" s="15"/>
      <c r="I7650" s="14"/>
      <c r="P7650" s="14"/>
    </row>
    <row r="7651" ht="18.75" customHeight="1">
      <c r="A7651" s="14"/>
      <c r="B7651" s="12"/>
      <c r="C7651" s="12"/>
      <c r="D7651" s="12"/>
      <c r="E7651" s="12"/>
      <c r="F7651" s="14"/>
      <c r="G7651" s="15"/>
      <c r="H7651" s="15"/>
      <c r="I7651" s="14"/>
      <c r="P7651" s="14"/>
    </row>
    <row r="7652" ht="18.75" customHeight="1">
      <c r="A7652" s="14"/>
      <c r="B7652" s="12"/>
      <c r="C7652" s="12"/>
      <c r="D7652" s="12"/>
      <c r="E7652" s="12"/>
      <c r="F7652" s="14"/>
      <c r="G7652" s="15"/>
      <c r="H7652" s="15"/>
      <c r="I7652" s="14"/>
      <c r="P7652" s="14"/>
    </row>
    <row r="7653" ht="18.75" customHeight="1">
      <c r="A7653" s="14"/>
      <c r="B7653" s="12"/>
      <c r="C7653" s="12"/>
      <c r="D7653" s="12"/>
      <c r="E7653" s="12"/>
      <c r="F7653" s="14"/>
      <c r="G7653" s="15"/>
      <c r="H7653" s="15"/>
      <c r="I7653" s="14"/>
      <c r="P7653" s="14"/>
    </row>
    <row r="7654" ht="18.75" customHeight="1">
      <c r="A7654" s="14"/>
      <c r="B7654" s="12"/>
      <c r="C7654" s="12"/>
      <c r="D7654" s="12"/>
      <c r="E7654" s="12"/>
      <c r="F7654" s="14"/>
      <c r="G7654" s="15"/>
      <c r="H7654" s="15"/>
      <c r="I7654" s="14"/>
      <c r="P7654" s="14"/>
    </row>
    <row r="7655" ht="18.75" customHeight="1">
      <c r="A7655" s="14"/>
      <c r="B7655" s="12"/>
      <c r="C7655" s="12"/>
      <c r="D7655" s="12"/>
      <c r="E7655" s="12"/>
      <c r="F7655" s="14"/>
      <c r="G7655" s="15"/>
      <c r="H7655" s="15"/>
      <c r="I7655" s="14"/>
      <c r="P7655" s="14"/>
    </row>
    <row r="7656" ht="18.75" customHeight="1">
      <c r="A7656" s="14"/>
      <c r="B7656" s="12"/>
      <c r="C7656" s="12"/>
      <c r="D7656" s="12"/>
      <c r="E7656" s="12"/>
      <c r="F7656" s="14"/>
      <c r="G7656" s="15"/>
      <c r="H7656" s="15"/>
      <c r="I7656" s="14"/>
      <c r="P7656" s="14"/>
    </row>
    <row r="7657" ht="18.75" customHeight="1">
      <c r="A7657" s="14"/>
      <c r="B7657" s="12"/>
      <c r="C7657" s="12"/>
      <c r="D7657" s="12"/>
      <c r="E7657" s="12"/>
      <c r="F7657" s="14"/>
      <c r="G7657" s="15"/>
      <c r="H7657" s="15"/>
      <c r="I7657" s="14"/>
      <c r="P7657" s="14"/>
    </row>
    <row r="7658" ht="18.75" customHeight="1">
      <c r="A7658" s="14"/>
      <c r="B7658" s="12"/>
      <c r="C7658" s="12"/>
      <c r="D7658" s="12"/>
      <c r="E7658" s="12"/>
      <c r="F7658" s="14"/>
      <c r="G7658" s="15"/>
      <c r="H7658" s="15"/>
      <c r="I7658" s="14"/>
      <c r="P7658" s="14"/>
    </row>
    <row r="7659" ht="18.75" customHeight="1">
      <c r="A7659" s="14"/>
      <c r="B7659" s="12"/>
      <c r="C7659" s="12"/>
      <c r="D7659" s="12"/>
      <c r="E7659" s="12"/>
      <c r="F7659" s="14"/>
      <c r="G7659" s="15"/>
      <c r="H7659" s="15"/>
      <c r="I7659" s="14"/>
      <c r="P7659" s="14"/>
    </row>
    <row r="7660" ht="18.75" customHeight="1">
      <c r="A7660" s="14"/>
      <c r="B7660" s="12"/>
      <c r="C7660" s="12"/>
      <c r="D7660" s="12"/>
      <c r="E7660" s="12"/>
      <c r="F7660" s="14"/>
      <c r="G7660" s="15"/>
      <c r="H7660" s="15"/>
      <c r="I7660" s="14"/>
      <c r="P7660" s="14"/>
    </row>
    <row r="7661" ht="18.75" customHeight="1">
      <c r="A7661" s="14"/>
      <c r="B7661" s="12"/>
      <c r="C7661" s="12"/>
      <c r="D7661" s="12"/>
      <c r="E7661" s="12"/>
      <c r="F7661" s="14"/>
      <c r="G7661" s="15"/>
      <c r="H7661" s="15"/>
      <c r="I7661" s="14"/>
      <c r="P7661" s="14"/>
    </row>
    <row r="7662" ht="18.75" customHeight="1">
      <c r="A7662" s="14"/>
      <c r="B7662" s="12"/>
      <c r="C7662" s="12"/>
      <c r="D7662" s="12"/>
      <c r="E7662" s="12"/>
      <c r="F7662" s="14"/>
      <c r="G7662" s="15"/>
      <c r="H7662" s="15"/>
      <c r="I7662" s="14"/>
      <c r="P7662" s="14"/>
    </row>
    <row r="7663" ht="18.75" customHeight="1">
      <c r="A7663" s="14"/>
      <c r="B7663" s="12"/>
      <c r="C7663" s="12"/>
      <c r="D7663" s="12"/>
      <c r="E7663" s="12"/>
      <c r="F7663" s="14"/>
      <c r="G7663" s="15"/>
      <c r="H7663" s="15"/>
      <c r="I7663" s="14"/>
      <c r="P7663" s="14"/>
    </row>
    <row r="7664" ht="18.75" customHeight="1">
      <c r="A7664" s="14"/>
      <c r="B7664" s="12"/>
      <c r="C7664" s="12"/>
      <c r="D7664" s="12"/>
      <c r="E7664" s="12"/>
      <c r="F7664" s="14"/>
      <c r="G7664" s="15"/>
      <c r="H7664" s="15"/>
      <c r="I7664" s="14"/>
      <c r="P7664" s="14"/>
    </row>
    <row r="7665" ht="18.75" customHeight="1">
      <c r="A7665" s="14"/>
      <c r="B7665" s="12"/>
      <c r="C7665" s="12"/>
      <c r="D7665" s="12"/>
      <c r="E7665" s="12"/>
      <c r="F7665" s="14"/>
      <c r="G7665" s="15"/>
      <c r="H7665" s="15"/>
      <c r="I7665" s="14"/>
      <c r="P7665" s="14"/>
    </row>
    <row r="7666" ht="18.75" customHeight="1">
      <c r="A7666" s="14"/>
      <c r="B7666" s="12"/>
      <c r="C7666" s="12"/>
      <c r="D7666" s="12"/>
      <c r="E7666" s="12"/>
      <c r="F7666" s="14"/>
      <c r="G7666" s="15"/>
      <c r="H7666" s="15"/>
      <c r="I7666" s="14"/>
      <c r="P7666" s="14"/>
    </row>
    <row r="7667" ht="18.75" customHeight="1">
      <c r="A7667" s="14"/>
      <c r="B7667" s="12"/>
      <c r="C7667" s="12"/>
      <c r="D7667" s="12"/>
      <c r="E7667" s="12"/>
      <c r="F7667" s="14"/>
      <c r="G7667" s="15"/>
      <c r="H7667" s="15"/>
      <c r="I7667" s="14"/>
      <c r="P7667" s="14"/>
    </row>
    <row r="7668" ht="18.75" customHeight="1">
      <c r="A7668" s="14"/>
      <c r="B7668" s="12"/>
      <c r="C7668" s="12"/>
      <c r="D7668" s="12"/>
      <c r="E7668" s="12"/>
      <c r="F7668" s="14"/>
      <c r="G7668" s="15"/>
      <c r="H7668" s="15"/>
      <c r="I7668" s="14"/>
      <c r="P7668" s="14"/>
    </row>
    <row r="7669" ht="18.75" customHeight="1">
      <c r="A7669" s="14"/>
      <c r="B7669" s="12"/>
      <c r="C7669" s="12"/>
      <c r="D7669" s="12"/>
      <c r="E7669" s="12"/>
      <c r="F7669" s="14"/>
      <c r="G7669" s="15"/>
      <c r="H7669" s="15"/>
      <c r="I7669" s="14"/>
      <c r="P7669" s="14"/>
    </row>
    <row r="7670" ht="18.75" customHeight="1">
      <c r="A7670" s="14"/>
      <c r="B7670" s="12"/>
      <c r="C7670" s="12"/>
      <c r="D7670" s="12"/>
      <c r="E7670" s="12"/>
      <c r="F7670" s="14"/>
      <c r="G7670" s="15"/>
      <c r="H7670" s="15"/>
      <c r="I7670" s="14"/>
      <c r="P7670" s="14"/>
    </row>
    <row r="7671" ht="18.75" customHeight="1">
      <c r="A7671" s="14"/>
      <c r="B7671" s="12"/>
      <c r="C7671" s="12"/>
      <c r="D7671" s="12"/>
      <c r="E7671" s="12"/>
      <c r="F7671" s="14"/>
      <c r="G7671" s="15"/>
      <c r="H7671" s="15"/>
      <c r="I7671" s="14"/>
      <c r="P7671" s="14"/>
    </row>
    <row r="7672" ht="18.75" customHeight="1">
      <c r="A7672" s="14"/>
      <c r="B7672" s="12"/>
      <c r="C7672" s="12"/>
      <c r="D7672" s="12"/>
      <c r="E7672" s="12"/>
      <c r="F7672" s="14"/>
      <c r="G7672" s="15"/>
      <c r="H7672" s="15"/>
      <c r="I7672" s="14"/>
      <c r="P7672" s="14"/>
    </row>
    <row r="7673" ht="18.75" customHeight="1">
      <c r="A7673" s="14"/>
      <c r="B7673" s="12"/>
      <c r="C7673" s="12"/>
      <c r="D7673" s="12"/>
      <c r="E7673" s="12"/>
      <c r="F7673" s="14"/>
      <c r="G7673" s="15"/>
      <c r="H7673" s="15"/>
      <c r="I7673" s="14"/>
      <c r="P7673" s="14"/>
    </row>
    <row r="7674" ht="18.75" customHeight="1">
      <c r="A7674" s="14"/>
      <c r="B7674" s="12"/>
      <c r="C7674" s="12"/>
      <c r="D7674" s="12"/>
      <c r="E7674" s="12"/>
      <c r="F7674" s="14"/>
      <c r="G7674" s="15"/>
      <c r="H7674" s="15"/>
      <c r="I7674" s="14"/>
      <c r="P7674" s="14"/>
    </row>
    <row r="7675" ht="18.75" customHeight="1">
      <c r="A7675" s="14"/>
      <c r="B7675" s="12"/>
      <c r="C7675" s="12"/>
      <c r="D7675" s="12"/>
      <c r="E7675" s="12"/>
      <c r="F7675" s="14"/>
      <c r="G7675" s="15"/>
      <c r="H7675" s="15"/>
      <c r="I7675" s="14"/>
      <c r="P7675" s="14"/>
    </row>
    <row r="7676" ht="18.75" customHeight="1">
      <c r="A7676" s="14"/>
      <c r="B7676" s="12"/>
      <c r="C7676" s="12"/>
      <c r="D7676" s="12"/>
      <c r="E7676" s="12"/>
      <c r="F7676" s="14"/>
      <c r="G7676" s="15"/>
      <c r="H7676" s="15"/>
      <c r="I7676" s="14"/>
      <c r="P7676" s="14"/>
    </row>
    <row r="7677" ht="18.75" customHeight="1">
      <c r="A7677" s="14"/>
      <c r="B7677" s="12"/>
      <c r="C7677" s="12"/>
      <c r="D7677" s="12"/>
      <c r="E7677" s="12"/>
      <c r="F7677" s="14"/>
      <c r="G7677" s="15"/>
      <c r="H7677" s="15"/>
      <c r="I7677" s="14"/>
      <c r="P7677" s="14"/>
    </row>
    <row r="7678" ht="18.75" customHeight="1">
      <c r="A7678" s="14"/>
      <c r="B7678" s="12"/>
      <c r="C7678" s="12"/>
      <c r="D7678" s="12"/>
      <c r="E7678" s="12"/>
      <c r="F7678" s="14"/>
      <c r="G7678" s="15"/>
      <c r="H7678" s="15"/>
      <c r="I7678" s="14"/>
      <c r="P7678" s="14"/>
    </row>
    <row r="7679" ht="18.75" customHeight="1">
      <c r="A7679" s="14"/>
      <c r="B7679" s="12"/>
      <c r="C7679" s="12"/>
      <c r="D7679" s="12"/>
      <c r="E7679" s="12"/>
      <c r="F7679" s="14"/>
      <c r="G7679" s="15"/>
      <c r="H7679" s="15"/>
      <c r="I7679" s="14"/>
      <c r="P7679" s="14"/>
    </row>
    <row r="7680" ht="18.75" customHeight="1">
      <c r="A7680" s="14"/>
      <c r="B7680" s="12"/>
      <c r="C7680" s="12"/>
      <c r="D7680" s="12"/>
      <c r="E7680" s="12"/>
      <c r="F7680" s="14"/>
      <c r="G7680" s="15"/>
      <c r="H7680" s="15"/>
      <c r="I7680" s="14"/>
      <c r="P7680" s="14"/>
    </row>
    <row r="7681" ht="18.75" customHeight="1">
      <c r="A7681" s="14"/>
      <c r="B7681" s="12"/>
      <c r="C7681" s="12"/>
      <c r="D7681" s="12"/>
      <c r="E7681" s="12"/>
      <c r="F7681" s="14"/>
      <c r="G7681" s="15"/>
      <c r="H7681" s="15"/>
      <c r="I7681" s="14"/>
      <c r="P7681" s="14"/>
    </row>
    <row r="7682" ht="18.75" customHeight="1">
      <c r="A7682" s="14"/>
      <c r="B7682" s="12"/>
      <c r="C7682" s="12"/>
      <c r="D7682" s="12"/>
      <c r="E7682" s="12"/>
      <c r="F7682" s="14"/>
      <c r="G7682" s="15"/>
      <c r="H7682" s="15"/>
      <c r="I7682" s="14"/>
      <c r="P7682" s="14"/>
    </row>
    <row r="7683" ht="18.75" customHeight="1">
      <c r="A7683" s="14"/>
      <c r="B7683" s="12"/>
      <c r="C7683" s="12"/>
      <c r="D7683" s="12"/>
      <c r="E7683" s="12"/>
      <c r="F7683" s="14"/>
      <c r="G7683" s="15"/>
      <c r="H7683" s="15"/>
      <c r="I7683" s="14"/>
      <c r="P7683" s="14"/>
    </row>
    <row r="7684" ht="18.75" customHeight="1">
      <c r="A7684" s="14"/>
      <c r="B7684" s="12"/>
      <c r="C7684" s="12"/>
      <c r="D7684" s="12"/>
      <c r="E7684" s="12"/>
      <c r="F7684" s="14"/>
      <c r="G7684" s="15"/>
      <c r="H7684" s="15"/>
      <c r="I7684" s="14"/>
      <c r="P7684" s="14"/>
    </row>
    <row r="7685" ht="18.75" customHeight="1">
      <c r="A7685" s="14"/>
      <c r="B7685" s="12"/>
      <c r="C7685" s="12"/>
      <c r="D7685" s="12"/>
      <c r="E7685" s="12"/>
      <c r="F7685" s="14"/>
      <c r="G7685" s="15"/>
      <c r="H7685" s="15"/>
      <c r="I7685" s="14"/>
      <c r="P7685" s="14"/>
    </row>
    <row r="7686" ht="18.75" customHeight="1">
      <c r="A7686" s="14"/>
      <c r="B7686" s="12"/>
      <c r="C7686" s="12"/>
      <c r="D7686" s="12"/>
      <c r="E7686" s="12"/>
      <c r="F7686" s="14"/>
      <c r="G7686" s="15"/>
      <c r="H7686" s="15"/>
      <c r="I7686" s="14"/>
      <c r="P7686" s="14"/>
    </row>
    <row r="7687" ht="18.75" customHeight="1">
      <c r="A7687" s="14"/>
      <c r="B7687" s="12"/>
      <c r="C7687" s="12"/>
      <c r="D7687" s="12"/>
      <c r="E7687" s="12"/>
      <c r="F7687" s="14"/>
      <c r="G7687" s="15"/>
      <c r="H7687" s="15"/>
      <c r="I7687" s="14"/>
      <c r="P7687" s="14"/>
    </row>
    <row r="7688" ht="18.75" customHeight="1">
      <c r="A7688" s="14"/>
      <c r="B7688" s="12"/>
      <c r="C7688" s="12"/>
      <c r="D7688" s="12"/>
      <c r="E7688" s="12"/>
      <c r="F7688" s="14"/>
      <c r="G7688" s="15"/>
      <c r="H7688" s="15"/>
      <c r="I7688" s="14"/>
      <c r="P7688" s="14"/>
    </row>
    <row r="7689" ht="18.75" customHeight="1">
      <c r="A7689" s="14"/>
      <c r="B7689" s="12"/>
      <c r="C7689" s="12"/>
      <c r="D7689" s="12"/>
      <c r="E7689" s="12"/>
      <c r="F7689" s="14"/>
      <c r="G7689" s="15"/>
      <c r="H7689" s="15"/>
      <c r="I7689" s="14"/>
      <c r="P7689" s="14"/>
    </row>
    <row r="7690" ht="18.75" customHeight="1">
      <c r="A7690" s="14"/>
      <c r="B7690" s="12"/>
      <c r="C7690" s="12"/>
      <c r="D7690" s="12"/>
      <c r="E7690" s="12"/>
      <c r="F7690" s="14"/>
      <c r="G7690" s="15"/>
      <c r="H7690" s="15"/>
      <c r="I7690" s="14"/>
      <c r="P7690" s="14"/>
    </row>
    <row r="7691" ht="18.75" customHeight="1">
      <c r="A7691" s="14"/>
      <c r="B7691" s="12"/>
      <c r="C7691" s="12"/>
      <c r="D7691" s="12"/>
      <c r="E7691" s="12"/>
      <c r="F7691" s="14"/>
      <c r="G7691" s="15"/>
      <c r="H7691" s="15"/>
      <c r="I7691" s="14"/>
      <c r="P7691" s="14"/>
    </row>
    <row r="7692" ht="18.75" customHeight="1">
      <c r="A7692" s="14"/>
      <c r="B7692" s="12"/>
      <c r="C7692" s="12"/>
      <c r="D7692" s="12"/>
      <c r="E7692" s="12"/>
      <c r="F7692" s="14"/>
      <c r="G7692" s="15"/>
      <c r="H7692" s="15"/>
      <c r="I7692" s="14"/>
      <c r="P7692" s="14"/>
    </row>
    <row r="7693" ht="18.75" customHeight="1">
      <c r="A7693" s="14"/>
      <c r="B7693" s="12"/>
      <c r="C7693" s="12"/>
      <c r="D7693" s="12"/>
      <c r="E7693" s="12"/>
      <c r="F7693" s="14"/>
      <c r="G7693" s="15"/>
      <c r="H7693" s="15"/>
      <c r="I7693" s="14"/>
      <c r="P7693" s="14"/>
    </row>
    <row r="7694" ht="18.75" customHeight="1">
      <c r="A7694" s="14"/>
      <c r="B7694" s="12"/>
      <c r="C7694" s="12"/>
      <c r="D7694" s="12"/>
      <c r="E7694" s="12"/>
      <c r="F7694" s="14"/>
      <c r="G7694" s="15"/>
      <c r="H7694" s="15"/>
      <c r="I7694" s="14"/>
      <c r="P7694" s="14"/>
    </row>
    <row r="7695" ht="18.75" customHeight="1">
      <c r="A7695" s="14"/>
      <c r="B7695" s="12"/>
      <c r="C7695" s="12"/>
      <c r="D7695" s="12"/>
      <c r="E7695" s="12"/>
      <c r="F7695" s="14"/>
      <c r="G7695" s="15"/>
      <c r="H7695" s="15"/>
      <c r="I7695" s="14"/>
      <c r="P7695" s="14"/>
    </row>
    <row r="7696" ht="18.75" customHeight="1">
      <c r="A7696" s="14"/>
      <c r="B7696" s="12"/>
      <c r="C7696" s="12"/>
      <c r="D7696" s="12"/>
      <c r="E7696" s="12"/>
      <c r="F7696" s="14"/>
      <c r="G7696" s="15"/>
      <c r="H7696" s="15"/>
      <c r="I7696" s="14"/>
      <c r="P7696" s="14"/>
    </row>
    <row r="7697" ht="18.75" customHeight="1">
      <c r="A7697" s="14"/>
      <c r="B7697" s="12"/>
      <c r="C7697" s="12"/>
      <c r="D7697" s="12"/>
      <c r="E7697" s="12"/>
      <c r="F7697" s="14"/>
      <c r="G7697" s="15"/>
      <c r="H7697" s="15"/>
      <c r="I7697" s="14"/>
      <c r="P7697" s="14"/>
    </row>
    <row r="7698" ht="18.75" customHeight="1">
      <c r="A7698" s="14"/>
      <c r="B7698" s="12"/>
      <c r="C7698" s="12"/>
      <c r="D7698" s="12"/>
      <c r="E7698" s="12"/>
      <c r="F7698" s="14"/>
      <c r="G7698" s="15"/>
      <c r="H7698" s="15"/>
      <c r="I7698" s="14"/>
      <c r="P7698" s="14"/>
    </row>
    <row r="7699" ht="18.75" customHeight="1">
      <c r="A7699" s="14"/>
      <c r="B7699" s="12"/>
      <c r="C7699" s="12"/>
      <c r="D7699" s="12"/>
      <c r="E7699" s="12"/>
      <c r="F7699" s="14"/>
      <c r="G7699" s="15"/>
      <c r="H7699" s="15"/>
      <c r="I7699" s="14"/>
      <c r="P7699" s="14"/>
    </row>
    <row r="7700" ht="18.75" customHeight="1">
      <c r="A7700" s="14"/>
      <c r="B7700" s="12"/>
      <c r="C7700" s="12"/>
      <c r="D7700" s="12"/>
      <c r="E7700" s="12"/>
      <c r="F7700" s="14"/>
      <c r="G7700" s="15"/>
      <c r="H7700" s="15"/>
      <c r="I7700" s="14"/>
      <c r="P7700" s="14"/>
    </row>
    <row r="7701" ht="18.75" customHeight="1">
      <c r="A7701" s="14"/>
      <c r="B7701" s="12"/>
      <c r="C7701" s="12"/>
      <c r="D7701" s="12"/>
      <c r="E7701" s="12"/>
      <c r="F7701" s="14"/>
      <c r="G7701" s="15"/>
      <c r="H7701" s="15"/>
      <c r="I7701" s="14"/>
      <c r="P7701" s="14"/>
    </row>
    <row r="7702" ht="18.75" customHeight="1">
      <c r="A7702" s="14"/>
      <c r="B7702" s="12"/>
      <c r="C7702" s="12"/>
      <c r="D7702" s="12"/>
      <c r="E7702" s="12"/>
      <c r="F7702" s="14"/>
      <c r="G7702" s="15"/>
      <c r="H7702" s="15"/>
      <c r="I7702" s="14"/>
      <c r="P7702" s="14"/>
    </row>
    <row r="7703" ht="18.75" customHeight="1">
      <c r="A7703" s="14"/>
      <c r="B7703" s="12"/>
      <c r="C7703" s="12"/>
      <c r="D7703" s="12"/>
      <c r="E7703" s="12"/>
      <c r="F7703" s="14"/>
      <c r="G7703" s="15"/>
      <c r="H7703" s="15"/>
      <c r="I7703" s="14"/>
      <c r="P7703" s="14"/>
    </row>
    <row r="7704" ht="18.75" customHeight="1">
      <c r="A7704" s="14"/>
      <c r="B7704" s="12"/>
      <c r="C7704" s="12"/>
      <c r="D7704" s="12"/>
      <c r="E7704" s="12"/>
      <c r="F7704" s="14"/>
      <c r="G7704" s="15"/>
      <c r="H7704" s="15"/>
      <c r="I7704" s="14"/>
      <c r="P7704" s="14"/>
    </row>
    <row r="7705" ht="18.75" customHeight="1">
      <c r="A7705" s="14"/>
      <c r="B7705" s="12"/>
      <c r="C7705" s="12"/>
      <c r="D7705" s="12"/>
      <c r="E7705" s="12"/>
      <c r="F7705" s="14"/>
      <c r="G7705" s="15"/>
      <c r="H7705" s="15"/>
      <c r="I7705" s="14"/>
      <c r="P7705" s="14"/>
    </row>
    <row r="7706" ht="18.75" customHeight="1">
      <c r="A7706" s="14"/>
      <c r="B7706" s="12"/>
      <c r="C7706" s="12"/>
      <c r="D7706" s="12"/>
      <c r="E7706" s="12"/>
      <c r="F7706" s="14"/>
      <c r="G7706" s="15"/>
      <c r="H7706" s="15"/>
      <c r="I7706" s="14"/>
      <c r="P7706" s="14"/>
    </row>
    <row r="7707" ht="18.75" customHeight="1">
      <c r="A7707" s="14"/>
      <c r="B7707" s="12"/>
      <c r="C7707" s="12"/>
      <c r="D7707" s="12"/>
      <c r="E7707" s="12"/>
      <c r="F7707" s="14"/>
      <c r="G7707" s="15"/>
      <c r="H7707" s="15"/>
      <c r="I7707" s="14"/>
      <c r="P7707" s="14"/>
    </row>
    <row r="7708" ht="18.75" customHeight="1">
      <c r="A7708" s="14"/>
      <c r="B7708" s="12"/>
      <c r="C7708" s="12"/>
      <c r="D7708" s="12"/>
      <c r="E7708" s="12"/>
      <c r="F7708" s="14"/>
      <c r="G7708" s="15"/>
      <c r="H7708" s="15"/>
      <c r="I7708" s="14"/>
      <c r="P7708" s="14"/>
    </row>
    <row r="7709" ht="18.75" customHeight="1">
      <c r="A7709" s="14"/>
      <c r="B7709" s="12"/>
      <c r="C7709" s="12"/>
      <c r="D7709" s="12"/>
      <c r="E7709" s="12"/>
      <c r="F7709" s="14"/>
      <c r="G7709" s="15"/>
      <c r="H7709" s="15"/>
      <c r="I7709" s="14"/>
      <c r="P7709" s="14"/>
    </row>
    <row r="7710" ht="18.75" customHeight="1">
      <c r="A7710" s="14"/>
      <c r="B7710" s="12"/>
      <c r="C7710" s="12"/>
      <c r="D7710" s="12"/>
      <c r="E7710" s="12"/>
      <c r="F7710" s="14"/>
      <c r="G7710" s="15"/>
      <c r="H7710" s="15"/>
      <c r="I7710" s="14"/>
      <c r="P7710" s="14"/>
    </row>
    <row r="7711" ht="18.75" customHeight="1">
      <c r="A7711" s="14"/>
      <c r="B7711" s="12"/>
      <c r="C7711" s="12"/>
      <c r="D7711" s="12"/>
      <c r="E7711" s="12"/>
      <c r="F7711" s="14"/>
      <c r="G7711" s="15"/>
      <c r="H7711" s="15"/>
      <c r="I7711" s="14"/>
      <c r="P7711" s="14"/>
    </row>
    <row r="7712" ht="18.75" customHeight="1">
      <c r="A7712" s="14"/>
      <c r="B7712" s="12"/>
      <c r="C7712" s="12"/>
      <c r="D7712" s="12"/>
      <c r="E7712" s="12"/>
      <c r="F7712" s="14"/>
      <c r="G7712" s="15"/>
      <c r="H7712" s="15"/>
      <c r="I7712" s="14"/>
      <c r="P7712" s="14"/>
    </row>
    <row r="7713" ht="18.75" customHeight="1">
      <c r="A7713" s="14"/>
      <c r="B7713" s="12"/>
      <c r="C7713" s="12"/>
      <c r="D7713" s="12"/>
      <c r="E7713" s="12"/>
      <c r="F7713" s="14"/>
      <c r="G7713" s="15"/>
      <c r="H7713" s="15"/>
      <c r="I7713" s="14"/>
      <c r="P7713" s="14"/>
    </row>
    <row r="7714" ht="18.75" customHeight="1">
      <c r="A7714" s="14"/>
      <c r="B7714" s="12"/>
      <c r="C7714" s="12"/>
      <c r="D7714" s="12"/>
      <c r="E7714" s="12"/>
      <c r="F7714" s="14"/>
      <c r="G7714" s="15"/>
      <c r="H7714" s="15"/>
      <c r="I7714" s="14"/>
      <c r="P7714" s="14"/>
    </row>
    <row r="7715" ht="18.75" customHeight="1">
      <c r="A7715" s="14"/>
      <c r="B7715" s="12"/>
      <c r="C7715" s="12"/>
      <c r="D7715" s="12"/>
      <c r="E7715" s="12"/>
      <c r="F7715" s="14"/>
      <c r="G7715" s="15"/>
      <c r="H7715" s="15"/>
      <c r="I7715" s="14"/>
      <c r="P7715" s="14"/>
    </row>
    <row r="7716" ht="18.75" customHeight="1">
      <c r="A7716" s="14"/>
      <c r="B7716" s="12"/>
      <c r="C7716" s="12"/>
      <c r="D7716" s="12"/>
      <c r="E7716" s="12"/>
      <c r="F7716" s="14"/>
      <c r="G7716" s="15"/>
      <c r="H7716" s="15"/>
      <c r="I7716" s="14"/>
      <c r="P7716" s="14"/>
    </row>
    <row r="7717" ht="18.75" customHeight="1">
      <c r="A7717" s="14"/>
      <c r="B7717" s="12"/>
      <c r="C7717" s="12"/>
      <c r="D7717" s="12"/>
      <c r="E7717" s="12"/>
      <c r="F7717" s="14"/>
      <c r="G7717" s="15"/>
      <c r="H7717" s="15"/>
      <c r="I7717" s="14"/>
      <c r="P7717" s="14"/>
    </row>
    <row r="7718" ht="18.75" customHeight="1">
      <c r="A7718" s="14"/>
      <c r="B7718" s="12"/>
      <c r="C7718" s="12"/>
      <c r="D7718" s="12"/>
      <c r="E7718" s="12"/>
      <c r="F7718" s="14"/>
      <c r="G7718" s="15"/>
      <c r="H7718" s="15"/>
      <c r="I7718" s="14"/>
      <c r="P7718" s="14"/>
    </row>
    <row r="7719" ht="18.75" customHeight="1">
      <c r="A7719" s="14"/>
      <c r="B7719" s="12"/>
      <c r="C7719" s="12"/>
      <c r="D7719" s="12"/>
      <c r="E7719" s="12"/>
      <c r="F7719" s="14"/>
      <c r="G7719" s="15"/>
      <c r="H7719" s="15"/>
      <c r="I7719" s="14"/>
      <c r="P7719" s="14"/>
    </row>
    <row r="7720" ht="18.75" customHeight="1">
      <c r="A7720" s="14"/>
      <c r="B7720" s="12"/>
      <c r="C7720" s="12"/>
      <c r="D7720" s="12"/>
      <c r="E7720" s="12"/>
      <c r="F7720" s="14"/>
      <c r="G7720" s="15"/>
      <c r="H7720" s="15"/>
      <c r="I7720" s="14"/>
      <c r="P7720" s="14"/>
    </row>
    <row r="7721" ht="18.75" customHeight="1">
      <c r="A7721" s="14"/>
      <c r="B7721" s="12"/>
      <c r="C7721" s="12"/>
      <c r="D7721" s="12"/>
      <c r="E7721" s="12"/>
      <c r="F7721" s="14"/>
      <c r="G7721" s="15"/>
      <c r="H7721" s="15"/>
      <c r="I7721" s="14"/>
      <c r="P7721" s="14"/>
    </row>
    <row r="7722" ht="18.75" customHeight="1">
      <c r="A7722" s="14"/>
      <c r="B7722" s="12"/>
      <c r="C7722" s="12"/>
      <c r="D7722" s="12"/>
      <c r="E7722" s="12"/>
      <c r="F7722" s="14"/>
      <c r="G7722" s="15"/>
      <c r="H7722" s="15"/>
      <c r="I7722" s="14"/>
      <c r="P7722" s="14"/>
    </row>
    <row r="7723" ht="18.75" customHeight="1">
      <c r="A7723" s="14"/>
      <c r="B7723" s="12"/>
      <c r="C7723" s="12"/>
      <c r="D7723" s="12"/>
      <c r="E7723" s="12"/>
      <c r="F7723" s="14"/>
      <c r="G7723" s="15"/>
      <c r="H7723" s="15"/>
      <c r="I7723" s="14"/>
      <c r="P7723" s="14"/>
    </row>
    <row r="7724" ht="18.75" customHeight="1">
      <c r="A7724" s="14"/>
      <c r="B7724" s="12"/>
      <c r="C7724" s="12"/>
      <c r="D7724" s="12"/>
      <c r="E7724" s="12"/>
      <c r="F7724" s="14"/>
      <c r="G7724" s="15"/>
      <c r="H7724" s="15"/>
      <c r="I7724" s="14"/>
      <c r="P7724" s="14"/>
    </row>
    <row r="7725" ht="18.75" customHeight="1">
      <c r="A7725" s="14"/>
      <c r="B7725" s="12"/>
      <c r="C7725" s="12"/>
      <c r="D7725" s="12"/>
      <c r="E7725" s="12"/>
      <c r="F7725" s="14"/>
      <c r="G7725" s="15"/>
      <c r="H7725" s="15"/>
      <c r="I7725" s="14"/>
      <c r="P7725" s="14"/>
    </row>
    <row r="7726" ht="18.75" customHeight="1">
      <c r="A7726" s="14"/>
      <c r="B7726" s="12"/>
      <c r="C7726" s="12"/>
      <c r="D7726" s="12"/>
      <c r="E7726" s="12"/>
      <c r="F7726" s="14"/>
      <c r="G7726" s="15"/>
      <c r="H7726" s="15"/>
      <c r="I7726" s="14"/>
      <c r="P7726" s="14"/>
    </row>
    <row r="7727" ht="18.75" customHeight="1">
      <c r="A7727" s="14"/>
      <c r="B7727" s="12"/>
      <c r="C7727" s="12"/>
      <c r="D7727" s="12"/>
      <c r="E7727" s="12"/>
      <c r="F7727" s="14"/>
      <c r="G7727" s="15"/>
      <c r="H7727" s="15"/>
      <c r="I7727" s="14"/>
      <c r="P7727" s="14"/>
    </row>
    <row r="7728" ht="18.75" customHeight="1">
      <c r="A7728" s="14"/>
      <c r="B7728" s="12"/>
      <c r="C7728" s="12"/>
      <c r="D7728" s="12"/>
      <c r="E7728" s="12"/>
      <c r="F7728" s="14"/>
      <c r="G7728" s="15"/>
      <c r="H7728" s="15"/>
      <c r="I7728" s="14"/>
      <c r="P7728" s="14"/>
    </row>
    <row r="7729" ht="18.75" customHeight="1">
      <c r="A7729" s="14"/>
      <c r="B7729" s="12"/>
      <c r="C7729" s="12"/>
      <c r="D7729" s="12"/>
      <c r="E7729" s="12"/>
      <c r="F7729" s="14"/>
      <c r="G7729" s="15"/>
      <c r="H7729" s="15"/>
      <c r="I7729" s="14"/>
      <c r="P7729" s="14"/>
    </row>
    <row r="7730" ht="18.75" customHeight="1">
      <c r="A7730" s="14"/>
      <c r="B7730" s="12"/>
      <c r="C7730" s="12"/>
      <c r="D7730" s="12"/>
      <c r="E7730" s="12"/>
      <c r="F7730" s="14"/>
      <c r="G7730" s="15"/>
      <c r="H7730" s="15"/>
      <c r="I7730" s="14"/>
      <c r="P7730" s="14"/>
    </row>
    <row r="7731" ht="18.75" customHeight="1">
      <c r="A7731" s="14"/>
      <c r="B7731" s="12"/>
      <c r="C7731" s="12"/>
      <c r="D7731" s="12"/>
      <c r="E7731" s="12"/>
      <c r="F7731" s="14"/>
      <c r="G7731" s="15"/>
      <c r="H7731" s="15"/>
      <c r="I7731" s="14"/>
      <c r="P7731" s="14"/>
    </row>
    <row r="7732" ht="18.75" customHeight="1">
      <c r="A7732" s="14"/>
      <c r="B7732" s="12"/>
      <c r="C7732" s="12"/>
      <c r="D7732" s="12"/>
      <c r="E7732" s="12"/>
      <c r="F7732" s="14"/>
      <c r="G7732" s="15"/>
      <c r="H7732" s="15"/>
      <c r="I7732" s="14"/>
      <c r="P7732" s="14"/>
    </row>
    <row r="7733" ht="18.75" customHeight="1">
      <c r="A7733" s="14"/>
      <c r="B7733" s="12"/>
      <c r="C7733" s="12"/>
      <c r="D7733" s="12"/>
      <c r="E7733" s="12"/>
      <c r="F7733" s="14"/>
      <c r="G7733" s="15"/>
      <c r="H7733" s="15"/>
      <c r="I7733" s="14"/>
      <c r="P7733" s="14"/>
    </row>
    <row r="7734" ht="18.75" customHeight="1">
      <c r="A7734" s="14"/>
      <c r="B7734" s="12"/>
      <c r="C7734" s="12"/>
      <c r="D7734" s="12"/>
      <c r="E7734" s="12"/>
      <c r="F7734" s="14"/>
      <c r="G7734" s="15"/>
      <c r="H7734" s="15"/>
      <c r="I7734" s="14"/>
      <c r="P7734" s="14"/>
    </row>
    <row r="7735" ht="18.75" customHeight="1">
      <c r="A7735" s="14"/>
      <c r="B7735" s="12"/>
      <c r="C7735" s="12"/>
      <c r="D7735" s="12"/>
      <c r="E7735" s="12"/>
      <c r="F7735" s="14"/>
      <c r="G7735" s="15"/>
      <c r="H7735" s="15"/>
      <c r="I7735" s="14"/>
      <c r="P7735" s="14"/>
    </row>
    <row r="7736" ht="18.75" customHeight="1">
      <c r="A7736" s="14"/>
      <c r="B7736" s="12"/>
      <c r="C7736" s="12"/>
      <c r="D7736" s="12"/>
      <c r="E7736" s="12"/>
      <c r="F7736" s="14"/>
      <c r="G7736" s="15"/>
      <c r="H7736" s="15"/>
      <c r="I7736" s="14"/>
      <c r="P7736" s="14"/>
    </row>
    <row r="7737" ht="18.75" customHeight="1">
      <c r="A7737" s="14"/>
      <c r="B7737" s="12"/>
      <c r="C7737" s="12"/>
      <c r="D7737" s="12"/>
      <c r="E7737" s="12"/>
      <c r="F7737" s="14"/>
      <c r="G7737" s="15"/>
      <c r="H7737" s="15"/>
      <c r="I7737" s="14"/>
      <c r="P7737" s="14"/>
    </row>
    <row r="7738" ht="18.75" customHeight="1">
      <c r="A7738" s="14"/>
      <c r="B7738" s="12"/>
      <c r="C7738" s="12"/>
      <c r="D7738" s="12"/>
      <c r="E7738" s="12"/>
      <c r="F7738" s="14"/>
      <c r="G7738" s="15"/>
      <c r="H7738" s="15"/>
      <c r="I7738" s="14"/>
      <c r="P7738" s="14"/>
    </row>
    <row r="7739" ht="18.75" customHeight="1">
      <c r="A7739" s="14"/>
      <c r="B7739" s="12"/>
      <c r="C7739" s="12"/>
      <c r="D7739" s="12"/>
      <c r="E7739" s="12"/>
      <c r="F7739" s="14"/>
      <c r="G7739" s="15"/>
      <c r="H7739" s="15"/>
      <c r="I7739" s="14"/>
      <c r="P7739" s="14"/>
    </row>
    <row r="7740" ht="18.75" customHeight="1">
      <c r="A7740" s="14"/>
      <c r="B7740" s="12"/>
      <c r="C7740" s="12"/>
      <c r="D7740" s="12"/>
      <c r="E7740" s="12"/>
      <c r="F7740" s="14"/>
      <c r="G7740" s="15"/>
      <c r="H7740" s="15"/>
      <c r="I7740" s="14"/>
      <c r="P7740" s="14"/>
    </row>
    <row r="7741" ht="18.75" customHeight="1">
      <c r="A7741" s="14"/>
      <c r="B7741" s="12"/>
      <c r="C7741" s="12"/>
      <c r="D7741" s="12"/>
      <c r="E7741" s="12"/>
      <c r="F7741" s="14"/>
      <c r="G7741" s="15"/>
      <c r="H7741" s="15"/>
      <c r="I7741" s="14"/>
      <c r="P7741" s="14"/>
    </row>
    <row r="7742" ht="18.75" customHeight="1">
      <c r="A7742" s="14"/>
      <c r="B7742" s="12"/>
      <c r="C7742" s="12"/>
      <c r="D7742" s="12"/>
      <c r="E7742" s="12"/>
      <c r="F7742" s="14"/>
      <c r="G7742" s="15"/>
      <c r="H7742" s="15"/>
      <c r="I7742" s="14"/>
      <c r="P7742" s="14"/>
    </row>
    <row r="7743" ht="18.75" customHeight="1">
      <c r="A7743" s="14"/>
      <c r="B7743" s="12"/>
      <c r="C7743" s="12"/>
      <c r="D7743" s="12"/>
      <c r="E7743" s="12"/>
      <c r="F7743" s="14"/>
      <c r="G7743" s="15"/>
      <c r="H7743" s="15"/>
      <c r="I7743" s="14"/>
      <c r="P7743" s="14"/>
    </row>
    <row r="7744" ht="18.75" customHeight="1">
      <c r="A7744" s="14"/>
      <c r="B7744" s="12"/>
      <c r="C7744" s="12"/>
      <c r="D7744" s="12"/>
      <c r="E7744" s="12"/>
      <c r="F7744" s="14"/>
      <c r="G7744" s="15"/>
      <c r="H7744" s="15"/>
      <c r="I7744" s="14"/>
      <c r="P7744" s="14"/>
    </row>
    <row r="7745" ht="18.75" customHeight="1">
      <c r="A7745" s="14"/>
      <c r="B7745" s="12"/>
      <c r="C7745" s="12"/>
      <c r="D7745" s="12"/>
      <c r="E7745" s="12"/>
      <c r="F7745" s="14"/>
      <c r="G7745" s="15"/>
      <c r="H7745" s="15"/>
      <c r="I7745" s="14"/>
      <c r="P7745" s="14"/>
    </row>
    <row r="7746" ht="18.75" customHeight="1">
      <c r="A7746" s="14"/>
      <c r="B7746" s="12"/>
      <c r="C7746" s="12"/>
      <c r="D7746" s="12"/>
      <c r="E7746" s="12"/>
      <c r="F7746" s="14"/>
      <c r="G7746" s="15"/>
      <c r="H7746" s="15"/>
      <c r="I7746" s="14"/>
      <c r="P7746" s="14"/>
    </row>
    <row r="7747" ht="18.75" customHeight="1">
      <c r="A7747" s="14"/>
      <c r="B7747" s="12"/>
      <c r="C7747" s="12"/>
      <c r="D7747" s="12"/>
      <c r="E7747" s="12"/>
      <c r="F7747" s="14"/>
      <c r="G7747" s="15"/>
      <c r="H7747" s="15"/>
      <c r="I7747" s="14"/>
      <c r="P7747" s="14"/>
    </row>
    <row r="7748" ht="18.75" customHeight="1">
      <c r="A7748" s="14"/>
      <c r="B7748" s="12"/>
      <c r="C7748" s="12"/>
      <c r="D7748" s="12"/>
      <c r="E7748" s="12"/>
      <c r="F7748" s="14"/>
      <c r="G7748" s="15"/>
      <c r="H7748" s="15"/>
      <c r="I7748" s="14"/>
      <c r="P7748" s="14"/>
    </row>
    <row r="7749" ht="18.75" customHeight="1">
      <c r="A7749" s="14"/>
      <c r="B7749" s="12"/>
      <c r="C7749" s="12"/>
      <c r="D7749" s="12"/>
      <c r="E7749" s="12"/>
      <c r="F7749" s="14"/>
      <c r="G7749" s="15"/>
      <c r="H7749" s="15"/>
      <c r="I7749" s="14"/>
      <c r="P7749" s="14"/>
    </row>
    <row r="7750" ht="18.75" customHeight="1">
      <c r="A7750" s="14"/>
      <c r="B7750" s="12"/>
      <c r="C7750" s="12"/>
      <c r="D7750" s="12"/>
      <c r="E7750" s="12"/>
      <c r="F7750" s="14"/>
      <c r="G7750" s="15"/>
      <c r="H7750" s="15"/>
      <c r="I7750" s="14"/>
      <c r="P7750" s="14"/>
    </row>
    <row r="7751" ht="18.75" customHeight="1">
      <c r="A7751" s="14"/>
      <c r="B7751" s="12"/>
      <c r="C7751" s="12"/>
      <c r="D7751" s="12"/>
      <c r="E7751" s="12"/>
      <c r="F7751" s="14"/>
      <c r="G7751" s="15"/>
      <c r="H7751" s="15"/>
      <c r="I7751" s="14"/>
      <c r="P7751" s="14"/>
    </row>
    <row r="7752" ht="18.75" customHeight="1">
      <c r="A7752" s="14"/>
      <c r="B7752" s="12"/>
      <c r="C7752" s="12"/>
      <c r="D7752" s="12"/>
      <c r="E7752" s="12"/>
      <c r="F7752" s="14"/>
      <c r="G7752" s="15"/>
      <c r="H7752" s="15"/>
      <c r="I7752" s="14"/>
      <c r="P7752" s="14"/>
    </row>
    <row r="7753" ht="18.75" customHeight="1">
      <c r="A7753" s="14"/>
      <c r="B7753" s="12"/>
      <c r="C7753" s="12"/>
      <c r="D7753" s="12"/>
      <c r="E7753" s="12"/>
      <c r="F7753" s="14"/>
      <c r="G7753" s="15"/>
      <c r="H7753" s="15"/>
      <c r="I7753" s="14"/>
      <c r="P7753" s="14"/>
    </row>
    <row r="7754" ht="18.75" customHeight="1">
      <c r="A7754" s="14"/>
      <c r="B7754" s="12"/>
      <c r="C7754" s="12"/>
      <c r="D7754" s="12"/>
      <c r="E7754" s="12"/>
      <c r="F7754" s="14"/>
      <c r="G7754" s="15"/>
      <c r="H7754" s="15"/>
      <c r="I7754" s="14"/>
      <c r="P7754" s="14"/>
    </row>
    <row r="7755" ht="18.75" customHeight="1">
      <c r="A7755" s="14"/>
      <c r="B7755" s="12"/>
      <c r="C7755" s="12"/>
      <c r="D7755" s="12"/>
      <c r="E7755" s="12"/>
      <c r="F7755" s="14"/>
      <c r="G7755" s="15"/>
      <c r="H7755" s="15"/>
      <c r="I7755" s="14"/>
      <c r="P7755" s="14"/>
    </row>
    <row r="7756" ht="18.75" customHeight="1">
      <c r="A7756" s="14"/>
      <c r="B7756" s="12"/>
      <c r="C7756" s="12"/>
      <c r="D7756" s="12"/>
      <c r="E7756" s="12"/>
      <c r="F7756" s="14"/>
      <c r="G7756" s="15"/>
      <c r="H7756" s="15"/>
      <c r="I7756" s="14"/>
      <c r="P7756" s="14"/>
    </row>
    <row r="7757" ht="18.75" customHeight="1">
      <c r="A7757" s="14"/>
      <c r="B7757" s="12"/>
      <c r="C7757" s="12"/>
      <c r="D7757" s="12"/>
      <c r="E7757" s="12"/>
      <c r="F7757" s="14"/>
      <c r="G7757" s="15"/>
      <c r="H7757" s="15"/>
      <c r="I7757" s="14"/>
      <c r="P7757" s="14"/>
    </row>
    <row r="7758" ht="18.75" customHeight="1">
      <c r="A7758" s="14"/>
      <c r="B7758" s="12"/>
      <c r="C7758" s="12"/>
      <c r="D7758" s="12"/>
      <c r="E7758" s="12"/>
      <c r="F7758" s="14"/>
      <c r="G7758" s="15"/>
      <c r="H7758" s="15"/>
      <c r="I7758" s="14"/>
      <c r="P7758" s="14"/>
    </row>
    <row r="7759" ht="18.75" customHeight="1">
      <c r="A7759" s="14"/>
      <c r="B7759" s="12"/>
      <c r="C7759" s="12"/>
      <c r="D7759" s="12"/>
      <c r="E7759" s="12"/>
      <c r="F7759" s="14"/>
      <c r="G7759" s="15"/>
      <c r="H7759" s="15"/>
      <c r="I7759" s="14"/>
      <c r="P7759" s="14"/>
    </row>
    <row r="7760" ht="18.75" customHeight="1">
      <c r="A7760" s="14"/>
      <c r="B7760" s="12"/>
      <c r="C7760" s="12"/>
      <c r="D7760" s="12"/>
      <c r="E7760" s="12"/>
      <c r="F7760" s="14"/>
      <c r="G7760" s="15"/>
      <c r="H7760" s="15"/>
      <c r="I7760" s="14"/>
      <c r="P7760" s="14"/>
    </row>
    <row r="7761" ht="18.75" customHeight="1">
      <c r="A7761" s="14"/>
      <c r="B7761" s="12"/>
      <c r="C7761" s="12"/>
      <c r="D7761" s="12"/>
      <c r="E7761" s="12"/>
      <c r="F7761" s="14"/>
      <c r="G7761" s="15"/>
      <c r="H7761" s="15"/>
      <c r="I7761" s="14"/>
      <c r="P7761" s="14"/>
    </row>
    <row r="7762" ht="18.75" customHeight="1">
      <c r="A7762" s="14"/>
      <c r="B7762" s="12"/>
      <c r="C7762" s="12"/>
      <c r="D7762" s="12"/>
      <c r="E7762" s="12"/>
      <c r="F7762" s="14"/>
      <c r="G7762" s="15"/>
      <c r="H7762" s="15"/>
      <c r="I7762" s="14"/>
      <c r="P7762" s="14"/>
    </row>
    <row r="7763" ht="18.75" customHeight="1">
      <c r="A7763" s="14"/>
      <c r="B7763" s="12"/>
      <c r="C7763" s="12"/>
      <c r="D7763" s="12"/>
      <c r="E7763" s="12"/>
      <c r="F7763" s="14"/>
      <c r="G7763" s="15"/>
      <c r="H7763" s="15"/>
      <c r="I7763" s="14"/>
      <c r="P7763" s="14"/>
    </row>
    <row r="7764" ht="18.75" customHeight="1">
      <c r="A7764" s="14"/>
      <c r="B7764" s="12"/>
      <c r="C7764" s="12"/>
      <c r="D7764" s="12"/>
      <c r="E7764" s="12"/>
      <c r="F7764" s="14"/>
      <c r="G7764" s="15"/>
      <c r="H7764" s="15"/>
      <c r="I7764" s="14"/>
      <c r="P7764" s="14"/>
    </row>
    <row r="7765" ht="18.75" customHeight="1">
      <c r="A7765" s="14"/>
      <c r="B7765" s="12"/>
      <c r="C7765" s="12"/>
      <c r="D7765" s="12"/>
      <c r="E7765" s="12"/>
      <c r="F7765" s="14"/>
      <c r="G7765" s="15"/>
      <c r="H7765" s="15"/>
      <c r="I7765" s="14"/>
      <c r="P7765" s="14"/>
    </row>
    <row r="7766" ht="18.75" customHeight="1">
      <c r="A7766" s="14"/>
      <c r="B7766" s="12"/>
      <c r="C7766" s="12"/>
      <c r="D7766" s="12"/>
      <c r="E7766" s="12"/>
      <c r="F7766" s="14"/>
      <c r="G7766" s="15"/>
      <c r="H7766" s="15"/>
      <c r="I7766" s="14"/>
      <c r="P7766" s="14"/>
    </row>
    <row r="7767" ht="18.75" customHeight="1">
      <c r="A7767" s="14"/>
      <c r="B7767" s="12"/>
      <c r="C7767" s="12"/>
      <c r="D7767" s="12"/>
      <c r="E7767" s="12"/>
      <c r="F7767" s="14"/>
      <c r="G7767" s="15"/>
      <c r="H7767" s="15"/>
      <c r="I7767" s="14"/>
      <c r="P7767" s="14"/>
    </row>
    <row r="7768" ht="18.75" customHeight="1">
      <c r="A7768" s="14"/>
      <c r="B7768" s="12"/>
      <c r="C7768" s="12"/>
      <c r="D7768" s="12"/>
      <c r="E7768" s="12"/>
      <c r="F7768" s="14"/>
      <c r="G7768" s="15"/>
      <c r="H7768" s="15"/>
      <c r="I7768" s="14"/>
      <c r="P7768" s="14"/>
    </row>
    <row r="7769" ht="18.75" customHeight="1">
      <c r="A7769" s="14"/>
      <c r="B7769" s="12"/>
      <c r="C7769" s="12"/>
      <c r="D7769" s="12"/>
      <c r="E7769" s="12"/>
      <c r="F7769" s="14"/>
      <c r="G7769" s="15"/>
      <c r="H7769" s="15"/>
      <c r="I7769" s="14"/>
      <c r="P7769" s="14"/>
    </row>
    <row r="7770" ht="18.75" customHeight="1">
      <c r="A7770" s="14"/>
      <c r="B7770" s="12"/>
      <c r="C7770" s="12"/>
      <c r="D7770" s="12"/>
      <c r="E7770" s="12"/>
      <c r="F7770" s="14"/>
      <c r="G7770" s="15"/>
      <c r="H7770" s="15"/>
      <c r="I7770" s="14"/>
      <c r="P7770" s="14"/>
    </row>
    <row r="7771" ht="18.75" customHeight="1">
      <c r="A7771" s="14"/>
      <c r="B7771" s="12"/>
      <c r="C7771" s="12"/>
      <c r="D7771" s="12"/>
      <c r="E7771" s="12"/>
      <c r="F7771" s="14"/>
      <c r="G7771" s="15"/>
      <c r="H7771" s="15"/>
      <c r="I7771" s="14"/>
      <c r="P7771" s="14"/>
    </row>
    <row r="7772" ht="18.75" customHeight="1">
      <c r="A7772" s="14"/>
      <c r="B7772" s="12"/>
      <c r="C7772" s="12"/>
      <c r="D7772" s="12"/>
      <c r="E7772" s="12"/>
      <c r="F7772" s="14"/>
      <c r="G7772" s="15"/>
      <c r="H7772" s="15"/>
      <c r="I7772" s="14"/>
      <c r="P7772" s="14"/>
    </row>
    <row r="7773" ht="18.75" customHeight="1">
      <c r="A7773" s="14"/>
      <c r="B7773" s="12"/>
      <c r="C7773" s="12"/>
      <c r="D7773" s="12"/>
      <c r="E7773" s="12"/>
      <c r="F7773" s="14"/>
      <c r="G7773" s="15"/>
      <c r="H7773" s="15"/>
      <c r="I7773" s="14"/>
      <c r="P7773" s="14"/>
    </row>
    <row r="7774" ht="18.75" customHeight="1">
      <c r="A7774" s="14"/>
      <c r="B7774" s="12"/>
      <c r="C7774" s="12"/>
      <c r="D7774" s="12"/>
      <c r="E7774" s="12"/>
      <c r="F7774" s="14"/>
      <c r="G7774" s="15"/>
      <c r="H7774" s="15"/>
      <c r="I7774" s="14"/>
      <c r="P7774" s="14"/>
    </row>
    <row r="7775" ht="18.75" customHeight="1">
      <c r="A7775" s="14"/>
      <c r="B7775" s="12"/>
      <c r="C7775" s="12"/>
      <c r="D7775" s="12"/>
      <c r="E7775" s="12"/>
      <c r="F7775" s="14"/>
      <c r="G7775" s="15"/>
      <c r="H7775" s="15"/>
      <c r="I7775" s="14"/>
      <c r="P7775" s="14"/>
    </row>
    <row r="7776" ht="18.75" customHeight="1">
      <c r="A7776" s="14"/>
      <c r="B7776" s="12"/>
      <c r="C7776" s="12"/>
      <c r="D7776" s="12"/>
      <c r="E7776" s="12"/>
      <c r="F7776" s="14"/>
      <c r="G7776" s="15"/>
      <c r="H7776" s="15"/>
      <c r="I7776" s="14"/>
      <c r="P7776" s="14"/>
    </row>
    <row r="7777" ht="18.75" customHeight="1">
      <c r="A7777" s="14"/>
      <c r="B7777" s="12"/>
      <c r="C7777" s="12"/>
      <c r="D7777" s="12"/>
      <c r="E7777" s="12"/>
      <c r="F7777" s="14"/>
      <c r="G7777" s="15"/>
      <c r="H7777" s="15"/>
      <c r="I7777" s="14"/>
      <c r="P7777" s="14"/>
    </row>
    <row r="7778" ht="18.75" customHeight="1">
      <c r="A7778" s="14"/>
      <c r="B7778" s="12"/>
      <c r="C7778" s="12"/>
      <c r="D7778" s="12"/>
      <c r="E7778" s="12"/>
      <c r="F7778" s="14"/>
      <c r="G7778" s="15"/>
      <c r="H7778" s="15"/>
      <c r="I7778" s="14"/>
      <c r="P7778" s="14"/>
    </row>
    <row r="7779" ht="18.75" customHeight="1">
      <c r="A7779" s="14"/>
      <c r="B7779" s="12"/>
      <c r="C7779" s="12"/>
      <c r="D7779" s="12"/>
      <c r="E7779" s="12"/>
      <c r="F7779" s="14"/>
      <c r="G7779" s="15"/>
      <c r="H7779" s="15"/>
      <c r="I7779" s="14"/>
      <c r="P7779" s="14"/>
    </row>
    <row r="7780" ht="18.75" customHeight="1">
      <c r="A7780" s="14"/>
      <c r="B7780" s="12"/>
      <c r="C7780" s="12"/>
      <c r="D7780" s="12"/>
      <c r="E7780" s="12"/>
      <c r="F7780" s="14"/>
      <c r="G7780" s="15"/>
      <c r="H7780" s="15"/>
      <c r="I7780" s="14"/>
      <c r="P7780" s="14"/>
    </row>
    <row r="7781" ht="18.75" customHeight="1">
      <c r="A7781" s="14"/>
      <c r="B7781" s="12"/>
      <c r="C7781" s="12"/>
      <c r="D7781" s="12"/>
      <c r="E7781" s="12"/>
      <c r="F7781" s="14"/>
      <c r="G7781" s="15"/>
      <c r="H7781" s="15"/>
      <c r="I7781" s="14"/>
      <c r="P7781" s="14"/>
    </row>
    <row r="7782" ht="18.75" customHeight="1">
      <c r="A7782" s="14"/>
      <c r="B7782" s="12"/>
      <c r="C7782" s="12"/>
      <c r="D7782" s="12"/>
      <c r="E7782" s="12"/>
      <c r="F7782" s="14"/>
      <c r="G7782" s="15"/>
      <c r="H7782" s="15"/>
      <c r="I7782" s="14"/>
      <c r="P7782" s="14"/>
    </row>
    <row r="7783" ht="18.75" customHeight="1">
      <c r="A7783" s="14"/>
      <c r="B7783" s="12"/>
      <c r="C7783" s="12"/>
      <c r="D7783" s="12"/>
      <c r="E7783" s="12"/>
      <c r="F7783" s="14"/>
      <c r="G7783" s="15"/>
      <c r="H7783" s="15"/>
      <c r="I7783" s="14"/>
      <c r="P7783" s="14"/>
    </row>
    <row r="7784" ht="18.75" customHeight="1">
      <c r="A7784" s="14"/>
      <c r="B7784" s="12"/>
      <c r="C7784" s="12"/>
      <c r="D7784" s="12"/>
      <c r="E7784" s="12"/>
      <c r="F7784" s="14"/>
      <c r="G7784" s="15"/>
      <c r="H7784" s="15"/>
      <c r="I7784" s="14"/>
      <c r="P7784" s="14"/>
    </row>
    <row r="7785" ht="18.75" customHeight="1">
      <c r="A7785" s="14"/>
      <c r="B7785" s="12"/>
      <c r="C7785" s="12"/>
      <c r="D7785" s="12"/>
      <c r="E7785" s="12"/>
      <c r="F7785" s="14"/>
      <c r="G7785" s="15"/>
      <c r="H7785" s="15"/>
      <c r="I7785" s="14"/>
      <c r="P7785" s="14"/>
    </row>
    <row r="7786" ht="18.75" customHeight="1">
      <c r="A7786" s="14"/>
      <c r="B7786" s="12"/>
      <c r="C7786" s="12"/>
      <c r="D7786" s="12"/>
      <c r="E7786" s="12"/>
      <c r="F7786" s="14"/>
      <c r="G7786" s="15"/>
      <c r="H7786" s="15"/>
      <c r="I7786" s="14"/>
      <c r="P7786" s="14"/>
    </row>
    <row r="7787" ht="18.75" customHeight="1">
      <c r="A7787" s="14"/>
      <c r="B7787" s="12"/>
      <c r="C7787" s="12"/>
      <c r="D7787" s="12"/>
      <c r="E7787" s="12"/>
      <c r="F7787" s="14"/>
      <c r="G7787" s="15"/>
      <c r="H7787" s="15"/>
      <c r="I7787" s="14"/>
      <c r="P7787" s="14"/>
    </row>
    <row r="7788" ht="18.75" customHeight="1">
      <c r="A7788" s="14"/>
      <c r="B7788" s="12"/>
      <c r="C7788" s="12"/>
      <c r="D7788" s="12"/>
      <c r="E7788" s="12"/>
      <c r="F7788" s="14"/>
      <c r="G7788" s="15"/>
      <c r="H7788" s="15"/>
      <c r="I7788" s="14"/>
      <c r="P7788" s="14"/>
    </row>
    <row r="7789" ht="18.75" customHeight="1">
      <c r="A7789" s="14"/>
      <c r="B7789" s="12"/>
      <c r="C7789" s="12"/>
      <c r="D7789" s="12"/>
      <c r="E7789" s="12"/>
      <c r="F7789" s="14"/>
      <c r="G7789" s="15"/>
      <c r="H7789" s="15"/>
      <c r="I7789" s="14"/>
      <c r="P7789" s="14"/>
    </row>
    <row r="7790" ht="18.75" customHeight="1">
      <c r="A7790" s="14"/>
      <c r="B7790" s="12"/>
      <c r="C7790" s="12"/>
      <c r="D7790" s="12"/>
      <c r="E7790" s="12"/>
      <c r="F7790" s="14"/>
      <c r="G7790" s="15"/>
      <c r="H7790" s="15"/>
      <c r="I7790" s="14"/>
      <c r="P7790" s="14"/>
    </row>
    <row r="7791" ht="18.75" customHeight="1">
      <c r="A7791" s="14"/>
      <c r="B7791" s="12"/>
      <c r="C7791" s="12"/>
      <c r="D7791" s="12"/>
      <c r="E7791" s="12"/>
      <c r="F7791" s="14"/>
      <c r="G7791" s="15"/>
      <c r="H7791" s="15"/>
      <c r="I7791" s="14"/>
      <c r="P7791" s="14"/>
    </row>
    <row r="7792" ht="18.75" customHeight="1">
      <c r="A7792" s="14"/>
      <c r="B7792" s="12"/>
      <c r="C7792" s="12"/>
      <c r="D7792" s="12"/>
      <c r="E7792" s="12"/>
      <c r="F7792" s="14"/>
      <c r="G7792" s="15"/>
      <c r="H7792" s="15"/>
      <c r="I7792" s="14"/>
      <c r="P7792" s="14"/>
    </row>
    <row r="7793" ht="18.75" customHeight="1">
      <c r="A7793" s="14"/>
      <c r="B7793" s="12"/>
      <c r="C7793" s="12"/>
      <c r="D7793" s="12"/>
      <c r="E7793" s="12"/>
      <c r="F7793" s="14"/>
      <c r="G7793" s="15"/>
      <c r="H7793" s="15"/>
      <c r="I7793" s="14"/>
      <c r="P7793" s="14"/>
    </row>
    <row r="7794" ht="18.75" customHeight="1">
      <c r="A7794" s="14"/>
      <c r="B7794" s="12"/>
      <c r="C7794" s="12"/>
      <c r="D7794" s="12"/>
      <c r="E7794" s="12"/>
      <c r="F7794" s="14"/>
      <c r="G7794" s="15"/>
      <c r="H7794" s="15"/>
      <c r="I7794" s="14"/>
      <c r="P7794" s="14"/>
    </row>
    <row r="7795" ht="18.75" customHeight="1">
      <c r="A7795" s="14"/>
      <c r="B7795" s="12"/>
      <c r="C7795" s="12"/>
      <c r="D7795" s="12"/>
      <c r="E7795" s="12"/>
      <c r="F7795" s="14"/>
      <c r="G7795" s="15"/>
      <c r="H7795" s="15"/>
      <c r="I7795" s="14"/>
      <c r="P7795" s="14"/>
    </row>
    <row r="7796" ht="18.75" customHeight="1">
      <c r="A7796" s="14"/>
      <c r="B7796" s="12"/>
      <c r="C7796" s="12"/>
      <c r="D7796" s="12"/>
      <c r="E7796" s="12"/>
      <c r="F7796" s="14"/>
      <c r="G7796" s="15"/>
      <c r="H7796" s="15"/>
      <c r="I7796" s="14"/>
      <c r="P7796" s="14"/>
    </row>
    <row r="7797" ht="18.75" customHeight="1">
      <c r="A7797" s="14"/>
      <c r="B7797" s="12"/>
      <c r="C7797" s="12"/>
      <c r="D7797" s="12"/>
      <c r="E7797" s="12"/>
      <c r="F7797" s="14"/>
      <c r="G7797" s="15"/>
      <c r="H7797" s="15"/>
      <c r="I7797" s="14"/>
      <c r="P7797" s="14"/>
    </row>
    <row r="7798" ht="18.75" customHeight="1">
      <c r="A7798" s="14"/>
      <c r="B7798" s="12"/>
      <c r="C7798" s="12"/>
      <c r="D7798" s="12"/>
      <c r="E7798" s="12"/>
      <c r="F7798" s="14"/>
      <c r="G7798" s="15"/>
      <c r="H7798" s="15"/>
      <c r="I7798" s="14"/>
      <c r="P7798" s="14"/>
    </row>
    <row r="7799" ht="18.75" customHeight="1">
      <c r="A7799" s="14"/>
      <c r="B7799" s="12"/>
      <c r="C7799" s="12"/>
      <c r="D7799" s="12"/>
      <c r="E7799" s="12"/>
      <c r="F7799" s="14"/>
      <c r="G7799" s="15"/>
      <c r="H7799" s="15"/>
      <c r="I7799" s="14"/>
      <c r="P7799" s="14"/>
    </row>
    <row r="7800" ht="18.75" customHeight="1">
      <c r="A7800" s="14"/>
      <c r="B7800" s="12"/>
      <c r="C7800" s="12"/>
      <c r="D7800" s="12"/>
      <c r="E7800" s="12"/>
      <c r="F7800" s="14"/>
      <c r="G7800" s="15"/>
      <c r="H7800" s="15"/>
      <c r="I7800" s="14"/>
      <c r="P7800" s="14"/>
    </row>
    <row r="7801" ht="18.75" customHeight="1">
      <c r="A7801" s="14"/>
      <c r="B7801" s="12"/>
      <c r="C7801" s="12"/>
      <c r="D7801" s="12"/>
      <c r="E7801" s="12"/>
      <c r="F7801" s="14"/>
      <c r="G7801" s="15"/>
      <c r="H7801" s="15"/>
      <c r="I7801" s="14"/>
      <c r="P7801" s="14"/>
    </row>
    <row r="7802" ht="18.75" customHeight="1">
      <c r="A7802" s="14"/>
      <c r="B7802" s="12"/>
      <c r="C7802" s="12"/>
      <c r="D7802" s="12"/>
      <c r="E7802" s="12"/>
      <c r="F7802" s="14"/>
      <c r="G7802" s="15"/>
      <c r="H7802" s="15"/>
      <c r="I7802" s="14"/>
      <c r="P7802" s="14"/>
    </row>
    <row r="7803" ht="18.75" customHeight="1">
      <c r="A7803" s="14"/>
      <c r="B7803" s="12"/>
      <c r="C7803" s="12"/>
      <c r="D7803" s="12"/>
      <c r="E7803" s="12"/>
      <c r="F7803" s="14"/>
      <c r="G7803" s="15"/>
      <c r="H7803" s="15"/>
      <c r="I7803" s="14"/>
      <c r="P7803" s="14"/>
    </row>
    <row r="7804" ht="18.75" customHeight="1">
      <c r="A7804" s="14"/>
      <c r="B7804" s="12"/>
      <c r="C7804" s="12"/>
      <c r="D7804" s="12"/>
      <c r="E7804" s="12"/>
      <c r="F7804" s="14"/>
      <c r="G7804" s="15"/>
      <c r="H7804" s="15"/>
      <c r="I7804" s="14"/>
      <c r="P7804" s="14"/>
    </row>
    <row r="7805" ht="18.75" customHeight="1">
      <c r="A7805" s="14"/>
      <c r="B7805" s="12"/>
      <c r="C7805" s="12"/>
      <c r="D7805" s="12"/>
      <c r="E7805" s="12"/>
      <c r="F7805" s="14"/>
      <c r="G7805" s="15"/>
      <c r="H7805" s="15"/>
      <c r="I7805" s="14"/>
      <c r="P7805" s="14"/>
    </row>
    <row r="7806" ht="18.75" customHeight="1">
      <c r="A7806" s="14"/>
      <c r="B7806" s="12"/>
      <c r="C7806" s="12"/>
      <c r="D7806" s="12"/>
      <c r="E7806" s="12"/>
      <c r="F7806" s="14"/>
      <c r="G7806" s="15"/>
      <c r="H7806" s="15"/>
      <c r="I7806" s="14"/>
      <c r="P7806" s="14"/>
    </row>
    <row r="7807" ht="18.75" customHeight="1">
      <c r="A7807" s="14"/>
      <c r="B7807" s="12"/>
      <c r="C7807" s="12"/>
      <c r="D7807" s="12"/>
      <c r="E7807" s="12"/>
      <c r="F7807" s="14"/>
      <c r="G7807" s="15"/>
      <c r="H7807" s="15"/>
      <c r="I7807" s="14"/>
      <c r="P7807" s="14"/>
    </row>
    <row r="7808" ht="18.75" customHeight="1">
      <c r="A7808" s="14"/>
      <c r="B7808" s="12"/>
      <c r="C7808" s="12"/>
      <c r="D7808" s="12"/>
      <c r="E7808" s="12"/>
      <c r="F7808" s="14"/>
      <c r="G7808" s="15"/>
      <c r="H7808" s="15"/>
      <c r="I7808" s="14"/>
      <c r="P7808" s="14"/>
    </row>
    <row r="7809" ht="18.75" customHeight="1">
      <c r="A7809" s="14"/>
      <c r="B7809" s="12"/>
      <c r="C7809" s="12"/>
      <c r="D7809" s="12"/>
      <c r="E7809" s="12"/>
      <c r="F7809" s="14"/>
      <c r="G7809" s="15"/>
      <c r="H7809" s="15"/>
      <c r="I7809" s="14"/>
      <c r="P7809" s="14"/>
    </row>
    <row r="7810" ht="18.75" customHeight="1">
      <c r="A7810" s="14"/>
      <c r="B7810" s="12"/>
      <c r="C7810" s="12"/>
      <c r="D7810" s="12"/>
      <c r="E7810" s="12"/>
      <c r="F7810" s="14"/>
      <c r="G7810" s="15"/>
      <c r="H7810" s="15"/>
      <c r="I7810" s="14"/>
      <c r="P7810" s="14"/>
    </row>
    <row r="7811" ht="18.75" customHeight="1">
      <c r="A7811" s="14"/>
      <c r="B7811" s="12"/>
      <c r="C7811" s="12"/>
      <c r="D7811" s="12"/>
      <c r="E7811" s="12"/>
      <c r="F7811" s="14"/>
      <c r="G7811" s="15"/>
      <c r="H7811" s="15"/>
      <c r="I7811" s="14"/>
      <c r="P7811" s="14"/>
    </row>
    <row r="7812" ht="18.75" customHeight="1">
      <c r="A7812" s="14"/>
      <c r="B7812" s="12"/>
      <c r="C7812" s="12"/>
      <c r="D7812" s="12"/>
      <c r="E7812" s="12"/>
      <c r="F7812" s="14"/>
      <c r="G7812" s="15"/>
      <c r="H7812" s="15"/>
      <c r="I7812" s="14"/>
      <c r="P7812" s="14"/>
    </row>
    <row r="7813" ht="18.75" customHeight="1">
      <c r="A7813" s="14"/>
      <c r="B7813" s="12"/>
      <c r="C7813" s="12"/>
      <c r="D7813" s="12"/>
      <c r="E7813" s="12"/>
      <c r="F7813" s="14"/>
      <c r="G7813" s="15"/>
      <c r="H7813" s="15"/>
      <c r="I7813" s="14"/>
      <c r="P7813" s="14"/>
    </row>
    <row r="7814" ht="18.75" customHeight="1">
      <c r="A7814" s="14"/>
      <c r="B7814" s="12"/>
      <c r="C7814" s="12"/>
      <c r="D7814" s="12"/>
      <c r="E7814" s="12"/>
      <c r="F7814" s="14"/>
      <c r="G7814" s="15"/>
      <c r="H7814" s="15"/>
      <c r="I7814" s="14"/>
      <c r="P7814" s="14"/>
    </row>
    <row r="7815" ht="18.75" customHeight="1">
      <c r="A7815" s="14"/>
      <c r="B7815" s="12"/>
      <c r="C7815" s="12"/>
      <c r="D7815" s="12"/>
      <c r="E7815" s="12"/>
      <c r="F7815" s="14"/>
      <c r="G7815" s="15"/>
      <c r="H7815" s="15"/>
      <c r="I7815" s="14"/>
      <c r="P7815" s="14"/>
    </row>
    <row r="7816" ht="18.75" customHeight="1">
      <c r="A7816" s="14"/>
      <c r="B7816" s="12"/>
      <c r="C7816" s="12"/>
      <c r="D7816" s="12"/>
      <c r="E7816" s="12"/>
      <c r="F7816" s="14"/>
      <c r="G7816" s="15"/>
      <c r="H7816" s="15"/>
      <c r="I7816" s="14"/>
      <c r="P7816" s="14"/>
    </row>
    <row r="7817" ht="18.75" customHeight="1">
      <c r="A7817" s="14"/>
      <c r="B7817" s="12"/>
      <c r="C7817" s="12"/>
      <c r="D7817" s="12"/>
      <c r="E7817" s="12"/>
      <c r="F7817" s="14"/>
      <c r="G7817" s="15"/>
      <c r="H7817" s="15"/>
      <c r="I7817" s="14"/>
      <c r="P7817" s="14"/>
    </row>
    <row r="7818" ht="18.75" customHeight="1">
      <c r="A7818" s="14"/>
      <c r="B7818" s="12"/>
      <c r="C7818" s="12"/>
      <c r="D7818" s="12"/>
      <c r="E7818" s="12"/>
      <c r="F7818" s="14"/>
      <c r="G7818" s="15"/>
      <c r="H7818" s="15"/>
      <c r="I7818" s="14"/>
      <c r="P7818" s="14"/>
    </row>
    <row r="7819" ht="18.75" customHeight="1">
      <c r="A7819" s="14"/>
      <c r="B7819" s="12"/>
      <c r="C7819" s="12"/>
      <c r="D7819" s="12"/>
      <c r="E7819" s="12"/>
      <c r="F7819" s="14"/>
      <c r="G7819" s="15"/>
      <c r="H7819" s="15"/>
      <c r="I7819" s="14"/>
      <c r="P7819" s="14"/>
    </row>
    <row r="7820" ht="18.75" customHeight="1">
      <c r="A7820" s="14"/>
      <c r="B7820" s="12"/>
      <c r="C7820" s="12"/>
      <c r="D7820" s="12"/>
      <c r="E7820" s="12"/>
      <c r="F7820" s="14"/>
      <c r="G7820" s="15"/>
      <c r="H7820" s="15"/>
      <c r="I7820" s="14"/>
      <c r="P7820" s="14"/>
    </row>
    <row r="7821" ht="18.75" customHeight="1">
      <c r="A7821" s="14"/>
      <c r="B7821" s="12"/>
      <c r="C7821" s="12"/>
      <c r="D7821" s="12"/>
      <c r="E7821" s="12"/>
      <c r="F7821" s="14"/>
      <c r="G7821" s="15"/>
      <c r="H7821" s="15"/>
      <c r="I7821" s="14"/>
      <c r="P7821" s="14"/>
    </row>
    <row r="7822" ht="18.75" customHeight="1">
      <c r="A7822" s="14"/>
      <c r="B7822" s="12"/>
      <c r="C7822" s="12"/>
      <c r="D7822" s="12"/>
      <c r="E7822" s="12"/>
      <c r="F7822" s="14"/>
      <c r="G7822" s="15"/>
      <c r="H7822" s="15"/>
      <c r="I7822" s="14"/>
      <c r="P7822" s="14"/>
    </row>
    <row r="7823" ht="18.75" customHeight="1">
      <c r="A7823" s="14"/>
      <c r="B7823" s="12"/>
      <c r="C7823" s="12"/>
      <c r="D7823" s="12"/>
      <c r="E7823" s="12"/>
      <c r="F7823" s="14"/>
      <c r="G7823" s="15"/>
      <c r="H7823" s="15"/>
      <c r="I7823" s="14"/>
      <c r="P7823" s="14"/>
    </row>
    <row r="7824" ht="18.75" customHeight="1">
      <c r="A7824" s="14"/>
      <c r="B7824" s="12"/>
      <c r="C7824" s="12"/>
      <c r="D7824" s="12"/>
      <c r="E7824" s="12"/>
      <c r="F7824" s="14"/>
      <c r="G7824" s="15"/>
      <c r="H7824" s="15"/>
      <c r="I7824" s="14"/>
      <c r="P7824" s="14"/>
    </row>
    <row r="7825" ht="18.75" customHeight="1">
      <c r="A7825" s="14"/>
      <c r="B7825" s="12"/>
      <c r="C7825" s="12"/>
      <c r="D7825" s="12"/>
      <c r="E7825" s="12"/>
      <c r="F7825" s="14"/>
      <c r="G7825" s="15"/>
      <c r="H7825" s="15"/>
      <c r="I7825" s="14"/>
      <c r="P7825" s="14"/>
    </row>
    <row r="7826" ht="18.75" customHeight="1">
      <c r="A7826" s="14"/>
      <c r="B7826" s="12"/>
      <c r="C7826" s="12"/>
      <c r="D7826" s="12"/>
      <c r="E7826" s="12"/>
      <c r="F7826" s="14"/>
      <c r="G7826" s="15"/>
      <c r="H7826" s="15"/>
      <c r="I7826" s="14"/>
      <c r="P7826" s="14"/>
    </row>
    <row r="7827" ht="18.75" customHeight="1">
      <c r="A7827" s="14"/>
      <c r="B7827" s="12"/>
      <c r="C7827" s="12"/>
      <c r="D7827" s="12"/>
      <c r="E7827" s="12"/>
      <c r="F7827" s="14"/>
      <c r="G7827" s="15"/>
      <c r="H7827" s="15"/>
      <c r="I7827" s="14"/>
      <c r="P7827" s="14"/>
    </row>
    <row r="7828" ht="18.75" customHeight="1">
      <c r="A7828" s="14"/>
      <c r="B7828" s="12"/>
      <c r="C7828" s="12"/>
      <c r="D7828" s="12"/>
      <c r="E7828" s="12"/>
      <c r="F7828" s="14"/>
      <c r="G7828" s="15"/>
      <c r="H7828" s="15"/>
      <c r="I7828" s="14"/>
      <c r="P7828" s="14"/>
    </row>
    <row r="7829" ht="18.75" customHeight="1">
      <c r="A7829" s="14"/>
      <c r="B7829" s="12"/>
      <c r="C7829" s="12"/>
      <c r="D7829" s="12"/>
      <c r="E7829" s="12"/>
      <c r="F7829" s="14"/>
      <c r="G7829" s="15"/>
      <c r="H7829" s="15"/>
      <c r="I7829" s="14"/>
      <c r="P7829" s="14"/>
    </row>
    <row r="7830" ht="18.75" customHeight="1">
      <c r="A7830" s="14"/>
      <c r="B7830" s="12"/>
      <c r="C7830" s="12"/>
      <c r="D7830" s="12"/>
      <c r="E7830" s="12"/>
      <c r="F7830" s="14"/>
      <c r="G7830" s="15"/>
      <c r="H7830" s="15"/>
      <c r="I7830" s="14"/>
      <c r="P7830" s="14"/>
    </row>
    <row r="7831" ht="18.75" customHeight="1">
      <c r="A7831" s="14"/>
      <c r="B7831" s="12"/>
      <c r="C7831" s="12"/>
      <c r="D7831" s="12"/>
      <c r="E7831" s="12"/>
      <c r="F7831" s="14"/>
      <c r="G7831" s="15"/>
      <c r="H7831" s="15"/>
      <c r="I7831" s="14"/>
      <c r="P7831" s="14"/>
    </row>
    <row r="7832" ht="18.75" customHeight="1">
      <c r="A7832" s="14"/>
      <c r="B7832" s="12"/>
      <c r="C7832" s="12"/>
      <c r="D7832" s="12"/>
      <c r="E7832" s="12"/>
      <c r="F7832" s="14"/>
      <c r="G7832" s="15"/>
      <c r="H7832" s="15"/>
      <c r="I7832" s="14"/>
      <c r="P7832" s="14"/>
    </row>
    <row r="7833" ht="18.75" customHeight="1">
      <c r="A7833" s="14"/>
      <c r="B7833" s="12"/>
      <c r="C7833" s="12"/>
      <c r="D7833" s="12"/>
      <c r="E7833" s="12"/>
      <c r="F7833" s="14"/>
      <c r="G7833" s="15"/>
      <c r="H7833" s="15"/>
      <c r="I7833" s="14"/>
      <c r="P7833" s="14"/>
    </row>
    <row r="7834" ht="18.75" customHeight="1">
      <c r="A7834" s="14"/>
      <c r="B7834" s="12"/>
      <c r="C7834" s="12"/>
      <c r="D7834" s="12"/>
      <c r="E7834" s="12"/>
      <c r="F7834" s="14"/>
      <c r="G7834" s="15"/>
      <c r="H7834" s="15"/>
      <c r="I7834" s="14"/>
      <c r="P7834" s="14"/>
    </row>
    <row r="7835" ht="18.75" customHeight="1">
      <c r="A7835" s="14"/>
      <c r="B7835" s="12"/>
      <c r="C7835" s="12"/>
      <c r="D7835" s="12"/>
      <c r="E7835" s="12"/>
      <c r="F7835" s="14"/>
      <c r="G7835" s="15"/>
      <c r="H7835" s="15"/>
      <c r="I7835" s="14"/>
      <c r="P7835" s="14"/>
    </row>
    <row r="7836" ht="18.75" customHeight="1">
      <c r="A7836" s="14"/>
      <c r="B7836" s="12"/>
      <c r="C7836" s="12"/>
      <c r="D7836" s="12"/>
      <c r="E7836" s="12"/>
      <c r="F7836" s="14"/>
      <c r="G7836" s="15"/>
      <c r="H7836" s="15"/>
      <c r="I7836" s="14"/>
      <c r="P7836" s="14"/>
    </row>
    <row r="7837" ht="18.75" customHeight="1">
      <c r="A7837" s="14"/>
      <c r="B7837" s="12"/>
      <c r="C7837" s="12"/>
      <c r="D7837" s="12"/>
      <c r="E7837" s="12"/>
      <c r="F7837" s="14"/>
      <c r="G7837" s="15"/>
      <c r="H7837" s="15"/>
      <c r="I7837" s="14"/>
      <c r="P7837" s="14"/>
    </row>
    <row r="7838" ht="18.75" customHeight="1">
      <c r="A7838" s="14"/>
      <c r="B7838" s="12"/>
      <c r="C7838" s="12"/>
      <c r="D7838" s="12"/>
      <c r="E7838" s="12"/>
      <c r="F7838" s="14"/>
      <c r="G7838" s="15"/>
      <c r="H7838" s="15"/>
      <c r="I7838" s="14"/>
      <c r="P7838" s="14"/>
    </row>
    <row r="7839" ht="18.75" customHeight="1">
      <c r="A7839" s="14"/>
      <c r="B7839" s="12"/>
      <c r="C7839" s="12"/>
      <c r="D7839" s="12"/>
      <c r="E7839" s="12"/>
      <c r="F7839" s="14"/>
      <c r="G7839" s="15"/>
      <c r="H7839" s="15"/>
      <c r="I7839" s="14"/>
      <c r="P7839" s="14"/>
    </row>
    <row r="7840" ht="18.75" customHeight="1">
      <c r="A7840" s="14"/>
      <c r="B7840" s="12"/>
      <c r="C7840" s="12"/>
      <c r="D7840" s="12"/>
      <c r="E7840" s="12"/>
      <c r="F7840" s="14"/>
      <c r="G7840" s="15"/>
      <c r="H7840" s="15"/>
      <c r="I7840" s="14"/>
      <c r="P7840" s="14"/>
    </row>
    <row r="7841" ht="18.75" customHeight="1">
      <c r="A7841" s="14"/>
      <c r="B7841" s="12"/>
      <c r="C7841" s="12"/>
      <c r="D7841" s="12"/>
      <c r="E7841" s="12"/>
      <c r="F7841" s="14"/>
      <c r="G7841" s="15"/>
      <c r="H7841" s="15"/>
      <c r="I7841" s="14"/>
      <c r="P7841" s="14"/>
    </row>
    <row r="7842" ht="18.75" customHeight="1">
      <c r="A7842" s="14"/>
      <c r="B7842" s="12"/>
      <c r="C7842" s="12"/>
      <c r="D7842" s="12"/>
      <c r="E7842" s="12"/>
      <c r="F7842" s="14"/>
      <c r="G7842" s="15"/>
      <c r="H7842" s="15"/>
      <c r="I7842" s="14"/>
      <c r="P7842" s="14"/>
    </row>
    <row r="7843" ht="18.75" customHeight="1">
      <c r="A7843" s="14"/>
      <c r="B7843" s="12"/>
      <c r="C7843" s="12"/>
      <c r="D7843" s="12"/>
      <c r="E7843" s="12"/>
      <c r="F7843" s="14"/>
      <c r="G7843" s="15"/>
      <c r="H7843" s="15"/>
      <c r="I7843" s="14"/>
      <c r="P7843" s="14"/>
    </row>
    <row r="7844" ht="18.75" customHeight="1">
      <c r="A7844" s="14"/>
      <c r="B7844" s="12"/>
      <c r="C7844" s="12"/>
      <c r="D7844" s="12"/>
      <c r="E7844" s="12"/>
      <c r="F7844" s="14"/>
      <c r="G7844" s="15"/>
      <c r="H7844" s="15"/>
      <c r="I7844" s="14"/>
      <c r="P7844" s="14"/>
    </row>
    <row r="7845" ht="18.75" customHeight="1">
      <c r="A7845" s="14"/>
      <c r="B7845" s="12"/>
      <c r="C7845" s="12"/>
      <c r="D7845" s="12"/>
      <c r="E7845" s="12"/>
      <c r="F7845" s="14"/>
      <c r="G7845" s="15"/>
      <c r="H7845" s="15"/>
      <c r="I7845" s="14"/>
      <c r="P7845" s="14"/>
    </row>
    <row r="7846" ht="18.75" customHeight="1">
      <c r="A7846" s="14"/>
      <c r="B7846" s="12"/>
      <c r="C7846" s="12"/>
      <c r="D7846" s="12"/>
      <c r="E7846" s="12"/>
      <c r="F7846" s="14"/>
      <c r="G7846" s="15"/>
      <c r="H7846" s="15"/>
      <c r="I7846" s="14"/>
      <c r="P7846" s="14"/>
    </row>
    <row r="7847" ht="18.75" customHeight="1">
      <c r="A7847" s="14"/>
      <c r="B7847" s="12"/>
      <c r="C7847" s="12"/>
      <c r="D7847" s="12"/>
      <c r="E7847" s="12"/>
      <c r="F7847" s="14"/>
      <c r="G7847" s="15"/>
      <c r="H7847" s="15"/>
      <c r="I7847" s="14"/>
      <c r="P7847" s="14"/>
    </row>
    <row r="7848" ht="18.75" customHeight="1">
      <c r="A7848" s="14"/>
      <c r="B7848" s="12"/>
      <c r="C7848" s="12"/>
      <c r="D7848" s="12"/>
      <c r="E7848" s="12"/>
      <c r="F7848" s="14"/>
      <c r="G7848" s="15"/>
      <c r="H7848" s="15"/>
      <c r="I7848" s="14"/>
      <c r="P7848" s="14"/>
    </row>
    <row r="7849" ht="18.75" customHeight="1">
      <c r="A7849" s="14"/>
      <c r="B7849" s="12"/>
      <c r="C7849" s="12"/>
      <c r="D7849" s="12"/>
      <c r="E7849" s="12"/>
      <c r="F7849" s="14"/>
      <c r="G7849" s="15"/>
      <c r="H7849" s="15"/>
      <c r="I7849" s="14"/>
      <c r="P7849" s="14"/>
    </row>
    <row r="7850" ht="18.75" customHeight="1">
      <c r="A7850" s="14"/>
      <c r="B7850" s="12"/>
      <c r="C7850" s="12"/>
      <c r="D7850" s="12"/>
      <c r="E7850" s="12"/>
      <c r="F7850" s="14"/>
      <c r="G7850" s="15"/>
      <c r="H7850" s="15"/>
      <c r="I7850" s="14"/>
      <c r="P7850" s="14"/>
    </row>
    <row r="7851" ht="18.75" customHeight="1">
      <c r="A7851" s="14"/>
      <c r="B7851" s="12"/>
      <c r="C7851" s="12"/>
      <c r="D7851" s="12"/>
      <c r="E7851" s="12"/>
      <c r="F7851" s="14"/>
      <c r="G7851" s="15"/>
      <c r="H7851" s="15"/>
      <c r="I7851" s="14"/>
      <c r="P7851" s="14"/>
    </row>
    <row r="7852" ht="18.75" customHeight="1">
      <c r="A7852" s="14"/>
      <c r="B7852" s="12"/>
      <c r="C7852" s="12"/>
      <c r="D7852" s="12"/>
      <c r="E7852" s="12"/>
      <c r="F7852" s="14"/>
      <c r="G7852" s="15"/>
      <c r="H7852" s="15"/>
      <c r="I7852" s="14"/>
      <c r="P7852" s="14"/>
    </row>
    <row r="7853" ht="18.75" customHeight="1">
      <c r="A7853" s="14"/>
      <c r="B7853" s="12"/>
      <c r="C7853" s="12"/>
      <c r="D7853" s="12"/>
      <c r="E7853" s="12"/>
      <c r="F7853" s="14"/>
      <c r="G7853" s="15"/>
      <c r="H7853" s="15"/>
      <c r="I7853" s="14"/>
      <c r="P7853" s="14"/>
    </row>
    <row r="7854" ht="18.75" customHeight="1">
      <c r="A7854" s="14"/>
      <c r="B7854" s="12"/>
      <c r="C7854" s="12"/>
      <c r="D7854" s="12"/>
      <c r="E7854" s="12"/>
      <c r="F7854" s="14"/>
      <c r="G7854" s="15"/>
      <c r="H7854" s="15"/>
      <c r="I7854" s="14"/>
      <c r="P7854" s="14"/>
    </row>
    <row r="7855" ht="18.75" customHeight="1">
      <c r="A7855" s="14"/>
      <c r="B7855" s="12"/>
      <c r="C7855" s="12"/>
      <c r="D7855" s="12"/>
      <c r="E7855" s="12"/>
      <c r="F7855" s="14"/>
      <c r="G7855" s="15"/>
      <c r="H7855" s="15"/>
      <c r="I7855" s="14"/>
      <c r="P7855" s="14"/>
    </row>
    <row r="7856" ht="18.75" customHeight="1">
      <c r="A7856" s="14"/>
      <c r="B7856" s="12"/>
      <c r="C7856" s="12"/>
      <c r="D7856" s="12"/>
      <c r="E7856" s="12"/>
      <c r="F7856" s="14"/>
      <c r="G7856" s="15"/>
      <c r="H7856" s="15"/>
      <c r="I7856" s="14"/>
      <c r="P7856" s="14"/>
    </row>
    <row r="7857" ht="18.75" customHeight="1">
      <c r="A7857" s="14"/>
      <c r="B7857" s="12"/>
      <c r="C7857" s="12"/>
      <c r="D7857" s="12"/>
      <c r="E7857" s="12"/>
      <c r="F7857" s="14"/>
      <c r="G7857" s="15"/>
      <c r="H7857" s="15"/>
      <c r="I7857" s="14"/>
      <c r="P7857" s="14"/>
    </row>
    <row r="7858" ht="18.75" customHeight="1">
      <c r="A7858" s="14"/>
      <c r="B7858" s="12"/>
      <c r="C7858" s="12"/>
      <c r="D7858" s="12"/>
      <c r="E7858" s="12"/>
      <c r="F7858" s="14"/>
      <c r="G7858" s="15"/>
      <c r="H7858" s="15"/>
      <c r="I7858" s="14"/>
      <c r="P7858" s="14"/>
    </row>
    <row r="7859" ht="18.75" customHeight="1">
      <c r="A7859" s="14"/>
      <c r="B7859" s="12"/>
      <c r="C7859" s="12"/>
      <c r="D7859" s="12"/>
      <c r="E7859" s="12"/>
      <c r="F7859" s="14"/>
      <c r="G7859" s="15"/>
      <c r="H7859" s="15"/>
      <c r="I7859" s="14"/>
      <c r="P7859" s="14"/>
    </row>
    <row r="7860" ht="18.75" customHeight="1">
      <c r="A7860" s="14"/>
      <c r="B7860" s="12"/>
      <c r="C7860" s="12"/>
      <c r="D7860" s="12"/>
      <c r="E7860" s="12"/>
      <c r="F7860" s="14"/>
      <c r="G7860" s="15"/>
      <c r="H7860" s="15"/>
      <c r="I7860" s="14"/>
      <c r="P7860" s="14"/>
    </row>
    <row r="7861" ht="18.75" customHeight="1">
      <c r="A7861" s="14"/>
      <c r="B7861" s="12"/>
      <c r="C7861" s="12"/>
      <c r="D7861" s="12"/>
      <c r="E7861" s="12"/>
      <c r="F7861" s="14"/>
      <c r="G7861" s="15"/>
      <c r="H7861" s="15"/>
      <c r="I7861" s="14"/>
      <c r="P7861" s="14"/>
    </row>
    <row r="7862" ht="18.75" customHeight="1">
      <c r="A7862" s="14"/>
      <c r="B7862" s="12"/>
      <c r="C7862" s="12"/>
      <c r="D7862" s="12"/>
      <c r="E7862" s="12"/>
      <c r="F7862" s="14"/>
      <c r="G7862" s="15"/>
      <c r="H7862" s="15"/>
      <c r="I7862" s="14"/>
      <c r="P7862" s="14"/>
    </row>
    <row r="7863" ht="18.75" customHeight="1">
      <c r="A7863" s="14"/>
      <c r="B7863" s="12"/>
      <c r="C7863" s="12"/>
      <c r="D7863" s="12"/>
      <c r="E7863" s="12"/>
      <c r="F7863" s="14"/>
      <c r="G7863" s="15"/>
      <c r="H7863" s="15"/>
      <c r="I7863" s="14"/>
      <c r="P7863" s="14"/>
    </row>
    <row r="7864" ht="18.75" customHeight="1">
      <c r="A7864" s="14"/>
      <c r="B7864" s="12"/>
      <c r="C7864" s="12"/>
      <c r="D7864" s="12"/>
      <c r="E7864" s="12"/>
      <c r="F7864" s="14"/>
      <c r="G7864" s="15"/>
      <c r="H7864" s="15"/>
      <c r="I7864" s="14"/>
      <c r="P7864" s="14"/>
    </row>
    <row r="7865" ht="18.75" customHeight="1">
      <c r="A7865" s="14"/>
      <c r="B7865" s="12"/>
      <c r="C7865" s="12"/>
      <c r="D7865" s="12"/>
      <c r="E7865" s="12"/>
      <c r="F7865" s="14"/>
      <c r="G7865" s="15"/>
      <c r="H7865" s="15"/>
      <c r="I7865" s="14"/>
      <c r="P7865" s="14"/>
    </row>
    <row r="7866" ht="18.75" customHeight="1">
      <c r="A7866" s="14"/>
      <c r="B7866" s="12"/>
      <c r="C7866" s="12"/>
      <c r="D7866" s="12"/>
      <c r="E7866" s="12"/>
      <c r="F7866" s="14"/>
      <c r="G7866" s="15"/>
      <c r="H7866" s="15"/>
      <c r="I7866" s="14"/>
      <c r="P7866" s="14"/>
    </row>
    <row r="7867" ht="18.75" customHeight="1">
      <c r="A7867" s="14"/>
      <c r="B7867" s="12"/>
      <c r="C7867" s="12"/>
      <c r="D7867" s="12"/>
      <c r="E7867" s="12"/>
      <c r="F7867" s="14"/>
      <c r="G7867" s="15"/>
      <c r="H7867" s="15"/>
      <c r="I7867" s="14"/>
      <c r="P7867" s="14"/>
    </row>
    <row r="7868" ht="18.75" customHeight="1">
      <c r="A7868" s="14"/>
      <c r="B7868" s="12"/>
      <c r="C7868" s="12"/>
      <c r="D7868" s="12"/>
      <c r="E7868" s="12"/>
      <c r="F7868" s="14"/>
      <c r="G7868" s="15"/>
      <c r="H7868" s="15"/>
      <c r="I7868" s="14"/>
      <c r="P7868" s="14"/>
    </row>
    <row r="7869" ht="18.75" customHeight="1">
      <c r="A7869" s="14"/>
      <c r="B7869" s="12"/>
      <c r="C7869" s="12"/>
      <c r="D7869" s="12"/>
      <c r="E7869" s="12"/>
      <c r="F7869" s="14"/>
      <c r="G7869" s="15"/>
      <c r="H7869" s="15"/>
      <c r="I7869" s="14"/>
      <c r="P7869" s="14"/>
    </row>
    <row r="7870" ht="18.75" customHeight="1">
      <c r="A7870" s="14"/>
      <c r="B7870" s="12"/>
      <c r="C7870" s="12"/>
      <c r="D7870" s="12"/>
      <c r="E7870" s="12"/>
      <c r="F7870" s="14"/>
      <c r="G7870" s="15"/>
      <c r="H7870" s="15"/>
      <c r="I7870" s="14"/>
      <c r="P7870" s="14"/>
    </row>
    <row r="7871" ht="18.75" customHeight="1">
      <c r="A7871" s="14"/>
      <c r="B7871" s="12"/>
      <c r="C7871" s="12"/>
      <c r="D7871" s="12"/>
      <c r="E7871" s="12"/>
      <c r="F7871" s="14"/>
      <c r="G7871" s="15"/>
      <c r="H7871" s="15"/>
      <c r="I7871" s="14"/>
      <c r="P7871" s="14"/>
    </row>
    <row r="7872" ht="18.75" customHeight="1">
      <c r="A7872" s="14"/>
      <c r="B7872" s="12"/>
      <c r="C7872" s="12"/>
      <c r="D7872" s="12"/>
      <c r="E7872" s="12"/>
      <c r="F7872" s="14"/>
      <c r="G7872" s="15"/>
      <c r="H7872" s="15"/>
      <c r="I7872" s="14"/>
      <c r="P7872" s="14"/>
    </row>
    <row r="7873" ht="18.75" customHeight="1">
      <c r="A7873" s="14"/>
      <c r="B7873" s="12"/>
      <c r="C7873" s="12"/>
      <c r="D7873" s="12"/>
      <c r="E7873" s="12"/>
      <c r="F7873" s="14"/>
      <c r="G7873" s="15"/>
      <c r="H7873" s="15"/>
      <c r="I7873" s="14"/>
      <c r="P7873" s="14"/>
    </row>
    <row r="7874" ht="18.75" customHeight="1">
      <c r="A7874" s="14"/>
      <c r="B7874" s="12"/>
      <c r="C7874" s="12"/>
      <c r="D7874" s="12"/>
      <c r="E7874" s="12"/>
      <c r="F7874" s="14"/>
      <c r="G7874" s="15"/>
      <c r="H7874" s="15"/>
      <c r="I7874" s="14"/>
      <c r="P7874" s="14"/>
    </row>
    <row r="7875" ht="18.75" customHeight="1">
      <c r="A7875" s="14"/>
      <c r="B7875" s="12"/>
      <c r="C7875" s="12"/>
      <c r="D7875" s="12"/>
      <c r="E7875" s="12"/>
      <c r="F7875" s="14"/>
      <c r="G7875" s="15"/>
      <c r="H7875" s="15"/>
      <c r="I7875" s="14"/>
      <c r="P7875" s="14"/>
    </row>
    <row r="7876" ht="18.75" customHeight="1">
      <c r="A7876" s="14"/>
      <c r="B7876" s="12"/>
      <c r="C7876" s="12"/>
      <c r="D7876" s="12"/>
      <c r="E7876" s="12"/>
      <c r="F7876" s="14"/>
      <c r="G7876" s="15"/>
      <c r="H7876" s="15"/>
      <c r="I7876" s="14"/>
      <c r="P7876" s="14"/>
    </row>
    <row r="7877" ht="18.75" customHeight="1">
      <c r="A7877" s="14"/>
      <c r="B7877" s="12"/>
      <c r="C7877" s="12"/>
      <c r="D7877" s="12"/>
      <c r="E7877" s="12"/>
      <c r="F7877" s="14"/>
      <c r="G7877" s="15"/>
      <c r="H7877" s="15"/>
      <c r="I7877" s="14"/>
      <c r="P7877" s="14"/>
    </row>
    <row r="7878" ht="18.75" customHeight="1">
      <c r="A7878" s="14"/>
      <c r="B7878" s="12"/>
      <c r="C7878" s="12"/>
      <c r="D7878" s="12"/>
      <c r="E7878" s="12"/>
      <c r="F7878" s="14"/>
      <c r="G7878" s="15"/>
      <c r="H7878" s="15"/>
      <c r="I7878" s="14"/>
      <c r="P7878" s="14"/>
    </row>
    <row r="7879" ht="18.75" customHeight="1">
      <c r="A7879" s="14"/>
      <c r="B7879" s="12"/>
      <c r="C7879" s="12"/>
      <c r="D7879" s="12"/>
      <c r="E7879" s="12"/>
      <c r="F7879" s="14"/>
      <c r="G7879" s="15"/>
      <c r="H7879" s="15"/>
      <c r="I7879" s="14"/>
      <c r="P7879" s="14"/>
    </row>
    <row r="7880" ht="18.75" customHeight="1">
      <c r="A7880" s="14"/>
      <c r="B7880" s="12"/>
      <c r="C7880" s="12"/>
      <c r="D7880" s="12"/>
      <c r="E7880" s="12"/>
      <c r="F7880" s="14"/>
      <c r="G7880" s="15"/>
      <c r="H7880" s="15"/>
      <c r="I7880" s="14"/>
      <c r="P7880" s="14"/>
    </row>
    <row r="7881" ht="18.75" customHeight="1">
      <c r="A7881" s="14"/>
      <c r="B7881" s="12"/>
      <c r="C7881" s="12"/>
      <c r="D7881" s="12"/>
      <c r="E7881" s="12"/>
      <c r="F7881" s="14"/>
      <c r="G7881" s="15"/>
      <c r="H7881" s="15"/>
      <c r="I7881" s="14"/>
      <c r="P7881" s="14"/>
    </row>
    <row r="7882" ht="18.75" customHeight="1">
      <c r="A7882" s="14"/>
      <c r="B7882" s="12"/>
      <c r="C7882" s="12"/>
      <c r="D7882" s="12"/>
      <c r="E7882" s="12"/>
      <c r="F7882" s="14"/>
      <c r="G7882" s="15"/>
      <c r="H7882" s="15"/>
      <c r="I7882" s="14"/>
      <c r="P7882" s="14"/>
    </row>
    <row r="7883" ht="18.75" customHeight="1">
      <c r="A7883" s="14"/>
      <c r="B7883" s="12"/>
      <c r="C7883" s="12"/>
      <c r="D7883" s="12"/>
      <c r="E7883" s="12"/>
      <c r="F7883" s="14"/>
      <c r="G7883" s="15"/>
      <c r="H7883" s="15"/>
      <c r="I7883" s="14"/>
      <c r="P7883" s="14"/>
    </row>
    <row r="7884" ht="18.75" customHeight="1">
      <c r="A7884" s="14"/>
      <c r="B7884" s="12"/>
      <c r="C7884" s="12"/>
      <c r="D7884" s="12"/>
      <c r="E7884" s="12"/>
      <c r="F7884" s="14"/>
      <c r="G7884" s="15"/>
      <c r="H7884" s="15"/>
      <c r="I7884" s="14"/>
      <c r="P7884" s="14"/>
    </row>
    <row r="7885" ht="18.75" customHeight="1">
      <c r="A7885" s="14"/>
      <c r="B7885" s="12"/>
      <c r="C7885" s="12"/>
      <c r="D7885" s="12"/>
      <c r="E7885" s="12"/>
      <c r="F7885" s="14"/>
      <c r="G7885" s="15"/>
      <c r="H7885" s="15"/>
      <c r="I7885" s="14"/>
      <c r="P7885" s="14"/>
    </row>
    <row r="7886" ht="18.75" customHeight="1">
      <c r="A7886" s="14"/>
      <c r="B7886" s="12"/>
      <c r="C7886" s="12"/>
      <c r="D7886" s="12"/>
      <c r="E7886" s="12"/>
      <c r="F7886" s="14"/>
      <c r="G7886" s="15"/>
      <c r="H7886" s="15"/>
      <c r="I7886" s="14"/>
      <c r="P7886" s="14"/>
    </row>
    <row r="7887" ht="18.75" customHeight="1">
      <c r="A7887" s="14"/>
      <c r="B7887" s="12"/>
      <c r="C7887" s="12"/>
      <c r="D7887" s="12"/>
      <c r="E7887" s="12"/>
      <c r="F7887" s="14"/>
      <c r="G7887" s="15"/>
      <c r="H7887" s="15"/>
      <c r="I7887" s="14"/>
      <c r="P7887" s="14"/>
    </row>
    <row r="7888" ht="18.75" customHeight="1">
      <c r="A7888" s="14"/>
      <c r="B7888" s="12"/>
      <c r="C7888" s="12"/>
      <c r="D7888" s="12"/>
      <c r="E7888" s="12"/>
      <c r="F7888" s="14"/>
      <c r="G7888" s="15"/>
      <c r="H7888" s="15"/>
      <c r="I7888" s="14"/>
      <c r="P7888" s="14"/>
    </row>
    <row r="7889" ht="18.75" customHeight="1">
      <c r="A7889" s="14"/>
      <c r="B7889" s="12"/>
      <c r="C7889" s="12"/>
      <c r="D7889" s="12"/>
      <c r="E7889" s="12"/>
      <c r="F7889" s="14"/>
      <c r="G7889" s="15"/>
      <c r="H7889" s="15"/>
      <c r="I7889" s="14"/>
      <c r="P7889" s="14"/>
    </row>
    <row r="7890" ht="18.75" customHeight="1">
      <c r="A7890" s="14"/>
      <c r="B7890" s="12"/>
      <c r="C7890" s="12"/>
      <c r="D7890" s="12"/>
      <c r="E7890" s="12"/>
      <c r="F7890" s="14"/>
      <c r="G7890" s="15"/>
      <c r="H7890" s="15"/>
      <c r="I7890" s="14"/>
      <c r="P7890" s="14"/>
    </row>
    <row r="7891" ht="18.75" customHeight="1">
      <c r="A7891" s="14"/>
      <c r="B7891" s="12"/>
      <c r="C7891" s="12"/>
      <c r="D7891" s="12"/>
      <c r="E7891" s="12"/>
      <c r="F7891" s="14"/>
      <c r="G7891" s="15"/>
      <c r="H7891" s="15"/>
      <c r="I7891" s="14"/>
      <c r="P7891" s="14"/>
    </row>
    <row r="7892" ht="18.75" customHeight="1">
      <c r="A7892" s="14"/>
      <c r="B7892" s="12"/>
      <c r="C7892" s="12"/>
      <c r="D7892" s="12"/>
      <c r="E7892" s="12"/>
      <c r="F7892" s="14"/>
      <c r="G7892" s="15"/>
      <c r="H7892" s="15"/>
      <c r="I7892" s="14"/>
      <c r="P7892" s="14"/>
    </row>
    <row r="7893" ht="18.75" customHeight="1">
      <c r="A7893" s="14"/>
      <c r="B7893" s="12"/>
      <c r="C7893" s="12"/>
      <c r="D7893" s="12"/>
      <c r="E7893" s="12"/>
      <c r="F7893" s="14"/>
      <c r="G7893" s="15"/>
      <c r="H7893" s="15"/>
      <c r="I7893" s="14"/>
      <c r="P7893" s="14"/>
    </row>
    <row r="7894" ht="18.75" customHeight="1">
      <c r="A7894" s="14"/>
      <c r="B7894" s="12"/>
      <c r="C7894" s="12"/>
      <c r="D7894" s="12"/>
      <c r="E7894" s="12"/>
      <c r="F7894" s="14"/>
      <c r="G7894" s="15"/>
      <c r="H7894" s="15"/>
      <c r="I7894" s="14"/>
      <c r="P7894" s="14"/>
    </row>
    <row r="7895" ht="18.75" customHeight="1">
      <c r="A7895" s="14"/>
      <c r="B7895" s="12"/>
      <c r="C7895" s="12"/>
      <c r="D7895" s="12"/>
      <c r="E7895" s="12"/>
      <c r="F7895" s="14"/>
      <c r="G7895" s="15"/>
      <c r="H7895" s="15"/>
      <c r="I7895" s="14"/>
      <c r="P7895" s="14"/>
    </row>
    <row r="7896" ht="18.75" customHeight="1">
      <c r="A7896" s="14"/>
      <c r="B7896" s="12"/>
      <c r="C7896" s="12"/>
      <c r="D7896" s="12"/>
      <c r="E7896" s="12"/>
      <c r="F7896" s="14"/>
      <c r="G7896" s="15"/>
      <c r="H7896" s="15"/>
      <c r="I7896" s="14"/>
      <c r="P7896" s="14"/>
    </row>
    <row r="7897" ht="18.75" customHeight="1">
      <c r="A7897" s="14"/>
      <c r="B7897" s="12"/>
      <c r="C7897" s="12"/>
      <c r="D7897" s="12"/>
      <c r="E7897" s="12"/>
      <c r="F7897" s="14"/>
      <c r="G7897" s="15"/>
      <c r="H7897" s="15"/>
      <c r="I7897" s="14"/>
      <c r="P7897" s="14"/>
    </row>
    <row r="7898" ht="18.75" customHeight="1">
      <c r="A7898" s="14"/>
      <c r="B7898" s="12"/>
      <c r="C7898" s="12"/>
      <c r="D7898" s="12"/>
      <c r="E7898" s="12"/>
      <c r="F7898" s="14"/>
      <c r="G7898" s="15"/>
      <c r="H7898" s="15"/>
      <c r="I7898" s="14"/>
      <c r="P7898" s="14"/>
    </row>
    <row r="7899" ht="18.75" customHeight="1">
      <c r="A7899" s="14"/>
      <c r="B7899" s="12"/>
      <c r="C7899" s="12"/>
      <c r="D7899" s="12"/>
      <c r="E7899" s="12"/>
      <c r="F7899" s="14"/>
      <c r="G7899" s="15"/>
      <c r="H7899" s="15"/>
      <c r="I7899" s="14"/>
      <c r="P7899" s="14"/>
    </row>
    <row r="7900" ht="18.75" customHeight="1">
      <c r="A7900" s="14"/>
      <c r="B7900" s="12"/>
      <c r="C7900" s="12"/>
      <c r="D7900" s="12"/>
      <c r="E7900" s="12"/>
      <c r="F7900" s="14"/>
      <c r="G7900" s="15"/>
      <c r="H7900" s="15"/>
      <c r="I7900" s="14"/>
      <c r="P7900" s="14"/>
    </row>
    <row r="7901" ht="18.75" customHeight="1">
      <c r="A7901" s="14"/>
      <c r="B7901" s="12"/>
      <c r="C7901" s="12"/>
      <c r="D7901" s="12"/>
      <c r="E7901" s="12"/>
      <c r="F7901" s="14"/>
      <c r="G7901" s="15"/>
      <c r="H7901" s="15"/>
      <c r="I7901" s="14"/>
      <c r="P7901" s="14"/>
    </row>
    <row r="7902" ht="18.75" customHeight="1">
      <c r="A7902" s="14"/>
      <c r="B7902" s="12"/>
      <c r="C7902" s="12"/>
      <c r="D7902" s="12"/>
      <c r="E7902" s="12"/>
      <c r="F7902" s="14"/>
      <c r="G7902" s="15"/>
      <c r="H7902" s="15"/>
      <c r="I7902" s="14"/>
      <c r="P7902" s="14"/>
    </row>
    <row r="7903" ht="18.75" customHeight="1">
      <c r="A7903" s="14"/>
      <c r="B7903" s="12"/>
      <c r="C7903" s="12"/>
      <c r="D7903" s="12"/>
      <c r="E7903" s="12"/>
      <c r="F7903" s="14"/>
      <c r="G7903" s="15"/>
      <c r="H7903" s="15"/>
      <c r="I7903" s="14"/>
      <c r="P7903" s="14"/>
    </row>
    <row r="7904" ht="18.75" customHeight="1">
      <c r="A7904" s="14"/>
      <c r="B7904" s="12"/>
      <c r="C7904" s="12"/>
      <c r="D7904" s="12"/>
      <c r="E7904" s="12"/>
      <c r="F7904" s="14"/>
      <c r="G7904" s="15"/>
      <c r="H7904" s="15"/>
      <c r="I7904" s="14"/>
      <c r="P7904" s="14"/>
    </row>
    <row r="7905" ht="18.75" customHeight="1">
      <c r="A7905" s="14"/>
      <c r="B7905" s="12"/>
      <c r="C7905" s="12"/>
      <c r="D7905" s="12"/>
      <c r="E7905" s="12"/>
      <c r="F7905" s="14"/>
      <c r="G7905" s="15"/>
      <c r="H7905" s="15"/>
      <c r="I7905" s="14"/>
      <c r="P7905" s="14"/>
    </row>
    <row r="7906" ht="18.75" customHeight="1">
      <c r="A7906" s="14"/>
      <c r="B7906" s="12"/>
      <c r="C7906" s="12"/>
      <c r="D7906" s="12"/>
      <c r="E7906" s="12"/>
      <c r="F7906" s="14"/>
      <c r="G7906" s="15"/>
      <c r="H7906" s="15"/>
      <c r="I7906" s="14"/>
      <c r="P7906" s="14"/>
    </row>
    <row r="7907" ht="18.75" customHeight="1">
      <c r="A7907" s="14"/>
      <c r="B7907" s="12"/>
      <c r="C7907" s="12"/>
      <c r="D7907" s="12"/>
      <c r="E7907" s="12"/>
      <c r="F7907" s="14"/>
      <c r="G7907" s="15"/>
      <c r="H7907" s="15"/>
      <c r="I7907" s="14"/>
      <c r="P7907" s="14"/>
    </row>
    <row r="7908" ht="18.75" customHeight="1">
      <c r="A7908" s="14"/>
      <c r="B7908" s="12"/>
      <c r="C7908" s="12"/>
      <c r="D7908" s="12"/>
      <c r="E7908" s="12"/>
      <c r="F7908" s="14"/>
      <c r="G7908" s="15"/>
      <c r="H7908" s="15"/>
      <c r="I7908" s="14"/>
      <c r="P7908" s="14"/>
    </row>
    <row r="7909" ht="18.75" customHeight="1">
      <c r="A7909" s="14"/>
      <c r="B7909" s="12"/>
      <c r="C7909" s="12"/>
      <c r="D7909" s="12"/>
      <c r="E7909" s="12"/>
      <c r="F7909" s="14"/>
      <c r="G7909" s="15"/>
      <c r="H7909" s="15"/>
      <c r="I7909" s="14"/>
      <c r="P7909" s="14"/>
    </row>
    <row r="7910" ht="18.75" customHeight="1">
      <c r="A7910" s="14"/>
      <c r="B7910" s="12"/>
      <c r="C7910" s="12"/>
      <c r="D7910" s="12"/>
      <c r="E7910" s="12"/>
      <c r="F7910" s="14"/>
      <c r="G7910" s="15"/>
      <c r="H7910" s="15"/>
      <c r="I7910" s="14"/>
      <c r="P7910" s="14"/>
    </row>
    <row r="7911" ht="18.75" customHeight="1">
      <c r="A7911" s="14"/>
      <c r="B7911" s="12"/>
      <c r="C7911" s="12"/>
      <c r="D7911" s="12"/>
      <c r="E7911" s="12"/>
      <c r="F7911" s="14"/>
      <c r="G7911" s="15"/>
      <c r="H7911" s="15"/>
      <c r="I7911" s="14"/>
      <c r="P7911" s="14"/>
    </row>
    <row r="7912" ht="18.75" customHeight="1">
      <c r="A7912" s="14"/>
      <c r="B7912" s="12"/>
      <c r="C7912" s="12"/>
      <c r="D7912" s="12"/>
      <c r="E7912" s="12"/>
      <c r="F7912" s="14"/>
      <c r="G7912" s="15"/>
      <c r="H7912" s="15"/>
      <c r="I7912" s="14"/>
      <c r="P7912" s="14"/>
    </row>
    <row r="7913" ht="18.75" customHeight="1">
      <c r="A7913" s="14"/>
      <c r="B7913" s="12"/>
      <c r="C7913" s="12"/>
      <c r="D7913" s="12"/>
      <c r="E7913" s="12"/>
      <c r="F7913" s="14"/>
      <c r="G7913" s="15"/>
      <c r="H7913" s="15"/>
      <c r="I7913" s="14"/>
      <c r="P7913" s="14"/>
    </row>
    <row r="7914" ht="18.75" customHeight="1">
      <c r="A7914" s="14"/>
      <c r="B7914" s="12"/>
      <c r="C7914" s="12"/>
      <c r="D7914" s="12"/>
      <c r="E7914" s="12"/>
      <c r="F7914" s="14"/>
      <c r="G7914" s="15"/>
      <c r="H7914" s="15"/>
      <c r="I7914" s="14"/>
      <c r="P7914" s="14"/>
    </row>
    <row r="7915" ht="18.75" customHeight="1">
      <c r="A7915" s="14"/>
      <c r="B7915" s="12"/>
      <c r="C7915" s="12"/>
      <c r="D7915" s="12"/>
      <c r="E7915" s="12"/>
      <c r="F7915" s="14"/>
      <c r="G7915" s="15"/>
      <c r="H7915" s="15"/>
      <c r="I7915" s="14"/>
      <c r="P7915" s="14"/>
    </row>
    <row r="7916" ht="18.75" customHeight="1">
      <c r="A7916" s="14"/>
      <c r="B7916" s="12"/>
      <c r="C7916" s="12"/>
      <c r="D7916" s="12"/>
      <c r="E7916" s="12"/>
      <c r="F7916" s="14"/>
      <c r="G7916" s="15"/>
      <c r="H7916" s="15"/>
      <c r="I7916" s="14"/>
      <c r="P7916" s="14"/>
    </row>
    <row r="7917" ht="18.75" customHeight="1">
      <c r="A7917" s="14"/>
      <c r="B7917" s="12"/>
      <c r="C7917" s="12"/>
      <c r="D7917" s="12"/>
      <c r="E7917" s="12"/>
      <c r="F7917" s="14"/>
      <c r="G7917" s="15"/>
      <c r="H7917" s="15"/>
      <c r="I7917" s="14"/>
      <c r="P7917" s="14"/>
    </row>
    <row r="7918" ht="18.75" customHeight="1">
      <c r="A7918" s="14"/>
      <c r="B7918" s="12"/>
      <c r="C7918" s="12"/>
      <c r="D7918" s="12"/>
      <c r="E7918" s="12"/>
      <c r="F7918" s="14"/>
      <c r="G7918" s="15"/>
      <c r="H7918" s="15"/>
      <c r="I7918" s="14"/>
      <c r="P7918" s="14"/>
    </row>
    <row r="7919" ht="18.75" customHeight="1">
      <c r="A7919" s="14"/>
      <c r="B7919" s="12"/>
      <c r="C7919" s="12"/>
      <c r="D7919" s="12"/>
      <c r="E7919" s="12"/>
      <c r="F7919" s="14"/>
      <c r="G7919" s="15"/>
      <c r="H7919" s="15"/>
      <c r="I7919" s="14"/>
      <c r="P7919" s="14"/>
    </row>
    <row r="7920" ht="18.75" customHeight="1">
      <c r="A7920" s="14"/>
      <c r="B7920" s="12"/>
      <c r="C7920" s="12"/>
      <c r="D7920" s="12"/>
      <c r="E7920" s="12"/>
      <c r="F7920" s="14"/>
      <c r="G7920" s="15"/>
      <c r="H7920" s="15"/>
      <c r="I7920" s="14"/>
      <c r="P7920" s="14"/>
    </row>
    <row r="7921" ht="18.75" customHeight="1">
      <c r="A7921" s="14"/>
      <c r="B7921" s="12"/>
      <c r="C7921" s="12"/>
      <c r="D7921" s="12"/>
      <c r="E7921" s="12"/>
      <c r="F7921" s="14"/>
      <c r="G7921" s="15"/>
      <c r="H7921" s="15"/>
      <c r="I7921" s="14"/>
      <c r="P7921" s="14"/>
    </row>
    <row r="7922" ht="18.75" customHeight="1">
      <c r="A7922" s="14"/>
      <c r="B7922" s="12"/>
      <c r="C7922" s="12"/>
      <c r="D7922" s="12"/>
      <c r="E7922" s="12"/>
      <c r="F7922" s="14"/>
      <c r="G7922" s="15"/>
      <c r="H7922" s="15"/>
      <c r="I7922" s="14"/>
      <c r="P7922" s="14"/>
    </row>
    <row r="7923" ht="18.75" customHeight="1">
      <c r="A7923" s="14"/>
      <c r="B7923" s="12"/>
      <c r="C7923" s="12"/>
      <c r="D7923" s="12"/>
      <c r="E7923" s="12"/>
      <c r="F7923" s="14"/>
      <c r="G7923" s="15"/>
      <c r="H7923" s="15"/>
      <c r="I7923" s="14"/>
      <c r="P7923" s="14"/>
    </row>
    <row r="7924" ht="18.75" customHeight="1">
      <c r="A7924" s="14"/>
      <c r="B7924" s="12"/>
      <c r="C7924" s="12"/>
      <c r="D7924" s="12"/>
      <c r="E7924" s="12"/>
      <c r="F7924" s="14"/>
      <c r="G7924" s="15"/>
      <c r="H7924" s="15"/>
      <c r="I7924" s="14"/>
      <c r="P7924" s="14"/>
    </row>
    <row r="7925" ht="18.75" customHeight="1">
      <c r="A7925" s="14"/>
      <c r="B7925" s="12"/>
      <c r="C7925" s="12"/>
      <c r="D7925" s="12"/>
      <c r="E7925" s="12"/>
      <c r="F7925" s="14"/>
      <c r="G7925" s="15"/>
      <c r="H7925" s="15"/>
      <c r="I7925" s="14"/>
      <c r="P7925" s="14"/>
    </row>
    <row r="7926" ht="18.75" customHeight="1">
      <c r="A7926" s="14"/>
      <c r="B7926" s="12"/>
      <c r="C7926" s="12"/>
      <c r="D7926" s="12"/>
      <c r="E7926" s="12"/>
      <c r="F7926" s="14"/>
      <c r="G7926" s="15"/>
      <c r="H7926" s="15"/>
      <c r="I7926" s="14"/>
      <c r="P7926" s="14"/>
    </row>
    <row r="7927" ht="18.75" customHeight="1">
      <c r="A7927" s="14"/>
      <c r="B7927" s="12"/>
      <c r="C7927" s="12"/>
      <c r="D7927" s="12"/>
      <c r="E7927" s="12"/>
      <c r="F7927" s="14"/>
      <c r="G7927" s="15"/>
      <c r="H7927" s="15"/>
      <c r="I7927" s="14"/>
      <c r="P7927" s="14"/>
    </row>
    <row r="7928" ht="18.75" customHeight="1">
      <c r="A7928" s="14"/>
      <c r="B7928" s="12"/>
      <c r="C7928" s="12"/>
      <c r="D7928" s="12"/>
      <c r="E7928" s="12"/>
      <c r="F7928" s="14"/>
      <c r="G7928" s="15"/>
      <c r="H7928" s="15"/>
      <c r="I7928" s="14"/>
      <c r="P7928" s="14"/>
    </row>
    <row r="7929" ht="18.75" customHeight="1">
      <c r="A7929" s="14"/>
      <c r="B7929" s="12"/>
      <c r="C7929" s="12"/>
      <c r="D7929" s="12"/>
      <c r="E7929" s="12"/>
      <c r="F7929" s="14"/>
      <c r="G7929" s="15"/>
      <c r="H7929" s="15"/>
      <c r="I7929" s="14"/>
      <c r="P7929" s="14"/>
    </row>
    <row r="7930" ht="18.75" customHeight="1">
      <c r="A7930" s="14"/>
      <c r="B7930" s="12"/>
      <c r="C7930" s="12"/>
      <c r="D7930" s="12"/>
      <c r="E7930" s="12"/>
      <c r="F7930" s="14"/>
      <c r="G7930" s="15"/>
      <c r="H7930" s="15"/>
      <c r="I7930" s="14"/>
      <c r="P7930" s="14"/>
    </row>
    <row r="7931" ht="18.75" customHeight="1">
      <c r="A7931" s="14"/>
      <c r="B7931" s="12"/>
      <c r="C7931" s="12"/>
      <c r="D7931" s="12"/>
      <c r="E7931" s="12"/>
      <c r="F7931" s="14"/>
      <c r="G7931" s="15"/>
      <c r="H7931" s="15"/>
      <c r="I7931" s="14"/>
      <c r="P7931" s="14"/>
    </row>
    <row r="7932" ht="18.75" customHeight="1">
      <c r="A7932" s="14"/>
      <c r="B7932" s="12"/>
      <c r="C7932" s="12"/>
      <c r="D7932" s="12"/>
      <c r="E7932" s="12"/>
      <c r="F7932" s="14"/>
      <c r="G7932" s="15"/>
      <c r="H7932" s="15"/>
      <c r="I7932" s="14"/>
      <c r="P7932" s="14"/>
    </row>
    <row r="7933" ht="18.75" customHeight="1">
      <c r="A7933" s="14"/>
      <c r="B7933" s="12"/>
      <c r="C7933" s="12"/>
      <c r="D7933" s="12"/>
      <c r="E7933" s="12"/>
      <c r="F7933" s="14"/>
      <c r="G7933" s="15"/>
      <c r="H7933" s="15"/>
      <c r="I7933" s="14"/>
      <c r="P7933" s="14"/>
    </row>
    <row r="7934" ht="18.75" customHeight="1">
      <c r="A7934" s="14"/>
      <c r="B7934" s="12"/>
      <c r="C7934" s="12"/>
      <c r="D7934" s="12"/>
      <c r="E7934" s="12"/>
      <c r="F7934" s="14"/>
      <c r="G7934" s="15"/>
      <c r="H7934" s="15"/>
      <c r="I7934" s="14"/>
      <c r="P7934" s="14"/>
    </row>
    <row r="7935" ht="18.75" customHeight="1">
      <c r="A7935" s="14"/>
      <c r="B7935" s="12"/>
      <c r="C7935" s="12"/>
      <c r="D7935" s="12"/>
      <c r="E7935" s="12"/>
      <c r="F7935" s="14"/>
      <c r="G7935" s="15"/>
      <c r="H7935" s="15"/>
      <c r="I7935" s="14"/>
      <c r="P7935" s="14"/>
    </row>
    <row r="7936" ht="18.75" customHeight="1">
      <c r="A7936" s="14"/>
      <c r="B7936" s="12"/>
      <c r="C7936" s="12"/>
      <c r="D7936" s="12"/>
      <c r="E7936" s="12"/>
      <c r="F7936" s="14"/>
      <c r="G7936" s="15"/>
      <c r="H7936" s="15"/>
      <c r="I7936" s="14"/>
      <c r="P7936" s="14"/>
    </row>
    <row r="7937" ht="18.75" customHeight="1">
      <c r="A7937" s="14"/>
      <c r="B7937" s="12"/>
      <c r="C7937" s="12"/>
      <c r="D7937" s="12"/>
      <c r="E7937" s="12"/>
      <c r="F7937" s="14"/>
      <c r="G7937" s="15"/>
      <c r="H7937" s="15"/>
      <c r="I7937" s="14"/>
      <c r="P7937" s="14"/>
    </row>
    <row r="7938" ht="18.75" customHeight="1">
      <c r="A7938" s="14"/>
      <c r="B7938" s="12"/>
      <c r="C7938" s="12"/>
      <c r="D7938" s="12"/>
      <c r="E7938" s="12"/>
      <c r="F7938" s="14"/>
      <c r="G7938" s="15"/>
      <c r="H7938" s="15"/>
      <c r="I7938" s="14"/>
      <c r="P7938" s="14"/>
    </row>
    <row r="7939" ht="18.75" customHeight="1">
      <c r="A7939" s="14"/>
      <c r="B7939" s="12"/>
      <c r="C7939" s="12"/>
      <c r="D7939" s="12"/>
      <c r="E7939" s="12"/>
      <c r="F7939" s="14"/>
      <c r="G7939" s="15"/>
      <c r="H7939" s="15"/>
      <c r="I7939" s="14"/>
      <c r="P7939" s="14"/>
    </row>
    <row r="7940" ht="18.75" customHeight="1">
      <c r="A7940" s="14"/>
      <c r="B7940" s="12"/>
      <c r="C7940" s="12"/>
      <c r="D7940" s="12"/>
      <c r="E7940" s="12"/>
      <c r="F7940" s="14"/>
      <c r="G7940" s="15"/>
      <c r="H7940" s="15"/>
      <c r="I7940" s="14"/>
      <c r="P7940" s="14"/>
    </row>
    <row r="7941" ht="18.75" customHeight="1">
      <c r="A7941" s="14"/>
      <c r="B7941" s="12"/>
      <c r="C7941" s="12"/>
      <c r="D7941" s="12"/>
      <c r="E7941" s="12"/>
      <c r="F7941" s="14"/>
      <c r="G7941" s="15"/>
      <c r="H7941" s="15"/>
      <c r="I7941" s="14"/>
      <c r="P7941" s="14"/>
    </row>
    <row r="7942" ht="18.75" customHeight="1">
      <c r="A7942" s="14"/>
      <c r="B7942" s="12"/>
      <c r="C7942" s="12"/>
      <c r="D7942" s="12"/>
      <c r="E7942" s="12"/>
      <c r="F7942" s="14"/>
      <c r="G7942" s="15"/>
      <c r="H7942" s="15"/>
      <c r="I7942" s="14"/>
      <c r="P7942" s="14"/>
    </row>
    <row r="7943" ht="18.75" customHeight="1">
      <c r="A7943" s="14"/>
      <c r="B7943" s="12"/>
      <c r="C7943" s="12"/>
      <c r="D7943" s="12"/>
      <c r="E7943" s="12"/>
      <c r="F7943" s="14"/>
      <c r="G7943" s="15"/>
      <c r="H7943" s="15"/>
      <c r="I7943" s="14"/>
      <c r="P7943" s="14"/>
    </row>
    <row r="7944" ht="18.75" customHeight="1">
      <c r="A7944" s="14"/>
      <c r="B7944" s="12"/>
      <c r="C7944" s="12"/>
      <c r="D7944" s="12"/>
      <c r="E7944" s="12"/>
      <c r="F7944" s="14"/>
      <c r="G7944" s="15"/>
      <c r="H7944" s="15"/>
      <c r="I7944" s="14"/>
      <c r="P7944" s="14"/>
    </row>
    <row r="7945" ht="18.75" customHeight="1">
      <c r="A7945" s="14"/>
      <c r="B7945" s="12"/>
      <c r="C7945" s="12"/>
      <c r="D7945" s="12"/>
      <c r="E7945" s="12"/>
      <c r="F7945" s="14"/>
      <c r="G7945" s="15"/>
      <c r="H7945" s="15"/>
      <c r="I7945" s="14"/>
      <c r="P7945" s="14"/>
    </row>
    <row r="7946" ht="18.75" customHeight="1">
      <c r="A7946" s="14"/>
      <c r="B7946" s="12"/>
      <c r="C7946" s="12"/>
      <c r="D7946" s="12"/>
      <c r="E7946" s="12"/>
      <c r="F7946" s="14"/>
      <c r="G7946" s="15"/>
      <c r="H7946" s="15"/>
      <c r="I7946" s="14"/>
      <c r="P7946" s="14"/>
    </row>
    <row r="7947" ht="18.75" customHeight="1">
      <c r="A7947" s="14"/>
      <c r="B7947" s="12"/>
      <c r="C7947" s="12"/>
      <c r="D7947" s="12"/>
      <c r="E7947" s="12"/>
      <c r="F7947" s="14"/>
      <c r="G7947" s="15"/>
      <c r="H7947" s="15"/>
      <c r="I7947" s="14"/>
      <c r="P7947" s="14"/>
    </row>
    <row r="7948" ht="18.75" customHeight="1">
      <c r="A7948" s="14"/>
      <c r="B7948" s="12"/>
      <c r="C7948" s="12"/>
      <c r="D7948" s="12"/>
      <c r="E7948" s="12"/>
      <c r="F7948" s="14"/>
      <c r="G7948" s="15"/>
      <c r="H7948" s="15"/>
      <c r="I7948" s="14"/>
      <c r="P7948" s="14"/>
    </row>
    <row r="7949" ht="18.75" customHeight="1">
      <c r="A7949" s="14"/>
      <c r="B7949" s="12"/>
      <c r="C7949" s="12"/>
      <c r="D7949" s="12"/>
      <c r="E7949" s="12"/>
      <c r="F7949" s="14"/>
      <c r="G7949" s="15"/>
      <c r="H7949" s="15"/>
      <c r="I7949" s="14"/>
      <c r="P7949" s="14"/>
    </row>
    <row r="7950" ht="18.75" customHeight="1">
      <c r="A7950" s="14"/>
      <c r="B7950" s="12"/>
      <c r="C7950" s="12"/>
      <c r="D7950" s="12"/>
      <c r="E7950" s="12"/>
      <c r="F7950" s="14"/>
      <c r="G7950" s="15"/>
      <c r="H7950" s="15"/>
      <c r="I7950" s="14"/>
      <c r="P7950" s="14"/>
    </row>
    <row r="7951" ht="18.75" customHeight="1">
      <c r="A7951" s="14"/>
      <c r="B7951" s="12"/>
      <c r="C7951" s="12"/>
      <c r="D7951" s="12"/>
      <c r="E7951" s="12"/>
      <c r="F7951" s="14"/>
      <c r="G7951" s="15"/>
      <c r="H7951" s="15"/>
      <c r="I7951" s="14"/>
      <c r="P7951" s="14"/>
    </row>
    <row r="7952" ht="18.75" customHeight="1">
      <c r="A7952" s="14"/>
      <c r="B7952" s="12"/>
      <c r="C7952" s="12"/>
      <c r="D7952" s="12"/>
      <c r="E7952" s="12"/>
      <c r="F7952" s="14"/>
      <c r="G7952" s="15"/>
      <c r="H7952" s="15"/>
      <c r="I7952" s="14"/>
      <c r="P7952" s="14"/>
    </row>
    <row r="7953" ht="18.75" customHeight="1">
      <c r="A7953" s="14"/>
      <c r="B7953" s="12"/>
      <c r="C7953" s="12"/>
      <c r="D7953" s="12"/>
      <c r="E7953" s="12"/>
      <c r="F7953" s="14"/>
      <c r="G7953" s="15"/>
      <c r="H7953" s="15"/>
      <c r="I7953" s="14"/>
      <c r="P7953" s="14"/>
    </row>
    <row r="7954" ht="18.75" customHeight="1">
      <c r="A7954" s="14"/>
      <c r="B7954" s="12"/>
      <c r="C7954" s="12"/>
      <c r="D7954" s="12"/>
      <c r="E7954" s="12"/>
      <c r="F7954" s="14"/>
      <c r="G7954" s="15"/>
      <c r="H7954" s="15"/>
      <c r="I7954" s="14"/>
      <c r="P7954" s="14"/>
    </row>
    <row r="7955" ht="18.75" customHeight="1">
      <c r="A7955" s="14"/>
      <c r="B7955" s="12"/>
      <c r="C7955" s="12"/>
      <c r="D7955" s="12"/>
      <c r="E7955" s="12"/>
      <c r="F7955" s="14"/>
      <c r="G7955" s="15"/>
      <c r="H7955" s="15"/>
      <c r="I7955" s="14"/>
      <c r="P7955" s="14"/>
    </row>
    <row r="7956" ht="18.75" customHeight="1">
      <c r="A7956" s="14"/>
      <c r="B7956" s="12"/>
      <c r="C7956" s="12"/>
      <c r="D7956" s="12"/>
      <c r="E7956" s="12"/>
      <c r="F7956" s="14"/>
      <c r="G7956" s="15"/>
      <c r="H7956" s="15"/>
      <c r="I7956" s="14"/>
      <c r="P7956" s="14"/>
    </row>
    <row r="7957" ht="18.75" customHeight="1">
      <c r="A7957" s="14"/>
      <c r="B7957" s="12"/>
      <c r="C7957" s="12"/>
      <c r="D7957" s="12"/>
      <c r="E7957" s="12"/>
      <c r="F7957" s="14"/>
      <c r="G7957" s="15"/>
      <c r="H7957" s="15"/>
      <c r="I7957" s="14"/>
      <c r="P7957" s="14"/>
    </row>
    <row r="7958" ht="18.75" customHeight="1">
      <c r="A7958" s="14"/>
      <c r="B7958" s="12"/>
      <c r="C7958" s="12"/>
      <c r="D7958" s="12"/>
      <c r="E7958" s="12"/>
      <c r="F7958" s="14"/>
      <c r="G7958" s="15"/>
      <c r="H7958" s="15"/>
      <c r="I7958" s="14"/>
      <c r="P7958" s="14"/>
    </row>
    <row r="7959" ht="18.75" customHeight="1">
      <c r="A7959" s="14"/>
      <c r="B7959" s="12"/>
      <c r="C7959" s="12"/>
      <c r="D7959" s="12"/>
      <c r="E7959" s="12"/>
      <c r="F7959" s="14"/>
      <c r="G7959" s="15"/>
      <c r="H7959" s="15"/>
      <c r="I7959" s="14"/>
      <c r="P7959" s="14"/>
    </row>
    <row r="7960" ht="18.75" customHeight="1">
      <c r="A7960" s="14"/>
      <c r="B7960" s="12"/>
      <c r="C7960" s="12"/>
      <c r="D7960" s="12"/>
      <c r="E7960" s="12"/>
      <c r="F7960" s="14"/>
      <c r="G7960" s="15"/>
      <c r="H7960" s="15"/>
      <c r="I7960" s="14"/>
      <c r="P7960" s="14"/>
    </row>
    <row r="7961" ht="18.75" customHeight="1">
      <c r="A7961" s="14"/>
      <c r="B7961" s="12"/>
      <c r="C7961" s="12"/>
      <c r="D7961" s="12"/>
      <c r="E7961" s="12"/>
      <c r="F7961" s="14"/>
      <c r="G7961" s="15"/>
      <c r="H7961" s="15"/>
      <c r="I7961" s="14"/>
      <c r="P7961" s="14"/>
    </row>
    <row r="7962" ht="18.75" customHeight="1">
      <c r="A7962" s="14"/>
      <c r="B7962" s="12"/>
      <c r="C7962" s="12"/>
      <c r="D7962" s="12"/>
      <c r="E7962" s="12"/>
      <c r="F7962" s="14"/>
      <c r="G7962" s="15"/>
      <c r="H7962" s="15"/>
      <c r="I7962" s="14"/>
      <c r="P7962" s="14"/>
    </row>
    <row r="7963" ht="18.75" customHeight="1">
      <c r="A7963" s="14"/>
      <c r="B7963" s="12"/>
      <c r="C7963" s="12"/>
      <c r="D7963" s="12"/>
      <c r="E7963" s="12"/>
      <c r="F7963" s="14"/>
      <c r="G7963" s="15"/>
      <c r="H7963" s="15"/>
      <c r="I7963" s="14"/>
      <c r="P7963" s="14"/>
    </row>
    <row r="7964" ht="18.75" customHeight="1">
      <c r="A7964" s="14"/>
      <c r="B7964" s="12"/>
      <c r="C7964" s="12"/>
      <c r="D7964" s="12"/>
      <c r="E7964" s="12"/>
      <c r="F7964" s="14"/>
      <c r="G7964" s="15"/>
      <c r="H7964" s="15"/>
      <c r="I7964" s="14"/>
      <c r="P7964" s="14"/>
    </row>
    <row r="7965" ht="18.75" customHeight="1">
      <c r="A7965" s="14"/>
      <c r="B7965" s="12"/>
      <c r="C7965" s="12"/>
      <c r="D7965" s="12"/>
      <c r="E7965" s="12"/>
      <c r="F7965" s="14"/>
      <c r="G7965" s="15"/>
      <c r="H7965" s="15"/>
      <c r="I7965" s="14"/>
      <c r="P7965" s="14"/>
    </row>
    <row r="7966" ht="18.75" customHeight="1">
      <c r="A7966" s="14"/>
      <c r="B7966" s="12"/>
      <c r="C7966" s="12"/>
      <c r="D7966" s="12"/>
      <c r="E7966" s="12"/>
      <c r="F7966" s="14"/>
      <c r="G7966" s="15"/>
      <c r="H7966" s="15"/>
      <c r="I7966" s="14"/>
      <c r="P7966" s="14"/>
    </row>
    <row r="7967" ht="18.75" customHeight="1">
      <c r="A7967" s="14"/>
      <c r="B7967" s="12"/>
      <c r="C7967" s="12"/>
      <c r="D7967" s="12"/>
      <c r="E7967" s="12"/>
      <c r="F7967" s="14"/>
      <c r="G7967" s="15"/>
      <c r="H7967" s="15"/>
      <c r="I7967" s="14"/>
      <c r="P7967" s="14"/>
    </row>
    <row r="7968" ht="18.75" customHeight="1">
      <c r="A7968" s="14"/>
      <c r="B7968" s="12"/>
      <c r="C7968" s="12"/>
      <c r="D7968" s="12"/>
      <c r="E7968" s="12"/>
      <c r="F7968" s="14"/>
      <c r="G7968" s="15"/>
      <c r="H7968" s="15"/>
      <c r="I7968" s="14"/>
      <c r="P7968" s="14"/>
    </row>
    <row r="7969" ht="18.75" customHeight="1">
      <c r="A7969" s="14"/>
      <c r="B7969" s="12"/>
      <c r="C7969" s="12"/>
      <c r="D7969" s="12"/>
      <c r="E7969" s="12"/>
      <c r="F7969" s="14"/>
      <c r="G7969" s="15"/>
      <c r="H7969" s="15"/>
      <c r="I7969" s="14"/>
      <c r="P7969" s="14"/>
    </row>
    <row r="7970" ht="18.75" customHeight="1">
      <c r="A7970" s="14"/>
      <c r="B7970" s="12"/>
      <c r="C7970" s="12"/>
      <c r="D7970" s="12"/>
      <c r="E7970" s="12"/>
      <c r="F7970" s="14"/>
      <c r="G7970" s="15"/>
      <c r="H7970" s="15"/>
      <c r="I7970" s="14"/>
      <c r="P7970" s="14"/>
    </row>
    <row r="7971" ht="18.75" customHeight="1">
      <c r="A7971" s="14"/>
      <c r="B7971" s="12"/>
      <c r="C7971" s="12"/>
      <c r="D7971" s="12"/>
      <c r="E7971" s="12"/>
      <c r="F7971" s="14"/>
      <c r="G7971" s="15"/>
      <c r="H7971" s="15"/>
      <c r="I7971" s="14"/>
      <c r="P7971" s="14"/>
    </row>
    <row r="7972" ht="18.75" customHeight="1">
      <c r="A7972" s="14"/>
      <c r="B7972" s="12"/>
      <c r="C7972" s="12"/>
      <c r="D7972" s="12"/>
      <c r="E7972" s="12"/>
      <c r="F7972" s="14"/>
      <c r="G7972" s="15"/>
      <c r="H7972" s="15"/>
      <c r="I7972" s="14"/>
      <c r="P7972" s="14"/>
    </row>
    <row r="7973" ht="18.75" customHeight="1">
      <c r="A7973" s="14"/>
      <c r="B7973" s="12"/>
      <c r="C7973" s="12"/>
      <c r="D7973" s="12"/>
      <c r="E7973" s="12"/>
      <c r="F7973" s="14"/>
      <c r="G7973" s="15"/>
      <c r="H7973" s="15"/>
      <c r="I7973" s="14"/>
      <c r="P7973" s="14"/>
    </row>
    <row r="7974" ht="18.75" customHeight="1">
      <c r="A7974" s="14"/>
      <c r="B7974" s="12"/>
      <c r="C7974" s="12"/>
      <c r="D7974" s="12"/>
      <c r="E7974" s="12"/>
      <c r="F7974" s="14"/>
      <c r="G7974" s="15"/>
      <c r="H7974" s="15"/>
      <c r="I7974" s="14"/>
      <c r="P7974" s="14"/>
    </row>
    <row r="7975" ht="18.75" customHeight="1">
      <c r="A7975" s="14"/>
      <c r="B7975" s="12"/>
      <c r="C7975" s="12"/>
      <c r="D7975" s="12"/>
      <c r="E7975" s="12"/>
      <c r="F7975" s="14"/>
      <c r="G7975" s="15"/>
      <c r="H7975" s="15"/>
      <c r="I7975" s="14"/>
      <c r="P7975" s="14"/>
    </row>
    <row r="7976" ht="18.75" customHeight="1">
      <c r="A7976" s="14"/>
      <c r="B7976" s="12"/>
      <c r="C7976" s="12"/>
      <c r="D7976" s="12"/>
      <c r="E7976" s="12"/>
      <c r="F7976" s="14"/>
      <c r="G7976" s="15"/>
      <c r="H7976" s="15"/>
      <c r="I7976" s="14"/>
      <c r="P7976" s="14"/>
    </row>
    <row r="7977" ht="18.75" customHeight="1">
      <c r="A7977" s="14"/>
      <c r="B7977" s="12"/>
      <c r="C7977" s="12"/>
      <c r="D7977" s="12"/>
      <c r="E7977" s="12"/>
      <c r="F7977" s="14"/>
      <c r="G7977" s="15"/>
      <c r="H7977" s="15"/>
      <c r="I7977" s="14"/>
      <c r="P7977" s="14"/>
    </row>
    <row r="7978" ht="18.75" customHeight="1">
      <c r="A7978" s="14"/>
      <c r="B7978" s="12"/>
      <c r="C7978" s="12"/>
      <c r="D7978" s="12"/>
      <c r="E7978" s="12"/>
      <c r="F7978" s="14"/>
      <c r="G7978" s="15"/>
      <c r="H7978" s="15"/>
      <c r="I7978" s="14"/>
      <c r="P7978" s="14"/>
    </row>
    <row r="7979" ht="18.75" customHeight="1">
      <c r="A7979" s="14"/>
      <c r="B7979" s="12"/>
      <c r="C7979" s="12"/>
      <c r="D7979" s="12"/>
      <c r="E7979" s="12"/>
      <c r="F7979" s="14"/>
      <c r="G7979" s="15"/>
      <c r="H7979" s="15"/>
      <c r="I7979" s="14"/>
      <c r="P7979" s="14"/>
    </row>
    <row r="7980" ht="18.75" customHeight="1">
      <c r="A7980" s="14"/>
      <c r="B7980" s="12"/>
      <c r="C7980" s="12"/>
      <c r="D7980" s="12"/>
      <c r="E7980" s="12"/>
      <c r="F7980" s="14"/>
      <c r="G7980" s="15"/>
      <c r="H7980" s="15"/>
      <c r="I7980" s="14"/>
      <c r="P7980" s="14"/>
    </row>
    <row r="7981" ht="18.75" customHeight="1">
      <c r="A7981" s="14"/>
      <c r="B7981" s="12"/>
      <c r="C7981" s="12"/>
      <c r="D7981" s="12"/>
      <c r="E7981" s="12"/>
      <c r="F7981" s="14"/>
      <c r="G7981" s="15"/>
      <c r="H7981" s="15"/>
      <c r="I7981" s="14"/>
      <c r="P7981" s="14"/>
    </row>
    <row r="7982" ht="18.75" customHeight="1">
      <c r="A7982" s="14"/>
      <c r="B7982" s="12"/>
      <c r="C7982" s="12"/>
      <c r="D7982" s="12"/>
      <c r="E7982" s="12"/>
      <c r="F7982" s="14"/>
      <c r="G7982" s="15"/>
      <c r="H7982" s="15"/>
      <c r="I7982" s="14"/>
      <c r="P7982" s="14"/>
    </row>
    <row r="7983" ht="18.75" customHeight="1">
      <c r="A7983" s="14"/>
      <c r="B7983" s="12"/>
      <c r="C7983" s="12"/>
      <c r="D7983" s="12"/>
      <c r="E7983" s="12"/>
      <c r="F7983" s="14"/>
      <c r="G7983" s="15"/>
      <c r="H7983" s="15"/>
      <c r="I7983" s="14"/>
      <c r="P7983" s="14"/>
    </row>
    <row r="7984" ht="18.75" customHeight="1">
      <c r="A7984" s="14"/>
      <c r="B7984" s="12"/>
      <c r="C7984" s="12"/>
      <c r="D7984" s="12"/>
      <c r="E7984" s="12"/>
      <c r="F7984" s="14"/>
      <c r="G7984" s="15"/>
      <c r="H7984" s="15"/>
      <c r="I7984" s="14"/>
      <c r="P7984" s="14"/>
    </row>
    <row r="7985" ht="18.75" customHeight="1">
      <c r="A7985" s="14"/>
      <c r="B7985" s="12"/>
      <c r="C7985" s="12"/>
      <c r="D7985" s="12"/>
      <c r="E7985" s="12"/>
      <c r="F7985" s="14"/>
      <c r="G7985" s="15"/>
      <c r="H7985" s="15"/>
      <c r="I7985" s="14"/>
      <c r="P7985" s="14"/>
    </row>
    <row r="7986" ht="18.75" customHeight="1">
      <c r="A7986" s="14"/>
      <c r="B7986" s="12"/>
      <c r="C7986" s="12"/>
      <c r="D7986" s="12"/>
      <c r="E7986" s="12"/>
      <c r="F7986" s="14"/>
      <c r="G7986" s="15"/>
      <c r="H7986" s="15"/>
      <c r="I7986" s="14"/>
      <c r="P7986" s="14"/>
    </row>
    <row r="7987" ht="18.75" customHeight="1">
      <c r="A7987" s="14"/>
      <c r="B7987" s="12"/>
      <c r="C7987" s="12"/>
      <c r="D7987" s="12"/>
      <c r="E7987" s="12"/>
      <c r="F7987" s="14"/>
      <c r="G7987" s="15"/>
      <c r="H7987" s="15"/>
      <c r="I7987" s="14"/>
      <c r="P7987" s="14"/>
    </row>
    <row r="7988" ht="18.75" customHeight="1">
      <c r="A7988" s="14"/>
      <c r="B7988" s="12"/>
      <c r="C7988" s="12"/>
      <c r="D7988" s="12"/>
      <c r="E7988" s="12"/>
      <c r="F7988" s="14"/>
      <c r="G7988" s="15"/>
      <c r="H7988" s="15"/>
      <c r="I7988" s="14"/>
      <c r="P7988" s="14"/>
    </row>
    <row r="7989" ht="18.75" customHeight="1">
      <c r="A7989" s="14"/>
      <c r="B7989" s="12"/>
      <c r="C7989" s="12"/>
      <c r="D7989" s="12"/>
      <c r="E7989" s="12"/>
      <c r="F7989" s="14"/>
      <c r="G7989" s="15"/>
      <c r="H7989" s="15"/>
      <c r="I7989" s="14"/>
      <c r="P7989" s="14"/>
    </row>
    <row r="7990" ht="18.75" customHeight="1">
      <c r="A7990" s="14"/>
      <c r="B7990" s="12"/>
      <c r="C7990" s="12"/>
      <c r="D7990" s="12"/>
      <c r="E7990" s="12"/>
      <c r="F7990" s="14"/>
      <c r="G7990" s="15"/>
      <c r="H7990" s="15"/>
      <c r="I7990" s="14"/>
      <c r="P7990" s="14"/>
    </row>
    <row r="7991" ht="18.75" customHeight="1">
      <c r="A7991" s="14"/>
      <c r="B7991" s="12"/>
      <c r="C7991" s="12"/>
      <c r="D7991" s="12"/>
      <c r="E7991" s="12"/>
      <c r="F7991" s="14"/>
      <c r="G7991" s="15"/>
      <c r="H7991" s="15"/>
      <c r="I7991" s="14"/>
      <c r="P7991" s="14"/>
    </row>
    <row r="7992" ht="18.75" customHeight="1">
      <c r="A7992" s="14"/>
      <c r="B7992" s="12"/>
      <c r="C7992" s="12"/>
      <c r="D7992" s="12"/>
      <c r="E7992" s="12"/>
      <c r="F7992" s="14"/>
      <c r="G7992" s="15"/>
      <c r="H7992" s="15"/>
      <c r="I7992" s="14"/>
      <c r="P7992" s="14"/>
    </row>
    <row r="7993" ht="18.75" customHeight="1">
      <c r="A7993" s="14"/>
      <c r="B7993" s="12"/>
      <c r="C7993" s="12"/>
      <c r="D7993" s="12"/>
      <c r="E7993" s="12"/>
      <c r="F7993" s="14"/>
      <c r="G7993" s="15"/>
      <c r="H7993" s="15"/>
      <c r="I7993" s="14"/>
      <c r="P7993" s="14"/>
    </row>
    <row r="7994" ht="18.75" customHeight="1">
      <c r="A7994" s="14"/>
      <c r="B7994" s="12"/>
      <c r="C7994" s="12"/>
      <c r="D7994" s="12"/>
      <c r="E7994" s="12"/>
      <c r="F7994" s="14"/>
      <c r="G7994" s="15"/>
      <c r="H7994" s="15"/>
      <c r="I7994" s="14"/>
      <c r="P7994" s="14"/>
    </row>
    <row r="7995" ht="18.75" customHeight="1">
      <c r="A7995" s="14"/>
      <c r="B7995" s="12"/>
      <c r="C7995" s="12"/>
      <c r="D7995" s="12"/>
      <c r="E7995" s="12"/>
      <c r="F7995" s="14"/>
      <c r="G7995" s="15"/>
      <c r="H7995" s="15"/>
      <c r="I7995" s="14"/>
      <c r="P7995" s="14"/>
    </row>
    <row r="7996" ht="18.75" customHeight="1">
      <c r="A7996" s="14"/>
      <c r="B7996" s="12"/>
      <c r="C7996" s="12"/>
      <c r="D7996" s="12"/>
      <c r="E7996" s="12"/>
      <c r="F7996" s="14"/>
      <c r="G7996" s="15"/>
      <c r="H7996" s="15"/>
      <c r="I7996" s="14"/>
      <c r="P7996" s="14"/>
    </row>
    <row r="7997" ht="18.75" customHeight="1">
      <c r="A7997" s="14"/>
      <c r="B7997" s="12"/>
      <c r="C7997" s="12"/>
      <c r="D7997" s="12"/>
      <c r="E7997" s="12"/>
      <c r="F7997" s="14"/>
      <c r="G7997" s="15"/>
      <c r="H7997" s="15"/>
      <c r="I7997" s="14"/>
      <c r="P7997" s="14"/>
    </row>
    <row r="7998" ht="18.75" customHeight="1">
      <c r="A7998" s="14"/>
      <c r="B7998" s="12"/>
      <c r="C7998" s="12"/>
      <c r="D7998" s="12"/>
      <c r="E7998" s="12"/>
      <c r="F7998" s="14"/>
      <c r="G7998" s="15"/>
      <c r="H7998" s="15"/>
      <c r="I7998" s="14"/>
      <c r="P7998" s="14"/>
    </row>
    <row r="7999" ht="18.75" customHeight="1">
      <c r="A7999" s="14"/>
      <c r="B7999" s="12"/>
      <c r="C7999" s="12"/>
      <c r="D7999" s="12"/>
      <c r="E7999" s="12"/>
      <c r="F7999" s="14"/>
      <c r="G7999" s="15"/>
      <c r="H7999" s="15"/>
      <c r="I7999" s="14"/>
      <c r="P7999" s="14"/>
    </row>
    <row r="8000" ht="18.75" customHeight="1">
      <c r="A8000" s="14"/>
      <c r="B8000" s="12"/>
      <c r="C8000" s="12"/>
      <c r="D8000" s="12"/>
      <c r="E8000" s="12"/>
      <c r="F8000" s="14"/>
      <c r="G8000" s="15"/>
      <c r="H8000" s="15"/>
      <c r="I8000" s="14"/>
      <c r="P8000" s="14"/>
    </row>
    <row r="8001" ht="18.75" customHeight="1">
      <c r="A8001" s="14"/>
      <c r="B8001" s="12"/>
      <c r="C8001" s="12"/>
      <c r="D8001" s="12"/>
      <c r="E8001" s="12"/>
      <c r="F8001" s="14"/>
      <c r="G8001" s="15"/>
      <c r="H8001" s="15"/>
      <c r="I8001" s="14"/>
      <c r="P8001" s="14"/>
    </row>
    <row r="8002" ht="18.75" customHeight="1">
      <c r="A8002" s="14"/>
      <c r="B8002" s="12"/>
      <c r="C8002" s="12"/>
      <c r="D8002" s="12"/>
      <c r="E8002" s="12"/>
      <c r="F8002" s="14"/>
      <c r="G8002" s="15"/>
      <c r="H8002" s="15"/>
      <c r="I8002" s="14"/>
      <c r="P8002" s="14"/>
    </row>
    <row r="8003" ht="18.75" customHeight="1">
      <c r="A8003" s="14"/>
      <c r="B8003" s="12"/>
      <c r="C8003" s="12"/>
      <c r="D8003" s="12"/>
      <c r="E8003" s="12"/>
      <c r="F8003" s="14"/>
      <c r="G8003" s="15"/>
      <c r="H8003" s="15"/>
      <c r="I8003" s="14"/>
      <c r="P8003" s="14"/>
    </row>
    <row r="8004" ht="18.75" customHeight="1">
      <c r="A8004" s="14"/>
      <c r="B8004" s="12"/>
      <c r="C8004" s="12"/>
      <c r="D8004" s="12"/>
      <c r="E8004" s="12"/>
      <c r="F8004" s="14"/>
      <c r="G8004" s="15"/>
      <c r="H8004" s="15"/>
      <c r="I8004" s="14"/>
      <c r="P8004" s="14"/>
    </row>
    <row r="8005" ht="18.75" customHeight="1">
      <c r="A8005" s="14"/>
      <c r="B8005" s="12"/>
      <c r="C8005" s="12"/>
      <c r="D8005" s="12"/>
      <c r="E8005" s="12"/>
      <c r="F8005" s="14"/>
      <c r="G8005" s="15"/>
      <c r="H8005" s="15"/>
      <c r="I8005" s="14"/>
      <c r="P8005" s="14"/>
    </row>
    <row r="8006" ht="18.75" customHeight="1">
      <c r="A8006" s="14"/>
      <c r="B8006" s="12"/>
      <c r="C8006" s="12"/>
      <c r="D8006" s="12"/>
      <c r="E8006" s="12"/>
      <c r="F8006" s="14"/>
      <c r="G8006" s="15"/>
      <c r="H8006" s="15"/>
      <c r="I8006" s="14"/>
      <c r="P8006" s="14"/>
    </row>
    <row r="8007" ht="18.75" customHeight="1">
      <c r="A8007" s="14"/>
      <c r="B8007" s="12"/>
      <c r="C8007" s="12"/>
      <c r="D8007" s="12"/>
      <c r="E8007" s="12"/>
      <c r="F8007" s="14"/>
      <c r="G8007" s="15"/>
      <c r="H8007" s="15"/>
      <c r="I8007" s="14"/>
      <c r="P8007" s="14"/>
    </row>
    <row r="8008" ht="18.75" customHeight="1">
      <c r="A8008" s="14"/>
      <c r="B8008" s="12"/>
      <c r="C8008" s="12"/>
      <c r="D8008" s="12"/>
      <c r="E8008" s="12"/>
      <c r="F8008" s="14"/>
      <c r="G8008" s="15"/>
      <c r="H8008" s="15"/>
      <c r="I8008" s="14"/>
      <c r="P8008" s="14"/>
    </row>
    <row r="8009" ht="18.75" customHeight="1">
      <c r="A8009" s="14"/>
      <c r="B8009" s="12"/>
      <c r="C8009" s="12"/>
      <c r="D8009" s="12"/>
      <c r="E8009" s="12"/>
      <c r="F8009" s="14"/>
      <c r="G8009" s="15"/>
      <c r="H8009" s="15"/>
      <c r="I8009" s="14"/>
      <c r="P8009" s="14"/>
    </row>
    <row r="8010" ht="18.75" customHeight="1">
      <c r="A8010" s="14"/>
      <c r="B8010" s="12"/>
      <c r="C8010" s="12"/>
      <c r="D8010" s="12"/>
      <c r="E8010" s="12"/>
      <c r="F8010" s="14"/>
      <c r="G8010" s="15"/>
      <c r="H8010" s="15"/>
      <c r="I8010" s="14"/>
      <c r="P8010" s="14"/>
    </row>
    <row r="8011" ht="18.75" customHeight="1">
      <c r="A8011" s="14"/>
      <c r="B8011" s="12"/>
      <c r="C8011" s="12"/>
      <c r="D8011" s="12"/>
      <c r="E8011" s="12"/>
      <c r="F8011" s="14"/>
      <c r="G8011" s="15"/>
      <c r="H8011" s="15"/>
      <c r="I8011" s="14"/>
      <c r="P8011" s="14"/>
    </row>
    <row r="8012" ht="18.75" customHeight="1">
      <c r="A8012" s="14"/>
      <c r="B8012" s="12"/>
      <c r="C8012" s="12"/>
      <c r="D8012" s="12"/>
      <c r="E8012" s="12"/>
      <c r="F8012" s="14"/>
      <c r="G8012" s="15"/>
      <c r="H8012" s="15"/>
      <c r="I8012" s="14"/>
      <c r="P8012" s="14"/>
    </row>
    <row r="8013" ht="18.75" customHeight="1">
      <c r="A8013" s="14"/>
      <c r="B8013" s="12"/>
      <c r="C8013" s="12"/>
      <c r="D8013" s="12"/>
      <c r="E8013" s="12"/>
      <c r="F8013" s="14"/>
      <c r="G8013" s="15"/>
      <c r="H8013" s="15"/>
      <c r="I8013" s="14"/>
      <c r="P8013" s="14"/>
    </row>
    <row r="8014" ht="18.75" customHeight="1">
      <c r="A8014" s="14"/>
      <c r="B8014" s="12"/>
      <c r="C8014" s="12"/>
      <c r="D8014" s="12"/>
      <c r="E8014" s="12"/>
      <c r="F8014" s="14"/>
      <c r="G8014" s="15"/>
      <c r="H8014" s="15"/>
      <c r="I8014" s="14"/>
      <c r="P8014" s="14"/>
    </row>
    <row r="8015" ht="18.75" customHeight="1">
      <c r="A8015" s="14"/>
      <c r="B8015" s="12"/>
      <c r="C8015" s="12"/>
      <c r="D8015" s="12"/>
      <c r="E8015" s="12"/>
      <c r="F8015" s="14"/>
      <c r="G8015" s="15"/>
      <c r="H8015" s="15"/>
      <c r="I8015" s="14"/>
      <c r="P8015" s="14"/>
    </row>
    <row r="8016" ht="18.75" customHeight="1">
      <c r="A8016" s="14"/>
      <c r="B8016" s="12"/>
      <c r="C8016" s="12"/>
      <c r="D8016" s="12"/>
      <c r="E8016" s="12"/>
      <c r="F8016" s="14"/>
      <c r="G8016" s="15"/>
      <c r="H8016" s="15"/>
      <c r="I8016" s="14"/>
      <c r="P8016" s="14"/>
    </row>
    <row r="8017" ht="18.75" customHeight="1">
      <c r="A8017" s="14"/>
      <c r="B8017" s="12"/>
      <c r="C8017" s="12"/>
      <c r="D8017" s="12"/>
      <c r="E8017" s="12"/>
      <c r="F8017" s="14"/>
      <c r="G8017" s="15"/>
      <c r="H8017" s="15"/>
      <c r="I8017" s="14"/>
      <c r="P8017" s="14"/>
    </row>
    <row r="8018" ht="18.75" customHeight="1">
      <c r="A8018" s="14"/>
      <c r="B8018" s="12"/>
      <c r="C8018" s="12"/>
      <c r="D8018" s="12"/>
      <c r="E8018" s="12"/>
      <c r="F8018" s="14"/>
      <c r="G8018" s="15"/>
      <c r="H8018" s="15"/>
      <c r="I8018" s="14"/>
      <c r="P8018" s="14"/>
    </row>
    <row r="8019" ht="18.75" customHeight="1">
      <c r="A8019" s="14"/>
      <c r="B8019" s="12"/>
      <c r="C8019" s="12"/>
      <c r="D8019" s="12"/>
      <c r="E8019" s="12"/>
      <c r="F8019" s="14"/>
      <c r="G8019" s="15"/>
      <c r="H8019" s="15"/>
      <c r="I8019" s="14"/>
      <c r="P8019" s="14"/>
    </row>
    <row r="8020" ht="18.75" customHeight="1">
      <c r="A8020" s="14"/>
      <c r="B8020" s="12"/>
      <c r="C8020" s="12"/>
      <c r="D8020" s="12"/>
      <c r="E8020" s="12"/>
      <c r="F8020" s="14"/>
      <c r="G8020" s="15"/>
      <c r="H8020" s="15"/>
      <c r="I8020" s="14"/>
      <c r="P8020" s="14"/>
    </row>
    <row r="8021" ht="18.75" customHeight="1">
      <c r="A8021" s="14"/>
      <c r="B8021" s="12"/>
      <c r="C8021" s="12"/>
      <c r="D8021" s="12"/>
      <c r="E8021" s="12"/>
      <c r="F8021" s="14"/>
      <c r="G8021" s="15"/>
      <c r="H8021" s="15"/>
      <c r="I8021" s="14"/>
      <c r="P8021" s="14"/>
    </row>
    <row r="8022" ht="18.75" customHeight="1">
      <c r="A8022" s="14"/>
      <c r="B8022" s="12"/>
      <c r="C8022" s="12"/>
      <c r="D8022" s="12"/>
      <c r="E8022" s="12"/>
      <c r="F8022" s="14"/>
      <c r="G8022" s="15"/>
      <c r="H8022" s="15"/>
      <c r="I8022" s="14"/>
      <c r="P8022" s="14"/>
    </row>
    <row r="8023" ht="18.75" customHeight="1">
      <c r="A8023" s="14"/>
      <c r="B8023" s="12"/>
      <c r="C8023" s="12"/>
      <c r="D8023" s="12"/>
      <c r="E8023" s="12"/>
      <c r="F8023" s="14"/>
      <c r="G8023" s="15"/>
      <c r="H8023" s="15"/>
      <c r="I8023" s="14"/>
      <c r="P8023" s="14"/>
    </row>
    <row r="8024" ht="18.75" customHeight="1">
      <c r="A8024" s="14"/>
      <c r="B8024" s="12"/>
      <c r="C8024" s="12"/>
      <c r="D8024" s="12"/>
      <c r="E8024" s="12"/>
      <c r="F8024" s="14"/>
      <c r="G8024" s="15"/>
      <c r="H8024" s="15"/>
      <c r="I8024" s="14"/>
      <c r="P8024" s="14"/>
    </row>
    <row r="8025" ht="18.75" customHeight="1">
      <c r="A8025" s="14"/>
      <c r="B8025" s="12"/>
      <c r="C8025" s="12"/>
      <c r="D8025" s="12"/>
      <c r="E8025" s="12"/>
      <c r="F8025" s="14"/>
      <c r="G8025" s="15"/>
      <c r="H8025" s="15"/>
      <c r="I8025" s="14"/>
      <c r="P8025" s="14"/>
    </row>
    <row r="8026" ht="18.75" customHeight="1">
      <c r="A8026" s="14"/>
      <c r="B8026" s="12"/>
      <c r="C8026" s="12"/>
      <c r="D8026" s="12"/>
      <c r="E8026" s="12"/>
      <c r="F8026" s="14"/>
      <c r="G8026" s="15"/>
      <c r="H8026" s="15"/>
      <c r="I8026" s="14"/>
      <c r="P8026" s="14"/>
    </row>
    <row r="8027" ht="18.75" customHeight="1">
      <c r="A8027" s="14"/>
      <c r="B8027" s="12"/>
      <c r="C8027" s="12"/>
      <c r="D8027" s="12"/>
      <c r="E8027" s="12"/>
      <c r="F8027" s="14"/>
      <c r="G8027" s="15"/>
      <c r="H8027" s="15"/>
      <c r="I8027" s="14"/>
      <c r="P8027" s="14"/>
    </row>
    <row r="8028" ht="18.75" customHeight="1">
      <c r="A8028" s="14"/>
      <c r="B8028" s="12"/>
      <c r="C8028" s="12"/>
      <c r="D8028" s="12"/>
      <c r="E8028" s="12"/>
      <c r="F8028" s="14"/>
      <c r="G8028" s="15"/>
      <c r="H8028" s="15"/>
      <c r="I8028" s="14"/>
      <c r="P8028" s="14"/>
    </row>
    <row r="8029" ht="18.75" customHeight="1">
      <c r="A8029" s="14"/>
      <c r="B8029" s="12"/>
      <c r="C8029" s="12"/>
      <c r="D8029" s="12"/>
      <c r="E8029" s="12"/>
      <c r="F8029" s="14"/>
      <c r="G8029" s="15"/>
      <c r="H8029" s="15"/>
      <c r="I8029" s="14"/>
      <c r="P8029" s="14"/>
    </row>
    <row r="8030" ht="18.75" customHeight="1">
      <c r="A8030" s="14"/>
      <c r="B8030" s="12"/>
      <c r="C8030" s="12"/>
      <c r="D8030" s="12"/>
      <c r="E8030" s="12"/>
      <c r="F8030" s="14"/>
      <c r="G8030" s="15"/>
      <c r="H8030" s="15"/>
      <c r="I8030" s="14"/>
      <c r="P8030" s="14"/>
    </row>
    <row r="8031" ht="18.75" customHeight="1">
      <c r="A8031" s="14"/>
      <c r="B8031" s="12"/>
      <c r="C8031" s="12"/>
      <c r="D8031" s="12"/>
      <c r="E8031" s="12"/>
      <c r="F8031" s="14"/>
      <c r="G8031" s="15"/>
      <c r="H8031" s="15"/>
      <c r="I8031" s="14"/>
      <c r="P8031" s="14"/>
    </row>
    <row r="8032" ht="18.75" customHeight="1">
      <c r="A8032" s="14"/>
      <c r="B8032" s="12"/>
      <c r="C8032" s="12"/>
      <c r="D8032" s="12"/>
      <c r="E8032" s="12"/>
      <c r="F8032" s="14"/>
      <c r="G8032" s="15"/>
      <c r="H8032" s="15"/>
      <c r="I8032" s="14"/>
      <c r="P8032" s="14"/>
    </row>
    <row r="8033" ht="18.75" customHeight="1">
      <c r="A8033" s="14"/>
      <c r="B8033" s="12"/>
      <c r="C8033" s="12"/>
      <c r="D8033" s="12"/>
      <c r="E8033" s="12"/>
      <c r="F8033" s="14"/>
      <c r="G8033" s="15"/>
      <c r="H8033" s="15"/>
      <c r="I8033" s="14"/>
      <c r="P8033" s="14"/>
    </row>
    <row r="8034" ht="18.75" customHeight="1">
      <c r="A8034" s="14"/>
      <c r="B8034" s="12"/>
      <c r="C8034" s="12"/>
      <c r="D8034" s="12"/>
      <c r="E8034" s="12"/>
      <c r="F8034" s="14"/>
      <c r="G8034" s="15"/>
      <c r="H8034" s="15"/>
      <c r="I8034" s="14"/>
      <c r="P8034" s="14"/>
    </row>
    <row r="8035" ht="18.75" customHeight="1">
      <c r="A8035" s="14"/>
      <c r="B8035" s="12"/>
      <c r="C8035" s="12"/>
      <c r="D8035" s="12"/>
      <c r="E8035" s="12"/>
      <c r="F8035" s="14"/>
      <c r="G8035" s="15"/>
      <c r="H8035" s="15"/>
      <c r="I8035" s="14"/>
      <c r="P8035" s="14"/>
    </row>
    <row r="8036" ht="18.75" customHeight="1">
      <c r="A8036" s="14"/>
      <c r="B8036" s="12"/>
      <c r="C8036" s="12"/>
      <c r="D8036" s="12"/>
      <c r="E8036" s="12"/>
      <c r="F8036" s="14"/>
      <c r="G8036" s="15"/>
      <c r="H8036" s="15"/>
      <c r="I8036" s="14"/>
      <c r="P8036" s="14"/>
    </row>
    <row r="8037" ht="18.75" customHeight="1">
      <c r="A8037" s="14"/>
      <c r="B8037" s="12"/>
      <c r="C8037" s="12"/>
      <c r="D8037" s="12"/>
      <c r="E8037" s="12"/>
      <c r="F8037" s="14"/>
      <c r="G8037" s="15"/>
      <c r="H8037" s="15"/>
      <c r="I8037" s="14"/>
      <c r="P8037" s="14"/>
    </row>
    <row r="8038" ht="18.75" customHeight="1">
      <c r="A8038" s="14"/>
      <c r="B8038" s="12"/>
      <c r="C8038" s="12"/>
      <c r="D8038" s="12"/>
      <c r="E8038" s="12"/>
      <c r="F8038" s="14"/>
      <c r="G8038" s="15"/>
      <c r="H8038" s="15"/>
      <c r="I8038" s="14"/>
      <c r="P8038" s="14"/>
    </row>
    <row r="8039" ht="18.75" customHeight="1">
      <c r="A8039" s="14"/>
      <c r="B8039" s="12"/>
      <c r="C8039" s="12"/>
      <c r="D8039" s="12"/>
      <c r="E8039" s="12"/>
      <c r="F8039" s="14"/>
      <c r="G8039" s="15"/>
      <c r="H8039" s="15"/>
      <c r="I8039" s="14"/>
      <c r="P8039" s="14"/>
    </row>
    <row r="8040" ht="18.75" customHeight="1">
      <c r="A8040" s="14"/>
      <c r="B8040" s="12"/>
      <c r="C8040" s="12"/>
      <c r="D8040" s="12"/>
      <c r="E8040" s="12"/>
      <c r="F8040" s="14"/>
      <c r="G8040" s="15"/>
      <c r="H8040" s="15"/>
      <c r="I8040" s="14"/>
      <c r="P8040" s="14"/>
    </row>
    <row r="8041" ht="18.75" customHeight="1">
      <c r="A8041" s="14"/>
      <c r="B8041" s="12"/>
      <c r="C8041" s="12"/>
      <c r="D8041" s="12"/>
      <c r="E8041" s="12"/>
      <c r="F8041" s="14"/>
      <c r="G8041" s="15"/>
      <c r="H8041" s="15"/>
      <c r="I8041" s="14"/>
      <c r="P8041" s="14"/>
    </row>
    <row r="8042" ht="18.75" customHeight="1">
      <c r="A8042" s="14"/>
      <c r="B8042" s="12"/>
      <c r="C8042" s="12"/>
      <c r="D8042" s="12"/>
      <c r="E8042" s="12"/>
      <c r="F8042" s="14"/>
      <c r="G8042" s="15"/>
      <c r="H8042" s="15"/>
      <c r="I8042" s="14"/>
      <c r="P8042" s="14"/>
    </row>
    <row r="8043" ht="18.75" customHeight="1">
      <c r="A8043" s="14"/>
      <c r="B8043" s="12"/>
      <c r="C8043" s="12"/>
      <c r="D8043" s="12"/>
      <c r="E8043" s="12"/>
      <c r="F8043" s="14"/>
      <c r="G8043" s="15"/>
      <c r="H8043" s="15"/>
      <c r="I8043" s="14"/>
      <c r="P8043" s="14"/>
    </row>
    <row r="8044" ht="18.75" customHeight="1">
      <c r="A8044" s="14"/>
      <c r="B8044" s="12"/>
      <c r="C8044" s="12"/>
      <c r="D8044" s="12"/>
      <c r="E8044" s="12"/>
      <c r="F8044" s="14"/>
      <c r="G8044" s="15"/>
      <c r="H8044" s="15"/>
      <c r="I8044" s="14"/>
      <c r="P8044" s="14"/>
    </row>
    <row r="8045" ht="18.75" customHeight="1">
      <c r="A8045" s="14"/>
      <c r="B8045" s="12"/>
      <c r="C8045" s="12"/>
      <c r="D8045" s="12"/>
      <c r="E8045" s="12"/>
      <c r="F8045" s="14"/>
      <c r="G8045" s="15"/>
      <c r="H8045" s="15"/>
      <c r="I8045" s="14"/>
      <c r="P8045" s="14"/>
    </row>
    <row r="8046" ht="18.75" customHeight="1">
      <c r="A8046" s="14"/>
      <c r="B8046" s="12"/>
      <c r="C8046" s="12"/>
      <c r="D8046" s="12"/>
      <c r="E8046" s="12"/>
      <c r="F8046" s="14"/>
      <c r="G8046" s="15"/>
      <c r="H8046" s="15"/>
      <c r="I8046" s="14"/>
      <c r="P8046" s="14"/>
    </row>
    <row r="8047" ht="18.75" customHeight="1">
      <c r="A8047" s="14"/>
      <c r="B8047" s="12"/>
      <c r="C8047" s="12"/>
      <c r="D8047" s="12"/>
      <c r="E8047" s="12"/>
      <c r="F8047" s="14"/>
      <c r="G8047" s="15"/>
      <c r="H8047" s="15"/>
      <c r="I8047" s="14"/>
      <c r="P8047" s="14"/>
    </row>
    <row r="8048" ht="18.75" customHeight="1">
      <c r="A8048" s="14"/>
      <c r="B8048" s="12"/>
      <c r="C8048" s="12"/>
      <c r="D8048" s="12"/>
      <c r="E8048" s="12"/>
      <c r="F8048" s="14"/>
      <c r="G8048" s="15"/>
      <c r="H8048" s="15"/>
      <c r="I8048" s="14"/>
      <c r="P8048" s="14"/>
    </row>
    <row r="8049" ht="18.75" customHeight="1">
      <c r="A8049" s="14"/>
      <c r="B8049" s="12"/>
      <c r="C8049" s="12"/>
      <c r="D8049" s="12"/>
      <c r="E8049" s="12"/>
      <c r="F8049" s="14"/>
      <c r="G8049" s="15"/>
      <c r="H8049" s="15"/>
      <c r="I8049" s="14"/>
      <c r="P8049" s="14"/>
    </row>
    <row r="8050" ht="18.75" customHeight="1">
      <c r="A8050" s="14"/>
      <c r="B8050" s="12"/>
      <c r="C8050" s="12"/>
      <c r="D8050" s="12"/>
      <c r="E8050" s="12"/>
      <c r="F8050" s="14"/>
      <c r="G8050" s="15"/>
      <c r="H8050" s="15"/>
      <c r="I8050" s="14"/>
      <c r="P8050" s="14"/>
    </row>
    <row r="8051" ht="18.75" customHeight="1">
      <c r="A8051" s="14"/>
      <c r="B8051" s="12"/>
      <c r="C8051" s="12"/>
      <c r="D8051" s="12"/>
      <c r="E8051" s="12"/>
      <c r="F8051" s="14"/>
      <c r="G8051" s="15"/>
      <c r="H8051" s="15"/>
      <c r="I8051" s="14"/>
      <c r="P8051" s="14"/>
    </row>
    <row r="8052" ht="18.75" customHeight="1">
      <c r="A8052" s="14"/>
      <c r="B8052" s="12"/>
      <c r="C8052" s="12"/>
      <c r="D8052" s="12"/>
      <c r="E8052" s="12"/>
      <c r="F8052" s="14"/>
      <c r="G8052" s="15"/>
      <c r="H8052" s="15"/>
      <c r="I8052" s="14"/>
      <c r="P8052" s="14"/>
    </row>
    <row r="8053" ht="18.75" customHeight="1">
      <c r="A8053" s="14"/>
      <c r="B8053" s="12"/>
      <c r="C8053" s="12"/>
      <c r="D8053" s="12"/>
      <c r="E8053" s="12"/>
      <c r="F8053" s="14"/>
      <c r="G8053" s="15"/>
      <c r="H8053" s="15"/>
      <c r="I8053" s="14"/>
      <c r="P8053" s="14"/>
    </row>
    <row r="8054" ht="18.75" customHeight="1">
      <c r="A8054" s="14"/>
      <c r="B8054" s="12"/>
      <c r="C8054" s="12"/>
      <c r="D8054" s="12"/>
      <c r="E8054" s="12"/>
      <c r="F8054" s="14"/>
      <c r="G8054" s="15"/>
      <c r="H8054" s="15"/>
      <c r="I8054" s="14"/>
      <c r="P8054" s="14"/>
    </row>
    <row r="8055" ht="18.75" customHeight="1">
      <c r="A8055" s="14"/>
      <c r="B8055" s="12"/>
      <c r="C8055" s="12"/>
      <c r="D8055" s="12"/>
      <c r="E8055" s="12"/>
      <c r="F8055" s="14"/>
      <c r="G8055" s="15"/>
      <c r="H8055" s="15"/>
      <c r="I8055" s="14"/>
      <c r="P8055" s="14"/>
    </row>
    <row r="8056" ht="18.75" customHeight="1">
      <c r="A8056" s="14"/>
      <c r="B8056" s="12"/>
      <c r="C8056" s="12"/>
      <c r="D8056" s="12"/>
      <c r="E8056" s="12"/>
      <c r="F8056" s="14"/>
      <c r="G8056" s="15"/>
      <c r="H8056" s="15"/>
      <c r="I8056" s="14"/>
      <c r="P8056" s="14"/>
    </row>
    <row r="8057" ht="18.75" customHeight="1">
      <c r="A8057" s="14"/>
      <c r="B8057" s="12"/>
      <c r="C8057" s="12"/>
      <c r="D8057" s="12"/>
      <c r="E8057" s="12"/>
      <c r="F8057" s="14"/>
      <c r="G8057" s="15"/>
      <c r="H8057" s="15"/>
      <c r="I8057" s="14"/>
      <c r="P8057" s="14"/>
    </row>
    <row r="8058" ht="18.75" customHeight="1">
      <c r="A8058" s="14"/>
      <c r="B8058" s="12"/>
      <c r="C8058" s="12"/>
      <c r="D8058" s="12"/>
      <c r="E8058" s="12"/>
      <c r="F8058" s="14"/>
      <c r="G8058" s="15"/>
      <c r="H8058" s="15"/>
      <c r="I8058" s="14"/>
      <c r="P8058" s="14"/>
    </row>
    <row r="8059" ht="18.75" customHeight="1">
      <c r="A8059" s="14"/>
      <c r="B8059" s="12"/>
      <c r="C8059" s="12"/>
      <c r="D8059" s="12"/>
      <c r="E8059" s="12"/>
      <c r="F8059" s="14"/>
      <c r="G8059" s="15"/>
      <c r="H8059" s="15"/>
      <c r="I8059" s="14"/>
      <c r="P8059" s="14"/>
    </row>
    <row r="8060" ht="18.75" customHeight="1">
      <c r="A8060" s="14"/>
      <c r="B8060" s="12"/>
      <c r="C8060" s="12"/>
      <c r="D8060" s="12"/>
      <c r="E8060" s="12"/>
      <c r="F8060" s="14"/>
      <c r="G8060" s="15"/>
      <c r="H8060" s="15"/>
      <c r="I8060" s="14"/>
      <c r="P8060" s="14"/>
    </row>
    <row r="8061" ht="18.75" customHeight="1">
      <c r="A8061" s="14"/>
      <c r="B8061" s="12"/>
      <c r="C8061" s="12"/>
      <c r="D8061" s="12"/>
      <c r="E8061" s="12"/>
      <c r="F8061" s="14"/>
      <c r="G8061" s="15"/>
      <c r="H8061" s="15"/>
      <c r="I8061" s="14"/>
      <c r="P8061" s="14"/>
    </row>
    <row r="8062" ht="18.75" customHeight="1">
      <c r="A8062" s="14"/>
      <c r="B8062" s="12"/>
      <c r="C8062" s="12"/>
      <c r="D8062" s="12"/>
      <c r="E8062" s="12"/>
      <c r="F8062" s="14"/>
      <c r="G8062" s="15"/>
      <c r="H8062" s="15"/>
      <c r="I8062" s="14"/>
      <c r="P8062" s="14"/>
    </row>
    <row r="8063" ht="18.75" customHeight="1">
      <c r="A8063" s="14"/>
      <c r="B8063" s="12"/>
      <c r="C8063" s="12"/>
      <c r="D8063" s="12"/>
      <c r="E8063" s="12"/>
      <c r="F8063" s="14"/>
      <c r="G8063" s="15"/>
      <c r="H8063" s="15"/>
      <c r="I8063" s="14"/>
      <c r="P8063" s="14"/>
    </row>
    <row r="8064" ht="18.75" customHeight="1">
      <c r="A8064" s="14"/>
      <c r="B8064" s="12"/>
      <c r="C8064" s="12"/>
      <c r="D8064" s="12"/>
      <c r="E8064" s="12"/>
      <c r="F8064" s="14"/>
      <c r="G8064" s="15"/>
      <c r="H8064" s="15"/>
      <c r="I8064" s="14"/>
      <c r="P8064" s="14"/>
    </row>
    <row r="8065" ht="18.75" customHeight="1">
      <c r="A8065" s="14"/>
      <c r="B8065" s="12"/>
      <c r="C8065" s="12"/>
      <c r="D8065" s="12"/>
      <c r="E8065" s="12"/>
      <c r="F8065" s="14"/>
      <c r="G8065" s="15"/>
      <c r="H8065" s="15"/>
      <c r="I8065" s="14"/>
      <c r="P8065" s="14"/>
    </row>
    <row r="8066" ht="18.75" customHeight="1">
      <c r="A8066" s="14"/>
      <c r="B8066" s="12"/>
      <c r="C8066" s="12"/>
      <c r="D8066" s="12"/>
      <c r="E8066" s="12"/>
      <c r="F8066" s="14"/>
      <c r="G8066" s="15"/>
      <c r="H8066" s="15"/>
      <c r="I8066" s="14"/>
      <c r="P8066" s="14"/>
    </row>
    <row r="8067" ht="18.75" customHeight="1">
      <c r="A8067" s="14"/>
      <c r="B8067" s="12"/>
      <c r="C8067" s="12"/>
      <c r="D8067" s="12"/>
      <c r="E8067" s="12"/>
      <c r="F8067" s="14"/>
      <c r="G8067" s="15"/>
      <c r="H8067" s="15"/>
      <c r="I8067" s="14"/>
      <c r="P8067" s="14"/>
    </row>
    <row r="8068" ht="18.75" customHeight="1">
      <c r="A8068" s="14"/>
      <c r="B8068" s="12"/>
      <c r="C8068" s="12"/>
      <c r="D8068" s="12"/>
      <c r="E8068" s="12"/>
      <c r="F8068" s="14"/>
      <c r="G8068" s="15"/>
      <c r="H8068" s="15"/>
      <c r="I8068" s="14"/>
      <c r="P8068" s="14"/>
    </row>
    <row r="8069" ht="18.75" customHeight="1">
      <c r="A8069" s="14"/>
      <c r="B8069" s="12"/>
      <c r="C8069" s="12"/>
      <c r="D8069" s="12"/>
      <c r="E8069" s="12"/>
      <c r="F8069" s="14"/>
      <c r="G8069" s="15"/>
      <c r="H8069" s="15"/>
      <c r="I8069" s="14"/>
      <c r="P8069" s="14"/>
    </row>
    <row r="8070" ht="18.75" customHeight="1">
      <c r="A8070" s="14"/>
      <c r="B8070" s="12"/>
      <c r="C8070" s="12"/>
      <c r="D8070" s="12"/>
      <c r="E8070" s="12"/>
      <c r="F8070" s="14"/>
      <c r="G8070" s="15"/>
      <c r="H8070" s="15"/>
      <c r="I8070" s="14"/>
      <c r="P8070" s="14"/>
    </row>
    <row r="8071" ht="18.75" customHeight="1">
      <c r="A8071" s="14"/>
      <c r="B8071" s="12"/>
      <c r="C8071" s="12"/>
      <c r="D8071" s="12"/>
      <c r="E8071" s="12"/>
      <c r="F8071" s="14"/>
      <c r="G8071" s="15"/>
      <c r="H8071" s="15"/>
      <c r="I8071" s="14"/>
      <c r="P8071" s="14"/>
    </row>
    <row r="8072" ht="18.75" customHeight="1">
      <c r="A8072" s="14"/>
      <c r="B8072" s="12"/>
      <c r="C8072" s="12"/>
      <c r="D8072" s="12"/>
      <c r="E8072" s="12"/>
      <c r="F8072" s="14"/>
      <c r="G8072" s="15"/>
      <c r="H8072" s="15"/>
      <c r="I8072" s="14"/>
      <c r="P8072" s="14"/>
    </row>
    <row r="8073" ht="18.75" customHeight="1">
      <c r="A8073" s="14"/>
      <c r="B8073" s="12"/>
      <c r="C8073" s="12"/>
      <c r="D8073" s="12"/>
      <c r="E8073" s="12"/>
      <c r="F8073" s="14"/>
      <c r="G8073" s="15"/>
      <c r="H8073" s="15"/>
      <c r="I8073" s="14"/>
      <c r="P8073" s="14"/>
    </row>
    <row r="8074" ht="18.75" customHeight="1">
      <c r="A8074" s="14"/>
      <c r="B8074" s="12"/>
      <c r="C8074" s="12"/>
      <c r="D8074" s="12"/>
      <c r="E8074" s="12"/>
      <c r="F8074" s="14"/>
      <c r="G8074" s="15"/>
      <c r="H8074" s="15"/>
      <c r="I8074" s="14"/>
      <c r="P8074" s="14"/>
    </row>
    <row r="8075" ht="18.75" customHeight="1">
      <c r="A8075" s="14"/>
      <c r="B8075" s="12"/>
      <c r="C8075" s="12"/>
      <c r="D8075" s="12"/>
      <c r="E8075" s="12"/>
      <c r="F8075" s="14"/>
      <c r="G8075" s="15"/>
      <c r="H8075" s="15"/>
      <c r="I8075" s="14"/>
      <c r="P8075" s="14"/>
    </row>
    <row r="8076" ht="18.75" customHeight="1">
      <c r="A8076" s="14"/>
      <c r="B8076" s="12"/>
      <c r="C8076" s="12"/>
      <c r="D8076" s="12"/>
      <c r="E8076" s="12"/>
      <c r="F8076" s="14"/>
      <c r="G8076" s="15"/>
      <c r="H8076" s="15"/>
      <c r="I8076" s="14"/>
      <c r="P8076" s="14"/>
    </row>
    <row r="8077" ht="18.75" customHeight="1">
      <c r="A8077" s="14"/>
      <c r="B8077" s="12"/>
      <c r="C8077" s="12"/>
      <c r="D8077" s="12"/>
      <c r="E8077" s="12"/>
      <c r="F8077" s="14"/>
      <c r="G8077" s="15"/>
      <c r="H8077" s="15"/>
      <c r="I8077" s="14"/>
      <c r="P8077" s="14"/>
    </row>
    <row r="8078" ht="18.75" customHeight="1">
      <c r="A8078" s="14"/>
      <c r="B8078" s="12"/>
      <c r="C8078" s="12"/>
      <c r="D8078" s="12"/>
      <c r="E8078" s="12"/>
      <c r="F8078" s="14"/>
      <c r="G8078" s="15"/>
      <c r="H8078" s="15"/>
      <c r="I8078" s="14"/>
      <c r="P8078" s="14"/>
    </row>
    <row r="8079" ht="18.75" customHeight="1">
      <c r="A8079" s="14"/>
      <c r="B8079" s="12"/>
      <c r="C8079" s="12"/>
      <c r="D8079" s="12"/>
      <c r="E8079" s="12"/>
      <c r="F8079" s="14"/>
      <c r="G8079" s="15"/>
      <c r="H8079" s="15"/>
      <c r="I8079" s="14"/>
      <c r="P8079" s="14"/>
    </row>
    <row r="8080" ht="18.75" customHeight="1">
      <c r="A8080" s="14"/>
      <c r="B8080" s="12"/>
      <c r="C8080" s="12"/>
      <c r="D8080" s="12"/>
      <c r="E8080" s="12"/>
      <c r="F8080" s="14"/>
      <c r="G8080" s="15"/>
      <c r="H8080" s="15"/>
      <c r="I8080" s="14"/>
      <c r="P8080" s="14"/>
    </row>
    <row r="8081" ht="18.75" customHeight="1">
      <c r="A8081" s="14"/>
      <c r="B8081" s="12"/>
      <c r="C8081" s="12"/>
      <c r="D8081" s="12"/>
      <c r="E8081" s="12"/>
      <c r="F8081" s="14"/>
      <c r="G8081" s="15"/>
      <c r="H8081" s="15"/>
      <c r="I8081" s="14"/>
      <c r="P8081" s="14"/>
    </row>
    <row r="8082" ht="18.75" customHeight="1">
      <c r="A8082" s="14"/>
      <c r="B8082" s="12"/>
      <c r="C8082" s="12"/>
      <c r="D8082" s="12"/>
      <c r="E8082" s="12"/>
      <c r="F8082" s="14"/>
      <c r="G8082" s="15"/>
      <c r="H8082" s="15"/>
      <c r="I8082" s="14"/>
      <c r="P8082" s="14"/>
    </row>
    <row r="8083" ht="18.75" customHeight="1">
      <c r="A8083" s="14"/>
      <c r="B8083" s="12"/>
      <c r="C8083" s="12"/>
      <c r="D8083" s="12"/>
      <c r="E8083" s="12"/>
      <c r="F8083" s="14"/>
      <c r="G8083" s="15"/>
      <c r="H8083" s="15"/>
      <c r="I8083" s="14"/>
      <c r="P8083" s="14"/>
    </row>
    <row r="8084" ht="18.75" customHeight="1">
      <c r="A8084" s="14"/>
      <c r="B8084" s="12"/>
      <c r="C8084" s="12"/>
      <c r="D8084" s="12"/>
      <c r="E8084" s="12"/>
      <c r="F8084" s="14"/>
      <c r="G8084" s="15"/>
      <c r="H8084" s="15"/>
      <c r="I8084" s="14"/>
      <c r="P8084" s="14"/>
    </row>
    <row r="8085" ht="18.75" customHeight="1">
      <c r="A8085" s="14"/>
      <c r="B8085" s="12"/>
      <c r="C8085" s="12"/>
      <c r="D8085" s="12"/>
      <c r="E8085" s="12"/>
      <c r="F8085" s="14"/>
      <c r="G8085" s="15"/>
      <c r="H8085" s="15"/>
      <c r="I8085" s="14"/>
      <c r="P8085" s="14"/>
    </row>
    <row r="8086" ht="18.75" customHeight="1">
      <c r="A8086" s="14"/>
      <c r="B8086" s="12"/>
      <c r="C8086" s="12"/>
      <c r="D8086" s="12"/>
      <c r="E8086" s="12"/>
      <c r="F8086" s="14"/>
      <c r="G8086" s="15"/>
      <c r="H8086" s="15"/>
      <c r="I8086" s="14"/>
      <c r="P8086" s="14"/>
    </row>
    <row r="8087" ht="18.75" customHeight="1">
      <c r="A8087" s="14"/>
      <c r="B8087" s="12"/>
      <c r="C8087" s="12"/>
      <c r="D8087" s="12"/>
      <c r="E8087" s="12"/>
      <c r="F8087" s="14"/>
      <c r="G8087" s="15"/>
      <c r="H8087" s="15"/>
      <c r="I8087" s="14"/>
      <c r="P8087" s="14"/>
    </row>
    <row r="8088" ht="18.75" customHeight="1">
      <c r="A8088" s="14"/>
      <c r="B8088" s="12"/>
      <c r="C8088" s="12"/>
      <c r="D8088" s="12"/>
      <c r="E8088" s="12"/>
      <c r="F8088" s="14"/>
      <c r="G8088" s="15"/>
      <c r="H8088" s="15"/>
      <c r="I8088" s="14"/>
      <c r="P8088" s="14"/>
    </row>
    <row r="8089" ht="18.75" customHeight="1">
      <c r="A8089" s="14"/>
      <c r="B8089" s="12"/>
      <c r="C8089" s="12"/>
      <c r="D8089" s="12"/>
      <c r="E8089" s="12"/>
      <c r="F8089" s="14"/>
      <c r="G8089" s="15"/>
      <c r="H8089" s="15"/>
      <c r="I8089" s="14"/>
      <c r="P8089" s="14"/>
    </row>
    <row r="8090" ht="18.75" customHeight="1">
      <c r="A8090" s="14"/>
      <c r="B8090" s="12"/>
      <c r="C8090" s="12"/>
      <c r="D8090" s="12"/>
      <c r="E8090" s="12"/>
      <c r="F8090" s="14"/>
      <c r="G8090" s="15"/>
      <c r="H8090" s="15"/>
      <c r="I8090" s="14"/>
      <c r="P8090" s="14"/>
    </row>
    <row r="8091" ht="18.75" customHeight="1">
      <c r="A8091" s="14"/>
      <c r="B8091" s="12"/>
      <c r="C8091" s="12"/>
      <c r="D8091" s="12"/>
      <c r="E8091" s="12"/>
      <c r="F8091" s="14"/>
      <c r="G8091" s="15"/>
      <c r="H8091" s="15"/>
      <c r="I8091" s="14"/>
      <c r="P8091" s="14"/>
    </row>
    <row r="8092" ht="18.75" customHeight="1">
      <c r="A8092" s="14"/>
      <c r="B8092" s="12"/>
      <c r="C8092" s="12"/>
      <c r="D8092" s="12"/>
      <c r="E8092" s="12"/>
      <c r="F8092" s="14"/>
      <c r="G8092" s="15"/>
      <c r="H8092" s="15"/>
      <c r="I8092" s="14"/>
      <c r="P8092" s="14"/>
    </row>
    <row r="8093" ht="18.75" customHeight="1">
      <c r="A8093" s="14"/>
      <c r="B8093" s="12"/>
      <c r="C8093" s="12"/>
      <c r="D8093" s="12"/>
      <c r="E8093" s="12"/>
      <c r="F8093" s="14"/>
      <c r="G8093" s="15"/>
      <c r="H8093" s="15"/>
      <c r="I8093" s="14"/>
      <c r="P8093" s="14"/>
    </row>
    <row r="8094" ht="18.75" customHeight="1">
      <c r="A8094" s="14"/>
      <c r="B8094" s="12"/>
      <c r="C8094" s="12"/>
      <c r="D8094" s="12"/>
      <c r="E8094" s="12"/>
      <c r="F8094" s="14"/>
      <c r="G8094" s="15"/>
      <c r="H8094" s="15"/>
      <c r="I8094" s="14"/>
      <c r="P8094" s="14"/>
    </row>
    <row r="8095" ht="18.75" customHeight="1">
      <c r="A8095" s="14"/>
      <c r="B8095" s="12"/>
      <c r="C8095" s="12"/>
      <c r="D8095" s="12"/>
      <c r="E8095" s="12"/>
      <c r="F8095" s="14"/>
      <c r="G8095" s="15"/>
      <c r="H8095" s="15"/>
      <c r="I8095" s="14"/>
      <c r="P8095" s="14"/>
    </row>
    <row r="8096" ht="18.75" customHeight="1">
      <c r="A8096" s="14"/>
      <c r="B8096" s="12"/>
      <c r="C8096" s="12"/>
      <c r="D8096" s="12"/>
      <c r="E8096" s="12"/>
      <c r="F8096" s="14"/>
      <c r="G8096" s="15"/>
      <c r="H8096" s="15"/>
      <c r="I8096" s="14"/>
      <c r="P8096" s="14"/>
    </row>
    <row r="8097" ht="18.75" customHeight="1">
      <c r="A8097" s="14"/>
      <c r="B8097" s="12"/>
      <c r="C8097" s="12"/>
      <c r="D8097" s="12"/>
      <c r="E8097" s="12"/>
      <c r="F8097" s="14"/>
      <c r="G8097" s="15"/>
      <c r="H8097" s="15"/>
      <c r="I8097" s="14"/>
      <c r="P8097" s="14"/>
    </row>
    <row r="8098" ht="18.75" customHeight="1">
      <c r="A8098" s="14"/>
      <c r="B8098" s="12"/>
      <c r="C8098" s="12"/>
      <c r="D8098" s="12"/>
      <c r="E8098" s="12"/>
      <c r="F8098" s="14"/>
      <c r="G8098" s="15"/>
      <c r="H8098" s="15"/>
      <c r="I8098" s="14"/>
      <c r="P8098" s="14"/>
    </row>
    <row r="8099" ht="18.75" customHeight="1">
      <c r="A8099" s="14"/>
      <c r="B8099" s="12"/>
      <c r="C8099" s="12"/>
      <c r="D8099" s="12"/>
      <c r="E8099" s="12"/>
      <c r="F8099" s="14"/>
      <c r="G8099" s="15"/>
      <c r="H8099" s="15"/>
      <c r="I8099" s="14"/>
      <c r="P8099" s="14"/>
    </row>
    <row r="8100" ht="18.75" customHeight="1">
      <c r="A8100" s="14"/>
      <c r="B8100" s="12"/>
      <c r="C8100" s="12"/>
      <c r="D8100" s="12"/>
      <c r="E8100" s="12"/>
      <c r="F8100" s="14"/>
      <c r="G8100" s="15"/>
      <c r="H8100" s="15"/>
      <c r="I8100" s="14"/>
      <c r="P8100" s="14"/>
    </row>
    <row r="8101" ht="18.75" customHeight="1">
      <c r="A8101" s="14"/>
      <c r="B8101" s="12"/>
      <c r="C8101" s="12"/>
      <c r="D8101" s="12"/>
      <c r="E8101" s="12"/>
      <c r="F8101" s="14"/>
      <c r="G8101" s="15"/>
      <c r="H8101" s="15"/>
      <c r="I8101" s="14"/>
      <c r="P8101" s="14"/>
    </row>
    <row r="8102" ht="18.75" customHeight="1">
      <c r="A8102" s="14"/>
      <c r="B8102" s="12"/>
      <c r="C8102" s="12"/>
      <c r="D8102" s="12"/>
      <c r="E8102" s="12"/>
      <c r="F8102" s="14"/>
      <c r="G8102" s="15"/>
      <c r="H8102" s="15"/>
      <c r="I8102" s="14"/>
      <c r="P8102" s="14"/>
    </row>
    <row r="8103" ht="18.75" customHeight="1">
      <c r="A8103" s="14"/>
      <c r="B8103" s="12"/>
      <c r="C8103" s="12"/>
      <c r="D8103" s="12"/>
      <c r="E8103" s="12"/>
      <c r="F8103" s="14"/>
      <c r="G8103" s="15"/>
      <c r="H8103" s="15"/>
      <c r="I8103" s="14"/>
      <c r="P8103" s="14"/>
    </row>
    <row r="8104" ht="18.75" customHeight="1">
      <c r="A8104" s="14"/>
      <c r="B8104" s="12"/>
      <c r="C8104" s="12"/>
      <c r="D8104" s="12"/>
      <c r="E8104" s="12"/>
      <c r="F8104" s="14"/>
      <c r="G8104" s="15"/>
      <c r="H8104" s="15"/>
      <c r="I8104" s="14"/>
      <c r="P8104" s="14"/>
    </row>
    <row r="8105" ht="18.75" customHeight="1">
      <c r="A8105" s="14"/>
      <c r="B8105" s="12"/>
      <c r="C8105" s="12"/>
      <c r="D8105" s="12"/>
      <c r="E8105" s="12"/>
      <c r="F8105" s="14"/>
      <c r="G8105" s="15"/>
      <c r="H8105" s="15"/>
      <c r="I8105" s="14"/>
      <c r="P8105" s="14"/>
    </row>
    <row r="8106" ht="18.75" customHeight="1">
      <c r="A8106" s="14"/>
      <c r="B8106" s="12"/>
      <c r="C8106" s="12"/>
      <c r="D8106" s="12"/>
      <c r="E8106" s="12"/>
      <c r="F8106" s="14"/>
      <c r="G8106" s="15"/>
      <c r="H8106" s="15"/>
      <c r="I8106" s="14"/>
      <c r="P8106" s="14"/>
    </row>
    <row r="8107" ht="18.75" customHeight="1">
      <c r="A8107" s="14"/>
      <c r="B8107" s="12"/>
      <c r="C8107" s="12"/>
      <c r="D8107" s="12"/>
      <c r="E8107" s="12"/>
      <c r="F8107" s="14"/>
      <c r="G8107" s="15"/>
      <c r="H8107" s="15"/>
      <c r="I8107" s="14"/>
      <c r="P8107" s="14"/>
    </row>
    <row r="8108" ht="18.75" customHeight="1">
      <c r="A8108" s="14"/>
      <c r="B8108" s="12"/>
      <c r="C8108" s="12"/>
      <c r="D8108" s="12"/>
      <c r="E8108" s="12"/>
      <c r="F8108" s="14"/>
      <c r="G8108" s="15"/>
      <c r="H8108" s="15"/>
      <c r="I8108" s="14"/>
      <c r="P8108" s="14"/>
    </row>
    <row r="8109" ht="18.75" customHeight="1">
      <c r="A8109" s="14"/>
      <c r="B8109" s="12"/>
      <c r="C8109" s="12"/>
      <c r="D8109" s="12"/>
      <c r="E8109" s="12"/>
      <c r="F8109" s="14"/>
      <c r="G8109" s="15"/>
      <c r="H8109" s="15"/>
      <c r="I8109" s="14"/>
      <c r="P8109" s="14"/>
    </row>
    <row r="8110" ht="18.75" customHeight="1">
      <c r="A8110" s="14"/>
      <c r="B8110" s="12"/>
      <c r="C8110" s="12"/>
      <c r="D8110" s="12"/>
      <c r="E8110" s="12"/>
      <c r="F8110" s="14"/>
      <c r="G8110" s="15"/>
      <c r="H8110" s="15"/>
      <c r="I8110" s="14"/>
      <c r="P8110" s="14"/>
    </row>
    <row r="8111" ht="18.75" customHeight="1">
      <c r="A8111" s="14"/>
      <c r="B8111" s="12"/>
      <c r="C8111" s="12"/>
      <c r="D8111" s="12"/>
      <c r="E8111" s="12"/>
      <c r="F8111" s="14"/>
      <c r="G8111" s="15"/>
      <c r="H8111" s="15"/>
      <c r="I8111" s="14"/>
      <c r="P8111" s="14"/>
    </row>
    <row r="8112" ht="18.75" customHeight="1">
      <c r="A8112" s="14"/>
      <c r="B8112" s="12"/>
      <c r="C8112" s="12"/>
      <c r="D8112" s="12"/>
      <c r="E8112" s="12"/>
      <c r="F8112" s="14"/>
      <c r="G8112" s="15"/>
      <c r="H8112" s="15"/>
      <c r="I8112" s="14"/>
      <c r="P8112" s="14"/>
    </row>
    <row r="8113" ht="18.75" customHeight="1">
      <c r="A8113" s="14"/>
      <c r="B8113" s="12"/>
      <c r="C8113" s="12"/>
      <c r="D8113" s="12"/>
      <c r="E8113" s="12"/>
      <c r="F8113" s="14"/>
      <c r="G8113" s="15"/>
      <c r="H8113" s="15"/>
      <c r="I8113" s="14"/>
      <c r="P8113" s="14"/>
    </row>
    <row r="8114" ht="18.75" customHeight="1">
      <c r="A8114" s="14"/>
      <c r="B8114" s="12"/>
      <c r="C8114" s="12"/>
      <c r="D8114" s="12"/>
      <c r="E8114" s="12"/>
      <c r="F8114" s="14"/>
      <c r="G8114" s="15"/>
      <c r="H8114" s="15"/>
      <c r="I8114" s="14"/>
      <c r="P8114" s="14"/>
    </row>
    <row r="8115" ht="18.75" customHeight="1">
      <c r="A8115" s="14"/>
      <c r="B8115" s="12"/>
      <c r="C8115" s="12"/>
      <c r="D8115" s="12"/>
      <c r="E8115" s="12"/>
      <c r="F8115" s="14"/>
      <c r="G8115" s="15"/>
      <c r="H8115" s="15"/>
      <c r="I8115" s="14"/>
      <c r="P8115" s="14"/>
    </row>
    <row r="8116" ht="18.75" customHeight="1">
      <c r="A8116" s="14"/>
      <c r="B8116" s="12"/>
      <c r="C8116" s="12"/>
      <c r="D8116" s="12"/>
      <c r="E8116" s="12"/>
      <c r="F8116" s="14"/>
      <c r="G8116" s="15"/>
      <c r="H8116" s="15"/>
      <c r="I8116" s="14"/>
      <c r="P8116" s="14"/>
    </row>
    <row r="8117" ht="18.75" customHeight="1">
      <c r="A8117" s="14"/>
      <c r="B8117" s="12"/>
      <c r="C8117" s="12"/>
      <c r="D8117" s="12"/>
      <c r="E8117" s="12"/>
      <c r="F8117" s="14"/>
      <c r="G8117" s="15"/>
      <c r="H8117" s="15"/>
      <c r="I8117" s="14"/>
      <c r="P8117" s="14"/>
    </row>
    <row r="8118" ht="18.75" customHeight="1">
      <c r="A8118" s="14"/>
      <c r="B8118" s="12"/>
      <c r="C8118" s="12"/>
      <c r="D8118" s="12"/>
      <c r="E8118" s="12"/>
      <c r="F8118" s="14"/>
      <c r="G8118" s="15"/>
      <c r="H8118" s="15"/>
      <c r="I8118" s="14"/>
      <c r="P8118" s="14"/>
    </row>
    <row r="8119" ht="18.75" customHeight="1">
      <c r="A8119" s="14"/>
      <c r="B8119" s="12"/>
      <c r="C8119" s="12"/>
      <c r="D8119" s="12"/>
      <c r="E8119" s="12"/>
      <c r="F8119" s="14"/>
      <c r="G8119" s="15"/>
      <c r="H8119" s="15"/>
      <c r="I8119" s="14"/>
      <c r="P8119" s="14"/>
    </row>
    <row r="8120" ht="18.75" customHeight="1">
      <c r="A8120" s="14"/>
      <c r="B8120" s="12"/>
      <c r="C8120" s="12"/>
      <c r="D8120" s="12"/>
      <c r="E8120" s="12"/>
      <c r="F8120" s="14"/>
      <c r="G8120" s="15"/>
      <c r="H8120" s="15"/>
      <c r="I8120" s="14"/>
      <c r="P8120" s="14"/>
    </row>
    <row r="8121" ht="18.75" customHeight="1">
      <c r="A8121" s="14"/>
      <c r="B8121" s="12"/>
      <c r="C8121" s="12"/>
      <c r="D8121" s="12"/>
      <c r="E8121" s="12"/>
      <c r="F8121" s="14"/>
      <c r="G8121" s="15"/>
      <c r="H8121" s="15"/>
      <c r="I8121" s="14"/>
      <c r="P8121" s="14"/>
    </row>
    <row r="8122" ht="18.75" customHeight="1">
      <c r="A8122" s="14"/>
      <c r="B8122" s="12"/>
      <c r="C8122" s="12"/>
      <c r="D8122" s="12"/>
      <c r="E8122" s="12"/>
      <c r="F8122" s="14"/>
      <c r="G8122" s="15"/>
      <c r="H8122" s="15"/>
      <c r="I8122" s="14"/>
      <c r="P8122" s="14"/>
    </row>
    <row r="8123" ht="18.75" customHeight="1">
      <c r="A8123" s="14"/>
      <c r="B8123" s="12"/>
      <c r="C8123" s="12"/>
      <c r="D8123" s="12"/>
      <c r="E8123" s="12"/>
      <c r="F8123" s="14"/>
      <c r="G8123" s="15"/>
      <c r="H8123" s="15"/>
      <c r="I8123" s="14"/>
      <c r="P8123" s="14"/>
    </row>
    <row r="8124" ht="18.75" customHeight="1">
      <c r="A8124" s="14"/>
      <c r="B8124" s="12"/>
      <c r="C8124" s="12"/>
      <c r="D8124" s="12"/>
      <c r="E8124" s="12"/>
      <c r="F8124" s="14"/>
      <c r="G8124" s="15"/>
      <c r="H8124" s="15"/>
      <c r="I8124" s="14"/>
      <c r="P8124" s="14"/>
    </row>
    <row r="8125" ht="18.75" customHeight="1">
      <c r="A8125" s="14"/>
      <c r="B8125" s="12"/>
      <c r="C8125" s="12"/>
      <c r="D8125" s="12"/>
      <c r="E8125" s="12"/>
      <c r="F8125" s="14"/>
      <c r="G8125" s="15"/>
      <c r="H8125" s="15"/>
      <c r="I8125" s="14"/>
      <c r="P8125" s="14"/>
    </row>
    <row r="8126" ht="18.75" customHeight="1">
      <c r="A8126" s="14"/>
      <c r="B8126" s="12"/>
      <c r="C8126" s="12"/>
      <c r="D8126" s="12"/>
      <c r="E8126" s="12"/>
      <c r="F8126" s="14"/>
      <c r="G8126" s="15"/>
      <c r="H8126" s="15"/>
      <c r="I8126" s="14"/>
      <c r="P8126" s="14"/>
    </row>
    <row r="8127" ht="18.75" customHeight="1">
      <c r="A8127" s="14"/>
      <c r="B8127" s="12"/>
      <c r="C8127" s="12"/>
      <c r="D8127" s="12"/>
      <c r="E8127" s="12"/>
      <c r="F8127" s="14"/>
      <c r="G8127" s="15"/>
      <c r="H8127" s="15"/>
      <c r="I8127" s="14"/>
      <c r="P8127" s="14"/>
    </row>
    <row r="8128" ht="18.75" customHeight="1">
      <c r="A8128" s="14"/>
      <c r="B8128" s="12"/>
      <c r="C8128" s="12"/>
      <c r="D8128" s="12"/>
      <c r="E8128" s="12"/>
      <c r="F8128" s="14"/>
      <c r="G8128" s="15"/>
      <c r="H8128" s="15"/>
      <c r="I8128" s="14"/>
      <c r="P8128" s="14"/>
    </row>
    <row r="8129" ht="18.75" customHeight="1">
      <c r="A8129" s="14"/>
      <c r="B8129" s="12"/>
      <c r="C8129" s="12"/>
      <c r="D8129" s="12"/>
      <c r="E8129" s="12"/>
      <c r="F8129" s="14"/>
      <c r="G8129" s="15"/>
      <c r="H8129" s="15"/>
      <c r="I8129" s="14"/>
      <c r="P8129" s="14"/>
    </row>
    <row r="8130" ht="18.75" customHeight="1">
      <c r="A8130" s="14"/>
      <c r="B8130" s="12"/>
      <c r="C8130" s="12"/>
      <c r="D8130" s="12"/>
      <c r="E8130" s="12"/>
      <c r="F8130" s="14"/>
      <c r="G8130" s="15"/>
      <c r="H8130" s="15"/>
      <c r="I8130" s="14"/>
      <c r="P8130" s="14"/>
    </row>
    <row r="8131" ht="18.75" customHeight="1">
      <c r="A8131" s="14"/>
      <c r="B8131" s="12"/>
      <c r="C8131" s="12"/>
      <c r="D8131" s="12"/>
      <c r="E8131" s="12"/>
      <c r="F8131" s="14"/>
      <c r="G8131" s="15"/>
      <c r="H8131" s="15"/>
      <c r="I8131" s="14"/>
      <c r="P8131" s="14"/>
    </row>
    <row r="8132" ht="18.75" customHeight="1">
      <c r="A8132" s="14"/>
      <c r="B8132" s="12"/>
      <c r="C8132" s="12"/>
      <c r="D8132" s="12"/>
      <c r="E8132" s="12"/>
      <c r="F8132" s="14"/>
      <c r="G8132" s="15"/>
      <c r="H8132" s="15"/>
      <c r="I8132" s="14"/>
      <c r="P8132" s="14"/>
    </row>
    <row r="8133" ht="18.75" customHeight="1">
      <c r="A8133" s="14"/>
      <c r="B8133" s="12"/>
      <c r="C8133" s="12"/>
      <c r="D8133" s="12"/>
      <c r="E8133" s="12"/>
      <c r="F8133" s="14"/>
      <c r="G8133" s="15"/>
      <c r="H8133" s="15"/>
      <c r="I8133" s="14"/>
      <c r="P8133" s="14"/>
    </row>
    <row r="8134" ht="18.75" customHeight="1">
      <c r="A8134" s="14"/>
      <c r="B8134" s="12"/>
      <c r="C8134" s="12"/>
      <c r="D8134" s="12"/>
      <c r="E8134" s="12"/>
      <c r="F8134" s="14"/>
      <c r="G8134" s="15"/>
      <c r="H8134" s="15"/>
      <c r="I8134" s="14"/>
      <c r="P8134" s="14"/>
    </row>
    <row r="8135" ht="18.75" customHeight="1">
      <c r="A8135" s="14"/>
      <c r="B8135" s="12"/>
      <c r="C8135" s="12"/>
      <c r="D8135" s="12"/>
      <c r="E8135" s="12"/>
      <c r="F8135" s="14"/>
      <c r="G8135" s="15"/>
      <c r="H8135" s="15"/>
      <c r="I8135" s="14"/>
      <c r="P8135" s="14"/>
    </row>
    <row r="8136" ht="18.75" customHeight="1">
      <c r="A8136" s="14"/>
      <c r="B8136" s="12"/>
      <c r="C8136" s="12"/>
      <c r="D8136" s="12"/>
      <c r="E8136" s="12"/>
      <c r="F8136" s="14"/>
      <c r="G8136" s="15"/>
      <c r="H8136" s="15"/>
      <c r="I8136" s="14"/>
      <c r="P8136" s="14"/>
    </row>
    <row r="8137" ht="18.75" customHeight="1">
      <c r="A8137" s="14"/>
      <c r="B8137" s="12"/>
      <c r="C8137" s="12"/>
      <c r="D8137" s="12"/>
      <c r="E8137" s="12"/>
      <c r="F8137" s="14"/>
      <c r="G8137" s="15"/>
      <c r="H8137" s="15"/>
      <c r="I8137" s="14"/>
      <c r="P8137" s="14"/>
    </row>
    <row r="8138" ht="18.75" customHeight="1">
      <c r="A8138" s="14"/>
      <c r="B8138" s="12"/>
      <c r="C8138" s="12"/>
      <c r="D8138" s="12"/>
      <c r="E8138" s="12"/>
      <c r="F8138" s="14"/>
      <c r="G8138" s="15"/>
      <c r="H8138" s="15"/>
      <c r="I8138" s="14"/>
      <c r="P8138" s="14"/>
    </row>
    <row r="8139" ht="18.75" customHeight="1">
      <c r="A8139" s="14"/>
      <c r="B8139" s="12"/>
      <c r="C8139" s="12"/>
      <c r="D8139" s="12"/>
      <c r="E8139" s="12"/>
      <c r="F8139" s="14"/>
      <c r="G8139" s="15"/>
      <c r="H8139" s="15"/>
      <c r="I8139" s="14"/>
      <c r="P8139" s="14"/>
    </row>
    <row r="8140" ht="18.75" customHeight="1">
      <c r="A8140" s="14"/>
      <c r="B8140" s="12"/>
      <c r="C8140" s="12"/>
      <c r="D8140" s="12"/>
      <c r="E8140" s="12"/>
      <c r="F8140" s="14"/>
      <c r="G8140" s="15"/>
      <c r="H8140" s="15"/>
      <c r="I8140" s="14"/>
      <c r="P8140" s="14"/>
    </row>
    <row r="8141" ht="18.75" customHeight="1">
      <c r="A8141" s="14"/>
      <c r="B8141" s="12"/>
      <c r="C8141" s="12"/>
      <c r="D8141" s="12"/>
      <c r="E8141" s="12"/>
      <c r="F8141" s="14"/>
      <c r="G8141" s="15"/>
      <c r="H8141" s="15"/>
      <c r="I8141" s="14"/>
      <c r="P8141" s="14"/>
    </row>
    <row r="8142" ht="18.75" customHeight="1">
      <c r="A8142" s="14"/>
      <c r="B8142" s="12"/>
      <c r="C8142" s="12"/>
      <c r="D8142" s="12"/>
      <c r="E8142" s="12"/>
      <c r="F8142" s="14"/>
      <c r="G8142" s="15"/>
      <c r="H8142" s="15"/>
      <c r="I8142" s="14"/>
      <c r="P8142" s="14"/>
    </row>
    <row r="8143" ht="18.75" customHeight="1">
      <c r="A8143" s="14"/>
      <c r="B8143" s="12"/>
      <c r="C8143" s="12"/>
      <c r="D8143" s="12"/>
      <c r="E8143" s="12"/>
      <c r="F8143" s="14"/>
      <c r="G8143" s="15"/>
      <c r="H8143" s="15"/>
      <c r="I8143" s="14"/>
      <c r="P8143" s="14"/>
    </row>
    <row r="8144" ht="18.75" customHeight="1">
      <c r="A8144" s="14"/>
      <c r="B8144" s="12"/>
      <c r="C8144" s="12"/>
      <c r="D8144" s="12"/>
      <c r="E8144" s="12"/>
      <c r="F8144" s="14"/>
      <c r="G8144" s="15"/>
      <c r="H8144" s="15"/>
      <c r="I8144" s="14"/>
      <c r="P8144" s="14"/>
    </row>
    <row r="8145" ht="18.75" customHeight="1">
      <c r="A8145" s="14"/>
      <c r="B8145" s="12"/>
      <c r="C8145" s="12"/>
      <c r="D8145" s="12"/>
      <c r="E8145" s="12"/>
      <c r="F8145" s="14"/>
      <c r="G8145" s="15"/>
      <c r="H8145" s="15"/>
      <c r="I8145" s="14"/>
      <c r="P8145" s="14"/>
    </row>
    <row r="8146" ht="18.75" customHeight="1">
      <c r="A8146" s="14"/>
      <c r="B8146" s="12"/>
      <c r="C8146" s="12"/>
      <c r="D8146" s="12"/>
      <c r="E8146" s="12"/>
      <c r="F8146" s="14"/>
      <c r="G8146" s="15"/>
      <c r="H8146" s="15"/>
      <c r="I8146" s="14"/>
      <c r="P8146" s="14"/>
    </row>
    <row r="8147" ht="18.75" customHeight="1">
      <c r="A8147" s="14"/>
      <c r="B8147" s="12"/>
      <c r="C8147" s="12"/>
      <c r="D8147" s="12"/>
      <c r="E8147" s="12"/>
      <c r="F8147" s="14"/>
      <c r="G8147" s="15"/>
      <c r="H8147" s="15"/>
      <c r="I8147" s="14"/>
      <c r="P8147" s="14"/>
    </row>
    <row r="8148" ht="18.75" customHeight="1">
      <c r="A8148" s="14"/>
      <c r="B8148" s="12"/>
      <c r="C8148" s="12"/>
      <c r="D8148" s="12"/>
      <c r="E8148" s="12"/>
      <c r="F8148" s="14"/>
      <c r="G8148" s="15"/>
      <c r="H8148" s="15"/>
      <c r="I8148" s="14"/>
      <c r="P8148" s="14"/>
    </row>
    <row r="8149" ht="18.75" customHeight="1">
      <c r="A8149" s="14"/>
      <c r="B8149" s="12"/>
      <c r="C8149" s="12"/>
      <c r="D8149" s="12"/>
      <c r="E8149" s="12"/>
      <c r="F8149" s="14"/>
      <c r="G8149" s="15"/>
      <c r="H8149" s="15"/>
      <c r="I8149" s="14"/>
      <c r="P8149" s="14"/>
    </row>
    <row r="8150" ht="18.75" customHeight="1">
      <c r="A8150" s="14"/>
      <c r="B8150" s="12"/>
      <c r="C8150" s="12"/>
      <c r="D8150" s="12"/>
      <c r="E8150" s="12"/>
      <c r="F8150" s="14"/>
      <c r="G8150" s="15"/>
      <c r="H8150" s="15"/>
      <c r="I8150" s="14"/>
      <c r="P8150" s="14"/>
    </row>
    <row r="8151" ht="18.75" customHeight="1">
      <c r="A8151" s="14"/>
      <c r="B8151" s="12"/>
      <c r="C8151" s="12"/>
      <c r="D8151" s="12"/>
      <c r="E8151" s="12"/>
      <c r="F8151" s="14"/>
      <c r="G8151" s="15"/>
      <c r="H8151" s="15"/>
      <c r="I8151" s="14"/>
      <c r="P8151" s="14"/>
    </row>
    <row r="8152" ht="18.75" customHeight="1">
      <c r="A8152" s="14"/>
      <c r="B8152" s="12"/>
      <c r="C8152" s="12"/>
      <c r="D8152" s="12"/>
      <c r="E8152" s="12"/>
      <c r="F8152" s="14"/>
      <c r="G8152" s="15"/>
      <c r="H8152" s="15"/>
      <c r="I8152" s="14"/>
      <c r="P8152" s="14"/>
    </row>
    <row r="8153" ht="18.75" customHeight="1">
      <c r="A8153" s="14"/>
      <c r="B8153" s="12"/>
      <c r="C8153" s="12"/>
      <c r="D8153" s="12"/>
      <c r="E8153" s="12"/>
      <c r="F8153" s="14"/>
      <c r="G8153" s="15"/>
      <c r="H8153" s="15"/>
      <c r="I8153" s="14"/>
      <c r="P8153" s="14"/>
    </row>
    <row r="8154" ht="18.75" customHeight="1">
      <c r="A8154" s="14"/>
      <c r="B8154" s="12"/>
      <c r="C8154" s="12"/>
      <c r="D8154" s="12"/>
      <c r="E8154" s="12"/>
      <c r="F8154" s="14"/>
      <c r="G8154" s="15"/>
      <c r="H8154" s="15"/>
      <c r="I8154" s="14"/>
      <c r="P8154" s="14"/>
    </row>
    <row r="8155" ht="18.75" customHeight="1">
      <c r="A8155" s="14"/>
      <c r="B8155" s="12"/>
      <c r="C8155" s="12"/>
      <c r="D8155" s="12"/>
      <c r="E8155" s="12"/>
      <c r="F8155" s="14"/>
      <c r="G8155" s="15"/>
      <c r="H8155" s="15"/>
      <c r="I8155" s="14"/>
      <c r="P8155" s="14"/>
    </row>
    <row r="8156" ht="18.75" customHeight="1">
      <c r="A8156" s="14"/>
      <c r="B8156" s="12"/>
      <c r="C8156" s="12"/>
      <c r="D8156" s="12"/>
      <c r="E8156" s="12"/>
      <c r="F8156" s="14"/>
      <c r="G8156" s="15"/>
      <c r="H8156" s="15"/>
      <c r="I8156" s="14"/>
      <c r="P8156" s="14"/>
    </row>
    <row r="8157" ht="18.75" customHeight="1">
      <c r="A8157" s="14"/>
      <c r="B8157" s="12"/>
      <c r="C8157" s="12"/>
      <c r="D8157" s="12"/>
      <c r="E8157" s="12"/>
      <c r="F8157" s="14"/>
      <c r="G8157" s="15"/>
      <c r="H8157" s="15"/>
      <c r="I8157" s="14"/>
      <c r="P8157" s="14"/>
    </row>
    <row r="8158" ht="18.75" customHeight="1">
      <c r="A8158" s="14"/>
      <c r="B8158" s="12"/>
      <c r="C8158" s="12"/>
      <c r="D8158" s="12"/>
      <c r="E8158" s="12"/>
      <c r="F8158" s="14"/>
      <c r="G8158" s="15"/>
      <c r="H8158" s="15"/>
      <c r="I8158" s="14"/>
      <c r="P8158" s="14"/>
    </row>
    <row r="8159" ht="18.75" customHeight="1">
      <c r="A8159" s="14"/>
      <c r="B8159" s="12"/>
      <c r="C8159" s="12"/>
      <c r="D8159" s="12"/>
      <c r="E8159" s="12"/>
      <c r="F8159" s="14"/>
      <c r="G8159" s="15"/>
      <c r="H8159" s="15"/>
      <c r="I8159" s="14"/>
      <c r="P8159" s="14"/>
    </row>
    <row r="8160" ht="18.75" customHeight="1">
      <c r="A8160" s="14"/>
      <c r="B8160" s="12"/>
      <c r="C8160" s="12"/>
      <c r="D8160" s="12"/>
      <c r="E8160" s="12"/>
      <c r="F8160" s="14"/>
      <c r="G8160" s="15"/>
      <c r="H8160" s="15"/>
      <c r="I8160" s="14"/>
      <c r="P8160" s="14"/>
    </row>
    <row r="8161" ht="18.75" customHeight="1">
      <c r="A8161" s="14"/>
      <c r="B8161" s="12"/>
      <c r="C8161" s="12"/>
      <c r="D8161" s="12"/>
      <c r="E8161" s="12"/>
      <c r="F8161" s="14"/>
      <c r="G8161" s="15"/>
      <c r="H8161" s="15"/>
      <c r="I8161" s="14"/>
      <c r="P8161" s="14"/>
    </row>
    <row r="8162" ht="18.75" customHeight="1">
      <c r="A8162" s="14"/>
      <c r="B8162" s="12"/>
      <c r="C8162" s="12"/>
      <c r="D8162" s="12"/>
      <c r="E8162" s="12"/>
      <c r="F8162" s="14"/>
      <c r="G8162" s="15"/>
      <c r="H8162" s="15"/>
      <c r="I8162" s="14"/>
      <c r="P8162" s="14"/>
    </row>
    <row r="8163" ht="18.75" customHeight="1">
      <c r="A8163" s="14"/>
      <c r="B8163" s="12"/>
      <c r="C8163" s="12"/>
      <c r="D8163" s="12"/>
      <c r="E8163" s="12"/>
      <c r="F8163" s="14"/>
      <c r="G8163" s="15"/>
      <c r="H8163" s="15"/>
      <c r="I8163" s="14"/>
      <c r="P8163" s="14"/>
    </row>
    <row r="8164" ht="18.75" customHeight="1">
      <c r="A8164" s="14"/>
      <c r="B8164" s="12"/>
      <c r="C8164" s="12"/>
      <c r="D8164" s="12"/>
      <c r="E8164" s="12"/>
      <c r="F8164" s="14"/>
      <c r="G8164" s="15"/>
      <c r="H8164" s="15"/>
      <c r="I8164" s="14"/>
      <c r="P8164" s="14"/>
    </row>
    <row r="8165" ht="18.75" customHeight="1">
      <c r="A8165" s="14"/>
      <c r="B8165" s="12"/>
      <c r="C8165" s="12"/>
      <c r="D8165" s="12"/>
      <c r="E8165" s="12"/>
      <c r="F8165" s="14"/>
      <c r="G8165" s="15"/>
      <c r="H8165" s="15"/>
      <c r="I8165" s="14"/>
      <c r="P8165" s="14"/>
    </row>
    <row r="8166" ht="18.75" customHeight="1">
      <c r="A8166" s="14"/>
      <c r="B8166" s="12"/>
      <c r="C8166" s="12"/>
      <c r="D8166" s="12"/>
      <c r="E8166" s="12"/>
      <c r="F8166" s="14"/>
      <c r="G8166" s="15"/>
      <c r="H8166" s="15"/>
      <c r="I8166" s="14"/>
      <c r="P8166" s="14"/>
    </row>
    <row r="8167" ht="18.75" customHeight="1">
      <c r="A8167" s="14"/>
      <c r="B8167" s="12"/>
      <c r="C8167" s="12"/>
      <c r="D8167" s="12"/>
      <c r="E8167" s="12"/>
      <c r="F8167" s="14"/>
      <c r="G8167" s="15"/>
      <c r="H8167" s="15"/>
      <c r="I8167" s="14"/>
      <c r="P8167" s="14"/>
    </row>
    <row r="8168" ht="18.75" customHeight="1">
      <c r="A8168" s="14"/>
      <c r="B8168" s="12"/>
      <c r="C8168" s="12"/>
      <c r="D8168" s="12"/>
      <c r="E8168" s="12"/>
      <c r="F8168" s="14"/>
      <c r="G8168" s="15"/>
      <c r="H8168" s="15"/>
      <c r="I8168" s="14"/>
      <c r="P8168" s="14"/>
    </row>
    <row r="8169" ht="18.75" customHeight="1">
      <c r="A8169" s="14"/>
      <c r="B8169" s="12"/>
      <c r="C8169" s="12"/>
      <c r="D8169" s="12"/>
      <c r="E8169" s="12"/>
      <c r="F8169" s="14"/>
      <c r="G8169" s="15"/>
      <c r="H8169" s="15"/>
      <c r="I8169" s="14"/>
      <c r="P8169" s="14"/>
    </row>
    <row r="8170" ht="18.75" customHeight="1">
      <c r="A8170" s="14"/>
      <c r="B8170" s="12"/>
      <c r="C8170" s="12"/>
      <c r="D8170" s="12"/>
      <c r="E8170" s="12"/>
      <c r="F8170" s="14"/>
      <c r="G8170" s="15"/>
      <c r="H8170" s="15"/>
      <c r="I8170" s="14"/>
      <c r="P8170" s="14"/>
    </row>
    <row r="8171" ht="18.75" customHeight="1">
      <c r="A8171" s="14"/>
      <c r="B8171" s="12"/>
      <c r="C8171" s="12"/>
      <c r="D8171" s="12"/>
      <c r="E8171" s="12"/>
      <c r="F8171" s="14"/>
      <c r="G8171" s="15"/>
      <c r="H8171" s="15"/>
      <c r="I8171" s="14"/>
      <c r="P8171" s="14"/>
    </row>
    <row r="8172" ht="18.75" customHeight="1">
      <c r="A8172" s="14"/>
      <c r="B8172" s="12"/>
      <c r="C8172" s="12"/>
      <c r="D8172" s="12"/>
      <c r="E8172" s="12"/>
      <c r="F8172" s="14"/>
      <c r="G8172" s="15"/>
      <c r="H8172" s="15"/>
      <c r="I8172" s="14"/>
      <c r="P8172" s="14"/>
    </row>
    <row r="8173" ht="18.75" customHeight="1">
      <c r="A8173" s="14"/>
      <c r="B8173" s="12"/>
      <c r="C8173" s="12"/>
      <c r="D8173" s="12"/>
      <c r="E8173" s="12"/>
      <c r="F8173" s="14"/>
      <c r="G8173" s="15"/>
      <c r="H8173" s="15"/>
      <c r="I8173" s="14"/>
      <c r="P8173" s="14"/>
    </row>
    <row r="8174" ht="18.75" customHeight="1">
      <c r="A8174" s="14"/>
      <c r="B8174" s="12"/>
      <c r="C8174" s="12"/>
      <c r="D8174" s="12"/>
      <c r="E8174" s="12"/>
      <c r="F8174" s="14"/>
      <c r="G8174" s="15"/>
      <c r="H8174" s="15"/>
      <c r="I8174" s="14"/>
      <c r="P8174" s="14"/>
    </row>
    <row r="8175" ht="18.75" customHeight="1">
      <c r="A8175" s="14"/>
      <c r="B8175" s="12"/>
      <c r="C8175" s="12"/>
      <c r="D8175" s="12"/>
      <c r="E8175" s="12"/>
      <c r="F8175" s="14"/>
      <c r="G8175" s="15"/>
      <c r="H8175" s="15"/>
      <c r="I8175" s="14"/>
      <c r="P8175" s="14"/>
    </row>
    <row r="8176" ht="18.75" customHeight="1">
      <c r="A8176" s="14"/>
      <c r="B8176" s="12"/>
      <c r="C8176" s="12"/>
      <c r="D8176" s="12"/>
      <c r="E8176" s="12"/>
      <c r="F8176" s="14"/>
      <c r="G8176" s="15"/>
      <c r="H8176" s="15"/>
      <c r="I8176" s="14"/>
      <c r="P8176" s="14"/>
    </row>
    <row r="8177" ht="18.75" customHeight="1">
      <c r="A8177" s="14"/>
      <c r="B8177" s="12"/>
      <c r="C8177" s="12"/>
      <c r="D8177" s="12"/>
      <c r="E8177" s="12"/>
      <c r="F8177" s="14"/>
      <c r="G8177" s="15"/>
      <c r="H8177" s="15"/>
      <c r="I8177" s="14"/>
      <c r="P8177" s="14"/>
    </row>
    <row r="8178" ht="18.75" customHeight="1">
      <c r="A8178" s="14"/>
      <c r="B8178" s="12"/>
      <c r="C8178" s="12"/>
      <c r="D8178" s="12"/>
      <c r="E8178" s="12"/>
      <c r="F8178" s="14"/>
      <c r="G8178" s="15"/>
      <c r="H8178" s="15"/>
      <c r="I8178" s="14"/>
      <c r="P8178" s="14"/>
    </row>
    <row r="8179" ht="18.75" customHeight="1">
      <c r="A8179" s="14"/>
      <c r="B8179" s="12"/>
      <c r="C8179" s="12"/>
      <c r="D8179" s="12"/>
      <c r="E8179" s="12"/>
      <c r="F8179" s="14"/>
      <c r="G8179" s="15"/>
      <c r="H8179" s="15"/>
      <c r="I8179" s="14"/>
      <c r="P8179" s="14"/>
    </row>
    <row r="8180" ht="18.75" customHeight="1">
      <c r="A8180" s="14"/>
      <c r="B8180" s="12"/>
      <c r="C8180" s="12"/>
      <c r="D8180" s="12"/>
      <c r="E8180" s="12"/>
      <c r="F8180" s="14"/>
      <c r="G8180" s="15"/>
      <c r="H8180" s="15"/>
      <c r="I8180" s="14"/>
      <c r="P8180" s="14"/>
    </row>
    <row r="8181" ht="18.75" customHeight="1">
      <c r="A8181" s="14"/>
      <c r="B8181" s="12"/>
      <c r="C8181" s="12"/>
      <c r="D8181" s="12"/>
      <c r="E8181" s="12"/>
      <c r="F8181" s="14"/>
      <c r="G8181" s="15"/>
      <c r="H8181" s="15"/>
      <c r="I8181" s="14"/>
      <c r="P8181" s="14"/>
    </row>
    <row r="8182" ht="18.75" customHeight="1">
      <c r="A8182" s="14"/>
      <c r="B8182" s="12"/>
      <c r="C8182" s="12"/>
      <c r="D8182" s="12"/>
      <c r="E8182" s="12"/>
      <c r="F8182" s="14"/>
      <c r="G8182" s="15"/>
      <c r="H8182" s="15"/>
      <c r="I8182" s="14"/>
      <c r="P8182" s="14"/>
    </row>
    <row r="8183" ht="18.75" customHeight="1">
      <c r="A8183" s="14"/>
      <c r="B8183" s="12"/>
      <c r="C8183" s="12"/>
      <c r="D8183" s="12"/>
      <c r="E8183" s="12"/>
      <c r="F8183" s="14"/>
      <c r="G8183" s="15"/>
      <c r="H8183" s="15"/>
      <c r="I8183" s="14"/>
      <c r="P8183" s="14"/>
    </row>
    <row r="8184" ht="18.75" customHeight="1">
      <c r="A8184" s="14"/>
      <c r="B8184" s="12"/>
      <c r="C8184" s="12"/>
      <c r="D8184" s="12"/>
      <c r="E8184" s="12"/>
      <c r="F8184" s="14"/>
      <c r="G8184" s="15"/>
      <c r="H8184" s="15"/>
      <c r="I8184" s="14"/>
      <c r="P8184" s="14"/>
    </row>
    <row r="8185" ht="18.75" customHeight="1">
      <c r="A8185" s="14"/>
      <c r="B8185" s="12"/>
      <c r="C8185" s="12"/>
      <c r="D8185" s="12"/>
      <c r="E8185" s="12"/>
      <c r="F8185" s="14"/>
      <c r="G8185" s="15"/>
      <c r="H8185" s="15"/>
      <c r="I8185" s="14"/>
      <c r="P8185" s="14"/>
    </row>
    <row r="8186" ht="18.75" customHeight="1">
      <c r="A8186" s="14"/>
      <c r="B8186" s="12"/>
      <c r="C8186" s="12"/>
      <c r="D8186" s="12"/>
      <c r="E8186" s="12"/>
      <c r="F8186" s="14"/>
      <c r="G8186" s="15"/>
      <c r="H8186" s="15"/>
      <c r="I8186" s="14"/>
      <c r="P8186" s="14"/>
    </row>
    <row r="8187" ht="18.75" customHeight="1">
      <c r="A8187" s="14"/>
      <c r="B8187" s="12"/>
      <c r="C8187" s="12"/>
      <c r="D8187" s="12"/>
      <c r="E8187" s="12"/>
      <c r="F8187" s="14"/>
      <c r="G8187" s="15"/>
      <c r="H8187" s="15"/>
      <c r="I8187" s="14"/>
      <c r="P8187" s="14"/>
    </row>
    <row r="8188" ht="18.75" customHeight="1">
      <c r="A8188" s="14"/>
      <c r="B8188" s="12"/>
      <c r="C8188" s="12"/>
      <c r="D8188" s="12"/>
      <c r="E8188" s="12"/>
      <c r="F8188" s="14"/>
      <c r="G8188" s="15"/>
      <c r="H8188" s="15"/>
      <c r="I8188" s="14"/>
      <c r="P8188" s="14"/>
    </row>
    <row r="8189" ht="18.75" customHeight="1">
      <c r="A8189" s="14"/>
      <c r="B8189" s="12"/>
      <c r="C8189" s="12"/>
      <c r="D8189" s="12"/>
      <c r="E8189" s="12"/>
      <c r="F8189" s="14"/>
      <c r="G8189" s="15"/>
      <c r="H8189" s="15"/>
      <c r="I8189" s="14"/>
      <c r="P8189" s="14"/>
    </row>
    <row r="8190" ht="18.75" customHeight="1">
      <c r="A8190" s="14"/>
      <c r="B8190" s="12"/>
      <c r="C8190" s="12"/>
      <c r="D8190" s="12"/>
      <c r="E8190" s="12"/>
      <c r="F8190" s="14"/>
      <c r="G8190" s="15"/>
      <c r="H8190" s="15"/>
      <c r="I8190" s="14"/>
      <c r="P8190" s="14"/>
    </row>
    <row r="8191" ht="18.75" customHeight="1">
      <c r="A8191" s="14"/>
      <c r="B8191" s="12"/>
      <c r="C8191" s="12"/>
      <c r="D8191" s="12"/>
      <c r="E8191" s="12"/>
      <c r="F8191" s="14"/>
      <c r="G8191" s="15"/>
      <c r="H8191" s="15"/>
      <c r="I8191" s="14"/>
      <c r="P8191" s="14"/>
    </row>
    <row r="8192" ht="18.75" customHeight="1">
      <c r="A8192" s="14"/>
      <c r="B8192" s="12"/>
      <c r="C8192" s="12"/>
      <c r="D8192" s="12"/>
      <c r="E8192" s="12"/>
      <c r="F8192" s="14"/>
      <c r="G8192" s="15"/>
      <c r="H8192" s="15"/>
      <c r="I8192" s="14"/>
      <c r="P8192" s="14"/>
    </row>
    <row r="8193" ht="18.75" customHeight="1">
      <c r="A8193" s="14"/>
      <c r="B8193" s="12"/>
      <c r="C8193" s="12"/>
      <c r="D8193" s="12"/>
      <c r="E8193" s="12"/>
      <c r="F8193" s="14"/>
      <c r="G8193" s="15"/>
      <c r="H8193" s="15"/>
      <c r="I8193" s="14"/>
      <c r="P8193" s="14"/>
    </row>
    <row r="8194" ht="18.75" customHeight="1">
      <c r="A8194" s="14"/>
      <c r="B8194" s="12"/>
      <c r="C8194" s="12"/>
      <c r="D8194" s="12"/>
      <c r="E8194" s="12"/>
      <c r="F8194" s="14"/>
      <c r="G8194" s="15"/>
      <c r="H8194" s="15"/>
      <c r="I8194" s="14"/>
      <c r="P8194" s="14"/>
    </row>
    <row r="8195" ht="18.75" customHeight="1">
      <c r="A8195" s="14"/>
      <c r="B8195" s="12"/>
      <c r="C8195" s="12"/>
      <c r="D8195" s="12"/>
      <c r="E8195" s="12"/>
      <c r="F8195" s="14"/>
      <c r="G8195" s="15"/>
      <c r="H8195" s="15"/>
      <c r="I8195" s="14"/>
      <c r="P8195" s="14"/>
    </row>
    <row r="8196" ht="18.75" customHeight="1">
      <c r="A8196" s="14"/>
      <c r="B8196" s="12"/>
      <c r="C8196" s="12"/>
      <c r="D8196" s="12"/>
      <c r="E8196" s="12"/>
      <c r="F8196" s="14"/>
      <c r="G8196" s="15"/>
      <c r="H8196" s="15"/>
      <c r="I8196" s="14"/>
      <c r="P8196" s="14"/>
    </row>
    <row r="8197" ht="18.75" customHeight="1">
      <c r="A8197" s="14"/>
      <c r="B8197" s="12"/>
      <c r="C8197" s="12"/>
      <c r="D8197" s="12"/>
      <c r="E8197" s="12"/>
      <c r="F8197" s="14"/>
      <c r="G8197" s="15"/>
      <c r="H8197" s="15"/>
      <c r="I8197" s="14"/>
      <c r="P8197" s="14"/>
    </row>
    <row r="8198" ht="18.75" customHeight="1">
      <c r="A8198" s="14"/>
      <c r="B8198" s="12"/>
      <c r="C8198" s="12"/>
      <c r="D8198" s="12"/>
      <c r="E8198" s="12"/>
      <c r="F8198" s="14"/>
      <c r="G8198" s="15"/>
      <c r="H8198" s="15"/>
      <c r="I8198" s="14"/>
      <c r="P8198" s="14"/>
    </row>
    <row r="8199" ht="18.75" customHeight="1">
      <c r="A8199" s="14"/>
      <c r="B8199" s="12"/>
      <c r="C8199" s="12"/>
      <c r="D8199" s="12"/>
      <c r="E8199" s="12"/>
      <c r="F8199" s="14"/>
      <c r="G8199" s="15"/>
      <c r="H8199" s="15"/>
      <c r="I8199" s="14"/>
      <c r="P8199" s="14"/>
    </row>
    <row r="8200" ht="18.75" customHeight="1">
      <c r="A8200" s="14"/>
      <c r="B8200" s="12"/>
      <c r="C8200" s="12"/>
      <c r="D8200" s="12"/>
      <c r="E8200" s="12"/>
      <c r="F8200" s="14"/>
      <c r="G8200" s="15"/>
      <c r="H8200" s="15"/>
      <c r="I8200" s="14"/>
      <c r="P8200" s="14"/>
    </row>
    <row r="8201" ht="18.75" customHeight="1">
      <c r="A8201" s="14"/>
      <c r="B8201" s="12"/>
      <c r="C8201" s="12"/>
      <c r="D8201" s="12"/>
      <c r="E8201" s="12"/>
      <c r="F8201" s="14"/>
      <c r="G8201" s="15"/>
      <c r="H8201" s="15"/>
      <c r="I8201" s="14"/>
      <c r="P8201" s="14"/>
    </row>
    <row r="8202" ht="18.75" customHeight="1">
      <c r="A8202" s="14"/>
      <c r="B8202" s="12"/>
      <c r="C8202" s="12"/>
      <c r="D8202" s="12"/>
      <c r="E8202" s="12"/>
      <c r="F8202" s="14"/>
      <c r="G8202" s="15"/>
      <c r="H8202" s="15"/>
      <c r="I8202" s="14"/>
      <c r="P8202" s="14"/>
    </row>
    <row r="8203" ht="18.75" customHeight="1">
      <c r="A8203" s="14"/>
      <c r="B8203" s="12"/>
      <c r="C8203" s="12"/>
      <c r="D8203" s="12"/>
      <c r="E8203" s="12"/>
      <c r="F8203" s="14"/>
      <c r="G8203" s="15"/>
      <c r="H8203" s="15"/>
      <c r="I8203" s="14"/>
      <c r="P8203" s="14"/>
    </row>
    <row r="8204" ht="18.75" customHeight="1">
      <c r="A8204" s="14"/>
      <c r="B8204" s="12"/>
      <c r="C8204" s="12"/>
      <c r="D8204" s="12"/>
      <c r="E8204" s="12"/>
      <c r="F8204" s="14"/>
      <c r="G8204" s="15"/>
      <c r="H8204" s="15"/>
      <c r="I8204" s="14"/>
      <c r="P8204" s="14"/>
    </row>
    <row r="8205" ht="18.75" customHeight="1">
      <c r="A8205" s="14"/>
      <c r="B8205" s="12"/>
      <c r="C8205" s="12"/>
      <c r="D8205" s="12"/>
      <c r="E8205" s="12"/>
      <c r="F8205" s="14"/>
      <c r="G8205" s="15"/>
      <c r="H8205" s="15"/>
      <c r="I8205" s="14"/>
      <c r="P8205" s="14"/>
    </row>
    <row r="8206" ht="18.75" customHeight="1">
      <c r="A8206" s="14"/>
      <c r="B8206" s="12"/>
      <c r="C8206" s="12"/>
      <c r="D8206" s="12"/>
      <c r="E8206" s="12"/>
      <c r="F8206" s="14"/>
      <c r="G8206" s="15"/>
      <c r="H8206" s="15"/>
      <c r="I8206" s="14"/>
      <c r="P8206" s="14"/>
    </row>
    <row r="8207" ht="18.75" customHeight="1">
      <c r="A8207" s="14"/>
      <c r="B8207" s="12"/>
      <c r="C8207" s="12"/>
      <c r="D8207" s="12"/>
      <c r="E8207" s="12"/>
      <c r="F8207" s="14"/>
      <c r="G8207" s="15"/>
      <c r="H8207" s="15"/>
      <c r="I8207" s="14"/>
      <c r="P8207" s="14"/>
    </row>
    <row r="8208" ht="18.75" customHeight="1">
      <c r="A8208" s="14"/>
      <c r="B8208" s="12"/>
      <c r="C8208" s="12"/>
      <c r="D8208" s="12"/>
      <c r="E8208" s="12"/>
      <c r="F8208" s="14"/>
      <c r="G8208" s="15"/>
      <c r="H8208" s="15"/>
      <c r="I8208" s="14"/>
      <c r="P8208" s="14"/>
    </row>
    <row r="8209" ht="18.75" customHeight="1">
      <c r="A8209" s="14"/>
      <c r="B8209" s="12"/>
      <c r="C8209" s="12"/>
      <c r="D8209" s="12"/>
      <c r="E8209" s="12"/>
      <c r="F8209" s="14"/>
      <c r="G8209" s="15"/>
      <c r="H8209" s="15"/>
      <c r="I8209" s="14"/>
      <c r="P8209" s="14"/>
    </row>
    <row r="8210" ht="18.75" customHeight="1">
      <c r="A8210" s="14"/>
      <c r="B8210" s="12"/>
      <c r="C8210" s="12"/>
      <c r="D8210" s="12"/>
      <c r="E8210" s="12"/>
      <c r="F8210" s="14"/>
      <c r="G8210" s="15"/>
      <c r="H8210" s="15"/>
      <c r="I8210" s="14"/>
      <c r="P8210" s="14"/>
    </row>
    <row r="8211" ht="18.75" customHeight="1">
      <c r="A8211" s="14"/>
      <c r="B8211" s="12"/>
      <c r="C8211" s="12"/>
      <c r="D8211" s="12"/>
      <c r="E8211" s="12"/>
      <c r="F8211" s="14"/>
      <c r="G8211" s="15"/>
      <c r="H8211" s="15"/>
      <c r="I8211" s="14"/>
      <c r="P8211" s="14"/>
    </row>
    <row r="8212" ht="18.75" customHeight="1">
      <c r="A8212" s="14"/>
      <c r="B8212" s="12"/>
      <c r="C8212" s="12"/>
      <c r="D8212" s="12"/>
      <c r="E8212" s="12"/>
      <c r="F8212" s="14"/>
      <c r="G8212" s="15"/>
      <c r="H8212" s="15"/>
      <c r="I8212" s="14"/>
      <c r="P8212" s="14"/>
    </row>
    <row r="8213" ht="18.75" customHeight="1">
      <c r="A8213" s="14"/>
      <c r="B8213" s="12"/>
      <c r="C8213" s="12"/>
      <c r="D8213" s="12"/>
      <c r="E8213" s="12"/>
      <c r="F8213" s="14"/>
      <c r="G8213" s="15"/>
      <c r="H8213" s="15"/>
      <c r="I8213" s="14"/>
      <c r="P8213" s="14"/>
    </row>
    <row r="8214" ht="18.75" customHeight="1">
      <c r="A8214" s="14"/>
      <c r="B8214" s="12"/>
      <c r="C8214" s="12"/>
      <c r="D8214" s="12"/>
      <c r="E8214" s="12"/>
      <c r="F8214" s="14"/>
      <c r="G8214" s="15"/>
      <c r="H8214" s="15"/>
      <c r="I8214" s="14"/>
      <c r="P8214" s="14"/>
    </row>
    <row r="8215" ht="18.75" customHeight="1">
      <c r="A8215" s="14"/>
      <c r="B8215" s="12"/>
      <c r="C8215" s="12"/>
      <c r="D8215" s="12"/>
      <c r="E8215" s="12"/>
      <c r="F8215" s="14"/>
      <c r="G8215" s="15"/>
      <c r="H8215" s="15"/>
      <c r="I8215" s="14"/>
      <c r="P8215" s="14"/>
    </row>
    <row r="8216" ht="18.75" customHeight="1">
      <c r="A8216" s="14"/>
      <c r="B8216" s="12"/>
      <c r="C8216" s="12"/>
      <c r="D8216" s="12"/>
      <c r="E8216" s="12"/>
      <c r="F8216" s="14"/>
      <c r="G8216" s="15"/>
      <c r="H8216" s="15"/>
      <c r="I8216" s="14"/>
      <c r="P8216" s="14"/>
    </row>
    <row r="8217" ht="18.75" customHeight="1">
      <c r="A8217" s="14"/>
      <c r="B8217" s="12"/>
      <c r="C8217" s="12"/>
      <c r="D8217" s="12"/>
      <c r="E8217" s="12"/>
      <c r="F8217" s="14"/>
      <c r="G8217" s="15"/>
      <c r="H8217" s="15"/>
      <c r="I8217" s="14"/>
      <c r="P8217" s="14"/>
    </row>
    <row r="8218" ht="18.75" customHeight="1">
      <c r="A8218" s="14"/>
      <c r="B8218" s="12"/>
      <c r="C8218" s="12"/>
      <c r="D8218" s="12"/>
      <c r="E8218" s="12"/>
      <c r="F8218" s="14"/>
      <c r="G8218" s="15"/>
      <c r="H8218" s="15"/>
      <c r="I8218" s="14"/>
      <c r="P8218" s="14"/>
    </row>
    <row r="8219" ht="18.75" customHeight="1">
      <c r="A8219" s="14"/>
      <c r="B8219" s="12"/>
      <c r="C8219" s="12"/>
      <c r="D8219" s="12"/>
      <c r="E8219" s="12"/>
      <c r="F8219" s="14"/>
      <c r="G8219" s="15"/>
      <c r="H8219" s="15"/>
      <c r="I8219" s="14"/>
      <c r="P8219" s="14"/>
    </row>
    <row r="8220" ht="18.75" customHeight="1">
      <c r="A8220" s="14"/>
      <c r="B8220" s="12"/>
      <c r="C8220" s="12"/>
      <c r="D8220" s="12"/>
      <c r="E8220" s="12"/>
      <c r="F8220" s="14"/>
      <c r="G8220" s="15"/>
      <c r="H8220" s="15"/>
      <c r="I8220" s="14"/>
      <c r="P8220" s="14"/>
    </row>
    <row r="8221" ht="18.75" customHeight="1">
      <c r="A8221" s="14"/>
      <c r="B8221" s="12"/>
      <c r="C8221" s="12"/>
      <c r="D8221" s="12"/>
      <c r="E8221" s="12"/>
      <c r="F8221" s="14"/>
      <c r="G8221" s="15"/>
      <c r="H8221" s="15"/>
      <c r="I8221" s="14"/>
      <c r="P8221" s="14"/>
    </row>
    <row r="8222" ht="18.75" customHeight="1">
      <c r="A8222" s="14"/>
      <c r="B8222" s="12"/>
      <c r="C8222" s="12"/>
      <c r="D8222" s="12"/>
      <c r="E8222" s="12"/>
      <c r="F8222" s="14"/>
      <c r="G8222" s="15"/>
      <c r="H8222" s="15"/>
      <c r="I8222" s="14"/>
      <c r="P8222" s="14"/>
    </row>
    <row r="8223" ht="18.75" customHeight="1">
      <c r="A8223" s="14"/>
      <c r="B8223" s="12"/>
      <c r="C8223" s="12"/>
      <c r="D8223" s="12"/>
      <c r="E8223" s="12"/>
      <c r="F8223" s="14"/>
      <c r="G8223" s="15"/>
      <c r="H8223" s="15"/>
      <c r="I8223" s="14"/>
      <c r="P8223" s="14"/>
    </row>
    <row r="8224" ht="18.75" customHeight="1">
      <c r="A8224" s="14"/>
      <c r="B8224" s="12"/>
      <c r="C8224" s="12"/>
      <c r="D8224" s="12"/>
      <c r="E8224" s="12"/>
      <c r="F8224" s="14"/>
      <c r="G8224" s="15"/>
      <c r="H8224" s="15"/>
      <c r="I8224" s="14"/>
      <c r="P8224" s="14"/>
    </row>
    <row r="8225" ht="18.75" customHeight="1">
      <c r="A8225" s="14"/>
      <c r="B8225" s="12"/>
      <c r="C8225" s="12"/>
      <c r="D8225" s="12"/>
      <c r="E8225" s="12"/>
      <c r="F8225" s="14"/>
      <c r="G8225" s="15"/>
      <c r="H8225" s="15"/>
      <c r="I8225" s="14"/>
      <c r="P8225" s="14"/>
    </row>
    <row r="8226" ht="18.75" customHeight="1">
      <c r="A8226" s="14"/>
      <c r="B8226" s="12"/>
      <c r="C8226" s="12"/>
      <c r="D8226" s="12"/>
      <c r="E8226" s="12"/>
      <c r="F8226" s="14"/>
      <c r="G8226" s="15"/>
      <c r="H8226" s="15"/>
      <c r="I8226" s="14"/>
      <c r="P8226" s="14"/>
    </row>
    <row r="8227" ht="18.75" customHeight="1">
      <c r="A8227" s="14"/>
      <c r="B8227" s="12"/>
      <c r="C8227" s="12"/>
      <c r="D8227" s="12"/>
      <c r="E8227" s="12"/>
      <c r="F8227" s="14"/>
      <c r="G8227" s="15"/>
      <c r="H8227" s="15"/>
      <c r="I8227" s="14"/>
      <c r="P8227" s="14"/>
    </row>
    <row r="8228" ht="18.75" customHeight="1">
      <c r="A8228" s="14"/>
      <c r="B8228" s="12"/>
      <c r="C8228" s="12"/>
      <c r="D8228" s="12"/>
      <c r="E8228" s="12"/>
      <c r="F8228" s="14"/>
      <c r="G8228" s="15"/>
      <c r="H8228" s="15"/>
      <c r="I8228" s="14"/>
      <c r="P8228" s="14"/>
    </row>
    <row r="8229" ht="18.75" customHeight="1">
      <c r="A8229" s="14"/>
      <c r="B8229" s="12"/>
      <c r="C8229" s="12"/>
      <c r="D8229" s="12"/>
      <c r="E8229" s="12"/>
      <c r="F8229" s="14"/>
      <c r="G8229" s="15"/>
      <c r="H8229" s="15"/>
      <c r="I8229" s="14"/>
      <c r="P8229" s="14"/>
    </row>
    <row r="8230" ht="18.75" customHeight="1">
      <c r="A8230" s="14"/>
      <c r="B8230" s="12"/>
      <c r="C8230" s="12"/>
      <c r="D8230" s="12"/>
      <c r="E8230" s="12"/>
      <c r="F8230" s="14"/>
      <c r="G8230" s="15"/>
      <c r="H8230" s="15"/>
      <c r="I8230" s="14"/>
      <c r="P8230" s="14"/>
    </row>
    <row r="8231" ht="18.75" customHeight="1">
      <c r="A8231" s="14"/>
      <c r="B8231" s="12"/>
      <c r="C8231" s="12"/>
      <c r="D8231" s="12"/>
      <c r="E8231" s="12"/>
      <c r="F8231" s="14"/>
      <c r="G8231" s="15"/>
      <c r="H8231" s="15"/>
      <c r="I8231" s="14"/>
      <c r="P8231" s="14"/>
    </row>
    <row r="8232" ht="18.75" customHeight="1">
      <c r="A8232" s="14"/>
      <c r="B8232" s="12"/>
      <c r="C8232" s="12"/>
      <c r="D8232" s="12"/>
      <c r="E8232" s="12"/>
      <c r="F8232" s="14"/>
      <c r="G8232" s="15"/>
      <c r="H8232" s="15"/>
      <c r="I8232" s="14"/>
      <c r="P8232" s="14"/>
    </row>
    <row r="8233" ht="18.75" customHeight="1">
      <c r="A8233" s="14"/>
      <c r="B8233" s="12"/>
      <c r="C8233" s="12"/>
      <c r="D8233" s="12"/>
      <c r="E8233" s="12"/>
      <c r="F8233" s="14"/>
      <c r="G8233" s="15"/>
      <c r="H8233" s="15"/>
      <c r="I8233" s="14"/>
      <c r="P8233" s="14"/>
    </row>
    <row r="8234" ht="18.75" customHeight="1">
      <c r="A8234" s="14"/>
      <c r="B8234" s="12"/>
      <c r="C8234" s="12"/>
      <c r="D8234" s="12"/>
      <c r="E8234" s="12"/>
      <c r="F8234" s="14"/>
      <c r="G8234" s="15"/>
      <c r="H8234" s="15"/>
      <c r="I8234" s="14"/>
      <c r="P8234" s="14"/>
    </row>
    <row r="8235" ht="18.75" customHeight="1">
      <c r="A8235" s="14"/>
      <c r="B8235" s="12"/>
      <c r="C8235" s="12"/>
      <c r="D8235" s="12"/>
      <c r="E8235" s="12"/>
      <c r="F8235" s="14"/>
      <c r="G8235" s="15"/>
      <c r="H8235" s="15"/>
      <c r="I8235" s="14"/>
      <c r="P8235" s="14"/>
    </row>
    <row r="8236" ht="18.75" customHeight="1">
      <c r="A8236" s="14"/>
      <c r="B8236" s="12"/>
      <c r="C8236" s="12"/>
      <c r="D8236" s="12"/>
      <c r="E8236" s="12"/>
      <c r="F8236" s="14"/>
      <c r="G8236" s="15"/>
      <c r="H8236" s="15"/>
      <c r="I8236" s="14"/>
      <c r="P8236" s="14"/>
    </row>
    <row r="8237" ht="18.75" customHeight="1">
      <c r="A8237" s="14"/>
      <c r="B8237" s="12"/>
      <c r="C8237" s="12"/>
      <c r="D8237" s="12"/>
      <c r="E8237" s="12"/>
      <c r="F8237" s="14"/>
      <c r="G8237" s="15"/>
      <c r="H8237" s="15"/>
      <c r="I8237" s="14"/>
      <c r="P8237" s="14"/>
    </row>
    <row r="8238" ht="18.75" customHeight="1">
      <c r="A8238" s="14"/>
      <c r="B8238" s="12"/>
      <c r="C8238" s="12"/>
      <c r="D8238" s="12"/>
      <c r="E8238" s="12"/>
      <c r="F8238" s="14"/>
      <c r="G8238" s="15"/>
      <c r="H8238" s="15"/>
      <c r="I8238" s="14"/>
      <c r="P8238" s="14"/>
    </row>
    <row r="8239" ht="18.75" customHeight="1">
      <c r="A8239" s="14"/>
      <c r="B8239" s="12"/>
      <c r="C8239" s="12"/>
      <c r="D8239" s="12"/>
      <c r="E8239" s="12"/>
      <c r="F8239" s="14"/>
      <c r="G8239" s="15"/>
      <c r="H8239" s="15"/>
      <c r="I8239" s="14"/>
      <c r="P8239" s="14"/>
    </row>
    <row r="8240" ht="18.75" customHeight="1">
      <c r="A8240" s="14"/>
      <c r="B8240" s="12"/>
      <c r="C8240" s="12"/>
      <c r="D8240" s="12"/>
      <c r="E8240" s="12"/>
      <c r="F8240" s="14"/>
      <c r="G8240" s="15"/>
      <c r="H8240" s="15"/>
      <c r="I8240" s="14"/>
      <c r="P8240" s="14"/>
    </row>
    <row r="8241" ht="18.75" customHeight="1">
      <c r="A8241" s="14"/>
      <c r="B8241" s="12"/>
      <c r="C8241" s="12"/>
      <c r="D8241" s="12"/>
      <c r="E8241" s="12"/>
      <c r="F8241" s="14"/>
      <c r="G8241" s="15"/>
      <c r="H8241" s="15"/>
      <c r="I8241" s="14"/>
      <c r="P8241" s="14"/>
    </row>
    <row r="8242" ht="18.75" customHeight="1">
      <c r="A8242" s="14"/>
      <c r="B8242" s="12"/>
      <c r="C8242" s="12"/>
      <c r="D8242" s="12"/>
      <c r="E8242" s="12"/>
      <c r="F8242" s="14"/>
      <c r="G8242" s="15"/>
      <c r="H8242" s="15"/>
      <c r="I8242" s="14"/>
      <c r="P8242" s="14"/>
    </row>
    <row r="8243" ht="18.75" customHeight="1">
      <c r="A8243" s="14"/>
      <c r="B8243" s="12"/>
      <c r="C8243" s="12"/>
      <c r="D8243" s="12"/>
      <c r="E8243" s="12"/>
      <c r="F8243" s="14"/>
      <c r="G8243" s="15"/>
      <c r="H8243" s="15"/>
      <c r="I8243" s="14"/>
      <c r="P8243" s="14"/>
    </row>
    <row r="8244" ht="18.75" customHeight="1">
      <c r="A8244" s="14"/>
      <c r="B8244" s="12"/>
      <c r="C8244" s="12"/>
      <c r="D8244" s="12"/>
      <c r="E8244" s="12"/>
      <c r="F8244" s="14"/>
      <c r="G8244" s="15"/>
      <c r="H8244" s="15"/>
      <c r="I8244" s="14"/>
      <c r="P8244" s="14"/>
    </row>
    <row r="8245" ht="18.75" customHeight="1">
      <c r="A8245" s="14"/>
      <c r="B8245" s="12"/>
      <c r="C8245" s="12"/>
      <c r="D8245" s="12"/>
      <c r="E8245" s="12"/>
      <c r="F8245" s="14"/>
      <c r="G8245" s="15"/>
      <c r="H8245" s="15"/>
      <c r="I8245" s="14"/>
      <c r="P8245" s="14"/>
    </row>
    <row r="8246" ht="18.75" customHeight="1">
      <c r="A8246" s="14"/>
      <c r="B8246" s="12"/>
      <c r="C8246" s="12"/>
      <c r="D8246" s="12"/>
      <c r="E8246" s="12"/>
      <c r="F8246" s="14"/>
      <c r="G8246" s="15"/>
      <c r="H8246" s="15"/>
      <c r="I8246" s="14"/>
      <c r="P8246" s="14"/>
    </row>
    <row r="8247" ht="18.75" customHeight="1">
      <c r="A8247" s="14"/>
      <c r="B8247" s="12"/>
      <c r="C8247" s="12"/>
      <c r="D8247" s="12"/>
      <c r="E8247" s="12"/>
      <c r="F8247" s="14"/>
      <c r="G8247" s="15"/>
      <c r="H8247" s="15"/>
      <c r="I8247" s="14"/>
      <c r="P8247" s="14"/>
    </row>
    <row r="8248" ht="18.75" customHeight="1">
      <c r="A8248" s="14"/>
      <c r="B8248" s="12"/>
      <c r="C8248" s="12"/>
      <c r="D8248" s="12"/>
      <c r="E8248" s="12"/>
      <c r="F8248" s="14"/>
      <c r="G8248" s="15"/>
      <c r="H8248" s="15"/>
      <c r="I8248" s="14"/>
      <c r="P8248" s="14"/>
    </row>
    <row r="8249" ht="18.75" customHeight="1">
      <c r="A8249" s="14"/>
      <c r="B8249" s="12"/>
      <c r="C8249" s="12"/>
      <c r="D8249" s="12"/>
      <c r="E8249" s="12"/>
      <c r="F8249" s="14"/>
      <c r="G8249" s="15"/>
      <c r="H8249" s="15"/>
      <c r="I8249" s="14"/>
      <c r="P8249" s="14"/>
    </row>
    <row r="8250" ht="18.75" customHeight="1">
      <c r="A8250" s="14"/>
      <c r="B8250" s="12"/>
      <c r="C8250" s="12"/>
      <c r="D8250" s="12"/>
      <c r="E8250" s="12"/>
      <c r="F8250" s="14"/>
      <c r="G8250" s="15"/>
      <c r="H8250" s="15"/>
      <c r="I8250" s="14"/>
      <c r="P8250" s="14"/>
    </row>
    <row r="8251" ht="18.75" customHeight="1">
      <c r="A8251" s="14"/>
      <c r="B8251" s="12"/>
      <c r="C8251" s="12"/>
      <c r="D8251" s="12"/>
      <c r="E8251" s="12"/>
      <c r="F8251" s="14"/>
      <c r="G8251" s="15"/>
      <c r="H8251" s="15"/>
      <c r="I8251" s="14"/>
      <c r="P8251" s="14"/>
    </row>
    <row r="8252" ht="18.75" customHeight="1">
      <c r="A8252" s="14"/>
      <c r="B8252" s="12"/>
      <c r="C8252" s="12"/>
      <c r="D8252" s="12"/>
      <c r="E8252" s="12"/>
      <c r="F8252" s="14"/>
      <c r="G8252" s="15"/>
      <c r="H8252" s="15"/>
      <c r="I8252" s="14"/>
      <c r="P8252" s="14"/>
    </row>
    <row r="8253" ht="18.75" customHeight="1">
      <c r="A8253" s="14"/>
      <c r="B8253" s="12"/>
      <c r="C8253" s="12"/>
      <c r="D8253" s="12"/>
      <c r="E8253" s="12"/>
      <c r="F8253" s="14"/>
      <c r="G8253" s="15"/>
      <c r="H8253" s="15"/>
      <c r="I8253" s="14"/>
      <c r="P8253" s="14"/>
    </row>
    <row r="8254" ht="18.75" customHeight="1">
      <c r="A8254" s="14"/>
      <c r="B8254" s="12"/>
      <c r="C8254" s="12"/>
      <c r="D8254" s="12"/>
      <c r="E8254" s="12"/>
      <c r="F8254" s="14"/>
      <c r="G8254" s="15"/>
      <c r="H8254" s="15"/>
      <c r="I8254" s="14"/>
      <c r="P8254" s="14"/>
    </row>
    <row r="8255" ht="18.75" customHeight="1">
      <c r="A8255" s="14"/>
      <c r="B8255" s="12"/>
      <c r="C8255" s="12"/>
      <c r="D8255" s="12"/>
      <c r="E8255" s="12"/>
      <c r="F8255" s="14"/>
      <c r="G8255" s="15"/>
      <c r="H8255" s="15"/>
      <c r="I8255" s="14"/>
      <c r="P8255" s="14"/>
    </row>
    <row r="8256" ht="18.75" customHeight="1">
      <c r="A8256" s="14"/>
      <c r="B8256" s="12"/>
      <c r="C8256" s="12"/>
      <c r="D8256" s="12"/>
      <c r="E8256" s="12"/>
      <c r="F8256" s="14"/>
      <c r="G8256" s="15"/>
      <c r="H8256" s="15"/>
      <c r="I8256" s="14"/>
      <c r="P8256" s="14"/>
    </row>
    <row r="8257" ht="18.75" customHeight="1">
      <c r="A8257" s="14"/>
      <c r="B8257" s="12"/>
      <c r="C8257" s="12"/>
      <c r="D8257" s="12"/>
      <c r="E8257" s="12"/>
      <c r="F8257" s="14"/>
      <c r="G8257" s="15"/>
      <c r="H8257" s="15"/>
      <c r="I8257" s="14"/>
      <c r="P8257" s="14"/>
    </row>
    <row r="8258" ht="18.75" customHeight="1">
      <c r="A8258" s="14"/>
      <c r="B8258" s="12"/>
      <c r="C8258" s="12"/>
      <c r="D8258" s="12"/>
      <c r="E8258" s="12"/>
      <c r="F8258" s="14"/>
      <c r="G8258" s="15"/>
      <c r="H8258" s="15"/>
      <c r="I8258" s="14"/>
      <c r="P8258" s="14"/>
    </row>
    <row r="8259" ht="18.75" customHeight="1">
      <c r="A8259" s="14"/>
      <c r="B8259" s="12"/>
      <c r="C8259" s="12"/>
      <c r="D8259" s="12"/>
      <c r="E8259" s="12"/>
      <c r="F8259" s="14"/>
      <c r="G8259" s="15"/>
      <c r="H8259" s="15"/>
      <c r="I8259" s="14"/>
      <c r="P8259" s="14"/>
    </row>
    <row r="8260" ht="18.75" customHeight="1">
      <c r="A8260" s="14"/>
      <c r="B8260" s="12"/>
      <c r="C8260" s="12"/>
      <c r="D8260" s="12"/>
      <c r="E8260" s="12"/>
      <c r="F8260" s="14"/>
      <c r="G8260" s="15"/>
      <c r="H8260" s="15"/>
      <c r="I8260" s="14"/>
      <c r="P8260" s="14"/>
    </row>
    <row r="8261" ht="18.75" customHeight="1">
      <c r="A8261" s="14"/>
      <c r="B8261" s="12"/>
      <c r="C8261" s="12"/>
      <c r="D8261" s="12"/>
      <c r="E8261" s="12"/>
      <c r="F8261" s="14"/>
      <c r="G8261" s="15"/>
      <c r="H8261" s="15"/>
      <c r="I8261" s="14"/>
      <c r="P8261" s="14"/>
    </row>
    <row r="8262" ht="18.75" customHeight="1">
      <c r="A8262" s="14"/>
      <c r="B8262" s="12"/>
      <c r="C8262" s="12"/>
      <c r="D8262" s="12"/>
      <c r="E8262" s="12"/>
      <c r="F8262" s="14"/>
      <c r="G8262" s="15"/>
      <c r="H8262" s="15"/>
      <c r="I8262" s="14"/>
      <c r="P8262" s="14"/>
    </row>
    <row r="8263" ht="18.75" customHeight="1">
      <c r="A8263" s="14"/>
      <c r="B8263" s="12"/>
      <c r="C8263" s="12"/>
      <c r="D8263" s="12"/>
      <c r="E8263" s="12"/>
      <c r="F8263" s="14"/>
      <c r="G8263" s="15"/>
      <c r="H8263" s="15"/>
      <c r="I8263" s="14"/>
      <c r="P8263" s="14"/>
    </row>
    <row r="8264" ht="18.75" customHeight="1">
      <c r="A8264" s="14"/>
      <c r="B8264" s="12"/>
      <c r="C8264" s="12"/>
      <c r="D8264" s="12"/>
      <c r="E8264" s="12"/>
      <c r="F8264" s="14"/>
      <c r="G8264" s="15"/>
      <c r="H8264" s="15"/>
      <c r="I8264" s="14"/>
      <c r="P8264" s="14"/>
    </row>
    <row r="8265" ht="18.75" customHeight="1">
      <c r="A8265" s="14"/>
      <c r="B8265" s="12"/>
      <c r="C8265" s="12"/>
      <c r="D8265" s="12"/>
      <c r="E8265" s="12"/>
      <c r="F8265" s="14"/>
      <c r="G8265" s="15"/>
      <c r="H8265" s="15"/>
      <c r="I8265" s="14"/>
      <c r="P8265" s="14"/>
    </row>
    <row r="8266" ht="18.75" customHeight="1">
      <c r="A8266" s="14"/>
      <c r="B8266" s="12"/>
      <c r="C8266" s="12"/>
      <c r="D8266" s="12"/>
      <c r="E8266" s="12"/>
      <c r="F8266" s="14"/>
      <c r="G8266" s="15"/>
      <c r="H8266" s="15"/>
      <c r="I8266" s="14"/>
      <c r="P8266" s="14"/>
    </row>
    <row r="8267" ht="18.75" customHeight="1">
      <c r="A8267" s="14"/>
      <c r="B8267" s="12"/>
      <c r="C8267" s="12"/>
      <c r="D8267" s="12"/>
      <c r="E8267" s="12"/>
      <c r="F8267" s="14"/>
      <c r="G8267" s="15"/>
      <c r="H8267" s="15"/>
      <c r="I8267" s="14"/>
      <c r="P8267" s="14"/>
    </row>
    <row r="8268" ht="18.75" customHeight="1">
      <c r="A8268" s="14"/>
      <c r="B8268" s="12"/>
      <c r="C8268" s="12"/>
      <c r="D8268" s="12"/>
      <c r="E8268" s="12"/>
      <c r="F8268" s="14"/>
      <c r="G8268" s="15"/>
      <c r="H8268" s="15"/>
      <c r="I8268" s="14"/>
      <c r="P8268" s="14"/>
    </row>
    <row r="8269" ht="18.75" customHeight="1">
      <c r="A8269" s="14"/>
      <c r="B8269" s="12"/>
      <c r="C8269" s="12"/>
      <c r="D8269" s="12"/>
      <c r="E8269" s="12"/>
      <c r="F8269" s="14"/>
      <c r="G8269" s="15"/>
      <c r="H8269" s="15"/>
      <c r="I8269" s="14"/>
      <c r="P8269" s="14"/>
    </row>
    <row r="8270" ht="18.75" customHeight="1">
      <c r="A8270" s="14"/>
      <c r="B8270" s="12"/>
      <c r="C8270" s="12"/>
      <c r="D8270" s="12"/>
      <c r="E8270" s="12"/>
      <c r="F8270" s="14"/>
      <c r="G8270" s="15"/>
      <c r="H8270" s="15"/>
      <c r="I8270" s="14"/>
      <c r="P8270" s="14"/>
    </row>
    <row r="8271" ht="18.75" customHeight="1">
      <c r="A8271" s="14"/>
      <c r="B8271" s="12"/>
      <c r="C8271" s="12"/>
      <c r="D8271" s="12"/>
      <c r="E8271" s="12"/>
      <c r="F8271" s="14"/>
      <c r="G8271" s="15"/>
      <c r="H8271" s="15"/>
      <c r="I8271" s="14"/>
      <c r="P8271" s="14"/>
    </row>
    <row r="8272" ht="18.75" customHeight="1">
      <c r="A8272" s="14"/>
      <c r="B8272" s="12"/>
      <c r="C8272" s="12"/>
      <c r="D8272" s="12"/>
      <c r="E8272" s="12"/>
      <c r="F8272" s="14"/>
      <c r="G8272" s="15"/>
      <c r="H8272" s="15"/>
      <c r="I8272" s="14"/>
      <c r="P8272" s="14"/>
    </row>
    <row r="8273" ht="18.75" customHeight="1">
      <c r="A8273" s="14"/>
      <c r="B8273" s="12"/>
      <c r="C8273" s="12"/>
      <c r="D8273" s="12"/>
      <c r="E8273" s="12"/>
      <c r="F8273" s="14"/>
      <c r="G8273" s="15"/>
      <c r="H8273" s="15"/>
      <c r="I8273" s="14"/>
      <c r="P8273" s="14"/>
    </row>
    <row r="8274" ht="18.75" customHeight="1">
      <c r="A8274" s="14"/>
      <c r="B8274" s="12"/>
      <c r="C8274" s="12"/>
      <c r="D8274" s="12"/>
      <c r="E8274" s="12"/>
      <c r="F8274" s="14"/>
      <c r="G8274" s="15"/>
      <c r="H8274" s="15"/>
      <c r="I8274" s="14"/>
      <c r="P8274" s="14"/>
    </row>
    <row r="8275" ht="18.75" customHeight="1">
      <c r="A8275" s="14"/>
      <c r="B8275" s="12"/>
      <c r="C8275" s="12"/>
      <c r="D8275" s="12"/>
      <c r="E8275" s="12"/>
      <c r="F8275" s="14"/>
      <c r="G8275" s="15"/>
      <c r="H8275" s="15"/>
      <c r="I8275" s="14"/>
      <c r="P8275" s="14"/>
    </row>
    <row r="8276" ht="18.75" customHeight="1">
      <c r="A8276" s="14"/>
      <c r="B8276" s="12"/>
      <c r="C8276" s="12"/>
      <c r="D8276" s="12"/>
      <c r="E8276" s="12"/>
      <c r="F8276" s="14"/>
      <c r="G8276" s="15"/>
      <c r="H8276" s="15"/>
      <c r="I8276" s="14"/>
      <c r="P8276" s="14"/>
    </row>
    <row r="8277" ht="18.75" customHeight="1">
      <c r="A8277" s="14"/>
      <c r="B8277" s="12"/>
      <c r="C8277" s="12"/>
      <c r="D8277" s="12"/>
      <c r="E8277" s="12"/>
      <c r="F8277" s="14"/>
      <c r="G8277" s="15"/>
      <c r="H8277" s="15"/>
      <c r="I8277" s="14"/>
      <c r="P8277" s="14"/>
    </row>
    <row r="8278" ht="18.75" customHeight="1">
      <c r="A8278" s="14"/>
      <c r="B8278" s="12"/>
      <c r="C8278" s="12"/>
      <c r="D8278" s="12"/>
      <c r="E8278" s="12"/>
      <c r="F8278" s="14"/>
      <c r="G8278" s="15"/>
      <c r="H8278" s="15"/>
      <c r="I8278" s="14"/>
      <c r="P8278" s="14"/>
    </row>
    <row r="8279" ht="18.75" customHeight="1">
      <c r="A8279" s="14"/>
      <c r="B8279" s="12"/>
      <c r="C8279" s="12"/>
      <c r="D8279" s="12"/>
      <c r="E8279" s="12"/>
      <c r="F8279" s="14"/>
      <c r="G8279" s="15"/>
      <c r="H8279" s="15"/>
      <c r="I8279" s="14"/>
      <c r="P8279" s="14"/>
    </row>
    <row r="8280" ht="18.75" customHeight="1">
      <c r="A8280" s="14"/>
      <c r="B8280" s="12"/>
      <c r="C8280" s="12"/>
      <c r="D8280" s="12"/>
      <c r="E8280" s="12"/>
      <c r="F8280" s="14"/>
      <c r="G8280" s="15"/>
      <c r="H8280" s="15"/>
      <c r="I8280" s="14"/>
      <c r="P8280" s="14"/>
    </row>
    <row r="8281" ht="18.75" customHeight="1">
      <c r="A8281" s="14"/>
      <c r="B8281" s="12"/>
      <c r="C8281" s="12"/>
      <c r="D8281" s="12"/>
      <c r="E8281" s="12"/>
      <c r="F8281" s="14"/>
      <c r="G8281" s="15"/>
      <c r="H8281" s="15"/>
      <c r="I8281" s="14"/>
      <c r="P8281" s="14"/>
    </row>
    <row r="8282" ht="18.75" customHeight="1">
      <c r="A8282" s="14"/>
      <c r="B8282" s="12"/>
      <c r="C8282" s="12"/>
      <c r="D8282" s="12"/>
      <c r="E8282" s="12"/>
      <c r="F8282" s="14"/>
      <c r="G8282" s="15"/>
      <c r="H8282" s="15"/>
      <c r="I8282" s="14"/>
      <c r="P8282" s="14"/>
    </row>
    <row r="8283" ht="18.75" customHeight="1">
      <c r="A8283" s="14"/>
      <c r="B8283" s="12"/>
      <c r="C8283" s="12"/>
      <c r="D8283" s="12"/>
      <c r="E8283" s="12"/>
      <c r="F8283" s="14"/>
      <c r="G8283" s="15"/>
      <c r="H8283" s="15"/>
      <c r="I8283" s="14"/>
      <c r="P8283" s="14"/>
    </row>
    <row r="8284" ht="18.75" customHeight="1">
      <c r="A8284" s="14"/>
      <c r="B8284" s="12"/>
      <c r="C8284" s="12"/>
      <c r="D8284" s="12"/>
      <c r="E8284" s="12"/>
      <c r="F8284" s="14"/>
      <c r="G8284" s="15"/>
      <c r="H8284" s="15"/>
      <c r="I8284" s="14"/>
      <c r="P8284" s="14"/>
    </row>
    <row r="8285" ht="18.75" customHeight="1">
      <c r="A8285" s="14"/>
      <c r="B8285" s="12"/>
      <c r="C8285" s="12"/>
      <c r="D8285" s="12"/>
      <c r="E8285" s="12"/>
      <c r="F8285" s="14"/>
      <c r="G8285" s="15"/>
      <c r="H8285" s="15"/>
      <c r="I8285" s="14"/>
      <c r="P8285" s="14"/>
    </row>
    <row r="8286" ht="18.75" customHeight="1">
      <c r="A8286" s="14"/>
      <c r="B8286" s="12"/>
      <c r="C8286" s="12"/>
      <c r="D8286" s="12"/>
      <c r="E8286" s="12"/>
      <c r="F8286" s="14"/>
      <c r="G8286" s="15"/>
      <c r="H8286" s="15"/>
      <c r="I8286" s="14"/>
      <c r="P8286" s="14"/>
    </row>
    <row r="8287" ht="18.75" customHeight="1">
      <c r="A8287" s="14"/>
      <c r="B8287" s="12"/>
      <c r="C8287" s="12"/>
      <c r="D8287" s="12"/>
      <c r="E8287" s="12"/>
      <c r="F8287" s="14"/>
      <c r="G8287" s="15"/>
      <c r="H8287" s="15"/>
      <c r="I8287" s="14"/>
      <c r="P8287" s="14"/>
    </row>
    <row r="8288" ht="18.75" customHeight="1">
      <c r="A8288" s="14"/>
      <c r="B8288" s="12"/>
      <c r="C8288" s="12"/>
      <c r="D8288" s="12"/>
      <c r="E8288" s="12"/>
      <c r="F8288" s="14"/>
      <c r="G8288" s="15"/>
      <c r="H8288" s="15"/>
      <c r="I8288" s="14"/>
      <c r="P8288" s="14"/>
    </row>
    <row r="8289" ht="18.75" customHeight="1">
      <c r="A8289" s="14"/>
      <c r="B8289" s="12"/>
      <c r="C8289" s="12"/>
      <c r="D8289" s="12"/>
      <c r="E8289" s="12"/>
      <c r="F8289" s="14"/>
      <c r="G8289" s="15"/>
      <c r="H8289" s="15"/>
      <c r="I8289" s="14"/>
      <c r="P8289" s="14"/>
    </row>
    <row r="8290" ht="18.75" customHeight="1">
      <c r="A8290" s="14"/>
      <c r="B8290" s="12"/>
      <c r="C8290" s="12"/>
      <c r="D8290" s="12"/>
      <c r="E8290" s="12"/>
      <c r="F8290" s="14"/>
      <c r="G8290" s="15"/>
      <c r="H8290" s="15"/>
      <c r="I8290" s="14"/>
      <c r="P8290" s="14"/>
    </row>
    <row r="8291" ht="18.75" customHeight="1">
      <c r="A8291" s="14"/>
      <c r="B8291" s="12"/>
      <c r="C8291" s="12"/>
      <c r="D8291" s="12"/>
      <c r="E8291" s="12"/>
      <c r="F8291" s="14"/>
      <c r="G8291" s="15"/>
      <c r="H8291" s="15"/>
      <c r="I8291" s="14"/>
      <c r="P8291" s="14"/>
    </row>
    <row r="8292" ht="18.75" customHeight="1">
      <c r="A8292" s="14"/>
      <c r="B8292" s="12"/>
      <c r="C8292" s="12"/>
      <c r="D8292" s="12"/>
      <c r="E8292" s="12"/>
      <c r="F8292" s="14"/>
      <c r="G8292" s="15"/>
      <c r="H8292" s="15"/>
      <c r="I8292" s="14"/>
      <c r="P8292" s="14"/>
    </row>
    <row r="8293" ht="18.75" customHeight="1">
      <c r="A8293" s="14"/>
      <c r="B8293" s="12"/>
      <c r="C8293" s="12"/>
      <c r="D8293" s="12"/>
      <c r="E8293" s="12"/>
      <c r="F8293" s="14"/>
      <c r="G8293" s="15"/>
      <c r="H8293" s="15"/>
      <c r="I8293" s="14"/>
      <c r="P8293" s="14"/>
    </row>
    <row r="8294" ht="18.75" customHeight="1">
      <c r="A8294" s="14"/>
      <c r="B8294" s="12"/>
      <c r="C8294" s="12"/>
      <c r="D8294" s="12"/>
      <c r="E8294" s="12"/>
      <c r="F8294" s="14"/>
      <c r="G8294" s="15"/>
      <c r="H8294" s="15"/>
      <c r="I8294" s="14"/>
      <c r="P8294" s="14"/>
    </row>
    <row r="8295" ht="18.75" customHeight="1">
      <c r="A8295" s="14"/>
      <c r="B8295" s="12"/>
      <c r="C8295" s="12"/>
      <c r="D8295" s="12"/>
      <c r="E8295" s="12"/>
      <c r="F8295" s="14"/>
      <c r="G8295" s="15"/>
      <c r="H8295" s="15"/>
      <c r="I8295" s="14"/>
      <c r="P8295" s="14"/>
    </row>
    <row r="8296" ht="18.75" customHeight="1">
      <c r="A8296" s="14"/>
      <c r="B8296" s="12"/>
      <c r="C8296" s="12"/>
      <c r="D8296" s="12"/>
      <c r="E8296" s="12"/>
      <c r="F8296" s="14"/>
      <c r="G8296" s="15"/>
      <c r="H8296" s="15"/>
      <c r="I8296" s="14"/>
      <c r="P8296" s="14"/>
    </row>
    <row r="8297" ht="18.75" customHeight="1">
      <c r="A8297" s="14"/>
      <c r="B8297" s="12"/>
      <c r="C8297" s="12"/>
      <c r="D8297" s="12"/>
      <c r="E8297" s="12"/>
      <c r="F8297" s="14"/>
      <c r="G8297" s="15"/>
      <c r="H8297" s="15"/>
      <c r="I8297" s="14"/>
      <c r="P8297" s="14"/>
    </row>
    <row r="8298" ht="18.75" customHeight="1">
      <c r="A8298" s="14"/>
      <c r="B8298" s="12"/>
      <c r="C8298" s="12"/>
      <c r="D8298" s="12"/>
      <c r="E8298" s="12"/>
      <c r="F8298" s="14"/>
      <c r="G8298" s="15"/>
      <c r="H8298" s="15"/>
      <c r="I8298" s="14"/>
      <c r="P8298" s="14"/>
    </row>
    <row r="8299" ht="18.75" customHeight="1">
      <c r="A8299" s="14"/>
      <c r="B8299" s="12"/>
      <c r="C8299" s="12"/>
      <c r="D8299" s="12"/>
      <c r="E8299" s="12"/>
      <c r="F8299" s="14"/>
      <c r="G8299" s="15"/>
      <c r="H8299" s="15"/>
      <c r="I8299" s="14"/>
      <c r="P8299" s="14"/>
    </row>
    <row r="8300" ht="18.75" customHeight="1">
      <c r="A8300" s="14"/>
      <c r="B8300" s="12"/>
      <c r="C8300" s="12"/>
      <c r="D8300" s="12"/>
      <c r="E8300" s="12"/>
      <c r="F8300" s="14"/>
      <c r="G8300" s="15"/>
      <c r="H8300" s="15"/>
      <c r="I8300" s="14"/>
      <c r="P8300" s="14"/>
    </row>
    <row r="8301" ht="18.75" customHeight="1">
      <c r="A8301" s="14"/>
      <c r="B8301" s="12"/>
      <c r="C8301" s="12"/>
      <c r="D8301" s="12"/>
      <c r="E8301" s="12"/>
      <c r="F8301" s="14"/>
      <c r="G8301" s="15"/>
      <c r="H8301" s="15"/>
      <c r="I8301" s="14"/>
      <c r="P8301" s="14"/>
    </row>
    <row r="8302" ht="18.75" customHeight="1">
      <c r="A8302" s="14"/>
      <c r="B8302" s="12"/>
      <c r="C8302" s="12"/>
      <c r="D8302" s="12"/>
      <c r="E8302" s="12"/>
      <c r="F8302" s="14"/>
      <c r="G8302" s="15"/>
      <c r="H8302" s="15"/>
      <c r="I8302" s="14"/>
      <c r="P8302" s="14"/>
    </row>
    <row r="8303" ht="18.75" customHeight="1">
      <c r="A8303" s="14"/>
      <c r="B8303" s="12"/>
      <c r="C8303" s="12"/>
      <c r="D8303" s="12"/>
      <c r="E8303" s="12"/>
      <c r="F8303" s="14"/>
      <c r="G8303" s="15"/>
      <c r="H8303" s="15"/>
      <c r="I8303" s="14"/>
      <c r="P8303" s="14"/>
    </row>
    <row r="8304" ht="18.75" customHeight="1">
      <c r="A8304" s="14"/>
      <c r="B8304" s="12"/>
      <c r="C8304" s="12"/>
      <c r="D8304" s="12"/>
      <c r="E8304" s="12"/>
      <c r="F8304" s="14"/>
      <c r="G8304" s="15"/>
      <c r="H8304" s="15"/>
      <c r="I8304" s="14"/>
      <c r="P8304" s="14"/>
    </row>
    <row r="8305" ht="18.75" customHeight="1">
      <c r="A8305" s="14"/>
      <c r="B8305" s="12"/>
      <c r="C8305" s="12"/>
      <c r="D8305" s="12"/>
      <c r="E8305" s="12"/>
      <c r="F8305" s="14"/>
      <c r="G8305" s="15"/>
      <c r="H8305" s="15"/>
      <c r="I8305" s="14"/>
      <c r="P8305" s="14"/>
    </row>
    <row r="8306" ht="18.75" customHeight="1">
      <c r="A8306" s="14"/>
      <c r="B8306" s="12"/>
      <c r="C8306" s="12"/>
      <c r="D8306" s="12"/>
      <c r="E8306" s="12"/>
      <c r="F8306" s="14"/>
      <c r="G8306" s="15"/>
      <c r="H8306" s="15"/>
      <c r="I8306" s="14"/>
      <c r="P8306" s="14"/>
    </row>
    <row r="8307" ht="18.75" customHeight="1">
      <c r="A8307" s="14"/>
      <c r="B8307" s="12"/>
      <c r="C8307" s="12"/>
      <c r="D8307" s="12"/>
      <c r="E8307" s="12"/>
      <c r="F8307" s="14"/>
      <c r="G8307" s="15"/>
      <c r="H8307" s="15"/>
      <c r="I8307" s="14"/>
      <c r="P8307" s="14"/>
    </row>
    <row r="8308" ht="18.75" customHeight="1">
      <c r="A8308" s="14"/>
      <c r="B8308" s="12"/>
      <c r="C8308" s="12"/>
      <c r="D8308" s="12"/>
      <c r="E8308" s="12"/>
      <c r="F8308" s="14"/>
      <c r="G8308" s="15"/>
      <c r="H8308" s="15"/>
      <c r="I8308" s="14"/>
      <c r="P8308" s="14"/>
    </row>
    <row r="8309" ht="18.75" customHeight="1">
      <c r="A8309" s="14"/>
      <c r="B8309" s="12"/>
      <c r="C8309" s="12"/>
      <c r="D8309" s="12"/>
      <c r="E8309" s="12"/>
      <c r="F8309" s="14"/>
      <c r="G8309" s="15"/>
      <c r="H8309" s="15"/>
      <c r="I8309" s="14"/>
      <c r="P8309" s="14"/>
    </row>
    <row r="8310" ht="18.75" customHeight="1">
      <c r="A8310" s="14"/>
      <c r="B8310" s="12"/>
      <c r="C8310" s="12"/>
      <c r="D8310" s="12"/>
      <c r="E8310" s="12"/>
      <c r="F8310" s="14"/>
      <c r="G8310" s="15"/>
      <c r="H8310" s="15"/>
      <c r="I8310" s="14"/>
      <c r="P8310" s="14"/>
    </row>
    <row r="8311" ht="18.75" customHeight="1">
      <c r="A8311" s="14"/>
      <c r="B8311" s="12"/>
      <c r="C8311" s="12"/>
      <c r="D8311" s="12"/>
      <c r="E8311" s="12"/>
      <c r="F8311" s="14"/>
      <c r="G8311" s="15"/>
      <c r="H8311" s="15"/>
      <c r="I8311" s="14"/>
      <c r="P8311" s="14"/>
    </row>
    <row r="8312" ht="18.75" customHeight="1">
      <c r="A8312" s="14"/>
      <c r="B8312" s="12"/>
      <c r="C8312" s="12"/>
      <c r="D8312" s="12"/>
      <c r="E8312" s="12"/>
      <c r="F8312" s="14"/>
      <c r="G8312" s="15"/>
      <c r="H8312" s="15"/>
      <c r="I8312" s="14"/>
      <c r="P8312" s="14"/>
    </row>
    <row r="8313" ht="18.75" customHeight="1">
      <c r="A8313" s="14"/>
      <c r="B8313" s="12"/>
      <c r="C8313" s="12"/>
      <c r="D8313" s="12"/>
      <c r="E8313" s="12"/>
      <c r="F8313" s="14"/>
      <c r="G8313" s="15"/>
      <c r="H8313" s="15"/>
      <c r="I8313" s="14"/>
      <c r="P8313" s="14"/>
    </row>
    <row r="8314" ht="18.75" customHeight="1">
      <c r="A8314" s="14"/>
      <c r="B8314" s="12"/>
      <c r="C8314" s="12"/>
      <c r="D8314" s="12"/>
      <c r="E8314" s="12"/>
      <c r="F8314" s="14"/>
      <c r="G8314" s="15"/>
      <c r="H8314" s="15"/>
      <c r="I8314" s="14"/>
      <c r="P8314" s="14"/>
    </row>
    <row r="8315" ht="18.75" customHeight="1">
      <c r="A8315" s="14"/>
      <c r="B8315" s="12"/>
      <c r="C8315" s="12"/>
      <c r="D8315" s="12"/>
      <c r="E8315" s="12"/>
      <c r="F8315" s="14"/>
      <c r="G8315" s="15"/>
      <c r="H8315" s="15"/>
      <c r="I8315" s="14"/>
      <c r="P8315" s="14"/>
    </row>
    <row r="8316" ht="18.75" customHeight="1">
      <c r="A8316" s="14"/>
      <c r="B8316" s="12"/>
      <c r="C8316" s="12"/>
      <c r="D8316" s="12"/>
      <c r="E8316" s="12"/>
      <c r="F8316" s="14"/>
      <c r="G8316" s="15"/>
      <c r="H8316" s="15"/>
      <c r="I8316" s="14"/>
      <c r="P8316" s="14"/>
    </row>
    <row r="8317" ht="18.75" customHeight="1">
      <c r="A8317" s="14"/>
      <c r="B8317" s="12"/>
      <c r="C8317" s="12"/>
      <c r="D8317" s="12"/>
      <c r="E8317" s="12"/>
      <c r="F8317" s="14"/>
      <c r="G8317" s="15"/>
      <c r="H8317" s="15"/>
      <c r="I8317" s="14"/>
      <c r="P8317" s="14"/>
    </row>
    <row r="8318" ht="18.75" customHeight="1">
      <c r="A8318" s="14"/>
      <c r="B8318" s="12"/>
      <c r="C8318" s="12"/>
      <c r="D8318" s="12"/>
      <c r="E8318" s="12"/>
      <c r="F8318" s="14"/>
      <c r="G8318" s="15"/>
      <c r="H8318" s="15"/>
      <c r="I8318" s="14"/>
      <c r="P8318" s="14"/>
    </row>
    <row r="8319" ht="18.75" customHeight="1">
      <c r="A8319" s="14"/>
      <c r="B8319" s="12"/>
      <c r="C8319" s="12"/>
      <c r="D8319" s="12"/>
      <c r="E8319" s="12"/>
      <c r="F8319" s="14"/>
      <c r="G8319" s="15"/>
      <c r="H8319" s="15"/>
      <c r="I8319" s="14"/>
      <c r="P8319" s="14"/>
    </row>
    <row r="8320" ht="18.75" customHeight="1">
      <c r="A8320" s="14"/>
      <c r="B8320" s="12"/>
      <c r="C8320" s="12"/>
      <c r="D8320" s="12"/>
      <c r="E8320" s="12"/>
      <c r="F8320" s="14"/>
      <c r="G8320" s="15"/>
      <c r="H8320" s="15"/>
      <c r="I8320" s="14"/>
      <c r="P8320" s="14"/>
    </row>
    <row r="8321" ht="18.75" customHeight="1">
      <c r="A8321" s="14"/>
      <c r="B8321" s="12"/>
      <c r="C8321" s="12"/>
      <c r="D8321" s="12"/>
      <c r="E8321" s="12"/>
      <c r="F8321" s="14"/>
      <c r="G8321" s="15"/>
      <c r="H8321" s="15"/>
      <c r="I8321" s="14"/>
      <c r="P8321" s="14"/>
    </row>
    <row r="8322" ht="18.75" customHeight="1">
      <c r="A8322" s="14"/>
      <c r="B8322" s="12"/>
      <c r="C8322" s="12"/>
      <c r="D8322" s="12"/>
      <c r="E8322" s="12"/>
      <c r="F8322" s="14"/>
      <c r="G8322" s="15"/>
      <c r="H8322" s="15"/>
      <c r="I8322" s="14"/>
      <c r="P8322" s="14"/>
    </row>
    <row r="8323" ht="18.75" customHeight="1">
      <c r="A8323" s="14"/>
      <c r="B8323" s="12"/>
      <c r="C8323" s="12"/>
      <c r="D8323" s="12"/>
      <c r="E8323" s="12"/>
      <c r="F8323" s="14"/>
      <c r="G8323" s="15"/>
      <c r="H8323" s="15"/>
      <c r="I8323" s="14"/>
      <c r="P8323" s="14"/>
    </row>
    <row r="8324" ht="18.75" customHeight="1">
      <c r="A8324" s="14"/>
      <c r="B8324" s="12"/>
      <c r="C8324" s="12"/>
      <c r="D8324" s="12"/>
      <c r="E8324" s="12"/>
      <c r="F8324" s="14"/>
      <c r="G8324" s="15"/>
      <c r="H8324" s="15"/>
      <c r="I8324" s="14"/>
      <c r="P8324" s="14"/>
    </row>
    <row r="8325" ht="18.75" customHeight="1">
      <c r="A8325" s="14"/>
      <c r="B8325" s="12"/>
      <c r="C8325" s="12"/>
      <c r="D8325" s="12"/>
      <c r="E8325" s="12"/>
      <c r="F8325" s="14"/>
      <c r="G8325" s="15"/>
      <c r="H8325" s="15"/>
      <c r="I8325" s="14"/>
      <c r="P8325" s="14"/>
    </row>
    <row r="8326" ht="18.75" customHeight="1">
      <c r="A8326" s="14"/>
      <c r="B8326" s="12"/>
      <c r="C8326" s="12"/>
      <c r="D8326" s="12"/>
      <c r="E8326" s="12"/>
      <c r="F8326" s="14"/>
      <c r="G8326" s="15"/>
      <c r="H8326" s="15"/>
      <c r="I8326" s="14"/>
      <c r="P8326" s="14"/>
    </row>
    <row r="8327" ht="18.75" customHeight="1">
      <c r="A8327" s="14"/>
      <c r="B8327" s="12"/>
      <c r="C8327" s="12"/>
      <c r="D8327" s="12"/>
      <c r="E8327" s="12"/>
      <c r="F8327" s="14"/>
      <c r="G8327" s="15"/>
      <c r="H8327" s="15"/>
      <c r="I8327" s="14"/>
      <c r="P8327" s="14"/>
    </row>
    <row r="8328" ht="18.75" customHeight="1">
      <c r="A8328" s="14"/>
      <c r="B8328" s="12"/>
      <c r="C8328" s="12"/>
      <c r="D8328" s="12"/>
      <c r="E8328" s="12"/>
      <c r="F8328" s="14"/>
      <c r="G8328" s="15"/>
      <c r="H8328" s="15"/>
      <c r="I8328" s="14"/>
      <c r="P8328" s="14"/>
    </row>
    <row r="8329" ht="18.75" customHeight="1">
      <c r="A8329" s="14"/>
      <c r="B8329" s="12"/>
      <c r="C8329" s="12"/>
      <c r="D8329" s="12"/>
      <c r="E8329" s="12"/>
      <c r="F8329" s="14"/>
      <c r="G8329" s="15"/>
      <c r="H8329" s="15"/>
      <c r="I8329" s="14"/>
      <c r="P8329" s="14"/>
    </row>
    <row r="8330" ht="18.75" customHeight="1">
      <c r="A8330" s="14"/>
      <c r="B8330" s="12"/>
      <c r="C8330" s="12"/>
      <c r="D8330" s="12"/>
      <c r="E8330" s="12"/>
      <c r="F8330" s="14"/>
      <c r="G8330" s="15"/>
      <c r="H8330" s="15"/>
      <c r="I8330" s="14"/>
      <c r="P8330" s="14"/>
    </row>
    <row r="8331" ht="18.75" customHeight="1">
      <c r="A8331" s="14"/>
      <c r="B8331" s="12"/>
      <c r="C8331" s="12"/>
      <c r="D8331" s="12"/>
      <c r="E8331" s="12"/>
      <c r="F8331" s="14"/>
      <c r="G8331" s="15"/>
      <c r="H8331" s="15"/>
      <c r="I8331" s="14"/>
      <c r="P8331" s="14"/>
    </row>
    <row r="8332" ht="18.75" customHeight="1">
      <c r="A8332" s="14"/>
      <c r="B8332" s="12"/>
      <c r="C8332" s="12"/>
      <c r="D8332" s="12"/>
      <c r="E8332" s="12"/>
      <c r="F8332" s="14"/>
      <c r="G8332" s="15"/>
      <c r="H8332" s="15"/>
      <c r="I8332" s="14"/>
      <c r="P8332" s="14"/>
    </row>
    <row r="8333" ht="18.75" customHeight="1">
      <c r="A8333" s="14"/>
      <c r="B8333" s="12"/>
      <c r="C8333" s="12"/>
      <c r="D8333" s="12"/>
      <c r="E8333" s="12"/>
      <c r="F8333" s="14"/>
      <c r="G8333" s="15"/>
      <c r="H8333" s="15"/>
      <c r="I8333" s="14"/>
      <c r="P8333" s="14"/>
    </row>
    <row r="8334" ht="18.75" customHeight="1">
      <c r="A8334" s="14"/>
      <c r="B8334" s="12"/>
      <c r="C8334" s="12"/>
      <c r="D8334" s="12"/>
      <c r="E8334" s="12"/>
      <c r="F8334" s="14"/>
      <c r="G8334" s="15"/>
      <c r="H8334" s="15"/>
      <c r="I8334" s="14"/>
      <c r="P8334" s="14"/>
    </row>
    <row r="8335" ht="18.75" customHeight="1">
      <c r="A8335" s="14"/>
      <c r="B8335" s="12"/>
      <c r="C8335" s="12"/>
      <c r="D8335" s="12"/>
      <c r="E8335" s="12"/>
      <c r="F8335" s="14"/>
      <c r="G8335" s="15"/>
      <c r="H8335" s="15"/>
      <c r="I8335" s="14"/>
      <c r="P8335" s="14"/>
    </row>
    <row r="8336" ht="18.75" customHeight="1">
      <c r="A8336" s="14"/>
      <c r="B8336" s="12"/>
      <c r="C8336" s="12"/>
      <c r="D8336" s="12"/>
      <c r="E8336" s="12"/>
      <c r="F8336" s="14"/>
      <c r="G8336" s="15"/>
      <c r="H8336" s="15"/>
      <c r="I8336" s="14"/>
      <c r="P8336" s="14"/>
    </row>
    <row r="8337" ht="18.75" customHeight="1">
      <c r="A8337" s="14"/>
      <c r="B8337" s="12"/>
      <c r="C8337" s="12"/>
      <c r="D8337" s="12"/>
      <c r="E8337" s="12"/>
      <c r="F8337" s="14"/>
      <c r="G8337" s="15"/>
      <c r="H8337" s="15"/>
      <c r="I8337" s="14"/>
      <c r="P8337" s="14"/>
    </row>
    <row r="8338" ht="18.75" customHeight="1">
      <c r="A8338" s="14"/>
      <c r="B8338" s="12"/>
      <c r="C8338" s="12"/>
      <c r="D8338" s="12"/>
      <c r="E8338" s="12"/>
      <c r="F8338" s="14"/>
      <c r="G8338" s="15"/>
      <c r="H8338" s="15"/>
      <c r="I8338" s="14"/>
      <c r="P8338" s="14"/>
    </row>
    <row r="8339" ht="18.75" customHeight="1">
      <c r="A8339" s="14"/>
      <c r="B8339" s="12"/>
      <c r="C8339" s="12"/>
      <c r="D8339" s="12"/>
      <c r="E8339" s="12"/>
      <c r="F8339" s="14"/>
      <c r="G8339" s="15"/>
      <c r="H8339" s="15"/>
      <c r="I8339" s="14"/>
      <c r="P8339" s="14"/>
    </row>
    <row r="8340" ht="18.75" customHeight="1">
      <c r="A8340" s="14"/>
      <c r="B8340" s="12"/>
      <c r="C8340" s="12"/>
      <c r="D8340" s="12"/>
      <c r="E8340" s="12"/>
      <c r="F8340" s="14"/>
      <c r="G8340" s="15"/>
      <c r="H8340" s="15"/>
      <c r="I8340" s="14"/>
      <c r="P8340" s="14"/>
    </row>
    <row r="8341" ht="18.75" customHeight="1">
      <c r="A8341" s="14"/>
      <c r="B8341" s="12"/>
      <c r="C8341" s="12"/>
      <c r="D8341" s="12"/>
      <c r="E8341" s="12"/>
      <c r="F8341" s="14"/>
      <c r="G8341" s="15"/>
      <c r="H8341" s="15"/>
      <c r="I8341" s="14"/>
      <c r="P8341" s="14"/>
    </row>
    <row r="8342" ht="18.75" customHeight="1">
      <c r="A8342" s="14"/>
      <c r="B8342" s="12"/>
      <c r="C8342" s="12"/>
      <c r="D8342" s="12"/>
      <c r="E8342" s="12"/>
      <c r="F8342" s="14"/>
      <c r="G8342" s="15"/>
      <c r="H8342" s="15"/>
      <c r="I8342" s="14"/>
      <c r="P8342" s="14"/>
    </row>
    <row r="8343" ht="18.75" customHeight="1">
      <c r="A8343" s="14"/>
      <c r="B8343" s="12"/>
      <c r="C8343" s="12"/>
      <c r="D8343" s="12"/>
      <c r="E8343" s="12"/>
      <c r="F8343" s="14"/>
      <c r="G8343" s="15"/>
      <c r="H8343" s="15"/>
      <c r="I8343" s="14"/>
      <c r="P8343" s="14"/>
    </row>
    <row r="8344" ht="18.75" customHeight="1">
      <c r="A8344" s="14"/>
      <c r="B8344" s="12"/>
      <c r="C8344" s="12"/>
      <c r="D8344" s="12"/>
      <c r="E8344" s="12"/>
      <c r="F8344" s="14"/>
      <c r="G8344" s="15"/>
      <c r="H8344" s="15"/>
      <c r="I8344" s="14"/>
      <c r="P8344" s="14"/>
    </row>
    <row r="8345" ht="18.75" customHeight="1">
      <c r="A8345" s="14"/>
      <c r="B8345" s="12"/>
      <c r="C8345" s="12"/>
      <c r="D8345" s="12"/>
      <c r="E8345" s="12"/>
      <c r="F8345" s="14"/>
      <c r="G8345" s="15"/>
      <c r="H8345" s="15"/>
      <c r="I8345" s="14"/>
      <c r="P8345" s="14"/>
    </row>
    <row r="8346" ht="18.75" customHeight="1">
      <c r="A8346" s="14"/>
      <c r="B8346" s="12"/>
      <c r="C8346" s="12"/>
      <c r="D8346" s="12"/>
      <c r="E8346" s="12"/>
      <c r="F8346" s="14"/>
      <c r="G8346" s="15"/>
      <c r="H8346" s="15"/>
      <c r="I8346" s="14"/>
      <c r="P8346" s="14"/>
    </row>
    <row r="8347" ht="18.75" customHeight="1">
      <c r="A8347" s="14"/>
      <c r="B8347" s="12"/>
      <c r="C8347" s="12"/>
      <c r="D8347" s="12"/>
      <c r="E8347" s="12"/>
      <c r="F8347" s="14"/>
      <c r="G8347" s="15"/>
      <c r="H8347" s="15"/>
      <c r="I8347" s="14"/>
      <c r="P8347" s="14"/>
    </row>
    <row r="8348" ht="18.75" customHeight="1">
      <c r="A8348" s="14"/>
      <c r="B8348" s="12"/>
      <c r="C8348" s="12"/>
      <c r="D8348" s="12"/>
      <c r="E8348" s="12"/>
      <c r="F8348" s="14"/>
      <c r="G8348" s="15"/>
      <c r="H8348" s="15"/>
      <c r="I8348" s="14"/>
      <c r="P8348" s="14"/>
    </row>
    <row r="8349" ht="18.75" customHeight="1">
      <c r="A8349" s="14"/>
      <c r="B8349" s="12"/>
      <c r="C8349" s="12"/>
      <c r="D8349" s="12"/>
      <c r="E8349" s="12"/>
      <c r="F8349" s="14"/>
      <c r="G8349" s="15"/>
      <c r="H8349" s="15"/>
      <c r="I8349" s="14"/>
      <c r="P8349" s="14"/>
    </row>
    <row r="8350" ht="18.75" customHeight="1">
      <c r="A8350" s="14"/>
      <c r="B8350" s="12"/>
      <c r="C8350" s="12"/>
      <c r="D8350" s="12"/>
      <c r="E8350" s="12"/>
      <c r="F8350" s="14"/>
      <c r="G8350" s="15"/>
      <c r="H8350" s="15"/>
      <c r="I8350" s="14"/>
      <c r="P8350" s="14"/>
    </row>
    <row r="8351" ht="18.75" customHeight="1">
      <c r="A8351" s="14"/>
      <c r="B8351" s="12"/>
      <c r="C8351" s="12"/>
      <c r="D8351" s="12"/>
      <c r="E8351" s="12"/>
      <c r="F8351" s="14"/>
      <c r="G8351" s="15"/>
      <c r="H8351" s="15"/>
      <c r="I8351" s="14"/>
      <c r="P8351" s="14"/>
    </row>
    <row r="8352" ht="18.75" customHeight="1">
      <c r="A8352" s="14"/>
      <c r="B8352" s="12"/>
      <c r="C8352" s="12"/>
      <c r="D8352" s="12"/>
      <c r="E8352" s="12"/>
      <c r="F8352" s="14"/>
      <c r="G8352" s="15"/>
      <c r="H8352" s="15"/>
      <c r="I8352" s="14"/>
      <c r="P8352" s="14"/>
    </row>
    <row r="8353" ht="18.75" customHeight="1">
      <c r="A8353" s="14"/>
      <c r="B8353" s="12"/>
      <c r="C8353" s="12"/>
      <c r="D8353" s="12"/>
      <c r="E8353" s="12"/>
      <c r="F8353" s="14"/>
      <c r="G8353" s="15"/>
      <c r="H8353" s="15"/>
      <c r="I8353" s="14"/>
      <c r="P8353" s="14"/>
    </row>
    <row r="8354" ht="18.75" customHeight="1">
      <c r="A8354" s="14"/>
      <c r="B8354" s="12"/>
      <c r="C8354" s="12"/>
      <c r="D8354" s="12"/>
      <c r="E8354" s="12"/>
      <c r="F8354" s="14"/>
      <c r="G8354" s="15"/>
      <c r="H8354" s="15"/>
      <c r="I8354" s="14"/>
      <c r="P8354" s="14"/>
    </row>
    <row r="8355" ht="18.75" customHeight="1">
      <c r="A8355" s="14"/>
      <c r="B8355" s="12"/>
      <c r="C8355" s="12"/>
      <c r="D8355" s="12"/>
      <c r="E8355" s="12"/>
      <c r="F8355" s="14"/>
      <c r="G8355" s="15"/>
      <c r="H8355" s="15"/>
      <c r="I8355" s="14"/>
      <c r="P8355" s="14"/>
    </row>
    <row r="8356" ht="18.75" customHeight="1">
      <c r="A8356" s="14"/>
      <c r="B8356" s="12"/>
      <c r="C8356" s="12"/>
      <c r="D8356" s="12"/>
      <c r="E8356" s="12"/>
      <c r="F8356" s="14"/>
      <c r="G8356" s="15"/>
      <c r="H8356" s="15"/>
      <c r="I8356" s="14"/>
      <c r="P8356" s="14"/>
    </row>
    <row r="8357" ht="18.75" customHeight="1">
      <c r="A8357" s="14"/>
      <c r="B8357" s="12"/>
      <c r="C8357" s="12"/>
      <c r="D8357" s="12"/>
      <c r="E8357" s="12"/>
      <c r="F8357" s="14"/>
      <c r="G8357" s="15"/>
      <c r="H8357" s="15"/>
      <c r="I8357" s="14"/>
      <c r="P8357" s="14"/>
    </row>
    <row r="8358" ht="18.75" customHeight="1">
      <c r="A8358" s="14"/>
      <c r="B8358" s="12"/>
      <c r="C8358" s="12"/>
      <c r="D8358" s="12"/>
      <c r="E8358" s="12"/>
      <c r="F8358" s="14"/>
      <c r="G8358" s="15"/>
      <c r="H8358" s="15"/>
      <c r="I8358" s="14"/>
      <c r="P8358" s="14"/>
    </row>
    <row r="8359" ht="18.75" customHeight="1">
      <c r="A8359" s="14"/>
      <c r="B8359" s="12"/>
      <c r="C8359" s="12"/>
      <c r="D8359" s="12"/>
      <c r="E8359" s="12"/>
      <c r="F8359" s="14"/>
      <c r="G8359" s="15"/>
      <c r="H8359" s="15"/>
      <c r="I8359" s="14"/>
      <c r="P8359" s="14"/>
    </row>
    <row r="8360" ht="18.75" customHeight="1">
      <c r="A8360" s="14"/>
      <c r="B8360" s="12"/>
      <c r="C8360" s="12"/>
      <c r="D8360" s="12"/>
      <c r="E8360" s="12"/>
      <c r="F8360" s="14"/>
      <c r="G8360" s="15"/>
      <c r="H8360" s="15"/>
      <c r="I8360" s="14"/>
      <c r="P8360" s="14"/>
    </row>
    <row r="8361" ht="18.75" customHeight="1">
      <c r="A8361" s="14"/>
      <c r="B8361" s="12"/>
      <c r="C8361" s="12"/>
      <c r="D8361" s="12"/>
      <c r="E8361" s="12"/>
      <c r="F8361" s="14"/>
      <c r="G8361" s="15"/>
      <c r="H8361" s="15"/>
      <c r="I8361" s="14"/>
      <c r="P8361" s="14"/>
    </row>
    <row r="8362" ht="18.75" customHeight="1">
      <c r="A8362" s="14"/>
      <c r="B8362" s="12"/>
      <c r="C8362" s="12"/>
      <c r="D8362" s="12"/>
      <c r="E8362" s="12"/>
      <c r="F8362" s="14"/>
      <c r="G8362" s="15"/>
      <c r="H8362" s="15"/>
      <c r="I8362" s="14"/>
      <c r="P8362" s="14"/>
    </row>
    <row r="8363" ht="18.75" customHeight="1">
      <c r="A8363" s="14"/>
      <c r="B8363" s="12"/>
      <c r="C8363" s="12"/>
      <c r="D8363" s="12"/>
      <c r="E8363" s="12"/>
      <c r="F8363" s="14"/>
      <c r="G8363" s="15"/>
      <c r="H8363" s="15"/>
      <c r="I8363" s="14"/>
      <c r="P8363" s="14"/>
    </row>
    <row r="8364" ht="18.75" customHeight="1">
      <c r="A8364" s="14"/>
      <c r="B8364" s="12"/>
      <c r="C8364" s="12"/>
      <c r="D8364" s="12"/>
      <c r="E8364" s="12"/>
      <c r="F8364" s="14"/>
      <c r="G8364" s="15"/>
      <c r="H8364" s="15"/>
      <c r="I8364" s="14"/>
      <c r="P8364" s="14"/>
    </row>
    <row r="8365" ht="18.75" customHeight="1">
      <c r="A8365" s="14"/>
      <c r="B8365" s="12"/>
      <c r="C8365" s="12"/>
      <c r="D8365" s="12"/>
      <c r="E8365" s="12"/>
      <c r="F8365" s="14"/>
      <c r="G8365" s="15"/>
      <c r="H8365" s="15"/>
      <c r="I8365" s="14"/>
      <c r="P8365" s="14"/>
    </row>
    <row r="8366" ht="18.75" customHeight="1">
      <c r="A8366" s="14"/>
      <c r="B8366" s="12"/>
      <c r="C8366" s="12"/>
      <c r="D8366" s="12"/>
      <c r="E8366" s="12"/>
      <c r="F8366" s="14"/>
      <c r="G8366" s="15"/>
      <c r="H8366" s="15"/>
      <c r="I8366" s="14"/>
      <c r="P8366" s="14"/>
    </row>
    <row r="8367" ht="18.75" customHeight="1">
      <c r="A8367" s="14"/>
      <c r="B8367" s="12"/>
      <c r="C8367" s="12"/>
      <c r="D8367" s="12"/>
      <c r="E8367" s="12"/>
      <c r="F8367" s="14"/>
      <c r="G8367" s="15"/>
      <c r="H8367" s="15"/>
      <c r="I8367" s="14"/>
      <c r="P8367" s="14"/>
    </row>
    <row r="8368" ht="18.75" customHeight="1">
      <c r="A8368" s="14"/>
      <c r="B8368" s="12"/>
      <c r="C8368" s="12"/>
      <c r="D8368" s="12"/>
      <c r="E8368" s="12"/>
      <c r="F8368" s="14"/>
      <c r="G8368" s="15"/>
      <c r="H8368" s="15"/>
      <c r="I8368" s="14"/>
      <c r="P8368" s="14"/>
    </row>
    <row r="8369" ht="18.75" customHeight="1">
      <c r="A8369" s="14"/>
      <c r="B8369" s="12"/>
      <c r="C8369" s="12"/>
      <c r="D8369" s="12"/>
      <c r="E8369" s="12"/>
      <c r="F8369" s="14"/>
      <c r="G8369" s="15"/>
      <c r="H8369" s="15"/>
      <c r="I8369" s="14"/>
      <c r="P8369" s="14"/>
    </row>
    <row r="8370" ht="18.75" customHeight="1">
      <c r="A8370" s="14"/>
      <c r="B8370" s="12"/>
      <c r="C8370" s="12"/>
      <c r="D8370" s="12"/>
      <c r="E8370" s="12"/>
      <c r="F8370" s="14"/>
      <c r="G8370" s="15"/>
      <c r="H8370" s="15"/>
      <c r="I8370" s="14"/>
      <c r="P8370" s="14"/>
    </row>
    <row r="8371" ht="18.75" customHeight="1">
      <c r="A8371" s="14"/>
      <c r="B8371" s="12"/>
      <c r="C8371" s="12"/>
      <c r="D8371" s="12"/>
      <c r="E8371" s="12"/>
      <c r="F8371" s="14"/>
      <c r="G8371" s="15"/>
      <c r="H8371" s="15"/>
      <c r="I8371" s="14"/>
      <c r="P8371" s="14"/>
    </row>
    <row r="8372" ht="18.75" customHeight="1">
      <c r="A8372" s="14"/>
      <c r="B8372" s="12"/>
      <c r="C8372" s="12"/>
      <c r="D8372" s="12"/>
      <c r="E8372" s="12"/>
      <c r="F8372" s="14"/>
      <c r="G8372" s="15"/>
      <c r="H8372" s="15"/>
      <c r="I8372" s="14"/>
      <c r="P8372" s="14"/>
    </row>
    <row r="8373" ht="18.75" customHeight="1">
      <c r="A8373" s="14"/>
      <c r="B8373" s="12"/>
      <c r="C8373" s="12"/>
      <c r="D8373" s="12"/>
      <c r="E8373" s="12"/>
      <c r="F8373" s="14"/>
      <c r="G8373" s="15"/>
      <c r="H8373" s="15"/>
      <c r="I8373" s="14"/>
      <c r="P8373" s="14"/>
    </row>
    <row r="8374" ht="18.75" customHeight="1">
      <c r="A8374" s="14"/>
      <c r="B8374" s="12"/>
      <c r="C8374" s="12"/>
      <c r="D8374" s="12"/>
      <c r="E8374" s="12"/>
      <c r="F8374" s="14"/>
      <c r="G8374" s="15"/>
      <c r="H8374" s="15"/>
      <c r="I8374" s="14"/>
      <c r="P8374" s="14"/>
    </row>
    <row r="8375" ht="18.75" customHeight="1">
      <c r="A8375" s="14"/>
      <c r="B8375" s="12"/>
      <c r="C8375" s="12"/>
      <c r="D8375" s="12"/>
      <c r="E8375" s="12"/>
      <c r="F8375" s="14"/>
      <c r="G8375" s="15"/>
      <c r="H8375" s="15"/>
      <c r="I8375" s="14"/>
      <c r="P8375" s="14"/>
    </row>
    <row r="8376" ht="18.75" customHeight="1">
      <c r="A8376" s="14"/>
      <c r="B8376" s="12"/>
      <c r="C8376" s="12"/>
      <c r="D8376" s="12"/>
      <c r="E8376" s="12"/>
      <c r="F8376" s="14"/>
      <c r="G8376" s="15"/>
      <c r="H8376" s="15"/>
      <c r="I8376" s="14"/>
      <c r="P8376" s="14"/>
    </row>
    <row r="8377" ht="18.75" customHeight="1">
      <c r="A8377" s="14"/>
      <c r="B8377" s="12"/>
      <c r="C8377" s="12"/>
      <c r="D8377" s="12"/>
      <c r="E8377" s="12"/>
      <c r="F8377" s="14"/>
      <c r="G8377" s="15"/>
      <c r="H8377" s="15"/>
      <c r="I8377" s="14"/>
      <c r="P8377" s="14"/>
    </row>
    <row r="8378" ht="18.75" customHeight="1">
      <c r="A8378" s="14"/>
      <c r="B8378" s="12"/>
      <c r="C8378" s="12"/>
      <c r="D8378" s="12"/>
      <c r="E8378" s="12"/>
      <c r="F8378" s="14"/>
      <c r="G8378" s="15"/>
      <c r="H8378" s="15"/>
      <c r="I8378" s="14"/>
      <c r="P8378" s="14"/>
    </row>
    <row r="8379" ht="18.75" customHeight="1">
      <c r="A8379" s="14"/>
      <c r="B8379" s="12"/>
      <c r="C8379" s="12"/>
      <c r="D8379" s="12"/>
      <c r="E8379" s="12"/>
      <c r="F8379" s="14"/>
      <c r="G8379" s="15"/>
      <c r="H8379" s="15"/>
      <c r="I8379" s="14"/>
      <c r="P8379" s="14"/>
    </row>
    <row r="8380" ht="18.75" customHeight="1">
      <c r="A8380" s="14"/>
      <c r="B8380" s="12"/>
      <c r="C8380" s="12"/>
      <c r="D8380" s="12"/>
      <c r="E8380" s="12"/>
      <c r="F8380" s="14"/>
      <c r="G8380" s="15"/>
      <c r="H8380" s="15"/>
      <c r="I8380" s="14"/>
      <c r="P8380" s="14"/>
    </row>
    <row r="8381" ht="18.75" customHeight="1">
      <c r="A8381" s="14"/>
      <c r="B8381" s="12"/>
      <c r="C8381" s="12"/>
      <c r="D8381" s="12"/>
      <c r="E8381" s="12"/>
      <c r="F8381" s="14"/>
      <c r="G8381" s="15"/>
      <c r="H8381" s="15"/>
      <c r="I8381" s="14"/>
      <c r="P8381" s="14"/>
    </row>
    <row r="8382" ht="18.75" customHeight="1">
      <c r="A8382" s="14"/>
      <c r="B8382" s="12"/>
      <c r="C8382" s="12"/>
      <c r="D8382" s="12"/>
      <c r="E8382" s="12"/>
      <c r="F8382" s="14"/>
      <c r="G8382" s="15"/>
      <c r="H8382" s="15"/>
      <c r="I8382" s="14"/>
      <c r="P8382" s="14"/>
    </row>
    <row r="8383" ht="18.75" customHeight="1">
      <c r="A8383" s="14"/>
      <c r="B8383" s="12"/>
      <c r="C8383" s="12"/>
      <c r="D8383" s="12"/>
      <c r="E8383" s="12"/>
      <c r="F8383" s="14"/>
      <c r="G8383" s="15"/>
      <c r="H8383" s="15"/>
      <c r="I8383" s="14"/>
      <c r="P8383" s="14"/>
    </row>
    <row r="8384" ht="18.75" customHeight="1">
      <c r="A8384" s="14"/>
      <c r="B8384" s="12"/>
      <c r="C8384" s="12"/>
      <c r="D8384" s="12"/>
      <c r="E8384" s="12"/>
      <c r="F8384" s="14"/>
      <c r="G8384" s="15"/>
      <c r="H8384" s="15"/>
      <c r="I8384" s="14"/>
      <c r="P8384" s="14"/>
    </row>
    <row r="8385" ht="18.75" customHeight="1">
      <c r="A8385" s="14"/>
      <c r="B8385" s="12"/>
      <c r="C8385" s="12"/>
      <c r="D8385" s="12"/>
      <c r="E8385" s="12"/>
      <c r="F8385" s="14"/>
      <c r="G8385" s="15"/>
      <c r="H8385" s="15"/>
      <c r="I8385" s="14"/>
      <c r="P8385" s="14"/>
    </row>
    <row r="8386" ht="18.75" customHeight="1">
      <c r="A8386" s="14"/>
      <c r="B8386" s="12"/>
      <c r="C8386" s="12"/>
      <c r="D8386" s="12"/>
      <c r="E8386" s="12"/>
      <c r="F8386" s="14"/>
      <c r="G8386" s="15"/>
      <c r="H8386" s="15"/>
      <c r="I8386" s="14"/>
      <c r="P8386" s="14"/>
    </row>
    <row r="8387" ht="18.75" customHeight="1">
      <c r="A8387" s="14"/>
      <c r="B8387" s="12"/>
      <c r="C8387" s="12"/>
      <c r="D8387" s="12"/>
      <c r="E8387" s="12"/>
      <c r="F8387" s="14"/>
      <c r="G8387" s="15"/>
      <c r="H8387" s="15"/>
      <c r="I8387" s="14"/>
      <c r="P8387" s="14"/>
    </row>
    <row r="8388" ht="18.75" customHeight="1">
      <c r="A8388" s="14"/>
      <c r="B8388" s="12"/>
      <c r="C8388" s="12"/>
      <c r="D8388" s="12"/>
      <c r="E8388" s="12"/>
      <c r="F8388" s="14"/>
      <c r="G8388" s="15"/>
      <c r="H8388" s="15"/>
      <c r="I8388" s="14"/>
      <c r="P8388" s="14"/>
    </row>
    <row r="8389" ht="18.75" customHeight="1">
      <c r="A8389" s="14"/>
      <c r="B8389" s="12"/>
      <c r="C8389" s="12"/>
      <c r="D8389" s="12"/>
      <c r="E8389" s="12"/>
      <c r="F8389" s="14"/>
      <c r="G8389" s="15"/>
      <c r="H8389" s="15"/>
      <c r="I8389" s="14"/>
      <c r="P8389" s="14"/>
    </row>
    <row r="8390" ht="18.75" customHeight="1">
      <c r="A8390" s="14"/>
      <c r="B8390" s="12"/>
      <c r="C8390" s="12"/>
      <c r="D8390" s="12"/>
      <c r="E8390" s="12"/>
      <c r="F8390" s="14"/>
      <c r="G8390" s="15"/>
      <c r="H8390" s="15"/>
      <c r="I8390" s="14"/>
      <c r="P8390" s="14"/>
    </row>
    <row r="8391" ht="18.75" customHeight="1">
      <c r="A8391" s="14"/>
      <c r="B8391" s="12"/>
      <c r="C8391" s="12"/>
      <c r="D8391" s="12"/>
      <c r="E8391" s="12"/>
      <c r="F8391" s="14"/>
      <c r="G8391" s="15"/>
      <c r="H8391" s="15"/>
      <c r="I8391" s="14"/>
      <c r="P8391" s="14"/>
    </row>
    <row r="8392" ht="18.75" customHeight="1">
      <c r="A8392" s="14"/>
      <c r="B8392" s="12"/>
      <c r="C8392" s="12"/>
      <c r="D8392" s="12"/>
      <c r="E8392" s="12"/>
      <c r="F8392" s="14"/>
      <c r="G8392" s="15"/>
      <c r="H8392" s="15"/>
      <c r="I8392" s="14"/>
      <c r="P8392" s="14"/>
    </row>
    <row r="8393" ht="18.75" customHeight="1">
      <c r="A8393" s="14"/>
      <c r="B8393" s="12"/>
      <c r="C8393" s="12"/>
      <c r="D8393" s="12"/>
      <c r="E8393" s="12"/>
      <c r="F8393" s="14"/>
      <c r="G8393" s="15"/>
      <c r="H8393" s="15"/>
      <c r="I8393" s="14"/>
      <c r="P8393" s="14"/>
    </row>
    <row r="8394" ht="18.75" customHeight="1">
      <c r="A8394" s="14"/>
      <c r="B8394" s="12"/>
      <c r="C8394" s="12"/>
      <c r="D8394" s="12"/>
      <c r="E8394" s="12"/>
      <c r="F8394" s="14"/>
      <c r="G8394" s="15"/>
      <c r="H8394" s="15"/>
      <c r="I8394" s="14"/>
      <c r="P8394" s="14"/>
    </row>
    <row r="8395" ht="18.75" customHeight="1">
      <c r="A8395" s="14"/>
      <c r="B8395" s="12"/>
      <c r="C8395" s="12"/>
      <c r="D8395" s="12"/>
      <c r="E8395" s="12"/>
      <c r="F8395" s="14"/>
      <c r="G8395" s="15"/>
      <c r="H8395" s="15"/>
      <c r="I8395" s="14"/>
      <c r="P8395" s="14"/>
    </row>
    <row r="8396" ht="18.75" customHeight="1">
      <c r="A8396" s="14"/>
      <c r="B8396" s="12"/>
      <c r="C8396" s="12"/>
      <c r="D8396" s="12"/>
      <c r="E8396" s="12"/>
      <c r="F8396" s="14"/>
      <c r="G8396" s="15"/>
      <c r="H8396" s="15"/>
      <c r="I8396" s="14"/>
      <c r="P8396" s="14"/>
    </row>
    <row r="8397" ht="18.75" customHeight="1">
      <c r="A8397" s="14"/>
      <c r="B8397" s="12"/>
      <c r="C8397" s="12"/>
      <c r="D8397" s="12"/>
      <c r="E8397" s="12"/>
      <c r="F8397" s="14"/>
      <c r="G8397" s="15"/>
      <c r="H8397" s="15"/>
      <c r="I8397" s="14"/>
      <c r="P8397" s="14"/>
    </row>
    <row r="8398" ht="18.75" customHeight="1">
      <c r="A8398" s="14"/>
      <c r="B8398" s="12"/>
      <c r="C8398" s="12"/>
      <c r="D8398" s="12"/>
      <c r="E8398" s="12"/>
      <c r="F8398" s="14"/>
      <c r="G8398" s="15"/>
      <c r="H8398" s="15"/>
      <c r="I8398" s="14"/>
      <c r="P8398" s="14"/>
    </row>
    <row r="8399" ht="18.75" customHeight="1">
      <c r="A8399" s="14"/>
      <c r="B8399" s="12"/>
      <c r="C8399" s="12"/>
      <c r="D8399" s="12"/>
      <c r="E8399" s="12"/>
      <c r="F8399" s="14"/>
      <c r="G8399" s="15"/>
      <c r="H8399" s="15"/>
      <c r="I8399" s="14"/>
      <c r="P8399" s="14"/>
    </row>
    <row r="8400" ht="18.75" customHeight="1">
      <c r="A8400" s="14"/>
      <c r="B8400" s="12"/>
      <c r="C8400" s="12"/>
      <c r="D8400" s="12"/>
      <c r="E8400" s="12"/>
      <c r="F8400" s="14"/>
      <c r="G8400" s="15"/>
      <c r="H8400" s="15"/>
      <c r="I8400" s="14"/>
      <c r="P8400" s="14"/>
    </row>
    <row r="8401" ht="18.75" customHeight="1">
      <c r="A8401" s="14"/>
      <c r="B8401" s="12"/>
      <c r="C8401" s="12"/>
      <c r="D8401" s="12"/>
      <c r="E8401" s="12"/>
      <c r="F8401" s="14"/>
      <c r="G8401" s="15"/>
      <c r="H8401" s="15"/>
      <c r="I8401" s="14"/>
      <c r="P8401" s="14"/>
    </row>
    <row r="8402" ht="18.75" customHeight="1">
      <c r="A8402" s="14"/>
      <c r="B8402" s="12"/>
      <c r="C8402" s="12"/>
      <c r="D8402" s="12"/>
      <c r="E8402" s="12"/>
      <c r="F8402" s="14"/>
      <c r="G8402" s="15"/>
      <c r="H8402" s="15"/>
      <c r="I8402" s="14"/>
      <c r="P8402" s="14"/>
    </row>
    <row r="8403" ht="18.75" customHeight="1">
      <c r="A8403" s="14"/>
      <c r="B8403" s="12"/>
      <c r="C8403" s="12"/>
      <c r="D8403" s="12"/>
      <c r="E8403" s="12"/>
      <c r="F8403" s="14"/>
      <c r="G8403" s="15"/>
      <c r="H8403" s="15"/>
      <c r="I8403" s="14"/>
      <c r="P8403" s="14"/>
    </row>
    <row r="8404" ht="18.75" customHeight="1">
      <c r="A8404" s="14"/>
      <c r="B8404" s="12"/>
      <c r="C8404" s="12"/>
      <c r="D8404" s="12"/>
      <c r="E8404" s="12"/>
      <c r="F8404" s="14"/>
      <c r="G8404" s="15"/>
      <c r="H8404" s="15"/>
      <c r="I8404" s="14"/>
      <c r="P8404" s="14"/>
    </row>
    <row r="8405" ht="18.75" customHeight="1">
      <c r="A8405" s="14"/>
      <c r="B8405" s="12"/>
      <c r="C8405" s="12"/>
      <c r="D8405" s="12"/>
      <c r="E8405" s="12"/>
      <c r="F8405" s="14"/>
      <c r="G8405" s="15"/>
      <c r="H8405" s="15"/>
      <c r="I8405" s="14"/>
      <c r="P8405" s="14"/>
    </row>
    <row r="8406" ht="18.75" customHeight="1">
      <c r="A8406" s="14"/>
      <c r="B8406" s="12"/>
      <c r="C8406" s="12"/>
      <c r="D8406" s="12"/>
      <c r="E8406" s="12"/>
      <c r="F8406" s="14"/>
      <c r="G8406" s="15"/>
      <c r="H8406" s="15"/>
      <c r="I8406" s="14"/>
      <c r="P8406" s="14"/>
    </row>
    <row r="8407" ht="18.75" customHeight="1">
      <c r="A8407" s="14"/>
      <c r="B8407" s="12"/>
      <c r="C8407" s="12"/>
      <c r="D8407" s="12"/>
      <c r="E8407" s="12"/>
      <c r="F8407" s="14"/>
      <c r="G8407" s="15"/>
      <c r="H8407" s="15"/>
      <c r="I8407" s="14"/>
      <c r="P8407" s="14"/>
    </row>
    <row r="8408" ht="18.75" customHeight="1">
      <c r="A8408" s="14"/>
      <c r="B8408" s="12"/>
      <c r="C8408" s="12"/>
      <c r="D8408" s="12"/>
      <c r="E8408" s="12"/>
      <c r="F8408" s="14"/>
      <c r="G8408" s="15"/>
      <c r="H8408" s="15"/>
      <c r="I8408" s="14"/>
      <c r="P8408" s="14"/>
    </row>
    <row r="8409" ht="18.75" customHeight="1">
      <c r="A8409" s="14"/>
      <c r="B8409" s="12"/>
      <c r="C8409" s="12"/>
      <c r="D8409" s="12"/>
      <c r="E8409" s="12"/>
      <c r="F8409" s="14"/>
      <c r="G8409" s="15"/>
      <c r="H8409" s="15"/>
      <c r="I8409" s="14"/>
      <c r="P8409" s="14"/>
    </row>
    <row r="8410" ht="18.75" customHeight="1">
      <c r="A8410" s="14"/>
      <c r="B8410" s="12"/>
      <c r="C8410" s="12"/>
      <c r="D8410" s="12"/>
      <c r="E8410" s="12"/>
      <c r="F8410" s="14"/>
      <c r="G8410" s="15"/>
      <c r="H8410" s="15"/>
      <c r="I8410" s="14"/>
      <c r="P8410" s="14"/>
    </row>
    <row r="8411" ht="18.75" customHeight="1">
      <c r="A8411" s="14"/>
      <c r="B8411" s="12"/>
      <c r="C8411" s="12"/>
      <c r="D8411" s="12"/>
      <c r="E8411" s="12"/>
      <c r="F8411" s="14"/>
      <c r="G8411" s="15"/>
      <c r="H8411" s="15"/>
      <c r="I8411" s="14"/>
      <c r="P8411" s="14"/>
    </row>
    <row r="8412" ht="18.75" customHeight="1">
      <c r="A8412" s="14"/>
      <c r="B8412" s="12"/>
      <c r="C8412" s="12"/>
      <c r="D8412" s="12"/>
      <c r="E8412" s="12"/>
      <c r="F8412" s="14"/>
      <c r="G8412" s="15"/>
      <c r="H8412" s="15"/>
      <c r="I8412" s="14"/>
      <c r="P8412" s="14"/>
    </row>
    <row r="8413" ht="18.75" customHeight="1">
      <c r="A8413" s="14"/>
      <c r="B8413" s="12"/>
      <c r="C8413" s="12"/>
      <c r="D8413" s="12"/>
      <c r="E8413" s="12"/>
      <c r="F8413" s="14"/>
      <c r="G8413" s="15"/>
      <c r="H8413" s="15"/>
      <c r="I8413" s="14"/>
      <c r="P8413" s="14"/>
    </row>
    <row r="8414" ht="18.75" customHeight="1">
      <c r="A8414" s="14"/>
      <c r="B8414" s="12"/>
      <c r="C8414" s="12"/>
      <c r="D8414" s="12"/>
      <c r="E8414" s="12"/>
      <c r="F8414" s="14"/>
      <c r="G8414" s="15"/>
      <c r="H8414" s="15"/>
      <c r="I8414" s="14"/>
      <c r="P8414" s="14"/>
    </row>
    <row r="8415" ht="18.75" customHeight="1">
      <c r="A8415" s="14"/>
      <c r="B8415" s="12"/>
      <c r="C8415" s="12"/>
      <c r="D8415" s="12"/>
      <c r="E8415" s="12"/>
      <c r="F8415" s="14"/>
      <c r="G8415" s="15"/>
      <c r="H8415" s="15"/>
      <c r="I8415" s="14"/>
      <c r="P8415" s="14"/>
    </row>
    <row r="8416" ht="18.75" customHeight="1">
      <c r="A8416" s="14"/>
      <c r="B8416" s="12"/>
      <c r="C8416" s="12"/>
      <c r="D8416" s="12"/>
      <c r="E8416" s="12"/>
      <c r="F8416" s="14"/>
      <c r="G8416" s="15"/>
      <c r="H8416" s="15"/>
      <c r="I8416" s="14"/>
      <c r="P8416" s="14"/>
    </row>
    <row r="8417" ht="18.75" customHeight="1">
      <c r="A8417" s="14"/>
      <c r="B8417" s="12"/>
      <c r="C8417" s="12"/>
      <c r="D8417" s="12"/>
      <c r="E8417" s="12"/>
      <c r="F8417" s="14"/>
      <c r="G8417" s="15"/>
      <c r="H8417" s="15"/>
      <c r="I8417" s="14"/>
      <c r="P8417" s="14"/>
    </row>
    <row r="8418" ht="18.75" customHeight="1">
      <c r="A8418" s="14"/>
      <c r="B8418" s="12"/>
      <c r="C8418" s="12"/>
      <c r="D8418" s="12"/>
      <c r="E8418" s="12"/>
      <c r="F8418" s="14"/>
      <c r="G8418" s="15"/>
      <c r="H8418" s="15"/>
      <c r="I8418" s="14"/>
      <c r="P8418" s="14"/>
    </row>
    <row r="8419" ht="18.75" customHeight="1">
      <c r="A8419" s="14"/>
      <c r="B8419" s="12"/>
      <c r="C8419" s="12"/>
      <c r="D8419" s="12"/>
      <c r="E8419" s="12"/>
      <c r="F8419" s="14"/>
      <c r="G8419" s="15"/>
      <c r="H8419" s="15"/>
      <c r="I8419" s="14"/>
      <c r="P8419" s="14"/>
    </row>
    <row r="8420" ht="18.75" customHeight="1">
      <c r="A8420" s="14"/>
      <c r="B8420" s="12"/>
      <c r="C8420" s="12"/>
      <c r="D8420" s="12"/>
      <c r="E8420" s="12"/>
      <c r="F8420" s="14"/>
      <c r="G8420" s="15"/>
      <c r="H8420" s="15"/>
      <c r="I8420" s="14"/>
      <c r="P8420" s="14"/>
    </row>
    <row r="8421" ht="18.75" customHeight="1">
      <c r="A8421" s="14"/>
      <c r="B8421" s="12"/>
      <c r="C8421" s="12"/>
      <c r="D8421" s="12"/>
      <c r="E8421" s="12"/>
      <c r="F8421" s="14"/>
      <c r="G8421" s="15"/>
      <c r="H8421" s="15"/>
      <c r="I8421" s="14"/>
      <c r="P8421" s="14"/>
    </row>
    <row r="8422" ht="18.75" customHeight="1">
      <c r="A8422" s="14"/>
      <c r="B8422" s="12"/>
      <c r="C8422" s="12"/>
      <c r="D8422" s="12"/>
      <c r="E8422" s="12"/>
      <c r="F8422" s="14"/>
      <c r="G8422" s="15"/>
      <c r="H8422" s="15"/>
      <c r="I8422" s="14"/>
      <c r="P8422" s="14"/>
    </row>
    <row r="8423" ht="18.75" customHeight="1">
      <c r="A8423" s="14"/>
      <c r="B8423" s="12"/>
      <c r="C8423" s="12"/>
      <c r="D8423" s="12"/>
      <c r="E8423" s="12"/>
      <c r="F8423" s="14"/>
      <c r="G8423" s="15"/>
      <c r="H8423" s="15"/>
      <c r="I8423" s="14"/>
      <c r="P8423" s="14"/>
    </row>
    <row r="8424" ht="18.75" customHeight="1">
      <c r="A8424" s="14"/>
      <c r="B8424" s="12"/>
      <c r="C8424" s="12"/>
      <c r="D8424" s="12"/>
      <c r="E8424" s="12"/>
      <c r="F8424" s="14"/>
      <c r="G8424" s="15"/>
      <c r="H8424" s="15"/>
      <c r="I8424" s="14"/>
      <c r="P8424" s="14"/>
    </row>
    <row r="8425" ht="18.75" customHeight="1">
      <c r="A8425" s="14"/>
      <c r="B8425" s="12"/>
      <c r="C8425" s="12"/>
      <c r="D8425" s="12"/>
      <c r="E8425" s="12"/>
      <c r="F8425" s="14"/>
      <c r="G8425" s="15"/>
      <c r="H8425" s="15"/>
      <c r="I8425" s="14"/>
      <c r="P8425" s="14"/>
    </row>
    <row r="8426" ht="18.75" customHeight="1">
      <c r="A8426" s="14"/>
      <c r="B8426" s="12"/>
      <c r="C8426" s="12"/>
      <c r="D8426" s="12"/>
      <c r="E8426" s="12"/>
      <c r="F8426" s="14"/>
      <c r="G8426" s="15"/>
      <c r="H8426" s="15"/>
      <c r="I8426" s="14"/>
      <c r="P8426" s="14"/>
    </row>
    <row r="8427" ht="18.75" customHeight="1">
      <c r="A8427" s="14"/>
      <c r="B8427" s="12"/>
      <c r="C8427" s="12"/>
      <c r="D8427" s="12"/>
      <c r="E8427" s="12"/>
      <c r="F8427" s="14"/>
      <c r="G8427" s="15"/>
      <c r="H8427" s="15"/>
      <c r="I8427" s="14"/>
      <c r="P8427" s="14"/>
    </row>
    <row r="8428" ht="18.75" customHeight="1">
      <c r="A8428" s="14"/>
      <c r="B8428" s="12"/>
      <c r="C8428" s="12"/>
      <c r="D8428" s="12"/>
      <c r="E8428" s="12"/>
      <c r="F8428" s="14"/>
      <c r="G8428" s="15"/>
      <c r="H8428" s="15"/>
      <c r="I8428" s="14"/>
      <c r="P8428" s="14"/>
    </row>
    <row r="8429" ht="18.75" customHeight="1">
      <c r="A8429" s="14"/>
      <c r="B8429" s="12"/>
      <c r="C8429" s="12"/>
      <c r="D8429" s="12"/>
      <c r="E8429" s="12"/>
      <c r="F8429" s="14"/>
      <c r="G8429" s="15"/>
      <c r="H8429" s="15"/>
      <c r="I8429" s="14"/>
      <c r="P8429" s="14"/>
    </row>
    <row r="8430" ht="18.75" customHeight="1">
      <c r="A8430" s="14"/>
      <c r="B8430" s="12"/>
      <c r="C8430" s="12"/>
      <c r="D8430" s="12"/>
      <c r="E8430" s="12"/>
      <c r="F8430" s="14"/>
      <c r="G8430" s="15"/>
      <c r="H8430" s="15"/>
      <c r="I8430" s="14"/>
      <c r="P8430" s="14"/>
    </row>
    <row r="8431" ht="18.75" customHeight="1">
      <c r="A8431" s="14"/>
      <c r="B8431" s="12"/>
      <c r="C8431" s="12"/>
      <c r="D8431" s="12"/>
      <c r="E8431" s="12"/>
      <c r="F8431" s="14"/>
      <c r="G8431" s="15"/>
      <c r="H8431" s="15"/>
      <c r="I8431" s="14"/>
      <c r="P8431" s="14"/>
    </row>
    <row r="8432" ht="18.75" customHeight="1">
      <c r="A8432" s="14"/>
      <c r="B8432" s="12"/>
      <c r="C8432" s="12"/>
      <c r="D8432" s="12"/>
      <c r="E8432" s="12"/>
      <c r="F8432" s="14"/>
      <c r="G8432" s="15"/>
      <c r="H8432" s="15"/>
      <c r="I8432" s="14"/>
      <c r="P8432" s="14"/>
    </row>
    <row r="8433" ht="18.75" customHeight="1">
      <c r="A8433" s="14"/>
      <c r="B8433" s="12"/>
      <c r="C8433" s="12"/>
      <c r="D8433" s="12"/>
      <c r="E8433" s="12"/>
      <c r="F8433" s="14"/>
      <c r="G8433" s="15"/>
      <c r="H8433" s="15"/>
      <c r="I8433" s="14"/>
      <c r="P8433" s="14"/>
    </row>
    <row r="8434" ht="18.75" customHeight="1">
      <c r="A8434" s="14"/>
      <c r="B8434" s="12"/>
      <c r="C8434" s="12"/>
      <c r="D8434" s="12"/>
      <c r="E8434" s="12"/>
      <c r="F8434" s="14"/>
      <c r="G8434" s="15"/>
      <c r="H8434" s="15"/>
      <c r="I8434" s="14"/>
      <c r="P8434" s="14"/>
    </row>
    <row r="8435" ht="18.75" customHeight="1">
      <c r="A8435" s="14"/>
      <c r="B8435" s="12"/>
      <c r="C8435" s="12"/>
      <c r="D8435" s="12"/>
      <c r="E8435" s="12"/>
      <c r="F8435" s="14"/>
      <c r="G8435" s="15"/>
      <c r="H8435" s="15"/>
      <c r="I8435" s="14"/>
      <c r="P8435" s="14"/>
    </row>
    <row r="8436" ht="18.75" customHeight="1">
      <c r="A8436" s="14"/>
      <c r="B8436" s="12"/>
      <c r="C8436" s="12"/>
      <c r="D8436" s="12"/>
      <c r="E8436" s="12"/>
      <c r="F8436" s="14"/>
      <c r="G8436" s="15"/>
      <c r="H8436" s="15"/>
      <c r="I8436" s="14"/>
      <c r="P8436" s="14"/>
    </row>
    <row r="8437" ht="18.75" customHeight="1">
      <c r="A8437" s="14"/>
      <c r="B8437" s="12"/>
      <c r="C8437" s="12"/>
      <c r="D8437" s="12"/>
      <c r="E8437" s="12"/>
      <c r="F8437" s="14"/>
      <c r="G8437" s="15"/>
      <c r="H8437" s="15"/>
      <c r="I8437" s="14"/>
      <c r="P8437" s="14"/>
    </row>
    <row r="8438" ht="18.75" customHeight="1">
      <c r="A8438" s="14"/>
      <c r="B8438" s="12"/>
      <c r="C8438" s="12"/>
      <c r="D8438" s="12"/>
      <c r="E8438" s="12"/>
      <c r="F8438" s="14"/>
      <c r="G8438" s="15"/>
      <c r="H8438" s="15"/>
      <c r="I8438" s="14"/>
      <c r="P8438" s="14"/>
    </row>
    <row r="8439" ht="18.75" customHeight="1">
      <c r="A8439" s="14"/>
      <c r="B8439" s="12"/>
      <c r="C8439" s="12"/>
      <c r="D8439" s="12"/>
      <c r="E8439" s="12"/>
      <c r="F8439" s="14"/>
      <c r="G8439" s="15"/>
      <c r="H8439" s="15"/>
      <c r="I8439" s="14"/>
      <c r="P8439" s="14"/>
    </row>
    <row r="8440" ht="18.75" customHeight="1">
      <c r="A8440" s="14"/>
      <c r="B8440" s="12"/>
      <c r="C8440" s="12"/>
      <c r="D8440" s="12"/>
      <c r="E8440" s="12"/>
      <c r="F8440" s="14"/>
      <c r="G8440" s="15"/>
      <c r="H8440" s="15"/>
      <c r="I8440" s="14"/>
      <c r="P8440" s="14"/>
    </row>
    <row r="8441" ht="18.75" customHeight="1">
      <c r="A8441" s="14"/>
      <c r="B8441" s="12"/>
      <c r="C8441" s="12"/>
      <c r="D8441" s="12"/>
      <c r="E8441" s="12"/>
      <c r="F8441" s="14"/>
      <c r="G8441" s="15"/>
      <c r="H8441" s="15"/>
      <c r="I8441" s="14"/>
      <c r="P8441" s="14"/>
    </row>
    <row r="8442" ht="18.75" customHeight="1">
      <c r="A8442" s="14"/>
      <c r="B8442" s="12"/>
      <c r="C8442" s="12"/>
      <c r="D8442" s="12"/>
      <c r="E8442" s="12"/>
      <c r="F8442" s="14"/>
      <c r="G8442" s="15"/>
      <c r="H8442" s="15"/>
      <c r="I8442" s="14"/>
      <c r="P8442" s="14"/>
    </row>
    <row r="8443" ht="18.75" customHeight="1">
      <c r="A8443" s="14"/>
      <c r="B8443" s="12"/>
      <c r="C8443" s="12"/>
      <c r="D8443" s="12"/>
      <c r="E8443" s="12"/>
      <c r="F8443" s="14"/>
      <c r="G8443" s="15"/>
      <c r="H8443" s="15"/>
      <c r="I8443" s="14"/>
      <c r="P8443" s="14"/>
    </row>
    <row r="8444" ht="18.75" customHeight="1">
      <c r="A8444" s="14"/>
      <c r="B8444" s="12"/>
      <c r="C8444" s="12"/>
      <c r="D8444" s="12"/>
      <c r="E8444" s="12"/>
      <c r="F8444" s="14"/>
      <c r="G8444" s="15"/>
      <c r="H8444" s="15"/>
      <c r="I8444" s="14"/>
      <c r="P8444" s="14"/>
    </row>
    <row r="8445" ht="18.75" customHeight="1">
      <c r="A8445" s="14"/>
      <c r="B8445" s="12"/>
      <c r="C8445" s="12"/>
      <c r="D8445" s="12"/>
      <c r="E8445" s="12"/>
      <c r="F8445" s="14"/>
      <c r="G8445" s="15"/>
      <c r="H8445" s="15"/>
      <c r="I8445" s="14"/>
      <c r="P8445" s="14"/>
    </row>
    <row r="8446" ht="18.75" customHeight="1">
      <c r="A8446" s="14"/>
      <c r="B8446" s="12"/>
      <c r="C8446" s="12"/>
      <c r="D8446" s="12"/>
      <c r="E8446" s="12"/>
      <c r="F8446" s="14"/>
      <c r="G8446" s="15"/>
      <c r="H8446" s="15"/>
      <c r="I8446" s="14"/>
      <c r="P8446" s="14"/>
    </row>
    <row r="8447" ht="18.75" customHeight="1">
      <c r="A8447" s="14"/>
      <c r="B8447" s="12"/>
      <c r="C8447" s="12"/>
      <c r="D8447" s="12"/>
      <c r="E8447" s="12"/>
      <c r="F8447" s="14"/>
      <c r="G8447" s="15"/>
      <c r="H8447" s="15"/>
      <c r="I8447" s="14"/>
      <c r="P8447" s="14"/>
    </row>
    <row r="8448" ht="18.75" customHeight="1">
      <c r="A8448" s="14"/>
      <c r="B8448" s="12"/>
      <c r="C8448" s="12"/>
      <c r="D8448" s="12"/>
      <c r="E8448" s="12"/>
      <c r="F8448" s="14"/>
      <c r="G8448" s="15"/>
      <c r="H8448" s="15"/>
      <c r="I8448" s="14"/>
      <c r="P8448" s="14"/>
    </row>
    <row r="8449" ht="18.75" customHeight="1">
      <c r="A8449" s="14"/>
      <c r="B8449" s="12"/>
      <c r="C8449" s="12"/>
      <c r="D8449" s="12"/>
      <c r="E8449" s="12"/>
      <c r="F8449" s="14"/>
      <c r="G8449" s="15"/>
      <c r="H8449" s="15"/>
      <c r="I8449" s="14"/>
      <c r="P8449" s="14"/>
    </row>
    <row r="8450" ht="18.75" customHeight="1">
      <c r="A8450" s="14"/>
      <c r="B8450" s="12"/>
      <c r="C8450" s="12"/>
      <c r="D8450" s="12"/>
      <c r="E8450" s="12"/>
      <c r="F8450" s="14"/>
      <c r="G8450" s="15"/>
      <c r="H8450" s="15"/>
      <c r="I8450" s="14"/>
      <c r="P8450" s="14"/>
    </row>
    <row r="8451" ht="18.75" customHeight="1">
      <c r="A8451" s="14"/>
      <c r="B8451" s="12"/>
      <c r="C8451" s="12"/>
      <c r="D8451" s="12"/>
      <c r="E8451" s="12"/>
      <c r="F8451" s="14"/>
      <c r="G8451" s="15"/>
      <c r="H8451" s="15"/>
      <c r="I8451" s="14"/>
      <c r="P8451" s="14"/>
    </row>
    <row r="8452" ht="18.75" customHeight="1">
      <c r="A8452" s="14"/>
      <c r="B8452" s="12"/>
      <c r="C8452" s="12"/>
      <c r="D8452" s="12"/>
      <c r="E8452" s="12"/>
      <c r="F8452" s="14"/>
      <c r="G8452" s="15"/>
      <c r="H8452" s="15"/>
      <c r="I8452" s="14"/>
      <c r="P8452" s="14"/>
    </row>
    <row r="8453" ht="18.75" customHeight="1">
      <c r="A8453" s="14"/>
      <c r="B8453" s="12"/>
      <c r="C8453" s="12"/>
      <c r="D8453" s="12"/>
      <c r="E8453" s="12"/>
      <c r="F8453" s="14"/>
      <c r="G8453" s="15"/>
      <c r="H8453" s="15"/>
      <c r="I8453" s="14"/>
      <c r="P8453" s="14"/>
    </row>
    <row r="8454" ht="18.75" customHeight="1">
      <c r="A8454" s="14"/>
      <c r="B8454" s="12"/>
      <c r="C8454" s="12"/>
      <c r="D8454" s="12"/>
      <c r="E8454" s="12"/>
      <c r="F8454" s="14"/>
      <c r="G8454" s="15"/>
      <c r="H8454" s="15"/>
      <c r="I8454" s="14"/>
      <c r="P8454" s="14"/>
    </row>
    <row r="8455" ht="18.75" customHeight="1">
      <c r="A8455" s="14"/>
      <c r="B8455" s="12"/>
      <c r="C8455" s="12"/>
      <c r="D8455" s="12"/>
      <c r="E8455" s="12"/>
      <c r="F8455" s="14"/>
      <c r="G8455" s="15"/>
      <c r="H8455" s="15"/>
      <c r="I8455" s="14"/>
      <c r="P8455" s="14"/>
    </row>
    <row r="8456" ht="18.75" customHeight="1">
      <c r="A8456" s="14"/>
      <c r="B8456" s="12"/>
      <c r="C8456" s="12"/>
      <c r="D8456" s="12"/>
      <c r="E8456" s="12"/>
      <c r="F8456" s="14"/>
      <c r="G8456" s="15"/>
      <c r="H8456" s="15"/>
      <c r="I8456" s="14"/>
      <c r="P8456" s="14"/>
    </row>
    <row r="8457" ht="18.75" customHeight="1">
      <c r="A8457" s="14"/>
      <c r="B8457" s="12"/>
      <c r="C8457" s="12"/>
      <c r="D8457" s="12"/>
      <c r="E8457" s="12"/>
      <c r="F8457" s="14"/>
      <c r="G8457" s="15"/>
      <c r="H8457" s="15"/>
      <c r="I8457" s="14"/>
      <c r="P8457" s="14"/>
    </row>
    <row r="8458" ht="18.75" customHeight="1">
      <c r="A8458" s="14"/>
      <c r="B8458" s="12"/>
      <c r="C8458" s="12"/>
      <c r="D8458" s="12"/>
      <c r="E8458" s="12"/>
      <c r="F8458" s="14"/>
      <c r="G8458" s="15"/>
      <c r="H8458" s="15"/>
      <c r="I8458" s="14"/>
      <c r="P8458" s="14"/>
    </row>
    <row r="8459" ht="18.75" customHeight="1">
      <c r="A8459" s="14"/>
      <c r="B8459" s="12"/>
      <c r="C8459" s="12"/>
      <c r="D8459" s="12"/>
      <c r="E8459" s="12"/>
      <c r="F8459" s="14"/>
      <c r="G8459" s="15"/>
      <c r="H8459" s="15"/>
      <c r="I8459" s="14"/>
      <c r="P8459" s="14"/>
    </row>
    <row r="8460" ht="18.75" customHeight="1">
      <c r="A8460" s="14"/>
      <c r="B8460" s="12"/>
      <c r="C8460" s="12"/>
      <c r="D8460" s="12"/>
      <c r="E8460" s="12"/>
      <c r="F8460" s="14"/>
      <c r="G8460" s="15"/>
      <c r="H8460" s="15"/>
      <c r="I8460" s="14"/>
      <c r="P8460" s="14"/>
    </row>
    <row r="8461" ht="18.75" customHeight="1">
      <c r="A8461" s="14"/>
      <c r="B8461" s="12"/>
      <c r="C8461" s="12"/>
      <c r="D8461" s="12"/>
      <c r="E8461" s="12"/>
      <c r="F8461" s="14"/>
      <c r="G8461" s="15"/>
      <c r="H8461" s="15"/>
      <c r="I8461" s="14"/>
      <c r="P8461" s="14"/>
    </row>
    <row r="8462" ht="18.75" customHeight="1">
      <c r="A8462" s="14"/>
      <c r="B8462" s="12"/>
      <c r="C8462" s="12"/>
      <c r="D8462" s="12"/>
      <c r="E8462" s="12"/>
      <c r="F8462" s="14"/>
      <c r="G8462" s="15"/>
      <c r="H8462" s="15"/>
      <c r="I8462" s="14"/>
      <c r="P8462" s="14"/>
    </row>
    <row r="8463" ht="18.75" customHeight="1">
      <c r="A8463" s="14"/>
      <c r="B8463" s="12"/>
      <c r="C8463" s="12"/>
      <c r="D8463" s="12"/>
      <c r="E8463" s="12"/>
      <c r="F8463" s="14"/>
      <c r="G8463" s="15"/>
      <c r="H8463" s="15"/>
      <c r="I8463" s="14"/>
      <c r="P8463" s="14"/>
    </row>
    <row r="8464" ht="18.75" customHeight="1">
      <c r="A8464" s="14"/>
      <c r="B8464" s="12"/>
      <c r="C8464" s="12"/>
      <c r="D8464" s="12"/>
      <c r="E8464" s="12"/>
      <c r="F8464" s="14"/>
      <c r="G8464" s="15"/>
      <c r="H8464" s="15"/>
      <c r="I8464" s="14"/>
      <c r="P8464" s="14"/>
    </row>
    <row r="8465" ht="18.75" customHeight="1">
      <c r="A8465" s="14"/>
      <c r="B8465" s="12"/>
      <c r="C8465" s="12"/>
      <c r="D8465" s="12"/>
      <c r="E8465" s="12"/>
      <c r="F8465" s="14"/>
      <c r="G8465" s="15"/>
      <c r="H8465" s="15"/>
      <c r="I8465" s="14"/>
      <c r="P8465" s="14"/>
    </row>
    <row r="8466" ht="18.75" customHeight="1">
      <c r="A8466" s="14"/>
      <c r="B8466" s="12"/>
      <c r="C8466" s="12"/>
      <c r="D8466" s="12"/>
      <c r="E8466" s="12"/>
      <c r="F8466" s="14"/>
      <c r="G8466" s="15"/>
      <c r="H8466" s="15"/>
      <c r="I8466" s="14"/>
      <c r="P8466" s="14"/>
    </row>
    <row r="8467" ht="18.75" customHeight="1">
      <c r="A8467" s="14"/>
      <c r="B8467" s="12"/>
      <c r="C8467" s="12"/>
      <c r="D8467" s="12"/>
      <c r="E8467" s="12"/>
      <c r="F8467" s="14"/>
      <c r="G8467" s="15"/>
      <c r="H8467" s="15"/>
      <c r="I8467" s="14"/>
      <c r="P8467" s="14"/>
    </row>
    <row r="8468" ht="18.75" customHeight="1">
      <c r="A8468" s="14"/>
      <c r="B8468" s="12"/>
      <c r="C8468" s="12"/>
      <c r="D8468" s="12"/>
      <c r="E8468" s="12"/>
      <c r="F8468" s="14"/>
      <c r="G8468" s="15"/>
      <c r="H8468" s="15"/>
      <c r="I8468" s="14"/>
      <c r="P8468" s="14"/>
    </row>
    <row r="8469" ht="18.75" customHeight="1">
      <c r="A8469" s="14"/>
      <c r="B8469" s="12"/>
      <c r="C8469" s="12"/>
      <c r="D8469" s="12"/>
      <c r="E8469" s="12"/>
      <c r="F8469" s="14"/>
      <c r="G8469" s="15"/>
      <c r="H8469" s="15"/>
      <c r="I8469" s="14"/>
      <c r="P8469" s="14"/>
    </row>
    <row r="8470" ht="18.75" customHeight="1">
      <c r="A8470" s="14"/>
      <c r="B8470" s="12"/>
      <c r="C8470" s="12"/>
      <c r="D8470" s="12"/>
      <c r="E8470" s="12"/>
      <c r="F8470" s="14"/>
      <c r="G8470" s="15"/>
      <c r="H8470" s="15"/>
      <c r="I8470" s="14"/>
      <c r="P8470" s="14"/>
    </row>
    <row r="8471" ht="18.75" customHeight="1">
      <c r="A8471" s="14"/>
      <c r="B8471" s="12"/>
      <c r="C8471" s="12"/>
      <c r="D8471" s="12"/>
      <c r="E8471" s="12"/>
      <c r="F8471" s="14"/>
      <c r="G8471" s="15"/>
      <c r="H8471" s="15"/>
      <c r="I8471" s="14"/>
      <c r="P8471" s="14"/>
    </row>
    <row r="8472" ht="18.75" customHeight="1">
      <c r="A8472" s="14"/>
      <c r="B8472" s="12"/>
      <c r="C8472" s="12"/>
      <c r="D8472" s="12"/>
      <c r="E8472" s="12"/>
      <c r="F8472" s="14"/>
      <c r="G8472" s="15"/>
      <c r="H8472" s="15"/>
      <c r="I8472" s="14"/>
      <c r="P8472" s="14"/>
    </row>
    <row r="8473" ht="18.75" customHeight="1">
      <c r="A8473" s="14"/>
      <c r="B8473" s="12"/>
      <c r="C8473" s="12"/>
      <c r="D8473" s="12"/>
      <c r="E8473" s="12"/>
      <c r="F8473" s="14"/>
      <c r="G8473" s="15"/>
      <c r="H8473" s="15"/>
      <c r="I8473" s="14"/>
      <c r="P8473" s="14"/>
    </row>
    <row r="8474" ht="18.75" customHeight="1">
      <c r="A8474" s="14"/>
      <c r="B8474" s="12"/>
      <c r="C8474" s="12"/>
      <c r="D8474" s="12"/>
      <c r="E8474" s="12"/>
      <c r="F8474" s="14"/>
      <c r="G8474" s="15"/>
      <c r="H8474" s="15"/>
      <c r="I8474" s="14"/>
      <c r="P8474" s="14"/>
    </row>
    <row r="8475" ht="18.75" customHeight="1">
      <c r="A8475" s="14"/>
      <c r="B8475" s="12"/>
      <c r="C8475" s="12"/>
      <c r="D8475" s="12"/>
      <c r="E8475" s="12"/>
      <c r="F8475" s="14"/>
      <c r="G8475" s="15"/>
      <c r="H8475" s="15"/>
      <c r="I8475" s="14"/>
      <c r="P8475" s="14"/>
    </row>
    <row r="8476" ht="18.75" customHeight="1">
      <c r="A8476" s="14"/>
      <c r="B8476" s="12"/>
      <c r="C8476" s="12"/>
      <c r="D8476" s="12"/>
      <c r="E8476" s="12"/>
      <c r="F8476" s="14"/>
      <c r="G8476" s="15"/>
      <c r="H8476" s="15"/>
      <c r="I8476" s="14"/>
      <c r="P8476" s="14"/>
    </row>
    <row r="8477" ht="18.75" customHeight="1">
      <c r="A8477" s="14"/>
      <c r="B8477" s="12"/>
      <c r="C8477" s="12"/>
      <c r="D8477" s="12"/>
      <c r="E8477" s="12"/>
      <c r="F8477" s="14"/>
      <c r="G8477" s="15"/>
      <c r="H8477" s="15"/>
      <c r="I8477" s="14"/>
      <c r="P8477" s="14"/>
    </row>
    <row r="8478" ht="18.75" customHeight="1">
      <c r="A8478" s="14"/>
      <c r="B8478" s="12"/>
      <c r="C8478" s="12"/>
      <c r="D8478" s="12"/>
      <c r="E8478" s="12"/>
      <c r="F8478" s="14"/>
      <c r="G8478" s="15"/>
      <c r="H8478" s="15"/>
      <c r="I8478" s="14"/>
      <c r="P8478" s="14"/>
    </row>
    <row r="8479" ht="18.75" customHeight="1">
      <c r="A8479" s="14"/>
      <c r="B8479" s="12"/>
      <c r="C8479" s="12"/>
      <c r="D8479" s="12"/>
      <c r="E8479" s="12"/>
      <c r="F8479" s="14"/>
      <c r="G8479" s="15"/>
      <c r="H8479" s="15"/>
      <c r="I8479" s="14"/>
      <c r="P8479" s="14"/>
    </row>
    <row r="8480" ht="18.75" customHeight="1">
      <c r="A8480" s="14"/>
      <c r="B8480" s="12"/>
      <c r="C8480" s="12"/>
      <c r="D8480" s="12"/>
      <c r="E8480" s="12"/>
      <c r="F8480" s="14"/>
      <c r="G8480" s="15"/>
      <c r="H8480" s="15"/>
      <c r="I8480" s="14"/>
      <c r="P8480" s="14"/>
    </row>
    <row r="8481" ht="18.75" customHeight="1">
      <c r="A8481" s="14"/>
      <c r="B8481" s="12"/>
      <c r="C8481" s="12"/>
      <c r="D8481" s="12"/>
      <c r="E8481" s="12"/>
      <c r="F8481" s="14"/>
      <c r="G8481" s="15"/>
      <c r="H8481" s="15"/>
      <c r="I8481" s="14"/>
      <c r="P8481" s="14"/>
    </row>
    <row r="8482" ht="18.75" customHeight="1">
      <c r="A8482" s="14"/>
      <c r="B8482" s="12"/>
      <c r="C8482" s="12"/>
      <c r="D8482" s="12"/>
      <c r="E8482" s="12"/>
      <c r="F8482" s="14"/>
      <c r="G8482" s="15"/>
      <c r="H8482" s="15"/>
      <c r="I8482" s="14"/>
      <c r="P8482" s="14"/>
    </row>
    <row r="8483" ht="18.75" customHeight="1">
      <c r="A8483" s="14"/>
      <c r="B8483" s="12"/>
      <c r="C8483" s="12"/>
      <c r="D8483" s="12"/>
      <c r="E8483" s="12"/>
      <c r="F8483" s="14"/>
      <c r="G8483" s="15"/>
      <c r="H8483" s="15"/>
      <c r="I8483" s="14"/>
      <c r="P8483" s="14"/>
    </row>
    <row r="8484" ht="18.75" customHeight="1">
      <c r="A8484" s="14"/>
      <c r="B8484" s="12"/>
      <c r="C8484" s="12"/>
      <c r="D8484" s="12"/>
      <c r="E8484" s="12"/>
      <c r="F8484" s="14"/>
      <c r="G8484" s="15"/>
      <c r="H8484" s="15"/>
      <c r="I8484" s="14"/>
      <c r="P8484" s="14"/>
    </row>
    <row r="8485" ht="18.75" customHeight="1">
      <c r="A8485" s="14"/>
      <c r="B8485" s="12"/>
      <c r="C8485" s="12"/>
      <c r="D8485" s="12"/>
      <c r="E8485" s="12"/>
      <c r="F8485" s="14"/>
      <c r="G8485" s="15"/>
      <c r="H8485" s="15"/>
      <c r="I8485" s="14"/>
      <c r="P8485" s="14"/>
    </row>
    <row r="8486" ht="18.75" customHeight="1">
      <c r="A8486" s="14"/>
      <c r="B8486" s="12"/>
      <c r="C8486" s="12"/>
      <c r="D8486" s="12"/>
      <c r="E8486" s="12"/>
      <c r="F8486" s="14"/>
      <c r="G8486" s="15"/>
      <c r="H8486" s="15"/>
      <c r="I8486" s="14"/>
      <c r="P8486" s="14"/>
    </row>
    <row r="8487" ht="18.75" customHeight="1">
      <c r="A8487" s="14"/>
      <c r="B8487" s="12"/>
      <c r="C8487" s="12"/>
      <c r="D8487" s="12"/>
      <c r="E8487" s="12"/>
      <c r="F8487" s="14"/>
      <c r="G8487" s="15"/>
      <c r="H8487" s="15"/>
      <c r="I8487" s="14"/>
      <c r="P8487" s="14"/>
    </row>
    <row r="8488" ht="18.75" customHeight="1">
      <c r="A8488" s="14"/>
      <c r="B8488" s="12"/>
      <c r="C8488" s="12"/>
      <c r="D8488" s="12"/>
      <c r="E8488" s="12"/>
      <c r="F8488" s="14"/>
      <c r="G8488" s="15"/>
      <c r="H8488" s="15"/>
      <c r="I8488" s="14"/>
      <c r="P8488" s="14"/>
    </row>
    <row r="8489" ht="18.75" customHeight="1">
      <c r="A8489" s="14"/>
      <c r="B8489" s="12"/>
      <c r="C8489" s="12"/>
      <c r="D8489" s="12"/>
      <c r="E8489" s="12"/>
      <c r="F8489" s="14"/>
      <c r="G8489" s="15"/>
      <c r="H8489" s="15"/>
      <c r="I8489" s="14"/>
      <c r="P8489" s="14"/>
    </row>
    <row r="8490" ht="18.75" customHeight="1">
      <c r="A8490" s="14"/>
      <c r="B8490" s="12"/>
      <c r="C8490" s="12"/>
      <c r="D8490" s="12"/>
      <c r="E8490" s="12"/>
      <c r="F8490" s="14"/>
      <c r="G8490" s="15"/>
      <c r="H8490" s="15"/>
      <c r="I8490" s="14"/>
      <c r="P8490" s="14"/>
    </row>
    <row r="8491" ht="18.75" customHeight="1">
      <c r="A8491" s="14"/>
      <c r="B8491" s="12"/>
      <c r="C8491" s="12"/>
      <c r="D8491" s="12"/>
      <c r="E8491" s="12"/>
      <c r="F8491" s="14"/>
      <c r="G8491" s="15"/>
      <c r="H8491" s="15"/>
      <c r="I8491" s="14"/>
      <c r="P8491" s="14"/>
    </row>
    <row r="8492" ht="18.75" customHeight="1">
      <c r="A8492" s="14"/>
      <c r="B8492" s="12"/>
      <c r="C8492" s="12"/>
      <c r="D8492" s="12"/>
      <c r="E8492" s="12"/>
      <c r="F8492" s="14"/>
      <c r="G8492" s="15"/>
      <c r="H8492" s="15"/>
      <c r="I8492" s="14"/>
      <c r="P8492" s="14"/>
    </row>
    <row r="8493" ht="18.75" customHeight="1">
      <c r="A8493" s="14"/>
      <c r="B8493" s="12"/>
      <c r="C8493" s="12"/>
      <c r="D8493" s="12"/>
      <c r="E8493" s="12"/>
      <c r="F8493" s="14"/>
      <c r="G8493" s="15"/>
      <c r="H8493" s="15"/>
      <c r="I8493" s="14"/>
      <c r="P8493" s="14"/>
    </row>
    <row r="8494" ht="18.75" customHeight="1">
      <c r="A8494" s="14"/>
      <c r="B8494" s="12"/>
      <c r="C8494" s="12"/>
      <c r="D8494" s="12"/>
      <c r="E8494" s="12"/>
      <c r="F8494" s="14"/>
      <c r="G8494" s="15"/>
      <c r="H8494" s="15"/>
      <c r="I8494" s="14"/>
      <c r="P8494" s="14"/>
    </row>
    <row r="8495" ht="18.75" customHeight="1">
      <c r="A8495" s="14"/>
      <c r="B8495" s="12"/>
      <c r="C8495" s="12"/>
      <c r="D8495" s="12"/>
      <c r="E8495" s="12"/>
      <c r="F8495" s="14"/>
      <c r="G8495" s="15"/>
      <c r="H8495" s="15"/>
      <c r="I8495" s="14"/>
      <c r="P8495" s="14"/>
    </row>
    <row r="8496" ht="18.75" customHeight="1">
      <c r="A8496" s="14"/>
      <c r="B8496" s="12"/>
      <c r="C8496" s="12"/>
      <c r="D8496" s="12"/>
      <c r="E8496" s="12"/>
      <c r="F8496" s="14"/>
      <c r="G8496" s="15"/>
      <c r="H8496" s="15"/>
      <c r="I8496" s="14"/>
      <c r="P8496" s="14"/>
    </row>
    <row r="8497" ht="18.75" customHeight="1">
      <c r="A8497" s="14"/>
      <c r="B8497" s="12"/>
      <c r="C8497" s="12"/>
      <c r="D8497" s="12"/>
      <c r="E8497" s="12"/>
      <c r="F8497" s="14"/>
      <c r="G8497" s="15"/>
      <c r="H8497" s="15"/>
      <c r="I8497" s="14"/>
      <c r="P8497" s="14"/>
    </row>
    <row r="8498" ht="18.75" customHeight="1">
      <c r="A8498" s="14"/>
      <c r="B8498" s="12"/>
      <c r="C8498" s="12"/>
      <c r="D8498" s="12"/>
      <c r="E8498" s="12"/>
      <c r="F8498" s="14"/>
      <c r="G8498" s="15"/>
      <c r="H8498" s="15"/>
      <c r="I8498" s="14"/>
      <c r="P8498" s="14"/>
    </row>
    <row r="8499" ht="18.75" customHeight="1">
      <c r="A8499" s="14"/>
      <c r="B8499" s="12"/>
      <c r="C8499" s="12"/>
      <c r="D8499" s="12"/>
      <c r="E8499" s="12"/>
      <c r="F8499" s="14"/>
      <c r="G8499" s="15"/>
      <c r="H8499" s="15"/>
      <c r="I8499" s="14"/>
      <c r="P8499" s="14"/>
    </row>
    <row r="8500" ht="18.75" customHeight="1">
      <c r="A8500" s="14"/>
      <c r="B8500" s="12"/>
      <c r="C8500" s="12"/>
      <c r="D8500" s="12"/>
      <c r="E8500" s="12"/>
      <c r="F8500" s="14"/>
      <c r="G8500" s="15"/>
      <c r="H8500" s="15"/>
      <c r="I8500" s="14"/>
      <c r="P8500" s="14"/>
    </row>
    <row r="8501" ht="18.75" customHeight="1">
      <c r="A8501" s="14"/>
      <c r="B8501" s="12"/>
      <c r="C8501" s="12"/>
      <c r="D8501" s="12"/>
      <c r="E8501" s="12"/>
      <c r="F8501" s="14"/>
      <c r="G8501" s="15"/>
      <c r="H8501" s="15"/>
      <c r="I8501" s="14"/>
      <c r="P8501" s="14"/>
    </row>
    <row r="8502" ht="18.75" customHeight="1">
      <c r="A8502" s="14"/>
      <c r="B8502" s="12"/>
      <c r="C8502" s="12"/>
      <c r="D8502" s="12"/>
      <c r="E8502" s="12"/>
      <c r="F8502" s="14"/>
      <c r="G8502" s="15"/>
      <c r="H8502" s="15"/>
      <c r="I8502" s="14"/>
      <c r="P8502" s="14"/>
    </row>
    <row r="8503" ht="18.75" customHeight="1">
      <c r="A8503" s="14"/>
      <c r="B8503" s="12"/>
      <c r="C8503" s="12"/>
      <c r="D8503" s="12"/>
      <c r="E8503" s="12"/>
      <c r="F8503" s="14"/>
      <c r="G8503" s="15"/>
      <c r="H8503" s="15"/>
      <c r="I8503" s="14"/>
      <c r="P8503" s="14"/>
    </row>
    <row r="8504" ht="18.75" customHeight="1">
      <c r="A8504" s="14"/>
      <c r="B8504" s="12"/>
      <c r="C8504" s="12"/>
      <c r="D8504" s="12"/>
      <c r="E8504" s="12"/>
      <c r="F8504" s="14"/>
      <c r="G8504" s="15"/>
      <c r="H8504" s="15"/>
      <c r="I8504" s="14"/>
      <c r="P8504" s="14"/>
    </row>
    <row r="8505" ht="18.75" customHeight="1">
      <c r="A8505" s="14"/>
      <c r="B8505" s="12"/>
      <c r="C8505" s="12"/>
      <c r="D8505" s="12"/>
      <c r="E8505" s="12"/>
      <c r="F8505" s="14"/>
      <c r="G8505" s="15"/>
      <c r="H8505" s="15"/>
      <c r="I8505" s="14"/>
      <c r="P8505" s="14"/>
    </row>
    <row r="8506" ht="18.75" customHeight="1">
      <c r="A8506" s="14"/>
      <c r="B8506" s="12"/>
      <c r="C8506" s="12"/>
      <c r="D8506" s="12"/>
      <c r="E8506" s="12"/>
      <c r="F8506" s="14"/>
      <c r="G8506" s="15"/>
      <c r="H8506" s="15"/>
      <c r="I8506" s="14"/>
      <c r="P8506" s="14"/>
    </row>
    <row r="8507" ht="18.75" customHeight="1">
      <c r="A8507" s="14"/>
      <c r="B8507" s="12"/>
      <c r="C8507" s="12"/>
      <c r="D8507" s="12"/>
      <c r="E8507" s="12"/>
      <c r="F8507" s="14"/>
      <c r="G8507" s="15"/>
      <c r="H8507" s="15"/>
      <c r="I8507" s="14"/>
      <c r="P8507" s="14"/>
    </row>
    <row r="8508" ht="18.75" customHeight="1">
      <c r="A8508" s="14"/>
      <c r="B8508" s="12"/>
      <c r="C8508" s="12"/>
      <c r="D8508" s="12"/>
      <c r="E8508" s="12"/>
      <c r="F8508" s="14"/>
      <c r="G8508" s="15"/>
      <c r="H8508" s="15"/>
      <c r="I8508" s="14"/>
      <c r="P8508" s="14"/>
    </row>
    <row r="8509" ht="18.75" customHeight="1">
      <c r="A8509" s="14"/>
      <c r="B8509" s="12"/>
      <c r="C8509" s="12"/>
      <c r="D8509" s="12"/>
      <c r="E8509" s="12"/>
      <c r="F8509" s="14"/>
      <c r="G8509" s="15"/>
      <c r="H8509" s="15"/>
      <c r="I8509" s="14"/>
      <c r="P8509" s="14"/>
    </row>
    <row r="8510" ht="18.75" customHeight="1">
      <c r="A8510" s="14"/>
      <c r="B8510" s="12"/>
      <c r="C8510" s="12"/>
      <c r="D8510" s="12"/>
      <c r="E8510" s="12"/>
      <c r="F8510" s="14"/>
      <c r="G8510" s="15"/>
      <c r="H8510" s="15"/>
      <c r="I8510" s="14"/>
      <c r="P8510" s="14"/>
    </row>
    <row r="8511" ht="18.75" customHeight="1">
      <c r="A8511" s="14"/>
      <c r="B8511" s="12"/>
      <c r="C8511" s="12"/>
      <c r="D8511" s="12"/>
      <c r="E8511" s="12"/>
      <c r="F8511" s="14"/>
      <c r="G8511" s="15"/>
      <c r="H8511" s="15"/>
      <c r="I8511" s="14"/>
      <c r="P8511" s="14"/>
    </row>
    <row r="8512" ht="18.75" customHeight="1">
      <c r="A8512" s="14"/>
      <c r="B8512" s="12"/>
      <c r="C8512" s="12"/>
      <c r="D8512" s="12"/>
      <c r="E8512" s="12"/>
      <c r="F8512" s="14"/>
      <c r="G8512" s="15"/>
      <c r="H8512" s="15"/>
      <c r="I8512" s="14"/>
      <c r="P8512" s="14"/>
    </row>
    <row r="8513" ht="18.75" customHeight="1">
      <c r="A8513" s="14"/>
      <c r="B8513" s="12"/>
      <c r="C8513" s="12"/>
      <c r="D8513" s="12"/>
      <c r="E8513" s="12"/>
      <c r="F8513" s="14"/>
      <c r="G8513" s="15"/>
      <c r="H8513" s="15"/>
      <c r="I8513" s="14"/>
      <c r="P8513" s="14"/>
    </row>
    <row r="8514" ht="18.75" customHeight="1">
      <c r="A8514" s="14"/>
      <c r="B8514" s="12"/>
      <c r="C8514" s="12"/>
      <c r="D8514" s="12"/>
      <c r="E8514" s="12"/>
      <c r="F8514" s="14"/>
      <c r="G8514" s="15"/>
      <c r="H8514" s="15"/>
      <c r="I8514" s="14"/>
      <c r="P8514" s="14"/>
    </row>
    <row r="8515" ht="18.75" customHeight="1">
      <c r="A8515" s="14"/>
      <c r="B8515" s="12"/>
      <c r="C8515" s="12"/>
      <c r="D8515" s="12"/>
      <c r="E8515" s="12"/>
      <c r="F8515" s="14"/>
      <c r="G8515" s="15"/>
      <c r="H8515" s="15"/>
      <c r="I8515" s="14"/>
      <c r="P8515" s="14"/>
    </row>
    <row r="8516" ht="18.75" customHeight="1">
      <c r="A8516" s="14"/>
      <c r="B8516" s="12"/>
      <c r="C8516" s="12"/>
      <c r="D8516" s="12"/>
      <c r="E8516" s="12"/>
      <c r="F8516" s="14"/>
      <c r="G8516" s="15"/>
      <c r="H8516" s="15"/>
      <c r="I8516" s="14"/>
      <c r="P8516" s="14"/>
    </row>
    <row r="8517" ht="18.75" customHeight="1">
      <c r="A8517" s="14"/>
      <c r="B8517" s="12"/>
      <c r="C8517" s="12"/>
      <c r="D8517" s="12"/>
      <c r="E8517" s="12"/>
      <c r="F8517" s="14"/>
      <c r="G8517" s="15"/>
      <c r="H8517" s="15"/>
      <c r="I8517" s="14"/>
      <c r="P8517" s="14"/>
    </row>
    <row r="8518" ht="18.75" customHeight="1">
      <c r="A8518" s="14"/>
      <c r="B8518" s="12"/>
      <c r="C8518" s="12"/>
      <c r="D8518" s="12"/>
      <c r="E8518" s="12"/>
      <c r="F8518" s="14"/>
      <c r="G8518" s="15"/>
      <c r="H8518" s="15"/>
      <c r="I8518" s="14"/>
      <c r="P8518" s="14"/>
    </row>
    <row r="8519" ht="18.75" customHeight="1">
      <c r="A8519" s="14"/>
      <c r="B8519" s="12"/>
      <c r="C8519" s="12"/>
      <c r="D8519" s="12"/>
      <c r="E8519" s="12"/>
      <c r="F8519" s="14"/>
      <c r="G8519" s="15"/>
      <c r="H8519" s="15"/>
      <c r="I8519" s="14"/>
      <c r="P8519" s="14"/>
    </row>
    <row r="8520" ht="18.75" customHeight="1">
      <c r="A8520" s="14"/>
      <c r="B8520" s="12"/>
      <c r="C8520" s="12"/>
      <c r="D8520" s="12"/>
      <c r="E8520" s="12"/>
      <c r="F8520" s="14"/>
      <c r="G8520" s="15"/>
      <c r="H8520" s="15"/>
      <c r="I8520" s="14"/>
      <c r="P8520" s="14"/>
    </row>
    <row r="8521" ht="18.75" customHeight="1">
      <c r="A8521" s="14"/>
      <c r="B8521" s="12"/>
      <c r="C8521" s="12"/>
      <c r="D8521" s="12"/>
      <c r="E8521" s="12"/>
      <c r="F8521" s="14"/>
      <c r="G8521" s="15"/>
      <c r="H8521" s="15"/>
      <c r="I8521" s="14"/>
      <c r="P8521" s="14"/>
    </row>
    <row r="8522" ht="18.75" customHeight="1">
      <c r="A8522" s="14"/>
      <c r="B8522" s="12"/>
      <c r="C8522" s="12"/>
      <c r="D8522" s="12"/>
      <c r="E8522" s="12"/>
      <c r="F8522" s="14"/>
      <c r="G8522" s="15"/>
      <c r="H8522" s="15"/>
      <c r="I8522" s="14"/>
      <c r="P8522" s="14"/>
    </row>
    <row r="8523" ht="18.75" customHeight="1">
      <c r="A8523" s="14"/>
      <c r="B8523" s="12"/>
      <c r="C8523" s="12"/>
      <c r="D8523" s="12"/>
      <c r="E8523" s="12"/>
      <c r="F8523" s="14"/>
      <c r="G8523" s="15"/>
      <c r="H8523" s="15"/>
      <c r="I8523" s="14"/>
      <c r="P8523" s="14"/>
    </row>
    <row r="8524" ht="18.75" customHeight="1">
      <c r="A8524" s="14"/>
      <c r="B8524" s="12"/>
      <c r="C8524" s="12"/>
      <c r="D8524" s="12"/>
      <c r="E8524" s="12"/>
      <c r="F8524" s="14"/>
      <c r="G8524" s="15"/>
      <c r="H8524" s="15"/>
      <c r="I8524" s="14"/>
      <c r="P8524" s="14"/>
    </row>
    <row r="8525" ht="18.75" customHeight="1">
      <c r="A8525" s="14"/>
      <c r="B8525" s="12"/>
      <c r="C8525" s="12"/>
      <c r="D8525" s="12"/>
      <c r="E8525" s="12"/>
      <c r="F8525" s="14"/>
      <c r="G8525" s="15"/>
      <c r="H8525" s="15"/>
      <c r="I8525" s="14"/>
      <c r="P8525" s="14"/>
    </row>
    <row r="8526" ht="18.75" customHeight="1">
      <c r="A8526" s="14"/>
      <c r="B8526" s="12"/>
      <c r="C8526" s="12"/>
      <c r="D8526" s="12"/>
      <c r="E8526" s="12"/>
      <c r="F8526" s="14"/>
      <c r="G8526" s="15"/>
      <c r="H8526" s="15"/>
      <c r="I8526" s="14"/>
      <c r="P8526" s="14"/>
    </row>
    <row r="8527" ht="18.75" customHeight="1">
      <c r="A8527" s="14"/>
      <c r="B8527" s="12"/>
      <c r="C8527" s="12"/>
      <c r="D8527" s="12"/>
      <c r="E8527" s="12"/>
      <c r="F8527" s="14"/>
      <c r="G8527" s="15"/>
      <c r="H8527" s="15"/>
      <c r="I8527" s="14"/>
      <c r="P8527" s="14"/>
    </row>
    <row r="8528" ht="18.75" customHeight="1">
      <c r="A8528" s="14"/>
      <c r="B8528" s="12"/>
      <c r="C8528" s="12"/>
      <c r="D8528" s="12"/>
      <c r="E8528" s="12"/>
      <c r="F8528" s="14"/>
      <c r="G8528" s="15"/>
      <c r="H8528" s="15"/>
      <c r="I8528" s="14"/>
      <c r="P8528" s="14"/>
    </row>
    <row r="8529" ht="18.75" customHeight="1">
      <c r="A8529" s="14"/>
      <c r="B8529" s="12"/>
      <c r="C8529" s="12"/>
      <c r="D8529" s="12"/>
      <c r="E8529" s="12"/>
      <c r="F8529" s="14"/>
      <c r="G8529" s="15"/>
      <c r="H8529" s="15"/>
      <c r="I8529" s="14"/>
      <c r="P8529" s="14"/>
    </row>
    <row r="8530" ht="18.75" customHeight="1">
      <c r="A8530" s="14"/>
      <c r="B8530" s="12"/>
      <c r="C8530" s="12"/>
      <c r="D8530" s="12"/>
      <c r="E8530" s="12"/>
      <c r="F8530" s="14"/>
      <c r="G8530" s="15"/>
      <c r="H8530" s="15"/>
      <c r="I8530" s="14"/>
      <c r="P8530" s="14"/>
    </row>
    <row r="8531" ht="18.75" customHeight="1">
      <c r="A8531" s="14"/>
      <c r="B8531" s="12"/>
      <c r="C8531" s="12"/>
      <c r="D8531" s="12"/>
      <c r="E8531" s="12"/>
      <c r="F8531" s="14"/>
      <c r="G8531" s="15"/>
      <c r="H8531" s="15"/>
      <c r="I8531" s="14"/>
      <c r="P8531" s="14"/>
    </row>
    <row r="8532" ht="18.75" customHeight="1">
      <c r="A8532" s="14"/>
      <c r="B8532" s="12"/>
      <c r="C8532" s="12"/>
      <c r="D8532" s="12"/>
      <c r="E8532" s="12"/>
      <c r="F8532" s="14"/>
      <c r="G8532" s="15"/>
      <c r="H8532" s="15"/>
      <c r="I8532" s="14"/>
      <c r="P8532" s="14"/>
    </row>
    <row r="8533" ht="18.75" customHeight="1">
      <c r="A8533" s="14"/>
      <c r="B8533" s="12"/>
      <c r="C8533" s="12"/>
      <c r="D8533" s="12"/>
      <c r="E8533" s="12"/>
      <c r="F8533" s="14"/>
      <c r="G8533" s="15"/>
      <c r="H8533" s="15"/>
      <c r="I8533" s="14"/>
      <c r="P8533" s="14"/>
    </row>
    <row r="8534" ht="18.75" customHeight="1">
      <c r="A8534" s="14"/>
      <c r="B8534" s="12"/>
      <c r="C8534" s="12"/>
      <c r="D8534" s="12"/>
      <c r="E8534" s="12"/>
      <c r="F8534" s="14"/>
      <c r="G8534" s="15"/>
      <c r="H8534" s="15"/>
      <c r="I8534" s="14"/>
      <c r="P8534" s="14"/>
    </row>
    <row r="8535" ht="18.75" customHeight="1">
      <c r="A8535" s="14"/>
      <c r="B8535" s="12"/>
      <c r="C8535" s="12"/>
      <c r="D8535" s="12"/>
      <c r="E8535" s="12"/>
      <c r="F8535" s="14"/>
      <c r="G8535" s="15"/>
      <c r="H8535" s="15"/>
      <c r="I8535" s="14"/>
      <c r="P8535" s="14"/>
    </row>
    <row r="8536" ht="18.75" customHeight="1">
      <c r="A8536" s="14"/>
      <c r="B8536" s="12"/>
      <c r="C8536" s="12"/>
      <c r="D8536" s="12"/>
      <c r="E8536" s="12"/>
      <c r="F8536" s="14"/>
      <c r="G8536" s="15"/>
      <c r="H8536" s="15"/>
      <c r="I8536" s="14"/>
      <c r="P8536" s="14"/>
    </row>
    <row r="8537" ht="18.75" customHeight="1">
      <c r="A8537" s="14"/>
      <c r="B8537" s="12"/>
      <c r="C8537" s="12"/>
      <c r="D8537" s="12"/>
      <c r="E8537" s="12"/>
      <c r="F8537" s="14"/>
      <c r="G8537" s="15"/>
      <c r="H8537" s="15"/>
      <c r="I8537" s="14"/>
      <c r="P8537" s="14"/>
    </row>
    <row r="8538" ht="18.75" customHeight="1">
      <c r="A8538" s="14"/>
      <c r="B8538" s="12"/>
      <c r="C8538" s="12"/>
      <c r="D8538" s="12"/>
      <c r="E8538" s="12"/>
      <c r="F8538" s="14"/>
      <c r="G8538" s="15"/>
      <c r="H8538" s="15"/>
      <c r="I8538" s="14"/>
      <c r="P8538" s="14"/>
    </row>
    <row r="8539" ht="18.75" customHeight="1">
      <c r="A8539" s="14"/>
      <c r="B8539" s="12"/>
      <c r="C8539" s="12"/>
      <c r="D8539" s="12"/>
      <c r="E8539" s="12"/>
      <c r="F8539" s="14"/>
      <c r="G8539" s="15"/>
      <c r="H8539" s="15"/>
      <c r="I8539" s="14"/>
      <c r="P8539" s="14"/>
    </row>
    <row r="8540" ht="18.75" customHeight="1">
      <c r="A8540" s="14"/>
      <c r="B8540" s="12"/>
      <c r="C8540" s="12"/>
      <c r="D8540" s="12"/>
      <c r="E8540" s="12"/>
      <c r="F8540" s="14"/>
      <c r="G8540" s="15"/>
      <c r="H8540" s="15"/>
      <c r="I8540" s="14"/>
      <c r="P8540" s="14"/>
    </row>
    <row r="8541" ht="18.75" customHeight="1">
      <c r="A8541" s="14"/>
      <c r="B8541" s="12"/>
      <c r="C8541" s="12"/>
      <c r="D8541" s="12"/>
      <c r="E8541" s="12"/>
      <c r="F8541" s="14"/>
      <c r="G8541" s="15"/>
      <c r="H8541" s="15"/>
      <c r="I8541" s="14"/>
      <c r="P8541" s="14"/>
    </row>
    <row r="8542" ht="18.75" customHeight="1">
      <c r="A8542" s="14"/>
      <c r="B8542" s="12"/>
      <c r="C8542" s="12"/>
      <c r="D8542" s="12"/>
      <c r="E8542" s="12"/>
      <c r="F8542" s="14"/>
      <c r="G8542" s="15"/>
      <c r="H8542" s="15"/>
      <c r="I8542" s="14"/>
      <c r="P8542" s="14"/>
    </row>
    <row r="8543" ht="18.75" customHeight="1">
      <c r="A8543" s="14"/>
      <c r="B8543" s="12"/>
      <c r="C8543" s="12"/>
      <c r="D8543" s="12"/>
      <c r="E8543" s="12"/>
      <c r="F8543" s="14"/>
      <c r="G8543" s="15"/>
      <c r="H8543" s="15"/>
      <c r="I8543" s="14"/>
      <c r="P8543" s="14"/>
    </row>
    <row r="8544" ht="18.75" customHeight="1">
      <c r="A8544" s="14"/>
      <c r="B8544" s="12"/>
      <c r="C8544" s="12"/>
      <c r="D8544" s="12"/>
      <c r="E8544" s="12"/>
      <c r="F8544" s="14"/>
      <c r="G8544" s="15"/>
      <c r="H8544" s="15"/>
      <c r="I8544" s="14"/>
      <c r="P8544" s="14"/>
    </row>
    <row r="8545" ht="18.75" customHeight="1">
      <c r="A8545" s="14"/>
      <c r="B8545" s="12"/>
      <c r="C8545" s="12"/>
      <c r="D8545" s="12"/>
      <c r="E8545" s="12"/>
      <c r="F8545" s="14"/>
      <c r="G8545" s="15"/>
      <c r="H8545" s="15"/>
      <c r="I8545" s="14"/>
      <c r="P8545" s="14"/>
    </row>
    <row r="8546" ht="18.75" customHeight="1">
      <c r="A8546" s="14"/>
      <c r="B8546" s="12"/>
      <c r="C8546" s="12"/>
      <c r="D8546" s="12"/>
      <c r="E8546" s="12"/>
      <c r="F8546" s="14"/>
      <c r="G8546" s="15"/>
      <c r="H8546" s="15"/>
      <c r="I8546" s="14"/>
      <c r="P8546" s="14"/>
    </row>
    <row r="8547" ht="18.75" customHeight="1">
      <c r="A8547" s="14"/>
      <c r="B8547" s="12"/>
      <c r="C8547" s="12"/>
      <c r="D8547" s="12"/>
      <c r="E8547" s="12"/>
      <c r="F8547" s="14"/>
      <c r="G8547" s="15"/>
      <c r="H8547" s="15"/>
      <c r="I8547" s="14"/>
      <c r="P8547" s="14"/>
    </row>
    <row r="8548" ht="18.75" customHeight="1">
      <c r="A8548" s="14"/>
      <c r="B8548" s="12"/>
      <c r="C8548" s="12"/>
      <c r="D8548" s="12"/>
      <c r="E8548" s="12"/>
      <c r="F8548" s="14"/>
      <c r="G8548" s="15"/>
      <c r="H8548" s="15"/>
      <c r="I8548" s="14"/>
      <c r="P8548" s="14"/>
    </row>
    <row r="8549" ht="18.75" customHeight="1">
      <c r="A8549" s="14"/>
      <c r="B8549" s="12"/>
      <c r="C8549" s="12"/>
      <c r="D8549" s="12"/>
      <c r="E8549" s="12"/>
      <c r="F8549" s="14"/>
      <c r="G8549" s="15"/>
      <c r="H8549" s="15"/>
      <c r="I8549" s="14"/>
      <c r="P8549" s="14"/>
    </row>
    <row r="8550" ht="18.75" customHeight="1">
      <c r="A8550" s="14"/>
      <c r="B8550" s="12"/>
      <c r="C8550" s="12"/>
      <c r="D8550" s="12"/>
      <c r="E8550" s="12"/>
      <c r="F8550" s="14"/>
      <c r="G8550" s="15"/>
      <c r="H8550" s="15"/>
      <c r="I8550" s="14"/>
      <c r="P8550" s="14"/>
    </row>
    <row r="8551" ht="18.75" customHeight="1">
      <c r="A8551" s="14"/>
      <c r="B8551" s="12"/>
      <c r="C8551" s="12"/>
      <c r="D8551" s="12"/>
      <c r="E8551" s="12"/>
      <c r="F8551" s="14"/>
      <c r="G8551" s="15"/>
      <c r="H8551" s="15"/>
      <c r="I8551" s="14"/>
      <c r="P8551" s="14"/>
    </row>
    <row r="8552" ht="18.75" customHeight="1">
      <c r="A8552" s="14"/>
      <c r="B8552" s="12"/>
      <c r="C8552" s="12"/>
      <c r="D8552" s="12"/>
      <c r="E8552" s="12"/>
      <c r="F8552" s="14"/>
      <c r="G8552" s="15"/>
      <c r="H8552" s="15"/>
      <c r="I8552" s="14"/>
      <c r="P8552" s="14"/>
    </row>
    <row r="8553" ht="18.75" customHeight="1">
      <c r="A8553" s="14"/>
      <c r="B8553" s="12"/>
      <c r="C8553" s="12"/>
      <c r="D8553" s="12"/>
      <c r="E8553" s="12"/>
      <c r="F8553" s="14"/>
      <c r="G8553" s="15"/>
      <c r="H8553" s="15"/>
      <c r="I8553" s="14"/>
      <c r="P8553" s="14"/>
    </row>
    <row r="8554" ht="18.75" customHeight="1">
      <c r="A8554" s="14"/>
      <c r="B8554" s="12"/>
      <c r="C8554" s="12"/>
      <c r="D8554" s="12"/>
      <c r="E8554" s="12"/>
      <c r="F8554" s="14"/>
      <c r="G8554" s="15"/>
      <c r="H8554" s="15"/>
      <c r="I8554" s="14"/>
      <c r="P8554" s="14"/>
    </row>
    <row r="8555" ht="18.75" customHeight="1">
      <c r="A8555" s="14"/>
      <c r="B8555" s="12"/>
      <c r="C8555" s="12"/>
      <c r="D8555" s="12"/>
      <c r="E8555" s="12"/>
      <c r="F8555" s="14"/>
      <c r="G8555" s="15"/>
      <c r="H8555" s="15"/>
      <c r="I8555" s="14"/>
      <c r="P8555" s="14"/>
    </row>
    <row r="8556" ht="18.75" customHeight="1">
      <c r="A8556" s="14"/>
      <c r="B8556" s="12"/>
      <c r="C8556" s="12"/>
      <c r="D8556" s="12"/>
      <c r="E8556" s="12"/>
      <c r="F8556" s="14"/>
      <c r="G8556" s="15"/>
      <c r="H8556" s="15"/>
      <c r="I8556" s="14"/>
      <c r="P8556" s="14"/>
    </row>
    <row r="8557" ht="18.75" customHeight="1">
      <c r="A8557" s="14"/>
      <c r="B8557" s="12"/>
      <c r="C8557" s="12"/>
      <c r="D8557" s="12"/>
      <c r="E8557" s="12"/>
      <c r="F8557" s="14"/>
      <c r="G8557" s="15"/>
      <c r="H8557" s="15"/>
      <c r="I8557" s="14"/>
      <c r="P8557" s="14"/>
    </row>
    <row r="8558" ht="18.75" customHeight="1">
      <c r="A8558" s="14"/>
      <c r="B8558" s="12"/>
      <c r="C8558" s="12"/>
      <c r="D8558" s="12"/>
      <c r="E8558" s="12"/>
      <c r="F8558" s="14"/>
      <c r="G8558" s="15"/>
      <c r="H8558" s="15"/>
      <c r="I8558" s="14"/>
      <c r="P8558" s="14"/>
    </row>
    <row r="8559" ht="18.75" customHeight="1">
      <c r="A8559" s="14"/>
      <c r="B8559" s="12"/>
      <c r="C8559" s="12"/>
      <c r="D8559" s="12"/>
      <c r="E8559" s="12"/>
      <c r="F8559" s="14"/>
      <c r="G8559" s="15"/>
      <c r="H8559" s="15"/>
      <c r="I8559" s="14"/>
      <c r="P8559" s="14"/>
    </row>
    <row r="8560" ht="18.75" customHeight="1">
      <c r="A8560" s="14"/>
      <c r="B8560" s="12"/>
      <c r="C8560" s="12"/>
      <c r="D8560" s="12"/>
      <c r="E8560" s="12"/>
      <c r="F8560" s="14"/>
      <c r="G8560" s="15"/>
      <c r="H8560" s="15"/>
      <c r="I8560" s="14"/>
      <c r="P8560" s="14"/>
    </row>
    <row r="8561" ht="18.75" customHeight="1">
      <c r="A8561" s="14"/>
      <c r="B8561" s="12"/>
      <c r="C8561" s="12"/>
      <c r="D8561" s="12"/>
      <c r="E8561" s="12"/>
      <c r="F8561" s="14"/>
      <c r="G8561" s="15"/>
      <c r="H8561" s="15"/>
      <c r="I8561" s="14"/>
      <c r="P8561" s="14"/>
    </row>
    <row r="8562" ht="18.75" customHeight="1">
      <c r="A8562" s="14"/>
      <c r="B8562" s="12"/>
      <c r="C8562" s="12"/>
      <c r="D8562" s="12"/>
      <c r="E8562" s="12"/>
      <c r="F8562" s="14"/>
      <c r="G8562" s="15"/>
      <c r="H8562" s="15"/>
      <c r="I8562" s="14"/>
      <c r="P8562" s="14"/>
    </row>
    <row r="8563" ht="18.75" customHeight="1">
      <c r="A8563" s="14"/>
      <c r="B8563" s="12"/>
      <c r="C8563" s="12"/>
      <c r="D8563" s="12"/>
      <c r="E8563" s="12"/>
      <c r="F8563" s="14"/>
      <c r="G8563" s="15"/>
      <c r="H8563" s="15"/>
      <c r="I8563" s="14"/>
      <c r="P8563" s="14"/>
    </row>
    <row r="8564" ht="18.75" customHeight="1">
      <c r="A8564" s="14"/>
      <c r="B8564" s="12"/>
      <c r="C8564" s="12"/>
      <c r="D8564" s="12"/>
      <c r="E8564" s="12"/>
      <c r="F8564" s="14"/>
      <c r="G8564" s="15"/>
      <c r="H8564" s="15"/>
      <c r="I8564" s="14"/>
      <c r="P8564" s="14"/>
    </row>
    <row r="8565" ht="18.75" customHeight="1">
      <c r="A8565" s="14"/>
      <c r="B8565" s="12"/>
      <c r="C8565" s="12"/>
      <c r="D8565" s="12"/>
      <c r="E8565" s="12"/>
      <c r="F8565" s="14"/>
      <c r="G8565" s="15"/>
      <c r="H8565" s="15"/>
      <c r="I8565" s="14"/>
      <c r="P8565" s="14"/>
    </row>
    <row r="8566" ht="18.75" customHeight="1">
      <c r="A8566" s="14"/>
      <c r="B8566" s="12"/>
      <c r="C8566" s="12"/>
      <c r="D8566" s="12"/>
      <c r="E8566" s="12"/>
      <c r="F8566" s="14"/>
      <c r="G8566" s="15"/>
      <c r="H8566" s="15"/>
      <c r="I8566" s="14"/>
      <c r="P8566" s="14"/>
    </row>
    <row r="8567" ht="18.75" customHeight="1">
      <c r="A8567" s="14"/>
      <c r="B8567" s="12"/>
      <c r="C8567" s="12"/>
      <c r="D8567" s="12"/>
      <c r="E8567" s="12"/>
      <c r="F8567" s="14"/>
      <c r="G8567" s="15"/>
      <c r="H8567" s="15"/>
      <c r="I8567" s="14"/>
      <c r="P8567" s="14"/>
    </row>
    <row r="8568" ht="18.75" customHeight="1">
      <c r="A8568" s="14"/>
      <c r="B8568" s="12"/>
      <c r="C8568" s="12"/>
      <c r="D8568" s="12"/>
      <c r="E8568" s="12"/>
      <c r="F8568" s="14"/>
      <c r="G8568" s="15"/>
      <c r="H8568" s="15"/>
      <c r="I8568" s="14"/>
      <c r="P8568" s="14"/>
    </row>
    <row r="8569" ht="18.75" customHeight="1">
      <c r="A8569" s="14"/>
      <c r="B8569" s="12"/>
      <c r="C8569" s="12"/>
      <c r="D8569" s="12"/>
      <c r="E8569" s="12"/>
      <c r="F8569" s="14"/>
      <c r="G8569" s="15"/>
      <c r="H8569" s="15"/>
      <c r="I8569" s="14"/>
      <c r="P8569" s="14"/>
    </row>
    <row r="8570" ht="18.75" customHeight="1">
      <c r="A8570" s="14"/>
      <c r="B8570" s="12"/>
      <c r="C8570" s="12"/>
      <c r="D8570" s="12"/>
      <c r="E8570" s="12"/>
      <c r="F8570" s="14"/>
      <c r="G8570" s="15"/>
      <c r="H8570" s="15"/>
      <c r="I8570" s="14"/>
      <c r="P8570" s="14"/>
    </row>
    <row r="8571" ht="18.75" customHeight="1">
      <c r="A8571" s="14"/>
      <c r="B8571" s="12"/>
      <c r="C8571" s="12"/>
      <c r="D8571" s="12"/>
      <c r="E8571" s="12"/>
      <c r="F8571" s="14"/>
      <c r="G8571" s="15"/>
      <c r="H8571" s="15"/>
      <c r="I8571" s="14"/>
      <c r="P8571" s="14"/>
    </row>
    <row r="8572" ht="18.75" customHeight="1">
      <c r="A8572" s="14"/>
      <c r="B8572" s="12"/>
      <c r="C8572" s="12"/>
      <c r="D8572" s="12"/>
      <c r="E8572" s="12"/>
      <c r="F8572" s="14"/>
      <c r="G8572" s="15"/>
      <c r="H8572" s="15"/>
      <c r="I8572" s="14"/>
      <c r="P8572" s="14"/>
    </row>
    <row r="8573" ht="18.75" customHeight="1">
      <c r="A8573" s="14"/>
      <c r="B8573" s="12"/>
      <c r="C8573" s="12"/>
      <c r="D8573" s="12"/>
      <c r="E8573" s="12"/>
      <c r="F8573" s="14"/>
      <c r="G8573" s="15"/>
      <c r="H8573" s="15"/>
      <c r="I8573" s="14"/>
      <c r="P8573" s="14"/>
    </row>
    <row r="8574" ht="18.75" customHeight="1">
      <c r="A8574" s="14"/>
      <c r="B8574" s="12"/>
      <c r="C8574" s="12"/>
      <c r="D8574" s="12"/>
      <c r="E8574" s="12"/>
      <c r="F8574" s="14"/>
      <c r="G8574" s="15"/>
      <c r="H8574" s="15"/>
      <c r="I8574" s="14"/>
      <c r="P8574" s="14"/>
    </row>
    <row r="8575" ht="18.75" customHeight="1">
      <c r="A8575" s="14"/>
      <c r="B8575" s="12"/>
      <c r="C8575" s="12"/>
      <c r="D8575" s="12"/>
      <c r="E8575" s="12"/>
      <c r="F8575" s="14"/>
      <c r="G8575" s="15"/>
      <c r="H8575" s="15"/>
      <c r="I8575" s="14"/>
      <c r="P8575" s="14"/>
    </row>
    <row r="8576" ht="18.75" customHeight="1">
      <c r="A8576" s="14"/>
      <c r="B8576" s="12"/>
      <c r="C8576" s="12"/>
      <c r="D8576" s="12"/>
      <c r="E8576" s="12"/>
      <c r="F8576" s="14"/>
      <c r="G8576" s="15"/>
      <c r="H8576" s="15"/>
      <c r="I8576" s="14"/>
      <c r="P8576" s="14"/>
    </row>
    <row r="8577" ht="18.75" customHeight="1">
      <c r="A8577" s="14"/>
      <c r="B8577" s="12"/>
      <c r="C8577" s="12"/>
      <c r="D8577" s="12"/>
      <c r="E8577" s="12"/>
      <c r="F8577" s="14"/>
      <c r="G8577" s="15"/>
      <c r="H8577" s="15"/>
      <c r="I8577" s="14"/>
      <c r="P8577" s="14"/>
    </row>
    <row r="8578" ht="18.75" customHeight="1">
      <c r="A8578" s="14"/>
      <c r="B8578" s="12"/>
      <c r="C8578" s="12"/>
      <c r="D8578" s="12"/>
      <c r="E8578" s="12"/>
      <c r="F8578" s="14"/>
      <c r="G8578" s="15"/>
      <c r="H8578" s="15"/>
      <c r="I8578" s="14"/>
      <c r="P8578" s="14"/>
    </row>
    <row r="8579" ht="18.75" customHeight="1">
      <c r="A8579" s="14"/>
      <c r="B8579" s="12"/>
      <c r="C8579" s="12"/>
      <c r="D8579" s="12"/>
      <c r="E8579" s="12"/>
      <c r="F8579" s="14"/>
      <c r="G8579" s="15"/>
      <c r="H8579" s="15"/>
      <c r="I8579" s="14"/>
      <c r="P8579" s="14"/>
    </row>
    <row r="8580" ht="18.75" customHeight="1">
      <c r="A8580" s="14"/>
      <c r="B8580" s="12"/>
      <c r="C8580" s="12"/>
      <c r="D8580" s="12"/>
      <c r="E8580" s="12"/>
      <c r="F8580" s="14"/>
      <c r="G8580" s="15"/>
      <c r="H8580" s="15"/>
      <c r="I8580" s="14"/>
      <c r="P8580" s="14"/>
    </row>
    <row r="8581" ht="18.75" customHeight="1">
      <c r="A8581" s="14"/>
      <c r="B8581" s="12"/>
      <c r="C8581" s="12"/>
      <c r="D8581" s="12"/>
      <c r="E8581" s="12"/>
      <c r="F8581" s="14"/>
      <c r="G8581" s="15"/>
      <c r="H8581" s="15"/>
      <c r="I8581" s="14"/>
      <c r="P8581" s="14"/>
    </row>
    <row r="8582" ht="18.75" customHeight="1">
      <c r="A8582" s="14"/>
      <c r="B8582" s="12"/>
      <c r="C8582" s="12"/>
      <c r="D8582" s="12"/>
      <c r="E8582" s="12"/>
      <c r="F8582" s="14"/>
      <c r="G8582" s="15"/>
      <c r="H8582" s="15"/>
      <c r="I8582" s="14"/>
      <c r="P8582" s="14"/>
    </row>
    <row r="8583" ht="18.75" customHeight="1">
      <c r="A8583" s="14"/>
      <c r="B8583" s="12"/>
      <c r="C8583" s="12"/>
      <c r="D8583" s="12"/>
      <c r="E8583" s="12"/>
      <c r="F8583" s="14"/>
      <c r="G8583" s="15"/>
      <c r="H8583" s="15"/>
      <c r="I8583" s="14"/>
      <c r="P8583" s="14"/>
    </row>
    <row r="8584" ht="18.75" customHeight="1">
      <c r="A8584" s="14"/>
      <c r="B8584" s="12"/>
      <c r="C8584" s="12"/>
      <c r="D8584" s="12"/>
      <c r="E8584" s="12"/>
      <c r="F8584" s="14"/>
      <c r="G8584" s="15"/>
      <c r="H8584" s="15"/>
      <c r="I8584" s="14"/>
      <c r="P8584" s="14"/>
    </row>
    <row r="8585" ht="18.75" customHeight="1">
      <c r="A8585" s="14"/>
      <c r="B8585" s="12"/>
      <c r="C8585" s="12"/>
      <c r="D8585" s="12"/>
      <c r="E8585" s="12"/>
      <c r="F8585" s="14"/>
      <c r="G8585" s="15"/>
      <c r="H8585" s="15"/>
      <c r="I8585" s="14"/>
      <c r="P8585" s="14"/>
    </row>
    <row r="8586" ht="18.75" customHeight="1">
      <c r="A8586" s="14"/>
      <c r="B8586" s="12"/>
      <c r="C8586" s="12"/>
      <c r="D8586" s="12"/>
      <c r="E8586" s="12"/>
      <c r="F8586" s="14"/>
      <c r="G8586" s="15"/>
      <c r="H8586" s="15"/>
      <c r="I8586" s="14"/>
      <c r="P8586" s="14"/>
    </row>
    <row r="8587" ht="18.75" customHeight="1">
      <c r="A8587" s="14"/>
      <c r="B8587" s="12"/>
      <c r="C8587" s="12"/>
      <c r="D8587" s="12"/>
      <c r="E8587" s="12"/>
      <c r="F8587" s="14"/>
      <c r="G8587" s="15"/>
      <c r="H8587" s="15"/>
      <c r="I8587" s="14"/>
      <c r="P8587" s="14"/>
    </row>
    <row r="8588" ht="18.75" customHeight="1">
      <c r="A8588" s="14"/>
      <c r="B8588" s="12"/>
      <c r="C8588" s="12"/>
      <c r="D8588" s="12"/>
      <c r="E8588" s="12"/>
      <c r="F8588" s="14"/>
      <c r="G8588" s="15"/>
      <c r="H8588" s="15"/>
      <c r="I8588" s="14"/>
      <c r="P8588" s="14"/>
    </row>
    <row r="8589" ht="18.75" customHeight="1">
      <c r="A8589" s="14"/>
      <c r="B8589" s="12"/>
      <c r="C8589" s="12"/>
      <c r="D8589" s="12"/>
      <c r="E8589" s="12"/>
      <c r="F8589" s="14"/>
      <c r="G8589" s="15"/>
      <c r="H8589" s="15"/>
      <c r="I8589" s="14"/>
      <c r="P8589" s="14"/>
    </row>
    <row r="8590" ht="18.75" customHeight="1">
      <c r="A8590" s="14"/>
      <c r="B8590" s="12"/>
      <c r="C8590" s="12"/>
      <c r="D8590" s="12"/>
      <c r="E8590" s="12"/>
      <c r="F8590" s="14"/>
      <c r="G8590" s="15"/>
      <c r="H8590" s="15"/>
      <c r="I8590" s="14"/>
      <c r="P8590" s="14"/>
    </row>
    <row r="8591" ht="18.75" customHeight="1">
      <c r="A8591" s="14"/>
      <c r="B8591" s="12"/>
      <c r="C8591" s="12"/>
      <c r="D8591" s="12"/>
      <c r="E8591" s="12"/>
      <c r="F8591" s="14"/>
      <c r="G8591" s="15"/>
      <c r="H8591" s="15"/>
      <c r="I8591" s="14"/>
      <c r="P8591" s="14"/>
    </row>
    <row r="8592" ht="18.75" customHeight="1">
      <c r="A8592" s="14"/>
      <c r="B8592" s="12"/>
      <c r="C8592" s="12"/>
      <c r="D8592" s="12"/>
      <c r="E8592" s="12"/>
      <c r="F8592" s="14"/>
      <c r="G8592" s="15"/>
      <c r="H8592" s="15"/>
      <c r="I8592" s="14"/>
      <c r="P8592" s="14"/>
    </row>
    <row r="8593" ht="18.75" customHeight="1">
      <c r="A8593" s="14"/>
      <c r="B8593" s="12"/>
      <c r="C8593" s="12"/>
      <c r="D8593" s="12"/>
      <c r="E8593" s="12"/>
      <c r="F8593" s="14"/>
      <c r="G8593" s="15"/>
      <c r="H8593" s="15"/>
      <c r="I8593" s="14"/>
      <c r="P8593" s="14"/>
    </row>
    <row r="8594" ht="18.75" customHeight="1">
      <c r="A8594" s="14"/>
      <c r="B8594" s="12"/>
      <c r="C8594" s="12"/>
      <c r="D8594" s="12"/>
      <c r="E8594" s="12"/>
      <c r="F8594" s="14"/>
      <c r="G8594" s="15"/>
      <c r="H8594" s="15"/>
      <c r="I8594" s="14"/>
      <c r="P8594" s="14"/>
    </row>
    <row r="8595" ht="18.75" customHeight="1">
      <c r="A8595" s="14"/>
      <c r="B8595" s="12"/>
      <c r="C8595" s="12"/>
      <c r="D8595" s="12"/>
      <c r="E8595" s="12"/>
      <c r="F8595" s="14"/>
      <c r="G8595" s="15"/>
      <c r="H8595" s="15"/>
      <c r="I8595" s="14"/>
      <c r="P8595" s="14"/>
    </row>
    <row r="8596" ht="18.75" customHeight="1">
      <c r="A8596" s="14"/>
      <c r="B8596" s="12"/>
      <c r="C8596" s="12"/>
      <c r="D8596" s="12"/>
      <c r="E8596" s="12"/>
      <c r="F8596" s="14"/>
      <c r="G8596" s="15"/>
      <c r="H8596" s="15"/>
      <c r="I8596" s="14"/>
      <c r="P8596" s="14"/>
    </row>
    <row r="8597" ht="18.75" customHeight="1">
      <c r="A8597" s="14"/>
      <c r="B8597" s="12"/>
      <c r="C8597" s="12"/>
      <c r="D8597" s="12"/>
      <c r="E8597" s="12"/>
      <c r="F8597" s="14"/>
      <c r="G8597" s="15"/>
      <c r="H8597" s="15"/>
      <c r="I8597" s="14"/>
      <c r="P8597" s="14"/>
    </row>
    <row r="8598" ht="18.75" customHeight="1">
      <c r="A8598" s="14"/>
      <c r="B8598" s="12"/>
      <c r="C8598" s="12"/>
      <c r="D8598" s="12"/>
      <c r="E8598" s="12"/>
      <c r="F8598" s="14"/>
      <c r="G8598" s="15"/>
      <c r="H8598" s="15"/>
      <c r="I8598" s="14"/>
      <c r="P8598" s="14"/>
    </row>
    <row r="8599" ht="18.75" customHeight="1">
      <c r="A8599" s="14"/>
      <c r="B8599" s="12"/>
      <c r="C8599" s="12"/>
      <c r="D8599" s="12"/>
      <c r="E8599" s="12"/>
      <c r="F8599" s="14"/>
      <c r="G8599" s="15"/>
      <c r="H8599" s="15"/>
      <c r="I8599" s="14"/>
      <c r="P8599" s="14"/>
    </row>
    <row r="8600" ht="18.75" customHeight="1">
      <c r="A8600" s="14"/>
      <c r="B8600" s="12"/>
      <c r="C8600" s="12"/>
      <c r="D8600" s="12"/>
      <c r="E8600" s="12"/>
      <c r="F8600" s="14"/>
      <c r="G8600" s="15"/>
      <c r="H8600" s="15"/>
      <c r="I8600" s="14"/>
      <c r="P8600" s="14"/>
    </row>
    <row r="8601" ht="18.75" customHeight="1">
      <c r="A8601" s="14"/>
      <c r="B8601" s="12"/>
      <c r="C8601" s="12"/>
      <c r="D8601" s="12"/>
      <c r="E8601" s="12"/>
      <c r="F8601" s="14"/>
      <c r="G8601" s="15"/>
      <c r="H8601" s="15"/>
      <c r="I8601" s="14"/>
      <c r="P8601" s="14"/>
    </row>
    <row r="8602" ht="18.75" customHeight="1">
      <c r="A8602" s="14"/>
      <c r="B8602" s="12"/>
      <c r="C8602" s="12"/>
      <c r="D8602" s="12"/>
      <c r="E8602" s="12"/>
      <c r="F8602" s="14"/>
      <c r="G8602" s="15"/>
      <c r="H8602" s="15"/>
      <c r="I8602" s="14"/>
      <c r="P8602" s="14"/>
    </row>
    <row r="8603" ht="18.75" customHeight="1">
      <c r="A8603" s="14"/>
      <c r="B8603" s="12"/>
      <c r="C8603" s="12"/>
      <c r="D8603" s="12"/>
      <c r="E8603" s="12"/>
      <c r="F8603" s="14"/>
      <c r="G8603" s="15"/>
      <c r="H8603" s="15"/>
      <c r="I8603" s="14"/>
      <c r="P8603" s="14"/>
    </row>
    <row r="8604" ht="18.75" customHeight="1">
      <c r="A8604" s="14"/>
      <c r="B8604" s="12"/>
      <c r="C8604" s="12"/>
      <c r="D8604" s="12"/>
      <c r="E8604" s="12"/>
      <c r="F8604" s="14"/>
      <c r="G8604" s="15"/>
      <c r="H8604" s="15"/>
      <c r="I8604" s="14"/>
      <c r="P8604" s="14"/>
    </row>
    <row r="8605" ht="18.75" customHeight="1">
      <c r="A8605" s="14"/>
      <c r="B8605" s="12"/>
      <c r="C8605" s="12"/>
      <c r="D8605" s="12"/>
      <c r="E8605" s="12"/>
      <c r="F8605" s="14"/>
      <c r="G8605" s="15"/>
      <c r="H8605" s="15"/>
      <c r="I8605" s="14"/>
      <c r="P8605" s="14"/>
    </row>
    <row r="8606" ht="18.75" customHeight="1">
      <c r="A8606" s="14"/>
      <c r="B8606" s="12"/>
      <c r="C8606" s="12"/>
      <c r="D8606" s="12"/>
      <c r="E8606" s="12"/>
      <c r="F8606" s="14"/>
      <c r="G8606" s="15"/>
      <c r="H8606" s="15"/>
      <c r="I8606" s="14"/>
      <c r="P8606" s="14"/>
    </row>
    <row r="8607" ht="18.75" customHeight="1">
      <c r="A8607" s="14"/>
      <c r="B8607" s="12"/>
      <c r="C8607" s="12"/>
      <c r="D8607" s="12"/>
      <c r="E8607" s="12"/>
      <c r="F8607" s="14"/>
      <c r="G8607" s="15"/>
      <c r="H8607" s="15"/>
      <c r="I8607" s="14"/>
      <c r="P8607" s="14"/>
    </row>
    <row r="8608" ht="18.75" customHeight="1">
      <c r="A8608" s="14"/>
      <c r="B8608" s="12"/>
      <c r="C8608" s="12"/>
      <c r="D8608" s="12"/>
      <c r="E8608" s="12"/>
      <c r="F8608" s="14"/>
      <c r="G8608" s="15"/>
      <c r="H8608" s="15"/>
      <c r="I8608" s="14"/>
      <c r="P8608" s="14"/>
    </row>
    <row r="8609" ht="18.75" customHeight="1">
      <c r="A8609" s="14"/>
      <c r="B8609" s="12"/>
      <c r="C8609" s="12"/>
      <c r="D8609" s="12"/>
      <c r="E8609" s="12"/>
      <c r="F8609" s="14"/>
      <c r="G8609" s="15"/>
      <c r="H8609" s="15"/>
      <c r="I8609" s="14"/>
      <c r="P8609" s="14"/>
    </row>
    <row r="8610" ht="18.75" customHeight="1">
      <c r="A8610" s="14"/>
      <c r="B8610" s="12"/>
      <c r="C8610" s="12"/>
      <c r="D8610" s="12"/>
      <c r="E8610" s="12"/>
      <c r="F8610" s="14"/>
      <c r="G8610" s="15"/>
      <c r="H8610" s="15"/>
      <c r="I8610" s="14"/>
      <c r="P8610" s="14"/>
    </row>
    <row r="8611" ht="18.75" customHeight="1">
      <c r="A8611" s="14"/>
      <c r="B8611" s="12"/>
      <c r="C8611" s="12"/>
      <c r="D8611" s="12"/>
      <c r="E8611" s="12"/>
      <c r="F8611" s="14"/>
      <c r="G8611" s="15"/>
      <c r="H8611" s="15"/>
      <c r="I8611" s="14"/>
      <c r="P8611" s="14"/>
    </row>
    <row r="8612" ht="18.75" customHeight="1">
      <c r="A8612" s="14"/>
      <c r="B8612" s="12"/>
      <c r="C8612" s="12"/>
      <c r="D8612" s="12"/>
      <c r="E8612" s="12"/>
      <c r="F8612" s="14"/>
      <c r="G8612" s="15"/>
      <c r="H8612" s="15"/>
      <c r="I8612" s="14"/>
      <c r="P8612" s="14"/>
    </row>
    <row r="8613" ht="18.75" customHeight="1">
      <c r="A8613" s="14"/>
      <c r="B8613" s="12"/>
      <c r="C8613" s="12"/>
      <c r="D8613" s="12"/>
      <c r="E8613" s="12"/>
      <c r="F8613" s="14"/>
      <c r="G8613" s="15"/>
      <c r="H8613" s="15"/>
      <c r="I8613" s="14"/>
      <c r="P8613" s="14"/>
    </row>
    <row r="8614" ht="18.75" customHeight="1">
      <c r="A8614" s="14"/>
      <c r="B8614" s="12"/>
      <c r="C8614" s="12"/>
      <c r="D8614" s="12"/>
      <c r="E8614" s="12"/>
      <c r="F8614" s="14"/>
      <c r="G8614" s="15"/>
      <c r="H8614" s="15"/>
      <c r="I8614" s="14"/>
      <c r="P8614" s="14"/>
    </row>
    <row r="8615" ht="18.75" customHeight="1">
      <c r="A8615" s="14"/>
      <c r="B8615" s="12"/>
      <c r="C8615" s="12"/>
      <c r="D8615" s="12"/>
      <c r="E8615" s="12"/>
      <c r="F8615" s="14"/>
      <c r="G8615" s="15"/>
      <c r="H8615" s="15"/>
      <c r="I8615" s="14"/>
      <c r="P8615" s="14"/>
    </row>
    <row r="8616" ht="18.75" customHeight="1">
      <c r="A8616" s="14"/>
      <c r="B8616" s="12"/>
      <c r="C8616" s="12"/>
      <c r="D8616" s="12"/>
      <c r="E8616" s="12"/>
      <c r="F8616" s="14"/>
      <c r="G8616" s="15"/>
      <c r="H8616" s="15"/>
      <c r="I8616" s="14"/>
      <c r="P8616" s="14"/>
    </row>
    <row r="8617" ht="18.75" customHeight="1">
      <c r="A8617" s="14"/>
      <c r="B8617" s="12"/>
      <c r="C8617" s="12"/>
      <c r="D8617" s="12"/>
      <c r="E8617" s="12"/>
      <c r="F8617" s="14"/>
      <c r="G8617" s="15"/>
      <c r="H8617" s="15"/>
      <c r="I8617" s="14"/>
      <c r="P8617" s="14"/>
    </row>
    <row r="8618" ht="18.75" customHeight="1">
      <c r="A8618" s="14"/>
      <c r="B8618" s="12"/>
      <c r="C8618" s="12"/>
      <c r="D8618" s="12"/>
      <c r="E8618" s="12"/>
      <c r="F8618" s="14"/>
      <c r="G8618" s="15"/>
      <c r="H8618" s="15"/>
      <c r="I8618" s="14"/>
      <c r="P8618" s="14"/>
    </row>
    <row r="8619" ht="18.75" customHeight="1">
      <c r="A8619" s="14"/>
      <c r="B8619" s="12"/>
      <c r="C8619" s="12"/>
      <c r="D8619" s="12"/>
      <c r="E8619" s="12"/>
      <c r="F8619" s="14"/>
      <c r="G8619" s="15"/>
      <c r="H8619" s="15"/>
      <c r="I8619" s="14"/>
      <c r="P8619" s="14"/>
    </row>
    <row r="8620" ht="18.75" customHeight="1">
      <c r="A8620" s="14"/>
      <c r="B8620" s="12"/>
      <c r="C8620" s="12"/>
      <c r="D8620" s="12"/>
      <c r="E8620" s="12"/>
      <c r="F8620" s="14"/>
      <c r="G8620" s="15"/>
      <c r="H8620" s="15"/>
      <c r="I8620" s="14"/>
      <c r="P8620" s="14"/>
    </row>
    <row r="8621" ht="18.75" customHeight="1">
      <c r="A8621" s="14"/>
      <c r="B8621" s="12"/>
      <c r="C8621" s="12"/>
      <c r="D8621" s="12"/>
      <c r="E8621" s="12"/>
      <c r="F8621" s="14"/>
      <c r="G8621" s="15"/>
      <c r="H8621" s="15"/>
      <c r="I8621" s="14"/>
      <c r="P8621" s="14"/>
    </row>
    <row r="8622" ht="18.75" customHeight="1">
      <c r="A8622" s="14"/>
      <c r="B8622" s="12"/>
      <c r="C8622" s="12"/>
      <c r="D8622" s="12"/>
      <c r="E8622" s="12"/>
      <c r="F8622" s="14"/>
      <c r="G8622" s="15"/>
      <c r="H8622" s="15"/>
      <c r="I8622" s="14"/>
      <c r="P8622" s="14"/>
    </row>
    <row r="8623" ht="18.75" customHeight="1">
      <c r="A8623" s="14"/>
      <c r="B8623" s="12"/>
      <c r="C8623" s="12"/>
      <c r="D8623" s="12"/>
      <c r="E8623" s="12"/>
      <c r="F8623" s="14"/>
      <c r="G8623" s="15"/>
      <c r="H8623" s="15"/>
      <c r="I8623" s="14"/>
      <c r="P8623" s="14"/>
    </row>
    <row r="8624" ht="18.75" customHeight="1">
      <c r="A8624" s="14"/>
      <c r="B8624" s="12"/>
      <c r="C8624" s="12"/>
      <c r="D8624" s="12"/>
      <c r="E8624" s="12"/>
      <c r="F8624" s="14"/>
      <c r="G8624" s="15"/>
      <c r="H8624" s="15"/>
      <c r="I8624" s="14"/>
      <c r="P8624" s="14"/>
    </row>
    <row r="8625" ht="18.75" customHeight="1">
      <c r="A8625" s="14"/>
      <c r="B8625" s="12"/>
      <c r="C8625" s="12"/>
      <c r="D8625" s="12"/>
      <c r="E8625" s="12"/>
      <c r="F8625" s="14"/>
      <c r="G8625" s="15"/>
      <c r="H8625" s="15"/>
      <c r="I8625" s="14"/>
      <c r="P8625" s="14"/>
    </row>
    <row r="8626" ht="18.75" customHeight="1">
      <c r="A8626" s="14"/>
      <c r="B8626" s="12"/>
      <c r="C8626" s="12"/>
      <c r="D8626" s="12"/>
      <c r="E8626" s="12"/>
      <c r="F8626" s="14"/>
      <c r="G8626" s="15"/>
      <c r="H8626" s="15"/>
      <c r="I8626" s="14"/>
      <c r="P8626" s="14"/>
    </row>
    <row r="8627" ht="18.75" customHeight="1">
      <c r="A8627" s="14"/>
      <c r="B8627" s="12"/>
      <c r="C8627" s="12"/>
      <c r="D8627" s="12"/>
      <c r="E8627" s="12"/>
      <c r="F8627" s="14"/>
      <c r="G8627" s="15"/>
      <c r="H8627" s="15"/>
      <c r="I8627" s="14"/>
      <c r="P8627" s="14"/>
    </row>
    <row r="8628" ht="18.75" customHeight="1">
      <c r="A8628" s="14"/>
      <c r="B8628" s="12"/>
      <c r="C8628" s="12"/>
      <c r="D8628" s="12"/>
      <c r="E8628" s="12"/>
      <c r="F8628" s="14"/>
      <c r="G8628" s="15"/>
      <c r="H8628" s="15"/>
      <c r="I8628" s="14"/>
      <c r="P8628" s="14"/>
    </row>
    <row r="8629" ht="18.75" customHeight="1">
      <c r="A8629" s="14"/>
      <c r="B8629" s="12"/>
      <c r="C8629" s="12"/>
      <c r="D8629" s="12"/>
      <c r="E8629" s="12"/>
      <c r="F8629" s="14"/>
      <c r="G8629" s="15"/>
      <c r="H8629" s="15"/>
      <c r="I8629" s="14"/>
      <c r="P8629" s="14"/>
    </row>
    <row r="8630" ht="18.75" customHeight="1">
      <c r="A8630" s="14"/>
      <c r="B8630" s="12"/>
      <c r="C8630" s="12"/>
      <c r="D8630" s="12"/>
      <c r="E8630" s="12"/>
      <c r="F8630" s="14"/>
      <c r="G8630" s="15"/>
      <c r="H8630" s="15"/>
      <c r="I8630" s="14"/>
      <c r="P8630" s="14"/>
    </row>
    <row r="8631" ht="18.75" customHeight="1">
      <c r="A8631" s="14"/>
      <c r="B8631" s="12"/>
      <c r="C8631" s="12"/>
      <c r="D8631" s="12"/>
      <c r="E8631" s="12"/>
      <c r="F8631" s="14"/>
      <c r="G8631" s="15"/>
      <c r="H8631" s="15"/>
      <c r="I8631" s="14"/>
      <c r="P8631" s="14"/>
    </row>
    <row r="8632" ht="18.75" customHeight="1">
      <c r="A8632" s="14"/>
      <c r="B8632" s="12"/>
      <c r="C8632" s="12"/>
      <c r="D8632" s="12"/>
      <c r="E8632" s="12"/>
      <c r="F8632" s="14"/>
      <c r="G8632" s="15"/>
      <c r="H8632" s="15"/>
      <c r="I8632" s="14"/>
      <c r="P8632" s="14"/>
    </row>
    <row r="8633" ht="18.75" customHeight="1">
      <c r="A8633" s="14"/>
      <c r="B8633" s="12"/>
      <c r="C8633" s="12"/>
      <c r="D8633" s="12"/>
      <c r="E8633" s="12"/>
      <c r="F8633" s="14"/>
      <c r="G8633" s="15"/>
      <c r="H8633" s="15"/>
      <c r="I8633" s="14"/>
      <c r="P8633" s="14"/>
    </row>
    <row r="8634" ht="18.75" customHeight="1">
      <c r="A8634" s="14"/>
      <c r="B8634" s="12"/>
      <c r="C8634" s="12"/>
      <c r="D8634" s="12"/>
      <c r="E8634" s="12"/>
      <c r="F8634" s="14"/>
      <c r="G8634" s="15"/>
      <c r="H8634" s="15"/>
      <c r="I8634" s="14"/>
      <c r="P8634" s="14"/>
    </row>
    <row r="8635" ht="18.75" customHeight="1">
      <c r="A8635" s="14"/>
      <c r="B8635" s="12"/>
      <c r="C8635" s="12"/>
      <c r="D8635" s="12"/>
      <c r="E8635" s="12"/>
      <c r="F8635" s="14"/>
      <c r="G8635" s="15"/>
      <c r="H8635" s="15"/>
      <c r="I8635" s="14"/>
      <c r="P8635" s="14"/>
    </row>
    <row r="8636" ht="18.75" customHeight="1">
      <c r="A8636" s="14"/>
      <c r="B8636" s="12"/>
      <c r="C8636" s="12"/>
      <c r="D8636" s="12"/>
      <c r="E8636" s="12"/>
      <c r="F8636" s="14"/>
      <c r="G8636" s="15"/>
      <c r="H8636" s="15"/>
      <c r="I8636" s="14"/>
      <c r="P8636" s="14"/>
    </row>
    <row r="8637" ht="18.75" customHeight="1">
      <c r="A8637" s="14"/>
      <c r="B8637" s="12"/>
      <c r="C8637" s="12"/>
      <c r="D8637" s="12"/>
      <c r="E8637" s="12"/>
      <c r="F8637" s="14"/>
      <c r="G8637" s="15"/>
      <c r="H8637" s="15"/>
      <c r="I8637" s="14"/>
      <c r="P8637" s="14"/>
    </row>
    <row r="8638" ht="18.75" customHeight="1">
      <c r="A8638" s="14"/>
      <c r="B8638" s="12"/>
      <c r="C8638" s="12"/>
      <c r="D8638" s="12"/>
      <c r="E8638" s="12"/>
      <c r="F8638" s="14"/>
      <c r="G8638" s="15"/>
      <c r="H8638" s="15"/>
      <c r="I8638" s="14"/>
      <c r="P8638" s="14"/>
    </row>
    <row r="8639" ht="18.75" customHeight="1">
      <c r="A8639" s="14"/>
      <c r="B8639" s="12"/>
      <c r="C8639" s="12"/>
      <c r="D8639" s="12"/>
      <c r="E8639" s="12"/>
      <c r="F8639" s="14"/>
      <c r="G8639" s="15"/>
      <c r="H8639" s="15"/>
      <c r="I8639" s="14"/>
      <c r="P8639" s="14"/>
    </row>
    <row r="8640" ht="18.75" customHeight="1">
      <c r="A8640" s="14"/>
      <c r="B8640" s="12"/>
      <c r="C8640" s="12"/>
      <c r="D8640" s="12"/>
      <c r="E8640" s="12"/>
      <c r="F8640" s="14"/>
      <c r="G8640" s="15"/>
      <c r="H8640" s="15"/>
      <c r="I8640" s="14"/>
      <c r="P8640" s="14"/>
    </row>
    <row r="8641" ht="18.75" customHeight="1">
      <c r="A8641" s="14"/>
      <c r="B8641" s="12"/>
      <c r="C8641" s="12"/>
      <c r="D8641" s="12"/>
      <c r="E8641" s="12"/>
      <c r="F8641" s="14"/>
      <c r="G8641" s="15"/>
      <c r="H8641" s="15"/>
      <c r="I8641" s="14"/>
      <c r="P8641" s="14"/>
    </row>
    <row r="8642" ht="18.75" customHeight="1">
      <c r="A8642" s="14"/>
      <c r="B8642" s="12"/>
      <c r="C8642" s="12"/>
      <c r="D8642" s="12"/>
      <c r="E8642" s="12"/>
      <c r="F8642" s="14"/>
      <c r="G8642" s="15"/>
      <c r="H8642" s="15"/>
      <c r="I8642" s="14"/>
      <c r="P8642" s="14"/>
    </row>
    <row r="8643" ht="18.75" customHeight="1">
      <c r="A8643" s="14"/>
      <c r="B8643" s="12"/>
      <c r="C8643" s="12"/>
      <c r="D8643" s="12"/>
      <c r="E8643" s="12"/>
      <c r="F8643" s="14"/>
      <c r="G8643" s="15"/>
      <c r="H8643" s="15"/>
      <c r="I8643" s="14"/>
      <c r="P8643" s="14"/>
    </row>
    <row r="8644" ht="18.75" customHeight="1">
      <c r="A8644" s="14"/>
      <c r="B8644" s="12"/>
      <c r="C8644" s="12"/>
      <c r="D8644" s="12"/>
      <c r="E8644" s="12"/>
      <c r="F8644" s="14"/>
      <c r="G8644" s="15"/>
      <c r="H8644" s="15"/>
      <c r="I8644" s="14"/>
      <c r="P8644" s="14"/>
    </row>
    <row r="8645" ht="18.75" customHeight="1">
      <c r="A8645" s="14"/>
      <c r="B8645" s="12"/>
      <c r="C8645" s="12"/>
      <c r="D8645" s="12"/>
      <c r="E8645" s="12"/>
      <c r="F8645" s="14"/>
      <c r="G8645" s="15"/>
      <c r="H8645" s="15"/>
      <c r="I8645" s="14"/>
      <c r="P8645" s="14"/>
    </row>
    <row r="8646" ht="18.75" customHeight="1">
      <c r="A8646" s="14"/>
      <c r="B8646" s="12"/>
      <c r="C8646" s="12"/>
      <c r="D8646" s="12"/>
      <c r="E8646" s="12"/>
      <c r="F8646" s="14"/>
      <c r="G8646" s="15"/>
      <c r="H8646" s="15"/>
      <c r="I8646" s="14"/>
      <c r="P8646" s="14"/>
    </row>
    <row r="8647" ht="18.75" customHeight="1">
      <c r="A8647" s="14"/>
      <c r="B8647" s="12"/>
      <c r="C8647" s="12"/>
      <c r="D8647" s="12"/>
      <c r="E8647" s="12"/>
      <c r="F8647" s="14"/>
      <c r="G8647" s="15"/>
      <c r="H8647" s="15"/>
      <c r="I8647" s="14"/>
      <c r="P8647" s="14"/>
    </row>
    <row r="8648" ht="18.75" customHeight="1">
      <c r="A8648" s="14"/>
      <c r="B8648" s="12"/>
      <c r="C8648" s="12"/>
      <c r="D8648" s="12"/>
      <c r="E8648" s="12"/>
      <c r="F8648" s="14"/>
      <c r="G8648" s="15"/>
      <c r="H8648" s="15"/>
      <c r="I8648" s="14"/>
      <c r="P8648" s="14"/>
    </row>
    <row r="8649" ht="18.75" customHeight="1">
      <c r="A8649" s="14"/>
      <c r="B8649" s="12"/>
      <c r="C8649" s="12"/>
      <c r="D8649" s="12"/>
      <c r="E8649" s="12"/>
      <c r="F8649" s="14"/>
      <c r="G8649" s="15"/>
      <c r="H8649" s="15"/>
      <c r="I8649" s="14"/>
      <c r="P8649" s="14"/>
    </row>
    <row r="8650" ht="18.75" customHeight="1">
      <c r="A8650" s="14"/>
      <c r="B8650" s="12"/>
      <c r="C8650" s="12"/>
      <c r="D8650" s="12"/>
      <c r="E8650" s="12"/>
      <c r="F8650" s="14"/>
      <c r="G8650" s="15"/>
      <c r="H8650" s="15"/>
      <c r="I8650" s="14"/>
      <c r="P8650" s="14"/>
    </row>
    <row r="8651" ht="18.75" customHeight="1">
      <c r="A8651" s="14"/>
      <c r="B8651" s="12"/>
      <c r="C8651" s="12"/>
      <c r="D8651" s="12"/>
      <c r="E8651" s="12"/>
      <c r="F8651" s="14"/>
      <c r="G8651" s="15"/>
      <c r="H8651" s="15"/>
      <c r="I8651" s="14"/>
      <c r="P8651" s="14"/>
    </row>
    <row r="8652" ht="18.75" customHeight="1">
      <c r="A8652" s="14"/>
      <c r="B8652" s="12"/>
      <c r="C8652" s="12"/>
      <c r="D8652" s="12"/>
      <c r="E8652" s="12"/>
      <c r="F8652" s="14"/>
      <c r="G8652" s="15"/>
      <c r="H8652" s="15"/>
      <c r="I8652" s="14"/>
      <c r="P8652" s="14"/>
    </row>
    <row r="8653" ht="18.75" customHeight="1">
      <c r="A8653" s="14"/>
      <c r="B8653" s="12"/>
      <c r="C8653" s="12"/>
      <c r="D8653" s="12"/>
      <c r="E8653" s="12"/>
      <c r="F8653" s="14"/>
      <c r="G8653" s="15"/>
      <c r="H8653" s="15"/>
      <c r="I8653" s="14"/>
      <c r="P8653" s="14"/>
    </row>
    <row r="8654" ht="18.75" customHeight="1">
      <c r="A8654" s="14"/>
      <c r="B8654" s="12"/>
      <c r="C8654" s="12"/>
      <c r="D8654" s="12"/>
      <c r="E8654" s="12"/>
      <c r="F8654" s="14"/>
      <c r="G8654" s="15"/>
      <c r="H8654" s="15"/>
      <c r="I8654" s="14"/>
      <c r="P8654" s="14"/>
    </row>
    <row r="8655" ht="18.75" customHeight="1">
      <c r="A8655" s="14"/>
      <c r="B8655" s="12"/>
      <c r="C8655" s="12"/>
      <c r="D8655" s="12"/>
      <c r="E8655" s="12"/>
      <c r="F8655" s="14"/>
      <c r="G8655" s="15"/>
      <c r="H8655" s="15"/>
      <c r="I8655" s="14"/>
      <c r="P8655" s="14"/>
    </row>
    <row r="8656" ht="18.75" customHeight="1">
      <c r="A8656" s="14"/>
      <c r="B8656" s="12"/>
      <c r="C8656" s="12"/>
      <c r="D8656" s="12"/>
      <c r="E8656" s="12"/>
      <c r="F8656" s="14"/>
      <c r="G8656" s="15"/>
      <c r="H8656" s="15"/>
      <c r="I8656" s="14"/>
      <c r="P8656" s="14"/>
    </row>
    <row r="8657" ht="18.75" customHeight="1">
      <c r="A8657" s="14"/>
      <c r="B8657" s="12"/>
      <c r="C8657" s="12"/>
      <c r="D8657" s="12"/>
      <c r="E8657" s="12"/>
      <c r="F8657" s="14"/>
      <c r="G8657" s="15"/>
      <c r="H8657" s="15"/>
      <c r="I8657" s="14"/>
      <c r="P8657" s="14"/>
    </row>
    <row r="8658" ht="18.75" customHeight="1">
      <c r="A8658" s="14"/>
      <c r="B8658" s="12"/>
      <c r="C8658" s="12"/>
      <c r="D8658" s="12"/>
      <c r="E8658" s="12"/>
      <c r="F8658" s="14"/>
      <c r="G8658" s="15"/>
      <c r="H8658" s="15"/>
      <c r="I8658" s="14"/>
      <c r="P8658" s="14"/>
    </row>
    <row r="8659" ht="18.75" customHeight="1">
      <c r="A8659" s="14"/>
      <c r="B8659" s="12"/>
      <c r="C8659" s="12"/>
      <c r="D8659" s="12"/>
      <c r="E8659" s="12"/>
      <c r="F8659" s="14"/>
      <c r="G8659" s="15"/>
      <c r="H8659" s="15"/>
      <c r="I8659" s="14"/>
      <c r="P8659" s="14"/>
    </row>
    <row r="8660" ht="18.75" customHeight="1">
      <c r="A8660" s="14"/>
      <c r="B8660" s="12"/>
      <c r="C8660" s="12"/>
      <c r="D8660" s="12"/>
      <c r="E8660" s="12"/>
      <c r="F8660" s="14"/>
      <c r="G8660" s="15"/>
      <c r="H8660" s="15"/>
      <c r="I8660" s="14"/>
      <c r="P8660" s="14"/>
    </row>
    <row r="8661" ht="18.75" customHeight="1">
      <c r="A8661" s="14"/>
      <c r="B8661" s="12"/>
      <c r="C8661" s="12"/>
      <c r="D8661" s="12"/>
      <c r="E8661" s="12"/>
      <c r="F8661" s="14"/>
      <c r="G8661" s="15"/>
      <c r="H8661" s="15"/>
      <c r="I8661" s="14"/>
      <c r="P8661" s="14"/>
    </row>
    <row r="8662" ht="18.75" customHeight="1">
      <c r="A8662" s="14"/>
      <c r="B8662" s="12"/>
      <c r="C8662" s="12"/>
      <c r="D8662" s="12"/>
      <c r="E8662" s="12"/>
      <c r="F8662" s="14"/>
      <c r="G8662" s="15"/>
      <c r="H8662" s="15"/>
      <c r="I8662" s="14"/>
      <c r="P8662" s="14"/>
    </row>
    <row r="8663" ht="18.75" customHeight="1">
      <c r="A8663" s="14"/>
      <c r="B8663" s="12"/>
      <c r="C8663" s="12"/>
      <c r="D8663" s="12"/>
      <c r="E8663" s="12"/>
      <c r="F8663" s="14"/>
      <c r="G8663" s="15"/>
      <c r="H8663" s="15"/>
      <c r="I8663" s="14"/>
      <c r="P8663" s="14"/>
    </row>
    <row r="8664" ht="18.75" customHeight="1">
      <c r="A8664" s="14"/>
      <c r="B8664" s="12"/>
      <c r="C8664" s="12"/>
      <c r="D8664" s="12"/>
      <c r="E8664" s="12"/>
      <c r="F8664" s="14"/>
      <c r="G8664" s="15"/>
      <c r="H8664" s="15"/>
      <c r="I8664" s="14"/>
      <c r="P8664" s="14"/>
    </row>
    <row r="8665" ht="18.75" customHeight="1">
      <c r="A8665" s="14"/>
      <c r="B8665" s="12"/>
      <c r="C8665" s="12"/>
      <c r="D8665" s="12"/>
      <c r="E8665" s="12"/>
      <c r="F8665" s="14"/>
      <c r="G8665" s="15"/>
      <c r="H8665" s="15"/>
      <c r="I8665" s="14"/>
      <c r="P8665" s="14"/>
    </row>
    <row r="8666" ht="18.75" customHeight="1">
      <c r="A8666" s="14"/>
      <c r="B8666" s="12"/>
      <c r="C8666" s="12"/>
      <c r="D8666" s="12"/>
      <c r="E8666" s="12"/>
      <c r="F8666" s="14"/>
      <c r="G8666" s="15"/>
      <c r="H8666" s="15"/>
      <c r="I8666" s="14"/>
      <c r="P8666" s="14"/>
    </row>
    <row r="8667" ht="18.75" customHeight="1">
      <c r="A8667" s="14"/>
      <c r="B8667" s="12"/>
      <c r="C8667" s="12"/>
      <c r="D8667" s="12"/>
      <c r="E8667" s="12"/>
      <c r="F8667" s="14"/>
      <c r="G8667" s="15"/>
      <c r="H8667" s="15"/>
      <c r="I8667" s="14"/>
      <c r="P8667" s="14"/>
    </row>
    <row r="8668" ht="18.75" customHeight="1">
      <c r="A8668" s="14"/>
      <c r="B8668" s="12"/>
      <c r="C8668" s="12"/>
      <c r="D8668" s="12"/>
      <c r="E8668" s="12"/>
      <c r="F8668" s="14"/>
      <c r="G8668" s="15"/>
      <c r="H8668" s="15"/>
      <c r="I8668" s="14"/>
      <c r="P8668" s="14"/>
    </row>
    <row r="8669" ht="18.75" customHeight="1">
      <c r="A8669" s="14"/>
      <c r="B8669" s="12"/>
      <c r="C8669" s="12"/>
      <c r="D8669" s="12"/>
      <c r="E8669" s="12"/>
      <c r="F8669" s="14"/>
      <c r="G8669" s="15"/>
      <c r="H8669" s="15"/>
      <c r="I8669" s="14"/>
      <c r="P8669" s="14"/>
    </row>
    <row r="8670" ht="18.75" customHeight="1">
      <c r="A8670" s="14"/>
      <c r="B8670" s="12"/>
      <c r="C8670" s="12"/>
      <c r="D8670" s="12"/>
      <c r="E8670" s="12"/>
      <c r="F8670" s="14"/>
      <c r="G8670" s="15"/>
      <c r="H8670" s="15"/>
      <c r="I8670" s="14"/>
      <c r="P8670" s="14"/>
    </row>
    <row r="8671" ht="18.75" customHeight="1">
      <c r="A8671" s="14"/>
      <c r="B8671" s="12"/>
      <c r="C8671" s="12"/>
      <c r="D8671" s="12"/>
      <c r="E8671" s="12"/>
      <c r="F8671" s="14"/>
      <c r="G8671" s="15"/>
      <c r="H8671" s="15"/>
      <c r="I8671" s="14"/>
      <c r="P8671" s="14"/>
    </row>
    <row r="8672" ht="18.75" customHeight="1">
      <c r="A8672" s="14"/>
      <c r="B8672" s="12"/>
      <c r="C8672" s="12"/>
      <c r="D8672" s="12"/>
      <c r="E8672" s="12"/>
      <c r="F8672" s="14"/>
      <c r="G8672" s="15"/>
      <c r="H8672" s="15"/>
      <c r="I8672" s="14"/>
      <c r="P8672" s="14"/>
    </row>
    <row r="8673" ht="18.75" customHeight="1">
      <c r="A8673" s="14"/>
      <c r="B8673" s="12"/>
      <c r="C8673" s="12"/>
      <c r="D8673" s="12"/>
      <c r="E8673" s="12"/>
      <c r="F8673" s="14"/>
      <c r="G8673" s="15"/>
      <c r="H8673" s="15"/>
      <c r="I8673" s="14"/>
      <c r="P8673" s="14"/>
    </row>
    <row r="8674" ht="18.75" customHeight="1">
      <c r="A8674" s="14"/>
      <c r="B8674" s="12"/>
      <c r="C8674" s="12"/>
      <c r="D8674" s="12"/>
      <c r="E8674" s="12"/>
      <c r="F8674" s="14"/>
      <c r="G8674" s="15"/>
      <c r="H8674" s="15"/>
      <c r="I8674" s="14"/>
      <c r="P8674" s="14"/>
    </row>
    <row r="8675" ht="18.75" customHeight="1">
      <c r="A8675" s="14"/>
      <c r="B8675" s="12"/>
      <c r="C8675" s="12"/>
      <c r="D8675" s="12"/>
      <c r="E8675" s="12"/>
      <c r="F8675" s="14"/>
      <c r="G8675" s="15"/>
      <c r="H8675" s="15"/>
      <c r="I8675" s="14"/>
      <c r="P8675" s="14"/>
    </row>
    <row r="8676" ht="18.75" customHeight="1">
      <c r="A8676" s="14"/>
      <c r="B8676" s="12"/>
      <c r="C8676" s="12"/>
      <c r="D8676" s="12"/>
      <c r="E8676" s="12"/>
      <c r="F8676" s="14"/>
      <c r="G8676" s="15"/>
      <c r="H8676" s="15"/>
      <c r="I8676" s="14"/>
      <c r="P8676" s="14"/>
    </row>
    <row r="8677" ht="18.75" customHeight="1">
      <c r="A8677" s="14"/>
      <c r="B8677" s="12"/>
      <c r="C8677" s="12"/>
      <c r="D8677" s="12"/>
      <c r="E8677" s="12"/>
      <c r="F8677" s="14"/>
      <c r="G8677" s="15"/>
      <c r="H8677" s="15"/>
      <c r="I8677" s="14"/>
      <c r="P8677" s="14"/>
    </row>
    <row r="8678" ht="18.75" customHeight="1">
      <c r="A8678" s="14"/>
      <c r="B8678" s="12"/>
      <c r="C8678" s="12"/>
      <c r="D8678" s="12"/>
      <c r="E8678" s="12"/>
      <c r="F8678" s="14"/>
      <c r="G8678" s="15"/>
      <c r="H8678" s="15"/>
      <c r="I8678" s="14"/>
      <c r="P8678" s="14"/>
    </row>
    <row r="8679" ht="18.75" customHeight="1">
      <c r="A8679" s="14"/>
      <c r="B8679" s="12"/>
      <c r="C8679" s="12"/>
      <c r="D8679" s="12"/>
      <c r="E8679" s="12"/>
      <c r="F8679" s="14"/>
      <c r="G8679" s="15"/>
      <c r="H8679" s="15"/>
      <c r="I8679" s="14"/>
      <c r="P8679" s="14"/>
    </row>
    <row r="8680" ht="18.75" customHeight="1">
      <c r="A8680" s="14"/>
      <c r="B8680" s="12"/>
      <c r="C8680" s="12"/>
      <c r="D8680" s="12"/>
      <c r="E8680" s="12"/>
      <c r="F8680" s="14"/>
      <c r="G8680" s="15"/>
      <c r="H8680" s="15"/>
      <c r="I8680" s="14"/>
      <c r="P8680" s="14"/>
    </row>
    <row r="8681" ht="18.75" customHeight="1">
      <c r="A8681" s="14"/>
      <c r="B8681" s="12"/>
      <c r="C8681" s="12"/>
      <c r="D8681" s="12"/>
      <c r="E8681" s="12"/>
      <c r="F8681" s="14"/>
      <c r="G8681" s="15"/>
      <c r="H8681" s="15"/>
      <c r="I8681" s="14"/>
      <c r="P8681" s="14"/>
    </row>
    <row r="8682" ht="18.75" customHeight="1">
      <c r="A8682" s="14"/>
      <c r="B8682" s="12"/>
      <c r="C8682" s="12"/>
      <c r="D8682" s="12"/>
      <c r="E8682" s="12"/>
      <c r="F8682" s="14"/>
      <c r="G8682" s="15"/>
      <c r="H8682" s="15"/>
      <c r="I8682" s="14"/>
      <c r="P8682" s="14"/>
    </row>
    <row r="8683" ht="18.75" customHeight="1">
      <c r="A8683" s="14"/>
      <c r="B8683" s="12"/>
      <c r="C8683" s="12"/>
      <c r="D8683" s="12"/>
      <c r="E8683" s="12"/>
      <c r="F8683" s="14"/>
      <c r="G8683" s="15"/>
      <c r="H8683" s="15"/>
      <c r="I8683" s="14"/>
      <c r="P8683" s="14"/>
    </row>
    <row r="8684" ht="18.75" customHeight="1">
      <c r="A8684" s="14"/>
      <c r="B8684" s="12"/>
      <c r="C8684" s="12"/>
      <c r="D8684" s="12"/>
      <c r="E8684" s="12"/>
      <c r="F8684" s="14"/>
      <c r="G8684" s="15"/>
      <c r="H8684" s="15"/>
      <c r="I8684" s="14"/>
      <c r="P8684" s="14"/>
    </row>
    <row r="8685" ht="18.75" customHeight="1">
      <c r="A8685" s="14"/>
      <c r="B8685" s="12"/>
      <c r="C8685" s="12"/>
      <c r="D8685" s="12"/>
      <c r="E8685" s="12"/>
      <c r="F8685" s="14"/>
      <c r="G8685" s="15"/>
      <c r="H8685" s="15"/>
      <c r="I8685" s="14"/>
      <c r="P8685" s="14"/>
    </row>
    <row r="8686" ht="18.75" customHeight="1">
      <c r="A8686" s="14"/>
      <c r="B8686" s="12"/>
      <c r="C8686" s="12"/>
      <c r="D8686" s="12"/>
      <c r="E8686" s="12"/>
      <c r="F8686" s="14"/>
      <c r="G8686" s="15"/>
      <c r="H8686" s="15"/>
      <c r="I8686" s="14"/>
      <c r="P8686" s="14"/>
    </row>
    <row r="8687" ht="18.75" customHeight="1">
      <c r="A8687" s="14"/>
      <c r="B8687" s="12"/>
      <c r="C8687" s="12"/>
      <c r="D8687" s="12"/>
      <c r="E8687" s="12"/>
      <c r="F8687" s="14"/>
      <c r="G8687" s="15"/>
      <c r="H8687" s="15"/>
      <c r="I8687" s="14"/>
      <c r="P8687" s="14"/>
    </row>
    <row r="8688" ht="18.75" customHeight="1">
      <c r="A8688" s="14"/>
      <c r="B8688" s="12"/>
      <c r="C8688" s="12"/>
      <c r="D8688" s="12"/>
      <c r="E8688" s="12"/>
      <c r="F8688" s="14"/>
      <c r="G8688" s="15"/>
      <c r="H8688" s="15"/>
      <c r="I8688" s="14"/>
      <c r="P8688" s="14"/>
    </row>
    <row r="8689" ht="18.75" customHeight="1">
      <c r="A8689" s="14"/>
      <c r="B8689" s="12"/>
      <c r="C8689" s="12"/>
      <c r="D8689" s="12"/>
      <c r="E8689" s="12"/>
      <c r="F8689" s="14"/>
      <c r="G8689" s="15"/>
      <c r="H8689" s="15"/>
      <c r="I8689" s="14"/>
      <c r="P8689" s="14"/>
    </row>
    <row r="8690" ht="18.75" customHeight="1">
      <c r="A8690" s="14"/>
      <c r="B8690" s="12"/>
      <c r="C8690" s="12"/>
      <c r="D8690" s="12"/>
      <c r="E8690" s="12"/>
      <c r="F8690" s="14"/>
      <c r="G8690" s="15"/>
      <c r="H8690" s="15"/>
      <c r="I8690" s="14"/>
      <c r="P8690" s="14"/>
    </row>
    <row r="8691" ht="18.75" customHeight="1">
      <c r="A8691" s="14"/>
      <c r="B8691" s="12"/>
      <c r="C8691" s="12"/>
      <c r="D8691" s="12"/>
      <c r="E8691" s="12"/>
      <c r="F8691" s="14"/>
      <c r="G8691" s="15"/>
      <c r="H8691" s="15"/>
      <c r="I8691" s="14"/>
      <c r="P8691" s="14"/>
    </row>
    <row r="8692" ht="18.75" customHeight="1">
      <c r="A8692" s="14"/>
      <c r="B8692" s="12"/>
      <c r="C8692" s="12"/>
      <c r="D8692" s="12"/>
      <c r="E8692" s="12"/>
      <c r="F8692" s="14"/>
      <c r="G8692" s="15"/>
      <c r="H8692" s="15"/>
      <c r="I8692" s="14"/>
      <c r="P8692" s="14"/>
    </row>
    <row r="8693" ht="18.75" customHeight="1">
      <c r="A8693" s="14"/>
      <c r="B8693" s="12"/>
      <c r="C8693" s="12"/>
      <c r="D8693" s="12"/>
      <c r="E8693" s="12"/>
      <c r="F8693" s="14"/>
      <c r="G8693" s="15"/>
      <c r="H8693" s="15"/>
      <c r="I8693" s="14"/>
      <c r="P8693" s="14"/>
    </row>
    <row r="8694" ht="18.75" customHeight="1">
      <c r="A8694" s="14"/>
      <c r="B8694" s="12"/>
      <c r="C8694" s="12"/>
      <c r="D8694" s="12"/>
      <c r="E8694" s="12"/>
      <c r="F8694" s="14"/>
      <c r="G8694" s="15"/>
      <c r="H8694" s="15"/>
      <c r="I8694" s="14"/>
      <c r="P8694" s="14"/>
    </row>
    <row r="8695" ht="18.75" customHeight="1">
      <c r="A8695" s="14"/>
      <c r="B8695" s="12"/>
      <c r="C8695" s="12"/>
      <c r="D8695" s="12"/>
      <c r="E8695" s="12"/>
      <c r="F8695" s="14"/>
      <c r="G8695" s="15"/>
      <c r="H8695" s="15"/>
      <c r="I8695" s="14"/>
      <c r="P8695" s="14"/>
    </row>
    <row r="8696" ht="18.75" customHeight="1">
      <c r="A8696" s="14"/>
      <c r="B8696" s="12"/>
      <c r="C8696" s="12"/>
      <c r="D8696" s="12"/>
      <c r="E8696" s="12"/>
      <c r="F8696" s="14"/>
      <c r="G8696" s="15"/>
      <c r="H8696" s="15"/>
      <c r="I8696" s="14"/>
      <c r="P8696" s="14"/>
    </row>
    <row r="8697" ht="18.75" customHeight="1">
      <c r="A8697" s="14"/>
      <c r="B8697" s="12"/>
      <c r="C8697" s="12"/>
      <c r="D8697" s="12"/>
      <c r="E8697" s="12"/>
      <c r="F8697" s="14"/>
      <c r="G8697" s="15"/>
      <c r="H8697" s="15"/>
      <c r="I8697" s="14"/>
      <c r="P8697" s="14"/>
    </row>
    <row r="8698" ht="18.75" customHeight="1">
      <c r="A8698" s="14"/>
      <c r="B8698" s="12"/>
      <c r="C8698" s="12"/>
      <c r="D8698" s="12"/>
      <c r="E8698" s="12"/>
      <c r="F8698" s="14"/>
      <c r="G8698" s="15"/>
      <c r="H8698" s="15"/>
      <c r="I8698" s="14"/>
      <c r="P8698" s="14"/>
    </row>
    <row r="8699" ht="18.75" customHeight="1">
      <c r="A8699" s="14"/>
      <c r="B8699" s="12"/>
      <c r="C8699" s="12"/>
      <c r="D8699" s="12"/>
      <c r="E8699" s="12"/>
      <c r="F8699" s="14"/>
      <c r="G8699" s="15"/>
      <c r="H8699" s="15"/>
      <c r="I8699" s="14"/>
      <c r="P8699" s="14"/>
    </row>
    <row r="8700" ht="18.75" customHeight="1">
      <c r="A8700" s="14"/>
      <c r="B8700" s="12"/>
      <c r="C8700" s="12"/>
      <c r="D8700" s="12"/>
      <c r="E8700" s="12"/>
      <c r="F8700" s="14"/>
      <c r="G8700" s="15"/>
      <c r="H8700" s="15"/>
      <c r="I8700" s="14"/>
      <c r="P8700" s="14"/>
    </row>
    <row r="8701" ht="18.75" customHeight="1">
      <c r="A8701" s="14"/>
      <c r="B8701" s="12"/>
      <c r="C8701" s="12"/>
      <c r="D8701" s="12"/>
      <c r="E8701" s="12"/>
      <c r="F8701" s="14"/>
      <c r="G8701" s="15"/>
      <c r="H8701" s="15"/>
      <c r="I8701" s="14"/>
      <c r="P8701" s="14"/>
    </row>
    <row r="8702" ht="18.75" customHeight="1">
      <c r="A8702" s="14"/>
      <c r="B8702" s="12"/>
      <c r="C8702" s="12"/>
      <c r="D8702" s="12"/>
      <c r="E8702" s="12"/>
      <c r="F8702" s="14"/>
      <c r="G8702" s="15"/>
      <c r="H8702" s="15"/>
      <c r="I8702" s="14"/>
      <c r="P8702" s="14"/>
    </row>
    <row r="8703" ht="18.75" customHeight="1">
      <c r="A8703" s="14"/>
      <c r="B8703" s="12"/>
      <c r="C8703" s="12"/>
      <c r="D8703" s="12"/>
      <c r="E8703" s="12"/>
      <c r="F8703" s="14"/>
      <c r="G8703" s="15"/>
      <c r="H8703" s="15"/>
      <c r="I8703" s="14"/>
      <c r="P8703" s="14"/>
    </row>
    <row r="8704" ht="18.75" customHeight="1">
      <c r="A8704" s="14"/>
      <c r="B8704" s="12"/>
      <c r="C8704" s="12"/>
      <c r="D8704" s="12"/>
      <c r="E8704" s="12"/>
      <c r="F8704" s="14"/>
      <c r="G8704" s="15"/>
      <c r="H8704" s="15"/>
      <c r="I8704" s="14"/>
      <c r="P8704" s="14"/>
    </row>
    <row r="8705" ht="18.75" customHeight="1">
      <c r="A8705" s="14"/>
      <c r="B8705" s="12"/>
      <c r="C8705" s="12"/>
      <c r="D8705" s="12"/>
      <c r="E8705" s="12"/>
      <c r="F8705" s="14"/>
      <c r="G8705" s="15"/>
      <c r="H8705" s="15"/>
      <c r="I8705" s="14"/>
      <c r="P8705" s="14"/>
    </row>
    <row r="8706" ht="18.75" customHeight="1">
      <c r="A8706" s="14"/>
      <c r="B8706" s="12"/>
      <c r="C8706" s="12"/>
      <c r="D8706" s="12"/>
      <c r="E8706" s="12"/>
      <c r="F8706" s="14"/>
      <c r="G8706" s="15"/>
      <c r="H8706" s="15"/>
      <c r="I8706" s="14"/>
      <c r="P8706" s="14"/>
    </row>
    <row r="8707" ht="18.75" customHeight="1">
      <c r="A8707" s="14"/>
      <c r="B8707" s="12"/>
      <c r="C8707" s="12"/>
      <c r="D8707" s="12"/>
      <c r="E8707" s="12"/>
      <c r="F8707" s="14"/>
      <c r="G8707" s="15"/>
      <c r="H8707" s="15"/>
      <c r="I8707" s="14"/>
      <c r="P8707" s="14"/>
    </row>
    <row r="8708" ht="18.75" customHeight="1">
      <c r="A8708" s="14"/>
      <c r="B8708" s="12"/>
      <c r="C8708" s="12"/>
      <c r="D8708" s="12"/>
      <c r="E8708" s="12"/>
      <c r="F8708" s="14"/>
      <c r="G8708" s="15"/>
      <c r="H8708" s="15"/>
      <c r="I8708" s="14"/>
      <c r="P8708" s="14"/>
    </row>
    <row r="8709" ht="18.75" customHeight="1">
      <c r="A8709" s="14"/>
      <c r="B8709" s="12"/>
      <c r="C8709" s="12"/>
      <c r="D8709" s="12"/>
      <c r="E8709" s="12"/>
      <c r="F8709" s="14"/>
      <c r="G8709" s="15"/>
      <c r="H8709" s="15"/>
      <c r="I8709" s="14"/>
      <c r="P8709" s="14"/>
    </row>
    <row r="8710" ht="18.75" customHeight="1">
      <c r="A8710" s="14"/>
      <c r="B8710" s="12"/>
      <c r="C8710" s="12"/>
      <c r="D8710" s="12"/>
      <c r="E8710" s="12"/>
      <c r="F8710" s="14"/>
      <c r="G8710" s="15"/>
      <c r="H8710" s="15"/>
      <c r="I8710" s="14"/>
      <c r="P8710" s="14"/>
    </row>
    <row r="8711" ht="18.75" customHeight="1">
      <c r="A8711" s="14"/>
      <c r="B8711" s="12"/>
      <c r="C8711" s="12"/>
      <c r="D8711" s="12"/>
      <c r="E8711" s="12"/>
      <c r="F8711" s="14"/>
      <c r="G8711" s="15"/>
      <c r="H8711" s="15"/>
      <c r="I8711" s="14"/>
      <c r="P8711" s="14"/>
    </row>
    <row r="8712" ht="18.75" customHeight="1">
      <c r="A8712" s="14"/>
      <c r="B8712" s="12"/>
      <c r="C8712" s="12"/>
      <c r="D8712" s="12"/>
      <c r="E8712" s="12"/>
      <c r="F8712" s="14"/>
      <c r="G8712" s="15"/>
      <c r="H8712" s="15"/>
      <c r="I8712" s="14"/>
      <c r="P8712" s="14"/>
    </row>
    <row r="8713" ht="18.75" customHeight="1">
      <c r="A8713" s="14"/>
      <c r="B8713" s="12"/>
      <c r="C8713" s="12"/>
      <c r="D8713" s="12"/>
      <c r="E8713" s="12"/>
      <c r="F8713" s="14"/>
      <c r="G8713" s="15"/>
      <c r="H8713" s="15"/>
      <c r="I8713" s="14"/>
      <c r="P8713" s="14"/>
    </row>
    <row r="8714" ht="18.75" customHeight="1">
      <c r="A8714" s="14"/>
      <c r="B8714" s="12"/>
      <c r="C8714" s="12"/>
      <c r="D8714" s="12"/>
      <c r="E8714" s="12"/>
      <c r="F8714" s="14"/>
      <c r="G8714" s="15"/>
      <c r="H8714" s="15"/>
      <c r="I8714" s="14"/>
      <c r="P8714" s="14"/>
    </row>
    <row r="8715" ht="18.75" customHeight="1">
      <c r="A8715" s="14"/>
      <c r="B8715" s="12"/>
      <c r="C8715" s="12"/>
      <c r="D8715" s="12"/>
      <c r="E8715" s="12"/>
      <c r="F8715" s="14"/>
      <c r="G8715" s="15"/>
      <c r="H8715" s="15"/>
      <c r="I8715" s="14"/>
      <c r="P8715" s="14"/>
    </row>
    <row r="8716" ht="18.75" customHeight="1">
      <c r="A8716" s="14"/>
      <c r="B8716" s="12"/>
      <c r="C8716" s="12"/>
      <c r="D8716" s="12"/>
      <c r="E8716" s="12"/>
      <c r="F8716" s="14"/>
      <c r="G8716" s="15"/>
      <c r="H8716" s="15"/>
      <c r="I8716" s="14"/>
      <c r="P8716" s="14"/>
    </row>
    <row r="8717" ht="18.75" customHeight="1">
      <c r="A8717" s="14"/>
      <c r="B8717" s="12"/>
      <c r="C8717" s="12"/>
      <c r="D8717" s="12"/>
      <c r="E8717" s="12"/>
      <c r="F8717" s="14"/>
      <c r="G8717" s="15"/>
      <c r="H8717" s="15"/>
      <c r="I8717" s="14"/>
      <c r="P8717" s="14"/>
    </row>
    <row r="8718" ht="18.75" customHeight="1">
      <c r="A8718" s="14"/>
      <c r="B8718" s="12"/>
      <c r="C8718" s="12"/>
      <c r="D8718" s="12"/>
      <c r="E8718" s="12"/>
      <c r="F8718" s="14"/>
      <c r="G8718" s="15"/>
      <c r="H8718" s="15"/>
      <c r="I8718" s="14"/>
      <c r="P8718" s="14"/>
    </row>
    <row r="8719" ht="18.75" customHeight="1">
      <c r="A8719" s="14"/>
      <c r="B8719" s="12"/>
      <c r="C8719" s="12"/>
      <c r="D8719" s="12"/>
      <c r="E8719" s="12"/>
      <c r="F8719" s="14"/>
      <c r="G8719" s="15"/>
      <c r="H8719" s="15"/>
      <c r="I8719" s="14"/>
      <c r="P8719" s="14"/>
    </row>
    <row r="8720" ht="18.75" customHeight="1">
      <c r="A8720" s="14"/>
      <c r="B8720" s="12"/>
      <c r="C8720" s="12"/>
      <c r="D8720" s="12"/>
      <c r="E8720" s="12"/>
      <c r="F8720" s="14"/>
      <c r="G8720" s="15"/>
      <c r="H8720" s="15"/>
      <c r="I8720" s="14"/>
      <c r="P8720" s="14"/>
    </row>
    <row r="8721" ht="18.75" customHeight="1">
      <c r="A8721" s="14"/>
      <c r="B8721" s="12"/>
      <c r="C8721" s="12"/>
      <c r="D8721" s="12"/>
      <c r="E8721" s="12"/>
      <c r="F8721" s="14"/>
      <c r="G8721" s="15"/>
      <c r="H8721" s="15"/>
      <c r="I8721" s="14"/>
      <c r="P8721" s="14"/>
    </row>
    <row r="8722" ht="18.75" customHeight="1">
      <c r="A8722" s="14"/>
      <c r="B8722" s="12"/>
      <c r="C8722" s="12"/>
      <c r="D8722" s="12"/>
      <c r="E8722" s="12"/>
      <c r="F8722" s="14"/>
      <c r="G8722" s="15"/>
      <c r="H8722" s="15"/>
      <c r="I8722" s="14"/>
      <c r="P8722" s="14"/>
    </row>
    <row r="8723" ht="18.75" customHeight="1">
      <c r="A8723" s="14"/>
      <c r="B8723" s="12"/>
      <c r="C8723" s="12"/>
      <c r="D8723" s="12"/>
      <c r="E8723" s="12"/>
      <c r="F8723" s="14"/>
      <c r="G8723" s="15"/>
      <c r="H8723" s="15"/>
      <c r="I8723" s="14"/>
      <c r="P8723" s="14"/>
    </row>
    <row r="8724" ht="18.75" customHeight="1">
      <c r="A8724" s="14"/>
      <c r="B8724" s="12"/>
      <c r="C8724" s="12"/>
      <c r="D8724" s="12"/>
      <c r="E8724" s="12"/>
      <c r="F8724" s="14"/>
      <c r="G8724" s="15"/>
      <c r="H8724" s="15"/>
      <c r="I8724" s="14"/>
      <c r="P8724" s="14"/>
    </row>
    <row r="8725" ht="18.75" customHeight="1">
      <c r="A8725" s="14"/>
      <c r="B8725" s="12"/>
      <c r="C8725" s="12"/>
      <c r="D8725" s="12"/>
      <c r="E8725" s="12"/>
      <c r="F8725" s="14"/>
      <c r="G8725" s="15"/>
      <c r="H8725" s="15"/>
      <c r="I8725" s="14"/>
      <c r="P8725" s="14"/>
    </row>
    <row r="8726" ht="18.75" customHeight="1">
      <c r="A8726" s="14"/>
      <c r="B8726" s="12"/>
      <c r="C8726" s="12"/>
      <c r="D8726" s="12"/>
      <c r="E8726" s="12"/>
      <c r="F8726" s="14"/>
      <c r="G8726" s="15"/>
      <c r="H8726" s="15"/>
      <c r="I8726" s="14"/>
      <c r="P8726" s="14"/>
    </row>
    <row r="8727" ht="18.75" customHeight="1">
      <c r="A8727" s="14"/>
      <c r="B8727" s="12"/>
      <c r="C8727" s="12"/>
      <c r="D8727" s="12"/>
      <c r="E8727" s="12"/>
      <c r="F8727" s="14"/>
      <c r="G8727" s="15"/>
      <c r="H8727" s="15"/>
      <c r="I8727" s="14"/>
      <c r="P8727" s="14"/>
    </row>
    <row r="8728" ht="18.75" customHeight="1">
      <c r="A8728" s="14"/>
      <c r="B8728" s="12"/>
      <c r="C8728" s="12"/>
      <c r="D8728" s="12"/>
      <c r="E8728" s="12"/>
      <c r="F8728" s="14"/>
      <c r="G8728" s="15"/>
      <c r="H8728" s="15"/>
      <c r="I8728" s="14"/>
      <c r="P8728" s="14"/>
    </row>
    <row r="8729" ht="18.75" customHeight="1">
      <c r="A8729" s="14"/>
      <c r="B8729" s="12"/>
      <c r="C8729" s="12"/>
      <c r="D8729" s="12"/>
      <c r="E8729" s="12"/>
      <c r="F8729" s="14"/>
      <c r="G8729" s="15"/>
      <c r="H8729" s="15"/>
      <c r="I8729" s="14"/>
      <c r="P8729" s="14"/>
    </row>
    <row r="8730" ht="18.75" customHeight="1">
      <c r="A8730" s="14"/>
      <c r="B8730" s="12"/>
      <c r="C8730" s="12"/>
      <c r="D8730" s="12"/>
      <c r="E8730" s="12"/>
      <c r="F8730" s="14"/>
      <c r="G8730" s="15"/>
      <c r="H8730" s="15"/>
      <c r="I8730" s="14"/>
      <c r="P8730" s="14"/>
    </row>
    <row r="8731" ht="18.75" customHeight="1">
      <c r="A8731" s="14"/>
      <c r="B8731" s="12"/>
      <c r="C8731" s="12"/>
      <c r="D8731" s="12"/>
      <c r="E8731" s="12"/>
      <c r="F8731" s="14"/>
      <c r="G8731" s="15"/>
      <c r="H8731" s="15"/>
      <c r="I8731" s="14"/>
      <c r="P8731" s="14"/>
    </row>
    <row r="8732" ht="18.75" customHeight="1">
      <c r="A8732" s="14"/>
      <c r="B8732" s="12"/>
      <c r="C8732" s="12"/>
      <c r="D8732" s="12"/>
      <c r="E8732" s="12"/>
      <c r="F8732" s="14"/>
      <c r="G8732" s="15"/>
      <c r="H8732" s="15"/>
      <c r="I8732" s="14"/>
      <c r="P8732" s="14"/>
    </row>
    <row r="8733" ht="18.75" customHeight="1">
      <c r="A8733" s="14"/>
      <c r="B8733" s="12"/>
      <c r="C8733" s="12"/>
      <c r="D8733" s="12"/>
      <c r="E8733" s="12"/>
      <c r="F8733" s="14"/>
      <c r="G8733" s="15"/>
      <c r="H8733" s="15"/>
      <c r="I8733" s="14"/>
      <c r="P8733" s="14"/>
    </row>
    <row r="8734" ht="18.75" customHeight="1">
      <c r="A8734" s="14"/>
      <c r="B8734" s="12"/>
      <c r="C8734" s="12"/>
      <c r="D8734" s="12"/>
      <c r="E8734" s="12"/>
      <c r="F8734" s="14"/>
      <c r="G8734" s="15"/>
      <c r="H8734" s="15"/>
      <c r="I8734" s="14"/>
      <c r="P8734" s="14"/>
    </row>
    <row r="8735" ht="18.75" customHeight="1">
      <c r="A8735" s="14"/>
      <c r="B8735" s="12"/>
      <c r="C8735" s="12"/>
      <c r="D8735" s="12"/>
      <c r="E8735" s="12"/>
      <c r="F8735" s="14"/>
      <c r="G8735" s="15"/>
      <c r="H8735" s="15"/>
      <c r="I8735" s="14"/>
      <c r="P8735" s="14"/>
    </row>
    <row r="8736" ht="18.75" customHeight="1">
      <c r="A8736" s="14"/>
      <c r="B8736" s="12"/>
      <c r="C8736" s="12"/>
      <c r="D8736" s="12"/>
      <c r="E8736" s="12"/>
      <c r="F8736" s="14"/>
      <c r="G8736" s="15"/>
      <c r="H8736" s="15"/>
      <c r="I8736" s="14"/>
      <c r="P8736" s="14"/>
    </row>
    <row r="8737" ht="18.75" customHeight="1">
      <c r="A8737" s="14"/>
      <c r="B8737" s="12"/>
      <c r="C8737" s="12"/>
      <c r="D8737" s="12"/>
      <c r="E8737" s="12"/>
      <c r="F8737" s="14"/>
      <c r="G8737" s="15"/>
      <c r="H8737" s="15"/>
      <c r="I8737" s="14"/>
      <c r="P8737" s="14"/>
    </row>
    <row r="8738" ht="18.75" customHeight="1">
      <c r="A8738" s="14"/>
      <c r="B8738" s="12"/>
      <c r="C8738" s="12"/>
      <c r="D8738" s="12"/>
      <c r="E8738" s="12"/>
      <c r="F8738" s="14"/>
      <c r="G8738" s="15"/>
      <c r="H8738" s="15"/>
      <c r="I8738" s="14"/>
      <c r="P8738" s="14"/>
    </row>
    <row r="8739" ht="18.75" customHeight="1">
      <c r="A8739" s="14"/>
      <c r="B8739" s="12"/>
      <c r="C8739" s="12"/>
      <c r="D8739" s="12"/>
      <c r="E8739" s="12"/>
      <c r="F8739" s="14"/>
      <c r="G8739" s="15"/>
      <c r="H8739" s="15"/>
      <c r="I8739" s="14"/>
      <c r="P8739" s="14"/>
    </row>
    <row r="8740" ht="18.75" customHeight="1">
      <c r="A8740" s="14"/>
      <c r="B8740" s="12"/>
      <c r="C8740" s="12"/>
      <c r="D8740" s="12"/>
      <c r="E8740" s="12"/>
      <c r="F8740" s="14"/>
      <c r="G8740" s="15"/>
      <c r="H8740" s="15"/>
      <c r="I8740" s="14"/>
      <c r="P8740" s="14"/>
    </row>
    <row r="8741" ht="18.75" customHeight="1">
      <c r="A8741" s="14"/>
      <c r="B8741" s="12"/>
      <c r="C8741" s="12"/>
      <c r="D8741" s="12"/>
      <c r="E8741" s="12"/>
      <c r="F8741" s="14"/>
      <c r="G8741" s="15"/>
      <c r="H8741" s="15"/>
      <c r="I8741" s="14"/>
      <c r="P8741" s="14"/>
    </row>
    <row r="8742" ht="18.75" customHeight="1">
      <c r="A8742" s="14"/>
      <c r="B8742" s="12"/>
      <c r="C8742" s="12"/>
      <c r="D8742" s="12"/>
      <c r="E8742" s="12"/>
      <c r="F8742" s="14"/>
      <c r="G8742" s="15"/>
      <c r="H8742" s="15"/>
      <c r="I8742" s="14"/>
      <c r="P8742" s="14"/>
    </row>
    <row r="8743" ht="18.75" customHeight="1">
      <c r="A8743" s="14"/>
      <c r="B8743" s="12"/>
      <c r="C8743" s="12"/>
      <c r="D8743" s="12"/>
      <c r="E8743" s="12"/>
      <c r="F8743" s="14"/>
      <c r="G8743" s="15"/>
      <c r="H8743" s="15"/>
      <c r="I8743" s="14"/>
      <c r="P8743" s="14"/>
    </row>
    <row r="8744" ht="18.75" customHeight="1">
      <c r="A8744" s="14"/>
      <c r="B8744" s="12"/>
      <c r="C8744" s="12"/>
      <c r="D8744" s="12"/>
      <c r="E8744" s="12"/>
      <c r="F8744" s="14"/>
      <c r="G8744" s="15"/>
      <c r="H8744" s="15"/>
      <c r="I8744" s="14"/>
      <c r="P8744" s="14"/>
    </row>
    <row r="8745" ht="18.75" customHeight="1">
      <c r="A8745" s="14"/>
      <c r="B8745" s="12"/>
      <c r="C8745" s="12"/>
      <c r="D8745" s="12"/>
      <c r="E8745" s="12"/>
      <c r="F8745" s="14"/>
      <c r="G8745" s="15"/>
      <c r="H8745" s="15"/>
      <c r="I8745" s="14"/>
      <c r="P8745" s="14"/>
    </row>
    <row r="8746" ht="18.75" customHeight="1">
      <c r="A8746" s="14"/>
      <c r="B8746" s="12"/>
      <c r="C8746" s="12"/>
      <c r="D8746" s="12"/>
      <c r="E8746" s="12"/>
      <c r="F8746" s="14"/>
      <c r="G8746" s="15"/>
      <c r="H8746" s="15"/>
      <c r="I8746" s="14"/>
      <c r="P8746" s="14"/>
    </row>
    <row r="8747" ht="18.75" customHeight="1">
      <c r="A8747" s="14"/>
      <c r="B8747" s="12"/>
      <c r="C8747" s="12"/>
      <c r="D8747" s="12"/>
      <c r="E8747" s="12"/>
      <c r="F8747" s="14"/>
      <c r="G8747" s="15"/>
      <c r="H8747" s="15"/>
      <c r="I8747" s="14"/>
      <c r="P8747" s="14"/>
    </row>
    <row r="8748" ht="18.75" customHeight="1">
      <c r="A8748" s="14"/>
      <c r="B8748" s="12"/>
      <c r="C8748" s="12"/>
      <c r="D8748" s="12"/>
      <c r="E8748" s="12"/>
      <c r="F8748" s="14"/>
      <c r="G8748" s="15"/>
      <c r="H8748" s="15"/>
      <c r="I8748" s="14"/>
      <c r="P8748" s="14"/>
    </row>
    <row r="8749" ht="18.75" customHeight="1">
      <c r="A8749" s="14"/>
      <c r="B8749" s="12"/>
      <c r="C8749" s="12"/>
      <c r="D8749" s="12"/>
      <c r="E8749" s="12"/>
      <c r="F8749" s="14"/>
      <c r="G8749" s="15"/>
      <c r="H8749" s="15"/>
      <c r="I8749" s="14"/>
      <c r="P8749" s="14"/>
    </row>
    <row r="8750" ht="18.75" customHeight="1">
      <c r="A8750" s="14"/>
      <c r="B8750" s="12"/>
      <c r="C8750" s="12"/>
      <c r="D8750" s="12"/>
      <c r="E8750" s="12"/>
      <c r="F8750" s="14"/>
      <c r="G8750" s="15"/>
      <c r="H8750" s="15"/>
      <c r="I8750" s="14"/>
      <c r="P8750" s="14"/>
    </row>
    <row r="8751" ht="18.75" customHeight="1">
      <c r="A8751" s="14"/>
      <c r="B8751" s="12"/>
      <c r="C8751" s="12"/>
      <c r="D8751" s="12"/>
      <c r="E8751" s="12"/>
      <c r="F8751" s="14"/>
      <c r="G8751" s="15"/>
      <c r="H8751" s="15"/>
      <c r="I8751" s="14"/>
      <c r="P8751" s="14"/>
    </row>
    <row r="8752" ht="18.75" customHeight="1">
      <c r="A8752" s="14"/>
      <c r="B8752" s="12"/>
      <c r="C8752" s="12"/>
      <c r="D8752" s="12"/>
      <c r="E8752" s="12"/>
      <c r="F8752" s="14"/>
      <c r="G8752" s="15"/>
      <c r="H8752" s="15"/>
      <c r="I8752" s="14"/>
      <c r="P8752" s="14"/>
    </row>
    <row r="8753" ht="18.75" customHeight="1">
      <c r="A8753" s="14"/>
      <c r="B8753" s="12"/>
      <c r="C8753" s="12"/>
      <c r="D8753" s="12"/>
      <c r="E8753" s="12"/>
      <c r="F8753" s="14"/>
      <c r="G8753" s="15"/>
      <c r="H8753" s="15"/>
      <c r="I8753" s="14"/>
      <c r="P8753" s="14"/>
    </row>
    <row r="8754" ht="18.75" customHeight="1">
      <c r="A8754" s="14"/>
      <c r="B8754" s="12"/>
      <c r="C8754" s="12"/>
      <c r="D8754" s="12"/>
      <c r="E8754" s="12"/>
      <c r="F8754" s="14"/>
      <c r="G8754" s="15"/>
      <c r="H8754" s="15"/>
      <c r="I8754" s="14"/>
      <c r="P8754" s="14"/>
    </row>
    <row r="8755" ht="18.75" customHeight="1">
      <c r="A8755" s="14"/>
      <c r="B8755" s="12"/>
      <c r="C8755" s="12"/>
      <c r="D8755" s="12"/>
      <c r="E8755" s="12"/>
      <c r="F8755" s="14"/>
      <c r="G8755" s="15"/>
      <c r="H8755" s="15"/>
      <c r="I8755" s="14"/>
      <c r="P8755" s="14"/>
    </row>
    <row r="8756" ht="18.75" customHeight="1">
      <c r="A8756" s="14"/>
      <c r="B8756" s="12"/>
      <c r="C8756" s="12"/>
      <c r="D8756" s="12"/>
      <c r="E8756" s="12"/>
      <c r="F8756" s="14"/>
      <c r="G8756" s="15"/>
      <c r="H8756" s="15"/>
      <c r="I8756" s="14"/>
      <c r="P8756" s="14"/>
    </row>
    <row r="8757" ht="18.75" customHeight="1">
      <c r="A8757" s="14"/>
      <c r="B8757" s="12"/>
      <c r="C8757" s="12"/>
      <c r="D8757" s="12"/>
      <c r="E8757" s="12"/>
      <c r="F8757" s="14"/>
      <c r="G8757" s="15"/>
      <c r="H8757" s="15"/>
      <c r="I8757" s="14"/>
      <c r="P8757" s="14"/>
    </row>
    <row r="8758" ht="18.75" customHeight="1">
      <c r="A8758" s="14"/>
      <c r="B8758" s="12"/>
      <c r="C8758" s="12"/>
      <c r="D8758" s="12"/>
      <c r="E8758" s="12"/>
      <c r="F8758" s="14"/>
      <c r="G8758" s="15"/>
      <c r="H8758" s="15"/>
      <c r="I8758" s="14"/>
      <c r="P8758" s="14"/>
    </row>
    <row r="8759" ht="18.75" customHeight="1">
      <c r="A8759" s="14"/>
      <c r="B8759" s="12"/>
      <c r="C8759" s="12"/>
      <c r="D8759" s="12"/>
      <c r="E8759" s="12"/>
      <c r="F8759" s="14"/>
      <c r="G8759" s="15"/>
      <c r="H8759" s="15"/>
      <c r="I8759" s="14"/>
      <c r="P8759" s="14"/>
    </row>
    <row r="8760" ht="18.75" customHeight="1">
      <c r="A8760" s="14"/>
      <c r="B8760" s="12"/>
      <c r="C8760" s="12"/>
      <c r="D8760" s="12"/>
      <c r="E8760" s="12"/>
      <c r="F8760" s="14"/>
      <c r="G8760" s="15"/>
      <c r="H8760" s="15"/>
      <c r="I8760" s="14"/>
      <c r="P8760" s="14"/>
    </row>
    <row r="8761" ht="18.75" customHeight="1">
      <c r="A8761" s="14"/>
      <c r="B8761" s="12"/>
      <c r="C8761" s="12"/>
      <c r="D8761" s="12"/>
      <c r="E8761" s="12"/>
      <c r="F8761" s="14"/>
      <c r="G8761" s="15"/>
      <c r="H8761" s="15"/>
      <c r="I8761" s="14"/>
      <c r="P8761" s="14"/>
    </row>
    <row r="8762" ht="18.75" customHeight="1">
      <c r="A8762" s="14"/>
      <c r="B8762" s="12"/>
      <c r="C8762" s="12"/>
      <c r="D8762" s="12"/>
      <c r="E8762" s="12"/>
      <c r="F8762" s="14"/>
      <c r="G8762" s="15"/>
      <c r="H8762" s="15"/>
      <c r="I8762" s="14"/>
      <c r="P8762" s="14"/>
    </row>
    <row r="8763" ht="18.75" customHeight="1">
      <c r="A8763" s="14"/>
      <c r="B8763" s="12"/>
      <c r="C8763" s="12"/>
      <c r="D8763" s="12"/>
      <c r="E8763" s="12"/>
      <c r="F8763" s="14"/>
      <c r="G8763" s="15"/>
      <c r="H8763" s="15"/>
      <c r="I8763" s="14"/>
      <c r="P8763" s="14"/>
    </row>
    <row r="8764" ht="18.75" customHeight="1">
      <c r="A8764" s="14"/>
      <c r="B8764" s="12"/>
      <c r="C8764" s="12"/>
      <c r="D8764" s="12"/>
      <c r="E8764" s="12"/>
      <c r="F8764" s="14"/>
      <c r="G8764" s="15"/>
      <c r="H8764" s="15"/>
      <c r="I8764" s="14"/>
      <c r="P8764" s="14"/>
    </row>
    <row r="8765" ht="18.75" customHeight="1">
      <c r="A8765" s="14"/>
      <c r="B8765" s="12"/>
      <c r="C8765" s="12"/>
      <c r="D8765" s="12"/>
      <c r="E8765" s="12"/>
      <c r="F8765" s="14"/>
      <c r="G8765" s="15"/>
      <c r="H8765" s="15"/>
      <c r="I8765" s="14"/>
      <c r="P8765" s="14"/>
    </row>
    <row r="8766" ht="18.75" customHeight="1">
      <c r="A8766" s="14"/>
      <c r="B8766" s="12"/>
      <c r="C8766" s="12"/>
      <c r="D8766" s="12"/>
      <c r="E8766" s="12"/>
      <c r="F8766" s="14"/>
      <c r="G8766" s="15"/>
      <c r="H8766" s="15"/>
      <c r="I8766" s="14"/>
      <c r="P8766" s="14"/>
    </row>
    <row r="8767" ht="18.75" customHeight="1">
      <c r="A8767" s="14"/>
      <c r="B8767" s="12"/>
      <c r="C8767" s="12"/>
      <c r="D8767" s="12"/>
      <c r="E8767" s="12"/>
      <c r="F8767" s="14"/>
      <c r="G8767" s="15"/>
      <c r="H8767" s="15"/>
      <c r="I8767" s="14"/>
      <c r="P8767" s="14"/>
    </row>
    <row r="8768" ht="18.75" customHeight="1">
      <c r="A8768" s="14"/>
      <c r="B8768" s="12"/>
      <c r="C8768" s="12"/>
      <c r="D8768" s="12"/>
      <c r="E8768" s="12"/>
      <c r="F8768" s="14"/>
      <c r="G8768" s="15"/>
      <c r="H8768" s="15"/>
      <c r="I8768" s="14"/>
      <c r="P8768" s="14"/>
    </row>
    <row r="8769" ht="18.75" customHeight="1">
      <c r="A8769" s="14"/>
      <c r="B8769" s="12"/>
      <c r="C8769" s="12"/>
      <c r="D8769" s="12"/>
      <c r="E8769" s="12"/>
      <c r="F8769" s="14"/>
      <c r="G8769" s="15"/>
      <c r="H8769" s="15"/>
      <c r="I8769" s="14"/>
      <c r="P8769" s="14"/>
    </row>
    <row r="8770" ht="18.75" customHeight="1">
      <c r="A8770" s="14"/>
      <c r="B8770" s="12"/>
      <c r="C8770" s="12"/>
      <c r="D8770" s="12"/>
      <c r="E8770" s="12"/>
      <c r="F8770" s="14"/>
      <c r="G8770" s="15"/>
      <c r="H8770" s="15"/>
      <c r="I8770" s="14"/>
      <c r="P8770" s="14"/>
    </row>
    <row r="8771" ht="18.75" customHeight="1">
      <c r="A8771" s="14"/>
      <c r="B8771" s="12"/>
      <c r="C8771" s="12"/>
      <c r="D8771" s="12"/>
      <c r="E8771" s="12"/>
      <c r="F8771" s="14"/>
      <c r="G8771" s="15"/>
      <c r="H8771" s="15"/>
      <c r="I8771" s="14"/>
      <c r="P8771" s="14"/>
    </row>
    <row r="8772" ht="18.75" customHeight="1">
      <c r="A8772" s="14"/>
      <c r="B8772" s="12"/>
      <c r="C8772" s="12"/>
      <c r="D8772" s="12"/>
      <c r="E8772" s="12"/>
      <c r="F8772" s="14"/>
      <c r="G8772" s="15"/>
      <c r="H8772" s="15"/>
      <c r="I8772" s="14"/>
      <c r="P8772" s="14"/>
    </row>
    <row r="8773" ht="18.75" customHeight="1">
      <c r="A8773" s="14"/>
      <c r="B8773" s="12"/>
      <c r="C8773" s="12"/>
      <c r="D8773" s="12"/>
      <c r="E8773" s="12"/>
      <c r="F8773" s="14"/>
      <c r="G8773" s="15"/>
      <c r="H8773" s="15"/>
      <c r="I8773" s="14"/>
      <c r="P8773" s="14"/>
    </row>
    <row r="8774" ht="18.75" customHeight="1">
      <c r="A8774" s="14"/>
      <c r="B8774" s="12"/>
      <c r="C8774" s="12"/>
      <c r="D8774" s="12"/>
      <c r="E8774" s="12"/>
      <c r="F8774" s="14"/>
      <c r="G8774" s="15"/>
      <c r="H8774" s="15"/>
      <c r="I8774" s="14"/>
      <c r="P8774" s="14"/>
    </row>
    <row r="8775" ht="18.75" customHeight="1">
      <c r="A8775" s="14"/>
      <c r="B8775" s="12"/>
      <c r="C8775" s="12"/>
      <c r="D8775" s="12"/>
      <c r="E8775" s="12"/>
      <c r="F8775" s="14"/>
      <c r="G8775" s="15"/>
      <c r="H8775" s="15"/>
      <c r="I8775" s="14"/>
      <c r="P8775" s="14"/>
    </row>
    <row r="8776" ht="18.75" customHeight="1">
      <c r="A8776" s="14"/>
      <c r="B8776" s="12"/>
      <c r="C8776" s="12"/>
      <c r="D8776" s="12"/>
      <c r="E8776" s="12"/>
      <c r="F8776" s="14"/>
      <c r="G8776" s="15"/>
      <c r="H8776" s="15"/>
      <c r="I8776" s="14"/>
      <c r="P8776" s="14"/>
    </row>
    <row r="8777" ht="18.75" customHeight="1">
      <c r="A8777" s="14"/>
      <c r="B8777" s="12"/>
      <c r="C8777" s="12"/>
      <c r="D8777" s="12"/>
      <c r="E8777" s="12"/>
      <c r="F8777" s="14"/>
      <c r="G8777" s="15"/>
      <c r="H8777" s="15"/>
      <c r="I8777" s="14"/>
      <c r="P8777" s="14"/>
    </row>
    <row r="8778" ht="18.75" customHeight="1">
      <c r="A8778" s="14"/>
      <c r="B8778" s="12"/>
      <c r="C8778" s="12"/>
      <c r="D8778" s="12"/>
      <c r="E8778" s="12"/>
      <c r="F8778" s="14"/>
      <c r="G8778" s="15"/>
      <c r="H8778" s="15"/>
      <c r="I8778" s="14"/>
      <c r="P8778" s="14"/>
    </row>
    <row r="8779" ht="18.75" customHeight="1">
      <c r="A8779" s="14"/>
      <c r="B8779" s="12"/>
      <c r="C8779" s="12"/>
      <c r="D8779" s="12"/>
      <c r="E8779" s="12"/>
      <c r="F8779" s="14"/>
      <c r="G8779" s="15"/>
      <c r="H8779" s="15"/>
      <c r="I8779" s="14"/>
      <c r="P8779" s="14"/>
    </row>
    <row r="8780" ht="18.75" customHeight="1">
      <c r="A8780" s="14"/>
      <c r="B8780" s="12"/>
      <c r="C8780" s="12"/>
      <c r="D8780" s="12"/>
      <c r="E8780" s="12"/>
      <c r="F8780" s="14"/>
      <c r="G8780" s="15"/>
      <c r="H8780" s="15"/>
      <c r="I8780" s="14"/>
      <c r="P8780" s="14"/>
    </row>
    <row r="8781" ht="18.75" customHeight="1">
      <c r="A8781" s="14"/>
      <c r="B8781" s="12"/>
      <c r="C8781" s="12"/>
      <c r="D8781" s="12"/>
      <c r="E8781" s="12"/>
      <c r="F8781" s="14"/>
      <c r="G8781" s="15"/>
      <c r="H8781" s="15"/>
      <c r="I8781" s="14"/>
      <c r="P8781" s="14"/>
    </row>
    <row r="8782" ht="18.75" customHeight="1">
      <c r="A8782" s="14"/>
      <c r="B8782" s="12"/>
      <c r="C8782" s="12"/>
      <c r="D8782" s="12"/>
      <c r="E8782" s="12"/>
      <c r="F8782" s="14"/>
      <c r="G8782" s="15"/>
      <c r="H8782" s="15"/>
      <c r="I8782" s="14"/>
      <c r="P8782" s="14"/>
    </row>
    <row r="8783" ht="18.75" customHeight="1">
      <c r="A8783" s="14"/>
      <c r="B8783" s="12"/>
      <c r="C8783" s="12"/>
      <c r="D8783" s="12"/>
      <c r="E8783" s="12"/>
      <c r="F8783" s="14"/>
      <c r="G8783" s="15"/>
      <c r="H8783" s="15"/>
      <c r="I8783" s="14"/>
      <c r="P8783" s="14"/>
    </row>
    <row r="8784" ht="18.75" customHeight="1">
      <c r="A8784" s="14"/>
      <c r="B8784" s="12"/>
      <c r="C8784" s="12"/>
      <c r="D8784" s="12"/>
      <c r="E8784" s="12"/>
      <c r="F8784" s="14"/>
      <c r="G8784" s="15"/>
      <c r="H8784" s="15"/>
      <c r="I8784" s="14"/>
      <c r="P8784" s="14"/>
    </row>
    <row r="8785" ht="18.75" customHeight="1">
      <c r="A8785" s="14"/>
      <c r="B8785" s="12"/>
      <c r="C8785" s="12"/>
      <c r="D8785" s="12"/>
      <c r="E8785" s="12"/>
      <c r="F8785" s="14"/>
      <c r="G8785" s="15"/>
      <c r="H8785" s="15"/>
      <c r="I8785" s="14"/>
      <c r="P8785" s="14"/>
    </row>
    <row r="8786" ht="18.75" customHeight="1">
      <c r="A8786" s="14"/>
      <c r="B8786" s="12"/>
      <c r="C8786" s="12"/>
      <c r="D8786" s="12"/>
      <c r="E8786" s="12"/>
      <c r="F8786" s="14"/>
      <c r="G8786" s="15"/>
      <c r="H8786" s="15"/>
      <c r="I8786" s="14"/>
      <c r="P8786" s="14"/>
    </row>
    <row r="8787" ht="18.75" customHeight="1">
      <c r="A8787" s="14"/>
      <c r="B8787" s="12"/>
      <c r="C8787" s="12"/>
      <c r="D8787" s="12"/>
      <c r="E8787" s="12"/>
      <c r="F8787" s="14"/>
      <c r="G8787" s="15"/>
      <c r="H8787" s="15"/>
      <c r="I8787" s="14"/>
      <c r="P8787" s="14"/>
    </row>
    <row r="8788" ht="18.75" customHeight="1">
      <c r="A8788" s="14"/>
      <c r="B8788" s="12"/>
      <c r="C8788" s="12"/>
      <c r="D8788" s="12"/>
      <c r="E8788" s="12"/>
      <c r="F8788" s="14"/>
      <c r="G8788" s="15"/>
      <c r="H8788" s="15"/>
      <c r="I8788" s="14"/>
      <c r="P8788" s="14"/>
    </row>
    <row r="8789" ht="18.75" customHeight="1">
      <c r="A8789" s="14"/>
      <c r="B8789" s="12"/>
      <c r="C8789" s="12"/>
      <c r="D8789" s="12"/>
      <c r="E8789" s="12"/>
      <c r="F8789" s="14"/>
      <c r="G8789" s="15"/>
      <c r="H8789" s="15"/>
      <c r="I8789" s="14"/>
      <c r="P8789" s="14"/>
    </row>
    <row r="8790" ht="18.75" customHeight="1">
      <c r="A8790" s="14"/>
      <c r="B8790" s="12"/>
      <c r="C8790" s="12"/>
      <c r="D8790" s="12"/>
      <c r="E8790" s="12"/>
      <c r="F8790" s="14"/>
      <c r="G8790" s="15"/>
      <c r="H8790" s="15"/>
      <c r="I8790" s="14"/>
      <c r="P8790" s="14"/>
    </row>
    <row r="8791" ht="18.75" customHeight="1">
      <c r="A8791" s="14"/>
      <c r="B8791" s="12"/>
      <c r="C8791" s="12"/>
      <c r="D8791" s="12"/>
      <c r="E8791" s="12"/>
      <c r="F8791" s="14"/>
      <c r="G8791" s="15"/>
      <c r="H8791" s="15"/>
      <c r="I8791" s="14"/>
      <c r="P8791" s="14"/>
    </row>
    <row r="8792" ht="18.75" customHeight="1">
      <c r="A8792" s="14"/>
      <c r="B8792" s="12"/>
      <c r="C8792" s="12"/>
      <c r="D8792" s="12"/>
      <c r="E8792" s="12"/>
      <c r="F8792" s="14"/>
      <c r="G8792" s="15"/>
      <c r="H8792" s="15"/>
      <c r="I8792" s="14"/>
      <c r="P8792" s="14"/>
    </row>
    <row r="8793" ht="18.75" customHeight="1">
      <c r="A8793" s="14"/>
      <c r="B8793" s="12"/>
      <c r="C8793" s="12"/>
      <c r="D8793" s="12"/>
      <c r="E8793" s="12"/>
      <c r="F8793" s="14"/>
      <c r="G8793" s="15"/>
      <c r="H8793" s="15"/>
      <c r="I8793" s="14"/>
      <c r="P8793" s="14"/>
    </row>
    <row r="8794" ht="18.75" customHeight="1">
      <c r="A8794" s="14"/>
      <c r="B8794" s="12"/>
      <c r="C8794" s="12"/>
      <c r="D8794" s="12"/>
      <c r="E8794" s="12"/>
      <c r="F8794" s="14"/>
      <c r="G8794" s="15"/>
      <c r="H8794" s="15"/>
      <c r="I8794" s="14"/>
      <c r="P8794" s="14"/>
    </row>
    <row r="8795" ht="18.75" customHeight="1">
      <c r="A8795" s="14"/>
      <c r="B8795" s="12"/>
      <c r="C8795" s="12"/>
      <c r="D8795" s="12"/>
      <c r="E8795" s="12"/>
      <c r="F8795" s="14"/>
      <c r="G8795" s="15"/>
      <c r="H8795" s="15"/>
      <c r="I8795" s="14"/>
      <c r="P8795" s="14"/>
    </row>
    <row r="8796" ht="18.75" customHeight="1">
      <c r="A8796" s="14"/>
      <c r="B8796" s="12"/>
      <c r="C8796" s="12"/>
      <c r="D8796" s="12"/>
      <c r="E8796" s="12"/>
      <c r="F8796" s="14"/>
      <c r="G8796" s="15"/>
      <c r="H8796" s="15"/>
      <c r="I8796" s="14"/>
      <c r="P8796" s="14"/>
    </row>
    <row r="8797" ht="18.75" customHeight="1">
      <c r="A8797" s="14"/>
      <c r="B8797" s="12"/>
      <c r="C8797" s="12"/>
      <c r="D8797" s="12"/>
      <c r="E8797" s="12"/>
      <c r="F8797" s="14"/>
      <c r="G8797" s="15"/>
      <c r="H8797" s="15"/>
      <c r="I8797" s="14"/>
      <c r="P8797" s="14"/>
    </row>
    <row r="8798" ht="18.75" customHeight="1">
      <c r="A8798" s="14"/>
      <c r="B8798" s="12"/>
      <c r="C8798" s="12"/>
      <c r="D8798" s="12"/>
      <c r="E8798" s="12"/>
      <c r="F8798" s="14"/>
      <c r="G8798" s="15"/>
      <c r="H8798" s="15"/>
      <c r="I8798" s="14"/>
      <c r="P8798" s="14"/>
    </row>
    <row r="8799" ht="18.75" customHeight="1">
      <c r="A8799" s="14"/>
      <c r="B8799" s="12"/>
      <c r="C8799" s="12"/>
      <c r="D8799" s="12"/>
      <c r="E8799" s="12"/>
      <c r="F8799" s="14"/>
      <c r="G8799" s="15"/>
      <c r="H8799" s="15"/>
      <c r="I8799" s="14"/>
      <c r="P8799" s="14"/>
    </row>
    <row r="8800" ht="18.75" customHeight="1">
      <c r="A8800" s="14"/>
      <c r="B8800" s="12"/>
      <c r="C8800" s="12"/>
      <c r="D8800" s="12"/>
      <c r="E8800" s="12"/>
      <c r="F8800" s="14"/>
      <c r="G8800" s="15"/>
      <c r="H8800" s="15"/>
      <c r="I8800" s="14"/>
      <c r="P8800" s="14"/>
    </row>
    <row r="8801" ht="18.75" customHeight="1">
      <c r="A8801" s="14"/>
      <c r="B8801" s="12"/>
      <c r="C8801" s="12"/>
      <c r="D8801" s="12"/>
      <c r="E8801" s="12"/>
      <c r="F8801" s="14"/>
      <c r="G8801" s="15"/>
      <c r="H8801" s="15"/>
      <c r="I8801" s="14"/>
      <c r="P8801" s="14"/>
    </row>
    <row r="8802" ht="18.75" customHeight="1">
      <c r="A8802" s="14"/>
      <c r="B8802" s="12"/>
      <c r="C8802" s="12"/>
      <c r="D8802" s="12"/>
      <c r="E8802" s="12"/>
      <c r="F8802" s="14"/>
      <c r="G8802" s="15"/>
      <c r="H8802" s="15"/>
      <c r="I8802" s="14"/>
      <c r="P8802" s="14"/>
    </row>
    <row r="8803" ht="18.75" customHeight="1">
      <c r="A8803" s="14"/>
      <c r="B8803" s="12"/>
      <c r="C8803" s="12"/>
      <c r="D8803" s="12"/>
      <c r="E8803" s="12"/>
      <c r="F8803" s="14"/>
      <c r="G8803" s="15"/>
      <c r="H8803" s="15"/>
      <c r="I8803" s="14"/>
      <c r="P8803" s="14"/>
    </row>
    <row r="8804" ht="18.75" customHeight="1">
      <c r="A8804" s="14"/>
      <c r="B8804" s="12"/>
      <c r="C8804" s="12"/>
      <c r="D8804" s="12"/>
      <c r="E8804" s="12"/>
      <c r="F8804" s="14"/>
      <c r="G8804" s="15"/>
      <c r="H8804" s="15"/>
      <c r="I8804" s="14"/>
      <c r="P8804" s="14"/>
    </row>
    <row r="8805" ht="18.75" customHeight="1">
      <c r="A8805" s="14"/>
      <c r="B8805" s="12"/>
      <c r="C8805" s="12"/>
      <c r="D8805" s="12"/>
      <c r="E8805" s="12"/>
      <c r="F8805" s="14"/>
      <c r="G8805" s="15"/>
      <c r="H8805" s="15"/>
      <c r="I8805" s="14"/>
      <c r="P8805" s="14"/>
    </row>
    <row r="8806" ht="18.75" customHeight="1">
      <c r="A8806" s="14"/>
      <c r="B8806" s="12"/>
      <c r="C8806" s="12"/>
      <c r="D8806" s="12"/>
      <c r="E8806" s="12"/>
      <c r="F8806" s="14"/>
      <c r="G8806" s="15"/>
      <c r="H8806" s="15"/>
      <c r="I8806" s="14"/>
      <c r="P8806" s="14"/>
    </row>
    <row r="8807" ht="18.75" customHeight="1">
      <c r="A8807" s="14"/>
      <c r="B8807" s="12"/>
      <c r="C8807" s="12"/>
      <c r="D8807" s="12"/>
      <c r="E8807" s="12"/>
      <c r="F8807" s="14"/>
      <c r="G8807" s="15"/>
      <c r="H8807" s="15"/>
      <c r="I8807" s="14"/>
      <c r="P8807" s="14"/>
    </row>
    <row r="8808" ht="18.75" customHeight="1">
      <c r="A8808" s="14"/>
      <c r="B8808" s="12"/>
      <c r="C8808" s="12"/>
      <c r="D8808" s="12"/>
      <c r="E8808" s="12"/>
      <c r="F8808" s="14"/>
      <c r="G8808" s="15"/>
      <c r="H8808" s="15"/>
      <c r="I8808" s="14"/>
      <c r="P8808" s="14"/>
    </row>
    <row r="8809" ht="18.75" customHeight="1">
      <c r="A8809" s="14"/>
      <c r="B8809" s="12"/>
      <c r="C8809" s="12"/>
      <c r="D8809" s="12"/>
      <c r="E8809" s="12"/>
      <c r="F8809" s="14"/>
      <c r="G8809" s="15"/>
      <c r="H8809" s="15"/>
      <c r="I8809" s="14"/>
      <c r="P8809" s="14"/>
    </row>
    <row r="8810" ht="18.75" customHeight="1">
      <c r="A8810" s="14"/>
      <c r="B8810" s="12"/>
      <c r="C8810" s="12"/>
      <c r="D8810" s="12"/>
      <c r="E8810" s="12"/>
      <c r="F8810" s="14"/>
      <c r="G8810" s="15"/>
      <c r="H8810" s="15"/>
      <c r="I8810" s="14"/>
      <c r="P8810" s="14"/>
    </row>
    <row r="8811" ht="18.75" customHeight="1">
      <c r="A8811" s="14"/>
      <c r="B8811" s="12"/>
      <c r="C8811" s="12"/>
      <c r="D8811" s="12"/>
      <c r="E8811" s="12"/>
      <c r="F8811" s="14"/>
      <c r="G8811" s="15"/>
      <c r="H8811" s="15"/>
      <c r="I8811" s="14"/>
      <c r="P8811" s="14"/>
    </row>
    <row r="8812" ht="18.75" customHeight="1">
      <c r="A8812" s="14"/>
      <c r="B8812" s="12"/>
      <c r="C8812" s="12"/>
      <c r="D8812" s="12"/>
      <c r="E8812" s="12"/>
      <c r="F8812" s="14"/>
      <c r="G8812" s="15"/>
      <c r="H8812" s="15"/>
      <c r="I8812" s="14"/>
      <c r="P8812" s="14"/>
    </row>
    <row r="8813" ht="18.75" customHeight="1">
      <c r="A8813" s="14"/>
      <c r="B8813" s="12"/>
      <c r="C8813" s="12"/>
      <c r="D8813" s="12"/>
      <c r="E8813" s="12"/>
      <c r="F8813" s="14"/>
      <c r="G8813" s="15"/>
      <c r="H8813" s="15"/>
      <c r="I8813" s="14"/>
      <c r="P8813" s="14"/>
    </row>
    <row r="8814" ht="18.75" customHeight="1">
      <c r="A8814" s="14"/>
      <c r="B8814" s="12"/>
      <c r="C8814" s="12"/>
      <c r="D8814" s="12"/>
      <c r="E8814" s="12"/>
      <c r="F8814" s="14"/>
      <c r="G8814" s="15"/>
      <c r="H8814" s="15"/>
      <c r="I8814" s="14"/>
      <c r="P8814" s="14"/>
    </row>
    <row r="8815" ht="18.75" customHeight="1">
      <c r="A8815" s="14"/>
      <c r="B8815" s="12"/>
      <c r="C8815" s="12"/>
      <c r="D8815" s="12"/>
      <c r="E8815" s="12"/>
      <c r="F8815" s="14"/>
      <c r="G8815" s="15"/>
      <c r="H8815" s="15"/>
      <c r="I8815" s="14"/>
      <c r="P8815" s="14"/>
    </row>
    <row r="8816" ht="18.75" customHeight="1">
      <c r="A8816" s="14"/>
      <c r="B8816" s="12"/>
      <c r="C8816" s="12"/>
      <c r="D8816" s="12"/>
      <c r="E8816" s="12"/>
      <c r="F8816" s="14"/>
      <c r="G8816" s="15"/>
      <c r="H8816" s="15"/>
      <c r="I8816" s="14"/>
      <c r="P8816" s="14"/>
    </row>
    <row r="8817" ht="18.75" customHeight="1">
      <c r="A8817" s="14"/>
      <c r="B8817" s="12"/>
      <c r="C8817" s="12"/>
      <c r="D8817" s="12"/>
      <c r="E8817" s="12"/>
      <c r="F8817" s="14"/>
      <c r="G8817" s="15"/>
      <c r="H8817" s="15"/>
      <c r="I8817" s="14"/>
      <c r="P8817" s="14"/>
    </row>
    <row r="8818" ht="18.75" customHeight="1">
      <c r="A8818" s="14"/>
      <c r="B8818" s="12"/>
      <c r="C8818" s="12"/>
      <c r="D8818" s="12"/>
      <c r="E8818" s="12"/>
      <c r="F8818" s="14"/>
      <c r="G8818" s="15"/>
      <c r="H8818" s="15"/>
      <c r="I8818" s="14"/>
      <c r="P8818" s="14"/>
    </row>
    <row r="8819" ht="18.75" customHeight="1">
      <c r="A8819" s="14"/>
      <c r="B8819" s="12"/>
      <c r="C8819" s="12"/>
      <c r="D8819" s="12"/>
      <c r="E8819" s="12"/>
      <c r="F8819" s="14"/>
      <c r="G8819" s="15"/>
      <c r="H8819" s="15"/>
      <c r="I8819" s="14"/>
      <c r="P8819" s="14"/>
    </row>
    <row r="8820" ht="18.75" customHeight="1">
      <c r="A8820" s="14"/>
      <c r="B8820" s="12"/>
      <c r="C8820" s="12"/>
      <c r="D8820" s="12"/>
      <c r="E8820" s="12"/>
      <c r="F8820" s="14"/>
      <c r="G8820" s="15"/>
      <c r="H8820" s="15"/>
      <c r="I8820" s="14"/>
      <c r="P8820" s="14"/>
    </row>
    <row r="8821" ht="18.75" customHeight="1">
      <c r="A8821" s="14"/>
      <c r="B8821" s="12"/>
      <c r="C8821" s="12"/>
      <c r="D8821" s="12"/>
      <c r="E8821" s="12"/>
      <c r="F8821" s="14"/>
      <c r="G8821" s="15"/>
      <c r="H8821" s="15"/>
      <c r="I8821" s="14"/>
      <c r="P8821" s="14"/>
    </row>
    <row r="8822" ht="18.75" customHeight="1">
      <c r="A8822" s="14"/>
      <c r="B8822" s="12"/>
      <c r="C8822" s="12"/>
      <c r="D8822" s="12"/>
      <c r="E8822" s="12"/>
      <c r="F8822" s="14"/>
      <c r="G8822" s="15"/>
      <c r="H8822" s="15"/>
      <c r="I8822" s="14"/>
      <c r="P8822" s="14"/>
    </row>
    <row r="8823" ht="18.75" customHeight="1">
      <c r="A8823" s="14"/>
      <c r="B8823" s="12"/>
      <c r="C8823" s="12"/>
      <c r="D8823" s="12"/>
      <c r="E8823" s="12"/>
      <c r="F8823" s="14"/>
      <c r="G8823" s="15"/>
      <c r="H8823" s="15"/>
      <c r="I8823" s="14"/>
      <c r="P8823" s="14"/>
    </row>
    <row r="8824" ht="18.75" customHeight="1">
      <c r="A8824" s="14"/>
      <c r="B8824" s="12"/>
      <c r="C8824" s="12"/>
      <c r="D8824" s="12"/>
      <c r="E8824" s="12"/>
      <c r="F8824" s="14"/>
      <c r="G8824" s="15"/>
      <c r="H8824" s="15"/>
      <c r="I8824" s="14"/>
      <c r="P8824" s="14"/>
    </row>
    <row r="8825" ht="18.75" customHeight="1">
      <c r="A8825" s="14"/>
      <c r="B8825" s="12"/>
      <c r="C8825" s="12"/>
      <c r="D8825" s="12"/>
      <c r="E8825" s="12"/>
      <c r="F8825" s="14"/>
      <c r="G8825" s="15"/>
      <c r="H8825" s="15"/>
      <c r="I8825" s="14"/>
      <c r="P8825" s="14"/>
    </row>
    <row r="8826" ht="18.75" customHeight="1">
      <c r="A8826" s="14"/>
      <c r="B8826" s="12"/>
      <c r="C8826" s="12"/>
      <c r="D8826" s="12"/>
      <c r="E8826" s="12"/>
      <c r="F8826" s="14"/>
      <c r="G8826" s="15"/>
      <c r="H8826" s="15"/>
      <c r="I8826" s="14"/>
      <c r="P8826" s="14"/>
    </row>
    <row r="8827" ht="18.75" customHeight="1">
      <c r="A8827" s="14"/>
      <c r="B8827" s="12"/>
      <c r="C8827" s="12"/>
      <c r="D8827" s="12"/>
      <c r="E8827" s="12"/>
      <c r="F8827" s="14"/>
      <c r="G8827" s="15"/>
      <c r="H8827" s="15"/>
      <c r="I8827" s="14"/>
      <c r="P8827" s="14"/>
    </row>
    <row r="8828" ht="18.75" customHeight="1">
      <c r="A8828" s="14"/>
      <c r="B8828" s="12"/>
      <c r="C8828" s="12"/>
      <c r="D8828" s="12"/>
      <c r="E8828" s="12"/>
      <c r="F8828" s="14"/>
      <c r="G8828" s="15"/>
      <c r="H8828" s="15"/>
      <c r="I8828" s="14"/>
      <c r="P8828" s="14"/>
    </row>
    <row r="8829" ht="18.75" customHeight="1">
      <c r="A8829" s="14"/>
      <c r="B8829" s="12"/>
      <c r="C8829" s="12"/>
      <c r="D8829" s="12"/>
      <c r="E8829" s="12"/>
      <c r="F8829" s="14"/>
      <c r="G8829" s="15"/>
      <c r="H8829" s="15"/>
      <c r="I8829" s="14"/>
      <c r="P8829" s="14"/>
    </row>
    <row r="8830" ht="18.75" customHeight="1">
      <c r="A8830" s="14"/>
      <c r="B8830" s="12"/>
      <c r="C8830" s="12"/>
      <c r="D8830" s="12"/>
      <c r="E8830" s="12"/>
      <c r="F8830" s="14"/>
      <c r="G8830" s="15"/>
      <c r="H8830" s="15"/>
      <c r="I8830" s="14"/>
      <c r="P8830" s="14"/>
    </row>
    <row r="8831" ht="18.75" customHeight="1">
      <c r="A8831" s="14"/>
      <c r="B8831" s="12"/>
      <c r="C8831" s="12"/>
      <c r="D8831" s="12"/>
      <c r="E8831" s="12"/>
      <c r="F8831" s="14"/>
      <c r="G8831" s="15"/>
      <c r="H8831" s="15"/>
      <c r="I8831" s="14"/>
      <c r="P8831" s="14"/>
    </row>
    <row r="8832" ht="18.75" customHeight="1">
      <c r="A8832" s="14"/>
      <c r="B8832" s="12"/>
      <c r="C8832" s="12"/>
      <c r="D8832" s="12"/>
      <c r="E8832" s="12"/>
      <c r="F8832" s="14"/>
      <c r="G8832" s="15"/>
      <c r="H8832" s="15"/>
      <c r="I8832" s="14"/>
      <c r="P8832" s="14"/>
    </row>
    <row r="8833" ht="18.75" customHeight="1">
      <c r="A8833" s="14"/>
      <c r="B8833" s="12"/>
      <c r="C8833" s="12"/>
      <c r="D8833" s="12"/>
      <c r="E8833" s="12"/>
      <c r="F8833" s="14"/>
      <c r="G8833" s="15"/>
      <c r="H8833" s="15"/>
      <c r="I8833" s="14"/>
      <c r="P8833" s="14"/>
    </row>
    <row r="8834" ht="18.75" customHeight="1">
      <c r="A8834" s="14"/>
      <c r="B8834" s="12"/>
      <c r="C8834" s="12"/>
      <c r="D8834" s="12"/>
      <c r="E8834" s="12"/>
      <c r="F8834" s="14"/>
      <c r="G8834" s="15"/>
      <c r="H8834" s="15"/>
      <c r="I8834" s="14"/>
      <c r="P8834" s="14"/>
    </row>
    <row r="8835" ht="18.75" customHeight="1">
      <c r="A8835" s="14"/>
      <c r="B8835" s="12"/>
      <c r="C8835" s="12"/>
      <c r="D8835" s="12"/>
      <c r="E8835" s="12"/>
      <c r="F8835" s="14"/>
      <c r="G8835" s="15"/>
      <c r="H8835" s="15"/>
      <c r="I8835" s="14"/>
      <c r="P8835" s="14"/>
    </row>
    <row r="8836" ht="18.75" customHeight="1">
      <c r="A8836" s="14"/>
      <c r="B8836" s="12"/>
      <c r="C8836" s="12"/>
      <c r="D8836" s="12"/>
      <c r="E8836" s="12"/>
      <c r="F8836" s="14"/>
      <c r="G8836" s="15"/>
      <c r="H8836" s="15"/>
      <c r="I8836" s="14"/>
      <c r="P8836" s="14"/>
    </row>
    <row r="8837" ht="18.75" customHeight="1">
      <c r="A8837" s="14"/>
      <c r="B8837" s="12"/>
      <c r="C8837" s="12"/>
      <c r="D8837" s="12"/>
      <c r="E8837" s="12"/>
      <c r="F8837" s="14"/>
      <c r="G8837" s="15"/>
      <c r="H8837" s="15"/>
      <c r="I8837" s="14"/>
      <c r="P8837" s="14"/>
    </row>
    <row r="8838" ht="18.75" customHeight="1">
      <c r="A8838" s="14"/>
      <c r="B8838" s="12"/>
      <c r="C8838" s="12"/>
      <c r="D8838" s="12"/>
      <c r="E8838" s="12"/>
      <c r="F8838" s="14"/>
      <c r="G8838" s="15"/>
      <c r="H8838" s="15"/>
      <c r="I8838" s="14"/>
      <c r="P8838" s="14"/>
    </row>
    <row r="8839" ht="18.75" customHeight="1">
      <c r="A8839" s="14"/>
      <c r="B8839" s="12"/>
      <c r="C8839" s="12"/>
      <c r="D8839" s="12"/>
      <c r="E8839" s="12"/>
      <c r="F8839" s="14"/>
      <c r="G8839" s="15"/>
      <c r="H8839" s="15"/>
      <c r="I8839" s="14"/>
      <c r="P8839" s="14"/>
    </row>
    <row r="8840" ht="18.75" customHeight="1">
      <c r="A8840" s="14"/>
      <c r="B8840" s="12"/>
      <c r="C8840" s="12"/>
      <c r="D8840" s="12"/>
      <c r="E8840" s="12"/>
      <c r="F8840" s="14"/>
      <c r="G8840" s="15"/>
      <c r="H8840" s="15"/>
      <c r="I8840" s="14"/>
      <c r="P8840" s="14"/>
    </row>
    <row r="8841" ht="18.75" customHeight="1">
      <c r="A8841" s="14"/>
      <c r="B8841" s="12"/>
      <c r="C8841" s="12"/>
      <c r="D8841" s="12"/>
      <c r="E8841" s="12"/>
      <c r="F8841" s="14"/>
      <c r="G8841" s="15"/>
      <c r="H8841" s="15"/>
      <c r="I8841" s="14"/>
      <c r="P8841" s="14"/>
    </row>
    <row r="8842" ht="18.75" customHeight="1">
      <c r="A8842" s="14"/>
      <c r="B8842" s="12"/>
      <c r="C8842" s="12"/>
      <c r="D8842" s="12"/>
      <c r="E8842" s="12"/>
      <c r="F8842" s="14"/>
      <c r="G8842" s="15"/>
      <c r="H8842" s="15"/>
      <c r="I8842" s="14"/>
      <c r="P8842" s="14"/>
    </row>
    <row r="8843" ht="18.75" customHeight="1">
      <c r="A8843" s="14"/>
      <c r="B8843" s="12"/>
      <c r="C8843" s="12"/>
      <c r="D8843" s="12"/>
      <c r="E8843" s="12"/>
      <c r="F8843" s="14"/>
      <c r="G8843" s="15"/>
      <c r="H8843" s="15"/>
      <c r="I8843" s="14"/>
      <c r="P8843" s="14"/>
    </row>
    <row r="8844" ht="18.75" customHeight="1">
      <c r="A8844" s="14"/>
      <c r="B8844" s="12"/>
      <c r="C8844" s="12"/>
      <c r="D8844" s="12"/>
      <c r="E8844" s="12"/>
      <c r="F8844" s="14"/>
      <c r="G8844" s="15"/>
      <c r="H8844" s="15"/>
      <c r="I8844" s="14"/>
      <c r="P8844" s="14"/>
    </row>
    <row r="8845" ht="18.75" customHeight="1">
      <c r="A8845" s="14"/>
      <c r="B8845" s="12"/>
      <c r="C8845" s="12"/>
      <c r="D8845" s="12"/>
      <c r="E8845" s="12"/>
      <c r="F8845" s="14"/>
      <c r="G8845" s="15"/>
      <c r="H8845" s="15"/>
      <c r="I8845" s="14"/>
      <c r="P8845" s="14"/>
    </row>
    <row r="8846" ht="18.75" customHeight="1">
      <c r="A8846" s="14"/>
      <c r="B8846" s="12"/>
      <c r="C8846" s="12"/>
      <c r="D8846" s="12"/>
      <c r="E8846" s="12"/>
      <c r="F8846" s="14"/>
      <c r="G8846" s="15"/>
      <c r="H8846" s="15"/>
      <c r="I8846" s="14"/>
      <c r="P8846" s="14"/>
    </row>
    <row r="8847" ht="18.75" customHeight="1">
      <c r="A8847" s="14"/>
      <c r="B8847" s="12"/>
      <c r="C8847" s="12"/>
      <c r="D8847" s="12"/>
      <c r="E8847" s="12"/>
      <c r="F8847" s="14"/>
      <c r="G8847" s="15"/>
      <c r="H8847" s="15"/>
      <c r="I8847" s="14"/>
      <c r="P8847" s="14"/>
    </row>
    <row r="8848" ht="18.75" customHeight="1">
      <c r="A8848" s="14"/>
      <c r="B8848" s="12"/>
      <c r="C8848" s="12"/>
      <c r="D8848" s="12"/>
      <c r="E8848" s="12"/>
      <c r="F8848" s="14"/>
      <c r="G8848" s="15"/>
      <c r="H8848" s="15"/>
      <c r="I8848" s="14"/>
      <c r="P8848" s="14"/>
    </row>
    <row r="8849" ht="18.75" customHeight="1">
      <c r="A8849" s="14"/>
      <c r="B8849" s="12"/>
      <c r="C8849" s="12"/>
      <c r="D8849" s="12"/>
      <c r="E8849" s="12"/>
      <c r="F8849" s="14"/>
      <c r="G8849" s="15"/>
      <c r="H8849" s="15"/>
      <c r="I8849" s="14"/>
      <c r="P8849" s="14"/>
    </row>
    <row r="8850" ht="18.75" customHeight="1">
      <c r="A8850" s="14"/>
      <c r="B8850" s="12"/>
      <c r="C8850" s="12"/>
      <c r="D8850" s="12"/>
      <c r="E8850" s="12"/>
      <c r="F8850" s="14"/>
      <c r="G8850" s="15"/>
      <c r="H8850" s="15"/>
      <c r="I8850" s="14"/>
      <c r="P8850" s="14"/>
    </row>
    <row r="8851" ht="18.75" customHeight="1">
      <c r="A8851" s="14"/>
      <c r="B8851" s="12"/>
      <c r="C8851" s="12"/>
      <c r="D8851" s="12"/>
      <c r="E8851" s="12"/>
      <c r="F8851" s="14"/>
      <c r="G8851" s="15"/>
      <c r="H8851" s="15"/>
      <c r="I8851" s="14"/>
      <c r="P8851" s="14"/>
    </row>
    <row r="8852" ht="18.75" customHeight="1">
      <c r="A8852" s="14"/>
      <c r="B8852" s="12"/>
      <c r="C8852" s="12"/>
      <c r="D8852" s="12"/>
      <c r="E8852" s="12"/>
      <c r="F8852" s="14"/>
      <c r="G8852" s="15"/>
      <c r="H8852" s="15"/>
      <c r="I8852" s="14"/>
      <c r="P8852" s="14"/>
    </row>
    <row r="8853" ht="18.75" customHeight="1">
      <c r="A8853" s="14"/>
      <c r="B8853" s="12"/>
      <c r="C8853" s="12"/>
      <c r="D8853" s="12"/>
      <c r="E8853" s="12"/>
      <c r="F8853" s="14"/>
      <c r="G8853" s="15"/>
      <c r="H8853" s="15"/>
      <c r="I8853" s="14"/>
      <c r="P8853" s="14"/>
    </row>
    <row r="8854" ht="18.75" customHeight="1">
      <c r="A8854" s="14"/>
      <c r="B8854" s="12"/>
      <c r="C8854" s="12"/>
      <c r="D8854" s="12"/>
      <c r="E8854" s="12"/>
      <c r="F8854" s="14"/>
      <c r="G8854" s="15"/>
      <c r="H8854" s="15"/>
      <c r="I8854" s="14"/>
      <c r="P8854" s="14"/>
    </row>
    <row r="8855" ht="18.75" customHeight="1">
      <c r="A8855" s="14"/>
      <c r="B8855" s="12"/>
      <c r="C8855" s="12"/>
      <c r="D8855" s="12"/>
      <c r="E8855" s="12"/>
      <c r="F8855" s="14"/>
      <c r="G8855" s="15"/>
      <c r="H8855" s="15"/>
      <c r="I8855" s="14"/>
      <c r="P8855" s="14"/>
    </row>
    <row r="8856" ht="18.75" customHeight="1">
      <c r="A8856" s="14"/>
      <c r="B8856" s="12"/>
      <c r="C8856" s="12"/>
      <c r="D8856" s="12"/>
      <c r="E8856" s="12"/>
      <c r="F8856" s="14"/>
      <c r="G8856" s="15"/>
      <c r="H8856" s="15"/>
      <c r="I8856" s="14"/>
      <c r="P8856" s="14"/>
    </row>
    <row r="8857" ht="18.75" customHeight="1">
      <c r="A8857" s="14"/>
      <c r="B8857" s="12"/>
      <c r="C8857" s="12"/>
      <c r="D8857" s="12"/>
      <c r="E8857" s="12"/>
      <c r="F8857" s="14"/>
      <c r="G8857" s="15"/>
      <c r="H8857" s="15"/>
      <c r="I8857" s="14"/>
      <c r="P8857" s="14"/>
    </row>
    <row r="8858" ht="18.75" customHeight="1">
      <c r="A8858" s="14"/>
      <c r="B8858" s="12"/>
      <c r="C8858" s="12"/>
      <c r="D8858" s="12"/>
      <c r="E8858" s="12"/>
      <c r="F8858" s="14"/>
      <c r="G8858" s="15"/>
      <c r="H8858" s="15"/>
      <c r="I8858" s="14"/>
      <c r="P8858" s="14"/>
    </row>
    <row r="8859" ht="18.75" customHeight="1">
      <c r="A8859" s="14"/>
      <c r="B8859" s="12"/>
      <c r="C8859" s="12"/>
      <c r="D8859" s="12"/>
      <c r="E8859" s="12"/>
      <c r="F8859" s="14"/>
      <c r="G8859" s="15"/>
      <c r="H8859" s="15"/>
      <c r="I8859" s="14"/>
      <c r="P8859" s="14"/>
    </row>
    <row r="8860" ht="18.75" customHeight="1">
      <c r="A8860" s="14"/>
      <c r="B8860" s="12"/>
      <c r="C8860" s="12"/>
      <c r="D8860" s="12"/>
      <c r="E8860" s="12"/>
      <c r="F8860" s="14"/>
      <c r="G8860" s="15"/>
      <c r="H8860" s="15"/>
      <c r="I8860" s="14"/>
      <c r="P8860" s="14"/>
    </row>
    <row r="8861" ht="18.75" customHeight="1">
      <c r="A8861" s="14"/>
      <c r="B8861" s="12"/>
      <c r="C8861" s="12"/>
      <c r="D8861" s="12"/>
      <c r="E8861" s="12"/>
      <c r="F8861" s="14"/>
      <c r="G8861" s="15"/>
      <c r="H8861" s="15"/>
      <c r="I8861" s="14"/>
      <c r="P8861" s="14"/>
    </row>
    <row r="8862" ht="18.75" customHeight="1">
      <c r="A8862" s="14"/>
      <c r="B8862" s="12"/>
      <c r="C8862" s="12"/>
      <c r="D8862" s="12"/>
      <c r="E8862" s="12"/>
      <c r="F8862" s="14"/>
      <c r="G8862" s="15"/>
      <c r="H8862" s="15"/>
      <c r="I8862" s="14"/>
      <c r="P8862" s="14"/>
    </row>
    <row r="8863" ht="18.75" customHeight="1">
      <c r="A8863" s="14"/>
      <c r="B8863" s="12"/>
      <c r="C8863" s="12"/>
      <c r="D8863" s="12"/>
      <c r="E8863" s="12"/>
      <c r="F8863" s="14"/>
      <c r="G8863" s="15"/>
      <c r="H8863" s="15"/>
      <c r="I8863" s="14"/>
      <c r="P8863" s="14"/>
    </row>
    <row r="8864" ht="18.75" customHeight="1">
      <c r="A8864" s="14"/>
      <c r="B8864" s="12"/>
      <c r="C8864" s="12"/>
      <c r="D8864" s="12"/>
      <c r="E8864" s="12"/>
      <c r="F8864" s="14"/>
      <c r="G8864" s="15"/>
      <c r="H8864" s="15"/>
      <c r="I8864" s="14"/>
      <c r="P8864" s="14"/>
    </row>
    <row r="8865" ht="18.75" customHeight="1">
      <c r="A8865" s="14"/>
      <c r="B8865" s="12"/>
      <c r="C8865" s="12"/>
      <c r="D8865" s="12"/>
      <c r="E8865" s="12"/>
      <c r="F8865" s="14"/>
      <c r="G8865" s="15"/>
      <c r="H8865" s="15"/>
      <c r="I8865" s="14"/>
      <c r="P8865" s="14"/>
    </row>
    <row r="8866" ht="18.75" customHeight="1">
      <c r="A8866" s="14"/>
      <c r="B8866" s="12"/>
      <c r="C8866" s="12"/>
      <c r="D8866" s="12"/>
      <c r="E8866" s="12"/>
      <c r="F8866" s="14"/>
      <c r="G8866" s="15"/>
      <c r="H8866" s="15"/>
      <c r="I8866" s="14"/>
      <c r="P8866" s="14"/>
    </row>
    <row r="8867" ht="18.75" customHeight="1">
      <c r="A8867" s="14"/>
      <c r="B8867" s="12"/>
      <c r="C8867" s="12"/>
      <c r="D8867" s="12"/>
      <c r="E8867" s="12"/>
      <c r="F8867" s="14"/>
      <c r="G8867" s="15"/>
      <c r="H8867" s="15"/>
      <c r="I8867" s="14"/>
      <c r="P8867" s="14"/>
    </row>
    <row r="8868" ht="18.75" customHeight="1">
      <c r="A8868" s="14"/>
      <c r="B8868" s="12"/>
      <c r="C8868" s="12"/>
      <c r="D8868" s="12"/>
      <c r="E8868" s="12"/>
      <c r="F8868" s="14"/>
      <c r="G8868" s="15"/>
      <c r="H8868" s="15"/>
      <c r="I8868" s="14"/>
      <c r="P8868" s="14"/>
    </row>
    <row r="8869" ht="18.75" customHeight="1">
      <c r="A8869" s="14"/>
      <c r="B8869" s="12"/>
      <c r="C8869" s="12"/>
      <c r="D8869" s="12"/>
      <c r="E8869" s="12"/>
      <c r="F8869" s="14"/>
      <c r="G8869" s="15"/>
      <c r="H8869" s="15"/>
      <c r="I8869" s="14"/>
      <c r="P8869" s="14"/>
    </row>
    <row r="8870" ht="18.75" customHeight="1">
      <c r="A8870" s="14"/>
      <c r="B8870" s="12"/>
      <c r="C8870" s="12"/>
      <c r="D8870" s="12"/>
      <c r="E8870" s="12"/>
      <c r="F8870" s="14"/>
      <c r="G8870" s="15"/>
      <c r="H8870" s="15"/>
      <c r="I8870" s="14"/>
      <c r="P8870" s="14"/>
    </row>
    <row r="8871" ht="18.75" customHeight="1">
      <c r="A8871" s="14"/>
      <c r="B8871" s="12"/>
      <c r="C8871" s="12"/>
      <c r="D8871" s="12"/>
      <c r="E8871" s="12"/>
      <c r="F8871" s="14"/>
      <c r="G8871" s="15"/>
      <c r="H8871" s="15"/>
      <c r="I8871" s="14"/>
      <c r="P8871" s="14"/>
    </row>
    <row r="8872" ht="18.75" customHeight="1">
      <c r="A8872" s="14"/>
      <c r="B8872" s="12"/>
      <c r="C8872" s="12"/>
      <c r="D8872" s="12"/>
      <c r="E8872" s="12"/>
      <c r="F8872" s="14"/>
      <c r="G8872" s="15"/>
      <c r="H8872" s="15"/>
      <c r="I8872" s="14"/>
      <c r="P8872" s="14"/>
    </row>
    <row r="8873" ht="18.75" customHeight="1">
      <c r="A8873" s="14"/>
      <c r="B8873" s="12"/>
      <c r="C8873" s="12"/>
      <c r="D8873" s="12"/>
      <c r="E8873" s="12"/>
      <c r="F8873" s="14"/>
      <c r="G8873" s="15"/>
      <c r="H8873" s="15"/>
      <c r="I8873" s="14"/>
      <c r="P8873" s="14"/>
    </row>
    <row r="8874" ht="18.75" customHeight="1">
      <c r="A8874" s="14"/>
      <c r="B8874" s="12"/>
      <c r="C8874" s="12"/>
      <c r="D8874" s="12"/>
      <c r="E8874" s="12"/>
      <c r="F8874" s="14"/>
      <c r="G8874" s="15"/>
      <c r="H8874" s="15"/>
      <c r="I8874" s="14"/>
      <c r="P8874" s="14"/>
    </row>
    <row r="8875" ht="18.75" customHeight="1">
      <c r="A8875" s="14"/>
      <c r="B8875" s="12"/>
      <c r="C8875" s="12"/>
      <c r="D8875" s="12"/>
      <c r="E8875" s="12"/>
      <c r="F8875" s="14"/>
      <c r="G8875" s="15"/>
      <c r="H8875" s="15"/>
      <c r="I8875" s="14"/>
      <c r="P8875" s="14"/>
    </row>
    <row r="8876" ht="18.75" customHeight="1">
      <c r="A8876" s="14"/>
      <c r="B8876" s="12"/>
      <c r="C8876" s="12"/>
      <c r="D8876" s="12"/>
      <c r="E8876" s="12"/>
      <c r="F8876" s="14"/>
      <c r="G8876" s="15"/>
      <c r="H8876" s="15"/>
      <c r="I8876" s="14"/>
      <c r="P8876" s="14"/>
    </row>
    <row r="8877" ht="18.75" customHeight="1">
      <c r="A8877" s="14"/>
      <c r="B8877" s="12"/>
      <c r="C8877" s="12"/>
      <c r="D8877" s="12"/>
      <c r="E8877" s="12"/>
      <c r="F8877" s="14"/>
      <c r="G8877" s="15"/>
      <c r="H8877" s="15"/>
      <c r="I8877" s="14"/>
      <c r="P8877" s="14"/>
    </row>
    <row r="8878" ht="18.75" customHeight="1">
      <c r="A8878" s="14"/>
      <c r="B8878" s="12"/>
      <c r="C8878" s="12"/>
      <c r="D8878" s="12"/>
      <c r="E8878" s="12"/>
      <c r="F8878" s="14"/>
      <c r="G8878" s="15"/>
      <c r="H8878" s="15"/>
      <c r="I8878" s="14"/>
      <c r="P8878" s="14"/>
    </row>
    <row r="8879" ht="18.75" customHeight="1">
      <c r="A8879" s="14"/>
      <c r="B8879" s="12"/>
      <c r="C8879" s="12"/>
      <c r="D8879" s="12"/>
      <c r="E8879" s="12"/>
      <c r="F8879" s="14"/>
      <c r="G8879" s="15"/>
      <c r="H8879" s="15"/>
      <c r="I8879" s="14"/>
      <c r="P8879" s="14"/>
    </row>
    <row r="8880" ht="18.75" customHeight="1">
      <c r="A8880" s="14"/>
      <c r="B8880" s="12"/>
      <c r="C8880" s="12"/>
      <c r="D8880" s="12"/>
      <c r="E8880" s="12"/>
      <c r="F8880" s="14"/>
      <c r="G8880" s="15"/>
      <c r="H8880" s="15"/>
      <c r="I8880" s="14"/>
      <c r="P8880" s="14"/>
    </row>
    <row r="8881" ht="18.75" customHeight="1">
      <c r="A8881" s="14"/>
      <c r="B8881" s="12"/>
      <c r="C8881" s="12"/>
      <c r="D8881" s="12"/>
      <c r="E8881" s="12"/>
      <c r="F8881" s="14"/>
      <c r="G8881" s="15"/>
      <c r="H8881" s="15"/>
      <c r="I8881" s="14"/>
      <c r="P8881" s="14"/>
    </row>
    <row r="8882" ht="18.75" customHeight="1">
      <c r="A8882" s="14"/>
      <c r="B8882" s="12"/>
      <c r="C8882" s="12"/>
      <c r="D8882" s="12"/>
      <c r="E8882" s="12"/>
      <c r="F8882" s="14"/>
      <c r="G8882" s="15"/>
      <c r="H8882" s="15"/>
      <c r="I8882" s="14"/>
      <c r="P8882" s="14"/>
    </row>
    <row r="8883" ht="18.75" customHeight="1">
      <c r="A8883" s="14"/>
      <c r="B8883" s="12"/>
      <c r="C8883" s="12"/>
      <c r="D8883" s="12"/>
      <c r="E8883" s="12"/>
      <c r="F8883" s="14"/>
      <c r="G8883" s="15"/>
      <c r="H8883" s="15"/>
      <c r="I8883" s="14"/>
      <c r="P8883" s="14"/>
    </row>
    <row r="8884" ht="18.75" customHeight="1">
      <c r="A8884" s="14"/>
      <c r="B8884" s="12"/>
      <c r="C8884" s="12"/>
      <c r="D8884" s="12"/>
      <c r="E8884" s="12"/>
      <c r="F8884" s="14"/>
      <c r="G8884" s="15"/>
      <c r="H8884" s="15"/>
      <c r="I8884" s="14"/>
      <c r="P8884" s="14"/>
    </row>
    <row r="8885" ht="18.75" customHeight="1">
      <c r="A8885" s="14"/>
      <c r="B8885" s="12"/>
      <c r="C8885" s="12"/>
      <c r="D8885" s="12"/>
      <c r="E8885" s="12"/>
      <c r="F8885" s="14"/>
      <c r="G8885" s="15"/>
      <c r="H8885" s="15"/>
      <c r="I8885" s="14"/>
      <c r="P8885" s="14"/>
    </row>
    <row r="8886" ht="18.75" customHeight="1">
      <c r="A8886" s="14"/>
      <c r="B8886" s="12"/>
      <c r="C8886" s="12"/>
      <c r="D8886" s="12"/>
      <c r="E8886" s="12"/>
      <c r="F8886" s="14"/>
      <c r="G8886" s="15"/>
      <c r="H8886" s="15"/>
      <c r="I8886" s="14"/>
      <c r="P8886" s="14"/>
    </row>
    <row r="8887" ht="18.75" customHeight="1">
      <c r="A8887" s="14"/>
      <c r="B8887" s="12"/>
      <c r="C8887" s="12"/>
      <c r="D8887" s="12"/>
      <c r="E8887" s="12"/>
      <c r="F8887" s="14"/>
      <c r="G8887" s="15"/>
      <c r="H8887" s="15"/>
      <c r="I8887" s="14"/>
      <c r="P8887" s="14"/>
    </row>
    <row r="8888" ht="18.75" customHeight="1">
      <c r="A8888" s="14"/>
      <c r="B8888" s="12"/>
      <c r="C8888" s="12"/>
      <c r="D8888" s="12"/>
      <c r="E8888" s="12"/>
      <c r="F8888" s="14"/>
      <c r="G8888" s="15"/>
      <c r="H8888" s="15"/>
      <c r="I8888" s="14"/>
      <c r="P8888" s="14"/>
    </row>
    <row r="8889" ht="18.75" customHeight="1">
      <c r="A8889" s="14"/>
      <c r="B8889" s="12"/>
      <c r="C8889" s="12"/>
      <c r="D8889" s="12"/>
      <c r="E8889" s="12"/>
      <c r="F8889" s="14"/>
      <c r="G8889" s="15"/>
      <c r="H8889" s="15"/>
      <c r="I8889" s="14"/>
      <c r="P8889" s="14"/>
    </row>
    <row r="8890" ht="18.75" customHeight="1">
      <c r="A8890" s="14"/>
      <c r="B8890" s="12"/>
      <c r="C8890" s="12"/>
      <c r="D8890" s="12"/>
      <c r="E8890" s="12"/>
      <c r="F8890" s="14"/>
      <c r="G8890" s="15"/>
      <c r="H8890" s="15"/>
      <c r="I8890" s="14"/>
      <c r="P8890" s="14"/>
    </row>
    <row r="8891" ht="18.75" customHeight="1">
      <c r="A8891" s="14"/>
      <c r="B8891" s="12"/>
      <c r="C8891" s="12"/>
      <c r="D8891" s="12"/>
      <c r="E8891" s="12"/>
      <c r="F8891" s="14"/>
      <c r="G8891" s="15"/>
      <c r="H8891" s="15"/>
      <c r="I8891" s="14"/>
      <c r="P8891" s="14"/>
    </row>
    <row r="8892" ht="18.75" customHeight="1">
      <c r="A8892" s="14"/>
      <c r="B8892" s="12"/>
      <c r="C8892" s="12"/>
      <c r="D8892" s="12"/>
      <c r="E8892" s="12"/>
      <c r="F8892" s="14"/>
      <c r="G8892" s="15"/>
      <c r="H8892" s="15"/>
      <c r="I8892" s="14"/>
      <c r="P8892" s="14"/>
    </row>
    <row r="8893" ht="18.75" customHeight="1">
      <c r="A8893" s="14"/>
      <c r="B8893" s="12"/>
      <c r="C8893" s="12"/>
      <c r="D8893" s="12"/>
      <c r="E8893" s="12"/>
      <c r="F8893" s="14"/>
      <c r="G8893" s="15"/>
      <c r="H8893" s="15"/>
      <c r="I8893" s="14"/>
      <c r="P8893" s="14"/>
    </row>
    <row r="8894" ht="18.75" customHeight="1">
      <c r="A8894" s="14"/>
      <c r="B8894" s="12"/>
      <c r="C8894" s="12"/>
      <c r="D8894" s="12"/>
      <c r="E8894" s="12"/>
      <c r="F8894" s="14"/>
      <c r="G8894" s="15"/>
      <c r="H8894" s="15"/>
      <c r="I8894" s="14"/>
      <c r="P8894" s="14"/>
    </row>
    <row r="8895" ht="18.75" customHeight="1">
      <c r="A8895" s="14"/>
      <c r="B8895" s="12"/>
      <c r="C8895" s="12"/>
      <c r="D8895" s="12"/>
      <c r="E8895" s="12"/>
      <c r="F8895" s="14"/>
      <c r="G8895" s="15"/>
      <c r="H8895" s="15"/>
      <c r="I8895" s="14"/>
      <c r="P8895" s="14"/>
    </row>
    <row r="8896" ht="18.75" customHeight="1">
      <c r="A8896" s="14"/>
      <c r="B8896" s="12"/>
      <c r="C8896" s="12"/>
      <c r="D8896" s="12"/>
      <c r="E8896" s="12"/>
      <c r="F8896" s="14"/>
      <c r="G8896" s="15"/>
      <c r="H8896" s="15"/>
      <c r="I8896" s="14"/>
      <c r="P8896" s="14"/>
    </row>
    <row r="8897" ht="18.75" customHeight="1">
      <c r="A8897" s="14"/>
      <c r="B8897" s="12"/>
      <c r="C8897" s="12"/>
      <c r="D8897" s="12"/>
      <c r="E8897" s="12"/>
      <c r="F8897" s="14"/>
      <c r="G8897" s="15"/>
      <c r="H8897" s="15"/>
      <c r="I8897" s="14"/>
      <c r="P8897" s="14"/>
    </row>
    <row r="8898" ht="18.75" customHeight="1">
      <c r="A8898" s="14"/>
      <c r="B8898" s="12"/>
      <c r="C8898" s="12"/>
      <c r="D8898" s="12"/>
      <c r="E8898" s="12"/>
      <c r="F8898" s="14"/>
      <c r="G8898" s="15"/>
      <c r="H8898" s="15"/>
      <c r="I8898" s="14"/>
      <c r="P8898" s="14"/>
    </row>
    <row r="8899" ht="18.75" customHeight="1">
      <c r="A8899" s="14"/>
      <c r="B8899" s="12"/>
      <c r="C8899" s="12"/>
      <c r="D8899" s="12"/>
      <c r="E8899" s="12"/>
      <c r="F8899" s="14"/>
      <c r="G8899" s="15"/>
      <c r="H8899" s="15"/>
      <c r="I8899" s="14"/>
      <c r="P8899" s="14"/>
    </row>
    <row r="8900" ht="18.75" customHeight="1">
      <c r="A8900" s="14"/>
      <c r="B8900" s="12"/>
      <c r="C8900" s="12"/>
      <c r="D8900" s="12"/>
      <c r="E8900" s="12"/>
      <c r="F8900" s="14"/>
      <c r="G8900" s="15"/>
      <c r="H8900" s="15"/>
      <c r="I8900" s="14"/>
      <c r="P8900" s="14"/>
    </row>
    <row r="8901" ht="18.75" customHeight="1">
      <c r="A8901" s="14"/>
      <c r="B8901" s="12"/>
      <c r="C8901" s="12"/>
      <c r="D8901" s="12"/>
      <c r="E8901" s="12"/>
      <c r="F8901" s="14"/>
      <c r="G8901" s="15"/>
      <c r="H8901" s="15"/>
      <c r="I8901" s="14"/>
      <c r="P8901" s="14"/>
    </row>
    <row r="8902" ht="18.75" customHeight="1">
      <c r="A8902" s="14"/>
      <c r="B8902" s="12"/>
      <c r="C8902" s="12"/>
      <c r="D8902" s="12"/>
      <c r="E8902" s="12"/>
      <c r="F8902" s="14"/>
      <c r="G8902" s="15"/>
      <c r="H8902" s="15"/>
      <c r="I8902" s="14"/>
      <c r="P8902" s="14"/>
    </row>
    <row r="8903" ht="18.75" customHeight="1">
      <c r="A8903" s="14"/>
      <c r="B8903" s="12"/>
      <c r="C8903" s="12"/>
      <c r="D8903" s="12"/>
      <c r="E8903" s="12"/>
      <c r="F8903" s="14"/>
      <c r="G8903" s="15"/>
      <c r="H8903" s="15"/>
      <c r="I8903" s="14"/>
      <c r="P8903" s="14"/>
    </row>
    <row r="8904" ht="18.75" customHeight="1">
      <c r="A8904" s="14"/>
      <c r="B8904" s="12"/>
      <c r="C8904" s="12"/>
      <c r="D8904" s="12"/>
      <c r="E8904" s="12"/>
      <c r="F8904" s="14"/>
      <c r="G8904" s="15"/>
      <c r="H8904" s="15"/>
      <c r="I8904" s="14"/>
      <c r="P8904" s="14"/>
    </row>
    <row r="8905" ht="18.75" customHeight="1">
      <c r="A8905" s="14"/>
      <c r="B8905" s="12"/>
      <c r="C8905" s="12"/>
      <c r="D8905" s="12"/>
      <c r="E8905" s="12"/>
      <c r="F8905" s="14"/>
      <c r="G8905" s="15"/>
      <c r="H8905" s="15"/>
      <c r="I8905" s="14"/>
      <c r="P8905" s="14"/>
    </row>
    <row r="8906" ht="18.75" customHeight="1">
      <c r="A8906" s="14"/>
      <c r="B8906" s="12"/>
      <c r="C8906" s="12"/>
      <c r="D8906" s="12"/>
      <c r="E8906" s="12"/>
      <c r="F8906" s="14"/>
      <c r="G8906" s="15"/>
      <c r="H8906" s="15"/>
      <c r="I8906" s="14"/>
      <c r="P8906" s="14"/>
    </row>
    <row r="8907" ht="18.75" customHeight="1">
      <c r="A8907" s="14"/>
      <c r="B8907" s="12"/>
      <c r="C8907" s="12"/>
      <c r="D8907" s="12"/>
      <c r="E8907" s="12"/>
      <c r="F8907" s="14"/>
      <c r="G8907" s="15"/>
      <c r="H8907" s="15"/>
      <c r="I8907" s="14"/>
      <c r="P8907" s="14"/>
    </row>
    <row r="8908" ht="18.75" customHeight="1">
      <c r="A8908" s="14"/>
      <c r="B8908" s="12"/>
      <c r="C8908" s="12"/>
      <c r="D8908" s="12"/>
      <c r="E8908" s="12"/>
      <c r="F8908" s="14"/>
      <c r="G8908" s="15"/>
      <c r="H8908" s="15"/>
      <c r="I8908" s="14"/>
      <c r="P8908" s="14"/>
    </row>
    <row r="8909" ht="18.75" customHeight="1">
      <c r="A8909" s="14"/>
      <c r="B8909" s="12"/>
      <c r="C8909" s="12"/>
      <c r="D8909" s="12"/>
      <c r="E8909" s="12"/>
      <c r="F8909" s="14"/>
      <c r="G8909" s="15"/>
      <c r="H8909" s="15"/>
      <c r="I8909" s="14"/>
      <c r="P8909" s="14"/>
    </row>
    <row r="8910" ht="18.75" customHeight="1">
      <c r="A8910" s="14"/>
      <c r="B8910" s="12"/>
      <c r="C8910" s="12"/>
      <c r="D8910" s="12"/>
      <c r="E8910" s="12"/>
      <c r="F8910" s="14"/>
      <c r="G8910" s="15"/>
      <c r="H8910" s="15"/>
      <c r="I8910" s="14"/>
      <c r="P8910" s="14"/>
    </row>
    <row r="8911" ht="18.75" customHeight="1">
      <c r="A8911" s="14"/>
      <c r="B8911" s="12"/>
      <c r="C8911" s="12"/>
      <c r="D8911" s="12"/>
      <c r="E8911" s="12"/>
      <c r="F8911" s="14"/>
      <c r="G8911" s="15"/>
      <c r="H8911" s="15"/>
      <c r="I8911" s="14"/>
      <c r="P8911" s="14"/>
    </row>
    <row r="8912" ht="18.75" customHeight="1">
      <c r="A8912" s="14"/>
      <c r="B8912" s="12"/>
      <c r="C8912" s="12"/>
      <c r="D8912" s="12"/>
      <c r="E8912" s="12"/>
      <c r="F8912" s="14"/>
      <c r="G8912" s="15"/>
      <c r="H8912" s="15"/>
      <c r="I8912" s="14"/>
      <c r="P8912" s="14"/>
    </row>
    <row r="8913" ht="18.75" customHeight="1">
      <c r="A8913" s="14"/>
      <c r="B8913" s="12"/>
      <c r="C8913" s="12"/>
      <c r="D8913" s="12"/>
      <c r="E8913" s="12"/>
      <c r="F8913" s="14"/>
      <c r="G8913" s="15"/>
      <c r="H8913" s="15"/>
      <c r="I8913" s="14"/>
      <c r="P8913" s="14"/>
    </row>
    <row r="8914" ht="18.75" customHeight="1">
      <c r="A8914" s="14"/>
      <c r="B8914" s="12"/>
      <c r="C8914" s="12"/>
      <c r="D8914" s="12"/>
      <c r="E8914" s="12"/>
      <c r="F8914" s="14"/>
      <c r="G8914" s="15"/>
      <c r="H8914" s="15"/>
      <c r="I8914" s="14"/>
      <c r="P8914" s="14"/>
    </row>
    <row r="8915" ht="18.75" customHeight="1">
      <c r="A8915" s="14"/>
      <c r="B8915" s="12"/>
      <c r="C8915" s="12"/>
      <c r="D8915" s="12"/>
      <c r="E8915" s="12"/>
      <c r="F8915" s="14"/>
      <c r="G8915" s="15"/>
      <c r="H8915" s="15"/>
      <c r="I8915" s="14"/>
      <c r="P8915" s="14"/>
    </row>
    <row r="8916" ht="18.75" customHeight="1">
      <c r="A8916" s="14"/>
      <c r="B8916" s="12"/>
      <c r="C8916" s="12"/>
      <c r="D8916" s="12"/>
      <c r="E8916" s="12"/>
      <c r="F8916" s="14"/>
      <c r="G8916" s="15"/>
      <c r="H8916" s="15"/>
      <c r="I8916" s="14"/>
      <c r="P8916" s="14"/>
    </row>
    <row r="8917" ht="18.75" customHeight="1">
      <c r="A8917" s="14"/>
      <c r="B8917" s="12"/>
      <c r="C8917" s="12"/>
      <c r="D8917" s="12"/>
      <c r="E8917" s="12"/>
      <c r="F8917" s="14"/>
      <c r="G8917" s="15"/>
      <c r="H8917" s="15"/>
      <c r="I8917" s="14"/>
      <c r="P8917" s="14"/>
    </row>
    <row r="8918" ht="18.75" customHeight="1">
      <c r="A8918" s="14"/>
      <c r="B8918" s="12"/>
      <c r="C8918" s="12"/>
      <c r="D8918" s="12"/>
      <c r="E8918" s="12"/>
      <c r="F8918" s="14"/>
      <c r="G8918" s="15"/>
      <c r="H8918" s="15"/>
      <c r="I8918" s="14"/>
      <c r="P8918" s="14"/>
    </row>
    <row r="8919" ht="18.75" customHeight="1">
      <c r="A8919" s="14"/>
      <c r="B8919" s="12"/>
      <c r="C8919" s="12"/>
      <c r="D8919" s="12"/>
      <c r="E8919" s="12"/>
      <c r="F8919" s="14"/>
      <c r="G8919" s="15"/>
      <c r="H8919" s="15"/>
      <c r="I8919" s="14"/>
      <c r="P8919" s="14"/>
    </row>
    <row r="8920" ht="18.75" customHeight="1">
      <c r="A8920" s="14"/>
      <c r="B8920" s="12"/>
      <c r="C8920" s="12"/>
      <c r="D8920" s="12"/>
      <c r="E8920" s="12"/>
      <c r="F8920" s="14"/>
      <c r="G8920" s="15"/>
      <c r="H8920" s="15"/>
      <c r="I8920" s="14"/>
      <c r="P8920" s="14"/>
    </row>
    <row r="8921" ht="18.75" customHeight="1">
      <c r="A8921" s="14"/>
      <c r="B8921" s="12"/>
      <c r="C8921" s="12"/>
      <c r="D8921" s="12"/>
      <c r="E8921" s="12"/>
      <c r="F8921" s="14"/>
      <c r="G8921" s="15"/>
      <c r="H8921" s="15"/>
      <c r="I8921" s="14"/>
      <c r="P8921" s="14"/>
    </row>
    <row r="8922" ht="18.75" customHeight="1">
      <c r="A8922" s="14"/>
      <c r="B8922" s="12"/>
      <c r="C8922" s="12"/>
      <c r="D8922" s="12"/>
      <c r="E8922" s="12"/>
      <c r="F8922" s="14"/>
      <c r="G8922" s="15"/>
      <c r="H8922" s="15"/>
      <c r="I8922" s="14"/>
      <c r="P8922" s="14"/>
    </row>
    <row r="8923" ht="18.75" customHeight="1">
      <c r="A8923" s="14"/>
      <c r="B8923" s="12"/>
      <c r="C8923" s="12"/>
      <c r="D8923" s="12"/>
      <c r="E8923" s="12"/>
      <c r="F8923" s="14"/>
      <c r="G8923" s="15"/>
      <c r="H8923" s="15"/>
      <c r="I8923" s="14"/>
      <c r="P8923" s="14"/>
    </row>
    <row r="8924" ht="18.75" customHeight="1">
      <c r="A8924" s="14"/>
      <c r="B8924" s="12"/>
      <c r="C8924" s="12"/>
      <c r="D8924" s="12"/>
      <c r="E8924" s="12"/>
      <c r="F8924" s="14"/>
      <c r="G8924" s="15"/>
      <c r="H8924" s="15"/>
      <c r="I8924" s="14"/>
      <c r="P8924" s="14"/>
    </row>
    <row r="8925" ht="18.75" customHeight="1">
      <c r="A8925" s="14"/>
      <c r="B8925" s="12"/>
      <c r="C8925" s="12"/>
      <c r="D8925" s="12"/>
      <c r="E8925" s="12"/>
      <c r="F8925" s="14"/>
      <c r="G8925" s="15"/>
      <c r="H8925" s="15"/>
      <c r="I8925" s="14"/>
      <c r="P8925" s="14"/>
    </row>
    <row r="8926" ht="18.75" customHeight="1">
      <c r="A8926" s="14"/>
      <c r="B8926" s="12"/>
      <c r="C8926" s="12"/>
      <c r="D8926" s="12"/>
      <c r="E8926" s="12"/>
      <c r="F8926" s="14"/>
      <c r="G8926" s="15"/>
      <c r="H8926" s="15"/>
      <c r="I8926" s="14"/>
      <c r="P8926" s="14"/>
    </row>
    <row r="8927" ht="18.75" customHeight="1">
      <c r="A8927" s="14"/>
      <c r="B8927" s="12"/>
      <c r="C8927" s="12"/>
      <c r="D8927" s="12"/>
      <c r="E8927" s="12"/>
      <c r="F8927" s="14"/>
      <c r="G8927" s="15"/>
      <c r="H8927" s="15"/>
      <c r="I8927" s="14"/>
      <c r="P8927" s="14"/>
    </row>
    <row r="8928" ht="18.75" customHeight="1">
      <c r="A8928" s="14"/>
      <c r="B8928" s="12"/>
      <c r="C8928" s="12"/>
      <c r="D8928" s="12"/>
      <c r="E8928" s="12"/>
      <c r="F8928" s="14"/>
      <c r="G8928" s="15"/>
      <c r="H8928" s="15"/>
      <c r="I8928" s="14"/>
      <c r="P8928" s="14"/>
    </row>
    <row r="8929" ht="18.75" customHeight="1">
      <c r="A8929" s="14"/>
      <c r="B8929" s="12"/>
      <c r="C8929" s="12"/>
      <c r="D8929" s="12"/>
      <c r="E8929" s="12"/>
      <c r="F8929" s="14"/>
      <c r="G8929" s="15"/>
      <c r="H8929" s="15"/>
      <c r="I8929" s="14"/>
      <c r="P8929" s="14"/>
    </row>
    <row r="8930" ht="18.75" customHeight="1">
      <c r="A8930" s="14"/>
      <c r="B8930" s="12"/>
      <c r="C8930" s="12"/>
      <c r="D8930" s="12"/>
      <c r="E8930" s="12"/>
      <c r="F8930" s="14"/>
      <c r="G8930" s="15"/>
      <c r="H8930" s="15"/>
      <c r="I8930" s="14"/>
      <c r="P8930" s="14"/>
    </row>
    <row r="8931" ht="18.75" customHeight="1">
      <c r="A8931" s="14"/>
      <c r="B8931" s="12"/>
      <c r="C8931" s="12"/>
      <c r="D8931" s="12"/>
      <c r="E8931" s="12"/>
      <c r="F8931" s="14"/>
      <c r="G8931" s="15"/>
      <c r="H8931" s="15"/>
      <c r="I8931" s="14"/>
      <c r="P8931" s="14"/>
    </row>
    <row r="8932" ht="18.75" customHeight="1">
      <c r="A8932" s="14"/>
      <c r="B8932" s="12"/>
      <c r="C8932" s="12"/>
      <c r="D8932" s="12"/>
      <c r="E8932" s="12"/>
      <c r="F8932" s="14"/>
      <c r="G8932" s="15"/>
      <c r="H8932" s="15"/>
      <c r="I8932" s="14"/>
      <c r="P8932" s="14"/>
    </row>
    <row r="8933" ht="18.75" customHeight="1">
      <c r="A8933" s="14"/>
      <c r="B8933" s="12"/>
      <c r="C8933" s="12"/>
      <c r="D8933" s="12"/>
      <c r="E8933" s="12"/>
      <c r="F8933" s="14"/>
      <c r="G8933" s="15"/>
      <c r="H8933" s="15"/>
      <c r="I8933" s="14"/>
      <c r="P8933" s="14"/>
    </row>
    <row r="8934" ht="18.75" customHeight="1">
      <c r="A8934" s="14"/>
      <c r="B8934" s="12"/>
      <c r="C8934" s="12"/>
      <c r="D8934" s="12"/>
      <c r="E8934" s="12"/>
      <c r="F8934" s="14"/>
      <c r="G8934" s="15"/>
      <c r="H8934" s="15"/>
      <c r="I8934" s="14"/>
      <c r="P8934" s="14"/>
    </row>
    <row r="8935" ht="18.75" customHeight="1">
      <c r="A8935" s="14"/>
      <c r="B8935" s="12"/>
      <c r="C8935" s="12"/>
      <c r="D8935" s="12"/>
      <c r="E8935" s="12"/>
      <c r="F8935" s="14"/>
      <c r="G8935" s="15"/>
      <c r="H8935" s="15"/>
      <c r="I8935" s="14"/>
      <c r="P8935" s="14"/>
    </row>
    <row r="8936" ht="18.75" customHeight="1">
      <c r="A8936" s="14"/>
      <c r="B8936" s="12"/>
      <c r="C8936" s="12"/>
      <c r="D8936" s="12"/>
      <c r="E8936" s="12"/>
      <c r="F8936" s="14"/>
      <c r="G8936" s="15"/>
      <c r="H8936" s="15"/>
      <c r="I8936" s="14"/>
      <c r="P8936" s="14"/>
    </row>
    <row r="8937" ht="18.75" customHeight="1">
      <c r="A8937" s="14"/>
      <c r="B8937" s="12"/>
      <c r="C8937" s="12"/>
      <c r="D8937" s="12"/>
      <c r="E8937" s="12"/>
      <c r="F8937" s="14"/>
      <c r="G8937" s="15"/>
      <c r="H8937" s="15"/>
      <c r="I8937" s="14"/>
      <c r="P8937" s="14"/>
    </row>
    <row r="8938" ht="18.75" customHeight="1">
      <c r="A8938" s="14"/>
      <c r="B8938" s="12"/>
      <c r="C8938" s="12"/>
      <c r="D8938" s="12"/>
      <c r="E8938" s="12"/>
      <c r="F8938" s="14"/>
      <c r="G8938" s="15"/>
      <c r="H8938" s="15"/>
      <c r="I8938" s="14"/>
      <c r="P8938" s="14"/>
    </row>
    <row r="8939" ht="18.75" customHeight="1">
      <c r="A8939" s="14"/>
      <c r="B8939" s="12"/>
      <c r="C8939" s="12"/>
      <c r="D8939" s="12"/>
      <c r="E8939" s="12"/>
      <c r="F8939" s="14"/>
      <c r="G8939" s="15"/>
      <c r="H8939" s="15"/>
      <c r="I8939" s="14"/>
      <c r="P8939" s="14"/>
    </row>
    <row r="8940" ht="18.75" customHeight="1">
      <c r="A8940" s="14"/>
      <c r="B8940" s="12"/>
      <c r="C8940" s="12"/>
      <c r="D8940" s="12"/>
      <c r="E8940" s="12"/>
      <c r="F8940" s="14"/>
      <c r="G8940" s="15"/>
      <c r="H8940" s="15"/>
      <c r="I8940" s="14"/>
      <c r="P8940" s="14"/>
    </row>
    <row r="8941" ht="18.75" customHeight="1">
      <c r="A8941" s="14"/>
      <c r="B8941" s="12"/>
      <c r="C8941" s="12"/>
      <c r="D8941" s="12"/>
      <c r="E8941" s="12"/>
      <c r="F8941" s="14"/>
      <c r="G8941" s="15"/>
      <c r="H8941" s="15"/>
      <c r="I8941" s="14"/>
      <c r="P8941" s="14"/>
    </row>
    <row r="8942" ht="18.75" customHeight="1">
      <c r="A8942" s="14"/>
      <c r="B8942" s="12"/>
      <c r="C8942" s="12"/>
      <c r="D8942" s="12"/>
      <c r="E8942" s="12"/>
      <c r="F8942" s="14"/>
      <c r="G8942" s="15"/>
      <c r="H8942" s="15"/>
      <c r="I8942" s="14"/>
      <c r="P8942" s="14"/>
    </row>
    <row r="8943" ht="18.75" customHeight="1">
      <c r="A8943" s="14"/>
      <c r="B8943" s="12"/>
      <c r="C8943" s="12"/>
      <c r="D8943" s="12"/>
      <c r="E8943" s="12"/>
      <c r="F8943" s="14"/>
      <c r="G8943" s="15"/>
      <c r="H8943" s="15"/>
      <c r="I8943" s="14"/>
      <c r="P8943" s="14"/>
    </row>
    <row r="8944" ht="18.75" customHeight="1">
      <c r="A8944" s="14"/>
      <c r="B8944" s="12"/>
      <c r="C8944" s="12"/>
      <c r="D8944" s="12"/>
      <c r="E8944" s="12"/>
      <c r="F8944" s="14"/>
      <c r="G8944" s="15"/>
      <c r="H8944" s="15"/>
      <c r="I8944" s="14"/>
      <c r="P8944" s="14"/>
    </row>
    <row r="8945" ht="18.75" customHeight="1">
      <c r="A8945" s="14"/>
      <c r="B8945" s="12"/>
      <c r="C8945" s="12"/>
      <c r="D8945" s="12"/>
      <c r="E8945" s="12"/>
      <c r="F8945" s="14"/>
      <c r="G8945" s="15"/>
      <c r="H8945" s="15"/>
      <c r="I8945" s="14"/>
      <c r="P8945" s="14"/>
    </row>
    <row r="8946" ht="18.75" customHeight="1">
      <c r="A8946" s="14"/>
      <c r="B8946" s="12"/>
      <c r="C8946" s="12"/>
      <c r="D8946" s="12"/>
      <c r="E8946" s="12"/>
      <c r="F8946" s="14"/>
      <c r="G8946" s="15"/>
      <c r="H8946" s="15"/>
      <c r="I8946" s="14"/>
      <c r="P8946" s="14"/>
    </row>
    <row r="8947" ht="18.75" customHeight="1">
      <c r="A8947" s="14"/>
      <c r="B8947" s="12"/>
      <c r="C8947" s="12"/>
      <c r="D8947" s="12"/>
      <c r="E8947" s="12"/>
      <c r="F8947" s="14"/>
      <c r="G8947" s="15"/>
      <c r="H8947" s="15"/>
      <c r="I8947" s="14"/>
      <c r="P8947" s="14"/>
    </row>
    <row r="8948" ht="18.75" customHeight="1">
      <c r="A8948" s="14"/>
      <c r="B8948" s="12"/>
      <c r="C8948" s="12"/>
      <c r="D8948" s="12"/>
      <c r="E8948" s="12"/>
      <c r="F8948" s="14"/>
      <c r="G8948" s="15"/>
      <c r="H8948" s="15"/>
      <c r="I8948" s="14"/>
      <c r="P8948" s="14"/>
    </row>
    <row r="8949" ht="18.75" customHeight="1">
      <c r="A8949" s="14"/>
      <c r="B8949" s="12"/>
      <c r="C8949" s="12"/>
      <c r="D8949" s="12"/>
      <c r="E8949" s="12"/>
      <c r="F8949" s="14"/>
      <c r="G8949" s="15"/>
      <c r="H8949" s="15"/>
      <c r="I8949" s="14"/>
      <c r="P8949" s="14"/>
    </row>
    <row r="8950" ht="18.75" customHeight="1">
      <c r="A8950" s="14"/>
      <c r="B8950" s="12"/>
      <c r="C8950" s="12"/>
      <c r="D8950" s="12"/>
      <c r="E8950" s="12"/>
      <c r="F8950" s="14"/>
      <c r="G8950" s="15"/>
      <c r="H8950" s="15"/>
      <c r="I8950" s="14"/>
      <c r="P8950" s="14"/>
    </row>
    <row r="8951" ht="18.75" customHeight="1">
      <c r="A8951" s="14"/>
      <c r="B8951" s="12"/>
      <c r="C8951" s="12"/>
      <c r="D8951" s="12"/>
      <c r="E8951" s="12"/>
      <c r="F8951" s="14"/>
      <c r="G8951" s="15"/>
      <c r="H8951" s="15"/>
      <c r="I8951" s="14"/>
      <c r="P8951" s="14"/>
    </row>
    <row r="8952" ht="18.75" customHeight="1">
      <c r="A8952" s="14"/>
      <c r="B8952" s="12"/>
      <c r="C8952" s="12"/>
      <c r="D8952" s="12"/>
      <c r="E8952" s="12"/>
      <c r="F8952" s="14"/>
      <c r="G8952" s="15"/>
      <c r="H8952" s="15"/>
      <c r="I8952" s="14"/>
      <c r="P8952" s="14"/>
    </row>
    <row r="8953" ht="18.75" customHeight="1">
      <c r="A8953" s="14"/>
      <c r="B8953" s="12"/>
      <c r="C8953" s="12"/>
      <c r="D8953" s="12"/>
      <c r="E8953" s="12"/>
      <c r="F8953" s="14"/>
      <c r="G8953" s="15"/>
      <c r="H8953" s="15"/>
      <c r="I8953" s="14"/>
      <c r="P8953" s="14"/>
    </row>
    <row r="8954" ht="18.75" customHeight="1">
      <c r="A8954" s="14"/>
      <c r="B8954" s="12"/>
      <c r="C8954" s="12"/>
      <c r="D8954" s="12"/>
      <c r="E8954" s="12"/>
      <c r="F8954" s="14"/>
      <c r="G8954" s="15"/>
      <c r="H8954" s="15"/>
      <c r="I8954" s="14"/>
      <c r="P8954" s="14"/>
    </row>
    <row r="8955" ht="18.75" customHeight="1">
      <c r="A8955" s="14"/>
      <c r="B8955" s="12"/>
      <c r="C8955" s="12"/>
      <c r="D8955" s="12"/>
      <c r="E8955" s="12"/>
      <c r="F8955" s="14"/>
      <c r="G8955" s="15"/>
      <c r="H8955" s="15"/>
      <c r="I8955" s="14"/>
      <c r="P8955" s="14"/>
    </row>
    <row r="8956" ht="18.75" customHeight="1">
      <c r="A8956" s="14"/>
      <c r="B8956" s="12"/>
      <c r="C8956" s="12"/>
      <c r="D8956" s="12"/>
      <c r="E8956" s="12"/>
      <c r="F8956" s="14"/>
      <c r="G8956" s="15"/>
      <c r="H8956" s="15"/>
      <c r="I8956" s="14"/>
      <c r="P8956" s="14"/>
    </row>
    <row r="8957" ht="18.75" customHeight="1">
      <c r="A8957" s="14"/>
      <c r="B8957" s="12"/>
      <c r="C8957" s="12"/>
      <c r="D8957" s="12"/>
      <c r="E8957" s="12"/>
      <c r="F8957" s="14"/>
      <c r="G8957" s="15"/>
      <c r="H8957" s="15"/>
      <c r="I8957" s="14"/>
      <c r="P8957" s="14"/>
    </row>
    <row r="8958" ht="18.75" customHeight="1">
      <c r="A8958" s="14"/>
      <c r="B8958" s="12"/>
      <c r="C8958" s="12"/>
      <c r="D8958" s="12"/>
      <c r="E8958" s="12"/>
      <c r="F8958" s="14"/>
      <c r="G8958" s="15"/>
      <c r="H8958" s="15"/>
      <c r="I8958" s="14"/>
      <c r="P8958" s="14"/>
    </row>
    <row r="8959" ht="18.75" customHeight="1">
      <c r="A8959" s="14"/>
      <c r="B8959" s="12"/>
      <c r="C8959" s="12"/>
      <c r="D8959" s="12"/>
      <c r="E8959" s="12"/>
      <c r="F8959" s="14"/>
      <c r="G8959" s="15"/>
      <c r="H8959" s="15"/>
      <c r="I8959" s="14"/>
      <c r="P8959" s="14"/>
    </row>
    <row r="8960" ht="18.75" customHeight="1">
      <c r="A8960" s="14"/>
      <c r="B8960" s="12"/>
      <c r="C8960" s="12"/>
      <c r="D8960" s="12"/>
      <c r="E8960" s="12"/>
      <c r="F8960" s="14"/>
      <c r="G8960" s="15"/>
      <c r="H8960" s="15"/>
      <c r="I8960" s="14"/>
      <c r="P8960" s="14"/>
    </row>
    <row r="8961" ht="18.75" customHeight="1">
      <c r="A8961" s="14"/>
      <c r="B8961" s="12"/>
      <c r="C8961" s="12"/>
      <c r="D8961" s="12"/>
      <c r="E8961" s="12"/>
      <c r="F8961" s="14"/>
      <c r="G8961" s="15"/>
      <c r="H8961" s="15"/>
      <c r="I8961" s="14"/>
      <c r="P8961" s="14"/>
    </row>
    <row r="8962" ht="18.75" customHeight="1">
      <c r="A8962" s="14"/>
      <c r="B8962" s="12"/>
      <c r="C8962" s="12"/>
      <c r="D8962" s="12"/>
      <c r="E8962" s="12"/>
      <c r="F8962" s="14"/>
      <c r="G8962" s="15"/>
      <c r="H8962" s="15"/>
      <c r="I8962" s="14"/>
      <c r="P8962" s="14"/>
    </row>
    <row r="8963" ht="18.75" customHeight="1">
      <c r="A8963" s="14"/>
      <c r="B8963" s="12"/>
      <c r="C8963" s="12"/>
      <c r="D8963" s="12"/>
      <c r="E8963" s="12"/>
      <c r="F8963" s="14"/>
      <c r="G8963" s="15"/>
      <c r="H8963" s="15"/>
      <c r="I8963" s="14"/>
      <c r="P8963" s="14"/>
    </row>
    <row r="8964" ht="18.75" customHeight="1">
      <c r="A8964" s="14"/>
      <c r="B8964" s="12"/>
      <c r="C8964" s="12"/>
      <c r="D8964" s="12"/>
      <c r="E8964" s="12"/>
      <c r="F8964" s="14"/>
      <c r="G8964" s="15"/>
      <c r="H8964" s="15"/>
      <c r="I8964" s="14"/>
      <c r="P8964" s="14"/>
    </row>
    <row r="8965" ht="18.75" customHeight="1">
      <c r="A8965" s="14"/>
      <c r="B8965" s="12"/>
      <c r="C8965" s="12"/>
      <c r="D8965" s="12"/>
      <c r="E8965" s="12"/>
      <c r="F8965" s="14"/>
      <c r="G8965" s="15"/>
      <c r="H8965" s="15"/>
      <c r="I8965" s="14"/>
      <c r="P8965" s="14"/>
    </row>
    <row r="8966" ht="18.75" customHeight="1">
      <c r="A8966" s="14"/>
      <c r="B8966" s="12"/>
      <c r="C8966" s="12"/>
      <c r="D8966" s="12"/>
      <c r="E8966" s="12"/>
      <c r="F8966" s="14"/>
      <c r="G8966" s="15"/>
      <c r="H8966" s="15"/>
      <c r="I8966" s="14"/>
      <c r="P8966" s="14"/>
    </row>
    <row r="8967" ht="18.75" customHeight="1">
      <c r="A8967" s="14"/>
      <c r="B8967" s="12"/>
      <c r="C8967" s="12"/>
      <c r="D8967" s="12"/>
      <c r="E8967" s="12"/>
      <c r="F8967" s="14"/>
      <c r="G8967" s="15"/>
      <c r="H8967" s="15"/>
      <c r="I8967" s="14"/>
      <c r="P8967" s="14"/>
    </row>
    <row r="8968" ht="18.75" customHeight="1">
      <c r="A8968" s="14"/>
      <c r="B8968" s="12"/>
      <c r="C8968" s="12"/>
      <c r="D8968" s="12"/>
      <c r="E8968" s="12"/>
      <c r="F8968" s="14"/>
      <c r="G8968" s="15"/>
      <c r="H8968" s="15"/>
      <c r="I8968" s="14"/>
      <c r="P8968" s="14"/>
    </row>
    <row r="8969" ht="18.75" customHeight="1">
      <c r="A8969" s="14"/>
      <c r="B8969" s="12"/>
      <c r="C8969" s="12"/>
      <c r="D8969" s="12"/>
      <c r="E8969" s="12"/>
      <c r="F8969" s="14"/>
      <c r="G8969" s="15"/>
      <c r="H8969" s="15"/>
      <c r="I8969" s="14"/>
      <c r="P8969" s="14"/>
    </row>
    <row r="8970" ht="18.75" customHeight="1">
      <c r="A8970" s="14"/>
      <c r="B8970" s="12"/>
      <c r="C8970" s="12"/>
      <c r="D8970" s="12"/>
      <c r="E8970" s="12"/>
      <c r="F8970" s="14"/>
      <c r="G8970" s="15"/>
      <c r="H8970" s="15"/>
      <c r="I8970" s="14"/>
      <c r="P8970" s="14"/>
    </row>
    <row r="8971" ht="18.75" customHeight="1">
      <c r="A8971" s="14"/>
      <c r="B8971" s="12"/>
      <c r="C8971" s="12"/>
      <c r="D8971" s="12"/>
      <c r="E8971" s="12"/>
      <c r="F8971" s="14"/>
      <c r="G8971" s="15"/>
      <c r="H8971" s="15"/>
      <c r="I8971" s="14"/>
      <c r="P8971" s="14"/>
    </row>
    <row r="8972" ht="18.75" customHeight="1">
      <c r="A8972" s="14"/>
      <c r="B8972" s="12"/>
      <c r="C8972" s="12"/>
      <c r="D8972" s="12"/>
      <c r="E8972" s="12"/>
      <c r="F8972" s="14"/>
      <c r="G8972" s="15"/>
      <c r="H8972" s="15"/>
      <c r="I8972" s="14"/>
      <c r="P8972" s="14"/>
    </row>
    <row r="8973" ht="18.75" customHeight="1">
      <c r="A8973" s="14"/>
      <c r="B8973" s="12"/>
      <c r="C8973" s="12"/>
      <c r="D8973" s="12"/>
      <c r="E8973" s="12"/>
      <c r="F8973" s="14"/>
      <c r="G8973" s="15"/>
      <c r="H8973" s="15"/>
      <c r="I8973" s="14"/>
      <c r="P8973" s="14"/>
    </row>
    <row r="8974" ht="18.75" customHeight="1">
      <c r="A8974" s="14"/>
      <c r="B8974" s="12"/>
      <c r="C8974" s="12"/>
      <c r="D8974" s="12"/>
      <c r="E8974" s="12"/>
      <c r="F8974" s="14"/>
      <c r="G8974" s="15"/>
      <c r="H8974" s="15"/>
      <c r="I8974" s="14"/>
      <c r="P8974" s="14"/>
    </row>
    <row r="8975" ht="18.75" customHeight="1">
      <c r="A8975" s="14"/>
      <c r="B8975" s="12"/>
      <c r="C8975" s="12"/>
      <c r="D8975" s="12"/>
      <c r="E8975" s="12"/>
      <c r="F8975" s="14"/>
      <c r="G8975" s="15"/>
      <c r="H8975" s="15"/>
      <c r="I8975" s="14"/>
      <c r="P8975" s="14"/>
    </row>
    <row r="8976" ht="18.75" customHeight="1">
      <c r="A8976" s="14"/>
      <c r="B8976" s="12"/>
      <c r="C8976" s="12"/>
      <c r="D8976" s="12"/>
      <c r="E8976" s="12"/>
      <c r="F8976" s="14"/>
      <c r="G8976" s="15"/>
      <c r="H8976" s="15"/>
      <c r="I8976" s="14"/>
      <c r="P8976" s="14"/>
    </row>
    <row r="8977" ht="18.75" customHeight="1">
      <c r="A8977" s="14"/>
      <c r="B8977" s="12"/>
      <c r="C8977" s="12"/>
      <c r="D8977" s="12"/>
      <c r="E8977" s="12"/>
      <c r="F8977" s="14"/>
      <c r="G8977" s="15"/>
      <c r="H8977" s="15"/>
      <c r="I8977" s="14"/>
      <c r="P8977" s="14"/>
    </row>
    <row r="8978" ht="18.75" customHeight="1">
      <c r="A8978" s="14"/>
      <c r="B8978" s="12"/>
      <c r="C8978" s="12"/>
      <c r="D8978" s="12"/>
      <c r="E8978" s="12"/>
      <c r="F8978" s="14"/>
      <c r="G8978" s="15"/>
      <c r="H8978" s="15"/>
      <c r="I8978" s="14"/>
      <c r="P8978" s="14"/>
    </row>
    <row r="8979" ht="18.75" customHeight="1">
      <c r="A8979" s="14"/>
      <c r="B8979" s="12"/>
      <c r="C8979" s="12"/>
      <c r="D8979" s="12"/>
      <c r="E8979" s="12"/>
      <c r="F8979" s="14"/>
      <c r="G8979" s="15"/>
      <c r="H8979" s="15"/>
      <c r="I8979" s="14"/>
      <c r="P8979" s="14"/>
    </row>
    <row r="8980" ht="18.75" customHeight="1">
      <c r="A8980" s="14"/>
      <c r="B8980" s="12"/>
      <c r="C8980" s="12"/>
      <c r="D8980" s="12"/>
      <c r="E8980" s="12"/>
      <c r="F8980" s="14"/>
      <c r="G8980" s="15"/>
      <c r="H8980" s="15"/>
      <c r="I8980" s="14"/>
      <c r="P8980" s="14"/>
    </row>
    <row r="8981" ht="18.75" customHeight="1">
      <c r="A8981" s="14"/>
      <c r="B8981" s="12"/>
      <c r="C8981" s="12"/>
      <c r="D8981" s="12"/>
      <c r="E8981" s="12"/>
      <c r="F8981" s="14"/>
      <c r="G8981" s="15"/>
      <c r="H8981" s="15"/>
      <c r="I8981" s="14"/>
      <c r="P8981" s="14"/>
    </row>
    <row r="8982" ht="18.75" customHeight="1">
      <c r="A8982" s="14"/>
      <c r="B8982" s="12"/>
      <c r="C8982" s="12"/>
      <c r="D8982" s="12"/>
      <c r="E8982" s="12"/>
      <c r="F8982" s="14"/>
      <c r="G8982" s="15"/>
      <c r="H8982" s="15"/>
      <c r="I8982" s="14"/>
      <c r="P8982" s="14"/>
    </row>
    <row r="8983" ht="18.75" customHeight="1">
      <c r="A8983" s="14"/>
      <c r="B8983" s="12"/>
      <c r="C8983" s="12"/>
      <c r="D8983" s="12"/>
      <c r="E8983" s="12"/>
      <c r="F8983" s="14"/>
      <c r="G8983" s="15"/>
      <c r="H8983" s="15"/>
      <c r="I8983" s="14"/>
      <c r="P8983" s="14"/>
    </row>
    <row r="8984" ht="18.75" customHeight="1">
      <c r="A8984" s="14"/>
      <c r="B8984" s="12"/>
      <c r="C8984" s="12"/>
      <c r="D8984" s="12"/>
      <c r="E8984" s="12"/>
      <c r="F8984" s="14"/>
      <c r="G8984" s="15"/>
      <c r="H8984" s="15"/>
      <c r="I8984" s="14"/>
      <c r="P8984" s="14"/>
    </row>
    <row r="8985" ht="18.75" customHeight="1">
      <c r="A8985" s="14"/>
      <c r="B8985" s="12"/>
      <c r="C8985" s="12"/>
      <c r="D8985" s="12"/>
      <c r="E8985" s="12"/>
      <c r="F8985" s="14"/>
      <c r="G8985" s="15"/>
      <c r="H8985" s="15"/>
      <c r="I8985" s="14"/>
      <c r="P8985" s="14"/>
    </row>
    <row r="8986" ht="18.75" customHeight="1">
      <c r="A8986" s="14"/>
      <c r="B8986" s="12"/>
      <c r="C8986" s="12"/>
      <c r="D8986" s="12"/>
      <c r="E8986" s="12"/>
      <c r="F8986" s="14"/>
      <c r="G8986" s="15"/>
      <c r="H8986" s="15"/>
      <c r="I8986" s="14"/>
      <c r="P8986" s="14"/>
    </row>
    <row r="8987" ht="18.75" customHeight="1">
      <c r="A8987" s="14"/>
      <c r="B8987" s="12"/>
      <c r="C8987" s="12"/>
      <c r="D8987" s="12"/>
      <c r="E8987" s="12"/>
      <c r="F8987" s="14"/>
      <c r="G8987" s="15"/>
      <c r="H8987" s="15"/>
      <c r="I8987" s="14"/>
      <c r="P8987" s="14"/>
    </row>
    <row r="8988" ht="18.75" customHeight="1">
      <c r="A8988" s="14"/>
      <c r="B8988" s="12"/>
      <c r="C8988" s="12"/>
      <c r="D8988" s="12"/>
      <c r="E8988" s="12"/>
      <c r="F8988" s="14"/>
      <c r="G8988" s="15"/>
      <c r="H8988" s="15"/>
      <c r="I8988" s="14"/>
      <c r="P8988" s="14"/>
    </row>
    <row r="8989" ht="18.75" customHeight="1">
      <c r="A8989" s="14"/>
      <c r="B8989" s="12"/>
      <c r="C8989" s="12"/>
      <c r="D8989" s="12"/>
      <c r="E8989" s="12"/>
      <c r="F8989" s="14"/>
      <c r="G8989" s="15"/>
      <c r="H8989" s="15"/>
      <c r="I8989" s="14"/>
      <c r="P8989" s="14"/>
    </row>
    <row r="8990" ht="18.75" customHeight="1">
      <c r="A8990" s="14"/>
      <c r="B8990" s="12"/>
      <c r="C8990" s="12"/>
      <c r="D8990" s="12"/>
      <c r="E8990" s="12"/>
      <c r="F8990" s="14"/>
      <c r="G8990" s="15"/>
      <c r="H8990" s="15"/>
      <c r="I8990" s="14"/>
      <c r="P8990" s="14"/>
    </row>
    <row r="8991" ht="18.75" customHeight="1">
      <c r="A8991" s="14"/>
      <c r="B8991" s="12"/>
      <c r="C8991" s="12"/>
      <c r="D8991" s="12"/>
      <c r="E8991" s="12"/>
      <c r="F8991" s="14"/>
      <c r="G8991" s="15"/>
      <c r="H8991" s="15"/>
      <c r="I8991" s="14"/>
      <c r="P8991" s="14"/>
    </row>
    <row r="8992" ht="18.75" customHeight="1">
      <c r="A8992" s="14"/>
      <c r="B8992" s="12"/>
      <c r="C8992" s="12"/>
      <c r="D8992" s="12"/>
      <c r="E8992" s="12"/>
      <c r="F8992" s="14"/>
      <c r="G8992" s="15"/>
      <c r="H8992" s="15"/>
      <c r="I8992" s="14"/>
      <c r="P8992" s="14"/>
    </row>
    <row r="8993" ht="18.75" customHeight="1">
      <c r="A8993" s="14"/>
      <c r="B8993" s="12"/>
      <c r="C8993" s="12"/>
      <c r="D8993" s="12"/>
      <c r="E8993" s="12"/>
      <c r="F8993" s="14"/>
      <c r="G8993" s="15"/>
      <c r="H8993" s="15"/>
      <c r="I8993" s="14"/>
      <c r="P8993" s="14"/>
    </row>
    <row r="8994" ht="18.75" customHeight="1">
      <c r="A8994" s="14"/>
      <c r="B8994" s="12"/>
      <c r="C8994" s="12"/>
      <c r="D8994" s="12"/>
      <c r="E8994" s="12"/>
      <c r="F8994" s="14"/>
      <c r="G8994" s="15"/>
      <c r="H8994" s="15"/>
      <c r="I8994" s="14"/>
      <c r="P8994" s="14"/>
    </row>
    <row r="8995" ht="18.75" customHeight="1">
      <c r="A8995" s="14"/>
      <c r="B8995" s="12"/>
      <c r="C8995" s="12"/>
      <c r="D8995" s="12"/>
      <c r="E8995" s="12"/>
      <c r="F8995" s="14"/>
      <c r="G8995" s="15"/>
      <c r="H8995" s="15"/>
      <c r="I8995" s="14"/>
      <c r="P8995" s="14"/>
    </row>
    <row r="8996" ht="18.75" customHeight="1">
      <c r="A8996" s="14"/>
      <c r="B8996" s="12"/>
      <c r="C8996" s="12"/>
      <c r="D8996" s="12"/>
      <c r="E8996" s="12"/>
      <c r="F8996" s="14"/>
      <c r="G8996" s="15"/>
      <c r="H8996" s="15"/>
      <c r="I8996" s="14"/>
      <c r="P8996" s="14"/>
    </row>
    <row r="8997" ht="18.75" customHeight="1">
      <c r="A8997" s="14"/>
      <c r="B8997" s="12"/>
      <c r="C8997" s="12"/>
      <c r="D8997" s="12"/>
      <c r="E8997" s="12"/>
      <c r="F8997" s="14"/>
      <c r="G8997" s="15"/>
      <c r="H8997" s="15"/>
      <c r="I8997" s="14"/>
      <c r="P8997" s="14"/>
    </row>
    <row r="8998" ht="18.75" customHeight="1">
      <c r="A8998" s="14"/>
      <c r="B8998" s="12"/>
      <c r="C8998" s="12"/>
      <c r="D8998" s="12"/>
      <c r="E8998" s="12"/>
      <c r="F8998" s="14"/>
      <c r="G8998" s="15"/>
      <c r="H8998" s="15"/>
      <c r="I8998" s="14"/>
      <c r="P8998" s="14"/>
    </row>
    <row r="8999" ht="18.75" customHeight="1">
      <c r="A8999" s="14"/>
      <c r="B8999" s="12"/>
      <c r="C8999" s="12"/>
      <c r="D8999" s="12"/>
      <c r="E8999" s="12"/>
      <c r="F8999" s="14"/>
      <c r="G8999" s="15"/>
      <c r="H8999" s="15"/>
      <c r="I8999" s="14"/>
      <c r="P8999" s="14"/>
    </row>
    <row r="9000" ht="18.75" customHeight="1">
      <c r="A9000" s="14"/>
      <c r="B9000" s="12"/>
      <c r="C9000" s="12"/>
      <c r="D9000" s="12"/>
      <c r="E9000" s="12"/>
      <c r="F9000" s="14"/>
      <c r="G9000" s="15"/>
      <c r="H9000" s="15"/>
      <c r="I9000" s="14"/>
      <c r="P9000" s="14"/>
    </row>
    <row r="9001" ht="18.75" customHeight="1">
      <c r="A9001" s="14"/>
      <c r="B9001" s="12"/>
      <c r="C9001" s="12"/>
      <c r="D9001" s="12"/>
      <c r="E9001" s="12"/>
      <c r="F9001" s="14"/>
      <c r="G9001" s="15"/>
      <c r="H9001" s="15"/>
      <c r="I9001" s="14"/>
      <c r="P9001" s="14"/>
    </row>
    <row r="9002" ht="18.75" customHeight="1">
      <c r="A9002" s="14"/>
      <c r="B9002" s="12"/>
      <c r="C9002" s="12"/>
      <c r="D9002" s="12"/>
      <c r="E9002" s="12"/>
      <c r="F9002" s="14"/>
      <c r="G9002" s="15"/>
      <c r="H9002" s="15"/>
      <c r="I9002" s="14"/>
      <c r="P9002" s="14"/>
    </row>
    <row r="9003" ht="18.75" customHeight="1">
      <c r="A9003" s="14"/>
      <c r="B9003" s="12"/>
      <c r="C9003" s="12"/>
      <c r="D9003" s="12"/>
      <c r="E9003" s="12"/>
      <c r="F9003" s="14"/>
      <c r="G9003" s="15"/>
      <c r="H9003" s="15"/>
      <c r="I9003" s="14"/>
      <c r="P9003" s="14"/>
    </row>
    <row r="9004" ht="18.75" customHeight="1">
      <c r="A9004" s="14"/>
      <c r="B9004" s="12"/>
      <c r="C9004" s="12"/>
      <c r="D9004" s="12"/>
      <c r="E9004" s="12"/>
      <c r="F9004" s="14"/>
      <c r="G9004" s="15"/>
      <c r="H9004" s="15"/>
      <c r="I9004" s="14"/>
      <c r="P9004" s="14"/>
    </row>
    <row r="9005" ht="18.75" customHeight="1">
      <c r="A9005" s="14"/>
      <c r="B9005" s="12"/>
      <c r="C9005" s="12"/>
      <c r="D9005" s="12"/>
      <c r="E9005" s="12"/>
      <c r="F9005" s="14"/>
      <c r="G9005" s="15"/>
      <c r="H9005" s="15"/>
      <c r="I9005" s="14"/>
      <c r="P9005" s="14"/>
    </row>
    <row r="9006" ht="18.75" customHeight="1">
      <c r="A9006" s="14"/>
      <c r="B9006" s="12"/>
      <c r="C9006" s="12"/>
      <c r="D9006" s="12"/>
      <c r="E9006" s="12"/>
      <c r="F9006" s="14"/>
      <c r="G9006" s="15"/>
      <c r="H9006" s="15"/>
      <c r="I9006" s="14"/>
      <c r="P9006" s="14"/>
    </row>
    <row r="9007" ht="18.75" customHeight="1">
      <c r="A9007" s="14"/>
      <c r="B9007" s="12"/>
      <c r="C9007" s="12"/>
      <c r="D9007" s="12"/>
      <c r="E9007" s="12"/>
      <c r="F9007" s="14"/>
      <c r="G9007" s="15"/>
      <c r="H9007" s="15"/>
      <c r="I9007" s="14"/>
      <c r="P9007" s="14"/>
    </row>
    <row r="9008" ht="18.75" customHeight="1">
      <c r="A9008" s="14"/>
      <c r="B9008" s="12"/>
      <c r="C9008" s="12"/>
      <c r="D9008" s="12"/>
      <c r="E9008" s="12"/>
      <c r="F9008" s="14"/>
      <c r="G9008" s="15"/>
      <c r="H9008" s="15"/>
      <c r="I9008" s="14"/>
      <c r="P9008" s="14"/>
    </row>
    <row r="9009" ht="18.75" customHeight="1">
      <c r="A9009" s="14"/>
      <c r="B9009" s="12"/>
      <c r="C9009" s="12"/>
      <c r="D9009" s="12"/>
      <c r="E9009" s="12"/>
      <c r="F9009" s="14"/>
      <c r="G9009" s="15"/>
      <c r="H9009" s="15"/>
      <c r="I9009" s="14"/>
      <c r="P9009" s="14"/>
    </row>
    <row r="9010" ht="18.75" customHeight="1">
      <c r="A9010" s="14"/>
      <c r="B9010" s="12"/>
      <c r="C9010" s="12"/>
      <c r="D9010" s="12"/>
      <c r="E9010" s="12"/>
      <c r="F9010" s="14"/>
      <c r="G9010" s="15"/>
      <c r="H9010" s="15"/>
      <c r="I9010" s="14"/>
      <c r="P9010" s="14"/>
    </row>
    <row r="9011" ht="18.75" customHeight="1">
      <c r="A9011" s="14"/>
      <c r="B9011" s="12"/>
      <c r="C9011" s="12"/>
      <c r="D9011" s="12"/>
      <c r="E9011" s="12"/>
      <c r="F9011" s="14"/>
      <c r="G9011" s="15"/>
      <c r="H9011" s="15"/>
      <c r="I9011" s="14"/>
      <c r="P9011" s="14"/>
    </row>
    <row r="9012" ht="18.75" customHeight="1">
      <c r="A9012" s="14"/>
      <c r="B9012" s="12"/>
      <c r="C9012" s="12"/>
      <c r="D9012" s="12"/>
      <c r="E9012" s="12"/>
      <c r="F9012" s="14"/>
      <c r="G9012" s="15"/>
      <c r="H9012" s="15"/>
      <c r="I9012" s="14"/>
      <c r="P9012" s="14"/>
    </row>
    <row r="9013" ht="18.75" customHeight="1">
      <c r="A9013" s="14"/>
      <c r="B9013" s="12"/>
      <c r="C9013" s="12"/>
      <c r="D9013" s="12"/>
      <c r="E9013" s="12"/>
      <c r="F9013" s="14"/>
      <c r="G9013" s="15"/>
      <c r="H9013" s="15"/>
      <c r="I9013" s="14"/>
      <c r="P9013" s="14"/>
    </row>
    <row r="9014" ht="18.75" customHeight="1">
      <c r="A9014" s="14"/>
      <c r="B9014" s="12"/>
      <c r="C9014" s="12"/>
      <c r="D9014" s="12"/>
      <c r="E9014" s="12"/>
      <c r="F9014" s="14"/>
      <c r="G9014" s="15"/>
      <c r="H9014" s="15"/>
      <c r="I9014" s="14"/>
      <c r="P9014" s="14"/>
    </row>
    <row r="9015" ht="18.75" customHeight="1">
      <c r="A9015" s="14"/>
      <c r="B9015" s="12"/>
      <c r="C9015" s="12"/>
      <c r="D9015" s="12"/>
      <c r="E9015" s="12"/>
      <c r="F9015" s="14"/>
      <c r="G9015" s="15"/>
      <c r="H9015" s="15"/>
      <c r="I9015" s="14"/>
      <c r="P9015" s="14"/>
    </row>
    <row r="9016" ht="18.75" customHeight="1">
      <c r="A9016" s="14"/>
      <c r="B9016" s="12"/>
      <c r="C9016" s="12"/>
      <c r="D9016" s="12"/>
      <c r="E9016" s="12"/>
      <c r="F9016" s="14"/>
      <c r="G9016" s="15"/>
      <c r="H9016" s="15"/>
      <c r="I9016" s="14"/>
      <c r="P9016" s="14"/>
    </row>
    <row r="9017" ht="18.75" customHeight="1">
      <c r="A9017" s="14"/>
      <c r="B9017" s="12"/>
      <c r="C9017" s="12"/>
      <c r="D9017" s="12"/>
      <c r="E9017" s="12"/>
      <c r="F9017" s="14"/>
      <c r="G9017" s="15"/>
      <c r="H9017" s="15"/>
      <c r="I9017" s="14"/>
      <c r="P9017" s="14"/>
    </row>
    <row r="9018" ht="18.75" customHeight="1">
      <c r="A9018" s="14"/>
      <c r="B9018" s="12"/>
      <c r="C9018" s="12"/>
      <c r="D9018" s="12"/>
      <c r="E9018" s="12"/>
      <c r="F9018" s="14"/>
      <c r="G9018" s="15"/>
      <c r="H9018" s="15"/>
      <c r="I9018" s="14"/>
      <c r="P9018" s="14"/>
    </row>
    <row r="9019" ht="18.75" customHeight="1">
      <c r="A9019" s="14"/>
      <c r="B9019" s="12"/>
      <c r="C9019" s="12"/>
      <c r="D9019" s="12"/>
      <c r="E9019" s="12"/>
      <c r="F9019" s="14"/>
      <c r="G9019" s="15"/>
      <c r="H9019" s="15"/>
      <c r="I9019" s="14"/>
      <c r="P9019" s="14"/>
    </row>
    <row r="9020" ht="18.75" customHeight="1">
      <c r="A9020" s="14"/>
      <c r="B9020" s="12"/>
      <c r="C9020" s="12"/>
      <c r="D9020" s="12"/>
      <c r="E9020" s="12"/>
      <c r="F9020" s="14"/>
      <c r="G9020" s="15"/>
      <c r="H9020" s="15"/>
      <c r="I9020" s="14"/>
      <c r="P9020" s="14"/>
    </row>
    <row r="9021" ht="18.75" customHeight="1">
      <c r="A9021" s="14"/>
      <c r="B9021" s="12"/>
      <c r="C9021" s="12"/>
      <c r="D9021" s="12"/>
      <c r="E9021" s="12"/>
      <c r="F9021" s="14"/>
      <c r="G9021" s="15"/>
      <c r="H9021" s="15"/>
      <c r="I9021" s="14"/>
      <c r="P9021" s="14"/>
    </row>
    <row r="9022" ht="18.75" customHeight="1">
      <c r="A9022" s="14"/>
      <c r="B9022" s="12"/>
      <c r="C9022" s="12"/>
      <c r="D9022" s="12"/>
      <c r="E9022" s="12"/>
      <c r="F9022" s="14"/>
      <c r="G9022" s="15"/>
      <c r="H9022" s="15"/>
      <c r="I9022" s="14"/>
      <c r="P9022" s="14"/>
    </row>
    <row r="9023" ht="18.75" customHeight="1">
      <c r="A9023" s="14"/>
      <c r="B9023" s="12"/>
      <c r="C9023" s="12"/>
      <c r="D9023" s="12"/>
      <c r="E9023" s="12"/>
      <c r="F9023" s="14"/>
      <c r="G9023" s="15"/>
      <c r="H9023" s="15"/>
      <c r="I9023" s="14"/>
      <c r="P9023" s="14"/>
    </row>
    <row r="9024" ht="18.75" customHeight="1">
      <c r="A9024" s="14"/>
      <c r="B9024" s="12"/>
      <c r="C9024" s="12"/>
      <c r="D9024" s="12"/>
      <c r="E9024" s="12"/>
      <c r="F9024" s="14"/>
      <c r="G9024" s="15"/>
      <c r="H9024" s="15"/>
      <c r="I9024" s="14"/>
      <c r="P9024" s="14"/>
    </row>
    <row r="9025" ht="18.75" customHeight="1">
      <c r="A9025" s="14"/>
      <c r="B9025" s="12"/>
      <c r="C9025" s="12"/>
      <c r="D9025" s="12"/>
      <c r="E9025" s="12"/>
      <c r="F9025" s="14"/>
      <c r="G9025" s="15"/>
      <c r="H9025" s="15"/>
      <c r="I9025" s="14"/>
      <c r="P9025" s="14"/>
    </row>
    <row r="9026" ht="18.75" customHeight="1">
      <c r="A9026" s="14"/>
      <c r="B9026" s="12"/>
      <c r="C9026" s="12"/>
      <c r="D9026" s="12"/>
      <c r="E9026" s="12"/>
      <c r="F9026" s="14"/>
      <c r="G9026" s="15"/>
      <c r="H9026" s="15"/>
      <c r="I9026" s="14"/>
      <c r="P9026" s="14"/>
    </row>
    <row r="9027" ht="18.75" customHeight="1">
      <c r="A9027" s="14"/>
      <c r="B9027" s="12"/>
      <c r="C9027" s="12"/>
      <c r="D9027" s="12"/>
      <c r="E9027" s="12"/>
      <c r="F9027" s="14"/>
      <c r="G9027" s="15"/>
      <c r="H9027" s="15"/>
      <c r="I9027" s="14"/>
      <c r="P9027" s="14"/>
    </row>
    <row r="9028" ht="18.75" customHeight="1">
      <c r="A9028" s="14"/>
      <c r="B9028" s="12"/>
      <c r="C9028" s="12"/>
      <c r="D9028" s="12"/>
      <c r="E9028" s="12"/>
      <c r="F9028" s="14"/>
      <c r="G9028" s="15"/>
      <c r="H9028" s="15"/>
      <c r="I9028" s="14"/>
      <c r="P9028" s="14"/>
    </row>
    <row r="9029" ht="18.75" customHeight="1">
      <c r="A9029" s="14"/>
      <c r="B9029" s="12"/>
      <c r="C9029" s="12"/>
      <c r="D9029" s="12"/>
      <c r="E9029" s="12"/>
      <c r="F9029" s="14"/>
      <c r="G9029" s="15"/>
      <c r="H9029" s="15"/>
      <c r="I9029" s="14"/>
      <c r="P9029" s="14"/>
    </row>
    <row r="9030" ht="18.75" customHeight="1">
      <c r="A9030" s="14"/>
      <c r="B9030" s="12"/>
      <c r="C9030" s="12"/>
      <c r="D9030" s="12"/>
      <c r="E9030" s="12"/>
      <c r="F9030" s="14"/>
      <c r="G9030" s="15"/>
      <c r="H9030" s="15"/>
      <c r="I9030" s="14"/>
      <c r="P9030" s="14"/>
    </row>
    <row r="9031" ht="18.75" customHeight="1">
      <c r="A9031" s="14"/>
      <c r="B9031" s="12"/>
      <c r="C9031" s="12"/>
      <c r="D9031" s="12"/>
      <c r="E9031" s="12"/>
      <c r="F9031" s="14"/>
      <c r="G9031" s="15"/>
      <c r="H9031" s="15"/>
      <c r="I9031" s="14"/>
      <c r="P9031" s="14"/>
    </row>
    <row r="9032" ht="18.75" customHeight="1">
      <c r="A9032" s="14"/>
      <c r="B9032" s="12"/>
      <c r="C9032" s="12"/>
      <c r="D9032" s="12"/>
      <c r="E9032" s="12"/>
      <c r="F9032" s="14"/>
      <c r="G9032" s="15"/>
      <c r="H9032" s="15"/>
      <c r="I9032" s="14"/>
      <c r="P9032" s="14"/>
    </row>
    <row r="9033" ht="18.75" customHeight="1">
      <c r="A9033" s="14"/>
      <c r="B9033" s="12"/>
      <c r="C9033" s="12"/>
      <c r="D9033" s="12"/>
      <c r="E9033" s="12"/>
      <c r="F9033" s="14"/>
      <c r="G9033" s="15"/>
      <c r="H9033" s="15"/>
      <c r="I9033" s="14"/>
      <c r="P9033" s="14"/>
    </row>
    <row r="9034" ht="18.75" customHeight="1">
      <c r="A9034" s="14"/>
      <c r="B9034" s="12"/>
      <c r="C9034" s="12"/>
      <c r="D9034" s="12"/>
      <c r="E9034" s="12"/>
      <c r="F9034" s="14"/>
      <c r="G9034" s="15"/>
      <c r="H9034" s="15"/>
      <c r="I9034" s="14"/>
      <c r="P9034" s="14"/>
    </row>
    <row r="9035" ht="18.75" customHeight="1">
      <c r="A9035" s="14"/>
      <c r="B9035" s="12"/>
      <c r="C9035" s="12"/>
      <c r="D9035" s="12"/>
      <c r="E9035" s="12"/>
      <c r="F9035" s="14"/>
      <c r="G9035" s="15"/>
      <c r="H9035" s="15"/>
      <c r="I9035" s="14"/>
      <c r="P9035" s="14"/>
    </row>
    <row r="9036" ht="18.75" customHeight="1">
      <c r="A9036" s="14"/>
      <c r="B9036" s="12"/>
      <c r="C9036" s="12"/>
      <c r="D9036" s="12"/>
      <c r="E9036" s="12"/>
      <c r="F9036" s="14"/>
      <c r="G9036" s="15"/>
      <c r="H9036" s="15"/>
      <c r="I9036" s="14"/>
      <c r="P9036" s="14"/>
    </row>
    <row r="9037" ht="18.75" customHeight="1">
      <c r="A9037" s="14"/>
      <c r="B9037" s="12"/>
      <c r="C9037" s="12"/>
      <c r="D9037" s="12"/>
      <c r="E9037" s="12"/>
      <c r="F9037" s="14"/>
      <c r="G9037" s="15"/>
      <c r="H9037" s="15"/>
      <c r="I9037" s="14"/>
      <c r="P9037" s="14"/>
    </row>
    <row r="9038" ht="18.75" customHeight="1">
      <c r="A9038" s="14"/>
      <c r="B9038" s="12"/>
      <c r="C9038" s="12"/>
      <c r="D9038" s="12"/>
      <c r="E9038" s="12"/>
      <c r="F9038" s="14"/>
      <c r="G9038" s="15"/>
      <c r="H9038" s="15"/>
      <c r="I9038" s="14"/>
      <c r="P9038" s="14"/>
    </row>
    <row r="9039" ht="18.75" customHeight="1">
      <c r="A9039" s="14"/>
      <c r="B9039" s="12"/>
      <c r="C9039" s="12"/>
      <c r="D9039" s="12"/>
      <c r="E9039" s="12"/>
      <c r="F9039" s="14"/>
      <c r="G9039" s="15"/>
      <c r="H9039" s="15"/>
      <c r="I9039" s="14"/>
      <c r="P9039" s="14"/>
    </row>
    <row r="9040" ht="18.75" customHeight="1">
      <c r="A9040" s="14"/>
      <c r="B9040" s="12"/>
      <c r="C9040" s="12"/>
      <c r="D9040" s="12"/>
      <c r="E9040" s="12"/>
      <c r="F9040" s="14"/>
      <c r="G9040" s="15"/>
      <c r="H9040" s="15"/>
      <c r="I9040" s="14"/>
      <c r="P9040" s="14"/>
    </row>
    <row r="9041" ht="18.75" customHeight="1">
      <c r="A9041" s="14"/>
      <c r="B9041" s="12"/>
      <c r="C9041" s="12"/>
      <c r="D9041" s="12"/>
      <c r="E9041" s="12"/>
      <c r="F9041" s="14"/>
      <c r="G9041" s="15"/>
      <c r="H9041" s="15"/>
      <c r="I9041" s="14"/>
      <c r="P9041" s="14"/>
    </row>
    <row r="9042" ht="18.75" customHeight="1">
      <c r="A9042" s="14"/>
      <c r="B9042" s="12"/>
      <c r="C9042" s="12"/>
      <c r="D9042" s="12"/>
      <c r="E9042" s="12"/>
      <c r="F9042" s="14"/>
      <c r="G9042" s="15"/>
      <c r="H9042" s="15"/>
      <c r="I9042" s="14"/>
      <c r="P9042" s="14"/>
    </row>
    <row r="9043" ht="18.75" customHeight="1">
      <c r="A9043" s="14"/>
      <c r="B9043" s="12"/>
      <c r="C9043" s="12"/>
      <c r="D9043" s="12"/>
      <c r="E9043" s="12"/>
      <c r="F9043" s="14"/>
      <c r="G9043" s="15"/>
      <c r="H9043" s="15"/>
      <c r="I9043" s="14"/>
      <c r="P9043" s="14"/>
    </row>
    <row r="9044" ht="18.75" customHeight="1">
      <c r="A9044" s="14"/>
      <c r="B9044" s="12"/>
      <c r="C9044" s="12"/>
      <c r="D9044" s="12"/>
      <c r="E9044" s="12"/>
      <c r="F9044" s="14"/>
      <c r="G9044" s="15"/>
      <c r="H9044" s="15"/>
      <c r="I9044" s="14"/>
      <c r="P9044" s="14"/>
    </row>
    <row r="9045" ht="18.75" customHeight="1">
      <c r="A9045" s="14"/>
      <c r="B9045" s="12"/>
      <c r="C9045" s="12"/>
      <c r="D9045" s="12"/>
      <c r="E9045" s="12"/>
      <c r="F9045" s="14"/>
      <c r="G9045" s="15"/>
      <c r="H9045" s="15"/>
      <c r="I9045" s="14"/>
      <c r="P9045" s="14"/>
    </row>
    <row r="9046" ht="18.75" customHeight="1">
      <c r="A9046" s="14"/>
      <c r="B9046" s="12"/>
      <c r="C9046" s="12"/>
      <c r="D9046" s="12"/>
      <c r="E9046" s="12"/>
      <c r="F9046" s="14"/>
      <c r="G9046" s="15"/>
      <c r="H9046" s="15"/>
      <c r="I9046" s="14"/>
      <c r="P9046" s="14"/>
    </row>
    <row r="9047" ht="18.75" customHeight="1">
      <c r="A9047" s="14"/>
      <c r="B9047" s="12"/>
      <c r="C9047" s="12"/>
      <c r="D9047" s="12"/>
      <c r="E9047" s="12"/>
      <c r="F9047" s="14"/>
      <c r="G9047" s="15"/>
      <c r="H9047" s="15"/>
      <c r="I9047" s="14"/>
      <c r="P9047" s="14"/>
    </row>
    <row r="9048" ht="18.75" customHeight="1">
      <c r="A9048" s="14"/>
      <c r="B9048" s="12"/>
      <c r="C9048" s="12"/>
      <c r="D9048" s="12"/>
      <c r="E9048" s="12"/>
      <c r="F9048" s="14"/>
      <c r="G9048" s="15"/>
      <c r="H9048" s="15"/>
      <c r="I9048" s="14"/>
      <c r="P9048" s="14"/>
    </row>
    <row r="9049" ht="18.75" customHeight="1">
      <c r="A9049" s="14"/>
      <c r="B9049" s="12"/>
      <c r="C9049" s="12"/>
      <c r="D9049" s="12"/>
      <c r="E9049" s="12"/>
      <c r="F9049" s="14"/>
      <c r="G9049" s="15"/>
      <c r="H9049" s="15"/>
      <c r="I9049" s="14"/>
      <c r="P9049" s="14"/>
    </row>
    <row r="9050" ht="18.75" customHeight="1">
      <c r="A9050" s="14"/>
      <c r="B9050" s="12"/>
      <c r="C9050" s="12"/>
      <c r="D9050" s="12"/>
      <c r="E9050" s="12"/>
      <c r="F9050" s="14"/>
      <c r="G9050" s="15"/>
      <c r="H9050" s="15"/>
      <c r="I9050" s="14"/>
      <c r="P9050" s="14"/>
    </row>
    <row r="9051" ht="18.75" customHeight="1">
      <c r="A9051" s="14"/>
      <c r="B9051" s="12"/>
      <c r="C9051" s="12"/>
      <c r="D9051" s="12"/>
      <c r="E9051" s="12"/>
      <c r="F9051" s="14"/>
      <c r="G9051" s="15"/>
      <c r="H9051" s="15"/>
      <c r="I9051" s="14"/>
      <c r="P9051" s="14"/>
    </row>
    <row r="9052" ht="18.75" customHeight="1">
      <c r="A9052" s="14"/>
      <c r="B9052" s="12"/>
      <c r="C9052" s="12"/>
      <c r="D9052" s="12"/>
      <c r="E9052" s="12"/>
      <c r="F9052" s="14"/>
      <c r="G9052" s="15"/>
      <c r="H9052" s="15"/>
      <c r="I9052" s="14"/>
      <c r="P9052" s="14"/>
    </row>
    <row r="9053" ht="18.75" customHeight="1">
      <c r="A9053" s="14"/>
      <c r="B9053" s="12"/>
      <c r="C9053" s="12"/>
      <c r="D9053" s="12"/>
      <c r="E9053" s="12"/>
      <c r="F9053" s="14"/>
      <c r="G9053" s="15"/>
      <c r="H9053" s="15"/>
      <c r="I9053" s="14"/>
      <c r="P9053" s="14"/>
    </row>
    <row r="9054" ht="18.75" customHeight="1">
      <c r="A9054" s="14"/>
      <c r="B9054" s="12"/>
      <c r="C9054" s="12"/>
      <c r="D9054" s="12"/>
      <c r="E9054" s="12"/>
      <c r="F9054" s="14"/>
      <c r="G9054" s="15"/>
      <c r="H9054" s="15"/>
      <c r="I9054" s="14"/>
      <c r="P9054" s="14"/>
    </row>
    <row r="9055" ht="18.75" customHeight="1">
      <c r="A9055" s="14"/>
      <c r="B9055" s="12"/>
      <c r="C9055" s="12"/>
      <c r="D9055" s="12"/>
      <c r="E9055" s="12"/>
      <c r="F9055" s="14"/>
      <c r="G9055" s="15"/>
      <c r="H9055" s="15"/>
      <c r="I9055" s="14"/>
      <c r="P9055" s="14"/>
    </row>
    <row r="9056" ht="18.75" customHeight="1">
      <c r="A9056" s="14"/>
      <c r="B9056" s="12"/>
      <c r="C9056" s="12"/>
      <c r="D9056" s="12"/>
      <c r="E9056" s="12"/>
      <c r="F9056" s="14"/>
      <c r="G9056" s="15"/>
      <c r="H9056" s="15"/>
      <c r="I9056" s="14"/>
      <c r="P9056" s="14"/>
    </row>
    <row r="9057" ht="18.75" customHeight="1">
      <c r="A9057" s="14"/>
      <c r="B9057" s="12"/>
      <c r="C9057" s="12"/>
      <c r="D9057" s="12"/>
      <c r="E9057" s="12"/>
      <c r="F9057" s="14"/>
      <c r="G9057" s="15"/>
      <c r="H9057" s="15"/>
      <c r="I9057" s="14"/>
      <c r="P9057" s="14"/>
    </row>
    <row r="9058" ht="18.75" customHeight="1">
      <c r="A9058" s="14"/>
      <c r="B9058" s="12"/>
      <c r="C9058" s="12"/>
      <c r="D9058" s="12"/>
      <c r="E9058" s="12"/>
      <c r="F9058" s="14"/>
      <c r="G9058" s="15"/>
      <c r="H9058" s="15"/>
      <c r="I9058" s="14"/>
      <c r="P9058" s="14"/>
    </row>
    <row r="9059" ht="18.75" customHeight="1">
      <c r="A9059" s="14"/>
      <c r="B9059" s="12"/>
      <c r="C9059" s="12"/>
      <c r="D9059" s="12"/>
      <c r="E9059" s="12"/>
      <c r="F9059" s="14"/>
      <c r="G9059" s="15"/>
      <c r="H9059" s="15"/>
      <c r="I9059" s="14"/>
      <c r="P9059" s="14"/>
    </row>
    <row r="9060" ht="18.75" customHeight="1">
      <c r="A9060" s="14"/>
      <c r="B9060" s="12"/>
      <c r="C9060" s="12"/>
      <c r="D9060" s="12"/>
      <c r="E9060" s="12"/>
      <c r="F9060" s="14"/>
      <c r="G9060" s="15"/>
      <c r="H9060" s="15"/>
      <c r="I9060" s="14"/>
      <c r="P9060" s="14"/>
    </row>
    <row r="9061" ht="18.75" customHeight="1">
      <c r="A9061" s="14"/>
      <c r="B9061" s="12"/>
      <c r="C9061" s="12"/>
      <c r="D9061" s="12"/>
      <c r="E9061" s="12"/>
      <c r="F9061" s="14"/>
      <c r="G9061" s="15"/>
      <c r="H9061" s="15"/>
      <c r="I9061" s="14"/>
      <c r="P9061" s="14"/>
    </row>
    <row r="9062" ht="18.75" customHeight="1">
      <c r="A9062" s="14"/>
      <c r="B9062" s="12"/>
      <c r="C9062" s="12"/>
      <c r="D9062" s="12"/>
      <c r="E9062" s="12"/>
      <c r="F9062" s="14"/>
      <c r="G9062" s="15"/>
      <c r="H9062" s="15"/>
      <c r="I9062" s="14"/>
      <c r="P9062" s="14"/>
    </row>
    <row r="9063" ht="18.75" customHeight="1">
      <c r="A9063" s="14"/>
      <c r="B9063" s="12"/>
      <c r="C9063" s="12"/>
      <c r="D9063" s="12"/>
      <c r="E9063" s="12"/>
      <c r="F9063" s="14"/>
      <c r="G9063" s="15"/>
      <c r="H9063" s="15"/>
      <c r="I9063" s="14"/>
      <c r="P9063" s="14"/>
    </row>
    <row r="9064" ht="18.75" customHeight="1">
      <c r="A9064" s="14"/>
      <c r="B9064" s="12"/>
      <c r="C9064" s="12"/>
      <c r="D9064" s="12"/>
      <c r="E9064" s="12"/>
      <c r="F9064" s="14"/>
      <c r="G9064" s="15"/>
      <c r="H9064" s="15"/>
      <c r="I9064" s="14"/>
      <c r="P9064" s="14"/>
    </row>
    <row r="9065" ht="18.75" customHeight="1">
      <c r="A9065" s="14"/>
      <c r="B9065" s="12"/>
      <c r="C9065" s="12"/>
      <c r="D9065" s="12"/>
      <c r="E9065" s="12"/>
      <c r="F9065" s="14"/>
      <c r="G9065" s="15"/>
      <c r="H9065" s="15"/>
      <c r="I9065" s="14"/>
      <c r="P9065" s="14"/>
    </row>
    <row r="9066" ht="18.75" customHeight="1">
      <c r="A9066" s="14"/>
      <c r="B9066" s="12"/>
      <c r="C9066" s="12"/>
      <c r="D9066" s="12"/>
      <c r="E9066" s="12"/>
      <c r="F9066" s="14"/>
      <c r="G9066" s="15"/>
      <c r="H9066" s="15"/>
      <c r="I9066" s="14"/>
      <c r="P9066" s="14"/>
    </row>
    <row r="9067" ht="18.75" customHeight="1">
      <c r="A9067" s="14"/>
      <c r="B9067" s="12"/>
      <c r="C9067" s="12"/>
      <c r="D9067" s="12"/>
      <c r="E9067" s="12"/>
      <c r="F9067" s="14"/>
      <c r="G9067" s="15"/>
      <c r="H9067" s="15"/>
      <c r="I9067" s="14"/>
      <c r="P9067" s="14"/>
    </row>
    <row r="9068" ht="18.75" customHeight="1">
      <c r="A9068" s="14"/>
      <c r="B9068" s="12"/>
      <c r="C9068" s="12"/>
      <c r="D9068" s="12"/>
      <c r="E9068" s="12"/>
      <c r="F9068" s="14"/>
      <c r="G9068" s="15"/>
      <c r="H9068" s="15"/>
      <c r="I9068" s="14"/>
      <c r="P9068" s="14"/>
    </row>
    <row r="9069" ht="18.75" customHeight="1">
      <c r="A9069" s="14"/>
      <c r="B9069" s="12"/>
      <c r="C9069" s="12"/>
      <c r="D9069" s="12"/>
      <c r="E9069" s="12"/>
      <c r="F9069" s="14"/>
      <c r="G9069" s="15"/>
      <c r="H9069" s="15"/>
      <c r="I9069" s="14"/>
      <c r="P9069" s="14"/>
    </row>
    <row r="9070" ht="18.75" customHeight="1">
      <c r="A9070" s="14"/>
      <c r="B9070" s="12"/>
      <c r="C9070" s="12"/>
      <c r="D9070" s="12"/>
      <c r="E9070" s="12"/>
      <c r="F9070" s="14"/>
      <c r="G9070" s="15"/>
      <c r="H9070" s="15"/>
      <c r="I9070" s="14"/>
      <c r="P9070" s="14"/>
    </row>
    <row r="9071" ht="18.75" customHeight="1">
      <c r="A9071" s="14"/>
      <c r="B9071" s="12"/>
      <c r="C9071" s="12"/>
      <c r="D9071" s="12"/>
      <c r="E9071" s="12"/>
      <c r="F9071" s="14"/>
      <c r="G9071" s="15"/>
      <c r="H9071" s="15"/>
      <c r="I9071" s="14"/>
      <c r="P9071" s="14"/>
    </row>
    <row r="9072" ht="18.75" customHeight="1">
      <c r="A9072" s="14"/>
      <c r="B9072" s="12"/>
      <c r="C9072" s="12"/>
      <c r="D9072" s="12"/>
      <c r="E9072" s="12"/>
      <c r="F9072" s="14"/>
      <c r="G9072" s="15"/>
      <c r="H9072" s="15"/>
      <c r="I9072" s="14"/>
      <c r="P9072" s="14"/>
    </row>
    <row r="9073" ht="18.75" customHeight="1">
      <c r="A9073" s="14"/>
      <c r="B9073" s="12"/>
      <c r="C9073" s="12"/>
      <c r="D9073" s="12"/>
      <c r="E9073" s="12"/>
      <c r="F9073" s="14"/>
      <c r="G9073" s="15"/>
      <c r="H9073" s="15"/>
      <c r="I9073" s="14"/>
      <c r="P9073" s="14"/>
    </row>
    <row r="9074" ht="18.75" customHeight="1">
      <c r="A9074" s="14"/>
      <c r="B9074" s="12"/>
      <c r="C9074" s="12"/>
      <c r="D9074" s="12"/>
      <c r="E9074" s="12"/>
      <c r="F9074" s="14"/>
      <c r="G9074" s="15"/>
      <c r="H9074" s="15"/>
      <c r="I9074" s="14"/>
      <c r="P9074" s="14"/>
    </row>
    <row r="9075" ht="18.75" customHeight="1">
      <c r="A9075" s="14"/>
      <c r="B9075" s="12"/>
      <c r="C9075" s="12"/>
      <c r="D9075" s="12"/>
      <c r="E9075" s="12"/>
      <c r="F9075" s="14"/>
      <c r="G9075" s="15"/>
      <c r="H9075" s="15"/>
      <c r="I9075" s="14"/>
      <c r="P9075" s="14"/>
    </row>
    <row r="9076" ht="18.75" customHeight="1">
      <c r="A9076" s="14"/>
      <c r="B9076" s="12"/>
      <c r="C9076" s="12"/>
      <c r="D9076" s="12"/>
      <c r="E9076" s="12"/>
      <c r="F9076" s="14"/>
      <c r="G9076" s="15"/>
      <c r="H9076" s="15"/>
      <c r="I9076" s="14"/>
      <c r="P9076" s="14"/>
    </row>
    <row r="9077" ht="18.75" customHeight="1">
      <c r="A9077" s="14"/>
      <c r="B9077" s="12"/>
      <c r="C9077" s="12"/>
      <c r="D9077" s="12"/>
      <c r="E9077" s="12"/>
      <c r="F9077" s="14"/>
      <c r="G9077" s="15"/>
      <c r="H9077" s="15"/>
      <c r="I9077" s="14"/>
      <c r="P9077" s="14"/>
    </row>
    <row r="9078" ht="18.75" customHeight="1">
      <c r="A9078" s="14"/>
      <c r="B9078" s="12"/>
      <c r="C9078" s="12"/>
      <c r="D9078" s="12"/>
      <c r="E9078" s="12"/>
      <c r="F9078" s="14"/>
      <c r="G9078" s="15"/>
      <c r="H9078" s="15"/>
      <c r="I9078" s="14"/>
      <c r="P9078" s="14"/>
    </row>
    <row r="9079" ht="18.75" customHeight="1">
      <c r="A9079" s="14"/>
      <c r="B9079" s="12"/>
      <c r="C9079" s="12"/>
      <c r="D9079" s="12"/>
      <c r="E9079" s="12"/>
      <c r="F9079" s="14"/>
      <c r="G9079" s="15"/>
      <c r="H9079" s="15"/>
      <c r="I9079" s="14"/>
      <c r="P9079" s="14"/>
    </row>
    <row r="9080" ht="18.75" customHeight="1">
      <c r="A9080" s="14"/>
      <c r="B9080" s="12"/>
      <c r="C9080" s="12"/>
      <c r="D9080" s="12"/>
      <c r="E9080" s="12"/>
      <c r="F9080" s="14"/>
      <c r="G9080" s="15"/>
      <c r="H9080" s="15"/>
      <c r="I9080" s="14"/>
      <c r="P9080" s="14"/>
    </row>
    <row r="9081" ht="18.75" customHeight="1">
      <c r="A9081" s="14"/>
      <c r="B9081" s="12"/>
      <c r="C9081" s="12"/>
      <c r="D9081" s="12"/>
      <c r="E9081" s="12"/>
      <c r="F9081" s="14"/>
      <c r="G9081" s="15"/>
      <c r="H9081" s="15"/>
      <c r="I9081" s="14"/>
      <c r="P9081" s="14"/>
    </row>
    <row r="9082" ht="18.75" customHeight="1">
      <c r="A9082" s="14"/>
      <c r="B9082" s="12"/>
      <c r="C9082" s="12"/>
      <c r="D9082" s="12"/>
      <c r="E9082" s="12"/>
      <c r="F9082" s="14"/>
      <c r="G9082" s="15"/>
      <c r="H9082" s="15"/>
      <c r="I9082" s="14"/>
      <c r="P9082" s="14"/>
    </row>
    <row r="9083" ht="18.75" customHeight="1">
      <c r="A9083" s="14"/>
      <c r="B9083" s="12"/>
      <c r="C9083" s="12"/>
      <c r="D9083" s="12"/>
      <c r="E9083" s="12"/>
      <c r="F9083" s="14"/>
      <c r="G9083" s="15"/>
      <c r="H9083" s="15"/>
      <c r="I9083" s="14"/>
      <c r="P9083" s="14"/>
    </row>
    <row r="9084" ht="18.75" customHeight="1">
      <c r="A9084" s="14"/>
      <c r="B9084" s="12"/>
      <c r="C9084" s="12"/>
      <c r="D9084" s="12"/>
      <c r="E9084" s="12"/>
      <c r="F9084" s="14"/>
      <c r="G9084" s="15"/>
      <c r="H9084" s="15"/>
      <c r="I9084" s="14"/>
      <c r="P9084" s="14"/>
    </row>
    <row r="9085" ht="18.75" customHeight="1">
      <c r="A9085" s="14"/>
      <c r="B9085" s="12"/>
      <c r="C9085" s="12"/>
      <c r="D9085" s="12"/>
      <c r="E9085" s="12"/>
      <c r="F9085" s="14"/>
      <c r="G9085" s="15"/>
      <c r="H9085" s="15"/>
      <c r="I9085" s="14"/>
      <c r="P9085" s="14"/>
    </row>
    <row r="9086" ht="18.75" customHeight="1">
      <c r="A9086" s="14"/>
      <c r="B9086" s="12"/>
      <c r="C9086" s="12"/>
      <c r="D9086" s="12"/>
      <c r="E9086" s="12"/>
      <c r="F9086" s="14"/>
      <c r="G9086" s="15"/>
      <c r="H9086" s="15"/>
      <c r="I9086" s="14"/>
      <c r="P9086" s="14"/>
    </row>
    <row r="9087" ht="18.75" customHeight="1">
      <c r="A9087" s="14"/>
      <c r="B9087" s="12"/>
      <c r="C9087" s="12"/>
      <c r="D9087" s="12"/>
      <c r="E9087" s="12"/>
      <c r="F9087" s="14"/>
      <c r="G9087" s="15"/>
      <c r="H9087" s="15"/>
      <c r="I9087" s="14"/>
      <c r="P9087" s="14"/>
    </row>
    <row r="9088" ht="18.75" customHeight="1">
      <c r="A9088" s="14"/>
      <c r="B9088" s="12"/>
      <c r="C9088" s="12"/>
      <c r="D9088" s="12"/>
      <c r="E9088" s="12"/>
      <c r="F9088" s="14"/>
      <c r="G9088" s="15"/>
      <c r="H9088" s="15"/>
      <c r="I9088" s="14"/>
      <c r="P9088" s="14"/>
    </row>
    <row r="9089" ht="18.75" customHeight="1">
      <c r="A9089" s="14"/>
      <c r="B9089" s="12"/>
      <c r="C9089" s="12"/>
      <c r="D9089" s="12"/>
      <c r="E9089" s="12"/>
      <c r="F9089" s="14"/>
      <c r="G9089" s="15"/>
      <c r="H9089" s="15"/>
      <c r="I9089" s="14"/>
      <c r="P9089" s="14"/>
    </row>
    <row r="9090" ht="18.75" customHeight="1">
      <c r="A9090" s="14"/>
      <c r="B9090" s="12"/>
      <c r="C9090" s="12"/>
      <c r="D9090" s="12"/>
      <c r="E9090" s="12"/>
      <c r="F9090" s="14"/>
      <c r="G9090" s="15"/>
      <c r="H9090" s="15"/>
      <c r="I9090" s="14"/>
      <c r="P9090" s="14"/>
    </row>
    <row r="9091" ht="18.75" customHeight="1">
      <c r="A9091" s="14"/>
      <c r="B9091" s="12"/>
      <c r="C9091" s="12"/>
      <c r="D9091" s="12"/>
      <c r="E9091" s="12"/>
      <c r="F9091" s="14"/>
      <c r="G9091" s="15"/>
      <c r="H9091" s="15"/>
      <c r="I9091" s="14"/>
      <c r="P9091" s="14"/>
    </row>
    <row r="9092" ht="18.75" customHeight="1">
      <c r="A9092" s="14"/>
      <c r="B9092" s="12"/>
      <c r="C9092" s="12"/>
      <c r="D9092" s="12"/>
      <c r="E9092" s="12"/>
      <c r="F9092" s="14"/>
      <c r="G9092" s="15"/>
      <c r="H9092" s="15"/>
      <c r="I9092" s="14"/>
      <c r="P9092" s="14"/>
    </row>
    <row r="9093" ht="18.75" customHeight="1">
      <c r="A9093" s="14"/>
      <c r="B9093" s="12"/>
      <c r="C9093" s="12"/>
      <c r="D9093" s="12"/>
      <c r="E9093" s="12"/>
      <c r="F9093" s="14"/>
      <c r="G9093" s="15"/>
      <c r="H9093" s="15"/>
      <c r="I9093" s="14"/>
      <c r="P9093" s="14"/>
    </row>
    <row r="9094" ht="18.75" customHeight="1">
      <c r="A9094" s="14"/>
      <c r="B9094" s="12"/>
      <c r="C9094" s="12"/>
      <c r="D9094" s="12"/>
      <c r="E9094" s="12"/>
      <c r="F9094" s="14"/>
      <c r="G9094" s="15"/>
      <c r="H9094" s="15"/>
      <c r="I9094" s="14"/>
      <c r="P9094" s="14"/>
    </row>
    <row r="9095" ht="18.75" customHeight="1">
      <c r="A9095" s="14"/>
      <c r="B9095" s="12"/>
      <c r="C9095" s="12"/>
      <c r="D9095" s="12"/>
      <c r="E9095" s="12"/>
      <c r="F9095" s="14"/>
      <c r="G9095" s="15"/>
      <c r="H9095" s="15"/>
      <c r="I9095" s="14"/>
      <c r="P9095" s="14"/>
    </row>
    <row r="9096" ht="18.75" customHeight="1">
      <c r="A9096" s="14"/>
      <c r="B9096" s="12"/>
      <c r="C9096" s="12"/>
      <c r="D9096" s="12"/>
      <c r="E9096" s="12"/>
      <c r="F9096" s="14"/>
      <c r="G9096" s="15"/>
      <c r="H9096" s="15"/>
      <c r="I9096" s="14"/>
      <c r="P9096" s="14"/>
    </row>
    <row r="9097" ht="18.75" customHeight="1">
      <c r="A9097" s="14"/>
      <c r="B9097" s="12"/>
      <c r="C9097" s="12"/>
      <c r="D9097" s="12"/>
      <c r="E9097" s="12"/>
      <c r="F9097" s="14"/>
      <c r="G9097" s="15"/>
      <c r="H9097" s="15"/>
      <c r="I9097" s="14"/>
      <c r="P9097" s="14"/>
    </row>
    <row r="9098" ht="18.75" customHeight="1">
      <c r="A9098" s="14"/>
      <c r="B9098" s="12"/>
      <c r="C9098" s="12"/>
      <c r="D9098" s="12"/>
      <c r="E9098" s="12"/>
      <c r="F9098" s="14"/>
      <c r="G9098" s="15"/>
      <c r="H9098" s="15"/>
      <c r="I9098" s="14"/>
      <c r="P9098" s="14"/>
    </row>
    <row r="9099" ht="18.75" customHeight="1">
      <c r="A9099" s="14"/>
      <c r="B9099" s="12"/>
      <c r="C9099" s="12"/>
      <c r="D9099" s="12"/>
      <c r="E9099" s="12"/>
      <c r="F9099" s="14"/>
      <c r="G9099" s="15"/>
      <c r="H9099" s="15"/>
      <c r="I9099" s="14"/>
      <c r="P9099" s="14"/>
    </row>
    <row r="9100" ht="18.75" customHeight="1">
      <c r="A9100" s="14"/>
      <c r="B9100" s="12"/>
      <c r="C9100" s="12"/>
      <c r="D9100" s="12"/>
      <c r="E9100" s="12"/>
      <c r="F9100" s="14"/>
      <c r="G9100" s="15"/>
      <c r="H9100" s="15"/>
      <c r="I9100" s="14"/>
      <c r="P9100" s="14"/>
    </row>
    <row r="9101" ht="18.75" customHeight="1">
      <c r="A9101" s="14"/>
      <c r="B9101" s="12"/>
      <c r="C9101" s="12"/>
      <c r="D9101" s="12"/>
      <c r="E9101" s="12"/>
      <c r="F9101" s="14"/>
      <c r="G9101" s="15"/>
      <c r="H9101" s="15"/>
      <c r="I9101" s="14"/>
      <c r="P9101" s="14"/>
    </row>
    <row r="9102" ht="18.75" customHeight="1">
      <c r="A9102" s="14"/>
      <c r="B9102" s="12"/>
      <c r="C9102" s="12"/>
      <c r="D9102" s="12"/>
      <c r="E9102" s="12"/>
      <c r="F9102" s="14"/>
      <c r="G9102" s="15"/>
      <c r="H9102" s="15"/>
      <c r="I9102" s="14"/>
      <c r="P9102" s="14"/>
    </row>
    <row r="9103" ht="18.75" customHeight="1">
      <c r="A9103" s="14"/>
      <c r="B9103" s="12"/>
      <c r="C9103" s="12"/>
      <c r="D9103" s="12"/>
      <c r="E9103" s="12"/>
      <c r="F9103" s="14"/>
      <c r="G9103" s="15"/>
      <c r="H9103" s="15"/>
      <c r="I9103" s="14"/>
      <c r="P9103" s="14"/>
    </row>
    <row r="9104" ht="18.75" customHeight="1">
      <c r="A9104" s="14"/>
      <c r="B9104" s="12"/>
      <c r="C9104" s="12"/>
      <c r="D9104" s="12"/>
      <c r="E9104" s="12"/>
      <c r="F9104" s="14"/>
      <c r="G9104" s="15"/>
      <c r="H9104" s="15"/>
      <c r="I9104" s="14"/>
      <c r="P9104" s="14"/>
    </row>
    <row r="9105" ht="18.75" customHeight="1">
      <c r="A9105" s="14"/>
      <c r="B9105" s="12"/>
      <c r="C9105" s="12"/>
      <c r="D9105" s="12"/>
      <c r="E9105" s="12"/>
      <c r="F9105" s="14"/>
      <c r="G9105" s="15"/>
      <c r="H9105" s="15"/>
      <c r="I9105" s="14"/>
      <c r="P9105" s="14"/>
    </row>
    <row r="9106" ht="18.75" customHeight="1">
      <c r="A9106" s="14"/>
      <c r="B9106" s="12"/>
      <c r="C9106" s="12"/>
      <c r="D9106" s="12"/>
      <c r="E9106" s="12"/>
      <c r="F9106" s="14"/>
      <c r="G9106" s="15"/>
      <c r="H9106" s="15"/>
      <c r="I9106" s="14"/>
      <c r="P9106" s="14"/>
    </row>
    <row r="9107" ht="18.75" customHeight="1">
      <c r="A9107" s="14"/>
      <c r="B9107" s="12"/>
      <c r="C9107" s="12"/>
      <c r="D9107" s="12"/>
      <c r="E9107" s="12"/>
      <c r="F9107" s="14"/>
      <c r="G9107" s="15"/>
      <c r="H9107" s="15"/>
      <c r="I9107" s="14"/>
      <c r="P9107" s="14"/>
    </row>
    <row r="9108" ht="18.75" customHeight="1">
      <c r="A9108" s="14"/>
      <c r="B9108" s="12"/>
      <c r="C9108" s="12"/>
      <c r="D9108" s="12"/>
      <c r="E9108" s="12"/>
      <c r="F9108" s="14"/>
      <c r="G9108" s="15"/>
      <c r="H9108" s="15"/>
      <c r="I9108" s="14"/>
      <c r="P9108" s="14"/>
    </row>
    <row r="9109" ht="18.75" customHeight="1">
      <c r="A9109" s="14"/>
      <c r="B9109" s="12"/>
      <c r="C9109" s="12"/>
      <c r="D9109" s="12"/>
      <c r="E9109" s="12"/>
      <c r="F9109" s="14"/>
      <c r="G9109" s="15"/>
      <c r="H9109" s="15"/>
      <c r="I9109" s="14"/>
      <c r="P9109" s="14"/>
    </row>
    <row r="9110" ht="18.75" customHeight="1">
      <c r="A9110" s="14"/>
      <c r="B9110" s="12"/>
      <c r="C9110" s="12"/>
      <c r="D9110" s="12"/>
      <c r="E9110" s="12"/>
      <c r="F9110" s="14"/>
      <c r="G9110" s="15"/>
      <c r="H9110" s="15"/>
      <c r="I9110" s="14"/>
      <c r="P9110" s="14"/>
    </row>
    <row r="9111" ht="18.75" customHeight="1">
      <c r="A9111" s="14"/>
      <c r="B9111" s="12"/>
      <c r="C9111" s="12"/>
      <c r="D9111" s="12"/>
      <c r="E9111" s="12"/>
      <c r="F9111" s="14"/>
      <c r="G9111" s="15"/>
      <c r="H9111" s="15"/>
      <c r="I9111" s="14"/>
      <c r="P9111" s="14"/>
    </row>
    <row r="9112" ht="18.75" customHeight="1">
      <c r="A9112" s="14"/>
      <c r="B9112" s="12"/>
      <c r="C9112" s="12"/>
      <c r="D9112" s="12"/>
      <c r="E9112" s="12"/>
      <c r="F9112" s="14"/>
      <c r="G9112" s="15"/>
      <c r="H9112" s="15"/>
      <c r="I9112" s="14"/>
      <c r="P9112" s="14"/>
    </row>
    <row r="9113" ht="18.75" customHeight="1">
      <c r="A9113" s="14"/>
      <c r="B9113" s="12"/>
      <c r="C9113" s="12"/>
      <c r="D9113" s="12"/>
      <c r="E9113" s="12"/>
      <c r="F9113" s="14"/>
      <c r="G9113" s="15"/>
      <c r="H9113" s="15"/>
      <c r="I9113" s="14"/>
      <c r="P9113" s="14"/>
    </row>
    <row r="9114" ht="18.75" customHeight="1">
      <c r="A9114" s="14"/>
      <c r="B9114" s="12"/>
      <c r="C9114" s="12"/>
      <c r="D9114" s="12"/>
      <c r="E9114" s="12"/>
      <c r="F9114" s="14"/>
      <c r="G9114" s="15"/>
      <c r="H9114" s="15"/>
      <c r="I9114" s="14"/>
      <c r="P9114" s="14"/>
    </row>
    <row r="9115" ht="18.75" customHeight="1">
      <c r="A9115" s="14"/>
      <c r="B9115" s="12"/>
      <c r="C9115" s="12"/>
      <c r="D9115" s="12"/>
      <c r="E9115" s="12"/>
      <c r="F9115" s="14"/>
      <c r="G9115" s="15"/>
      <c r="H9115" s="15"/>
      <c r="I9115" s="14"/>
      <c r="P9115" s="14"/>
    </row>
    <row r="9116" ht="18.75" customHeight="1">
      <c r="A9116" s="14"/>
      <c r="B9116" s="12"/>
      <c r="C9116" s="12"/>
      <c r="D9116" s="12"/>
      <c r="E9116" s="12"/>
      <c r="F9116" s="14"/>
      <c r="G9116" s="15"/>
      <c r="H9116" s="15"/>
      <c r="I9116" s="14"/>
      <c r="P9116" s="14"/>
    </row>
    <row r="9117" ht="18.75" customHeight="1">
      <c r="A9117" s="14"/>
      <c r="B9117" s="12"/>
      <c r="C9117" s="12"/>
      <c r="D9117" s="12"/>
      <c r="E9117" s="12"/>
      <c r="F9117" s="14"/>
      <c r="G9117" s="15"/>
      <c r="H9117" s="15"/>
      <c r="I9117" s="14"/>
      <c r="P9117" s="14"/>
    </row>
    <row r="9118" ht="18.75" customHeight="1">
      <c r="A9118" s="14"/>
      <c r="B9118" s="12"/>
      <c r="C9118" s="12"/>
      <c r="D9118" s="12"/>
      <c r="E9118" s="12"/>
      <c r="F9118" s="14"/>
      <c r="G9118" s="15"/>
      <c r="H9118" s="15"/>
      <c r="I9118" s="14"/>
      <c r="P9118" s="14"/>
    </row>
    <row r="9119" ht="18.75" customHeight="1">
      <c r="A9119" s="14"/>
      <c r="B9119" s="12"/>
      <c r="C9119" s="12"/>
      <c r="D9119" s="12"/>
      <c r="E9119" s="12"/>
      <c r="F9119" s="14"/>
      <c r="G9119" s="15"/>
      <c r="H9119" s="15"/>
      <c r="I9119" s="14"/>
      <c r="P9119" s="14"/>
    </row>
    <row r="9120" ht="18.75" customHeight="1">
      <c r="A9120" s="14"/>
      <c r="B9120" s="12"/>
      <c r="C9120" s="12"/>
      <c r="D9120" s="12"/>
      <c r="E9120" s="12"/>
      <c r="F9120" s="14"/>
      <c r="G9120" s="15"/>
      <c r="H9120" s="15"/>
      <c r="I9120" s="14"/>
      <c r="P9120" s="14"/>
    </row>
    <row r="9121" ht="18.75" customHeight="1">
      <c r="A9121" s="14"/>
      <c r="B9121" s="12"/>
      <c r="C9121" s="12"/>
      <c r="D9121" s="12"/>
      <c r="E9121" s="12"/>
      <c r="F9121" s="14"/>
      <c r="G9121" s="15"/>
      <c r="H9121" s="15"/>
      <c r="I9121" s="14"/>
      <c r="P9121" s="14"/>
    </row>
    <row r="9122" ht="18.75" customHeight="1">
      <c r="A9122" s="14"/>
      <c r="B9122" s="12"/>
      <c r="C9122" s="12"/>
      <c r="D9122" s="12"/>
      <c r="E9122" s="12"/>
      <c r="F9122" s="14"/>
      <c r="G9122" s="15"/>
      <c r="H9122" s="15"/>
      <c r="I9122" s="14"/>
      <c r="P9122" s="14"/>
    </row>
    <row r="9123" ht="18.75" customHeight="1">
      <c r="A9123" s="14"/>
      <c r="B9123" s="12"/>
      <c r="C9123" s="12"/>
      <c r="D9123" s="12"/>
      <c r="E9123" s="12"/>
      <c r="F9123" s="14"/>
      <c r="G9123" s="15"/>
      <c r="H9123" s="15"/>
      <c r="I9123" s="14"/>
      <c r="P9123" s="14"/>
    </row>
    <row r="9124" ht="18.75" customHeight="1">
      <c r="A9124" s="14"/>
      <c r="B9124" s="12"/>
      <c r="C9124" s="12"/>
      <c r="D9124" s="12"/>
      <c r="E9124" s="12"/>
      <c r="F9124" s="14"/>
      <c r="G9124" s="15"/>
      <c r="H9124" s="15"/>
      <c r="I9124" s="14"/>
      <c r="P9124" s="14"/>
    </row>
    <row r="9125" ht="18.75" customHeight="1">
      <c r="A9125" s="14"/>
      <c r="B9125" s="12"/>
      <c r="C9125" s="12"/>
      <c r="D9125" s="12"/>
      <c r="E9125" s="12"/>
      <c r="F9125" s="14"/>
      <c r="G9125" s="15"/>
      <c r="H9125" s="15"/>
      <c r="I9125" s="14"/>
      <c r="P9125" s="14"/>
    </row>
    <row r="9126" ht="18.75" customHeight="1">
      <c r="A9126" s="14"/>
      <c r="B9126" s="12"/>
      <c r="C9126" s="12"/>
      <c r="D9126" s="12"/>
      <c r="E9126" s="12"/>
      <c r="F9126" s="14"/>
      <c r="G9126" s="15"/>
      <c r="H9126" s="15"/>
      <c r="I9126" s="14"/>
      <c r="P9126" s="14"/>
    </row>
    <row r="9127" ht="18.75" customHeight="1">
      <c r="A9127" s="14"/>
      <c r="B9127" s="12"/>
      <c r="C9127" s="12"/>
      <c r="D9127" s="12"/>
      <c r="E9127" s="12"/>
      <c r="F9127" s="14"/>
      <c r="G9127" s="15"/>
      <c r="H9127" s="15"/>
      <c r="I9127" s="14"/>
      <c r="P9127" s="14"/>
    </row>
    <row r="9128" ht="18.75" customHeight="1">
      <c r="A9128" s="14"/>
      <c r="B9128" s="12"/>
      <c r="C9128" s="12"/>
      <c r="D9128" s="12"/>
      <c r="E9128" s="12"/>
      <c r="F9128" s="14"/>
      <c r="G9128" s="15"/>
      <c r="H9128" s="15"/>
      <c r="I9128" s="14"/>
      <c r="P9128" s="14"/>
    </row>
    <row r="9129" ht="18.75" customHeight="1">
      <c r="A9129" s="14"/>
      <c r="B9129" s="12"/>
      <c r="C9129" s="12"/>
      <c r="D9129" s="12"/>
      <c r="E9129" s="12"/>
      <c r="F9129" s="14"/>
      <c r="G9129" s="15"/>
      <c r="H9129" s="15"/>
      <c r="I9129" s="14"/>
      <c r="P9129" s="14"/>
    </row>
    <row r="9130" ht="18.75" customHeight="1">
      <c r="A9130" s="14"/>
      <c r="B9130" s="12"/>
      <c r="C9130" s="12"/>
      <c r="D9130" s="12"/>
      <c r="E9130" s="12"/>
      <c r="F9130" s="14"/>
      <c r="G9130" s="15"/>
      <c r="H9130" s="15"/>
      <c r="I9130" s="14"/>
      <c r="P9130" s="14"/>
    </row>
    <row r="9131" ht="18.75" customHeight="1">
      <c r="A9131" s="14"/>
      <c r="B9131" s="12"/>
      <c r="C9131" s="12"/>
      <c r="D9131" s="12"/>
      <c r="E9131" s="12"/>
      <c r="F9131" s="14"/>
      <c r="G9131" s="15"/>
      <c r="H9131" s="15"/>
      <c r="I9131" s="14"/>
      <c r="P9131" s="14"/>
    </row>
    <row r="9132" ht="18.75" customHeight="1">
      <c r="A9132" s="14"/>
      <c r="B9132" s="12"/>
      <c r="C9132" s="12"/>
      <c r="D9132" s="12"/>
      <c r="E9132" s="12"/>
      <c r="F9132" s="14"/>
      <c r="G9132" s="15"/>
      <c r="H9132" s="15"/>
      <c r="I9132" s="14"/>
      <c r="P9132" s="14"/>
    </row>
    <row r="9133" ht="18.75" customHeight="1">
      <c r="A9133" s="14"/>
      <c r="B9133" s="12"/>
      <c r="C9133" s="12"/>
      <c r="D9133" s="12"/>
      <c r="E9133" s="12"/>
      <c r="F9133" s="14"/>
      <c r="G9133" s="15"/>
      <c r="H9133" s="15"/>
      <c r="I9133" s="14"/>
      <c r="P9133" s="14"/>
    </row>
    <row r="9134" ht="18.75" customHeight="1">
      <c r="A9134" s="14"/>
      <c r="B9134" s="12"/>
      <c r="C9134" s="12"/>
      <c r="D9134" s="12"/>
      <c r="E9134" s="12"/>
      <c r="F9134" s="14"/>
      <c r="G9134" s="15"/>
      <c r="H9134" s="15"/>
      <c r="I9134" s="14"/>
      <c r="P9134" s="14"/>
    </row>
    <row r="9135" ht="18.75" customHeight="1">
      <c r="A9135" s="14"/>
      <c r="B9135" s="12"/>
      <c r="C9135" s="12"/>
      <c r="D9135" s="12"/>
      <c r="E9135" s="12"/>
      <c r="F9135" s="14"/>
      <c r="G9135" s="15"/>
      <c r="H9135" s="15"/>
      <c r="I9135" s="14"/>
      <c r="P9135" s="14"/>
    </row>
    <row r="9136" ht="18.75" customHeight="1">
      <c r="A9136" s="14"/>
      <c r="B9136" s="12"/>
      <c r="C9136" s="12"/>
      <c r="D9136" s="12"/>
      <c r="E9136" s="12"/>
      <c r="F9136" s="14"/>
      <c r="G9136" s="15"/>
      <c r="H9136" s="15"/>
      <c r="I9136" s="14"/>
      <c r="P9136" s="14"/>
    </row>
    <row r="9137" ht="18.75" customHeight="1">
      <c r="A9137" s="14"/>
      <c r="B9137" s="12"/>
      <c r="C9137" s="12"/>
      <c r="D9137" s="12"/>
      <c r="E9137" s="12"/>
      <c r="F9137" s="14"/>
      <c r="G9137" s="15"/>
      <c r="H9137" s="15"/>
      <c r="I9137" s="14"/>
      <c r="P9137" s="14"/>
    </row>
    <row r="9138" ht="18.75" customHeight="1">
      <c r="A9138" s="14"/>
      <c r="B9138" s="12"/>
      <c r="C9138" s="12"/>
      <c r="D9138" s="12"/>
      <c r="E9138" s="12"/>
      <c r="F9138" s="14"/>
      <c r="G9138" s="15"/>
      <c r="H9138" s="15"/>
      <c r="I9138" s="14"/>
      <c r="P9138" s="14"/>
    </row>
    <row r="9139" ht="18.75" customHeight="1">
      <c r="A9139" s="14"/>
      <c r="B9139" s="12"/>
      <c r="C9139" s="12"/>
      <c r="D9139" s="12"/>
      <c r="E9139" s="12"/>
      <c r="F9139" s="14"/>
      <c r="G9139" s="15"/>
      <c r="H9139" s="15"/>
      <c r="I9139" s="14"/>
      <c r="P9139" s="14"/>
    </row>
    <row r="9140" ht="18.75" customHeight="1">
      <c r="A9140" s="14"/>
      <c r="B9140" s="12"/>
      <c r="C9140" s="12"/>
      <c r="D9140" s="12"/>
      <c r="E9140" s="12"/>
      <c r="F9140" s="14"/>
      <c r="G9140" s="15"/>
      <c r="H9140" s="15"/>
      <c r="I9140" s="14"/>
      <c r="P9140" s="14"/>
    </row>
    <row r="9141" ht="18.75" customHeight="1">
      <c r="A9141" s="14"/>
      <c r="B9141" s="12"/>
      <c r="C9141" s="12"/>
      <c r="D9141" s="12"/>
      <c r="E9141" s="12"/>
      <c r="F9141" s="14"/>
      <c r="G9141" s="15"/>
      <c r="H9141" s="15"/>
      <c r="I9141" s="14"/>
      <c r="P9141" s="14"/>
    </row>
    <row r="9142" ht="18.75" customHeight="1">
      <c r="A9142" s="14"/>
      <c r="B9142" s="12"/>
      <c r="C9142" s="12"/>
      <c r="D9142" s="12"/>
      <c r="E9142" s="12"/>
      <c r="F9142" s="14"/>
      <c r="G9142" s="15"/>
      <c r="H9142" s="15"/>
      <c r="I9142" s="14"/>
      <c r="P9142" s="14"/>
    </row>
    <row r="9143" ht="18.75" customHeight="1">
      <c r="A9143" s="14"/>
      <c r="B9143" s="12"/>
      <c r="C9143" s="12"/>
      <c r="D9143" s="12"/>
      <c r="E9143" s="12"/>
      <c r="F9143" s="14"/>
      <c r="G9143" s="15"/>
      <c r="H9143" s="15"/>
      <c r="I9143" s="14"/>
      <c r="P9143" s="14"/>
    </row>
    <row r="9144" ht="18.75" customHeight="1">
      <c r="A9144" s="14"/>
      <c r="B9144" s="12"/>
      <c r="C9144" s="12"/>
      <c r="D9144" s="12"/>
      <c r="E9144" s="12"/>
      <c r="F9144" s="14"/>
      <c r="G9144" s="15"/>
      <c r="H9144" s="15"/>
      <c r="I9144" s="14"/>
      <c r="P9144" s="14"/>
    </row>
    <row r="9145" ht="18.75" customHeight="1">
      <c r="A9145" s="14"/>
      <c r="B9145" s="12"/>
      <c r="C9145" s="12"/>
      <c r="D9145" s="12"/>
      <c r="E9145" s="12"/>
      <c r="F9145" s="14"/>
      <c r="G9145" s="15"/>
      <c r="H9145" s="15"/>
      <c r="I9145" s="14"/>
      <c r="P9145" s="14"/>
    </row>
    <row r="9146" ht="18.75" customHeight="1">
      <c r="A9146" s="14"/>
      <c r="B9146" s="12"/>
      <c r="C9146" s="12"/>
      <c r="D9146" s="12"/>
      <c r="E9146" s="12"/>
      <c r="F9146" s="14"/>
      <c r="G9146" s="15"/>
      <c r="H9146" s="15"/>
      <c r="I9146" s="14"/>
      <c r="P9146" s="14"/>
    </row>
    <row r="9147" ht="18.75" customHeight="1">
      <c r="A9147" s="14"/>
      <c r="B9147" s="12"/>
      <c r="C9147" s="12"/>
      <c r="D9147" s="12"/>
      <c r="E9147" s="12"/>
      <c r="F9147" s="14"/>
      <c r="G9147" s="15"/>
      <c r="H9147" s="15"/>
      <c r="I9147" s="14"/>
      <c r="P9147" s="14"/>
    </row>
    <row r="9148" ht="18.75" customHeight="1">
      <c r="A9148" s="14"/>
      <c r="B9148" s="12"/>
      <c r="C9148" s="12"/>
      <c r="D9148" s="12"/>
      <c r="E9148" s="12"/>
      <c r="F9148" s="14"/>
      <c r="G9148" s="15"/>
      <c r="H9148" s="15"/>
      <c r="I9148" s="14"/>
      <c r="P9148" s="14"/>
    </row>
    <row r="9149" ht="18.75" customHeight="1">
      <c r="A9149" s="14"/>
      <c r="B9149" s="12"/>
      <c r="C9149" s="12"/>
      <c r="D9149" s="12"/>
      <c r="E9149" s="12"/>
      <c r="F9149" s="14"/>
      <c r="G9149" s="15"/>
      <c r="H9149" s="15"/>
      <c r="I9149" s="14"/>
      <c r="P9149" s="14"/>
    </row>
    <row r="9150" ht="18.75" customHeight="1">
      <c r="A9150" s="14"/>
      <c r="B9150" s="12"/>
      <c r="C9150" s="12"/>
      <c r="D9150" s="12"/>
      <c r="E9150" s="12"/>
      <c r="F9150" s="14"/>
      <c r="G9150" s="15"/>
      <c r="H9150" s="15"/>
      <c r="I9150" s="14"/>
      <c r="P9150" s="14"/>
    </row>
    <row r="9151" ht="18.75" customHeight="1">
      <c r="A9151" s="14"/>
      <c r="B9151" s="12"/>
      <c r="C9151" s="12"/>
      <c r="D9151" s="12"/>
      <c r="E9151" s="12"/>
      <c r="F9151" s="14"/>
      <c r="G9151" s="15"/>
      <c r="H9151" s="15"/>
      <c r="I9151" s="14"/>
      <c r="P9151" s="14"/>
    </row>
    <row r="9152" ht="18.75" customHeight="1">
      <c r="A9152" s="14"/>
      <c r="B9152" s="12"/>
      <c r="C9152" s="12"/>
      <c r="D9152" s="12"/>
      <c r="E9152" s="12"/>
      <c r="F9152" s="14"/>
      <c r="G9152" s="15"/>
      <c r="H9152" s="15"/>
      <c r="I9152" s="14"/>
      <c r="P9152" s="14"/>
    </row>
    <row r="9153" ht="18.75" customHeight="1">
      <c r="A9153" s="14"/>
      <c r="B9153" s="12"/>
      <c r="C9153" s="12"/>
      <c r="D9153" s="12"/>
      <c r="E9153" s="12"/>
      <c r="F9153" s="14"/>
      <c r="G9153" s="15"/>
      <c r="H9153" s="15"/>
      <c r="I9153" s="14"/>
      <c r="P9153" s="14"/>
    </row>
    <row r="9154" ht="18.75" customHeight="1">
      <c r="A9154" s="14"/>
      <c r="B9154" s="12"/>
      <c r="C9154" s="12"/>
      <c r="D9154" s="12"/>
      <c r="E9154" s="12"/>
      <c r="F9154" s="14"/>
      <c r="G9154" s="15"/>
      <c r="H9154" s="15"/>
      <c r="I9154" s="14"/>
      <c r="P9154" s="14"/>
    </row>
    <row r="9155" ht="18.75" customHeight="1">
      <c r="A9155" s="14"/>
      <c r="B9155" s="12"/>
      <c r="C9155" s="12"/>
      <c r="D9155" s="12"/>
      <c r="E9155" s="12"/>
      <c r="F9155" s="14"/>
      <c r="G9155" s="15"/>
      <c r="H9155" s="15"/>
      <c r="I9155" s="14"/>
      <c r="P9155" s="14"/>
    </row>
    <row r="9156" ht="18.75" customHeight="1">
      <c r="A9156" s="14"/>
      <c r="B9156" s="12"/>
      <c r="C9156" s="12"/>
      <c r="D9156" s="12"/>
      <c r="E9156" s="12"/>
      <c r="F9156" s="14"/>
      <c r="G9156" s="15"/>
      <c r="H9156" s="15"/>
      <c r="I9156" s="14"/>
      <c r="P9156" s="14"/>
    </row>
    <row r="9157" ht="18.75" customHeight="1">
      <c r="A9157" s="14"/>
      <c r="B9157" s="12"/>
      <c r="C9157" s="12"/>
      <c r="D9157" s="12"/>
      <c r="E9157" s="12"/>
      <c r="F9157" s="14"/>
      <c r="G9157" s="15"/>
      <c r="H9157" s="15"/>
      <c r="I9157" s="14"/>
      <c r="P9157" s="14"/>
    </row>
    <row r="9158" ht="18.75" customHeight="1">
      <c r="A9158" s="14"/>
      <c r="B9158" s="12"/>
      <c r="C9158" s="12"/>
      <c r="D9158" s="12"/>
      <c r="E9158" s="12"/>
      <c r="F9158" s="14"/>
      <c r="G9158" s="15"/>
      <c r="H9158" s="15"/>
      <c r="I9158" s="14"/>
      <c r="P9158" s="14"/>
    </row>
    <row r="9159" ht="18.75" customHeight="1">
      <c r="A9159" s="14"/>
      <c r="B9159" s="12"/>
      <c r="C9159" s="12"/>
      <c r="D9159" s="12"/>
      <c r="E9159" s="12"/>
      <c r="F9159" s="14"/>
      <c r="G9159" s="15"/>
      <c r="H9159" s="15"/>
      <c r="I9159" s="14"/>
      <c r="P9159" s="14"/>
    </row>
    <row r="9160" ht="18.75" customHeight="1">
      <c r="A9160" s="14"/>
      <c r="B9160" s="12"/>
      <c r="C9160" s="12"/>
      <c r="D9160" s="12"/>
      <c r="E9160" s="12"/>
      <c r="F9160" s="14"/>
      <c r="G9160" s="15"/>
      <c r="H9160" s="15"/>
      <c r="I9160" s="14"/>
      <c r="P9160" s="14"/>
    </row>
    <row r="9161" ht="18.75" customHeight="1">
      <c r="A9161" s="14"/>
      <c r="B9161" s="12"/>
      <c r="C9161" s="12"/>
      <c r="D9161" s="12"/>
      <c r="E9161" s="12"/>
      <c r="F9161" s="14"/>
      <c r="G9161" s="15"/>
      <c r="H9161" s="15"/>
      <c r="I9161" s="14"/>
      <c r="P9161" s="14"/>
    </row>
    <row r="9162" ht="18.75" customHeight="1">
      <c r="A9162" s="14"/>
      <c r="B9162" s="12"/>
      <c r="C9162" s="12"/>
      <c r="D9162" s="12"/>
      <c r="E9162" s="12"/>
      <c r="F9162" s="14"/>
      <c r="G9162" s="15"/>
      <c r="H9162" s="15"/>
      <c r="I9162" s="14"/>
      <c r="P9162" s="14"/>
    </row>
    <row r="9163" ht="18.75" customHeight="1">
      <c r="A9163" s="14"/>
      <c r="B9163" s="12"/>
      <c r="C9163" s="12"/>
      <c r="D9163" s="12"/>
      <c r="E9163" s="12"/>
      <c r="F9163" s="14"/>
      <c r="G9163" s="15"/>
      <c r="H9163" s="15"/>
      <c r="I9163" s="14"/>
      <c r="P9163" s="14"/>
    </row>
    <row r="9164" ht="18.75" customHeight="1">
      <c r="A9164" s="14"/>
      <c r="B9164" s="12"/>
      <c r="C9164" s="12"/>
      <c r="D9164" s="12"/>
      <c r="E9164" s="12"/>
      <c r="F9164" s="14"/>
      <c r="G9164" s="15"/>
      <c r="H9164" s="15"/>
      <c r="I9164" s="14"/>
      <c r="P9164" s="14"/>
    </row>
    <row r="9165" ht="18.75" customHeight="1">
      <c r="A9165" s="14"/>
      <c r="B9165" s="12"/>
      <c r="C9165" s="12"/>
      <c r="D9165" s="12"/>
      <c r="E9165" s="12"/>
      <c r="F9165" s="14"/>
      <c r="G9165" s="15"/>
      <c r="H9165" s="15"/>
      <c r="I9165" s="14"/>
      <c r="P9165" s="14"/>
    </row>
    <row r="9166" ht="18.75" customHeight="1">
      <c r="A9166" s="14"/>
      <c r="B9166" s="12"/>
      <c r="C9166" s="12"/>
      <c r="D9166" s="12"/>
      <c r="E9166" s="12"/>
      <c r="F9166" s="14"/>
      <c r="G9166" s="15"/>
      <c r="H9166" s="15"/>
      <c r="I9166" s="14"/>
      <c r="P9166" s="14"/>
    </row>
    <row r="9167" ht="18.75" customHeight="1">
      <c r="A9167" s="14"/>
      <c r="B9167" s="12"/>
      <c r="C9167" s="12"/>
      <c r="D9167" s="12"/>
      <c r="E9167" s="12"/>
      <c r="F9167" s="14"/>
      <c r="G9167" s="15"/>
      <c r="H9167" s="15"/>
      <c r="I9167" s="14"/>
      <c r="P9167" s="14"/>
    </row>
    <row r="9168" ht="18.75" customHeight="1">
      <c r="A9168" s="14"/>
      <c r="B9168" s="12"/>
      <c r="C9168" s="12"/>
      <c r="D9168" s="12"/>
      <c r="E9168" s="12"/>
      <c r="F9168" s="14"/>
      <c r="G9168" s="15"/>
      <c r="H9168" s="15"/>
      <c r="I9168" s="14"/>
      <c r="P9168" s="14"/>
    </row>
    <row r="9169" ht="18.75" customHeight="1">
      <c r="A9169" s="14"/>
      <c r="B9169" s="12"/>
      <c r="C9169" s="12"/>
      <c r="D9169" s="12"/>
      <c r="E9169" s="12"/>
      <c r="F9169" s="14"/>
      <c r="G9169" s="15"/>
      <c r="H9169" s="15"/>
      <c r="I9169" s="14"/>
      <c r="P9169" s="14"/>
    </row>
    <row r="9170" ht="18.75" customHeight="1">
      <c r="A9170" s="14"/>
      <c r="B9170" s="12"/>
      <c r="C9170" s="12"/>
      <c r="D9170" s="12"/>
      <c r="E9170" s="12"/>
      <c r="F9170" s="14"/>
      <c r="G9170" s="15"/>
      <c r="H9170" s="15"/>
      <c r="I9170" s="14"/>
      <c r="P9170" s="14"/>
    </row>
    <row r="9171" ht="18.75" customHeight="1">
      <c r="A9171" s="14"/>
      <c r="B9171" s="12"/>
      <c r="C9171" s="12"/>
      <c r="D9171" s="12"/>
      <c r="E9171" s="12"/>
      <c r="F9171" s="14"/>
      <c r="G9171" s="15"/>
      <c r="H9171" s="15"/>
      <c r="I9171" s="14"/>
      <c r="P9171" s="14"/>
    </row>
    <row r="9172" ht="18.75" customHeight="1">
      <c r="A9172" s="14"/>
      <c r="B9172" s="12"/>
      <c r="C9172" s="12"/>
      <c r="D9172" s="12"/>
      <c r="E9172" s="12"/>
      <c r="F9172" s="14"/>
      <c r="G9172" s="15"/>
      <c r="H9172" s="15"/>
      <c r="I9172" s="14"/>
      <c r="P9172" s="14"/>
    </row>
    <row r="9173" ht="18.75" customHeight="1">
      <c r="A9173" s="14"/>
      <c r="B9173" s="12"/>
      <c r="C9173" s="12"/>
      <c r="D9173" s="12"/>
      <c r="E9173" s="12"/>
      <c r="F9173" s="14"/>
      <c r="G9173" s="15"/>
      <c r="H9173" s="15"/>
      <c r="I9173" s="14"/>
      <c r="P9173" s="14"/>
    </row>
    <row r="9174" ht="18.75" customHeight="1">
      <c r="A9174" s="14"/>
      <c r="B9174" s="12"/>
      <c r="C9174" s="12"/>
      <c r="D9174" s="12"/>
      <c r="E9174" s="12"/>
      <c r="F9174" s="14"/>
      <c r="G9174" s="15"/>
      <c r="H9174" s="15"/>
      <c r="I9174" s="14"/>
      <c r="P9174" s="14"/>
    </row>
    <row r="9175" ht="18.75" customHeight="1">
      <c r="A9175" s="14"/>
      <c r="B9175" s="12"/>
      <c r="C9175" s="12"/>
      <c r="D9175" s="12"/>
      <c r="E9175" s="12"/>
      <c r="F9175" s="14"/>
      <c r="G9175" s="15"/>
      <c r="H9175" s="15"/>
      <c r="I9175" s="14"/>
      <c r="P9175" s="14"/>
    </row>
    <row r="9176" ht="18.75" customHeight="1">
      <c r="A9176" s="14"/>
      <c r="B9176" s="12"/>
      <c r="C9176" s="12"/>
      <c r="D9176" s="12"/>
      <c r="E9176" s="12"/>
      <c r="F9176" s="14"/>
      <c r="G9176" s="15"/>
      <c r="H9176" s="15"/>
      <c r="I9176" s="14"/>
      <c r="P9176" s="14"/>
    </row>
    <row r="9177" ht="18.75" customHeight="1">
      <c r="A9177" s="14"/>
      <c r="B9177" s="12"/>
      <c r="C9177" s="12"/>
      <c r="D9177" s="12"/>
      <c r="E9177" s="12"/>
      <c r="F9177" s="14"/>
      <c r="G9177" s="15"/>
      <c r="H9177" s="15"/>
      <c r="I9177" s="14"/>
      <c r="P9177" s="14"/>
    </row>
    <row r="9178" ht="18.75" customHeight="1">
      <c r="A9178" s="14"/>
      <c r="B9178" s="12"/>
      <c r="C9178" s="12"/>
      <c r="D9178" s="12"/>
      <c r="E9178" s="12"/>
      <c r="F9178" s="14"/>
      <c r="G9178" s="15"/>
      <c r="H9178" s="15"/>
      <c r="I9178" s="14"/>
      <c r="P9178" s="14"/>
    </row>
    <row r="9179" ht="18.75" customHeight="1">
      <c r="A9179" s="14"/>
      <c r="B9179" s="12"/>
      <c r="C9179" s="12"/>
      <c r="D9179" s="12"/>
      <c r="E9179" s="12"/>
      <c r="F9179" s="14"/>
      <c r="G9179" s="15"/>
      <c r="H9179" s="15"/>
      <c r="I9179" s="14"/>
      <c r="P9179" s="14"/>
    </row>
    <row r="9180" ht="18.75" customHeight="1">
      <c r="A9180" s="14"/>
      <c r="B9180" s="12"/>
      <c r="C9180" s="12"/>
      <c r="D9180" s="12"/>
      <c r="E9180" s="12"/>
      <c r="F9180" s="14"/>
      <c r="G9180" s="15"/>
      <c r="H9180" s="15"/>
      <c r="I9180" s="14"/>
      <c r="P9180" s="14"/>
    </row>
    <row r="9181" ht="18.75" customHeight="1">
      <c r="A9181" s="14"/>
      <c r="B9181" s="12"/>
      <c r="C9181" s="12"/>
      <c r="D9181" s="12"/>
      <c r="E9181" s="12"/>
      <c r="F9181" s="14"/>
      <c r="G9181" s="15"/>
      <c r="H9181" s="15"/>
      <c r="I9181" s="14"/>
      <c r="P9181" s="14"/>
    </row>
    <row r="9182" ht="18.75" customHeight="1">
      <c r="A9182" s="14"/>
      <c r="B9182" s="12"/>
      <c r="C9182" s="12"/>
      <c r="D9182" s="12"/>
      <c r="E9182" s="12"/>
      <c r="F9182" s="14"/>
      <c r="G9182" s="15"/>
      <c r="H9182" s="15"/>
      <c r="I9182" s="14"/>
      <c r="P9182" s="14"/>
    </row>
    <row r="9183" ht="18.75" customHeight="1">
      <c r="A9183" s="14"/>
      <c r="B9183" s="12"/>
      <c r="C9183" s="12"/>
      <c r="D9183" s="12"/>
      <c r="E9183" s="12"/>
      <c r="F9183" s="14"/>
      <c r="G9183" s="15"/>
      <c r="H9183" s="15"/>
      <c r="I9183" s="14"/>
      <c r="P9183" s="14"/>
    </row>
    <row r="9184" ht="18.75" customHeight="1">
      <c r="A9184" s="14"/>
      <c r="B9184" s="12"/>
      <c r="C9184" s="12"/>
      <c r="D9184" s="12"/>
      <c r="E9184" s="12"/>
      <c r="F9184" s="14"/>
      <c r="G9184" s="15"/>
      <c r="H9184" s="15"/>
      <c r="I9184" s="14"/>
      <c r="P9184" s="14"/>
    </row>
    <row r="9185" ht="18.75" customHeight="1">
      <c r="A9185" s="14"/>
      <c r="B9185" s="12"/>
      <c r="C9185" s="12"/>
      <c r="D9185" s="12"/>
      <c r="E9185" s="12"/>
      <c r="F9185" s="14"/>
      <c r="G9185" s="15"/>
      <c r="H9185" s="15"/>
      <c r="I9185" s="14"/>
      <c r="P9185" s="14"/>
    </row>
    <row r="9186" ht="18.75" customHeight="1">
      <c r="A9186" s="14"/>
      <c r="B9186" s="12"/>
      <c r="C9186" s="12"/>
      <c r="D9186" s="12"/>
      <c r="E9186" s="12"/>
      <c r="F9186" s="14"/>
      <c r="G9186" s="15"/>
      <c r="H9186" s="15"/>
      <c r="I9186" s="14"/>
      <c r="P9186" s="14"/>
    </row>
    <row r="9187" ht="18.75" customHeight="1">
      <c r="A9187" s="14"/>
      <c r="B9187" s="12"/>
      <c r="C9187" s="12"/>
      <c r="D9187" s="12"/>
      <c r="E9187" s="12"/>
      <c r="F9187" s="14"/>
      <c r="G9187" s="15"/>
      <c r="H9187" s="15"/>
      <c r="I9187" s="14"/>
      <c r="P9187" s="14"/>
    </row>
    <row r="9188" ht="18.75" customHeight="1">
      <c r="A9188" s="14"/>
      <c r="B9188" s="12"/>
      <c r="C9188" s="12"/>
      <c r="D9188" s="12"/>
      <c r="E9188" s="12"/>
      <c r="F9188" s="14"/>
      <c r="G9188" s="15"/>
      <c r="H9188" s="15"/>
      <c r="I9188" s="14"/>
      <c r="P9188" s="14"/>
    </row>
    <row r="9189" ht="18.75" customHeight="1">
      <c r="A9189" s="14"/>
      <c r="B9189" s="12"/>
      <c r="C9189" s="12"/>
      <c r="D9189" s="12"/>
      <c r="E9189" s="12"/>
      <c r="F9189" s="14"/>
      <c r="G9189" s="15"/>
      <c r="H9189" s="15"/>
      <c r="I9189" s="14"/>
      <c r="P9189" s="14"/>
    </row>
    <row r="9190" ht="18.75" customHeight="1">
      <c r="A9190" s="14"/>
      <c r="B9190" s="12"/>
      <c r="C9190" s="12"/>
      <c r="D9190" s="12"/>
      <c r="E9190" s="12"/>
      <c r="F9190" s="14"/>
      <c r="G9190" s="15"/>
      <c r="H9190" s="15"/>
      <c r="I9190" s="14"/>
      <c r="P9190" s="14"/>
    </row>
    <row r="9191" ht="18.75" customHeight="1">
      <c r="A9191" s="14"/>
      <c r="B9191" s="12"/>
      <c r="C9191" s="12"/>
      <c r="D9191" s="12"/>
      <c r="E9191" s="12"/>
      <c r="F9191" s="14"/>
      <c r="G9191" s="15"/>
      <c r="H9191" s="15"/>
      <c r="I9191" s="14"/>
      <c r="P9191" s="14"/>
    </row>
    <row r="9192" ht="18.75" customHeight="1">
      <c r="A9192" s="14"/>
      <c r="B9192" s="12"/>
      <c r="C9192" s="12"/>
      <c r="D9192" s="12"/>
      <c r="E9192" s="12"/>
      <c r="F9192" s="14"/>
      <c r="G9192" s="15"/>
      <c r="H9192" s="15"/>
      <c r="I9192" s="14"/>
      <c r="P9192" s="14"/>
    </row>
    <row r="9193" ht="18.75" customHeight="1">
      <c r="A9193" s="14"/>
      <c r="B9193" s="12"/>
      <c r="C9193" s="12"/>
      <c r="D9193" s="12"/>
      <c r="E9193" s="12"/>
      <c r="F9193" s="14"/>
      <c r="G9193" s="15"/>
      <c r="H9193" s="15"/>
      <c r="I9193" s="14"/>
      <c r="P9193" s="14"/>
    </row>
    <row r="9194" ht="18.75" customHeight="1">
      <c r="A9194" s="14"/>
      <c r="B9194" s="12"/>
      <c r="C9194" s="12"/>
      <c r="D9194" s="12"/>
      <c r="E9194" s="12"/>
      <c r="F9194" s="14"/>
      <c r="G9194" s="15"/>
      <c r="H9194" s="15"/>
      <c r="I9194" s="14"/>
      <c r="P9194" s="14"/>
    </row>
    <row r="9195" ht="18.75" customHeight="1">
      <c r="A9195" s="14"/>
      <c r="B9195" s="12"/>
      <c r="C9195" s="12"/>
      <c r="D9195" s="12"/>
      <c r="E9195" s="12"/>
      <c r="F9195" s="14"/>
      <c r="G9195" s="15"/>
      <c r="H9195" s="15"/>
      <c r="I9195" s="14"/>
      <c r="P9195" s="14"/>
    </row>
    <row r="9196" ht="18.75" customHeight="1">
      <c r="A9196" s="14"/>
      <c r="B9196" s="12"/>
      <c r="C9196" s="12"/>
      <c r="D9196" s="12"/>
      <c r="E9196" s="12"/>
      <c r="F9196" s="14"/>
      <c r="G9196" s="15"/>
      <c r="H9196" s="15"/>
      <c r="I9196" s="14"/>
      <c r="P9196" s="14"/>
    </row>
    <row r="9197" ht="18.75" customHeight="1">
      <c r="A9197" s="14"/>
      <c r="B9197" s="12"/>
      <c r="C9197" s="12"/>
      <c r="D9197" s="12"/>
      <c r="E9197" s="12"/>
      <c r="F9197" s="14"/>
      <c r="G9197" s="15"/>
      <c r="H9197" s="15"/>
      <c r="I9197" s="14"/>
      <c r="P9197" s="14"/>
    </row>
    <row r="9198" ht="18.75" customHeight="1">
      <c r="A9198" s="14"/>
      <c r="B9198" s="12"/>
      <c r="C9198" s="12"/>
      <c r="D9198" s="12"/>
      <c r="E9198" s="12"/>
      <c r="F9198" s="14"/>
      <c r="G9198" s="15"/>
      <c r="H9198" s="15"/>
      <c r="I9198" s="14"/>
      <c r="P9198" s="14"/>
    </row>
    <row r="9199" ht="18.75" customHeight="1">
      <c r="A9199" s="14"/>
      <c r="B9199" s="12"/>
      <c r="C9199" s="12"/>
      <c r="D9199" s="12"/>
      <c r="E9199" s="12"/>
      <c r="F9199" s="14"/>
      <c r="G9199" s="15"/>
      <c r="H9199" s="15"/>
      <c r="I9199" s="14"/>
      <c r="P9199" s="14"/>
    </row>
    <row r="9200" ht="18.75" customHeight="1">
      <c r="A9200" s="14"/>
      <c r="B9200" s="12"/>
      <c r="C9200" s="12"/>
      <c r="D9200" s="12"/>
      <c r="E9200" s="12"/>
      <c r="F9200" s="14"/>
      <c r="G9200" s="15"/>
      <c r="H9200" s="15"/>
      <c r="I9200" s="14"/>
      <c r="P9200" s="14"/>
    </row>
    <row r="9201" ht="18.75" customHeight="1">
      <c r="A9201" s="14"/>
      <c r="B9201" s="12"/>
      <c r="C9201" s="12"/>
      <c r="D9201" s="12"/>
      <c r="E9201" s="12"/>
      <c r="F9201" s="14"/>
      <c r="G9201" s="15"/>
      <c r="H9201" s="15"/>
      <c r="I9201" s="14"/>
      <c r="P9201" s="14"/>
    </row>
    <row r="9202" ht="18.75" customHeight="1">
      <c r="A9202" s="14"/>
      <c r="B9202" s="12"/>
      <c r="C9202" s="12"/>
      <c r="D9202" s="12"/>
      <c r="E9202" s="12"/>
      <c r="F9202" s="14"/>
      <c r="G9202" s="15"/>
      <c r="H9202" s="15"/>
      <c r="I9202" s="14"/>
      <c r="P9202" s="14"/>
    </row>
    <row r="9203" ht="18.75" customHeight="1">
      <c r="A9203" s="14"/>
      <c r="B9203" s="12"/>
      <c r="C9203" s="12"/>
      <c r="D9203" s="12"/>
      <c r="E9203" s="12"/>
      <c r="F9203" s="14"/>
      <c r="G9203" s="15"/>
      <c r="H9203" s="15"/>
      <c r="I9203" s="14"/>
      <c r="P9203" s="14"/>
    </row>
    <row r="9204" ht="18.75" customHeight="1">
      <c r="A9204" s="14"/>
      <c r="B9204" s="12"/>
      <c r="C9204" s="12"/>
      <c r="D9204" s="12"/>
      <c r="E9204" s="12"/>
      <c r="F9204" s="14"/>
      <c r="G9204" s="15"/>
      <c r="H9204" s="15"/>
      <c r="I9204" s="14"/>
      <c r="P9204" s="14"/>
    </row>
    <row r="9205" ht="18.75" customHeight="1">
      <c r="A9205" s="14"/>
      <c r="B9205" s="12"/>
      <c r="C9205" s="12"/>
      <c r="D9205" s="12"/>
      <c r="E9205" s="12"/>
      <c r="F9205" s="14"/>
      <c r="G9205" s="15"/>
      <c r="H9205" s="15"/>
      <c r="I9205" s="14"/>
      <c r="P9205" s="14"/>
    </row>
    <row r="9206" ht="18.75" customHeight="1">
      <c r="A9206" s="14"/>
      <c r="B9206" s="12"/>
      <c r="C9206" s="12"/>
      <c r="D9206" s="12"/>
      <c r="E9206" s="12"/>
      <c r="F9206" s="14"/>
      <c r="G9206" s="15"/>
      <c r="H9206" s="15"/>
      <c r="I9206" s="14"/>
      <c r="P9206" s="14"/>
    </row>
    <row r="9207" ht="18.75" customHeight="1">
      <c r="A9207" s="14"/>
      <c r="B9207" s="12"/>
      <c r="C9207" s="12"/>
      <c r="D9207" s="12"/>
      <c r="E9207" s="12"/>
      <c r="F9207" s="14"/>
      <c r="G9207" s="15"/>
      <c r="H9207" s="15"/>
      <c r="I9207" s="14"/>
      <c r="P9207" s="14"/>
    </row>
    <row r="9208" ht="18.75" customHeight="1">
      <c r="A9208" s="14"/>
      <c r="B9208" s="12"/>
      <c r="C9208" s="12"/>
      <c r="D9208" s="12"/>
      <c r="E9208" s="12"/>
      <c r="F9208" s="14"/>
      <c r="G9208" s="15"/>
      <c r="H9208" s="15"/>
      <c r="I9208" s="14"/>
      <c r="P9208" s="14"/>
    </row>
    <row r="9209" ht="18.75" customHeight="1">
      <c r="A9209" s="14"/>
      <c r="B9209" s="12"/>
      <c r="C9209" s="12"/>
      <c r="D9209" s="12"/>
      <c r="E9209" s="12"/>
      <c r="F9209" s="14"/>
      <c r="G9209" s="15"/>
      <c r="H9209" s="15"/>
      <c r="I9209" s="14"/>
      <c r="P9209" s="14"/>
    </row>
    <row r="9210" ht="18.75" customHeight="1">
      <c r="A9210" s="14"/>
      <c r="B9210" s="12"/>
      <c r="C9210" s="12"/>
      <c r="D9210" s="12"/>
      <c r="E9210" s="12"/>
      <c r="F9210" s="14"/>
      <c r="G9210" s="15"/>
      <c r="H9210" s="15"/>
      <c r="I9210" s="14"/>
      <c r="P9210" s="14"/>
    </row>
    <row r="9211" ht="18.75" customHeight="1">
      <c r="A9211" s="14"/>
      <c r="B9211" s="12"/>
      <c r="C9211" s="12"/>
      <c r="D9211" s="12"/>
      <c r="E9211" s="12"/>
      <c r="F9211" s="14"/>
      <c r="G9211" s="15"/>
      <c r="H9211" s="15"/>
      <c r="I9211" s="14"/>
      <c r="P9211" s="14"/>
    </row>
    <row r="9212" ht="18.75" customHeight="1">
      <c r="A9212" s="14"/>
      <c r="B9212" s="12"/>
      <c r="C9212" s="12"/>
      <c r="D9212" s="12"/>
      <c r="E9212" s="12"/>
      <c r="F9212" s="14"/>
      <c r="G9212" s="15"/>
      <c r="H9212" s="15"/>
      <c r="I9212" s="14"/>
      <c r="P9212" s="14"/>
    </row>
    <row r="9213" ht="18.75" customHeight="1">
      <c r="A9213" s="14"/>
      <c r="B9213" s="12"/>
      <c r="C9213" s="12"/>
      <c r="D9213" s="12"/>
      <c r="E9213" s="12"/>
      <c r="F9213" s="14"/>
      <c r="G9213" s="15"/>
      <c r="H9213" s="15"/>
      <c r="I9213" s="14"/>
      <c r="P9213" s="14"/>
    </row>
    <row r="9214" ht="18.75" customHeight="1">
      <c r="A9214" s="14"/>
      <c r="B9214" s="12"/>
      <c r="C9214" s="12"/>
      <c r="D9214" s="12"/>
      <c r="E9214" s="12"/>
      <c r="F9214" s="14"/>
      <c r="G9214" s="15"/>
      <c r="H9214" s="15"/>
      <c r="I9214" s="14"/>
      <c r="P9214" s="14"/>
    </row>
    <row r="9215" ht="18.75" customHeight="1">
      <c r="A9215" s="14"/>
      <c r="B9215" s="12"/>
      <c r="C9215" s="12"/>
      <c r="D9215" s="12"/>
      <c r="E9215" s="12"/>
      <c r="F9215" s="14"/>
      <c r="G9215" s="15"/>
      <c r="H9215" s="15"/>
      <c r="I9215" s="14"/>
      <c r="P9215" s="14"/>
    </row>
    <row r="9216" ht="18.75" customHeight="1">
      <c r="A9216" s="14"/>
      <c r="B9216" s="12"/>
      <c r="C9216" s="12"/>
      <c r="D9216" s="12"/>
      <c r="E9216" s="12"/>
      <c r="F9216" s="14"/>
      <c r="G9216" s="15"/>
      <c r="H9216" s="15"/>
      <c r="I9216" s="14"/>
      <c r="P9216" s="14"/>
    </row>
    <row r="9217" ht="18.75" customHeight="1">
      <c r="A9217" s="14"/>
      <c r="B9217" s="12"/>
      <c r="C9217" s="12"/>
      <c r="D9217" s="12"/>
      <c r="E9217" s="12"/>
      <c r="F9217" s="14"/>
      <c r="G9217" s="15"/>
      <c r="H9217" s="15"/>
      <c r="I9217" s="14"/>
      <c r="P9217" s="14"/>
    </row>
    <row r="9218" ht="18.75" customHeight="1">
      <c r="A9218" s="14"/>
      <c r="B9218" s="12"/>
      <c r="C9218" s="12"/>
      <c r="D9218" s="12"/>
      <c r="E9218" s="12"/>
      <c r="F9218" s="14"/>
      <c r="G9218" s="15"/>
      <c r="H9218" s="15"/>
      <c r="I9218" s="14"/>
      <c r="P9218" s="14"/>
    </row>
    <row r="9219" ht="18.75" customHeight="1">
      <c r="A9219" s="14"/>
      <c r="B9219" s="12"/>
      <c r="C9219" s="12"/>
      <c r="D9219" s="12"/>
      <c r="E9219" s="12"/>
      <c r="F9219" s="14"/>
      <c r="G9219" s="15"/>
      <c r="H9219" s="15"/>
      <c r="I9219" s="14"/>
      <c r="P9219" s="14"/>
    </row>
    <row r="9220" ht="18.75" customHeight="1">
      <c r="A9220" s="14"/>
      <c r="B9220" s="12"/>
      <c r="C9220" s="12"/>
      <c r="D9220" s="12"/>
      <c r="E9220" s="12"/>
      <c r="F9220" s="14"/>
      <c r="G9220" s="15"/>
      <c r="H9220" s="15"/>
      <c r="I9220" s="14"/>
      <c r="P9220" s="14"/>
    </row>
    <row r="9221" ht="18.75" customHeight="1">
      <c r="A9221" s="14"/>
      <c r="B9221" s="12"/>
      <c r="C9221" s="12"/>
      <c r="D9221" s="12"/>
      <c r="E9221" s="12"/>
      <c r="F9221" s="14"/>
      <c r="G9221" s="15"/>
      <c r="H9221" s="15"/>
      <c r="I9221" s="14"/>
      <c r="P9221" s="14"/>
    </row>
    <row r="9222" ht="18.75" customHeight="1">
      <c r="A9222" s="14"/>
      <c r="B9222" s="12"/>
      <c r="C9222" s="12"/>
      <c r="D9222" s="12"/>
      <c r="E9222" s="12"/>
      <c r="F9222" s="14"/>
      <c r="G9222" s="15"/>
      <c r="H9222" s="15"/>
      <c r="I9222" s="14"/>
      <c r="P9222" s="14"/>
    </row>
    <row r="9223" ht="18.75" customHeight="1">
      <c r="A9223" s="14"/>
      <c r="B9223" s="12"/>
      <c r="C9223" s="12"/>
      <c r="D9223" s="12"/>
      <c r="E9223" s="12"/>
      <c r="F9223" s="14"/>
      <c r="G9223" s="15"/>
      <c r="H9223" s="15"/>
      <c r="I9223" s="14"/>
      <c r="P9223" s="14"/>
    </row>
    <row r="9224" ht="18.75" customHeight="1">
      <c r="A9224" s="14"/>
      <c r="B9224" s="12"/>
      <c r="C9224" s="12"/>
      <c r="D9224" s="12"/>
      <c r="E9224" s="12"/>
      <c r="F9224" s="14"/>
      <c r="G9224" s="15"/>
      <c r="H9224" s="15"/>
      <c r="I9224" s="14"/>
      <c r="P9224" s="14"/>
    </row>
    <row r="9225" ht="18.75" customHeight="1">
      <c r="A9225" s="14"/>
      <c r="B9225" s="12"/>
      <c r="C9225" s="12"/>
      <c r="D9225" s="12"/>
      <c r="E9225" s="12"/>
      <c r="F9225" s="14"/>
      <c r="G9225" s="15"/>
      <c r="H9225" s="15"/>
      <c r="I9225" s="14"/>
      <c r="P9225" s="14"/>
    </row>
    <row r="9226" ht="18.75" customHeight="1">
      <c r="A9226" s="14"/>
      <c r="B9226" s="12"/>
      <c r="C9226" s="12"/>
      <c r="D9226" s="12"/>
      <c r="E9226" s="12"/>
      <c r="F9226" s="14"/>
      <c r="G9226" s="15"/>
      <c r="H9226" s="15"/>
      <c r="I9226" s="14"/>
      <c r="P9226" s="14"/>
    </row>
    <row r="9227" ht="18.75" customHeight="1">
      <c r="A9227" s="14"/>
      <c r="B9227" s="12"/>
      <c r="C9227" s="12"/>
      <c r="D9227" s="12"/>
      <c r="E9227" s="12"/>
      <c r="F9227" s="14"/>
      <c r="G9227" s="15"/>
      <c r="H9227" s="15"/>
      <c r="I9227" s="14"/>
      <c r="P9227" s="14"/>
    </row>
    <row r="9228" ht="18.75" customHeight="1">
      <c r="A9228" s="14"/>
      <c r="B9228" s="12"/>
      <c r="C9228" s="12"/>
      <c r="D9228" s="12"/>
      <c r="E9228" s="12"/>
      <c r="F9228" s="14"/>
      <c r="G9228" s="15"/>
      <c r="H9228" s="15"/>
      <c r="I9228" s="14"/>
      <c r="P9228" s="14"/>
    </row>
    <row r="9229" ht="18.75" customHeight="1">
      <c r="A9229" s="14"/>
      <c r="B9229" s="12"/>
      <c r="C9229" s="12"/>
      <c r="D9229" s="12"/>
      <c r="E9229" s="12"/>
      <c r="F9229" s="14"/>
      <c r="G9229" s="15"/>
      <c r="H9229" s="15"/>
      <c r="I9229" s="14"/>
      <c r="P9229" s="14"/>
    </row>
    <row r="9230" ht="18.75" customHeight="1">
      <c r="A9230" s="14"/>
      <c r="B9230" s="12"/>
      <c r="C9230" s="12"/>
      <c r="D9230" s="12"/>
      <c r="E9230" s="12"/>
      <c r="F9230" s="14"/>
      <c r="G9230" s="15"/>
      <c r="H9230" s="15"/>
      <c r="I9230" s="14"/>
      <c r="P9230" s="14"/>
    </row>
    <row r="9231" ht="18.75" customHeight="1">
      <c r="A9231" s="14"/>
      <c r="B9231" s="12"/>
      <c r="C9231" s="12"/>
      <c r="D9231" s="12"/>
      <c r="E9231" s="12"/>
      <c r="F9231" s="14"/>
      <c r="G9231" s="15"/>
      <c r="H9231" s="15"/>
      <c r="I9231" s="14"/>
      <c r="P9231" s="14"/>
    </row>
    <row r="9232" ht="18.75" customHeight="1">
      <c r="A9232" s="14"/>
      <c r="B9232" s="12"/>
      <c r="C9232" s="12"/>
      <c r="D9232" s="12"/>
      <c r="E9232" s="12"/>
      <c r="F9232" s="14"/>
      <c r="G9232" s="15"/>
      <c r="H9232" s="15"/>
      <c r="I9232" s="14"/>
      <c r="P9232" s="14"/>
    </row>
    <row r="9233" ht="18.75" customHeight="1">
      <c r="A9233" s="14"/>
      <c r="B9233" s="12"/>
      <c r="C9233" s="12"/>
      <c r="D9233" s="12"/>
      <c r="E9233" s="12"/>
      <c r="F9233" s="14"/>
      <c r="G9233" s="15"/>
      <c r="H9233" s="15"/>
      <c r="I9233" s="14"/>
      <c r="P9233" s="14"/>
    </row>
    <row r="9234" ht="18.75" customHeight="1">
      <c r="A9234" s="14"/>
      <c r="B9234" s="12"/>
      <c r="C9234" s="12"/>
      <c r="D9234" s="12"/>
      <c r="E9234" s="12"/>
      <c r="F9234" s="14"/>
      <c r="G9234" s="15"/>
      <c r="H9234" s="15"/>
      <c r="I9234" s="14"/>
      <c r="P9234" s="14"/>
    </row>
    <row r="9235" ht="18.75" customHeight="1">
      <c r="A9235" s="14"/>
      <c r="B9235" s="12"/>
      <c r="C9235" s="12"/>
      <c r="D9235" s="12"/>
      <c r="E9235" s="12"/>
      <c r="F9235" s="14"/>
      <c r="G9235" s="15"/>
      <c r="H9235" s="15"/>
      <c r="I9235" s="14"/>
      <c r="P9235" s="14"/>
    </row>
    <row r="9236" ht="18.75" customHeight="1">
      <c r="A9236" s="14"/>
      <c r="B9236" s="12"/>
      <c r="C9236" s="12"/>
      <c r="D9236" s="12"/>
      <c r="E9236" s="12"/>
      <c r="F9236" s="14"/>
      <c r="G9236" s="15"/>
      <c r="H9236" s="15"/>
      <c r="I9236" s="14"/>
      <c r="P9236" s="14"/>
    </row>
    <row r="9237" ht="18.75" customHeight="1">
      <c r="A9237" s="14"/>
      <c r="B9237" s="12"/>
      <c r="C9237" s="12"/>
      <c r="D9237" s="12"/>
      <c r="E9237" s="12"/>
      <c r="F9237" s="14"/>
      <c r="G9237" s="15"/>
      <c r="H9237" s="15"/>
      <c r="I9237" s="14"/>
      <c r="P9237" s="14"/>
    </row>
    <row r="9238" ht="18.75" customHeight="1">
      <c r="A9238" s="14"/>
      <c r="B9238" s="12"/>
      <c r="C9238" s="12"/>
      <c r="D9238" s="12"/>
      <c r="E9238" s="12"/>
      <c r="F9238" s="14"/>
      <c r="G9238" s="15"/>
      <c r="H9238" s="15"/>
      <c r="I9238" s="14"/>
      <c r="P9238" s="14"/>
    </row>
    <row r="9239" ht="18.75" customHeight="1">
      <c r="A9239" s="14"/>
      <c r="B9239" s="12"/>
      <c r="C9239" s="12"/>
      <c r="D9239" s="12"/>
      <c r="E9239" s="12"/>
      <c r="F9239" s="14"/>
      <c r="G9239" s="15"/>
      <c r="H9239" s="15"/>
      <c r="I9239" s="14"/>
      <c r="P9239" s="14"/>
    </row>
    <row r="9240" ht="18.75" customHeight="1">
      <c r="A9240" s="14"/>
      <c r="B9240" s="12"/>
      <c r="C9240" s="12"/>
      <c r="D9240" s="12"/>
      <c r="E9240" s="12"/>
      <c r="F9240" s="14"/>
      <c r="G9240" s="15"/>
      <c r="H9240" s="15"/>
      <c r="I9240" s="14"/>
      <c r="P9240" s="14"/>
    </row>
    <row r="9241" ht="18.75" customHeight="1">
      <c r="A9241" s="14"/>
      <c r="B9241" s="12"/>
      <c r="C9241" s="12"/>
      <c r="D9241" s="12"/>
      <c r="E9241" s="12"/>
      <c r="F9241" s="14"/>
      <c r="G9241" s="15"/>
      <c r="H9241" s="15"/>
      <c r="I9241" s="14"/>
      <c r="P9241" s="14"/>
    </row>
    <row r="9242" ht="18.75" customHeight="1">
      <c r="A9242" s="14"/>
      <c r="B9242" s="12"/>
      <c r="C9242" s="12"/>
      <c r="D9242" s="12"/>
      <c r="E9242" s="12"/>
      <c r="F9242" s="14"/>
      <c r="G9242" s="15"/>
      <c r="H9242" s="15"/>
      <c r="I9242" s="14"/>
      <c r="P9242" s="14"/>
    </row>
    <row r="9243" ht="18.75" customHeight="1">
      <c r="A9243" s="14"/>
      <c r="B9243" s="12"/>
      <c r="C9243" s="12"/>
      <c r="D9243" s="12"/>
      <c r="E9243" s="12"/>
      <c r="F9243" s="14"/>
      <c r="G9243" s="15"/>
      <c r="H9243" s="15"/>
      <c r="I9243" s="14"/>
      <c r="P9243" s="14"/>
    </row>
    <row r="9244" ht="18.75" customHeight="1">
      <c r="A9244" s="14"/>
      <c r="B9244" s="12"/>
      <c r="C9244" s="12"/>
      <c r="D9244" s="12"/>
      <c r="E9244" s="12"/>
      <c r="F9244" s="14"/>
      <c r="G9244" s="15"/>
      <c r="H9244" s="15"/>
      <c r="I9244" s="14"/>
      <c r="P9244" s="14"/>
    </row>
    <row r="9245" ht="18.75" customHeight="1">
      <c r="A9245" s="14"/>
      <c r="B9245" s="12"/>
      <c r="C9245" s="12"/>
      <c r="D9245" s="12"/>
      <c r="E9245" s="12"/>
      <c r="F9245" s="14"/>
      <c r="G9245" s="15"/>
      <c r="H9245" s="15"/>
      <c r="I9245" s="14"/>
      <c r="P9245" s="14"/>
    </row>
    <row r="9246" ht="18.75" customHeight="1">
      <c r="A9246" s="14"/>
      <c r="B9246" s="12"/>
      <c r="C9246" s="12"/>
      <c r="D9246" s="12"/>
      <c r="E9246" s="12"/>
      <c r="F9246" s="14"/>
      <c r="G9246" s="15"/>
      <c r="H9246" s="15"/>
      <c r="I9246" s="14"/>
      <c r="P9246" s="14"/>
    </row>
    <row r="9247" ht="18.75" customHeight="1">
      <c r="A9247" s="14"/>
      <c r="B9247" s="12"/>
      <c r="C9247" s="12"/>
      <c r="D9247" s="12"/>
      <c r="E9247" s="12"/>
      <c r="F9247" s="14"/>
      <c r="G9247" s="15"/>
      <c r="H9247" s="15"/>
      <c r="I9247" s="14"/>
      <c r="P9247" s="14"/>
    </row>
    <row r="9248" ht="18.75" customHeight="1">
      <c r="A9248" s="14"/>
      <c r="B9248" s="12"/>
      <c r="C9248" s="12"/>
      <c r="D9248" s="12"/>
      <c r="E9248" s="12"/>
      <c r="F9248" s="14"/>
      <c r="G9248" s="15"/>
      <c r="H9248" s="15"/>
      <c r="I9248" s="14"/>
      <c r="P9248" s="14"/>
    </row>
    <row r="9249" ht="18.75" customHeight="1">
      <c r="A9249" s="14"/>
      <c r="B9249" s="12"/>
      <c r="C9249" s="12"/>
      <c r="D9249" s="12"/>
      <c r="E9249" s="12"/>
      <c r="F9249" s="14"/>
      <c r="G9249" s="15"/>
      <c r="H9249" s="15"/>
      <c r="I9249" s="14"/>
      <c r="P9249" s="14"/>
    </row>
    <row r="9250" ht="18.75" customHeight="1">
      <c r="A9250" s="14"/>
      <c r="B9250" s="12"/>
      <c r="C9250" s="12"/>
      <c r="D9250" s="12"/>
      <c r="E9250" s="12"/>
      <c r="F9250" s="14"/>
      <c r="G9250" s="15"/>
      <c r="H9250" s="15"/>
      <c r="I9250" s="14"/>
      <c r="P9250" s="14"/>
    </row>
    <row r="9251" ht="18.75" customHeight="1">
      <c r="A9251" s="14"/>
      <c r="B9251" s="12"/>
      <c r="C9251" s="12"/>
      <c r="D9251" s="12"/>
      <c r="E9251" s="12"/>
      <c r="F9251" s="14"/>
      <c r="G9251" s="15"/>
      <c r="H9251" s="15"/>
      <c r="I9251" s="14"/>
      <c r="P9251" s="14"/>
    </row>
    <row r="9252" ht="18.75" customHeight="1">
      <c r="A9252" s="14"/>
      <c r="B9252" s="12"/>
      <c r="C9252" s="12"/>
      <c r="D9252" s="12"/>
      <c r="E9252" s="12"/>
      <c r="F9252" s="14"/>
      <c r="G9252" s="15"/>
      <c r="H9252" s="15"/>
      <c r="I9252" s="14"/>
      <c r="P9252" s="14"/>
    </row>
    <row r="9253" ht="18.75" customHeight="1">
      <c r="A9253" s="14"/>
      <c r="B9253" s="12"/>
      <c r="C9253" s="12"/>
      <c r="D9253" s="12"/>
      <c r="E9253" s="12"/>
      <c r="F9253" s="14"/>
      <c r="G9253" s="15"/>
      <c r="H9253" s="15"/>
      <c r="I9253" s="14"/>
      <c r="P9253" s="14"/>
    </row>
    <row r="9254" ht="18.75" customHeight="1">
      <c r="A9254" s="14"/>
      <c r="B9254" s="12"/>
      <c r="C9254" s="12"/>
      <c r="D9254" s="12"/>
      <c r="E9254" s="12"/>
      <c r="F9254" s="14"/>
      <c r="G9254" s="15"/>
      <c r="H9254" s="15"/>
      <c r="I9254" s="14"/>
      <c r="P9254" s="14"/>
    </row>
    <row r="9255" ht="18.75" customHeight="1">
      <c r="A9255" s="14"/>
      <c r="B9255" s="12"/>
      <c r="C9255" s="12"/>
      <c r="D9255" s="12"/>
      <c r="E9255" s="12"/>
      <c r="F9255" s="14"/>
      <c r="G9255" s="15"/>
      <c r="H9255" s="15"/>
      <c r="I9255" s="14"/>
      <c r="P9255" s="14"/>
    </row>
    <row r="9256" ht="18.75" customHeight="1">
      <c r="A9256" s="14"/>
      <c r="B9256" s="12"/>
      <c r="C9256" s="12"/>
      <c r="D9256" s="12"/>
      <c r="E9256" s="12"/>
      <c r="F9256" s="14"/>
      <c r="G9256" s="15"/>
      <c r="H9256" s="15"/>
      <c r="I9256" s="14"/>
      <c r="P9256" s="14"/>
    </row>
    <row r="9257" ht="18.75" customHeight="1">
      <c r="A9257" s="14"/>
      <c r="B9257" s="12"/>
      <c r="C9257" s="12"/>
      <c r="D9257" s="12"/>
      <c r="E9257" s="12"/>
      <c r="F9257" s="14"/>
      <c r="G9257" s="15"/>
      <c r="H9257" s="15"/>
      <c r="I9257" s="14"/>
      <c r="P9257" s="14"/>
    </row>
    <row r="9258" ht="18.75" customHeight="1">
      <c r="A9258" s="14"/>
      <c r="B9258" s="12"/>
      <c r="C9258" s="12"/>
      <c r="D9258" s="12"/>
      <c r="E9258" s="12"/>
      <c r="F9258" s="14"/>
      <c r="G9258" s="15"/>
      <c r="H9258" s="15"/>
      <c r="I9258" s="14"/>
      <c r="P9258" s="14"/>
    </row>
    <row r="9259" ht="18.75" customHeight="1">
      <c r="A9259" s="14"/>
      <c r="B9259" s="12"/>
      <c r="C9259" s="12"/>
      <c r="D9259" s="12"/>
      <c r="E9259" s="12"/>
      <c r="F9259" s="14"/>
      <c r="G9259" s="15"/>
      <c r="H9259" s="15"/>
      <c r="I9259" s="14"/>
      <c r="P9259" s="14"/>
    </row>
    <row r="9260" ht="18.75" customHeight="1">
      <c r="A9260" s="14"/>
      <c r="B9260" s="12"/>
      <c r="C9260" s="12"/>
      <c r="D9260" s="12"/>
      <c r="E9260" s="12"/>
      <c r="F9260" s="14"/>
      <c r="G9260" s="15"/>
      <c r="H9260" s="15"/>
      <c r="I9260" s="14"/>
      <c r="P9260" s="14"/>
    </row>
    <row r="9261" ht="18.75" customHeight="1">
      <c r="A9261" s="14"/>
      <c r="B9261" s="12"/>
      <c r="C9261" s="12"/>
      <c r="D9261" s="12"/>
      <c r="E9261" s="12"/>
      <c r="F9261" s="14"/>
      <c r="G9261" s="15"/>
      <c r="H9261" s="15"/>
      <c r="I9261" s="14"/>
      <c r="P9261" s="14"/>
    </row>
    <row r="9262" ht="18.75" customHeight="1">
      <c r="A9262" s="14"/>
      <c r="B9262" s="12"/>
      <c r="C9262" s="12"/>
      <c r="D9262" s="12"/>
      <c r="E9262" s="12"/>
      <c r="F9262" s="14"/>
      <c r="G9262" s="15"/>
      <c r="H9262" s="15"/>
      <c r="I9262" s="14"/>
      <c r="P9262" s="14"/>
    </row>
    <row r="9263" ht="18.75" customHeight="1">
      <c r="A9263" s="14"/>
      <c r="B9263" s="12"/>
      <c r="C9263" s="12"/>
      <c r="D9263" s="12"/>
      <c r="E9263" s="12"/>
      <c r="F9263" s="14"/>
      <c r="G9263" s="15"/>
      <c r="H9263" s="15"/>
      <c r="I9263" s="14"/>
      <c r="P9263" s="14"/>
    </row>
    <row r="9264" ht="18.75" customHeight="1">
      <c r="A9264" s="14"/>
      <c r="B9264" s="12"/>
      <c r="C9264" s="12"/>
      <c r="D9264" s="12"/>
      <c r="E9264" s="12"/>
      <c r="F9264" s="14"/>
      <c r="G9264" s="15"/>
      <c r="H9264" s="15"/>
      <c r="I9264" s="14"/>
      <c r="P9264" s="14"/>
    </row>
    <row r="9265" ht="18.75" customHeight="1">
      <c r="A9265" s="14"/>
      <c r="B9265" s="12"/>
      <c r="C9265" s="12"/>
      <c r="D9265" s="12"/>
      <c r="E9265" s="12"/>
      <c r="F9265" s="14"/>
      <c r="G9265" s="15"/>
      <c r="H9265" s="15"/>
      <c r="I9265" s="14"/>
      <c r="P9265" s="14"/>
    </row>
    <row r="9266" ht="18.75" customHeight="1">
      <c r="A9266" s="14"/>
      <c r="B9266" s="12"/>
      <c r="C9266" s="12"/>
      <c r="D9266" s="12"/>
      <c r="E9266" s="12"/>
      <c r="F9266" s="14"/>
      <c r="G9266" s="15"/>
      <c r="H9266" s="15"/>
      <c r="I9266" s="14"/>
      <c r="P9266" s="14"/>
    </row>
    <row r="9267" ht="18.75" customHeight="1">
      <c r="A9267" s="14"/>
      <c r="B9267" s="12"/>
      <c r="C9267" s="12"/>
      <c r="D9267" s="12"/>
      <c r="E9267" s="12"/>
      <c r="F9267" s="14"/>
      <c r="G9267" s="15"/>
      <c r="H9267" s="15"/>
      <c r="I9267" s="14"/>
      <c r="P9267" s="14"/>
    </row>
    <row r="9268" ht="18.75" customHeight="1">
      <c r="A9268" s="14"/>
      <c r="B9268" s="12"/>
      <c r="C9268" s="12"/>
      <c r="D9268" s="12"/>
      <c r="E9268" s="12"/>
      <c r="F9268" s="14"/>
      <c r="G9268" s="15"/>
      <c r="H9268" s="15"/>
      <c r="I9268" s="14"/>
      <c r="P9268" s="14"/>
    </row>
    <row r="9269" ht="18.75" customHeight="1">
      <c r="A9269" s="14"/>
      <c r="B9269" s="12"/>
      <c r="C9269" s="12"/>
      <c r="D9269" s="12"/>
      <c r="E9269" s="12"/>
      <c r="F9269" s="14"/>
      <c r="G9269" s="15"/>
      <c r="H9269" s="15"/>
      <c r="I9269" s="14"/>
      <c r="P9269" s="14"/>
    </row>
    <row r="9270" ht="18.75" customHeight="1">
      <c r="A9270" s="14"/>
      <c r="B9270" s="12"/>
      <c r="C9270" s="12"/>
      <c r="D9270" s="12"/>
      <c r="E9270" s="12"/>
      <c r="F9270" s="14"/>
      <c r="G9270" s="15"/>
      <c r="H9270" s="15"/>
      <c r="I9270" s="14"/>
      <c r="P9270" s="14"/>
    </row>
    <row r="9271" ht="18.75" customHeight="1">
      <c r="A9271" s="14"/>
      <c r="B9271" s="12"/>
      <c r="C9271" s="12"/>
      <c r="D9271" s="12"/>
      <c r="E9271" s="12"/>
      <c r="F9271" s="14"/>
      <c r="G9271" s="15"/>
      <c r="H9271" s="15"/>
      <c r="I9271" s="14"/>
      <c r="P9271" s="14"/>
    </row>
    <row r="9272" ht="18.75" customHeight="1">
      <c r="A9272" s="14"/>
      <c r="B9272" s="12"/>
      <c r="C9272" s="12"/>
      <c r="D9272" s="12"/>
      <c r="E9272" s="12"/>
      <c r="F9272" s="14"/>
      <c r="G9272" s="15"/>
      <c r="H9272" s="15"/>
      <c r="I9272" s="14"/>
      <c r="P9272" s="14"/>
    </row>
    <row r="9273" ht="18.75" customHeight="1">
      <c r="A9273" s="14"/>
      <c r="B9273" s="12"/>
      <c r="C9273" s="12"/>
      <c r="D9273" s="12"/>
      <c r="E9273" s="12"/>
      <c r="F9273" s="14"/>
      <c r="G9273" s="15"/>
      <c r="H9273" s="15"/>
      <c r="I9273" s="14"/>
      <c r="P9273" s="14"/>
    </row>
    <row r="9274" ht="18.75" customHeight="1">
      <c r="A9274" s="14"/>
      <c r="B9274" s="12"/>
      <c r="C9274" s="12"/>
      <c r="D9274" s="12"/>
      <c r="E9274" s="12"/>
      <c r="F9274" s="14"/>
      <c r="G9274" s="15"/>
      <c r="H9274" s="15"/>
      <c r="I9274" s="14"/>
      <c r="P9274" s="14"/>
    </row>
    <row r="9275" ht="18.75" customHeight="1">
      <c r="A9275" s="14"/>
      <c r="B9275" s="12"/>
      <c r="C9275" s="12"/>
      <c r="D9275" s="12"/>
      <c r="E9275" s="12"/>
      <c r="F9275" s="14"/>
      <c r="G9275" s="15"/>
      <c r="H9275" s="15"/>
      <c r="I9275" s="14"/>
      <c r="P9275" s="14"/>
    </row>
    <row r="9276" ht="18.75" customHeight="1">
      <c r="A9276" s="14"/>
      <c r="B9276" s="12"/>
      <c r="C9276" s="12"/>
      <c r="D9276" s="12"/>
      <c r="E9276" s="12"/>
      <c r="F9276" s="14"/>
      <c r="G9276" s="15"/>
      <c r="H9276" s="15"/>
      <c r="I9276" s="14"/>
      <c r="P9276" s="14"/>
    </row>
    <row r="9277" ht="18.75" customHeight="1">
      <c r="A9277" s="14"/>
      <c r="B9277" s="12"/>
      <c r="C9277" s="12"/>
      <c r="D9277" s="12"/>
      <c r="E9277" s="12"/>
      <c r="F9277" s="14"/>
      <c r="G9277" s="15"/>
      <c r="H9277" s="15"/>
      <c r="I9277" s="14"/>
      <c r="P9277" s="14"/>
    </row>
    <row r="9278" ht="18.75" customHeight="1">
      <c r="A9278" s="14"/>
      <c r="B9278" s="12"/>
      <c r="C9278" s="12"/>
      <c r="D9278" s="12"/>
      <c r="E9278" s="12"/>
      <c r="F9278" s="14"/>
      <c r="G9278" s="15"/>
      <c r="H9278" s="15"/>
      <c r="I9278" s="14"/>
      <c r="P9278" s="14"/>
    </row>
    <row r="9279" ht="18.75" customHeight="1">
      <c r="A9279" s="14"/>
      <c r="B9279" s="12"/>
      <c r="C9279" s="12"/>
      <c r="D9279" s="12"/>
      <c r="E9279" s="12"/>
      <c r="F9279" s="14"/>
      <c r="G9279" s="15"/>
      <c r="H9279" s="15"/>
      <c r="I9279" s="14"/>
      <c r="P9279" s="14"/>
    </row>
    <row r="9280" ht="18.75" customHeight="1">
      <c r="A9280" s="14"/>
      <c r="B9280" s="12"/>
      <c r="C9280" s="12"/>
      <c r="D9280" s="12"/>
      <c r="E9280" s="12"/>
      <c r="F9280" s="14"/>
      <c r="G9280" s="15"/>
      <c r="H9280" s="15"/>
      <c r="I9280" s="14"/>
      <c r="P9280" s="14"/>
    </row>
    <row r="9281" ht="18.75" customHeight="1">
      <c r="A9281" s="14"/>
      <c r="B9281" s="12"/>
      <c r="C9281" s="12"/>
      <c r="D9281" s="12"/>
      <c r="E9281" s="12"/>
      <c r="F9281" s="14"/>
      <c r="G9281" s="15"/>
      <c r="H9281" s="15"/>
      <c r="I9281" s="14"/>
      <c r="P9281" s="14"/>
    </row>
    <row r="9282" ht="18.75" customHeight="1">
      <c r="A9282" s="14"/>
      <c r="B9282" s="12"/>
      <c r="C9282" s="12"/>
      <c r="D9282" s="12"/>
      <c r="E9282" s="12"/>
      <c r="F9282" s="14"/>
      <c r="G9282" s="15"/>
      <c r="H9282" s="15"/>
      <c r="I9282" s="14"/>
      <c r="P9282" s="14"/>
    </row>
    <row r="9283" ht="18.75" customHeight="1">
      <c r="A9283" s="14"/>
      <c r="B9283" s="12"/>
      <c r="C9283" s="12"/>
      <c r="D9283" s="12"/>
      <c r="E9283" s="12"/>
      <c r="F9283" s="14"/>
      <c r="G9283" s="15"/>
      <c r="H9283" s="15"/>
      <c r="I9283" s="14"/>
      <c r="P9283" s="14"/>
    </row>
    <row r="9284" ht="18.75" customHeight="1">
      <c r="A9284" s="14"/>
      <c r="B9284" s="12"/>
      <c r="C9284" s="12"/>
      <c r="D9284" s="12"/>
      <c r="E9284" s="12"/>
      <c r="F9284" s="14"/>
      <c r="G9284" s="15"/>
      <c r="H9284" s="15"/>
      <c r="I9284" s="14"/>
      <c r="P9284" s="14"/>
    </row>
    <row r="9285" ht="18.75" customHeight="1">
      <c r="A9285" s="14"/>
      <c r="B9285" s="12"/>
      <c r="C9285" s="12"/>
      <c r="D9285" s="12"/>
      <c r="E9285" s="12"/>
      <c r="F9285" s="14"/>
      <c r="G9285" s="15"/>
      <c r="H9285" s="15"/>
      <c r="I9285" s="14"/>
      <c r="P9285" s="14"/>
    </row>
    <row r="9286" ht="18.75" customHeight="1">
      <c r="A9286" s="14"/>
      <c r="B9286" s="12"/>
      <c r="C9286" s="12"/>
      <c r="D9286" s="12"/>
      <c r="E9286" s="12"/>
      <c r="F9286" s="14"/>
      <c r="G9286" s="15"/>
      <c r="H9286" s="15"/>
      <c r="I9286" s="14"/>
      <c r="P9286" s="14"/>
    </row>
    <row r="9287" ht="18.75" customHeight="1">
      <c r="A9287" s="14"/>
      <c r="B9287" s="12"/>
      <c r="C9287" s="12"/>
      <c r="D9287" s="12"/>
      <c r="E9287" s="12"/>
      <c r="F9287" s="14"/>
      <c r="G9287" s="15"/>
      <c r="H9287" s="15"/>
      <c r="I9287" s="14"/>
      <c r="P9287" s="14"/>
    </row>
    <row r="9288" ht="18.75" customHeight="1">
      <c r="A9288" s="14"/>
      <c r="B9288" s="12"/>
      <c r="C9288" s="12"/>
      <c r="D9288" s="12"/>
      <c r="E9288" s="12"/>
      <c r="F9288" s="14"/>
      <c r="G9288" s="15"/>
      <c r="H9288" s="15"/>
      <c r="I9288" s="14"/>
      <c r="P9288" s="14"/>
    </row>
    <row r="9289" ht="18.75" customHeight="1">
      <c r="A9289" s="14"/>
      <c r="B9289" s="12"/>
      <c r="C9289" s="12"/>
      <c r="D9289" s="12"/>
      <c r="E9289" s="12"/>
      <c r="F9289" s="14"/>
      <c r="G9289" s="15"/>
      <c r="H9289" s="15"/>
      <c r="I9289" s="14"/>
      <c r="P9289" s="14"/>
    </row>
    <row r="9290" ht="18.75" customHeight="1">
      <c r="A9290" s="14"/>
      <c r="B9290" s="12"/>
      <c r="C9290" s="12"/>
      <c r="D9290" s="12"/>
      <c r="E9290" s="12"/>
      <c r="F9290" s="14"/>
      <c r="G9290" s="15"/>
      <c r="H9290" s="15"/>
      <c r="I9290" s="14"/>
      <c r="P9290" s="14"/>
    </row>
    <row r="9291" ht="18.75" customHeight="1">
      <c r="A9291" s="14"/>
      <c r="B9291" s="12"/>
      <c r="C9291" s="12"/>
      <c r="D9291" s="12"/>
      <c r="E9291" s="12"/>
      <c r="F9291" s="14"/>
      <c r="G9291" s="15"/>
      <c r="H9291" s="15"/>
      <c r="I9291" s="14"/>
      <c r="P9291" s="14"/>
    </row>
    <row r="9292" ht="18.75" customHeight="1">
      <c r="A9292" s="14"/>
      <c r="B9292" s="12"/>
      <c r="C9292" s="12"/>
      <c r="D9292" s="12"/>
      <c r="E9292" s="12"/>
      <c r="F9292" s="14"/>
      <c r="G9292" s="15"/>
      <c r="H9292" s="15"/>
      <c r="I9292" s="14"/>
      <c r="P9292" s="14"/>
    </row>
    <row r="9293" ht="18.75" customHeight="1">
      <c r="A9293" s="14"/>
      <c r="B9293" s="12"/>
      <c r="C9293" s="12"/>
      <c r="D9293" s="12"/>
      <c r="E9293" s="12"/>
      <c r="F9293" s="14"/>
      <c r="G9293" s="15"/>
      <c r="H9293" s="15"/>
      <c r="I9293" s="14"/>
      <c r="P9293" s="14"/>
    </row>
    <row r="9294" ht="18.75" customHeight="1">
      <c r="A9294" s="14"/>
      <c r="B9294" s="12"/>
      <c r="C9294" s="12"/>
      <c r="D9294" s="12"/>
      <c r="E9294" s="12"/>
      <c r="F9294" s="14"/>
      <c r="G9294" s="15"/>
      <c r="H9294" s="15"/>
      <c r="I9294" s="14"/>
      <c r="P9294" s="14"/>
    </row>
    <row r="9295" ht="18.75" customHeight="1">
      <c r="A9295" s="14"/>
      <c r="B9295" s="12"/>
      <c r="C9295" s="12"/>
      <c r="D9295" s="12"/>
      <c r="E9295" s="12"/>
      <c r="F9295" s="14"/>
      <c r="G9295" s="15"/>
      <c r="H9295" s="15"/>
      <c r="I9295" s="14"/>
      <c r="P9295" s="14"/>
    </row>
    <row r="9296" ht="18.75" customHeight="1">
      <c r="A9296" s="14"/>
      <c r="B9296" s="12"/>
      <c r="C9296" s="12"/>
      <c r="D9296" s="12"/>
      <c r="E9296" s="12"/>
      <c r="F9296" s="14"/>
      <c r="G9296" s="15"/>
      <c r="H9296" s="15"/>
      <c r="I9296" s="14"/>
      <c r="P9296" s="14"/>
    </row>
    <row r="9297" ht="18.75" customHeight="1">
      <c r="A9297" s="14"/>
      <c r="B9297" s="12"/>
      <c r="C9297" s="12"/>
      <c r="D9297" s="12"/>
      <c r="E9297" s="12"/>
      <c r="F9297" s="14"/>
      <c r="G9297" s="15"/>
      <c r="H9297" s="15"/>
      <c r="I9297" s="14"/>
      <c r="P9297" s="14"/>
    </row>
    <row r="9298" ht="18.75" customHeight="1">
      <c r="A9298" s="14"/>
      <c r="B9298" s="12"/>
      <c r="C9298" s="12"/>
      <c r="D9298" s="12"/>
      <c r="E9298" s="12"/>
      <c r="F9298" s="14"/>
      <c r="G9298" s="15"/>
      <c r="H9298" s="15"/>
      <c r="I9298" s="14"/>
      <c r="P9298" s="14"/>
    </row>
    <row r="9299" ht="18.75" customHeight="1">
      <c r="A9299" s="14"/>
      <c r="B9299" s="12"/>
      <c r="C9299" s="12"/>
      <c r="D9299" s="12"/>
      <c r="E9299" s="12"/>
      <c r="F9299" s="14"/>
      <c r="G9299" s="15"/>
      <c r="H9299" s="15"/>
      <c r="I9299" s="14"/>
      <c r="P9299" s="14"/>
    </row>
    <row r="9300" ht="18.75" customHeight="1">
      <c r="A9300" s="14"/>
      <c r="B9300" s="12"/>
      <c r="C9300" s="12"/>
      <c r="D9300" s="12"/>
      <c r="E9300" s="12"/>
      <c r="F9300" s="14"/>
      <c r="G9300" s="15"/>
      <c r="H9300" s="15"/>
      <c r="I9300" s="14"/>
      <c r="P9300" s="14"/>
    </row>
    <row r="9301" ht="18.75" customHeight="1">
      <c r="A9301" s="14"/>
      <c r="B9301" s="12"/>
      <c r="C9301" s="12"/>
      <c r="D9301" s="12"/>
      <c r="E9301" s="12"/>
      <c r="F9301" s="14"/>
      <c r="G9301" s="15"/>
      <c r="H9301" s="15"/>
      <c r="I9301" s="14"/>
      <c r="P9301" s="14"/>
    </row>
    <row r="9302" ht="18.75" customHeight="1">
      <c r="A9302" s="14"/>
      <c r="B9302" s="12"/>
      <c r="C9302" s="12"/>
      <c r="D9302" s="12"/>
      <c r="E9302" s="12"/>
      <c r="F9302" s="14"/>
      <c r="G9302" s="15"/>
      <c r="H9302" s="15"/>
      <c r="I9302" s="14"/>
      <c r="P9302" s="14"/>
    </row>
    <row r="9303" ht="18.75" customHeight="1">
      <c r="A9303" s="14"/>
      <c r="B9303" s="12"/>
      <c r="C9303" s="12"/>
      <c r="D9303" s="12"/>
      <c r="E9303" s="12"/>
      <c r="F9303" s="14"/>
      <c r="G9303" s="15"/>
      <c r="H9303" s="15"/>
      <c r="I9303" s="14"/>
      <c r="P9303" s="14"/>
    </row>
    <row r="9304" ht="18.75" customHeight="1">
      <c r="A9304" s="14"/>
      <c r="B9304" s="12"/>
      <c r="C9304" s="12"/>
      <c r="D9304" s="12"/>
      <c r="E9304" s="12"/>
      <c r="F9304" s="14"/>
      <c r="G9304" s="15"/>
      <c r="H9304" s="15"/>
      <c r="I9304" s="14"/>
      <c r="P9304" s="14"/>
    </row>
    <row r="9305" ht="18.75" customHeight="1">
      <c r="A9305" s="14"/>
      <c r="B9305" s="12"/>
      <c r="C9305" s="12"/>
      <c r="D9305" s="12"/>
      <c r="E9305" s="12"/>
      <c r="F9305" s="14"/>
      <c r="G9305" s="15"/>
      <c r="H9305" s="15"/>
      <c r="I9305" s="14"/>
      <c r="P9305" s="14"/>
    </row>
    <row r="9306" ht="18.75" customHeight="1">
      <c r="A9306" s="14"/>
      <c r="B9306" s="12"/>
      <c r="C9306" s="12"/>
      <c r="D9306" s="12"/>
      <c r="E9306" s="12"/>
      <c r="F9306" s="14"/>
      <c r="G9306" s="15"/>
      <c r="H9306" s="15"/>
      <c r="I9306" s="14"/>
      <c r="P9306" s="14"/>
    </row>
    <row r="9307" ht="18.75" customHeight="1">
      <c r="A9307" s="14"/>
      <c r="B9307" s="12"/>
      <c r="C9307" s="12"/>
      <c r="D9307" s="12"/>
      <c r="E9307" s="12"/>
      <c r="F9307" s="14"/>
      <c r="G9307" s="15"/>
      <c r="H9307" s="15"/>
      <c r="I9307" s="14"/>
      <c r="P9307" s="14"/>
    </row>
    <row r="9308" ht="18.75" customHeight="1">
      <c r="A9308" s="14"/>
      <c r="B9308" s="12"/>
      <c r="C9308" s="12"/>
      <c r="D9308" s="12"/>
      <c r="E9308" s="12"/>
      <c r="F9308" s="14"/>
      <c r="G9308" s="15"/>
      <c r="H9308" s="15"/>
      <c r="I9308" s="14"/>
      <c r="P9308" s="14"/>
    </row>
    <row r="9309" ht="18.75" customHeight="1">
      <c r="A9309" s="14"/>
      <c r="B9309" s="12"/>
      <c r="C9309" s="12"/>
      <c r="D9309" s="12"/>
      <c r="E9309" s="12"/>
      <c r="F9309" s="14"/>
      <c r="G9309" s="15"/>
      <c r="H9309" s="15"/>
      <c r="I9309" s="14"/>
      <c r="P9309" s="14"/>
    </row>
    <row r="9310" ht="18.75" customHeight="1">
      <c r="A9310" s="14"/>
      <c r="B9310" s="12"/>
      <c r="C9310" s="12"/>
      <c r="D9310" s="12"/>
      <c r="E9310" s="12"/>
      <c r="F9310" s="14"/>
      <c r="G9310" s="15"/>
      <c r="H9310" s="15"/>
      <c r="I9310" s="14"/>
      <c r="P9310" s="14"/>
    </row>
    <row r="9311" ht="18.75" customHeight="1">
      <c r="A9311" s="14"/>
      <c r="B9311" s="12"/>
      <c r="C9311" s="12"/>
      <c r="D9311" s="12"/>
      <c r="E9311" s="12"/>
      <c r="F9311" s="14"/>
      <c r="G9311" s="15"/>
      <c r="H9311" s="15"/>
      <c r="I9311" s="14"/>
      <c r="P9311" s="14"/>
    </row>
    <row r="9312" ht="18.75" customHeight="1">
      <c r="A9312" s="14"/>
      <c r="B9312" s="12"/>
      <c r="C9312" s="12"/>
      <c r="D9312" s="12"/>
      <c r="E9312" s="12"/>
      <c r="F9312" s="14"/>
      <c r="G9312" s="15"/>
      <c r="H9312" s="15"/>
      <c r="I9312" s="14"/>
      <c r="P9312" s="14"/>
    </row>
    <row r="9313" ht="18.75" customHeight="1">
      <c r="A9313" s="14"/>
      <c r="B9313" s="12"/>
      <c r="C9313" s="12"/>
      <c r="D9313" s="12"/>
      <c r="E9313" s="12"/>
      <c r="F9313" s="14"/>
      <c r="G9313" s="15"/>
      <c r="H9313" s="15"/>
      <c r="I9313" s="14"/>
      <c r="P9313" s="14"/>
    </row>
    <row r="9314" ht="18.75" customHeight="1">
      <c r="A9314" s="14"/>
      <c r="B9314" s="12"/>
      <c r="C9314" s="12"/>
      <c r="D9314" s="12"/>
      <c r="E9314" s="12"/>
      <c r="F9314" s="14"/>
      <c r="G9314" s="15"/>
      <c r="H9314" s="15"/>
      <c r="I9314" s="14"/>
      <c r="P9314" s="14"/>
    </row>
    <row r="9315" ht="18.75" customHeight="1">
      <c r="A9315" s="14"/>
      <c r="B9315" s="12"/>
      <c r="C9315" s="12"/>
      <c r="D9315" s="12"/>
      <c r="E9315" s="12"/>
      <c r="F9315" s="14"/>
      <c r="G9315" s="15"/>
      <c r="H9315" s="15"/>
      <c r="I9315" s="14"/>
      <c r="P9315" s="14"/>
    </row>
    <row r="9316" ht="18.75" customHeight="1">
      <c r="A9316" s="14"/>
      <c r="B9316" s="12"/>
      <c r="C9316" s="12"/>
      <c r="D9316" s="12"/>
      <c r="E9316" s="12"/>
      <c r="F9316" s="14"/>
      <c r="G9316" s="15"/>
      <c r="H9316" s="15"/>
      <c r="I9316" s="14"/>
      <c r="P9316" s="14"/>
    </row>
    <row r="9317" ht="18.75" customHeight="1">
      <c r="A9317" s="14"/>
      <c r="B9317" s="12"/>
      <c r="C9317" s="12"/>
      <c r="D9317" s="12"/>
      <c r="E9317" s="12"/>
      <c r="F9317" s="14"/>
      <c r="G9317" s="15"/>
      <c r="H9317" s="15"/>
      <c r="I9317" s="14"/>
      <c r="P9317" s="14"/>
    </row>
    <row r="9318" ht="18.75" customHeight="1">
      <c r="A9318" s="14"/>
      <c r="B9318" s="12"/>
      <c r="C9318" s="12"/>
      <c r="D9318" s="12"/>
      <c r="E9318" s="12"/>
      <c r="F9318" s="14"/>
      <c r="G9318" s="15"/>
      <c r="H9318" s="15"/>
      <c r="I9318" s="14"/>
      <c r="P9318" s="14"/>
    </row>
    <row r="9319" ht="18.75" customHeight="1">
      <c r="A9319" s="14"/>
      <c r="B9319" s="12"/>
      <c r="C9319" s="12"/>
      <c r="D9319" s="12"/>
      <c r="E9319" s="12"/>
      <c r="F9319" s="14"/>
      <c r="G9319" s="15"/>
      <c r="H9319" s="15"/>
      <c r="I9319" s="14"/>
      <c r="P9319" s="14"/>
    </row>
    <row r="9320" ht="18.75" customHeight="1">
      <c r="A9320" s="14"/>
      <c r="B9320" s="12"/>
      <c r="C9320" s="12"/>
      <c r="D9320" s="12"/>
      <c r="E9320" s="12"/>
      <c r="F9320" s="14"/>
      <c r="G9320" s="15"/>
      <c r="H9320" s="15"/>
      <c r="I9320" s="14"/>
      <c r="P9320" s="14"/>
    </row>
    <row r="9321" ht="18.75" customHeight="1">
      <c r="A9321" s="14"/>
      <c r="B9321" s="12"/>
      <c r="C9321" s="12"/>
      <c r="D9321" s="12"/>
      <c r="E9321" s="12"/>
      <c r="F9321" s="14"/>
      <c r="G9321" s="15"/>
      <c r="H9321" s="15"/>
      <c r="I9321" s="14"/>
      <c r="P9321" s="14"/>
    </row>
    <row r="9322" ht="18.75" customHeight="1">
      <c r="A9322" s="14"/>
      <c r="B9322" s="12"/>
      <c r="C9322" s="12"/>
      <c r="D9322" s="12"/>
      <c r="E9322" s="12"/>
      <c r="F9322" s="14"/>
      <c r="G9322" s="15"/>
      <c r="H9322" s="15"/>
      <c r="I9322" s="14"/>
      <c r="P9322" s="14"/>
    </row>
    <row r="9323" ht="18.75" customHeight="1">
      <c r="A9323" s="14"/>
      <c r="B9323" s="12"/>
      <c r="C9323" s="12"/>
      <c r="D9323" s="12"/>
      <c r="E9323" s="12"/>
      <c r="F9323" s="14"/>
      <c r="G9323" s="15"/>
      <c r="H9323" s="15"/>
      <c r="I9323" s="14"/>
      <c r="P9323" s="14"/>
    </row>
    <row r="9324" ht="18.75" customHeight="1">
      <c r="A9324" s="14"/>
      <c r="B9324" s="12"/>
      <c r="C9324" s="12"/>
      <c r="D9324" s="12"/>
      <c r="E9324" s="12"/>
      <c r="F9324" s="14"/>
      <c r="G9324" s="15"/>
      <c r="H9324" s="15"/>
      <c r="I9324" s="14"/>
      <c r="P9324" s="14"/>
    </row>
    <row r="9325" ht="18.75" customHeight="1">
      <c r="A9325" s="14"/>
      <c r="B9325" s="12"/>
      <c r="C9325" s="12"/>
      <c r="D9325" s="12"/>
      <c r="E9325" s="12"/>
      <c r="F9325" s="14"/>
      <c r="G9325" s="15"/>
      <c r="H9325" s="15"/>
      <c r="I9325" s="14"/>
      <c r="P9325" s="14"/>
    </row>
    <row r="9326" ht="18.75" customHeight="1">
      <c r="A9326" s="14"/>
      <c r="B9326" s="12"/>
      <c r="C9326" s="12"/>
      <c r="D9326" s="12"/>
      <c r="E9326" s="12"/>
      <c r="F9326" s="14"/>
      <c r="G9326" s="15"/>
      <c r="H9326" s="15"/>
      <c r="I9326" s="14"/>
      <c r="P9326" s="14"/>
    </row>
    <row r="9327" ht="18.75" customHeight="1">
      <c r="A9327" s="14"/>
      <c r="B9327" s="12"/>
      <c r="C9327" s="12"/>
      <c r="D9327" s="12"/>
      <c r="E9327" s="12"/>
      <c r="F9327" s="14"/>
      <c r="G9327" s="15"/>
      <c r="H9327" s="15"/>
      <c r="I9327" s="14"/>
      <c r="P9327" s="14"/>
    </row>
    <row r="9328" ht="18.75" customHeight="1">
      <c r="A9328" s="14"/>
      <c r="B9328" s="12"/>
      <c r="C9328" s="12"/>
      <c r="D9328" s="12"/>
      <c r="E9328" s="12"/>
      <c r="F9328" s="14"/>
      <c r="G9328" s="15"/>
      <c r="H9328" s="15"/>
      <c r="I9328" s="14"/>
      <c r="P9328" s="14"/>
    </row>
    <row r="9329" ht="18.75" customHeight="1">
      <c r="A9329" s="14"/>
      <c r="B9329" s="12"/>
      <c r="C9329" s="12"/>
      <c r="D9329" s="12"/>
      <c r="E9329" s="12"/>
      <c r="F9329" s="14"/>
      <c r="G9329" s="15"/>
      <c r="H9329" s="15"/>
      <c r="I9329" s="14"/>
      <c r="P9329" s="14"/>
    </row>
    <row r="9330" ht="18.75" customHeight="1">
      <c r="A9330" s="14"/>
      <c r="B9330" s="12"/>
      <c r="C9330" s="12"/>
      <c r="D9330" s="12"/>
      <c r="E9330" s="12"/>
      <c r="F9330" s="14"/>
      <c r="G9330" s="15"/>
      <c r="H9330" s="15"/>
      <c r="I9330" s="14"/>
      <c r="P9330" s="14"/>
    </row>
    <row r="9331" ht="18.75" customHeight="1">
      <c r="A9331" s="14"/>
      <c r="B9331" s="12"/>
      <c r="C9331" s="12"/>
      <c r="D9331" s="12"/>
      <c r="E9331" s="12"/>
      <c r="F9331" s="14"/>
      <c r="G9331" s="15"/>
      <c r="H9331" s="15"/>
      <c r="I9331" s="14"/>
      <c r="P9331" s="14"/>
    </row>
    <row r="9332" ht="18.75" customHeight="1">
      <c r="A9332" s="14"/>
      <c r="B9332" s="12"/>
      <c r="C9332" s="12"/>
      <c r="D9332" s="12"/>
      <c r="E9332" s="12"/>
      <c r="F9332" s="14"/>
      <c r="G9332" s="15"/>
      <c r="H9332" s="15"/>
      <c r="I9332" s="14"/>
      <c r="P9332" s="14"/>
    </row>
    <row r="9333" ht="18.75" customHeight="1">
      <c r="A9333" s="14"/>
      <c r="B9333" s="12"/>
      <c r="C9333" s="12"/>
      <c r="D9333" s="12"/>
      <c r="E9333" s="12"/>
      <c r="F9333" s="14"/>
      <c r="G9333" s="15"/>
      <c r="H9333" s="15"/>
      <c r="I9333" s="14"/>
      <c r="P9333" s="14"/>
    </row>
    <row r="9334" ht="18.75" customHeight="1">
      <c r="A9334" s="14"/>
      <c r="B9334" s="12"/>
      <c r="C9334" s="12"/>
      <c r="D9334" s="12"/>
      <c r="E9334" s="12"/>
      <c r="F9334" s="14"/>
      <c r="G9334" s="15"/>
      <c r="H9334" s="15"/>
      <c r="I9334" s="14"/>
      <c r="P9334" s="14"/>
    </row>
    <row r="9335" ht="18.75" customHeight="1">
      <c r="A9335" s="14"/>
      <c r="B9335" s="12"/>
      <c r="C9335" s="12"/>
      <c r="D9335" s="12"/>
      <c r="E9335" s="12"/>
      <c r="F9335" s="14"/>
      <c r="G9335" s="15"/>
      <c r="H9335" s="15"/>
      <c r="I9335" s="14"/>
      <c r="P9335" s="14"/>
    </row>
    <row r="9336" ht="18.75" customHeight="1">
      <c r="A9336" s="14"/>
      <c r="B9336" s="12"/>
      <c r="C9336" s="12"/>
      <c r="D9336" s="12"/>
      <c r="E9336" s="12"/>
      <c r="F9336" s="14"/>
      <c r="G9336" s="15"/>
      <c r="H9336" s="15"/>
      <c r="I9336" s="14"/>
      <c r="P9336" s="14"/>
    </row>
    <row r="9337" ht="18.75" customHeight="1">
      <c r="A9337" s="14"/>
      <c r="B9337" s="12"/>
      <c r="C9337" s="12"/>
      <c r="D9337" s="12"/>
      <c r="E9337" s="12"/>
      <c r="F9337" s="14"/>
      <c r="G9337" s="15"/>
      <c r="H9337" s="15"/>
      <c r="I9337" s="14"/>
      <c r="P9337" s="14"/>
    </row>
    <row r="9338" ht="18.75" customHeight="1">
      <c r="A9338" s="14"/>
      <c r="B9338" s="12"/>
      <c r="C9338" s="12"/>
      <c r="D9338" s="12"/>
      <c r="E9338" s="12"/>
      <c r="F9338" s="14"/>
      <c r="G9338" s="15"/>
      <c r="H9338" s="15"/>
      <c r="I9338" s="14"/>
      <c r="P9338" s="14"/>
    </row>
    <row r="9339" ht="18.75" customHeight="1">
      <c r="A9339" s="14"/>
      <c r="B9339" s="12"/>
      <c r="C9339" s="12"/>
      <c r="D9339" s="12"/>
      <c r="E9339" s="12"/>
      <c r="F9339" s="14"/>
      <c r="G9339" s="15"/>
      <c r="H9339" s="15"/>
      <c r="I9339" s="14"/>
      <c r="P9339" s="14"/>
    </row>
    <row r="9340" ht="18.75" customHeight="1">
      <c r="A9340" s="14"/>
      <c r="B9340" s="12"/>
      <c r="C9340" s="12"/>
      <c r="D9340" s="12"/>
      <c r="E9340" s="12"/>
      <c r="F9340" s="14"/>
      <c r="G9340" s="15"/>
      <c r="H9340" s="15"/>
      <c r="I9340" s="14"/>
      <c r="P9340" s="14"/>
    </row>
    <row r="9341" ht="18.75" customHeight="1">
      <c r="A9341" s="14"/>
      <c r="B9341" s="12"/>
      <c r="C9341" s="12"/>
      <c r="D9341" s="12"/>
      <c r="E9341" s="12"/>
      <c r="F9341" s="14"/>
      <c r="G9341" s="15"/>
      <c r="H9341" s="15"/>
      <c r="I9341" s="14"/>
      <c r="P9341" s="14"/>
    </row>
    <row r="9342" ht="18.75" customHeight="1">
      <c r="A9342" s="14"/>
      <c r="B9342" s="12"/>
      <c r="C9342" s="12"/>
      <c r="D9342" s="12"/>
      <c r="E9342" s="12"/>
      <c r="F9342" s="14"/>
      <c r="G9342" s="15"/>
      <c r="H9342" s="15"/>
      <c r="I9342" s="14"/>
      <c r="P9342" s="14"/>
    </row>
    <row r="9343" ht="18.75" customHeight="1">
      <c r="A9343" s="14"/>
      <c r="B9343" s="12"/>
      <c r="C9343" s="12"/>
      <c r="D9343" s="12"/>
      <c r="E9343" s="12"/>
      <c r="F9343" s="14"/>
      <c r="G9343" s="15"/>
      <c r="H9343" s="15"/>
      <c r="I9343" s="14"/>
      <c r="P9343" s="14"/>
    </row>
    <row r="9344" ht="18.75" customHeight="1">
      <c r="A9344" s="14"/>
      <c r="B9344" s="12"/>
      <c r="C9344" s="12"/>
      <c r="D9344" s="12"/>
      <c r="E9344" s="12"/>
      <c r="F9344" s="14"/>
      <c r="G9344" s="15"/>
      <c r="H9344" s="15"/>
      <c r="I9344" s="14"/>
      <c r="P9344" s="14"/>
    </row>
    <row r="9345" ht="18.75" customHeight="1">
      <c r="A9345" s="14"/>
      <c r="B9345" s="12"/>
      <c r="C9345" s="12"/>
      <c r="D9345" s="12"/>
      <c r="E9345" s="12"/>
      <c r="F9345" s="14"/>
      <c r="G9345" s="15"/>
      <c r="H9345" s="15"/>
      <c r="I9345" s="14"/>
      <c r="P9345" s="14"/>
    </row>
    <row r="9346" ht="18.75" customHeight="1">
      <c r="A9346" s="14"/>
      <c r="B9346" s="12"/>
      <c r="C9346" s="12"/>
      <c r="D9346" s="12"/>
      <c r="E9346" s="12"/>
      <c r="F9346" s="14"/>
      <c r="G9346" s="15"/>
      <c r="H9346" s="15"/>
      <c r="I9346" s="14"/>
      <c r="P9346" s="14"/>
    </row>
    <row r="9347" ht="18.75" customHeight="1">
      <c r="A9347" s="14"/>
      <c r="B9347" s="12"/>
      <c r="C9347" s="12"/>
      <c r="D9347" s="12"/>
      <c r="E9347" s="12"/>
      <c r="F9347" s="14"/>
      <c r="G9347" s="15"/>
      <c r="H9347" s="15"/>
      <c r="I9347" s="14"/>
      <c r="P9347" s="14"/>
    </row>
    <row r="9348" ht="18.75" customHeight="1">
      <c r="A9348" s="14"/>
      <c r="B9348" s="12"/>
      <c r="C9348" s="12"/>
      <c r="D9348" s="12"/>
      <c r="E9348" s="12"/>
      <c r="F9348" s="14"/>
      <c r="G9348" s="15"/>
      <c r="H9348" s="15"/>
      <c r="I9348" s="14"/>
      <c r="P9348" s="14"/>
    </row>
    <row r="9349" ht="18.75" customHeight="1">
      <c r="A9349" s="14"/>
      <c r="B9349" s="12"/>
      <c r="C9349" s="12"/>
      <c r="D9349" s="12"/>
      <c r="E9349" s="12"/>
      <c r="F9349" s="14"/>
      <c r="G9349" s="15"/>
      <c r="H9349" s="15"/>
      <c r="I9349" s="14"/>
      <c r="P9349" s="14"/>
    </row>
    <row r="9350" ht="18.75" customHeight="1">
      <c r="A9350" s="14"/>
      <c r="B9350" s="12"/>
      <c r="C9350" s="12"/>
      <c r="D9350" s="12"/>
      <c r="E9350" s="12"/>
      <c r="F9350" s="14"/>
      <c r="G9350" s="15"/>
      <c r="H9350" s="15"/>
      <c r="I9350" s="14"/>
      <c r="P9350" s="14"/>
    </row>
    <row r="9351" ht="18.75" customHeight="1">
      <c r="A9351" s="14"/>
      <c r="B9351" s="12"/>
      <c r="C9351" s="12"/>
      <c r="D9351" s="12"/>
      <c r="E9351" s="12"/>
      <c r="F9351" s="14"/>
      <c r="G9351" s="15"/>
      <c r="H9351" s="15"/>
      <c r="I9351" s="14"/>
      <c r="P9351" s="14"/>
    </row>
    <row r="9352" ht="18.75" customHeight="1">
      <c r="A9352" s="14"/>
      <c r="B9352" s="12"/>
      <c r="C9352" s="12"/>
      <c r="D9352" s="12"/>
      <c r="E9352" s="12"/>
      <c r="F9352" s="14"/>
      <c r="G9352" s="15"/>
      <c r="H9352" s="15"/>
      <c r="I9352" s="14"/>
      <c r="P9352" s="14"/>
    </row>
    <row r="9353" ht="18.75" customHeight="1">
      <c r="A9353" s="14"/>
      <c r="B9353" s="12"/>
      <c r="C9353" s="12"/>
      <c r="D9353" s="12"/>
      <c r="E9353" s="12"/>
      <c r="F9353" s="14"/>
      <c r="G9353" s="15"/>
      <c r="H9353" s="15"/>
      <c r="I9353" s="14"/>
      <c r="P9353" s="14"/>
    </row>
    <row r="9354" ht="18.75" customHeight="1">
      <c r="A9354" s="14"/>
      <c r="B9354" s="12"/>
      <c r="C9354" s="12"/>
      <c r="D9354" s="12"/>
      <c r="E9354" s="12"/>
      <c r="F9354" s="14"/>
      <c r="G9354" s="15"/>
      <c r="H9354" s="15"/>
      <c r="I9354" s="14"/>
      <c r="P9354" s="14"/>
    </row>
    <row r="9355" ht="18.75" customHeight="1">
      <c r="A9355" s="14"/>
      <c r="B9355" s="12"/>
      <c r="C9355" s="12"/>
      <c r="D9355" s="12"/>
      <c r="E9355" s="12"/>
      <c r="F9355" s="14"/>
      <c r="G9355" s="15"/>
      <c r="H9355" s="15"/>
      <c r="I9355" s="14"/>
      <c r="P9355" s="14"/>
    </row>
    <row r="9356" ht="18.75" customHeight="1">
      <c r="A9356" s="14"/>
      <c r="B9356" s="12"/>
      <c r="C9356" s="12"/>
      <c r="D9356" s="12"/>
      <c r="E9356" s="12"/>
      <c r="F9356" s="14"/>
      <c r="G9356" s="15"/>
      <c r="H9356" s="15"/>
      <c r="I9356" s="14"/>
      <c r="P9356" s="14"/>
    </row>
    <row r="9357" ht="18.75" customHeight="1">
      <c r="A9357" s="14"/>
      <c r="B9357" s="12"/>
      <c r="C9357" s="12"/>
      <c r="D9357" s="12"/>
      <c r="E9357" s="12"/>
      <c r="F9357" s="14"/>
      <c r="G9357" s="15"/>
      <c r="H9357" s="15"/>
      <c r="I9357" s="14"/>
      <c r="P9357" s="14"/>
    </row>
    <row r="9358" ht="18.75" customHeight="1">
      <c r="A9358" s="14"/>
      <c r="B9358" s="12"/>
      <c r="C9358" s="12"/>
      <c r="D9358" s="12"/>
      <c r="E9358" s="12"/>
      <c r="F9358" s="14"/>
      <c r="G9358" s="15"/>
      <c r="H9358" s="15"/>
      <c r="I9358" s="14"/>
      <c r="P9358" s="14"/>
    </row>
    <row r="9359" ht="18.75" customHeight="1">
      <c r="A9359" s="14"/>
      <c r="B9359" s="12"/>
      <c r="C9359" s="12"/>
      <c r="D9359" s="12"/>
      <c r="E9359" s="12"/>
      <c r="F9359" s="14"/>
      <c r="G9359" s="15"/>
      <c r="H9359" s="15"/>
      <c r="I9359" s="14"/>
      <c r="P9359" s="14"/>
    </row>
    <row r="9360" ht="18.75" customHeight="1">
      <c r="A9360" s="14"/>
      <c r="B9360" s="12"/>
      <c r="C9360" s="12"/>
      <c r="D9360" s="12"/>
      <c r="E9360" s="12"/>
      <c r="F9360" s="14"/>
      <c r="G9360" s="15"/>
      <c r="H9360" s="15"/>
      <c r="I9360" s="14"/>
      <c r="P9360" s="14"/>
    </row>
    <row r="9361" ht="18.75" customHeight="1">
      <c r="A9361" s="14"/>
      <c r="B9361" s="12"/>
      <c r="C9361" s="12"/>
      <c r="D9361" s="12"/>
      <c r="E9361" s="12"/>
      <c r="F9361" s="14"/>
      <c r="G9361" s="15"/>
      <c r="H9361" s="15"/>
      <c r="I9361" s="14"/>
      <c r="P9361" s="14"/>
    </row>
    <row r="9362" ht="18.75" customHeight="1">
      <c r="A9362" s="14"/>
      <c r="B9362" s="12"/>
      <c r="C9362" s="12"/>
      <c r="D9362" s="12"/>
      <c r="E9362" s="12"/>
      <c r="F9362" s="14"/>
      <c r="G9362" s="15"/>
      <c r="H9362" s="15"/>
      <c r="I9362" s="14"/>
      <c r="P9362" s="14"/>
    </row>
    <row r="9363" ht="18.75" customHeight="1">
      <c r="A9363" s="14"/>
      <c r="B9363" s="12"/>
      <c r="C9363" s="12"/>
      <c r="D9363" s="12"/>
      <c r="E9363" s="12"/>
      <c r="F9363" s="14"/>
      <c r="G9363" s="15"/>
      <c r="H9363" s="15"/>
      <c r="I9363" s="14"/>
      <c r="P9363" s="14"/>
    </row>
    <row r="9364" ht="18.75" customHeight="1">
      <c r="A9364" s="14"/>
      <c r="B9364" s="12"/>
      <c r="C9364" s="12"/>
      <c r="D9364" s="12"/>
      <c r="E9364" s="12"/>
      <c r="F9364" s="14"/>
      <c r="G9364" s="15"/>
      <c r="H9364" s="15"/>
      <c r="I9364" s="14"/>
      <c r="P9364" s="14"/>
    </row>
    <row r="9365" ht="18.75" customHeight="1">
      <c r="A9365" s="14"/>
      <c r="B9365" s="12"/>
      <c r="C9365" s="12"/>
      <c r="D9365" s="12"/>
      <c r="E9365" s="12"/>
      <c r="F9365" s="14"/>
      <c r="G9365" s="15"/>
      <c r="H9365" s="15"/>
      <c r="I9365" s="14"/>
      <c r="P9365" s="14"/>
    </row>
    <row r="9366" ht="18.75" customHeight="1">
      <c r="A9366" s="14"/>
      <c r="B9366" s="12"/>
      <c r="C9366" s="12"/>
      <c r="D9366" s="12"/>
      <c r="E9366" s="12"/>
      <c r="F9366" s="14"/>
      <c r="G9366" s="15"/>
      <c r="H9366" s="15"/>
      <c r="I9366" s="14"/>
      <c r="P9366" s="14"/>
    </row>
    <row r="9367" ht="18.75" customHeight="1">
      <c r="A9367" s="14"/>
      <c r="B9367" s="12"/>
      <c r="C9367" s="12"/>
      <c r="D9367" s="12"/>
      <c r="E9367" s="12"/>
      <c r="F9367" s="14"/>
      <c r="G9367" s="15"/>
      <c r="H9367" s="15"/>
      <c r="I9367" s="14"/>
      <c r="P9367" s="14"/>
    </row>
    <row r="9368" ht="18.75" customHeight="1">
      <c r="A9368" s="14"/>
      <c r="B9368" s="12"/>
      <c r="C9368" s="12"/>
      <c r="D9368" s="12"/>
      <c r="E9368" s="12"/>
      <c r="F9368" s="14"/>
      <c r="G9368" s="15"/>
      <c r="H9368" s="15"/>
      <c r="I9368" s="14"/>
      <c r="P9368" s="14"/>
    </row>
    <row r="9369" ht="18.75" customHeight="1">
      <c r="A9369" s="14"/>
      <c r="B9369" s="12"/>
      <c r="C9369" s="12"/>
      <c r="D9369" s="12"/>
      <c r="E9369" s="12"/>
      <c r="F9369" s="14"/>
      <c r="G9369" s="15"/>
      <c r="H9369" s="15"/>
      <c r="I9369" s="14"/>
      <c r="P9369" s="14"/>
    </row>
    <row r="9370" ht="18.75" customHeight="1">
      <c r="A9370" s="14"/>
      <c r="B9370" s="12"/>
      <c r="C9370" s="12"/>
      <c r="D9370" s="12"/>
      <c r="E9370" s="12"/>
      <c r="F9370" s="14"/>
      <c r="G9370" s="15"/>
      <c r="H9370" s="15"/>
      <c r="I9370" s="14"/>
      <c r="P9370" s="14"/>
    </row>
    <row r="9371" ht="18.75" customHeight="1">
      <c r="A9371" s="14"/>
      <c r="B9371" s="12"/>
      <c r="C9371" s="12"/>
      <c r="D9371" s="12"/>
      <c r="E9371" s="12"/>
      <c r="F9371" s="14"/>
      <c r="G9371" s="15"/>
      <c r="H9371" s="15"/>
      <c r="I9371" s="14"/>
      <c r="P9371" s="14"/>
    </row>
    <row r="9372" ht="18.75" customHeight="1">
      <c r="A9372" s="14"/>
      <c r="B9372" s="12"/>
      <c r="C9372" s="12"/>
      <c r="D9372" s="12"/>
      <c r="E9372" s="12"/>
      <c r="F9372" s="14"/>
      <c r="G9372" s="15"/>
      <c r="H9372" s="15"/>
      <c r="I9372" s="14"/>
      <c r="P9372" s="14"/>
    </row>
    <row r="9373" ht="18.75" customHeight="1">
      <c r="A9373" s="14"/>
      <c r="B9373" s="12"/>
      <c r="C9373" s="12"/>
      <c r="D9373" s="12"/>
      <c r="E9373" s="12"/>
      <c r="F9373" s="14"/>
      <c r="G9373" s="15"/>
      <c r="H9373" s="15"/>
      <c r="I9373" s="14"/>
      <c r="P9373" s="14"/>
    </row>
    <row r="9374" ht="18.75" customHeight="1">
      <c r="A9374" s="14"/>
      <c r="B9374" s="12"/>
      <c r="C9374" s="12"/>
      <c r="D9374" s="12"/>
      <c r="E9374" s="12"/>
      <c r="F9374" s="14"/>
      <c r="G9374" s="15"/>
      <c r="H9374" s="15"/>
      <c r="I9374" s="14"/>
      <c r="P9374" s="14"/>
    </row>
    <row r="9375" ht="18.75" customHeight="1">
      <c r="A9375" s="14"/>
      <c r="B9375" s="12"/>
      <c r="C9375" s="12"/>
      <c r="D9375" s="12"/>
      <c r="E9375" s="12"/>
      <c r="F9375" s="14"/>
      <c r="G9375" s="15"/>
      <c r="H9375" s="15"/>
      <c r="I9375" s="14"/>
      <c r="P9375" s="14"/>
    </row>
    <row r="9376" ht="18.75" customHeight="1">
      <c r="A9376" s="14"/>
      <c r="B9376" s="12"/>
      <c r="C9376" s="12"/>
      <c r="D9376" s="12"/>
      <c r="E9376" s="12"/>
      <c r="F9376" s="14"/>
      <c r="G9376" s="15"/>
      <c r="H9376" s="15"/>
      <c r="I9376" s="14"/>
      <c r="P9376" s="14"/>
    </row>
    <row r="9377" ht="18.75" customHeight="1">
      <c r="A9377" s="14"/>
      <c r="B9377" s="12"/>
      <c r="C9377" s="12"/>
      <c r="D9377" s="12"/>
      <c r="E9377" s="12"/>
      <c r="F9377" s="14"/>
      <c r="G9377" s="15"/>
      <c r="H9377" s="15"/>
      <c r="I9377" s="14"/>
      <c r="P9377" s="14"/>
    </row>
    <row r="9378" ht="18.75" customHeight="1">
      <c r="A9378" s="14"/>
      <c r="B9378" s="12"/>
      <c r="C9378" s="12"/>
      <c r="D9378" s="12"/>
      <c r="E9378" s="12"/>
      <c r="F9378" s="14"/>
      <c r="G9378" s="15"/>
      <c r="H9378" s="15"/>
      <c r="I9378" s="14"/>
      <c r="P9378" s="14"/>
    </row>
    <row r="9379" ht="18.75" customHeight="1">
      <c r="A9379" s="14"/>
      <c r="B9379" s="12"/>
      <c r="C9379" s="12"/>
      <c r="D9379" s="12"/>
      <c r="E9379" s="12"/>
      <c r="F9379" s="14"/>
      <c r="G9379" s="15"/>
      <c r="H9379" s="15"/>
      <c r="I9379" s="14"/>
      <c r="P9379" s="14"/>
    </row>
    <row r="9380" ht="18.75" customHeight="1">
      <c r="A9380" s="14"/>
      <c r="B9380" s="12"/>
      <c r="C9380" s="12"/>
      <c r="D9380" s="12"/>
      <c r="E9380" s="12"/>
      <c r="F9380" s="14"/>
      <c r="G9380" s="15"/>
      <c r="H9380" s="15"/>
      <c r="I9380" s="14"/>
      <c r="P9380" s="14"/>
    </row>
    <row r="9381" ht="18.75" customHeight="1">
      <c r="A9381" s="14"/>
      <c r="B9381" s="12"/>
      <c r="C9381" s="12"/>
      <c r="D9381" s="12"/>
      <c r="E9381" s="12"/>
      <c r="F9381" s="14"/>
      <c r="G9381" s="15"/>
      <c r="H9381" s="15"/>
      <c r="I9381" s="14"/>
      <c r="P9381" s="14"/>
    </row>
    <row r="9382" ht="18.75" customHeight="1">
      <c r="A9382" s="14"/>
      <c r="B9382" s="12"/>
      <c r="C9382" s="12"/>
      <c r="D9382" s="12"/>
      <c r="E9382" s="12"/>
      <c r="F9382" s="14"/>
      <c r="G9382" s="15"/>
      <c r="H9382" s="15"/>
      <c r="I9382" s="14"/>
      <c r="P9382" s="14"/>
    </row>
    <row r="9383" ht="18.75" customHeight="1">
      <c r="A9383" s="14"/>
      <c r="B9383" s="12"/>
      <c r="C9383" s="12"/>
      <c r="D9383" s="12"/>
      <c r="E9383" s="12"/>
      <c r="F9383" s="14"/>
      <c r="G9383" s="15"/>
      <c r="H9383" s="15"/>
      <c r="I9383" s="14"/>
      <c r="P9383" s="14"/>
    </row>
    <row r="9384" ht="18.75" customHeight="1">
      <c r="A9384" s="14"/>
      <c r="B9384" s="12"/>
      <c r="C9384" s="12"/>
      <c r="D9384" s="12"/>
      <c r="E9384" s="12"/>
      <c r="F9384" s="14"/>
      <c r="G9384" s="15"/>
      <c r="H9384" s="15"/>
      <c r="I9384" s="14"/>
      <c r="P9384" s="14"/>
    </row>
    <row r="9385" ht="18.75" customHeight="1">
      <c r="A9385" s="14"/>
      <c r="B9385" s="12"/>
      <c r="C9385" s="12"/>
      <c r="D9385" s="12"/>
      <c r="E9385" s="12"/>
      <c r="F9385" s="14"/>
      <c r="G9385" s="15"/>
      <c r="H9385" s="15"/>
      <c r="I9385" s="14"/>
      <c r="P9385" s="14"/>
    </row>
    <row r="9386" ht="18.75" customHeight="1">
      <c r="A9386" s="14"/>
      <c r="B9386" s="12"/>
      <c r="C9386" s="12"/>
      <c r="D9386" s="12"/>
      <c r="E9386" s="12"/>
      <c r="F9386" s="14"/>
      <c r="G9386" s="15"/>
      <c r="H9386" s="15"/>
      <c r="I9386" s="14"/>
      <c r="P9386" s="14"/>
    </row>
    <row r="9387" ht="18.75" customHeight="1">
      <c r="A9387" s="14"/>
      <c r="B9387" s="12"/>
      <c r="C9387" s="12"/>
      <c r="D9387" s="12"/>
      <c r="E9387" s="12"/>
      <c r="F9387" s="14"/>
      <c r="G9387" s="15"/>
      <c r="H9387" s="15"/>
      <c r="I9387" s="14"/>
      <c r="P9387" s="14"/>
    </row>
    <row r="9388" ht="18.75" customHeight="1">
      <c r="A9388" s="14"/>
      <c r="B9388" s="12"/>
      <c r="C9388" s="12"/>
      <c r="D9388" s="12"/>
      <c r="E9388" s="12"/>
      <c r="F9388" s="14"/>
      <c r="G9388" s="15"/>
      <c r="H9388" s="15"/>
      <c r="I9388" s="14"/>
      <c r="P9388" s="14"/>
    </row>
    <row r="9389" ht="18.75" customHeight="1">
      <c r="A9389" s="14"/>
      <c r="B9389" s="12"/>
      <c r="C9389" s="12"/>
      <c r="D9389" s="12"/>
      <c r="E9389" s="12"/>
      <c r="F9389" s="14"/>
      <c r="G9389" s="15"/>
      <c r="H9389" s="15"/>
      <c r="I9389" s="14"/>
      <c r="P9389" s="14"/>
    </row>
    <row r="9390" ht="18.75" customHeight="1">
      <c r="A9390" s="14"/>
      <c r="B9390" s="12"/>
      <c r="C9390" s="12"/>
      <c r="D9390" s="12"/>
      <c r="E9390" s="12"/>
      <c r="F9390" s="14"/>
      <c r="G9390" s="15"/>
      <c r="H9390" s="15"/>
      <c r="I9390" s="14"/>
      <c r="P9390" s="14"/>
    </row>
    <row r="9391" ht="18.75" customHeight="1">
      <c r="A9391" s="14"/>
      <c r="B9391" s="12"/>
      <c r="C9391" s="12"/>
      <c r="D9391" s="12"/>
      <c r="E9391" s="12"/>
      <c r="F9391" s="14"/>
      <c r="G9391" s="15"/>
      <c r="H9391" s="15"/>
      <c r="I9391" s="14"/>
      <c r="P9391" s="14"/>
    </row>
    <row r="9392" ht="18.75" customHeight="1">
      <c r="A9392" s="14"/>
      <c r="B9392" s="12"/>
      <c r="C9392" s="12"/>
      <c r="D9392" s="12"/>
      <c r="E9392" s="12"/>
      <c r="F9392" s="14"/>
      <c r="G9392" s="15"/>
      <c r="H9392" s="15"/>
      <c r="I9392" s="14"/>
      <c r="P9392" s="14"/>
    </row>
    <row r="9393" ht="18.75" customHeight="1">
      <c r="A9393" s="14"/>
      <c r="B9393" s="12"/>
      <c r="C9393" s="12"/>
      <c r="D9393" s="12"/>
      <c r="E9393" s="12"/>
      <c r="F9393" s="14"/>
      <c r="G9393" s="15"/>
      <c r="H9393" s="15"/>
      <c r="I9393" s="14"/>
      <c r="P9393" s="14"/>
    </row>
    <row r="9394" ht="18.75" customHeight="1">
      <c r="A9394" s="14"/>
      <c r="B9394" s="12"/>
      <c r="C9394" s="12"/>
      <c r="D9394" s="12"/>
      <c r="E9394" s="12"/>
      <c r="F9394" s="14"/>
      <c r="G9394" s="15"/>
      <c r="H9394" s="15"/>
      <c r="I9394" s="14"/>
      <c r="P9394" s="14"/>
    </row>
    <row r="9395" ht="18.75" customHeight="1">
      <c r="A9395" s="14"/>
      <c r="B9395" s="12"/>
      <c r="C9395" s="12"/>
      <c r="D9395" s="12"/>
      <c r="E9395" s="12"/>
      <c r="F9395" s="14"/>
      <c r="G9395" s="15"/>
      <c r="H9395" s="15"/>
      <c r="I9395" s="14"/>
      <c r="P9395" s="14"/>
    </row>
    <row r="9396" ht="18.75" customHeight="1">
      <c r="A9396" s="14"/>
      <c r="B9396" s="12"/>
      <c r="C9396" s="12"/>
      <c r="D9396" s="12"/>
      <c r="E9396" s="12"/>
      <c r="F9396" s="14"/>
      <c r="G9396" s="15"/>
      <c r="H9396" s="15"/>
      <c r="I9396" s="14"/>
      <c r="P9396" s="14"/>
    </row>
    <row r="9397" ht="18.75" customHeight="1">
      <c r="A9397" s="14"/>
      <c r="B9397" s="12"/>
      <c r="C9397" s="12"/>
      <c r="D9397" s="12"/>
      <c r="E9397" s="12"/>
      <c r="F9397" s="14"/>
      <c r="G9397" s="15"/>
      <c r="H9397" s="15"/>
      <c r="I9397" s="14"/>
      <c r="P9397" s="14"/>
    </row>
    <row r="9398" ht="18.75" customHeight="1">
      <c r="A9398" s="14"/>
      <c r="B9398" s="12"/>
      <c r="C9398" s="12"/>
      <c r="D9398" s="12"/>
      <c r="E9398" s="12"/>
      <c r="F9398" s="14"/>
      <c r="G9398" s="15"/>
      <c r="H9398" s="15"/>
      <c r="I9398" s="14"/>
      <c r="P9398" s="14"/>
    </row>
    <row r="9399" ht="18.75" customHeight="1">
      <c r="A9399" s="14"/>
      <c r="B9399" s="12"/>
      <c r="C9399" s="12"/>
      <c r="D9399" s="12"/>
      <c r="E9399" s="12"/>
      <c r="F9399" s="14"/>
      <c r="G9399" s="15"/>
      <c r="H9399" s="15"/>
      <c r="I9399" s="14"/>
      <c r="P9399" s="14"/>
    </row>
    <row r="9400" ht="18.75" customHeight="1">
      <c r="A9400" s="14"/>
      <c r="B9400" s="12"/>
      <c r="C9400" s="12"/>
      <c r="D9400" s="12"/>
      <c r="E9400" s="12"/>
      <c r="F9400" s="14"/>
      <c r="G9400" s="15"/>
      <c r="H9400" s="15"/>
      <c r="I9400" s="14"/>
      <c r="P9400" s="14"/>
    </row>
    <row r="9401" ht="18.75" customHeight="1">
      <c r="A9401" s="14"/>
      <c r="B9401" s="12"/>
      <c r="C9401" s="12"/>
      <c r="D9401" s="12"/>
      <c r="E9401" s="12"/>
      <c r="F9401" s="14"/>
      <c r="G9401" s="15"/>
      <c r="H9401" s="15"/>
      <c r="I9401" s="14"/>
      <c r="P9401" s="14"/>
    </row>
    <row r="9402" ht="18.75" customHeight="1">
      <c r="A9402" s="14"/>
      <c r="B9402" s="12"/>
      <c r="C9402" s="12"/>
      <c r="D9402" s="12"/>
      <c r="E9402" s="12"/>
      <c r="F9402" s="14"/>
      <c r="G9402" s="15"/>
      <c r="H9402" s="15"/>
      <c r="I9402" s="14"/>
      <c r="P9402" s="14"/>
    </row>
    <row r="9403" ht="18.75" customHeight="1">
      <c r="A9403" s="14"/>
      <c r="B9403" s="12"/>
      <c r="C9403" s="12"/>
      <c r="D9403" s="12"/>
      <c r="E9403" s="12"/>
      <c r="F9403" s="14"/>
      <c r="G9403" s="15"/>
      <c r="H9403" s="15"/>
      <c r="I9403" s="14"/>
      <c r="P9403" s="14"/>
    </row>
    <row r="9404" ht="18.75" customHeight="1">
      <c r="A9404" s="14"/>
      <c r="B9404" s="12"/>
      <c r="C9404" s="12"/>
      <c r="D9404" s="12"/>
      <c r="E9404" s="12"/>
      <c r="F9404" s="14"/>
      <c r="G9404" s="15"/>
      <c r="H9404" s="15"/>
      <c r="I9404" s="14"/>
      <c r="P9404" s="14"/>
    </row>
    <row r="9405" ht="18.75" customHeight="1">
      <c r="A9405" s="14"/>
      <c r="B9405" s="12"/>
      <c r="C9405" s="12"/>
      <c r="D9405" s="12"/>
      <c r="E9405" s="12"/>
      <c r="F9405" s="14"/>
      <c r="G9405" s="15"/>
      <c r="H9405" s="15"/>
      <c r="I9405" s="14"/>
      <c r="P9405" s="14"/>
    </row>
    <row r="9406" ht="18.75" customHeight="1">
      <c r="A9406" s="14"/>
      <c r="B9406" s="12"/>
      <c r="C9406" s="12"/>
      <c r="D9406" s="12"/>
      <c r="E9406" s="12"/>
      <c r="F9406" s="14"/>
      <c r="G9406" s="15"/>
      <c r="H9406" s="15"/>
      <c r="I9406" s="14"/>
      <c r="P9406" s="14"/>
    </row>
    <row r="9407" ht="18.75" customHeight="1">
      <c r="A9407" s="14"/>
      <c r="B9407" s="12"/>
      <c r="C9407" s="12"/>
      <c r="D9407" s="12"/>
      <c r="E9407" s="12"/>
      <c r="F9407" s="14"/>
      <c r="G9407" s="15"/>
      <c r="H9407" s="15"/>
      <c r="I9407" s="14"/>
      <c r="P9407" s="14"/>
    </row>
    <row r="9408" ht="18.75" customHeight="1">
      <c r="A9408" s="14"/>
      <c r="B9408" s="12"/>
      <c r="C9408" s="12"/>
      <c r="D9408" s="12"/>
      <c r="E9408" s="12"/>
      <c r="F9408" s="14"/>
      <c r="G9408" s="15"/>
      <c r="H9408" s="15"/>
      <c r="I9408" s="14"/>
      <c r="P9408" s="14"/>
    </row>
    <row r="9409" ht="18.75" customHeight="1">
      <c r="A9409" s="14"/>
      <c r="B9409" s="12"/>
      <c r="C9409" s="12"/>
      <c r="D9409" s="12"/>
      <c r="E9409" s="12"/>
      <c r="F9409" s="14"/>
      <c r="G9409" s="15"/>
      <c r="H9409" s="15"/>
      <c r="I9409" s="14"/>
      <c r="P9409" s="14"/>
    </row>
    <row r="9410" ht="18.75" customHeight="1">
      <c r="A9410" s="14"/>
      <c r="B9410" s="12"/>
      <c r="C9410" s="12"/>
      <c r="D9410" s="12"/>
      <c r="E9410" s="12"/>
      <c r="F9410" s="14"/>
      <c r="G9410" s="15"/>
      <c r="H9410" s="15"/>
      <c r="I9410" s="14"/>
      <c r="P9410" s="14"/>
    </row>
    <row r="9411" ht="18.75" customHeight="1">
      <c r="A9411" s="14"/>
      <c r="B9411" s="12"/>
      <c r="C9411" s="12"/>
      <c r="D9411" s="12"/>
      <c r="E9411" s="12"/>
      <c r="F9411" s="14"/>
      <c r="G9411" s="15"/>
      <c r="H9411" s="15"/>
      <c r="I9411" s="14"/>
      <c r="P9411" s="14"/>
    </row>
    <row r="9412" ht="18.75" customHeight="1">
      <c r="A9412" s="14"/>
      <c r="B9412" s="12"/>
      <c r="C9412" s="12"/>
      <c r="D9412" s="12"/>
      <c r="E9412" s="12"/>
      <c r="F9412" s="14"/>
      <c r="G9412" s="15"/>
      <c r="H9412" s="15"/>
      <c r="I9412" s="14"/>
      <c r="P9412" s="14"/>
    </row>
    <row r="9413" ht="18.75" customHeight="1">
      <c r="A9413" s="14"/>
      <c r="B9413" s="12"/>
      <c r="C9413" s="12"/>
      <c r="D9413" s="12"/>
      <c r="E9413" s="12"/>
      <c r="F9413" s="14"/>
      <c r="G9413" s="15"/>
      <c r="H9413" s="15"/>
      <c r="I9413" s="14"/>
      <c r="P9413" s="14"/>
    </row>
    <row r="9414" ht="18.75" customHeight="1">
      <c r="A9414" s="14"/>
      <c r="B9414" s="12"/>
      <c r="C9414" s="12"/>
      <c r="D9414" s="12"/>
      <c r="E9414" s="12"/>
      <c r="F9414" s="14"/>
      <c r="G9414" s="15"/>
      <c r="H9414" s="15"/>
      <c r="I9414" s="14"/>
      <c r="P9414" s="14"/>
    </row>
    <row r="9415" ht="18.75" customHeight="1">
      <c r="A9415" s="14"/>
      <c r="B9415" s="12"/>
      <c r="C9415" s="12"/>
      <c r="D9415" s="12"/>
      <c r="E9415" s="12"/>
      <c r="F9415" s="14"/>
      <c r="G9415" s="15"/>
      <c r="H9415" s="15"/>
      <c r="I9415" s="14"/>
      <c r="P9415" s="14"/>
    </row>
    <row r="9416" ht="18.75" customHeight="1">
      <c r="A9416" s="14"/>
      <c r="B9416" s="12"/>
      <c r="C9416" s="12"/>
      <c r="D9416" s="12"/>
      <c r="E9416" s="12"/>
      <c r="F9416" s="14"/>
      <c r="G9416" s="15"/>
      <c r="H9416" s="15"/>
      <c r="I9416" s="14"/>
      <c r="P9416" s="14"/>
    </row>
    <row r="9417" ht="18.75" customHeight="1">
      <c r="A9417" s="14"/>
      <c r="B9417" s="12"/>
      <c r="C9417" s="12"/>
      <c r="D9417" s="12"/>
      <c r="E9417" s="12"/>
      <c r="F9417" s="14"/>
      <c r="G9417" s="15"/>
      <c r="H9417" s="15"/>
      <c r="I9417" s="14"/>
      <c r="P9417" s="14"/>
    </row>
    <row r="9418" ht="18.75" customHeight="1">
      <c r="A9418" s="14"/>
      <c r="B9418" s="12"/>
      <c r="C9418" s="12"/>
      <c r="D9418" s="12"/>
      <c r="E9418" s="12"/>
      <c r="F9418" s="14"/>
      <c r="G9418" s="15"/>
      <c r="H9418" s="15"/>
      <c r="I9418" s="14"/>
      <c r="P9418" s="14"/>
    </row>
    <row r="9419" ht="18.75" customHeight="1">
      <c r="A9419" s="14"/>
      <c r="B9419" s="12"/>
      <c r="C9419" s="12"/>
      <c r="D9419" s="12"/>
      <c r="E9419" s="12"/>
      <c r="F9419" s="14"/>
      <c r="G9419" s="15"/>
      <c r="H9419" s="15"/>
      <c r="I9419" s="14"/>
      <c r="P9419" s="14"/>
    </row>
    <row r="9420" ht="18.75" customHeight="1">
      <c r="A9420" s="14"/>
      <c r="B9420" s="12"/>
      <c r="C9420" s="12"/>
      <c r="D9420" s="12"/>
      <c r="E9420" s="12"/>
      <c r="F9420" s="14"/>
      <c r="G9420" s="15"/>
      <c r="H9420" s="15"/>
      <c r="I9420" s="14"/>
      <c r="P9420" s="14"/>
    </row>
    <row r="9421" ht="18.75" customHeight="1">
      <c r="A9421" s="14"/>
      <c r="B9421" s="12"/>
      <c r="C9421" s="12"/>
      <c r="D9421" s="12"/>
      <c r="E9421" s="12"/>
      <c r="F9421" s="14"/>
      <c r="G9421" s="15"/>
      <c r="H9421" s="15"/>
      <c r="I9421" s="14"/>
      <c r="P9421" s="14"/>
    </row>
    <row r="9422" ht="18.75" customHeight="1">
      <c r="A9422" s="14"/>
      <c r="B9422" s="12"/>
      <c r="C9422" s="12"/>
      <c r="D9422" s="12"/>
      <c r="E9422" s="12"/>
      <c r="F9422" s="14"/>
      <c r="G9422" s="15"/>
      <c r="H9422" s="15"/>
      <c r="I9422" s="14"/>
      <c r="P9422" s="14"/>
    </row>
    <row r="9423" ht="18.75" customHeight="1">
      <c r="A9423" s="14"/>
      <c r="B9423" s="12"/>
      <c r="C9423" s="12"/>
      <c r="D9423" s="12"/>
      <c r="E9423" s="12"/>
      <c r="F9423" s="14"/>
      <c r="G9423" s="15"/>
      <c r="H9423" s="15"/>
      <c r="I9423" s="14"/>
      <c r="P9423" s="14"/>
    </row>
    <row r="9424" ht="18.75" customHeight="1">
      <c r="A9424" s="14"/>
      <c r="B9424" s="12"/>
      <c r="C9424" s="12"/>
      <c r="D9424" s="12"/>
      <c r="E9424" s="12"/>
      <c r="F9424" s="14"/>
      <c r="G9424" s="15"/>
      <c r="H9424" s="15"/>
      <c r="I9424" s="14"/>
      <c r="P9424" s="14"/>
    </row>
    <row r="9425" ht="18.75" customHeight="1">
      <c r="A9425" s="14"/>
      <c r="B9425" s="12"/>
      <c r="C9425" s="12"/>
      <c r="D9425" s="12"/>
      <c r="E9425" s="12"/>
      <c r="F9425" s="14"/>
      <c r="G9425" s="15"/>
      <c r="H9425" s="15"/>
      <c r="I9425" s="14"/>
      <c r="P9425" s="14"/>
    </row>
    <row r="9426" ht="18.75" customHeight="1">
      <c r="A9426" s="14"/>
      <c r="B9426" s="12"/>
      <c r="C9426" s="12"/>
      <c r="D9426" s="12"/>
      <c r="E9426" s="12"/>
      <c r="F9426" s="14"/>
      <c r="G9426" s="15"/>
      <c r="H9426" s="15"/>
      <c r="I9426" s="14"/>
      <c r="P9426" s="14"/>
    </row>
    <row r="9427" ht="18.75" customHeight="1">
      <c r="A9427" s="14"/>
      <c r="B9427" s="12"/>
      <c r="C9427" s="12"/>
      <c r="D9427" s="12"/>
      <c r="E9427" s="12"/>
      <c r="F9427" s="14"/>
      <c r="G9427" s="15"/>
      <c r="H9427" s="15"/>
      <c r="I9427" s="14"/>
      <c r="P9427" s="14"/>
    </row>
    <row r="9428" ht="18.75" customHeight="1">
      <c r="A9428" s="14"/>
      <c r="B9428" s="12"/>
      <c r="C9428" s="12"/>
      <c r="D9428" s="12"/>
      <c r="E9428" s="12"/>
      <c r="F9428" s="14"/>
      <c r="G9428" s="15"/>
      <c r="H9428" s="15"/>
      <c r="I9428" s="14"/>
      <c r="P9428" s="14"/>
    </row>
    <row r="9429" ht="18.75" customHeight="1">
      <c r="A9429" s="14"/>
      <c r="B9429" s="12"/>
      <c r="C9429" s="12"/>
      <c r="D9429" s="12"/>
      <c r="E9429" s="12"/>
      <c r="F9429" s="14"/>
      <c r="G9429" s="15"/>
      <c r="H9429" s="15"/>
      <c r="I9429" s="14"/>
      <c r="P9429" s="14"/>
    </row>
    <row r="9430" ht="18.75" customHeight="1">
      <c r="A9430" s="14"/>
      <c r="B9430" s="12"/>
      <c r="C9430" s="12"/>
      <c r="D9430" s="12"/>
      <c r="E9430" s="12"/>
      <c r="F9430" s="14"/>
      <c r="G9430" s="15"/>
      <c r="H9430" s="15"/>
      <c r="I9430" s="14"/>
      <c r="P9430" s="14"/>
    </row>
    <row r="9431" ht="18.75" customHeight="1">
      <c r="A9431" s="14"/>
      <c r="B9431" s="12"/>
      <c r="C9431" s="12"/>
      <c r="D9431" s="12"/>
      <c r="E9431" s="12"/>
      <c r="F9431" s="14"/>
      <c r="G9431" s="15"/>
      <c r="H9431" s="15"/>
      <c r="I9431" s="14"/>
      <c r="P9431" s="14"/>
    </row>
    <row r="9432" ht="18.75" customHeight="1">
      <c r="A9432" s="14"/>
      <c r="B9432" s="12"/>
      <c r="C9432" s="12"/>
      <c r="D9432" s="12"/>
      <c r="E9432" s="12"/>
      <c r="F9432" s="14"/>
      <c r="G9432" s="15"/>
      <c r="H9432" s="15"/>
      <c r="I9432" s="14"/>
      <c r="P9432" s="14"/>
    </row>
    <row r="9433" ht="18.75" customHeight="1">
      <c r="A9433" s="14"/>
      <c r="B9433" s="12"/>
      <c r="C9433" s="12"/>
      <c r="D9433" s="12"/>
      <c r="E9433" s="12"/>
      <c r="F9433" s="14"/>
      <c r="G9433" s="15"/>
      <c r="H9433" s="15"/>
      <c r="I9433" s="14"/>
      <c r="P9433" s="14"/>
    </row>
    <row r="9434" ht="18.75" customHeight="1">
      <c r="A9434" s="14"/>
      <c r="B9434" s="12"/>
      <c r="C9434" s="12"/>
      <c r="D9434" s="12"/>
      <c r="E9434" s="12"/>
      <c r="F9434" s="14"/>
      <c r="G9434" s="15"/>
      <c r="H9434" s="15"/>
      <c r="I9434" s="14"/>
      <c r="P9434" s="14"/>
    </row>
    <row r="9435" ht="18.75" customHeight="1">
      <c r="A9435" s="14"/>
      <c r="B9435" s="12"/>
      <c r="C9435" s="12"/>
      <c r="D9435" s="12"/>
      <c r="E9435" s="12"/>
      <c r="F9435" s="14"/>
      <c r="G9435" s="15"/>
      <c r="H9435" s="15"/>
      <c r="I9435" s="14"/>
      <c r="P9435" s="14"/>
    </row>
    <row r="9436" ht="18.75" customHeight="1">
      <c r="A9436" s="14"/>
      <c r="B9436" s="12"/>
      <c r="C9436" s="12"/>
      <c r="D9436" s="12"/>
      <c r="E9436" s="12"/>
      <c r="F9436" s="14"/>
      <c r="G9436" s="15"/>
      <c r="H9436" s="15"/>
      <c r="I9436" s="14"/>
      <c r="P9436" s="14"/>
    </row>
    <row r="9437" ht="18.75" customHeight="1">
      <c r="A9437" s="14"/>
      <c r="B9437" s="12"/>
      <c r="C9437" s="12"/>
      <c r="D9437" s="12"/>
      <c r="E9437" s="12"/>
      <c r="F9437" s="14"/>
      <c r="G9437" s="15"/>
      <c r="H9437" s="15"/>
      <c r="I9437" s="14"/>
      <c r="P9437" s="14"/>
    </row>
    <row r="9438" ht="18.75" customHeight="1">
      <c r="A9438" s="14"/>
      <c r="B9438" s="12"/>
      <c r="C9438" s="12"/>
      <c r="D9438" s="12"/>
      <c r="E9438" s="12"/>
      <c r="F9438" s="14"/>
      <c r="G9438" s="15"/>
      <c r="H9438" s="15"/>
      <c r="I9438" s="14"/>
      <c r="P9438" s="14"/>
    </row>
    <row r="9439" ht="18.75" customHeight="1">
      <c r="A9439" s="14"/>
      <c r="B9439" s="12"/>
      <c r="C9439" s="12"/>
      <c r="D9439" s="12"/>
      <c r="E9439" s="12"/>
      <c r="F9439" s="14"/>
      <c r="G9439" s="15"/>
      <c r="H9439" s="15"/>
      <c r="I9439" s="14"/>
      <c r="P9439" s="14"/>
    </row>
    <row r="9440" ht="18.75" customHeight="1">
      <c r="A9440" s="14"/>
      <c r="B9440" s="12"/>
      <c r="C9440" s="12"/>
      <c r="D9440" s="12"/>
      <c r="E9440" s="12"/>
      <c r="F9440" s="14"/>
      <c r="G9440" s="15"/>
      <c r="H9440" s="15"/>
      <c r="I9440" s="14"/>
      <c r="P9440" s="14"/>
    </row>
    <row r="9441" ht="18.75" customHeight="1">
      <c r="A9441" s="14"/>
      <c r="B9441" s="12"/>
      <c r="C9441" s="12"/>
      <c r="D9441" s="12"/>
      <c r="E9441" s="12"/>
      <c r="F9441" s="14"/>
      <c r="G9441" s="15"/>
      <c r="H9441" s="15"/>
      <c r="I9441" s="14"/>
      <c r="P9441" s="14"/>
    </row>
    <row r="9442" ht="18.75" customHeight="1">
      <c r="A9442" s="14"/>
      <c r="B9442" s="12"/>
      <c r="C9442" s="12"/>
      <c r="D9442" s="12"/>
      <c r="E9442" s="12"/>
      <c r="F9442" s="14"/>
      <c r="G9442" s="15"/>
      <c r="H9442" s="15"/>
      <c r="I9442" s="14"/>
      <c r="P9442" s="14"/>
    </row>
    <row r="9443" ht="18.75" customHeight="1">
      <c r="A9443" s="14"/>
      <c r="B9443" s="12"/>
      <c r="C9443" s="12"/>
      <c r="D9443" s="12"/>
      <c r="E9443" s="12"/>
      <c r="F9443" s="14"/>
      <c r="G9443" s="15"/>
      <c r="H9443" s="15"/>
      <c r="I9443" s="14"/>
      <c r="P9443" s="14"/>
    </row>
    <row r="9444" ht="18.75" customHeight="1">
      <c r="A9444" s="14"/>
      <c r="B9444" s="12"/>
      <c r="C9444" s="12"/>
      <c r="D9444" s="12"/>
      <c r="E9444" s="12"/>
      <c r="F9444" s="14"/>
      <c r="G9444" s="15"/>
      <c r="H9444" s="15"/>
      <c r="I9444" s="14"/>
      <c r="P9444" s="14"/>
    </row>
    <row r="9445" ht="18.75" customHeight="1">
      <c r="A9445" s="14"/>
      <c r="B9445" s="12"/>
      <c r="C9445" s="12"/>
      <c r="D9445" s="12"/>
      <c r="E9445" s="12"/>
      <c r="F9445" s="14"/>
      <c r="G9445" s="15"/>
      <c r="H9445" s="15"/>
      <c r="I9445" s="14"/>
      <c r="P9445" s="14"/>
    </row>
    <row r="9446" ht="18.75" customHeight="1">
      <c r="A9446" s="14"/>
      <c r="B9446" s="12"/>
      <c r="C9446" s="12"/>
      <c r="D9446" s="12"/>
      <c r="E9446" s="12"/>
      <c r="F9446" s="14"/>
      <c r="G9446" s="15"/>
      <c r="H9446" s="15"/>
      <c r="I9446" s="14"/>
      <c r="P9446" s="14"/>
    </row>
    <row r="9447" ht="18.75" customHeight="1">
      <c r="A9447" s="14"/>
      <c r="B9447" s="12"/>
      <c r="C9447" s="12"/>
      <c r="D9447" s="12"/>
      <c r="E9447" s="12"/>
      <c r="F9447" s="14"/>
      <c r="G9447" s="15"/>
      <c r="H9447" s="15"/>
      <c r="I9447" s="14"/>
      <c r="P9447" s="14"/>
    </row>
    <row r="9448" ht="18.75" customHeight="1">
      <c r="A9448" s="14"/>
      <c r="B9448" s="12"/>
      <c r="C9448" s="12"/>
      <c r="D9448" s="12"/>
      <c r="E9448" s="12"/>
      <c r="F9448" s="14"/>
      <c r="G9448" s="15"/>
      <c r="H9448" s="15"/>
      <c r="I9448" s="14"/>
      <c r="P9448" s="14"/>
    </row>
    <row r="9449" ht="18.75" customHeight="1">
      <c r="A9449" s="14"/>
      <c r="B9449" s="12"/>
      <c r="C9449" s="12"/>
      <c r="D9449" s="12"/>
      <c r="E9449" s="12"/>
      <c r="F9449" s="14"/>
      <c r="G9449" s="15"/>
      <c r="H9449" s="15"/>
      <c r="I9449" s="14"/>
      <c r="P9449" s="14"/>
    </row>
    <row r="9450" ht="18.75" customHeight="1">
      <c r="A9450" s="14"/>
      <c r="B9450" s="12"/>
      <c r="C9450" s="12"/>
      <c r="D9450" s="12"/>
      <c r="E9450" s="12"/>
      <c r="F9450" s="14"/>
      <c r="G9450" s="15"/>
      <c r="H9450" s="15"/>
      <c r="I9450" s="14"/>
      <c r="P9450" s="14"/>
    </row>
    <row r="9451" ht="18.75" customHeight="1">
      <c r="A9451" s="14"/>
      <c r="B9451" s="12"/>
      <c r="C9451" s="12"/>
      <c r="D9451" s="12"/>
      <c r="E9451" s="12"/>
      <c r="F9451" s="14"/>
      <c r="G9451" s="15"/>
      <c r="H9451" s="15"/>
      <c r="I9451" s="14"/>
      <c r="P9451" s="14"/>
    </row>
    <row r="9452" ht="18.75" customHeight="1">
      <c r="A9452" s="14"/>
      <c r="B9452" s="12"/>
      <c r="C9452" s="12"/>
      <c r="D9452" s="12"/>
      <c r="E9452" s="12"/>
      <c r="F9452" s="14"/>
      <c r="G9452" s="15"/>
      <c r="H9452" s="15"/>
      <c r="I9452" s="14"/>
      <c r="P9452" s="14"/>
    </row>
    <row r="9453" ht="18.75" customHeight="1">
      <c r="A9453" s="14"/>
      <c r="B9453" s="12"/>
      <c r="C9453" s="12"/>
      <c r="D9453" s="12"/>
      <c r="E9453" s="12"/>
      <c r="F9453" s="14"/>
      <c r="G9453" s="15"/>
      <c r="H9453" s="15"/>
      <c r="I9453" s="14"/>
      <c r="P9453" s="14"/>
    </row>
    <row r="9454" ht="18.75" customHeight="1">
      <c r="A9454" s="14"/>
      <c r="B9454" s="12"/>
      <c r="C9454" s="12"/>
      <c r="D9454" s="12"/>
      <c r="E9454" s="12"/>
      <c r="F9454" s="14"/>
      <c r="G9454" s="15"/>
      <c r="H9454" s="15"/>
      <c r="I9454" s="14"/>
      <c r="P9454" s="14"/>
    </row>
    <row r="9455" ht="18.75" customHeight="1">
      <c r="A9455" s="14"/>
      <c r="B9455" s="12"/>
      <c r="C9455" s="12"/>
      <c r="D9455" s="12"/>
      <c r="E9455" s="12"/>
      <c r="F9455" s="14"/>
      <c r="G9455" s="15"/>
      <c r="H9455" s="15"/>
      <c r="I9455" s="14"/>
      <c r="P9455" s="14"/>
    </row>
    <row r="9456" ht="18.75" customHeight="1">
      <c r="A9456" s="14"/>
      <c r="B9456" s="12"/>
      <c r="C9456" s="12"/>
      <c r="D9456" s="12"/>
      <c r="E9456" s="12"/>
      <c r="F9456" s="14"/>
      <c r="G9456" s="15"/>
      <c r="H9456" s="15"/>
      <c r="I9456" s="14"/>
      <c r="P9456" s="14"/>
    </row>
    <row r="9457" ht="18.75" customHeight="1">
      <c r="A9457" s="14"/>
      <c r="B9457" s="12"/>
      <c r="C9457" s="12"/>
      <c r="D9457" s="12"/>
      <c r="E9457" s="12"/>
      <c r="F9457" s="14"/>
      <c r="G9457" s="15"/>
      <c r="H9457" s="15"/>
      <c r="I9457" s="14"/>
      <c r="P9457" s="14"/>
    </row>
    <row r="9458" ht="18.75" customHeight="1">
      <c r="A9458" s="14"/>
      <c r="B9458" s="12"/>
      <c r="C9458" s="12"/>
      <c r="D9458" s="12"/>
      <c r="E9458" s="12"/>
      <c r="F9458" s="14"/>
      <c r="G9458" s="15"/>
      <c r="H9458" s="15"/>
      <c r="I9458" s="14"/>
      <c r="P9458" s="14"/>
    </row>
    <row r="9459" ht="18.75" customHeight="1">
      <c r="A9459" s="14"/>
      <c r="B9459" s="12"/>
      <c r="C9459" s="12"/>
      <c r="D9459" s="12"/>
      <c r="E9459" s="12"/>
      <c r="F9459" s="14"/>
      <c r="G9459" s="15"/>
      <c r="H9459" s="15"/>
      <c r="I9459" s="14"/>
      <c r="P9459" s="14"/>
    </row>
    <row r="9460" ht="18.75" customHeight="1">
      <c r="A9460" s="14"/>
      <c r="B9460" s="12"/>
      <c r="C9460" s="12"/>
      <c r="D9460" s="12"/>
      <c r="E9460" s="12"/>
      <c r="F9460" s="14"/>
      <c r="G9460" s="15"/>
      <c r="H9460" s="15"/>
      <c r="I9460" s="14"/>
      <c r="P9460" s="14"/>
    </row>
    <row r="9461" ht="18.75" customHeight="1">
      <c r="A9461" s="14"/>
      <c r="B9461" s="12"/>
      <c r="C9461" s="12"/>
      <c r="D9461" s="12"/>
      <c r="E9461" s="12"/>
      <c r="F9461" s="14"/>
      <c r="G9461" s="15"/>
      <c r="H9461" s="15"/>
      <c r="I9461" s="14"/>
      <c r="P9461" s="14"/>
    </row>
    <row r="9462" ht="18.75" customHeight="1">
      <c r="A9462" s="14"/>
      <c r="B9462" s="12"/>
      <c r="C9462" s="12"/>
      <c r="D9462" s="12"/>
      <c r="E9462" s="12"/>
      <c r="F9462" s="14"/>
      <c r="G9462" s="15"/>
      <c r="H9462" s="15"/>
      <c r="I9462" s="14"/>
      <c r="P9462" s="14"/>
    </row>
    <row r="9463" ht="18.75" customHeight="1">
      <c r="A9463" s="14"/>
      <c r="B9463" s="12"/>
      <c r="C9463" s="12"/>
      <c r="D9463" s="12"/>
      <c r="E9463" s="12"/>
      <c r="F9463" s="14"/>
      <c r="G9463" s="15"/>
      <c r="H9463" s="15"/>
      <c r="I9463" s="14"/>
      <c r="P9463" s="14"/>
    </row>
    <row r="9464" ht="18.75" customHeight="1">
      <c r="A9464" s="14"/>
      <c r="B9464" s="12"/>
      <c r="C9464" s="12"/>
      <c r="D9464" s="12"/>
      <c r="E9464" s="12"/>
      <c r="F9464" s="14"/>
      <c r="G9464" s="15"/>
      <c r="H9464" s="15"/>
      <c r="I9464" s="14"/>
      <c r="P9464" s="14"/>
    </row>
    <row r="9465" ht="18.75" customHeight="1">
      <c r="A9465" s="14"/>
      <c r="B9465" s="12"/>
      <c r="C9465" s="12"/>
      <c r="D9465" s="12"/>
      <c r="E9465" s="12"/>
      <c r="F9465" s="14"/>
      <c r="G9465" s="15"/>
      <c r="H9465" s="15"/>
      <c r="I9465" s="14"/>
      <c r="P9465" s="14"/>
    </row>
    <row r="9466" ht="18.75" customHeight="1">
      <c r="A9466" s="14"/>
      <c r="B9466" s="12"/>
      <c r="C9466" s="12"/>
      <c r="D9466" s="12"/>
      <c r="E9466" s="12"/>
      <c r="F9466" s="14"/>
      <c r="G9466" s="15"/>
      <c r="H9466" s="15"/>
      <c r="I9466" s="14"/>
      <c r="P9466" s="14"/>
    </row>
    <row r="9467" ht="18.75" customHeight="1">
      <c r="A9467" s="14"/>
      <c r="B9467" s="12"/>
      <c r="C9467" s="12"/>
      <c r="D9467" s="12"/>
      <c r="E9467" s="12"/>
      <c r="F9467" s="14"/>
      <c r="G9467" s="15"/>
      <c r="H9467" s="15"/>
      <c r="I9467" s="14"/>
      <c r="P9467" s="14"/>
    </row>
    <row r="9468" ht="18.75" customHeight="1">
      <c r="A9468" s="14"/>
      <c r="B9468" s="12"/>
      <c r="C9468" s="12"/>
      <c r="D9468" s="12"/>
      <c r="E9468" s="12"/>
      <c r="F9468" s="14"/>
      <c r="G9468" s="15"/>
      <c r="H9468" s="15"/>
      <c r="I9468" s="14"/>
      <c r="P9468" s="14"/>
    </row>
    <row r="9469" ht="18.75" customHeight="1">
      <c r="A9469" s="14"/>
      <c r="B9469" s="12"/>
      <c r="C9469" s="12"/>
      <c r="D9469" s="12"/>
      <c r="E9469" s="12"/>
      <c r="F9469" s="14"/>
      <c r="G9469" s="15"/>
      <c r="H9469" s="15"/>
      <c r="I9469" s="14"/>
      <c r="P9469" s="14"/>
    </row>
    <row r="9470" ht="18.75" customHeight="1">
      <c r="A9470" s="14"/>
      <c r="B9470" s="12"/>
      <c r="C9470" s="12"/>
      <c r="D9470" s="12"/>
      <c r="E9470" s="12"/>
      <c r="F9470" s="14"/>
      <c r="G9470" s="15"/>
      <c r="H9470" s="15"/>
      <c r="I9470" s="14"/>
      <c r="P9470" s="14"/>
    </row>
    <row r="9471" ht="18.75" customHeight="1">
      <c r="A9471" s="14"/>
      <c r="B9471" s="12"/>
      <c r="C9471" s="12"/>
      <c r="D9471" s="12"/>
      <c r="E9471" s="12"/>
      <c r="F9471" s="14"/>
      <c r="G9471" s="15"/>
      <c r="H9471" s="15"/>
      <c r="I9471" s="14"/>
      <c r="P9471" s="14"/>
    </row>
    <row r="9472" ht="18.75" customHeight="1">
      <c r="A9472" s="14"/>
      <c r="B9472" s="12"/>
      <c r="C9472" s="12"/>
      <c r="D9472" s="12"/>
      <c r="E9472" s="12"/>
      <c r="F9472" s="14"/>
      <c r="G9472" s="15"/>
      <c r="H9472" s="15"/>
      <c r="I9472" s="14"/>
      <c r="P9472" s="14"/>
    </row>
    <row r="9473" ht="18.75" customHeight="1">
      <c r="A9473" s="14"/>
      <c r="B9473" s="12"/>
      <c r="C9473" s="12"/>
      <c r="D9473" s="12"/>
      <c r="E9473" s="12"/>
      <c r="F9473" s="14"/>
      <c r="G9473" s="15"/>
      <c r="H9473" s="15"/>
      <c r="I9473" s="14"/>
      <c r="P9473" s="14"/>
    </row>
    <row r="9474" ht="18.75" customHeight="1">
      <c r="A9474" s="14"/>
      <c r="B9474" s="12"/>
      <c r="C9474" s="12"/>
      <c r="D9474" s="12"/>
      <c r="E9474" s="12"/>
      <c r="F9474" s="14"/>
      <c r="G9474" s="15"/>
      <c r="H9474" s="15"/>
      <c r="I9474" s="14"/>
      <c r="P9474" s="14"/>
    </row>
    <row r="9475" ht="18.75" customHeight="1">
      <c r="A9475" s="14"/>
      <c r="B9475" s="12"/>
      <c r="C9475" s="12"/>
      <c r="D9475" s="12"/>
      <c r="E9475" s="12"/>
      <c r="F9475" s="14"/>
      <c r="G9475" s="15"/>
      <c r="H9475" s="15"/>
      <c r="I9475" s="14"/>
      <c r="P9475" s="14"/>
    </row>
    <row r="9476" ht="18.75" customHeight="1">
      <c r="A9476" s="14"/>
      <c r="B9476" s="12"/>
      <c r="C9476" s="12"/>
      <c r="D9476" s="12"/>
      <c r="E9476" s="12"/>
      <c r="F9476" s="14"/>
      <c r="G9476" s="15"/>
      <c r="H9476" s="15"/>
      <c r="I9476" s="14"/>
      <c r="P9476" s="14"/>
    </row>
    <row r="9477" ht="18.75" customHeight="1">
      <c r="A9477" s="14"/>
      <c r="B9477" s="12"/>
      <c r="C9477" s="12"/>
      <c r="D9477" s="12"/>
      <c r="E9477" s="12"/>
      <c r="F9477" s="14"/>
      <c r="G9477" s="15"/>
      <c r="H9477" s="15"/>
      <c r="I9477" s="14"/>
      <c r="P9477" s="14"/>
    </row>
    <row r="9478" ht="18.75" customHeight="1">
      <c r="A9478" s="14"/>
      <c r="B9478" s="12"/>
      <c r="C9478" s="12"/>
      <c r="D9478" s="12"/>
      <c r="E9478" s="12"/>
      <c r="F9478" s="14"/>
      <c r="G9478" s="15"/>
      <c r="H9478" s="15"/>
      <c r="I9478" s="14"/>
      <c r="P9478" s="14"/>
    </row>
    <row r="9479" ht="18.75" customHeight="1">
      <c r="A9479" s="14"/>
      <c r="B9479" s="12"/>
      <c r="C9479" s="12"/>
      <c r="D9479" s="12"/>
      <c r="E9479" s="12"/>
      <c r="F9479" s="14"/>
      <c r="G9479" s="15"/>
      <c r="H9479" s="15"/>
      <c r="I9479" s="14"/>
      <c r="P9479" s="14"/>
    </row>
    <row r="9480" ht="18.75" customHeight="1">
      <c r="A9480" s="14"/>
      <c r="B9480" s="12"/>
      <c r="C9480" s="12"/>
      <c r="D9480" s="12"/>
      <c r="E9480" s="12"/>
      <c r="F9480" s="14"/>
      <c r="G9480" s="15"/>
      <c r="H9480" s="15"/>
      <c r="I9480" s="14"/>
      <c r="P9480" s="14"/>
    </row>
    <row r="9481" ht="18.75" customHeight="1">
      <c r="A9481" s="14"/>
      <c r="B9481" s="12"/>
      <c r="C9481" s="12"/>
      <c r="D9481" s="12"/>
      <c r="E9481" s="12"/>
      <c r="F9481" s="14"/>
      <c r="G9481" s="15"/>
      <c r="H9481" s="15"/>
      <c r="I9481" s="14"/>
      <c r="P9481" s="14"/>
    </row>
    <row r="9482" ht="18.75" customHeight="1">
      <c r="A9482" s="14"/>
      <c r="B9482" s="12"/>
      <c r="C9482" s="12"/>
      <c r="D9482" s="12"/>
      <c r="E9482" s="12"/>
      <c r="F9482" s="14"/>
      <c r="G9482" s="15"/>
      <c r="H9482" s="15"/>
      <c r="I9482" s="14"/>
      <c r="P9482" s="14"/>
    </row>
    <row r="9483" ht="18.75" customHeight="1">
      <c r="A9483" s="14"/>
      <c r="B9483" s="12"/>
      <c r="C9483" s="12"/>
      <c r="D9483" s="12"/>
      <c r="E9483" s="12"/>
      <c r="F9483" s="14"/>
      <c r="G9483" s="15"/>
      <c r="H9483" s="15"/>
      <c r="I9483" s="14"/>
      <c r="P9483" s="14"/>
    </row>
    <row r="9484" ht="18.75" customHeight="1">
      <c r="A9484" s="14"/>
      <c r="B9484" s="12"/>
      <c r="C9484" s="12"/>
      <c r="D9484" s="12"/>
      <c r="E9484" s="12"/>
      <c r="F9484" s="14"/>
      <c r="G9484" s="15"/>
      <c r="H9484" s="15"/>
      <c r="I9484" s="14"/>
      <c r="P9484" s="14"/>
    </row>
    <row r="9485" ht="18.75" customHeight="1">
      <c r="A9485" s="14"/>
      <c r="B9485" s="12"/>
      <c r="C9485" s="12"/>
      <c r="D9485" s="12"/>
      <c r="E9485" s="12"/>
      <c r="F9485" s="14"/>
      <c r="G9485" s="15"/>
      <c r="H9485" s="15"/>
      <c r="I9485" s="14"/>
      <c r="P9485" s="14"/>
    </row>
    <row r="9486" ht="18.75" customHeight="1">
      <c r="A9486" s="14"/>
      <c r="B9486" s="12"/>
      <c r="C9486" s="12"/>
      <c r="D9486" s="12"/>
      <c r="E9486" s="12"/>
      <c r="F9486" s="14"/>
      <c r="G9486" s="15"/>
      <c r="H9486" s="15"/>
      <c r="I9486" s="14"/>
      <c r="P9486" s="14"/>
    </row>
    <row r="9487" ht="18.75" customHeight="1">
      <c r="A9487" s="14"/>
      <c r="B9487" s="12"/>
      <c r="C9487" s="12"/>
      <c r="D9487" s="12"/>
      <c r="E9487" s="12"/>
      <c r="F9487" s="14"/>
      <c r="G9487" s="15"/>
      <c r="H9487" s="15"/>
      <c r="I9487" s="14"/>
      <c r="P9487" s="14"/>
    </row>
    <row r="9488" ht="18.75" customHeight="1">
      <c r="A9488" s="14"/>
      <c r="B9488" s="12"/>
      <c r="C9488" s="12"/>
      <c r="D9488" s="12"/>
      <c r="E9488" s="12"/>
      <c r="F9488" s="14"/>
      <c r="G9488" s="15"/>
      <c r="H9488" s="15"/>
      <c r="I9488" s="14"/>
      <c r="P9488" s="14"/>
    </row>
    <row r="9489" ht="18.75" customHeight="1">
      <c r="A9489" s="14"/>
      <c r="B9489" s="12"/>
      <c r="C9489" s="12"/>
      <c r="D9489" s="12"/>
      <c r="E9489" s="12"/>
      <c r="F9489" s="14"/>
      <c r="G9489" s="15"/>
      <c r="H9489" s="15"/>
      <c r="I9489" s="14"/>
      <c r="P9489" s="14"/>
    </row>
    <row r="9490" ht="18.75" customHeight="1">
      <c r="A9490" s="14"/>
      <c r="B9490" s="12"/>
      <c r="C9490" s="12"/>
      <c r="D9490" s="12"/>
      <c r="E9490" s="12"/>
      <c r="F9490" s="14"/>
      <c r="G9490" s="15"/>
      <c r="H9490" s="15"/>
      <c r="I9490" s="14"/>
      <c r="P9490" s="14"/>
    </row>
    <row r="9491" ht="18.75" customHeight="1">
      <c r="A9491" s="14"/>
      <c r="B9491" s="12"/>
      <c r="C9491" s="12"/>
      <c r="D9491" s="12"/>
      <c r="E9491" s="12"/>
      <c r="F9491" s="14"/>
      <c r="G9491" s="15"/>
      <c r="H9491" s="15"/>
      <c r="I9491" s="14"/>
      <c r="P9491" s="14"/>
    </row>
    <row r="9492" ht="18.75" customHeight="1">
      <c r="A9492" s="14"/>
      <c r="B9492" s="12"/>
      <c r="C9492" s="12"/>
      <c r="D9492" s="12"/>
      <c r="E9492" s="12"/>
      <c r="F9492" s="14"/>
      <c r="G9492" s="15"/>
      <c r="H9492" s="15"/>
      <c r="I9492" s="14"/>
      <c r="P9492" s="14"/>
    </row>
    <row r="9493" ht="18.75" customHeight="1">
      <c r="A9493" s="14"/>
      <c r="B9493" s="12"/>
      <c r="C9493" s="12"/>
      <c r="D9493" s="12"/>
      <c r="E9493" s="12"/>
      <c r="F9493" s="14"/>
      <c r="G9493" s="15"/>
      <c r="H9493" s="15"/>
      <c r="I9493" s="14"/>
      <c r="P9493" s="14"/>
    </row>
    <row r="9494" ht="18.75" customHeight="1">
      <c r="A9494" s="14"/>
      <c r="B9494" s="12"/>
      <c r="C9494" s="12"/>
      <c r="D9494" s="12"/>
      <c r="E9494" s="12"/>
      <c r="F9494" s="14"/>
      <c r="G9494" s="15"/>
      <c r="H9494" s="15"/>
      <c r="I9494" s="14"/>
      <c r="P9494" s="14"/>
    </row>
    <row r="9495" ht="18.75" customHeight="1">
      <c r="A9495" s="14"/>
      <c r="B9495" s="12"/>
      <c r="C9495" s="12"/>
      <c r="D9495" s="12"/>
      <c r="E9495" s="12"/>
      <c r="F9495" s="14"/>
      <c r="G9495" s="15"/>
      <c r="H9495" s="15"/>
      <c r="I9495" s="14"/>
      <c r="P9495" s="14"/>
    </row>
    <row r="9496" ht="18.75" customHeight="1">
      <c r="A9496" s="14"/>
      <c r="B9496" s="12"/>
      <c r="C9496" s="12"/>
      <c r="D9496" s="12"/>
      <c r="E9496" s="12"/>
      <c r="F9496" s="14"/>
      <c r="G9496" s="15"/>
      <c r="H9496" s="15"/>
      <c r="I9496" s="14"/>
      <c r="P9496" s="14"/>
    </row>
    <row r="9497" ht="18.75" customHeight="1">
      <c r="A9497" s="14"/>
      <c r="B9497" s="12"/>
      <c r="C9497" s="12"/>
      <c r="D9497" s="12"/>
      <c r="E9497" s="12"/>
      <c r="F9497" s="14"/>
      <c r="G9497" s="15"/>
      <c r="H9497" s="15"/>
      <c r="I9497" s="14"/>
      <c r="P9497" s="14"/>
    </row>
    <row r="9498" ht="18.75" customHeight="1">
      <c r="A9498" s="14"/>
      <c r="B9498" s="12"/>
      <c r="C9498" s="12"/>
      <c r="D9498" s="12"/>
      <c r="E9498" s="12"/>
      <c r="F9498" s="14"/>
      <c r="G9498" s="15"/>
      <c r="H9498" s="15"/>
      <c r="I9498" s="14"/>
      <c r="P9498" s="14"/>
    </row>
    <row r="9499" ht="18.75" customHeight="1">
      <c r="A9499" s="14"/>
      <c r="B9499" s="12"/>
      <c r="C9499" s="12"/>
      <c r="D9499" s="12"/>
      <c r="E9499" s="12"/>
      <c r="F9499" s="14"/>
      <c r="G9499" s="15"/>
      <c r="H9499" s="15"/>
      <c r="I9499" s="14"/>
      <c r="P9499" s="14"/>
    </row>
    <row r="9500" ht="18.75" customHeight="1">
      <c r="A9500" s="14"/>
      <c r="B9500" s="12"/>
      <c r="C9500" s="12"/>
      <c r="D9500" s="12"/>
      <c r="E9500" s="12"/>
      <c r="F9500" s="14"/>
      <c r="G9500" s="15"/>
      <c r="H9500" s="15"/>
      <c r="I9500" s="14"/>
      <c r="P9500" s="14"/>
    </row>
    <row r="9501" ht="18.75" customHeight="1">
      <c r="A9501" s="14"/>
      <c r="B9501" s="12"/>
      <c r="C9501" s="12"/>
      <c r="D9501" s="12"/>
      <c r="E9501" s="12"/>
      <c r="F9501" s="14"/>
      <c r="G9501" s="15"/>
      <c r="H9501" s="15"/>
      <c r="I9501" s="14"/>
      <c r="P9501" s="14"/>
    </row>
    <row r="9502" ht="18.75" customHeight="1">
      <c r="A9502" s="14"/>
      <c r="B9502" s="12"/>
      <c r="C9502" s="12"/>
      <c r="D9502" s="12"/>
      <c r="E9502" s="12"/>
      <c r="F9502" s="14"/>
      <c r="G9502" s="15"/>
      <c r="H9502" s="15"/>
      <c r="I9502" s="14"/>
      <c r="P9502" s="14"/>
    </row>
    <row r="9503" ht="18.75" customHeight="1">
      <c r="A9503" s="14"/>
      <c r="B9503" s="12"/>
      <c r="C9503" s="12"/>
      <c r="D9503" s="12"/>
      <c r="E9503" s="12"/>
      <c r="F9503" s="14"/>
      <c r="G9503" s="15"/>
      <c r="H9503" s="15"/>
      <c r="I9503" s="14"/>
      <c r="P9503" s="14"/>
    </row>
    <row r="9504" ht="18.75" customHeight="1">
      <c r="A9504" s="14"/>
      <c r="B9504" s="12"/>
      <c r="C9504" s="12"/>
      <c r="D9504" s="12"/>
      <c r="E9504" s="12"/>
      <c r="F9504" s="14"/>
      <c r="G9504" s="15"/>
      <c r="H9504" s="15"/>
      <c r="I9504" s="14"/>
      <c r="P9504" s="14"/>
    </row>
    <row r="9505" ht="18.75" customHeight="1">
      <c r="A9505" s="14"/>
      <c r="B9505" s="12"/>
      <c r="C9505" s="12"/>
      <c r="D9505" s="12"/>
      <c r="E9505" s="12"/>
      <c r="F9505" s="14"/>
      <c r="G9505" s="15"/>
      <c r="H9505" s="15"/>
      <c r="I9505" s="14"/>
      <c r="P9505" s="14"/>
    </row>
    <row r="9506" ht="18.75" customHeight="1">
      <c r="A9506" s="14"/>
      <c r="B9506" s="12"/>
      <c r="C9506" s="12"/>
      <c r="D9506" s="12"/>
      <c r="E9506" s="12"/>
      <c r="F9506" s="14"/>
      <c r="G9506" s="15"/>
      <c r="H9506" s="15"/>
      <c r="I9506" s="14"/>
      <c r="P9506" s="14"/>
    </row>
    <row r="9507" ht="18.75" customHeight="1">
      <c r="A9507" s="14"/>
      <c r="B9507" s="12"/>
      <c r="C9507" s="12"/>
      <c r="D9507" s="12"/>
      <c r="E9507" s="12"/>
      <c r="F9507" s="14"/>
      <c r="G9507" s="15"/>
      <c r="H9507" s="15"/>
      <c r="I9507" s="14"/>
      <c r="P9507" s="14"/>
    </row>
    <row r="9508" ht="18.75" customHeight="1">
      <c r="A9508" s="14"/>
      <c r="B9508" s="12"/>
      <c r="C9508" s="12"/>
      <c r="D9508" s="12"/>
      <c r="E9508" s="12"/>
      <c r="F9508" s="14"/>
      <c r="G9508" s="15"/>
      <c r="H9508" s="15"/>
      <c r="I9508" s="14"/>
      <c r="P9508" s="14"/>
    </row>
    <row r="9509" ht="18.75" customHeight="1">
      <c r="A9509" s="14"/>
      <c r="B9509" s="12"/>
      <c r="C9509" s="12"/>
      <c r="D9509" s="12"/>
      <c r="E9509" s="12"/>
      <c r="F9509" s="14"/>
      <c r="G9509" s="15"/>
      <c r="H9509" s="15"/>
      <c r="I9509" s="14"/>
      <c r="P9509" s="14"/>
    </row>
    <row r="9510" ht="18.75" customHeight="1">
      <c r="A9510" s="14"/>
      <c r="B9510" s="12"/>
      <c r="C9510" s="12"/>
      <c r="D9510" s="12"/>
      <c r="E9510" s="12"/>
      <c r="F9510" s="14"/>
      <c r="G9510" s="15"/>
      <c r="H9510" s="15"/>
      <c r="I9510" s="14"/>
      <c r="P9510" s="14"/>
    </row>
    <row r="9511" ht="18.75" customHeight="1">
      <c r="A9511" s="14"/>
      <c r="B9511" s="12"/>
      <c r="C9511" s="12"/>
      <c r="D9511" s="12"/>
      <c r="E9511" s="12"/>
      <c r="F9511" s="14"/>
      <c r="G9511" s="15"/>
      <c r="H9511" s="15"/>
      <c r="I9511" s="14"/>
      <c r="P9511" s="14"/>
    </row>
    <row r="9512" ht="18.75" customHeight="1">
      <c r="A9512" s="14"/>
      <c r="B9512" s="12"/>
      <c r="C9512" s="12"/>
      <c r="D9512" s="12"/>
      <c r="E9512" s="12"/>
      <c r="F9512" s="14"/>
      <c r="G9512" s="15"/>
      <c r="H9512" s="15"/>
      <c r="I9512" s="14"/>
      <c r="P9512" s="14"/>
    </row>
    <row r="9513" ht="18.75" customHeight="1">
      <c r="A9513" s="14"/>
      <c r="B9513" s="12"/>
      <c r="C9513" s="12"/>
      <c r="D9513" s="12"/>
      <c r="E9513" s="12"/>
      <c r="F9513" s="14"/>
      <c r="G9513" s="15"/>
      <c r="H9513" s="15"/>
      <c r="I9513" s="14"/>
      <c r="P9513" s="14"/>
    </row>
    <row r="9514" ht="18.75" customHeight="1">
      <c r="A9514" s="14"/>
      <c r="B9514" s="12"/>
      <c r="C9514" s="12"/>
      <c r="D9514" s="12"/>
      <c r="E9514" s="12"/>
      <c r="F9514" s="14"/>
      <c r="G9514" s="15"/>
      <c r="H9514" s="15"/>
      <c r="I9514" s="14"/>
      <c r="P9514" s="14"/>
    </row>
    <row r="9515" ht="18.75" customHeight="1">
      <c r="A9515" s="14"/>
      <c r="B9515" s="12"/>
      <c r="C9515" s="12"/>
      <c r="D9515" s="12"/>
      <c r="E9515" s="12"/>
      <c r="F9515" s="14"/>
      <c r="G9515" s="15"/>
      <c r="H9515" s="15"/>
      <c r="I9515" s="14"/>
      <c r="P9515" s="14"/>
    </row>
    <row r="9516" ht="18.75" customHeight="1">
      <c r="A9516" s="14"/>
      <c r="B9516" s="12"/>
      <c r="C9516" s="12"/>
      <c r="D9516" s="12"/>
      <c r="E9516" s="12"/>
      <c r="F9516" s="14"/>
      <c r="G9516" s="15"/>
      <c r="H9516" s="15"/>
      <c r="I9516" s="14"/>
      <c r="P9516" s="14"/>
    </row>
    <row r="9517" ht="18.75" customHeight="1">
      <c r="A9517" s="14"/>
      <c r="B9517" s="12"/>
      <c r="C9517" s="12"/>
      <c r="D9517" s="12"/>
      <c r="E9517" s="12"/>
      <c r="F9517" s="14"/>
      <c r="G9517" s="15"/>
      <c r="H9517" s="15"/>
      <c r="I9517" s="14"/>
      <c r="P9517" s="14"/>
    </row>
    <row r="9518" ht="18.75" customHeight="1">
      <c r="A9518" s="14"/>
      <c r="B9518" s="12"/>
      <c r="C9518" s="12"/>
      <c r="D9518" s="12"/>
      <c r="E9518" s="12"/>
      <c r="F9518" s="14"/>
      <c r="G9518" s="15"/>
      <c r="H9518" s="15"/>
      <c r="I9518" s="14"/>
      <c r="P9518" s="14"/>
    </row>
    <row r="9519" ht="18.75" customHeight="1">
      <c r="A9519" s="14"/>
      <c r="B9519" s="12"/>
      <c r="C9519" s="12"/>
      <c r="D9519" s="12"/>
      <c r="E9519" s="12"/>
      <c r="F9519" s="14"/>
      <c r="G9519" s="15"/>
      <c r="H9519" s="15"/>
      <c r="I9519" s="14"/>
      <c r="P9519" s="14"/>
    </row>
    <row r="9520" ht="18.75" customHeight="1">
      <c r="A9520" s="14"/>
      <c r="B9520" s="12"/>
      <c r="C9520" s="12"/>
      <c r="D9520" s="12"/>
      <c r="E9520" s="12"/>
      <c r="F9520" s="14"/>
      <c r="G9520" s="15"/>
      <c r="H9520" s="15"/>
      <c r="I9520" s="14"/>
      <c r="P9520" s="14"/>
    </row>
    <row r="9521" ht="18.75" customHeight="1">
      <c r="A9521" s="14"/>
      <c r="B9521" s="12"/>
      <c r="C9521" s="12"/>
      <c r="D9521" s="12"/>
      <c r="E9521" s="12"/>
      <c r="F9521" s="14"/>
      <c r="G9521" s="15"/>
      <c r="H9521" s="15"/>
      <c r="I9521" s="14"/>
      <c r="P9521" s="14"/>
    </row>
    <row r="9522" ht="18.75" customHeight="1">
      <c r="A9522" s="14"/>
      <c r="B9522" s="12"/>
      <c r="C9522" s="12"/>
      <c r="D9522" s="12"/>
      <c r="E9522" s="12"/>
      <c r="F9522" s="14"/>
      <c r="G9522" s="15"/>
      <c r="H9522" s="15"/>
      <c r="I9522" s="14"/>
      <c r="P9522" s="14"/>
    </row>
    <row r="9523" ht="18.75" customHeight="1">
      <c r="A9523" s="14"/>
      <c r="B9523" s="12"/>
      <c r="C9523" s="12"/>
      <c r="D9523" s="12"/>
      <c r="E9523" s="12"/>
      <c r="F9523" s="14"/>
      <c r="G9523" s="15"/>
      <c r="H9523" s="15"/>
      <c r="I9523" s="14"/>
      <c r="P9523" s="14"/>
    </row>
    <row r="9524" ht="18.75" customHeight="1">
      <c r="A9524" s="14"/>
      <c r="B9524" s="12"/>
      <c r="C9524" s="12"/>
      <c r="D9524" s="12"/>
      <c r="E9524" s="12"/>
      <c r="F9524" s="14"/>
      <c r="G9524" s="15"/>
      <c r="H9524" s="15"/>
      <c r="I9524" s="14"/>
      <c r="P9524" s="14"/>
    </row>
    <row r="9525" ht="18.75" customHeight="1">
      <c r="A9525" s="14"/>
      <c r="B9525" s="12"/>
      <c r="C9525" s="12"/>
      <c r="D9525" s="12"/>
      <c r="E9525" s="12"/>
      <c r="F9525" s="14"/>
      <c r="G9525" s="15"/>
      <c r="H9525" s="15"/>
      <c r="I9525" s="14"/>
      <c r="P9525" s="14"/>
    </row>
    <row r="9526" ht="18.75" customHeight="1">
      <c r="A9526" s="14"/>
      <c r="B9526" s="12"/>
      <c r="C9526" s="12"/>
      <c r="D9526" s="12"/>
      <c r="E9526" s="12"/>
      <c r="F9526" s="14"/>
      <c r="G9526" s="15"/>
      <c r="H9526" s="15"/>
      <c r="I9526" s="14"/>
      <c r="P9526" s="14"/>
    </row>
    <row r="9527" ht="18.75" customHeight="1">
      <c r="A9527" s="14"/>
      <c r="B9527" s="12"/>
      <c r="C9527" s="12"/>
      <c r="D9527" s="12"/>
      <c r="E9527" s="12"/>
      <c r="F9527" s="14"/>
      <c r="G9527" s="15"/>
      <c r="H9527" s="15"/>
      <c r="I9527" s="14"/>
      <c r="P9527" s="14"/>
    </row>
    <row r="9528" ht="18.75" customHeight="1">
      <c r="A9528" s="14"/>
      <c r="B9528" s="12"/>
      <c r="C9528" s="12"/>
      <c r="D9528" s="12"/>
      <c r="E9528" s="12"/>
      <c r="F9528" s="14"/>
      <c r="G9528" s="15"/>
      <c r="H9528" s="15"/>
      <c r="I9528" s="14"/>
      <c r="P9528" s="14"/>
    </row>
    <row r="9529" ht="18.75" customHeight="1">
      <c r="A9529" s="14"/>
      <c r="B9529" s="12"/>
      <c r="C9529" s="12"/>
      <c r="D9529" s="12"/>
      <c r="E9529" s="12"/>
      <c r="F9529" s="14"/>
      <c r="G9529" s="15"/>
      <c r="H9529" s="15"/>
      <c r="I9529" s="14"/>
      <c r="P9529" s="14"/>
    </row>
    <row r="9530" ht="18.75" customHeight="1">
      <c r="A9530" s="14"/>
      <c r="B9530" s="12"/>
      <c r="C9530" s="12"/>
      <c r="D9530" s="12"/>
      <c r="E9530" s="12"/>
      <c r="F9530" s="14"/>
      <c r="G9530" s="15"/>
      <c r="H9530" s="15"/>
      <c r="I9530" s="14"/>
      <c r="P9530" s="14"/>
    </row>
    <row r="9531" ht="18.75" customHeight="1">
      <c r="A9531" s="14"/>
      <c r="B9531" s="12"/>
      <c r="C9531" s="12"/>
      <c r="D9531" s="12"/>
      <c r="E9531" s="12"/>
      <c r="F9531" s="14"/>
      <c r="G9531" s="15"/>
      <c r="H9531" s="15"/>
      <c r="I9531" s="14"/>
      <c r="P9531" s="14"/>
    </row>
    <row r="9532" ht="18.75" customHeight="1">
      <c r="A9532" s="14"/>
      <c r="B9532" s="12"/>
      <c r="C9532" s="12"/>
      <c r="D9532" s="12"/>
      <c r="E9532" s="12"/>
      <c r="F9532" s="14"/>
      <c r="G9532" s="15"/>
      <c r="H9532" s="15"/>
      <c r="I9532" s="14"/>
      <c r="P9532" s="14"/>
    </row>
    <row r="9533" ht="18.75" customHeight="1">
      <c r="A9533" s="14"/>
      <c r="B9533" s="12"/>
      <c r="C9533" s="12"/>
      <c r="D9533" s="12"/>
      <c r="E9533" s="12"/>
      <c r="F9533" s="14"/>
      <c r="G9533" s="15"/>
      <c r="H9533" s="15"/>
      <c r="I9533" s="14"/>
      <c r="P9533" s="14"/>
    </row>
    <row r="9534" ht="18.75" customHeight="1">
      <c r="A9534" s="14"/>
      <c r="B9534" s="12"/>
      <c r="C9534" s="12"/>
      <c r="D9534" s="12"/>
      <c r="E9534" s="12"/>
      <c r="F9534" s="14"/>
      <c r="G9534" s="15"/>
      <c r="H9534" s="15"/>
      <c r="I9534" s="14"/>
      <c r="P9534" s="14"/>
    </row>
    <row r="9535" ht="18.75" customHeight="1">
      <c r="A9535" s="14"/>
      <c r="B9535" s="12"/>
      <c r="C9535" s="12"/>
      <c r="D9535" s="12"/>
      <c r="E9535" s="12"/>
      <c r="F9535" s="14"/>
      <c r="G9535" s="15"/>
      <c r="H9535" s="15"/>
      <c r="I9535" s="14"/>
      <c r="P9535" s="14"/>
    </row>
    <row r="9536" ht="18.75" customHeight="1">
      <c r="A9536" s="14"/>
      <c r="B9536" s="12"/>
      <c r="C9536" s="12"/>
      <c r="D9536" s="12"/>
      <c r="E9536" s="12"/>
      <c r="F9536" s="14"/>
      <c r="G9536" s="15"/>
      <c r="H9536" s="15"/>
      <c r="I9536" s="14"/>
      <c r="P9536" s="14"/>
    </row>
    <row r="9537" ht="18.75" customHeight="1">
      <c r="A9537" s="14"/>
      <c r="B9537" s="12"/>
      <c r="C9537" s="12"/>
      <c r="D9537" s="12"/>
      <c r="E9537" s="12"/>
      <c r="F9537" s="14"/>
      <c r="G9537" s="15"/>
      <c r="H9537" s="15"/>
      <c r="I9537" s="14"/>
      <c r="P9537" s="14"/>
    </row>
    <row r="9538" ht="18.75" customHeight="1">
      <c r="A9538" s="14"/>
      <c r="B9538" s="12"/>
      <c r="C9538" s="12"/>
      <c r="D9538" s="12"/>
      <c r="E9538" s="12"/>
      <c r="F9538" s="14"/>
      <c r="G9538" s="15"/>
      <c r="H9538" s="15"/>
      <c r="I9538" s="14"/>
      <c r="P9538" s="14"/>
    </row>
    <row r="9539" ht="18.75" customHeight="1">
      <c r="A9539" s="14"/>
      <c r="B9539" s="12"/>
      <c r="C9539" s="12"/>
      <c r="D9539" s="12"/>
      <c r="E9539" s="12"/>
      <c r="F9539" s="14"/>
      <c r="G9539" s="15"/>
      <c r="H9539" s="15"/>
      <c r="I9539" s="14"/>
      <c r="P9539" s="14"/>
    </row>
    <row r="9540" ht="18.75" customHeight="1">
      <c r="A9540" s="14"/>
      <c r="B9540" s="12"/>
      <c r="C9540" s="12"/>
      <c r="D9540" s="12"/>
      <c r="E9540" s="12"/>
      <c r="F9540" s="14"/>
      <c r="G9540" s="15"/>
      <c r="H9540" s="15"/>
      <c r="I9540" s="14"/>
      <c r="P9540" s="14"/>
    </row>
    <row r="9541" ht="18.75" customHeight="1">
      <c r="A9541" s="14"/>
      <c r="B9541" s="12"/>
      <c r="C9541" s="12"/>
      <c r="D9541" s="12"/>
      <c r="E9541" s="12"/>
      <c r="F9541" s="14"/>
      <c r="G9541" s="15"/>
      <c r="H9541" s="15"/>
      <c r="I9541" s="14"/>
      <c r="P9541" s="14"/>
    </row>
    <row r="9542" ht="18.75" customHeight="1">
      <c r="A9542" s="14"/>
      <c r="B9542" s="12"/>
      <c r="C9542" s="12"/>
      <c r="D9542" s="12"/>
      <c r="E9542" s="12"/>
      <c r="F9542" s="14"/>
      <c r="G9542" s="15"/>
      <c r="H9542" s="15"/>
      <c r="I9542" s="14"/>
      <c r="P9542" s="14"/>
    </row>
    <row r="9543" ht="18.75" customHeight="1">
      <c r="A9543" s="14"/>
      <c r="B9543" s="12"/>
      <c r="C9543" s="12"/>
      <c r="D9543" s="12"/>
      <c r="E9543" s="12"/>
      <c r="F9543" s="14"/>
      <c r="G9543" s="15"/>
      <c r="H9543" s="15"/>
      <c r="I9543" s="14"/>
      <c r="P9543" s="14"/>
    </row>
    <row r="9544" ht="18.75" customHeight="1">
      <c r="A9544" s="14"/>
      <c r="B9544" s="12"/>
      <c r="C9544" s="12"/>
      <c r="D9544" s="12"/>
      <c r="E9544" s="12"/>
      <c r="F9544" s="14"/>
      <c r="G9544" s="15"/>
      <c r="H9544" s="15"/>
      <c r="I9544" s="14"/>
      <c r="P9544" s="14"/>
    </row>
    <row r="9545" ht="18.75" customHeight="1">
      <c r="A9545" s="14"/>
      <c r="B9545" s="12"/>
      <c r="C9545" s="12"/>
      <c r="D9545" s="12"/>
      <c r="E9545" s="12"/>
      <c r="F9545" s="14"/>
      <c r="G9545" s="15"/>
      <c r="H9545" s="15"/>
      <c r="I9545" s="14"/>
      <c r="P9545" s="14"/>
    </row>
    <row r="9546" ht="18.75" customHeight="1">
      <c r="A9546" s="14"/>
      <c r="B9546" s="12"/>
      <c r="C9546" s="12"/>
      <c r="D9546" s="12"/>
      <c r="E9546" s="12"/>
      <c r="F9546" s="14"/>
      <c r="G9546" s="15"/>
      <c r="H9546" s="15"/>
      <c r="I9546" s="14"/>
      <c r="P9546" s="14"/>
    </row>
    <row r="9547" ht="18.75" customHeight="1">
      <c r="A9547" s="14"/>
      <c r="B9547" s="12"/>
      <c r="C9547" s="12"/>
      <c r="D9547" s="12"/>
      <c r="E9547" s="12"/>
      <c r="F9547" s="14"/>
      <c r="G9547" s="15"/>
      <c r="H9547" s="15"/>
      <c r="I9547" s="14"/>
      <c r="P9547" s="14"/>
    </row>
    <row r="9548" ht="18.75" customHeight="1">
      <c r="A9548" s="14"/>
      <c r="B9548" s="12"/>
      <c r="C9548" s="12"/>
      <c r="D9548" s="12"/>
      <c r="E9548" s="12"/>
      <c r="F9548" s="14"/>
      <c r="G9548" s="15"/>
      <c r="H9548" s="15"/>
      <c r="I9548" s="14"/>
      <c r="P9548" s="14"/>
    </row>
    <row r="9549" ht="18.75" customHeight="1">
      <c r="A9549" s="14"/>
      <c r="B9549" s="12"/>
      <c r="C9549" s="12"/>
      <c r="D9549" s="12"/>
      <c r="E9549" s="12"/>
      <c r="F9549" s="14"/>
      <c r="G9549" s="15"/>
      <c r="H9549" s="15"/>
      <c r="I9549" s="14"/>
      <c r="P9549" s="14"/>
    </row>
    <row r="9550" ht="18.75" customHeight="1">
      <c r="A9550" s="14"/>
      <c r="B9550" s="12"/>
      <c r="C9550" s="12"/>
      <c r="D9550" s="12"/>
      <c r="E9550" s="12"/>
      <c r="F9550" s="14"/>
      <c r="G9550" s="15"/>
      <c r="H9550" s="15"/>
      <c r="I9550" s="14"/>
      <c r="P9550" s="14"/>
    </row>
    <row r="9551" ht="18.75" customHeight="1">
      <c r="A9551" s="14"/>
      <c r="B9551" s="12"/>
      <c r="C9551" s="12"/>
      <c r="D9551" s="12"/>
      <c r="E9551" s="12"/>
      <c r="F9551" s="14"/>
      <c r="G9551" s="15"/>
      <c r="H9551" s="15"/>
      <c r="I9551" s="14"/>
      <c r="P9551" s="14"/>
    </row>
    <row r="9552" ht="18.75" customHeight="1">
      <c r="A9552" s="14"/>
      <c r="B9552" s="12"/>
      <c r="C9552" s="12"/>
      <c r="D9552" s="12"/>
      <c r="E9552" s="12"/>
      <c r="F9552" s="14"/>
      <c r="G9552" s="15"/>
      <c r="H9552" s="15"/>
      <c r="I9552" s="14"/>
      <c r="P9552" s="14"/>
    </row>
    <row r="9553" ht="18.75" customHeight="1">
      <c r="A9553" s="14"/>
      <c r="B9553" s="12"/>
      <c r="C9553" s="12"/>
      <c r="D9553" s="12"/>
      <c r="E9553" s="12"/>
      <c r="F9553" s="14"/>
      <c r="G9553" s="15"/>
      <c r="H9553" s="15"/>
      <c r="I9553" s="14"/>
      <c r="P9553" s="14"/>
    </row>
    <row r="9554" ht="18.75" customHeight="1">
      <c r="A9554" s="14"/>
      <c r="B9554" s="12"/>
      <c r="C9554" s="12"/>
      <c r="D9554" s="12"/>
      <c r="E9554" s="12"/>
      <c r="F9554" s="14"/>
      <c r="G9554" s="15"/>
      <c r="H9554" s="15"/>
      <c r="I9554" s="14"/>
      <c r="P9554" s="14"/>
    </row>
    <row r="9555" ht="18.75" customHeight="1">
      <c r="A9555" s="14"/>
      <c r="B9555" s="12"/>
      <c r="C9555" s="12"/>
      <c r="D9555" s="12"/>
      <c r="E9555" s="12"/>
      <c r="F9555" s="14"/>
      <c r="G9555" s="15"/>
      <c r="H9555" s="15"/>
      <c r="I9555" s="14"/>
      <c r="P9555" s="14"/>
    </row>
    <row r="9556" ht="18.75" customHeight="1">
      <c r="A9556" s="14"/>
      <c r="B9556" s="12"/>
      <c r="C9556" s="12"/>
      <c r="D9556" s="12"/>
      <c r="E9556" s="12"/>
      <c r="F9556" s="14"/>
      <c r="G9556" s="15"/>
      <c r="H9556" s="15"/>
      <c r="I9556" s="14"/>
      <c r="P9556" s="14"/>
    </row>
    <row r="9557" ht="18.75" customHeight="1">
      <c r="A9557" s="14"/>
      <c r="B9557" s="12"/>
      <c r="C9557" s="12"/>
      <c r="D9557" s="12"/>
      <c r="E9557" s="12"/>
      <c r="F9557" s="14"/>
      <c r="G9557" s="15"/>
      <c r="H9557" s="15"/>
      <c r="I9557" s="14"/>
      <c r="P9557" s="14"/>
    </row>
    <row r="9558" ht="18.75" customHeight="1">
      <c r="A9558" s="14"/>
      <c r="B9558" s="12"/>
      <c r="C9558" s="12"/>
      <c r="D9558" s="12"/>
      <c r="E9558" s="12"/>
      <c r="F9558" s="14"/>
      <c r="G9558" s="15"/>
      <c r="H9558" s="15"/>
      <c r="I9558" s="14"/>
      <c r="P9558" s="14"/>
    </row>
    <row r="9559" ht="18.75" customHeight="1">
      <c r="A9559" s="14"/>
      <c r="B9559" s="12"/>
      <c r="C9559" s="12"/>
      <c r="D9559" s="12"/>
      <c r="E9559" s="12"/>
      <c r="F9559" s="14"/>
      <c r="G9559" s="15"/>
      <c r="H9559" s="15"/>
      <c r="I9559" s="14"/>
      <c r="P9559" s="14"/>
    </row>
    <row r="9560" ht="18.75" customHeight="1">
      <c r="A9560" s="14"/>
      <c r="B9560" s="12"/>
      <c r="C9560" s="12"/>
      <c r="D9560" s="12"/>
      <c r="E9560" s="12"/>
      <c r="F9560" s="14"/>
      <c r="G9560" s="15"/>
      <c r="H9560" s="15"/>
      <c r="I9560" s="14"/>
      <c r="P9560" s="14"/>
    </row>
    <row r="9561" ht="18.75" customHeight="1">
      <c r="A9561" s="14"/>
      <c r="B9561" s="12"/>
      <c r="C9561" s="12"/>
      <c r="D9561" s="12"/>
      <c r="E9561" s="12"/>
      <c r="F9561" s="14"/>
      <c r="G9561" s="15"/>
      <c r="H9561" s="15"/>
      <c r="I9561" s="14"/>
      <c r="P9561" s="14"/>
    </row>
    <row r="9562" ht="18.75" customHeight="1">
      <c r="A9562" s="14"/>
      <c r="B9562" s="12"/>
      <c r="C9562" s="12"/>
      <c r="D9562" s="12"/>
      <c r="E9562" s="12"/>
      <c r="F9562" s="14"/>
      <c r="G9562" s="15"/>
      <c r="H9562" s="15"/>
      <c r="I9562" s="14"/>
      <c r="P9562" s="14"/>
    </row>
    <row r="9563" ht="18.75" customHeight="1">
      <c r="A9563" s="14"/>
      <c r="B9563" s="12"/>
      <c r="C9563" s="12"/>
      <c r="D9563" s="12"/>
      <c r="E9563" s="12"/>
      <c r="F9563" s="14"/>
      <c r="G9563" s="15"/>
      <c r="H9563" s="15"/>
      <c r="I9563" s="14"/>
      <c r="P9563" s="14"/>
    </row>
    <row r="9564" ht="18.75" customHeight="1">
      <c r="A9564" s="14"/>
      <c r="B9564" s="12"/>
      <c r="C9564" s="12"/>
      <c r="D9564" s="12"/>
      <c r="E9564" s="12"/>
      <c r="F9564" s="14"/>
      <c r="G9564" s="15"/>
      <c r="H9564" s="15"/>
      <c r="I9564" s="14"/>
      <c r="P9564" s="14"/>
    </row>
    <row r="9565" ht="18.75" customHeight="1">
      <c r="A9565" s="14"/>
      <c r="B9565" s="12"/>
      <c r="C9565" s="12"/>
      <c r="D9565" s="12"/>
      <c r="E9565" s="12"/>
      <c r="F9565" s="14"/>
      <c r="G9565" s="15"/>
      <c r="H9565" s="15"/>
      <c r="I9565" s="14"/>
      <c r="P9565" s="14"/>
    </row>
    <row r="9566" ht="18.75" customHeight="1">
      <c r="A9566" s="14"/>
      <c r="B9566" s="12"/>
      <c r="C9566" s="12"/>
      <c r="D9566" s="12"/>
      <c r="E9566" s="12"/>
      <c r="F9566" s="14"/>
      <c r="G9566" s="15"/>
      <c r="H9566" s="15"/>
      <c r="I9566" s="14"/>
      <c r="P9566" s="14"/>
    </row>
    <row r="9567" ht="18.75" customHeight="1">
      <c r="A9567" s="14"/>
      <c r="B9567" s="12"/>
      <c r="C9567" s="12"/>
      <c r="D9567" s="12"/>
      <c r="E9567" s="12"/>
      <c r="F9567" s="14"/>
      <c r="G9567" s="15"/>
      <c r="H9567" s="15"/>
      <c r="I9567" s="14"/>
      <c r="P9567" s="14"/>
    </row>
    <row r="9568" ht="18.75" customHeight="1">
      <c r="A9568" s="14"/>
      <c r="B9568" s="12"/>
      <c r="C9568" s="12"/>
      <c r="D9568" s="12"/>
      <c r="E9568" s="12"/>
      <c r="F9568" s="14"/>
      <c r="G9568" s="15"/>
      <c r="H9568" s="15"/>
      <c r="I9568" s="14"/>
      <c r="P9568" s="14"/>
    </row>
    <row r="9569" ht="18.75" customHeight="1">
      <c r="A9569" s="14"/>
      <c r="B9569" s="12"/>
      <c r="C9569" s="12"/>
      <c r="D9569" s="12"/>
      <c r="E9569" s="12"/>
      <c r="F9569" s="14"/>
      <c r="G9569" s="15"/>
      <c r="H9569" s="15"/>
      <c r="I9569" s="14"/>
      <c r="P9569" s="14"/>
    </row>
    <row r="9570" ht="18.75" customHeight="1">
      <c r="A9570" s="14"/>
      <c r="B9570" s="12"/>
      <c r="C9570" s="12"/>
      <c r="D9570" s="12"/>
      <c r="E9570" s="12"/>
      <c r="F9570" s="14"/>
      <c r="G9570" s="15"/>
      <c r="H9570" s="15"/>
      <c r="I9570" s="14"/>
      <c r="P9570" s="14"/>
    </row>
    <row r="9571" ht="18.75" customHeight="1">
      <c r="A9571" s="14"/>
      <c r="B9571" s="12"/>
      <c r="C9571" s="12"/>
      <c r="D9571" s="12"/>
      <c r="E9571" s="12"/>
      <c r="F9571" s="14"/>
      <c r="G9571" s="15"/>
      <c r="H9571" s="15"/>
      <c r="I9571" s="14"/>
      <c r="P9571" s="14"/>
    </row>
    <row r="9572" ht="18.75" customHeight="1">
      <c r="A9572" s="14"/>
      <c r="B9572" s="12"/>
      <c r="C9572" s="12"/>
      <c r="D9572" s="12"/>
      <c r="E9572" s="12"/>
      <c r="F9572" s="14"/>
      <c r="G9572" s="15"/>
      <c r="H9572" s="15"/>
      <c r="I9572" s="14"/>
      <c r="P9572" s="14"/>
    </row>
    <row r="9573" ht="18.75" customHeight="1">
      <c r="A9573" s="14"/>
      <c r="B9573" s="12"/>
      <c r="C9573" s="12"/>
      <c r="D9573" s="12"/>
      <c r="E9573" s="12"/>
      <c r="F9573" s="14"/>
      <c r="G9573" s="15"/>
      <c r="H9573" s="15"/>
      <c r="I9573" s="14"/>
      <c r="P9573" s="14"/>
    </row>
    <row r="9574" ht="18.75" customHeight="1">
      <c r="A9574" s="14"/>
      <c r="B9574" s="12"/>
      <c r="C9574" s="12"/>
      <c r="D9574" s="12"/>
      <c r="E9574" s="12"/>
      <c r="F9574" s="14"/>
      <c r="G9574" s="15"/>
      <c r="H9574" s="15"/>
      <c r="I9574" s="14"/>
      <c r="P9574" s="14"/>
    </row>
    <row r="9575" ht="18.75" customHeight="1">
      <c r="A9575" s="14"/>
      <c r="B9575" s="12"/>
      <c r="C9575" s="12"/>
      <c r="D9575" s="12"/>
      <c r="E9575" s="12"/>
      <c r="F9575" s="14"/>
      <c r="G9575" s="15"/>
      <c r="H9575" s="15"/>
      <c r="I9575" s="14"/>
      <c r="P9575" s="14"/>
    </row>
    <row r="9576" ht="18.75" customHeight="1">
      <c r="A9576" s="14"/>
      <c r="B9576" s="12"/>
      <c r="C9576" s="12"/>
      <c r="D9576" s="12"/>
      <c r="E9576" s="12"/>
      <c r="F9576" s="14"/>
      <c r="G9576" s="15"/>
      <c r="H9576" s="15"/>
      <c r="I9576" s="14"/>
      <c r="P9576" s="14"/>
    </row>
    <row r="9577" ht="18.75" customHeight="1">
      <c r="A9577" s="14"/>
      <c r="B9577" s="12"/>
      <c r="C9577" s="12"/>
      <c r="D9577" s="12"/>
      <c r="E9577" s="12"/>
      <c r="F9577" s="14"/>
      <c r="G9577" s="15"/>
      <c r="H9577" s="15"/>
      <c r="I9577" s="14"/>
      <c r="P9577" s="14"/>
    </row>
    <row r="9578" ht="18.75" customHeight="1">
      <c r="A9578" s="14"/>
      <c r="B9578" s="12"/>
      <c r="C9578" s="12"/>
      <c r="D9578" s="12"/>
      <c r="E9578" s="12"/>
      <c r="F9578" s="14"/>
      <c r="G9578" s="15"/>
      <c r="H9578" s="15"/>
      <c r="I9578" s="14"/>
      <c r="P9578" s="14"/>
    </row>
    <row r="9579" ht="18.75" customHeight="1">
      <c r="A9579" s="14"/>
      <c r="B9579" s="12"/>
      <c r="C9579" s="12"/>
      <c r="D9579" s="12"/>
      <c r="E9579" s="12"/>
      <c r="F9579" s="14"/>
      <c r="G9579" s="15"/>
      <c r="H9579" s="15"/>
      <c r="I9579" s="14"/>
      <c r="P9579" s="14"/>
    </row>
    <row r="9580" ht="18.75" customHeight="1">
      <c r="A9580" s="14"/>
      <c r="B9580" s="12"/>
      <c r="C9580" s="12"/>
      <c r="D9580" s="12"/>
      <c r="E9580" s="12"/>
      <c r="F9580" s="14"/>
      <c r="G9580" s="15"/>
      <c r="H9580" s="15"/>
      <c r="I9580" s="14"/>
      <c r="P9580" s="14"/>
    </row>
    <row r="9581" ht="18.75" customHeight="1">
      <c r="A9581" s="14"/>
      <c r="B9581" s="12"/>
      <c r="C9581" s="12"/>
      <c r="D9581" s="12"/>
      <c r="E9581" s="12"/>
      <c r="F9581" s="14"/>
      <c r="G9581" s="15"/>
      <c r="H9581" s="15"/>
      <c r="I9581" s="14"/>
      <c r="P9581" s="14"/>
    </row>
    <row r="9582" ht="18.75" customHeight="1">
      <c r="A9582" s="14"/>
      <c r="B9582" s="12"/>
      <c r="C9582" s="12"/>
      <c r="D9582" s="12"/>
      <c r="E9582" s="12"/>
      <c r="F9582" s="14"/>
      <c r="G9582" s="15"/>
      <c r="H9582" s="15"/>
      <c r="I9582" s="14"/>
      <c r="P9582" s="14"/>
    </row>
    <row r="9583" ht="18.75" customHeight="1">
      <c r="A9583" s="14"/>
      <c r="B9583" s="12"/>
      <c r="C9583" s="12"/>
      <c r="D9583" s="12"/>
      <c r="E9583" s="12"/>
      <c r="F9583" s="14"/>
      <c r="G9583" s="15"/>
      <c r="H9583" s="15"/>
      <c r="I9583" s="14"/>
      <c r="P9583" s="14"/>
    </row>
    <row r="9584" ht="18.75" customHeight="1">
      <c r="A9584" s="14"/>
      <c r="B9584" s="12"/>
      <c r="C9584" s="12"/>
      <c r="D9584" s="12"/>
      <c r="E9584" s="12"/>
      <c r="F9584" s="14"/>
      <c r="G9584" s="15"/>
      <c r="H9584" s="15"/>
      <c r="I9584" s="14"/>
      <c r="P9584" s="14"/>
    </row>
    <row r="9585" ht="18.75" customHeight="1">
      <c r="A9585" s="14"/>
      <c r="B9585" s="12"/>
      <c r="C9585" s="12"/>
      <c r="D9585" s="12"/>
      <c r="E9585" s="12"/>
      <c r="F9585" s="14"/>
      <c r="G9585" s="15"/>
      <c r="H9585" s="15"/>
      <c r="I9585" s="14"/>
      <c r="P9585" s="14"/>
    </row>
    <row r="9586" ht="18.75" customHeight="1">
      <c r="A9586" s="14"/>
      <c r="B9586" s="12"/>
      <c r="C9586" s="12"/>
      <c r="D9586" s="12"/>
      <c r="E9586" s="12"/>
      <c r="F9586" s="14"/>
      <c r="G9586" s="15"/>
      <c r="H9586" s="15"/>
      <c r="I9586" s="14"/>
      <c r="P9586" s="14"/>
    </row>
    <row r="9587" ht="18.75" customHeight="1">
      <c r="A9587" s="14"/>
      <c r="B9587" s="12"/>
      <c r="C9587" s="12"/>
      <c r="D9587" s="12"/>
      <c r="E9587" s="12"/>
      <c r="F9587" s="14"/>
      <c r="G9587" s="15"/>
      <c r="H9587" s="15"/>
      <c r="I9587" s="14"/>
      <c r="P9587" s="14"/>
    </row>
    <row r="9588" ht="18.75" customHeight="1">
      <c r="A9588" s="14"/>
      <c r="B9588" s="12"/>
      <c r="C9588" s="12"/>
      <c r="D9588" s="12"/>
      <c r="E9588" s="12"/>
      <c r="F9588" s="14"/>
      <c r="G9588" s="15"/>
      <c r="H9588" s="15"/>
      <c r="I9588" s="14"/>
      <c r="P9588" s="14"/>
    </row>
    <row r="9589" ht="18.75" customHeight="1">
      <c r="A9589" s="14"/>
      <c r="B9589" s="12"/>
      <c r="C9589" s="12"/>
      <c r="D9589" s="12"/>
      <c r="E9589" s="12"/>
      <c r="F9589" s="14"/>
      <c r="G9589" s="15"/>
      <c r="H9589" s="15"/>
      <c r="I9589" s="14"/>
      <c r="P9589" s="14"/>
    </row>
    <row r="9590" ht="18.75" customHeight="1">
      <c r="A9590" s="14"/>
      <c r="B9590" s="12"/>
      <c r="C9590" s="12"/>
      <c r="D9590" s="12"/>
      <c r="E9590" s="12"/>
      <c r="F9590" s="14"/>
      <c r="G9590" s="15"/>
      <c r="H9590" s="15"/>
      <c r="I9590" s="14"/>
      <c r="P9590" s="14"/>
    </row>
    <row r="9591" ht="18.75" customHeight="1">
      <c r="A9591" s="14"/>
      <c r="B9591" s="12"/>
      <c r="C9591" s="12"/>
      <c r="D9591" s="12"/>
      <c r="E9591" s="12"/>
      <c r="F9591" s="14"/>
      <c r="G9591" s="15"/>
      <c r="H9591" s="15"/>
      <c r="I9591" s="14"/>
      <c r="P9591" s="14"/>
    </row>
    <row r="9592" ht="18.75" customHeight="1">
      <c r="A9592" s="14"/>
      <c r="B9592" s="12"/>
      <c r="C9592" s="12"/>
      <c r="D9592" s="12"/>
      <c r="E9592" s="12"/>
      <c r="F9592" s="14"/>
      <c r="G9592" s="15"/>
      <c r="H9592" s="15"/>
      <c r="I9592" s="14"/>
      <c r="P9592" s="14"/>
    </row>
    <row r="9593" ht="18.75" customHeight="1">
      <c r="A9593" s="14"/>
      <c r="B9593" s="12"/>
      <c r="C9593" s="12"/>
      <c r="D9593" s="12"/>
      <c r="E9593" s="12"/>
      <c r="F9593" s="14"/>
      <c r="G9593" s="15"/>
      <c r="H9593" s="15"/>
      <c r="I9593" s="14"/>
      <c r="P9593" s="14"/>
    </row>
    <row r="9594" ht="18.75" customHeight="1">
      <c r="A9594" s="14"/>
      <c r="B9594" s="12"/>
      <c r="C9594" s="12"/>
      <c r="D9594" s="12"/>
      <c r="E9594" s="12"/>
      <c r="F9594" s="14"/>
      <c r="G9594" s="15"/>
      <c r="H9594" s="15"/>
      <c r="I9594" s="14"/>
      <c r="P9594" s="14"/>
    </row>
    <row r="9595" ht="18.75" customHeight="1">
      <c r="A9595" s="14"/>
      <c r="B9595" s="12"/>
      <c r="C9595" s="12"/>
      <c r="D9595" s="12"/>
      <c r="E9595" s="12"/>
      <c r="F9595" s="14"/>
      <c r="G9595" s="15"/>
      <c r="H9595" s="15"/>
      <c r="I9595" s="14"/>
      <c r="P9595" s="14"/>
    </row>
    <row r="9596" ht="18.75" customHeight="1">
      <c r="A9596" s="14"/>
      <c r="B9596" s="12"/>
      <c r="C9596" s="12"/>
      <c r="D9596" s="12"/>
      <c r="E9596" s="12"/>
      <c r="F9596" s="14"/>
      <c r="G9596" s="15"/>
      <c r="H9596" s="15"/>
      <c r="I9596" s="14"/>
      <c r="P9596" s="14"/>
    </row>
    <row r="9597" ht="18.75" customHeight="1">
      <c r="A9597" s="14"/>
      <c r="B9597" s="12"/>
      <c r="C9597" s="12"/>
      <c r="D9597" s="12"/>
      <c r="E9597" s="12"/>
      <c r="F9597" s="14"/>
      <c r="G9597" s="15"/>
      <c r="H9597" s="15"/>
      <c r="I9597" s="14"/>
      <c r="P9597" s="14"/>
    </row>
    <row r="9598" ht="18.75" customHeight="1">
      <c r="A9598" s="14"/>
      <c r="B9598" s="12"/>
      <c r="C9598" s="12"/>
      <c r="D9598" s="12"/>
      <c r="E9598" s="12"/>
      <c r="F9598" s="14"/>
      <c r="G9598" s="15"/>
      <c r="H9598" s="15"/>
      <c r="I9598" s="14"/>
      <c r="P9598" s="14"/>
    </row>
    <row r="9599" ht="18.75" customHeight="1">
      <c r="A9599" s="14"/>
      <c r="B9599" s="12"/>
      <c r="C9599" s="12"/>
      <c r="D9599" s="12"/>
      <c r="E9599" s="12"/>
      <c r="F9599" s="14"/>
      <c r="G9599" s="15"/>
      <c r="H9599" s="15"/>
      <c r="I9599" s="14"/>
      <c r="P9599" s="14"/>
    </row>
    <row r="9600" ht="18.75" customHeight="1">
      <c r="A9600" s="14"/>
      <c r="B9600" s="12"/>
      <c r="C9600" s="12"/>
      <c r="D9600" s="12"/>
      <c r="E9600" s="12"/>
      <c r="F9600" s="14"/>
      <c r="G9600" s="15"/>
      <c r="H9600" s="15"/>
      <c r="I9600" s="14"/>
      <c r="P9600" s="14"/>
    </row>
    <row r="9601" ht="18.75" customHeight="1">
      <c r="A9601" s="14"/>
      <c r="B9601" s="12"/>
      <c r="C9601" s="12"/>
      <c r="D9601" s="12"/>
      <c r="E9601" s="12"/>
      <c r="F9601" s="14"/>
      <c r="G9601" s="15"/>
      <c r="H9601" s="15"/>
      <c r="I9601" s="14"/>
      <c r="P9601" s="14"/>
    </row>
    <row r="9602" ht="18.75" customHeight="1">
      <c r="A9602" s="14"/>
      <c r="B9602" s="12"/>
      <c r="C9602" s="12"/>
      <c r="D9602" s="12"/>
      <c r="E9602" s="12"/>
      <c r="F9602" s="14"/>
      <c r="G9602" s="15"/>
      <c r="H9602" s="15"/>
      <c r="I9602" s="14"/>
      <c r="P9602" s="14"/>
    </row>
    <row r="9603" ht="18.75" customHeight="1">
      <c r="A9603" s="14"/>
      <c r="B9603" s="12"/>
      <c r="C9603" s="12"/>
      <c r="D9603" s="12"/>
      <c r="E9603" s="12"/>
      <c r="F9603" s="14"/>
      <c r="G9603" s="15"/>
      <c r="H9603" s="15"/>
      <c r="I9603" s="14"/>
      <c r="P9603" s="14"/>
    </row>
    <row r="9604" ht="18.75" customHeight="1">
      <c r="A9604" s="14"/>
      <c r="B9604" s="12"/>
      <c r="C9604" s="12"/>
      <c r="D9604" s="12"/>
      <c r="E9604" s="12"/>
      <c r="F9604" s="14"/>
      <c r="G9604" s="15"/>
      <c r="H9604" s="15"/>
      <c r="I9604" s="14"/>
      <c r="P9604" s="14"/>
    </row>
    <row r="9605" ht="18.75" customHeight="1">
      <c r="A9605" s="14"/>
      <c r="B9605" s="12"/>
      <c r="C9605" s="12"/>
      <c r="D9605" s="12"/>
      <c r="E9605" s="12"/>
      <c r="F9605" s="14"/>
      <c r="G9605" s="15"/>
      <c r="H9605" s="15"/>
      <c r="I9605" s="14"/>
      <c r="P9605" s="14"/>
    </row>
    <row r="9606" ht="18.75" customHeight="1">
      <c r="A9606" s="14"/>
      <c r="B9606" s="12"/>
      <c r="C9606" s="12"/>
      <c r="D9606" s="12"/>
      <c r="E9606" s="12"/>
      <c r="F9606" s="14"/>
      <c r="G9606" s="15"/>
      <c r="H9606" s="15"/>
      <c r="I9606" s="14"/>
      <c r="P9606" s="14"/>
    </row>
    <row r="9607" ht="18.75" customHeight="1">
      <c r="A9607" s="14"/>
      <c r="B9607" s="12"/>
      <c r="C9607" s="12"/>
      <c r="D9607" s="12"/>
      <c r="E9607" s="12"/>
      <c r="F9607" s="14"/>
      <c r="G9607" s="15"/>
      <c r="H9607" s="15"/>
      <c r="I9607" s="14"/>
      <c r="P9607" s="14"/>
    </row>
    <row r="9608" ht="18.75" customHeight="1">
      <c r="A9608" s="14"/>
      <c r="B9608" s="12"/>
      <c r="C9608" s="12"/>
      <c r="D9608" s="12"/>
      <c r="E9608" s="12"/>
      <c r="F9608" s="14"/>
      <c r="G9608" s="15"/>
      <c r="H9608" s="15"/>
      <c r="I9608" s="14"/>
      <c r="P9608" s="14"/>
    </row>
    <row r="9609" ht="18.75" customHeight="1">
      <c r="A9609" s="14"/>
      <c r="B9609" s="12"/>
      <c r="C9609" s="12"/>
      <c r="D9609" s="12"/>
      <c r="E9609" s="12"/>
      <c r="F9609" s="14"/>
      <c r="G9609" s="15"/>
      <c r="H9609" s="15"/>
      <c r="I9609" s="14"/>
      <c r="P9609" s="14"/>
    </row>
    <row r="9610" ht="18.75" customHeight="1">
      <c r="A9610" s="14"/>
      <c r="B9610" s="12"/>
      <c r="C9610" s="12"/>
      <c r="D9610" s="12"/>
      <c r="E9610" s="12"/>
      <c r="F9610" s="14"/>
      <c r="G9610" s="15"/>
      <c r="H9610" s="15"/>
      <c r="I9610" s="14"/>
      <c r="P9610" s="14"/>
    </row>
    <row r="9611" ht="18.75" customHeight="1">
      <c r="A9611" s="14"/>
      <c r="B9611" s="12"/>
      <c r="C9611" s="12"/>
      <c r="D9611" s="12"/>
      <c r="E9611" s="12"/>
      <c r="F9611" s="14"/>
      <c r="G9611" s="15"/>
      <c r="H9611" s="15"/>
      <c r="I9611" s="14"/>
      <c r="P9611" s="14"/>
    </row>
    <row r="9612" ht="18.75" customHeight="1">
      <c r="A9612" s="14"/>
      <c r="B9612" s="12"/>
      <c r="C9612" s="12"/>
      <c r="D9612" s="12"/>
      <c r="E9612" s="12"/>
      <c r="F9612" s="14"/>
      <c r="G9612" s="15"/>
      <c r="H9612" s="15"/>
      <c r="I9612" s="14"/>
      <c r="P9612" s="14"/>
    </row>
    <row r="9613" ht="18.75" customHeight="1">
      <c r="A9613" s="14"/>
      <c r="B9613" s="12"/>
      <c r="C9613" s="12"/>
      <c r="D9613" s="12"/>
      <c r="E9613" s="12"/>
      <c r="F9613" s="14"/>
      <c r="G9613" s="15"/>
      <c r="H9613" s="15"/>
      <c r="I9613" s="14"/>
      <c r="P9613" s="14"/>
    </row>
    <row r="9614" ht="18.75" customHeight="1">
      <c r="A9614" s="14"/>
      <c r="B9614" s="12"/>
      <c r="C9614" s="12"/>
      <c r="D9614" s="12"/>
      <c r="E9614" s="12"/>
      <c r="F9614" s="14"/>
      <c r="G9614" s="15"/>
      <c r="H9614" s="15"/>
      <c r="I9614" s="14"/>
      <c r="P9614" s="14"/>
    </row>
    <row r="9615" ht="18.75" customHeight="1">
      <c r="A9615" s="14"/>
      <c r="B9615" s="12"/>
      <c r="C9615" s="12"/>
      <c r="D9615" s="12"/>
      <c r="E9615" s="12"/>
      <c r="F9615" s="14"/>
      <c r="G9615" s="15"/>
      <c r="H9615" s="15"/>
      <c r="I9615" s="14"/>
      <c r="P9615" s="14"/>
    </row>
    <row r="9616" ht="18.75" customHeight="1">
      <c r="A9616" s="14"/>
      <c r="B9616" s="12"/>
      <c r="C9616" s="12"/>
      <c r="D9616" s="12"/>
      <c r="E9616" s="12"/>
      <c r="F9616" s="14"/>
      <c r="G9616" s="15"/>
      <c r="H9616" s="15"/>
      <c r="I9616" s="14"/>
      <c r="P9616" s="14"/>
    </row>
    <row r="9617" ht="18.75" customHeight="1">
      <c r="A9617" s="14"/>
      <c r="B9617" s="12"/>
      <c r="C9617" s="12"/>
      <c r="D9617" s="12"/>
      <c r="E9617" s="12"/>
      <c r="F9617" s="14"/>
      <c r="G9617" s="15"/>
      <c r="H9617" s="15"/>
      <c r="I9617" s="14"/>
      <c r="P9617" s="14"/>
    </row>
    <row r="9618" ht="18.75" customHeight="1">
      <c r="A9618" s="14"/>
      <c r="B9618" s="12"/>
      <c r="C9618" s="12"/>
      <c r="D9618" s="12"/>
      <c r="E9618" s="12"/>
      <c r="F9618" s="14"/>
      <c r="G9618" s="15"/>
      <c r="H9618" s="15"/>
      <c r="I9618" s="14"/>
      <c r="P9618" s="14"/>
    </row>
    <row r="9619" ht="18.75" customHeight="1">
      <c r="A9619" s="14"/>
      <c r="B9619" s="12"/>
      <c r="C9619" s="12"/>
      <c r="D9619" s="12"/>
      <c r="E9619" s="12"/>
      <c r="F9619" s="14"/>
      <c r="G9619" s="15"/>
      <c r="H9619" s="15"/>
      <c r="I9619" s="14"/>
      <c r="P9619" s="14"/>
    </row>
    <row r="9620" ht="18.75" customHeight="1">
      <c r="A9620" s="14"/>
      <c r="B9620" s="12"/>
      <c r="C9620" s="12"/>
      <c r="D9620" s="12"/>
      <c r="E9620" s="12"/>
      <c r="F9620" s="14"/>
      <c r="G9620" s="15"/>
      <c r="H9620" s="15"/>
      <c r="I9620" s="14"/>
      <c r="P9620" s="14"/>
    </row>
    <row r="9621" ht="18.75" customHeight="1">
      <c r="A9621" s="14"/>
      <c r="B9621" s="12"/>
      <c r="C9621" s="12"/>
      <c r="D9621" s="12"/>
      <c r="E9621" s="12"/>
      <c r="F9621" s="14"/>
      <c r="G9621" s="15"/>
      <c r="H9621" s="15"/>
      <c r="I9621" s="14"/>
      <c r="P9621" s="14"/>
    </row>
    <row r="9622" ht="18.75" customHeight="1">
      <c r="A9622" s="14"/>
      <c r="B9622" s="12"/>
      <c r="C9622" s="12"/>
      <c r="D9622" s="12"/>
      <c r="E9622" s="12"/>
      <c r="F9622" s="14"/>
      <c r="G9622" s="15"/>
      <c r="H9622" s="15"/>
      <c r="I9622" s="14"/>
      <c r="P9622" s="14"/>
    </row>
    <row r="9623" ht="18.75" customHeight="1">
      <c r="A9623" s="14"/>
      <c r="B9623" s="12"/>
      <c r="C9623" s="12"/>
      <c r="D9623" s="12"/>
      <c r="E9623" s="12"/>
      <c r="F9623" s="14"/>
      <c r="G9623" s="15"/>
      <c r="H9623" s="15"/>
      <c r="I9623" s="14"/>
      <c r="P9623" s="14"/>
    </row>
    <row r="9624" ht="18.75" customHeight="1">
      <c r="A9624" s="14"/>
      <c r="B9624" s="12"/>
      <c r="C9624" s="12"/>
      <c r="D9624" s="12"/>
      <c r="E9624" s="12"/>
      <c r="F9624" s="14"/>
      <c r="G9624" s="15"/>
      <c r="H9624" s="15"/>
      <c r="I9624" s="14"/>
      <c r="P9624" s="14"/>
    </row>
    <row r="9625" ht="18.75" customHeight="1">
      <c r="A9625" s="14"/>
      <c r="B9625" s="12"/>
      <c r="C9625" s="12"/>
      <c r="D9625" s="12"/>
      <c r="E9625" s="12"/>
      <c r="F9625" s="14"/>
      <c r="G9625" s="15"/>
      <c r="H9625" s="15"/>
      <c r="I9625" s="14"/>
      <c r="P9625" s="14"/>
    </row>
    <row r="9626" ht="18.75" customHeight="1">
      <c r="A9626" s="14"/>
      <c r="B9626" s="12"/>
      <c r="C9626" s="12"/>
      <c r="D9626" s="12"/>
      <c r="E9626" s="12"/>
      <c r="F9626" s="14"/>
      <c r="G9626" s="15"/>
      <c r="H9626" s="15"/>
      <c r="I9626" s="14"/>
      <c r="P9626" s="14"/>
    </row>
    <row r="9627" ht="18.75" customHeight="1">
      <c r="A9627" s="14"/>
      <c r="B9627" s="12"/>
      <c r="C9627" s="12"/>
      <c r="D9627" s="12"/>
      <c r="E9627" s="12"/>
      <c r="F9627" s="14"/>
      <c r="G9627" s="15"/>
      <c r="H9627" s="15"/>
      <c r="I9627" s="14"/>
      <c r="P9627" s="14"/>
    </row>
    <row r="9628" ht="18.75" customHeight="1">
      <c r="A9628" s="14"/>
      <c r="B9628" s="12"/>
      <c r="C9628" s="12"/>
      <c r="D9628" s="12"/>
      <c r="E9628" s="12"/>
      <c r="F9628" s="14"/>
      <c r="G9628" s="15"/>
      <c r="H9628" s="15"/>
      <c r="I9628" s="14"/>
      <c r="P9628" s="14"/>
    </row>
    <row r="9629" ht="18.75" customHeight="1">
      <c r="A9629" s="14"/>
      <c r="B9629" s="12"/>
      <c r="C9629" s="12"/>
      <c r="D9629" s="12"/>
      <c r="E9629" s="12"/>
      <c r="F9629" s="14"/>
      <c r="G9629" s="15"/>
      <c r="H9629" s="15"/>
      <c r="I9629" s="14"/>
      <c r="P9629" s="14"/>
    </row>
    <row r="9630" ht="18.75" customHeight="1">
      <c r="A9630" s="14"/>
      <c r="B9630" s="12"/>
      <c r="C9630" s="12"/>
      <c r="D9630" s="12"/>
      <c r="E9630" s="12"/>
      <c r="F9630" s="14"/>
      <c r="G9630" s="15"/>
      <c r="H9630" s="15"/>
      <c r="I9630" s="14"/>
      <c r="P9630" s="14"/>
    </row>
    <row r="9631" ht="18.75" customHeight="1">
      <c r="A9631" s="14"/>
      <c r="B9631" s="12"/>
      <c r="C9631" s="12"/>
      <c r="D9631" s="12"/>
      <c r="E9631" s="12"/>
      <c r="F9631" s="14"/>
      <c r="G9631" s="15"/>
      <c r="H9631" s="15"/>
      <c r="I9631" s="14"/>
      <c r="P9631" s="14"/>
    </row>
    <row r="9632" ht="18.75" customHeight="1">
      <c r="A9632" s="14"/>
      <c r="B9632" s="12"/>
      <c r="C9632" s="12"/>
      <c r="D9632" s="12"/>
      <c r="E9632" s="12"/>
      <c r="F9632" s="14"/>
      <c r="G9632" s="15"/>
      <c r="H9632" s="15"/>
      <c r="I9632" s="14"/>
      <c r="P9632" s="14"/>
    </row>
    <row r="9633" ht="18.75" customHeight="1">
      <c r="A9633" s="14"/>
      <c r="B9633" s="12"/>
      <c r="C9633" s="12"/>
      <c r="D9633" s="12"/>
      <c r="E9633" s="12"/>
      <c r="F9633" s="14"/>
      <c r="G9633" s="15"/>
      <c r="H9633" s="15"/>
      <c r="I9633" s="14"/>
      <c r="P9633" s="14"/>
    </row>
    <row r="9634" ht="18.75" customHeight="1">
      <c r="A9634" s="14"/>
      <c r="B9634" s="12"/>
      <c r="C9634" s="12"/>
      <c r="D9634" s="12"/>
      <c r="E9634" s="12"/>
      <c r="F9634" s="14"/>
      <c r="G9634" s="15"/>
      <c r="H9634" s="15"/>
      <c r="I9634" s="14"/>
      <c r="P9634" s="14"/>
    </row>
    <row r="9635" ht="18.75" customHeight="1">
      <c r="A9635" s="14"/>
      <c r="B9635" s="12"/>
      <c r="C9635" s="12"/>
      <c r="D9635" s="12"/>
      <c r="E9635" s="12"/>
      <c r="F9635" s="14"/>
      <c r="G9635" s="15"/>
      <c r="H9635" s="15"/>
      <c r="I9635" s="14"/>
      <c r="P9635" s="14"/>
    </row>
    <row r="9636" ht="18.75" customHeight="1">
      <c r="A9636" s="14"/>
      <c r="B9636" s="12"/>
      <c r="C9636" s="12"/>
      <c r="D9636" s="12"/>
      <c r="E9636" s="12"/>
      <c r="F9636" s="14"/>
      <c r="G9636" s="15"/>
      <c r="H9636" s="15"/>
      <c r="I9636" s="14"/>
      <c r="P9636" s="14"/>
    </row>
    <row r="9637" ht="18.75" customHeight="1">
      <c r="A9637" s="14"/>
      <c r="B9637" s="12"/>
      <c r="C9637" s="12"/>
      <c r="D9637" s="12"/>
      <c r="E9637" s="12"/>
      <c r="F9637" s="14"/>
      <c r="G9637" s="15"/>
      <c r="H9637" s="15"/>
      <c r="I9637" s="14"/>
      <c r="P9637" s="14"/>
    </row>
    <row r="9638" ht="18.75" customHeight="1">
      <c r="A9638" s="14"/>
      <c r="B9638" s="12"/>
      <c r="C9638" s="12"/>
      <c r="D9638" s="12"/>
      <c r="E9638" s="12"/>
      <c r="F9638" s="14"/>
      <c r="G9638" s="15"/>
      <c r="H9638" s="15"/>
      <c r="I9638" s="14"/>
      <c r="P9638" s="14"/>
    </row>
    <row r="9639" ht="18.75" customHeight="1">
      <c r="A9639" s="14"/>
      <c r="B9639" s="12"/>
      <c r="C9639" s="12"/>
      <c r="D9639" s="12"/>
      <c r="E9639" s="12"/>
      <c r="F9639" s="14"/>
      <c r="G9639" s="15"/>
      <c r="H9639" s="15"/>
      <c r="I9639" s="14"/>
      <c r="P9639" s="14"/>
    </row>
    <row r="9640" ht="18.75" customHeight="1">
      <c r="A9640" s="14"/>
      <c r="B9640" s="12"/>
      <c r="C9640" s="12"/>
      <c r="D9640" s="12"/>
      <c r="E9640" s="12"/>
      <c r="F9640" s="14"/>
      <c r="G9640" s="15"/>
      <c r="H9640" s="15"/>
      <c r="I9640" s="14"/>
      <c r="P9640" s="14"/>
    </row>
    <row r="9641" ht="18.75" customHeight="1">
      <c r="A9641" s="14"/>
      <c r="B9641" s="12"/>
      <c r="C9641" s="12"/>
      <c r="D9641" s="12"/>
      <c r="E9641" s="12"/>
      <c r="F9641" s="14"/>
      <c r="G9641" s="15"/>
      <c r="H9641" s="15"/>
      <c r="I9641" s="14"/>
      <c r="P9641" s="14"/>
    </row>
    <row r="9642" ht="18.75" customHeight="1">
      <c r="A9642" s="14"/>
      <c r="B9642" s="12"/>
      <c r="C9642" s="12"/>
      <c r="D9642" s="12"/>
      <c r="E9642" s="12"/>
      <c r="F9642" s="14"/>
      <c r="G9642" s="15"/>
      <c r="H9642" s="15"/>
      <c r="I9642" s="14"/>
      <c r="P9642" s="14"/>
    </row>
    <row r="9643" ht="18.75" customHeight="1">
      <c r="A9643" s="14"/>
      <c r="B9643" s="12"/>
      <c r="C9643" s="12"/>
      <c r="D9643" s="12"/>
      <c r="E9643" s="12"/>
      <c r="F9643" s="14"/>
      <c r="G9643" s="15"/>
      <c r="H9643" s="15"/>
      <c r="I9643" s="14"/>
      <c r="P9643" s="14"/>
    </row>
    <row r="9644" ht="18.75" customHeight="1">
      <c r="A9644" s="14"/>
      <c r="B9644" s="12"/>
      <c r="C9644" s="12"/>
      <c r="D9644" s="12"/>
      <c r="E9644" s="12"/>
      <c r="F9644" s="14"/>
      <c r="G9644" s="15"/>
      <c r="H9644" s="15"/>
      <c r="I9644" s="14"/>
      <c r="P9644" s="14"/>
    </row>
    <row r="9645" ht="18.75" customHeight="1">
      <c r="A9645" s="14"/>
      <c r="B9645" s="12"/>
      <c r="C9645" s="12"/>
      <c r="D9645" s="12"/>
      <c r="E9645" s="12"/>
      <c r="F9645" s="14"/>
      <c r="G9645" s="15"/>
      <c r="H9645" s="15"/>
      <c r="I9645" s="14"/>
      <c r="P9645" s="14"/>
    </row>
    <row r="9646" ht="18.75" customHeight="1">
      <c r="A9646" s="14"/>
      <c r="B9646" s="12"/>
      <c r="C9646" s="12"/>
      <c r="D9646" s="12"/>
      <c r="E9646" s="12"/>
      <c r="F9646" s="14"/>
      <c r="G9646" s="15"/>
      <c r="H9646" s="15"/>
      <c r="I9646" s="14"/>
      <c r="P9646" s="14"/>
    </row>
    <row r="9647" ht="18.75" customHeight="1">
      <c r="A9647" s="14"/>
      <c r="B9647" s="12"/>
      <c r="C9647" s="12"/>
      <c r="D9647" s="12"/>
      <c r="E9647" s="12"/>
      <c r="F9647" s="14"/>
      <c r="G9647" s="15"/>
      <c r="H9647" s="15"/>
      <c r="I9647" s="14"/>
      <c r="P9647" s="14"/>
    </row>
    <row r="9648" ht="18.75" customHeight="1">
      <c r="A9648" s="14"/>
      <c r="B9648" s="12"/>
      <c r="C9648" s="12"/>
      <c r="D9648" s="12"/>
      <c r="E9648" s="12"/>
      <c r="F9648" s="14"/>
      <c r="G9648" s="15"/>
      <c r="H9648" s="15"/>
      <c r="I9648" s="14"/>
      <c r="P9648" s="14"/>
    </row>
    <row r="9649" ht="18.75" customHeight="1">
      <c r="A9649" s="14"/>
      <c r="B9649" s="12"/>
      <c r="C9649" s="12"/>
      <c r="D9649" s="12"/>
      <c r="E9649" s="12"/>
      <c r="F9649" s="14"/>
      <c r="G9649" s="15"/>
      <c r="H9649" s="15"/>
      <c r="I9649" s="14"/>
      <c r="P9649" s="14"/>
    </row>
    <row r="9650" ht="18.75" customHeight="1">
      <c r="A9650" s="14"/>
      <c r="B9650" s="12"/>
      <c r="C9650" s="12"/>
      <c r="D9650" s="12"/>
      <c r="E9650" s="12"/>
      <c r="F9650" s="14"/>
      <c r="G9650" s="15"/>
      <c r="H9650" s="15"/>
      <c r="I9650" s="14"/>
      <c r="P9650" s="14"/>
    </row>
    <row r="9651" ht="18.75" customHeight="1">
      <c r="A9651" s="14"/>
      <c r="B9651" s="12"/>
      <c r="C9651" s="12"/>
      <c r="D9651" s="12"/>
      <c r="E9651" s="12"/>
      <c r="F9651" s="14"/>
      <c r="G9651" s="15"/>
      <c r="H9651" s="15"/>
      <c r="I9651" s="14"/>
      <c r="P9651" s="14"/>
    </row>
    <row r="9652" ht="18.75" customHeight="1">
      <c r="A9652" s="14"/>
      <c r="B9652" s="12"/>
      <c r="C9652" s="12"/>
      <c r="D9652" s="12"/>
      <c r="E9652" s="12"/>
      <c r="F9652" s="14"/>
      <c r="G9652" s="15"/>
      <c r="H9652" s="15"/>
      <c r="I9652" s="14"/>
      <c r="P9652" s="14"/>
    </row>
    <row r="9653" ht="18.75" customHeight="1">
      <c r="A9653" s="14"/>
      <c r="B9653" s="12"/>
      <c r="C9653" s="12"/>
      <c r="D9653" s="12"/>
      <c r="E9653" s="12"/>
      <c r="F9653" s="14"/>
      <c r="G9653" s="15"/>
      <c r="H9653" s="15"/>
      <c r="I9653" s="14"/>
      <c r="P9653" s="14"/>
    </row>
    <row r="9654" ht="18.75" customHeight="1">
      <c r="A9654" s="14"/>
      <c r="B9654" s="12"/>
      <c r="C9654" s="12"/>
      <c r="D9654" s="12"/>
      <c r="E9654" s="12"/>
      <c r="F9654" s="14"/>
      <c r="G9654" s="15"/>
      <c r="H9654" s="15"/>
      <c r="I9654" s="14"/>
      <c r="P9654" s="14"/>
    </row>
    <row r="9655" ht="18.75" customHeight="1">
      <c r="A9655" s="14"/>
      <c r="B9655" s="12"/>
      <c r="C9655" s="12"/>
      <c r="D9655" s="12"/>
      <c r="E9655" s="12"/>
      <c r="F9655" s="14"/>
      <c r="G9655" s="15"/>
      <c r="H9655" s="15"/>
      <c r="I9655" s="14"/>
      <c r="P9655" s="14"/>
    </row>
    <row r="9656" ht="18.75" customHeight="1">
      <c r="A9656" s="14"/>
      <c r="B9656" s="12"/>
      <c r="C9656" s="12"/>
      <c r="D9656" s="12"/>
      <c r="E9656" s="12"/>
      <c r="F9656" s="14"/>
      <c r="G9656" s="15"/>
      <c r="H9656" s="15"/>
      <c r="I9656" s="14"/>
      <c r="P9656" s="14"/>
    </row>
    <row r="9657" ht="18.75" customHeight="1">
      <c r="A9657" s="14"/>
      <c r="B9657" s="12"/>
      <c r="C9657" s="12"/>
      <c r="D9657" s="12"/>
      <c r="E9657" s="12"/>
      <c r="F9657" s="14"/>
      <c r="G9657" s="15"/>
      <c r="H9657" s="15"/>
      <c r="I9657" s="14"/>
      <c r="P9657" s="14"/>
    </row>
    <row r="9658" ht="18.75" customHeight="1">
      <c r="A9658" s="14"/>
      <c r="B9658" s="12"/>
      <c r="C9658" s="12"/>
      <c r="D9658" s="12"/>
      <c r="E9658" s="12"/>
      <c r="F9658" s="14"/>
      <c r="G9658" s="15"/>
      <c r="H9658" s="15"/>
      <c r="I9658" s="14"/>
      <c r="P9658" s="14"/>
    </row>
    <row r="9659" ht="18.75" customHeight="1">
      <c r="A9659" s="14"/>
      <c r="B9659" s="12"/>
      <c r="C9659" s="12"/>
      <c r="D9659" s="12"/>
      <c r="E9659" s="12"/>
      <c r="F9659" s="14"/>
      <c r="G9659" s="15"/>
      <c r="H9659" s="15"/>
      <c r="I9659" s="14"/>
      <c r="P9659" s="14"/>
    </row>
    <row r="9660" ht="18.75" customHeight="1">
      <c r="A9660" s="14"/>
      <c r="B9660" s="12"/>
      <c r="C9660" s="12"/>
      <c r="D9660" s="12"/>
      <c r="E9660" s="12"/>
      <c r="F9660" s="14"/>
      <c r="G9660" s="15"/>
      <c r="H9660" s="15"/>
      <c r="I9660" s="14"/>
      <c r="P9660" s="14"/>
    </row>
    <row r="9661" ht="18.75" customHeight="1">
      <c r="A9661" s="14"/>
      <c r="B9661" s="12"/>
      <c r="C9661" s="12"/>
      <c r="D9661" s="12"/>
      <c r="E9661" s="12"/>
      <c r="F9661" s="14"/>
      <c r="G9661" s="15"/>
      <c r="H9661" s="15"/>
      <c r="I9661" s="14"/>
      <c r="P9661" s="14"/>
    </row>
    <row r="9662" ht="18.75" customHeight="1">
      <c r="A9662" s="14"/>
      <c r="B9662" s="12"/>
      <c r="C9662" s="12"/>
      <c r="D9662" s="12"/>
      <c r="E9662" s="12"/>
      <c r="F9662" s="14"/>
      <c r="G9662" s="15"/>
      <c r="H9662" s="15"/>
      <c r="I9662" s="14"/>
      <c r="P9662" s="14"/>
    </row>
    <row r="9663" ht="18.75" customHeight="1">
      <c r="A9663" s="14"/>
      <c r="B9663" s="12"/>
      <c r="C9663" s="12"/>
      <c r="D9663" s="12"/>
      <c r="E9663" s="12"/>
      <c r="F9663" s="14"/>
      <c r="G9663" s="15"/>
      <c r="H9663" s="15"/>
      <c r="I9663" s="14"/>
      <c r="P9663" s="14"/>
    </row>
    <row r="9664" ht="18.75" customHeight="1">
      <c r="A9664" s="14"/>
      <c r="B9664" s="12"/>
      <c r="C9664" s="12"/>
      <c r="D9664" s="12"/>
      <c r="E9664" s="12"/>
      <c r="F9664" s="14"/>
      <c r="G9664" s="15"/>
      <c r="H9664" s="15"/>
      <c r="I9664" s="14"/>
      <c r="P9664" s="14"/>
    </row>
    <row r="9665" ht="18.75" customHeight="1">
      <c r="A9665" s="14"/>
      <c r="B9665" s="12"/>
      <c r="C9665" s="12"/>
      <c r="D9665" s="12"/>
      <c r="E9665" s="12"/>
      <c r="F9665" s="14"/>
      <c r="G9665" s="15"/>
      <c r="H9665" s="15"/>
      <c r="I9665" s="14"/>
      <c r="P9665" s="14"/>
    </row>
    <row r="9666" ht="18.75" customHeight="1">
      <c r="A9666" s="14"/>
      <c r="B9666" s="12"/>
      <c r="C9666" s="12"/>
      <c r="D9666" s="12"/>
      <c r="E9666" s="12"/>
      <c r="F9666" s="14"/>
      <c r="G9666" s="15"/>
      <c r="H9666" s="15"/>
      <c r="I9666" s="14"/>
      <c r="P9666" s="14"/>
    </row>
    <row r="9667" ht="18.75" customHeight="1">
      <c r="A9667" s="14"/>
      <c r="B9667" s="12"/>
      <c r="C9667" s="12"/>
      <c r="D9667" s="12"/>
      <c r="E9667" s="12"/>
      <c r="F9667" s="14"/>
      <c r="G9667" s="15"/>
      <c r="H9667" s="15"/>
      <c r="I9667" s="14"/>
      <c r="P9667" s="14"/>
    </row>
    <row r="9668" ht="18.75" customHeight="1">
      <c r="A9668" s="14"/>
      <c r="B9668" s="12"/>
      <c r="C9668" s="12"/>
      <c r="D9668" s="12"/>
      <c r="E9668" s="12"/>
      <c r="F9668" s="14"/>
      <c r="G9668" s="15"/>
      <c r="H9668" s="15"/>
      <c r="I9668" s="14"/>
      <c r="P9668" s="14"/>
    </row>
    <row r="9669" ht="18.75" customHeight="1">
      <c r="A9669" s="14"/>
      <c r="B9669" s="12"/>
      <c r="C9669" s="12"/>
      <c r="D9669" s="12"/>
      <c r="E9669" s="12"/>
      <c r="F9669" s="14"/>
      <c r="G9669" s="15"/>
      <c r="H9669" s="15"/>
      <c r="I9669" s="14"/>
      <c r="P9669" s="14"/>
    </row>
    <row r="9670" ht="18.75" customHeight="1">
      <c r="A9670" s="14"/>
      <c r="B9670" s="12"/>
      <c r="C9670" s="12"/>
      <c r="D9670" s="12"/>
      <c r="E9670" s="12"/>
      <c r="F9670" s="14"/>
      <c r="G9670" s="15"/>
      <c r="H9670" s="15"/>
      <c r="I9670" s="14"/>
      <c r="P9670" s="14"/>
    </row>
    <row r="9671" ht="18.75" customHeight="1">
      <c r="A9671" s="14"/>
      <c r="B9671" s="12"/>
      <c r="C9671" s="12"/>
      <c r="D9671" s="12"/>
      <c r="E9671" s="12"/>
      <c r="F9671" s="14"/>
      <c r="G9671" s="15"/>
      <c r="H9671" s="15"/>
      <c r="I9671" s="14"/>
      <c r="P9671" s="14"/>
    </row>
    <row r="9672" ht="18.75" customHeight="1">
      <c r="A9672" s="14"/>
      <c r="B9672" s="12"/>
      <c r="C9672" s="12"/>
      <c r="D9672" s="12"/>
      <c r="E9672" s="12"/>
      <c r="F9672" s="14"/>
      <c r="G9672" s="15"/>
      <c r="H9672" s="15"/>
      <c r="I9672" s="14"/>
      <c r="P9672" s="14"/>
    </row>
    <row r="9673" ht="18.75" customHeight="1">
      <c r="A9673" s="14"/>
      <c r="B9673" s="12"/>
      <c r="C9673" s="12"/>
      <c r="D9673" s="12"/>
      <c r="E9673" s="12"/>
      <c r="F9673" s="14"/>
      <c r="G9673" s="15"/>
      <c r="H9673" s="15"/>
      <c r="I9673" s="14"/>
      <c r="P9673" s="14"/>
    </row>
    <row r="9674" ht="18.75" customHeight="1">
      <c r="A9674" s="14"/>
      <c r="B9674" s="12"/>
      <c r="C9674" s="12"/>
      <c r="D9674" s="12"/>
      <c r="E9674" s="12"/>
      <c r="F9674" s="14"/>
      <c r="G9674" s="15"/>
      <c r="H9674" s="15"/>
      <c r="I9674" s="14"/>
      <c r="P9674" s="14"/>
    </row>
    <row r="9675" ht="18.75" customHeight="1">
      <c r="A9675" s="14"/>
      <c r="B9675" s="12"/>
      <c r="C9675" s="12"/>
      <c r="D9675" s="12"/>
      <c r="E9675" s="12"/>
      <c r="F9675" s="14"/>
      <c r="G9675" s="15"/>
      <c r="H9675" s="15"/>
      <c r="I9675" s="14"/>
      <c r="P9675" s="14"/>
    </row>
    <row r="9676" ht="18.75" customHeight="1">
      <c r="A9676" s="14"/>
      <c r="B9676" s="12"/>
      <c r="C9676" s="12"/>
      <c r="D9676" s="12"/>
      <c r="E9676" s="12"/>
      <c r="F9676" s="14"/>
      <c r="G9676" s="15"/>
      <c r="H9676" s="15"/>
      <c r="I9676" s="14"/>
      <c r="P9676" s="14"/>
    </row>
    <row r="9677" ht="18.75" customHeight="1">
      <c r="A9677" s="14"/>
      <c r="B9677" s="12"/>
      <c r="C9677" s="12"/>
      <c r="D9677" s="12"/>
      <c r="E9677" s="12"/>
      <c r="F9677" s="14"/>
      <c r="G9677" s="15"/>
      <c r="H9677" s="15"/>
      <c r="I9677" s="14"/>
      <c r="P9677" s="14"/>
    </row>
    <row r="9678" ht="18.75" customHeight="1">
      <c r="A9678" s="14"/>
      <c r="B9678" s="12"/>
      <c r="C9678" s="12"/>
      <c r="D9678" s="12"/>
      <c r="E9678" s="12"/>
      <c r="F9678" s="14"/>
      <c r="G9678" s="15"/>
      <c r="H9678" s="15"/>
      <c r="I9678" s="14"/>
      <c r="P9678" s="14"/>
    </row>
    <row r="9679" ht="18.75" customHeight="1">
      <c r="A9679" s="14"/>
      <c r="B9679" s="12"/>
      <c r="C9679" s="12"/>
      <c r="D9679" s="12"/>
      <c r="E9679" s="12"/>
      <c r="F9679" s="14"/>
      <c r="G9679" s="15"/>
      <c r="H9679" s="15"/>
      <c r="I9679" s="14"/>
      <c r="P9679" s="14"/>
    </row>
    <row r="9680" ht="18.75" customHeight="1">
      <c r="A9680" s="14"/>
      <c r="B9680" s="12"/>
      <c r="C9680" s="12"/>
      <c r="D9680" s="12"/>
      <c r="E9680" s="12"/>
      <c r="F9680" s="14"/>
      <c r="G9680" s="15"/>
      <c r="H9680" s="15"/>
      <c r="I9680" s="14"/>
      <c r="P9680" s="14"/>
    </row>
    <row r="9681" ht="18.75" customHeight="1">
      <c r="A9681" s="14"/>
      <c r="B9681" s="12"/>
      <c r="C9681" s="12"/>
      <c r="D9681" s="12"/>
      <c r="E9681" s="12"/>
      <c r="F9681" s="14"/>
      <c r="G9681" s="15"/>
      <c r="H9681" s="15"/>
      <c r="I9681" s="14"/>
      <c r="P9681" s="14"/>
    </row>
    <row r="9682" ht="18.75" customHeight="1">
      <c r="A9682" s="14"/>
      <c r="B9682" s="12"/>
      <c r="C9682" s="12"/>
      <c r="D9682" s="12"/>
      <c r="E9682" s="12"/>
      <c r="F9682" s="14"/>
      <c r="G9682" s="15"/>
      <c r="H9682" s="15"/>
      <c r="I9682" s="14"/>
      <c r="P9682" s="14"/>
    </row>
    <row r="9683" ht="18.75" customHeight="1">
      <c r="A9683" s="14"/>
      <c r="B9683" s="12"/>
      <c r="C9683" s="12"/>
      <c r="D9683" s="12"/>
      <c r="E9683" s="12"/>
      <c r="F9683" s="14"/>
      <c r="G9683" s="15"/>
      <c r="H9683" s="15"/>
      <c r="I9683" s="14"/>
      <c r="P9683" s="14"/>
    </row>
    <row r="9684" ht="18.75" customHeight="1">
      <c r="A9684" s="14"/>
      <c r="B9684" s="12"/>
      <c r="C9684" s="12"/>
      <c r="D9684" s="12"/>
      <c r="E9684" s="12"/>
      <c r="F9684" s="14"/>
      <c r="G9684" s="15"/>
      <c r="H9684" s="15"/>
      <c r="I9684" s="14"/>
      <c r="P9684" s="14"/>
    </row>
    <row r="9685" ht="18.75" customHeight="1">
      <c r="A9685" s="14"/>
      <c r="B9685" s="12"/>
      <c r="C9685" s="12"/>
      <c r="D9685" s="12"/>
      <c r="E9685" s="12"/>
      <c r="F9685" s="14"/>
      <c r="G9685" s="15"/>
      <c r="H9685" s="15"/>
      <c r="I9685" s="14"/>
      <c r="P9685" s="14"/>
    </row>
    <row r="9686" ht="18.75" customHeight="1">
      <c r="A9686" s="14"/>
      <c r="B9686" s="12"/>
      <c r="C9686" s="12"/>
      <c r="D9686" s="12"/>
      <c r="E9686" s="12"/>
      <c r="F9686" s="14"/>
      <c r="G9686" s="15"/>
      <c r="H9686" s="15"/>
      <c r="I9686" s="14"/>
      <c r="P9686" s="14"/>
    </row>
    <row r="9687" ht="18.75" customHeight="1">
      <c r="A9687" s="14"/>
      <c r="B9687" s="12"/>
      <c r="C9687" s="12"/>
      <c r="D9687" s="12"/>
      <c r="E9687" s="12"/>
      <c r="F9687" s="14"/>
      <c r="G9687" s="15"/>
      <c r="H9687" s="15"/>
      <c r="I9687" s="14"/>
      <c r="P9687" s="14"/>
    </row>
    <row r="9688" ht="18.75" customHeight="1">
      <c r="A9688" s="14"/>
      <c r="B9688" s="12"/>
      <c r="C9688" s="12"/>
      <c r="D9688" s="12"/>
      <c r="E9688" s="12"/>
      <c r="F9688" s="14"/>
      <c r="G9688" s="15"/>
      <c r="H9688" s="15"/>
      <c r="I9688" s="14"/>
      <c r="P9688" s="14"/>
    </row>
    <row r="9689" ht="18.75" customHeight="1">
      <c r="A9689" s="14"/>
      <c r="B9689" s="12"/>
      <c r="C9689" s="12"/>
      <c r="D9689" s="12"/>
      <c r="E9689" s="12"/>
      <c r="F9689" s="14"/>
      <c r="G9689" s="15"/>
      <c r="H9689" s="15"/>
      <c r="I9689" s="14"/>
      <c r="P9689" s="14"/>
    </row>
    <row r="9690" ht="18.75" customHeight="1">
      <c r="A9690" s="14"/>
      <c r="B9690" s="12"/>
      <c r="C9690" s="12"/>
      <c r="D9690" s="12"/>
      <c r="E9690" s="12"/>
      <c r="F9690" s="14"/>
      <c r="G9690" s="15"/>
      <c r="H9690" s="15"/>
      <c r="I9690" s="14"/>
      <c r="P9690" s="14"/>
    </row>
    <row r="9691" ht="18.75" customHeight="1">
      <c r="A9691" s="14"/>
      <c r="B9691" s="12"/>
      <c r="C9691" s="12"/>
      <c r="D9691" s="12"/>
      <c r="E9691" s="12"/>
      <c r="F9691" s="14"/>
      <c r="G9691" s="15"/>
      <c r="H9691" s="15"/>
      <c r="I9691" s="14"/>
      <c r="P9691" s="14"/>
    </row>
    <row r="9692" ht="18.75" customHeight="1">
      <c r="A9692" s="14"/>
      <c r="B9692" s="12"/>
      <c r="C9692" s="12"/>
      <c r="D9692" s="12"/>
      <c r="E9692" s="12"/>
      <c r="F9692" s="14"/>
      <c r="G9692" s="15"/>
      <c r="H9692" s="15"/>
      <c r="I9692" s="14"/>
      <c r="P9692" s="14"/>
    </row>
    <row r="9693" ht="18.75" customHeight="1">
      <c r="A9693" s="14"/>
      <c r="B9693" s="12"/>
      <c r="C9693" s="12"/>
      <c r="D9693" s="12"/>
      <c r="E9693" s="12"/>
      <c r="F9693" s="14"/>
      <c r="G9693" s="15"/>
      <c r="H9693" s="15"/>
      <c r="I9693" s="14"/>
      <c r="P9693" s="14"/>
    </row>
    <row r="9694" ht="18.75" customHeight="1">
      <c r="A9694" s="14"/>
      <c r="B9694" s="12"/>
      <c r="C9694" s="12"/>
      <c r="D9694" s="12"/>
      <c r="E9694" s="12"/>
      <c r="F9694" s="14"/>
      <c r="G9694" s="15"/>
      <c r="H9694" s="15"/>
      <c r="I9694" s="14"/>
      <c r="P9694" s="14"/>
    </row>
    <row r="9695" ht="18.75" customHeight="1">
      <c r="A9695" s="14"/>
      <c r="B9695" s="12"/>
      <c r="C9695" s="12"/>
      <c r="D9695" s="12"/>
      <c r="E9695" s="12"/>
      <c r="F9695" s="14"/>
      <c r="G9695" s="15"/>
      <c r="H9695" s="15"/>
      <c r="I9695" s="14"/>
      <c r="P9695" s="14"/>
    </row>
    <row r="9696" ht="18.75" customHeight="1">
      <c r="A9696" s="14"/>
      <c r="B9696" s="12"/>
      <c r="C9696" s="12"/>
      <c r="D9696" s="12"/>
      <c r="E9696" s="12"/>
      <c r="F9696" s="14"/>
      <c r="G9696" s="15"/>
      <c r="H9696" s="15"/>
      <c r="I9696" s="14"/>
      <c r="P9696" s="14"/>
    </row>
    <row r="9697" ht="18.75" customHeight="1">
      <c r="A9697" s="14"/>
      <c r="B9697" s="12"/>
      <c r="C9697" s="12"/>
      <c r="D9697" s="12"/>
      <c r="E9697" s="12"/>
      <c r="F9697" s="14"/>
      <c r="G9697" s="15"/>
      <c r="H9697" s="15"/>
      <c r="I9697" s="14"/>
      <c r="P9697" s="14"/>
    </row>
    <row r="9698" ht="18.75" customHeight="1">
      <c r="A9698" s="14"/>
      <c r="B9698" s="12"/>
      <c r="C9698" s="12"/>
      <c r="D9698" s="12"/>
      <c r="E9698" s="12"/>
      <c r="F9698" s="14"/>
      <c r="G9698" s="15"/>
      <c r="H9698" s="15"/>
      <c r="I9698" s="14"/>
      <c r="P9698" s="14"/>
    </row>
    <row r="9699" ht="18.75" customHeight="1">
      <c r="A9699" s="14"/>
      <c r="B9699" s="12"/>
      <c r="C9699" s="12"/>
      <c r="D9699" s="12"/>
      <c r="E9699" s="12"/>
      <c r="F9699" s="14"/>
      <c r="G9699" s="15"/>
      <c r="H9699" s="15"/>
      <c r="I9699" s="14"/>
      <c r="P9699" s="14"/>
    </row>
    <row r="9700" ht="18.75" customHeight="1">
      <c r="A9700" s="14"/>
      <c r="B9700" s="12"/>
      <c r="C9700" s="12"/>
      <c r="D9700" s="12"/>
      <c r="E9700" s="12"/>
      <c r="F9700" s="14"/>
      <c r="G9700" s="15"/>
      <c r="H9700" s="15"/>
      <c r="I9700" s="14"/>
      <c r="P9700" s="14"/>
    </row>
    <row r="9701" ht="18.75" customHeight="1">
      <c r="A9701" s="14"/>
      <c r="B9701" s="12"/>
      <c r="C9701" s="12"/>
      <c r="D9701" s="12"/>
      <c r="E9701" s="12"/>
      <c r="F9701" s="14"/>
      <c r="G9701" s="15"/>
      <c r="H9701" s="15"/>
      <c r="I9701" s="14"/>
      <c r="P9701" s="14"/>
    </row>
    <row r="9702" ht="18.75" customHeight="1">
      <c r="A9702" s="14"/>
      <c r="B9702" s="12"/>
      <c r="C9702" s="12"/>
      <c r="D9702" s="12"/>
      <c r="E9702" s="12"/>
      <c r="F9702" s="14"/>
      <c r="G9702" s="15"/>
      <c r="H9702" s="15"/>
      <c r="I9702" s="14"/>
      <c r="P9702" s="14"/>
    </row>
    <row r="9703" ht="18.75" customHeight="1">
      <c r="A9703" s="14"/>
      <c r="B9703" s="12"/>
      <c r="C9703" s="12"/>
      <c r="D9703" s="12"/>
      <c r="E9703" s="12"/>
      <c r="F9703" s="14"/>
      <c r="G9703" s="15"/>
      <c r="H9703" s="15"/>
      <c r="I9703" s="14"/>
      <c r="P9703" s="14"/>
    </row>
    <row r="9704" ht="18.75" customHeight="1">
      <c r="A9704" s="14"/>
      <c r="B9704" s="12"/>
      <c r="C9704" s="12"/>
      <c r="D9704" s="12"/>
      <c r="E9704" s="12"/>
      <c r="F9704" s="14"/>
      <c r="G9704" s="15"/>
      <c r="H9704" s="15"/>
      <c r="I9704" s="14"/>
      <c r="P9704" s="14"/>
    </row>
    <row r="9705" ht="18.75" customHeight="1">
      <c r="A9705" s="14"/>
      <c r="B9705" s="12"/>
      <c r="C9705" s="12"/>
      <c r="D9705" s="12"/>
      <c r="E9705" s="12"/>
      <c r="F9705" s="14"/>
      <c r="G9705" s="15"/>
      <c r="H9705" s="15"/>
      <c r="I9705" s="14"/>
      <c r="P9705" s="14"/>
    </row>
    <row r="9706" ht="18.75" customHeight="1">
      <c r="A9706" s="14"/>
      <c r="B9706" s="12"/>
      <c r="C9706" s="12"/>
      <c r="D9706" s="12"/>
      <c r="E9706" s="12"/>
      <c r="F9706" s="14"/>
      <c r="G9706" s="15"/>
      <c r="H9706" s="15"/>
      <c r="I9706" s="14"/>
      <c r="P9706" s="14"/>
    </row>
    <row r="9707" ht="18.75" customHeight="1">
      <c r="A9707" s="14"/>
      <c r="B9707" s="12"/>
      <c r="C9707" s="12"/>
      <c r="D9707" s="12"/>
      <c r="E9707" s="12"/>
      <c r="F9707" s="14"/>
      <c r="G9707" s="15"/>
      <c r="H9707" s="15"/>
      <c r="I9707" s="14"/>
      <c r="P9707" s="14"/>
    </row>
    <row r="9708" ht="18.75" customHeight="1">
      <c r="A9708" s="14"/>
      <c r="B9708" s="12"/>
      <c r="C9708" s="12"/>
      <c r="D9708" s="12"/>
      <c r="E9708" s="12"/>
      <c r="F9708" s="14"/>
      <c r="G9708" s="15"/>
      <c r="H9708" s="15"/>
      <c r="I9708" s="14"/>
      <c r="P9708" s="14"/>
    </row>
    <row r="9709" ht="18.75" customHeight="1">
      <c r="A9709" s="14"/>
      <c r="B9709" s="12"/>
      <c r="C9709" s="12"/>
      <c r="D9709" s="12"/>
      <c r="E9709" s="12"/>
      <c r="F9709" s="14"/>
      <c r="G9709" s="15"/>
      <c r="H9709" s="15"/>
      <c r="I9709" s="14"/>
      <c r="P9709" s="14"/>
    </row>
    <row r="9710" ht="18.75" customHeight="1">
      <c r="A9710" s="14"/>
      <c r="B9710" s="12"/>
      <c r="C9710" s="12"/>
      <c r="D9710" s="12"/>
      <c r="E9710" s="12"/>
      <c r="F9710" s="14"/>
      <c r="G9710" s="15"/>
      <c r="H9710" s="15"/>
      <c r="I9710" s="14"/>
      <c r="P9710" s="14"/>
    </row>
    <row r="9711" ht="18.75" customHeight="1">
      <c r="A9711" s="14"/>
      <c r="B9711" s="12"/>
      <c r="C9711" s="12"/>
      <c r="D9711" s="12"/>
      <c r="E9711" s="12"/>
      <c r="F9711" s="14"/>
      <c r="G9711" s="15"/>
      <c r="H9711" s="15"/>
      <c r="I9711" s="14"/>
      <c r="P9711" s="14"/>
    </row>
    <row r="9712" ht="18.75" customHeight="1">
      <c r="A9712" s="14"/>
      <c r="B9712" s="12"/>
      <c r="C9712" s="12"/>
      <c r="D9712" s="12"/>
      <c r="E9712" s="12"/>
      <c r="F9712" s="14"/>
      <c r="G9712" s="15"/>
      <c r="H9712" s="15"/>
      <c r="I9712" s="14"/>
      <c r="P9712" s="14"/>
    </row>
    <row r="9713" ht="18.75" customHeight="1">
      <c r="A9713" s="14"/>
      <c r="B9713" s="12"/>
      <c r="C9713" s="12"/>
      <c r="D9713" s="12"/>
      <c r="E9713" s="12"/>
      <c r="F9713" s="14"/>
      <c r="G9713" s="15"/>
      <c r="H9713" s="15"/>
      <c r="I9713" s="14"/>
      <c r="P9713" s="14"/>
    </row>
    <row r="9714" ht="18.75" customHeight="1">
      <c r="A9714" s="14"/>
      <c r="B9714" s="12"/>
      <c r="C9714" s="12"/>
      <c r="D9714" s="12"/>
      <c r="E9714" s="12"/>
      <c r="F9714" s="14"/>
      <c r="G9714" s="15"/>
      <c r="H9714" s="15"/>
      <c r="I9714" s="14"/>
      <c r="P9714" s="14"/>
    </row>
    <row r="9715" ht="18.75" customHeight="1">
      <c r="A9715" s="14"/>
      <c r="B9715" s="12"/>
      <c r="C9715" s="12"/>
      <c r="D9715" s="12"/>
      <c r="E9715" s="12"/>
      <c r="F9715" s="14"/>
      <c r="G9715" s="15"/>
      <c r="H9715" s="15"/>
      <c r="I9715" s="14"/>
      <c r="P9715" s="14"/>
    </row>
    <row r="9716" ht="18.75" customHeight="1">
      <c r="A9716" s="14"/>
      <c r="B9716" s="12"/>
      <c r="C9716" s="12"/>
      <c r="D9716" s="12"/>
      <c r="E9716" s="12"/>
      <c r="F9716" s="14"/>
      <c r="G9716" s="15"/>
      <c r="H9716" s="15"/>
      <c r="I9716" s="14"/>
      <c r="P9716" s="14"/>
    </row>
    <row r="9717" ht="18.75" customHeight="1">
      <c r="A9717" s="14"/>
      <c r="B9717" s="12"/>
      <c r="C9717" s="12"/>
      <c r="D9717" s="12"/>
      <c r="E9717" s="12"/>
      <c r="F9717" s="14"/>
      <c r="G9717" s="15"/>
      <c r="H9717" s="15"/>
      <c r="I9717" s="14"/>
      <c r="P9717" s="14"/>
    </row>
    <row r="9718" ht="18.75" customHeight="1">
      <c r="A9718" s="14"/>
      <c r="B9718" s="12"/>
      <c r="C9718" s="12"/>
      <c r="D9718" s="12"/>
      <c r="E9718" s="12"/>
      <c r="F9718" s="14"/>
      <c r="G9718" s="15"/>
      <c r="H9718" s="15"/>
      <c r="I9718" s="14"/>
      <c r="P9718" s="14"/>
    </row>
    <row r="9719" ht="18.75" customHeight="1">
      <c r="A9719" s="14"/>
      <c r="B9719" s="12"/>
      <c r="C9719" s="12"/>
      <c r="D9719" s="12"/>
      <c r="E9719" s="12"/>
      <c r="F9719" s="14"/>
      <c r="G9719" s="15"/>
      <c r="H9719" s="15"/>
      <c r="I9719" s="14"/>
      <c r="P9719" s="14"/>
    </row>
    <row r="9720" ht="18.75" customHeight="1">
      <c r="A9720" s="14"/>
      <c r="B9720" s="12"/>
      <c r="C9720" s="12"/>
      <c r="D9720" s="12"/>
      <c r="E9720" s="12"/>
      <c r="F9720" s="14"/>
      <c r="G9720" s="15"/>
      <c r="H9720" s="15"/>
      <c r="I9720" s="14"/>
      <c r="P9720" s="14"/>
    </row>
    <row r="9721" ht="18.75" customHeight="1">
      <c r="A9721" s="14"/>
      <c r="B9721" s="12"/>
      <c r="C9721" s="12"/>
      <c r="D9721" s="12"/>
      <c r="E9721" s="12"/>
      <c r="F9721" s="14"/>
      <c r="G9721" s="15"/>
      <c r="H9721" s="15"/>
      <c r="I9721" s="14"/>
      <c r="P9721" s="14"/>
    </row>
    <row r="9722" ht="18.75" customHeight="1">
      <c r="A9722" s="14"/>
      <c r="B9722" s="12"/>
      <c r="C9722" s="12"/>
      <c r="D9722" s="12"/>
      <c r="E9722" s="12"/>
      <c r="F9722" s="14"/>
      <c r="G9722" s="15"/>
      <c r="H9722" s="15"/>
      <c r="I9722" s="14"/>
      <c r="P9722" s="14"/>
    </row>
    <row r="9723" ht="18.75" customHeight="1">
      <c r="A9723" s="14"/>
      <c r="B9723" s="12"/>
      <c r="C9723" s="12"/>
      <c r="D9723" s="12"/>
      <c r="E9723" s="12"/>
      <c r="F9723" s="14"/>
      <c r="G9723" s="15"/>
      <c r="H9723" s="15"/>
      <c r="I9723" s="14"/>
      <c r="P9723" s="14"/>
    </row>
    <row r="9724" ht="18.75" customHeight="1">
      <c r="A9724" s="14"/>
      <c r="B9724" s="12"/>
      <c r="C9724" s="12"/>
      <c r="D9724" s="12"/>
      <c r="E9724" s="12"/>
      <c r="F9724" s="14"/>
      <c r="G9724" s="15"/>
      <c r="H9724" s="15"/>
      <c r="I9724" s="14"/>
      <c r="P9724" s="14"/>
    </row>
    <row r="9725" ht="18.75" customHeight="1">
      <c r="A9725" s="14"/>
      <c r="B9725" s="12"/>
      <c r="C9725" s="12"/>
      <c r="D9725" s="12"/>
      <c r="E9725" s="12"/>
      <c r="F9725" s="14"/>
      <c r="G9725" s="15"/>
      <c r="H9725" s="15"/>
      <c r="I9725" s="14"/>
      <c r="P9725" s="14"/>
    </row>
    <row r="9726" ht="18.75" customHeight="1">
      <c r="A9726" s="14"/>
      <c r="B9726" s="12"/>
      <c r="C9726" s="12"/>
      <c r="D9726" s="12"/>
      <c r="E9726" s="12"/>
      <c r="F9726" s="14"/>
      <c r="G9726" s="15"/>
      <c r="H9726" s="15"/>
      <c r="I9726" s="14"/>
      <c r="P9726" s="14"/>
    </row>
    <row r="9727" ht="18.75" customHeight="1">
      <c r="A9727" s="14"/>
      <c r="B9727" s="12"/>
      <c r="C9727" s="12"/>
      <c r="D9727" s="12"/>
      <c r="E9727" s="12"/>
      <c r="F9727" s="14"/>
      <c r="G9727" s="15"/>
      <c r="H9727" s="15"/>
      <c r="I9727" s="14"/>
      <c r="P9727" s="14"/>
    </row>
    <row r="9728" ht="18.75" customHeight="1">
      <c r="A9728" s="14"/>
      <c r="B9728" s="12"/>
      <c r="C9728" s="12"/>
      <c r="D9728" s="12"/>
      <c r="E9728" s="12"/>
      <c r="F9728" s="14"/>
      <c r="G9728" s="15"/>
      <c r="H9728" s="15"/>
      <c r="I9728" s="14"/>
      <c r="P9728" s="14"/>
    </row>
    <row r="9729" ht="18.75" customHeight="1">
      <c r="A9729" s="14"/>
      <c r="B9729" s="12"/>
      <c r="C9729" s="12"/>
      <c r="D9729" s="12"/>
      <c r="E9729" s="12"/>
      <c r="F9729" s="14"/>
      <c r="G9729" s="15"/>
      <c r="H9729" s="15"/>
      <c r="I9729" s="14"/>
      <c r="P9729" s="14"/>
    </row>
    <row r="9730" ht="18.75" customHeight="1">
      <c r="A9730" s="14"/>
      <c r="B9730" s="12"/>
      <c r="C9730" s="12"/>
      <c r="D9730" s="12"/>
      <c r="E9730" s="12"/>
      <c r="F9730" s="14"/>
      <c r="G9730" s="15"/>
      <c r="H9730" s="15"/>
      <c r="I9730" s="14"/>
      <c r="P9730" s="14"/>
    </row>
    <row r="9731" ht="18.75" customHeight="1">
      <c r="A9731" s="14"/>
      <c r="B9731" s="12"/>
      <c r="C9731" s="12"/>
      <c r="D9731" s="12"/>
      <c r="E9731" s="12"/>
      <c r="F9731" s="14"/>
      <c r="G9731" s="15"/>
      <c r="H9731" s="15"/>
      <c r="I9731" s="14"/>
      <c r="P9731" s="14"/>
    </row>
    <row r="9732" ht="18.75" customHeight="1">
      <c r="A9732" s="14"/>
      <c r="B9732" s="12"/>
      <c r="C9732" s="12"/>
      <c r="D9732" s="12"/>
      <c r="E9732" s="12"/>
      <c r="F9732" s="14"/>
      <c r="G9732" s="15"/>
      <c r="H9732" s="15"/>
      <c r="I9732" s="14"/>
      <c r="P9732" s="14"/>
    </row>
    <row r="9733" ht="18.75" customHeight="1">
      <c r="A9733" s="14"/>
      <c r="B9733" s="12"/>
      <c r="C9733" s="12"/>
      <c r="D9733" s="12"/>
      <c r="E9733" s="12"/>
      <c r="F9733" s="14"/>
      <c r="G9733" s="15"/>
      <c r="H9733" s="15"/>
      <c r="I9733" s="14"/>
      <c r="P9733" s="14"/>
    </row>
    <row r="9734" ht="18.75" customHeight="1">
      <c r="A9734" s="14"/>
      <c r="B9734" s="12"/>
      <c r="C9734" s="12"/>
      <c r="D9734" s="12"/>
      <c r="E9734" s="12"/>
      <c r="F9734" s="14"/>
      <c r="G9734" s="15"/>
      <c r="H9734" s="15"/>
      <c r="I9734" s="14"/>
      <c r="P9734" s="14"/>
    </row>
    <row r="9735" ht="18.75" customHeight="1">
      <c r="A9735" s="14"/>
      <c r="B9735" s="12"/>
      <c r="C9735" s="12"/>
      <c r="D9735" s="12"/>
      <c r="E9735" s="12"/>
      <c r="F9735" s="14"/>
      <c r="G9735" s="15"/>
      <c r="H9735" s="15"/>
      <c r="I9735" s="14"/>
      <c r="P9735" s="14"/>
    </row>
    <row r="9736" ht="18.75" customHeight="1">
      <c r="A9736" s="14"/>
      <c r="B9736" s="12"/>
      <c r="C9736" s="12"/>
      <c r="D9736" s="12"/>
      <c r="E9736" s="12"/>
      <c r="F9736" s="14"/>
      <c r="G9736" s="15"/>
      <c r="H9736" s="15"/>
      <c r="I9736" s="14"/>
      <c r="P9736" s="14"/>
    </row>
    <row r="9737" ht="18.75" customHeight="1">
      <c r="A9737" s="14"/>
      <c r="B9737" s="12"/>
      <c r="C9737" s="12"/>
      <c r="D9737" s="12"/>
      <c r="E9737" s="12"/>
      <c r="F9737" s="14"/>
      <c r="G9737" s="15"/>
      <c r="H9737" s="15"/>
      <c r="I9737" s="14"/>
      <c r="P9737" s="14"/>
    </row>
    <row r="9738" ht="18.75" customHeight="1">
      <c r="A9738" s="14"/>
      <c r="B9738" s="12"/>
      <c r="C9738" s="12"/>
      <c r="D9738" s="12"/>
      <c r="E9738" s="12"/>
      <c r="F9738" s="14"/>
      <c r="G9738" s="15"/>
      <c r="H9738" s="15"/>
      <c r="I9738" s="14"/>
      <c r="P9738" s="14"/>
    </row>
    <row r="9739" ht="18.75" customHeight="1">
      <c r="A9739" s="14"/>
      <c r="B9739" s="12"/>
      <c r="C9739" s="12"/>
      <c r="D9739" s="12"/>
      <c r="E9739" s="12"/>
      <c r="F9739" s="14"/>
      <c r="G9739" s="15"/>
      <c r="H9739" s="15"/>
      <c r="I9739" s="14"/>
      <c r="P9739" s="14"/>
    </row>
    <row r="9740" ht="18.75" customHeight="1">
      <c r="A9740" s="14"/>
      <c r="B9740" s="12"/>
      <c r="C9740" s="12"/>
      <c r="D9740" s="12"/>
      <c r="E9740" s="12"/>
      <c r="F9740" s="14"/>
      <c r="G9740" s="15"/>
      <c r="H9740" s="15"/>
      <c r="I9740" s="14"/>
      <c r="P9740" s="14"/>
    </row>
    <row r="9741" ht="18.75" customHeight="1">
      <c r="A9741" s="14"/>
      <c r="B9741" s="12"/>
      <c r="C9741" s="12"/>
      <c r="D9741" s="12"/>
      <c r="E9741" s="12"/>
      <c r="F9741" s="14"/>
      <c r="G9741" s="15"/>
      <c r="H9741" s="15"/>
      <c r="I9741" s="14"/>
      <c r="P9741" s="14"/>
    </row>
    <row r="9742" ht="18.75" customHeight="1">
      <c r="A9742" s="14"/>
      <c r="B9742" s="12"/>
      <c r="C9742" s="12"/>
      <c r="D9742" s="12"/>
      <c r="E9742" s="12"/>
      <c r="F9742" s="14"/>
      <c r="G9742" s="15"/>
      <c r="H9742" s="15"/>
      <c r="I9742" s="14"/>
      <c r="P9742" s="14"/>
    </row>
    <row r="9743" ht="18.75" customHeight="1">
      <c r="A9743" s="14"/>
      <c r="B9743" s="12"/>
      <c r="C9743" s="12"/>
      <c r="D9743" s="12"/>
      <c r="E9743" s="12"/>
      <c r="F9743" s="14"/>
      <c r="G9743" s="15"/>
      <c r="H9743" s="15"/>
      <c r="I9743" s="14"/>
      <c r="P9743" s="14"/>
    </row>
    <row r="9744" ht="18.75" customHeight="1">
      <c r="A9744" s="14"/>
      <c r="B9744" s="12"/>
      <c r="C9744" s="12"/>
      <c r="D9744" s="12"/>
      <c r="E9744" s="12"/>
      <c r="F9744" s="14"/>
      <c r="G9744" s="15"/>
      <c r="H9744" s="15"/>
      <c r="I9744" s="14"/>
      <c r="P9744" s="14"/>
    </row>
    <row r="9745" ht="18.75" customHeight="1">
      <c r="A9745" s="14"/>
      <c r="B9745" s="12"/>
      <c r="C9745" s="12"/>
      <c r="D9745" s="12"/>
      <c r="E9745" s="12"/>
      <c r="F9745" s="14"/>
      <c r="G9745" s="15"/>
      <c r="H9745" s="15"/>
      <c r="I9745" s="14"/>
      <c r="P9745" s="14"/>
    </row>
    <row r="9746" ht="18.75" customHeight="1">
      <c r="A9746" s="14"/>
      <c r="B9746" s="12"/>
      <c r="C9746" s="12"/>
      <c r="D9746" s="12"/>
      <c r="E9746" s="12"/>
      <c r="F9746" s="14"/>
      <c r="G9746" s="15"/>
      <c r="H9746" s="15"/>
      <c r="I9746" s="14"/>
      <c r="P9746" s="14"/>
    </row>
    <row r="9747" ht="18.75" customHeight="1">
      <c r="A9747" s="14"/>
      <c r="B9747" s="12"/>
      <c r="C9747" s="12"/>
      <c r="D9747" s="12"/>
      <c r="E9747" s="12"/>
      <c r="F9747" s="14"/>
      <c r="G9747" s="15"/>
      <c r="H9747" s="15"/>
      <c r="I9747" s="14"/>
      <c r="P9747" s="14"/>
    </row>
    <row r="9748" ht="18.75" customHeight="1">
      <c r="A9748" s="14"/>
      <c r="B9748" s="12"/>
      <c r="C9748" s="12"/>
      <c r="D9748" s="12"/>
      <c r="E9748" s="12"/>
      <c r="F9748" s="14"/>
      <c r="G9748" s="15"/>
      <c r="H9748" s="15"/>
      <c r="I9748" s="14"/>
      <c r="P9748" s="14"/>
    </row>
    <row r="9749" ht="18.75" customHeight="1">
      <c r="A9749" s="14"/>
      <c r="B9749" s="12"/>
      <c r="C9749" s="12"/>
      <c r="D9749" s="12"/>
      <c r="E9749" s="12"/>
      <c r="F9749" s="14"/>
      <c r="G9749" s="15"/>
      <c r="H9749" s="15"/>
      <c r="I9749" s="14"/>
      <c r="P9749" s="14"/>
    </row>
    <row r="9750" ht="18.75" customHeight="1">
      <c r="A9750" s="14"/>
      <c r="B9750" s="12"/>
      <c r="C9750" s="12"/>
      <c r="D9750" s="12"/>
      <c r="E9750" s="12"/>
      <c r="F9750" s="14"/>
      <c r="G9750" s="15"/>
      <c r="H9750" s="15"/>
      <c r="I9750" s="14"/>
      <c r="P9750" s="14"/>
    </row>
    <row r="9751" ht="18.75" customHeight="1">
      <c r="A9751" s="14"/>
      <c r="B9751" s="12"/>
      <c r="C9751" s="12"/>
      <c r="D9751" s="12"/>
      <c r="E9751" s="12"/>
      <c r="F9751" s="14"/>
      <c r="G9751" s="15"/>
      <c r="H9751" s="15"/>
      <c r="I9751" s="14"/>
      <c r="P9751" s="14"/>
    </row>
    <row r="9752" ht="18.75" customHeight="1">
      <c r="A9752" s="14"/>
      <c r="B9752" s="12"/>
      <c r="C9752" s="12"/>
      <c r="D9752" s="12"/>
      <c r="E9752" s="12"/>
      <c r="F9752" s="14"/>
      <c r="G9752" s="15"/>
      <c r="H9752" s="15"/>
      <c r="I9752" s="14"/>
      <c r="P9752" s="14"/>
    </row>
    <row r="9753" ht="18.75" customHeight="1">
      <c r="A9753" s="14"/>
      <c r="B9753" s="12"/>
      <c r="C9753" s="12"/>
      <c r="D9753" s="12"/>
      <c r="E9753" s="12"/>
      <c r="F9753" s="14"/>
      <c r="G9753" s="15"/>
      <c r="H9753" s="15"/>
      <c r="I9753" s="14"/>
      <c r="P9753" s="14"/>
    </row>
    <row r="9754" ht="18.75" customHeight="1">
      <c r="A9754" s="14"/>
      <c r="B9754" s="12"/>
      <c r="C9754" s="12"/>
      <c r="D9754" s="12"/>
      <c r="E9754" s="12"/>
      <c r="F9754" s="14"/>
      <c r="G9754" s="15"/>
      <c r="H9754" s="15"/>
      <c r="I9754" s="14"/>
      <c r="P9754" s="14"/>
    </row>
    <row r="9755" ht="18.75" customHeight="1">
      <c r="A9755" s="14"/>
      <c r="B9755" s="12"/>
      <c r="C9755" s="12"/>
      <c r="D9755" s="12"/>
      <c r="E9755" s="12"/>
      <c r="F9755" s="14"/>
      <c r="G9755" s="15"/>
      <c r="H9755" s="15"/>
      <c r="I9755" s="14"/>
      <c r="P9755" s="14"/>
    </row>
    <row r="9756" ht="18.75" customHeight="1">
      <c r="A9756" s="14"/>
      <c r="B9756" s="12"/>
      <c r="C9756" s="12"/>
      <c r="D9756" s="12"/>
      <c r="E9756" s="12"/>
      <c r="F9756" s="14"/>
      <c r="G9756" s="15"/>
      <c r="H9756" s="15"/>
      <c r="I9756" s="14"/>
      <c r="P9756" s="14"/>
    </row>
    <row r="9757" ht="18.75" customHeight="1">
      <c r="A9757" s="14"/>
      <c r="B9757" s="12"/>
      <c r="C9757" s="12"/>
      <c r="D9757" s="12"/>
      <c r="E9757" s="12"/>
      <c r="F9757" s="14"/>
      <c r="G9757" s="15"/>
      <c r="H9757" s="15"/>
      <c r="I9757" s="14"/>
      <c r="P9757" s="14"/>
    </row>
    <row r="9758" ht="18.75" customHeight="1">
      <c r="A9758" s="14"/>
      <c r="B9758" s="12"/>
      <c r="C9758" s="12"/>
      <c r="D9758" s="12"/>
      <c r="E9758" s="12"/>
      <c r="F9758" s="14"/>
      <c r="G9758" s="15"/>
      <c r="H9758" s="15"/>
      <c r="I9758" s="14"/>
      <c r="P9758" s="14"/>
    </row>
    <row r="9759" ht="18.75" customHeight="1">
      <c r="A9759" s="14"/>
      <c r="B9759" s="12"/>
      <c r="C9759" s="12"/>
      <c r="D9759" s="12"/>
      <c r="E9759" s="12"/>
      <c r="F9759" s="14"/>
      <c r="G9759" s="15"/>
      <c r="H9759" s="15"/>
      <c r="I9759" s="14"/>
      <c r="P9759" s="14"/>
    </row>
    <row r="9760" ht="18.75" customHeight="1">
      <c r="A9760" s="14"/>
      <c r="B9760" s="12"/>
      <c r="C9760" s="12"/>
      <c r="D9760" s="12"/>
      <c r="E9760" s="12"/>
      <c r="F9760" s="14"/>
      <c r="G9760" s="15"/>
      <c r="H9760" s="15"/>
      <c r="I9760" s="14"/>
      <c r="P9760" s="14"/>
    </row>
    <row r="9761" ht="18.75" customHeight="1">
      <c r="A9761" s="14"/>
      <c r="B9761" s="12"/>
      <c r="C9761" s="12"/>
      <c r="D9761" s="12"/>
      <c r="E9761" s="12"/>
      <c r="F9761" s="14"/>
      <c r="G9761" s="15"/>
      <c r="H9761" s="15"/>
      <c r="I9761" s="14"/>
      <c r="P9761" s="14"/>
    </row>
    <row r="9762" ht="18.75" customHeight="1">
      <c r="A9762" s="14"/>
      <c r="B9762" s="12"/>
      <c r="C9762" s="12"/>
      <c r="D9762" s="12"/>
      <c r="E9762" s="12"/>
      <c r="F9762" s="14"/>
      <c r="G9762" s="15"/>
      <c r="H9762" s="15"/>
      <c r="I9762" s="14"/>
      <c r="P9762" s="14"/>
    </row>
    <row r="9763" ht="18.75" customHeight="1">
      <c r="A9763" s="14"/>
      <c r="B9763" s="12"/>
      <c r="C9763" s="12"/>
      <c r="D9763" s="12"/>
      <c r="E9763" s="12"/>
      <c r="F9763" s="14"/>
      <c r="G9763" s="15"/>
      <c r="H9763" s="15"/>
      <c r="I9763" s="14"/>
      <c r="P9763" s="14"/>
    </row>
    <row r="9764" ht="18.75" customHeight="1">
      <c r="A9764" s="14"/>
      <c r="B9764" s="12"/>
      <c r="C9764" s="12"/>
      <c r="D9764" s="12"/>
      <c r="E9764" s="12"/>
      <c r="F9764" s="14"/>
      <c r="G9764" s="15"/>
      <c r="H9764" s="15"/>
      <c r="I9764" s="14"/>
      <c r="P9764" s="14"/>
    </row>
    <row r="9765" ht="18.75" customHeight="1">
      <c r="A9765" s="14"/>
      <c r="B9765" s="12"/>
      <c r="C9765" s="12"/>
      <c r="D9765" s="12"/>
      <c r="E9765" s="12"/>
      <c r="F9765" s="14"/>
      <c r="G9765" s="15"/>
      <c r="H9765" s="15"/>
      <c r="I9765" s="14"/>
      <c r="P9765" s="14"/>
    </row>
    <row r="9766" ht="18.75" customHeight="1">
      <c r="A9766" s="14"/>
      <c r="B9766" s="12"/>
      <c r="C9766" s="12"/>
      <c r="D9766" s="12"/>
      <c r="E9766" s="12"/>
      <c r="F9766" s="14"/>
      <c r="G9766" s="15"/>
      <c r="H9766" s="15"/>
      <c r="I9766" s="14"/>
      <c r="P9766" s="14"/>
    </row>
    <row r="9767" ht="18.75" customHeight="1">
      <c r="A9767" s="14"/>
      <c r="B9767" s="12"/>
      <c r="C9767" s="12"/>
      <c r="D9767" s="12"/>
      <c r="E9767" s="12"/>
      <c r="F9767" s="14"/>
      <c r="G9767" s="15"/>
      <c r="H9767" s="15"/>
      <c r="I9767" s="14"/>
      <c r="P9767" s="14"/>
    </row>
    <row r="9768" ht="18.75" customHeight="1">
      <c r="A9768" s="14"/>
      <c r="B9768" s="12"/>
      <c r="C9768" s="12"/>
      <c r="D9768" s="12"/>
      <c r="E9768" s="12"/>
      <c r="F9768" s="14"/>
      <c r="G9768" s="15"/>
      <c r="H9768" s="15"/>
      <c r="I9768" s="14"/>
      <c r="P9768" s="14"/>
    </row>
    <row r="9769" ht="18.75" customHeight="1">
      <c r="A9769" s="14"/>
      <c r="B9769" s="12"/>
      <c r="C9769" s="12"/>
      <c r="D9769" s="12"/>
      <c r="E9769" s="12"/>
      <c r="F9769" s="14"/>
      <c r="G9769" s="15"/>
      <c r="H9769" s="15"/>
      <c r="I9769" s="14"/>
      <c r="P9769" s="14"/>
    </row>
    <row r="9770" ht="18.75" customHeight="1">
      <c r="A9770" s="14"/>
      <c r="B9770" s="12"/>
      <c r="C9770" s="12"/>
      <c r="D9770" s="12"/>
      <c r="E9770" s="12"/>
      <c r="F9770" s="14"/>
      <c r="G9770" s="15"/>
      <c r="H9770" s="15"/>
      <c r="I9770" s="14"/>
      <c r="P9770" s="14"/>
    </row>
    <row r="9771" ht="18.75" customHeight="1">
      <c r="A9771" s="14"/>
      <c r="B9771" s="12"/>
      <c r="C9771" s="12"/>
      <c r="D9771" s="12"/>
      <c r="E9771" s="12"/>
      <c r="F9771" s="14"/>
      <c r="G9771" s="15"/>
      <c r="H9771" s="15"/>
      <c r="I9771" s="14"/>
      <c r="P9771" s="14"/>
    </row>
    <row r="9772" ht="18.75" customHeight="1">
      <c r="A9772" s="14"/>
      <c r="B9772" s="12"/>
      <c r="C9772" s="12"/>
      <c r="D9772" s="12"/>
      <c r="E9772" s="12"/>
      <c r="F9772" s="14"/>
      <c r="G9772" s="15"/>
      <c r="H9772" s="15"/>
      <c r="I9772" s="14"/>
      <c r="P9772" s="14"/>
    </row>
    <row r="9773" ht="18.75" customHeight="1">
      <c r="A9773" s="14"/>
      <c r="B9773" s="12"/>
      <c r="C9773" s="12"/>
      <c r="D9773" s="12"/>
      <c r="E9773" s="12"/>
      <c r="F9773" s="14"/>
      <c r="G9773" s="15"/>
      <c r="H9773" s="15"/>
      <c r="I9773" s="14"/>
      <c r="P9773" s="14"/>
    </row>
    <row r="9774" ht="18.75" customHeight="1">
      <c r="A9774" s="14"/>
      <c r="B9774" s="12"/>
      <c r="C9774" s="12"/>
      <c r="D9774" s="12"/>
      <c r="E9774" s="12"/>
      <c r="F9774" s="14"/>
      <c r="G9774" s="15"/>
      <c r="H9774" s="15"/>
      <c r="I9774" s="14"/>
      <c r="P9774" s="14"/>
    </row>
    <row r="9775" ht="18.75" customHeight="1">
      <c r="A9775" s="14"/>
      <c r="B9775" s="12"/>
      <c r="C9775" s="12"/>
      <c r="D9775" s="12"/>
      <c r="E9775" s="12"/>
      <c r="F9775" s="14"/>
      <c r="G9775" s="15"/>
      <c r="H9775" s="15"/>
      <c r="I9775" s="14"/>
      <c r="P9775" s="14"/>
    </row>
    <row r="9776" ht="18.75" customHeight="1">
      <c r="A9776" s="14"/>
      <c r="B9776" s="12"/>
      <c r="C9776" s="12"/>
      <c r="D9776" s="12"/>
      <c r="E9776" s="12"/>
      <c r="F9776" s="14"/>
      <c r="G9776" s="15"/>
      <c r="H9776" s="15"/>
      <c r="I9776" s="14"/>
      <c r="P9776" s="14"/>
    </row>
    <row r="9777" ht="18.75" customHeight="1">
      <c r="A9777" s="14"/>
      <c r="B9777" s="12"/>
      <c r="C9777" s="12"/>
      <c r="D9777" s="12"/>
      <c r="E9777" s="12"/>
      <c r="F9777" s="14"/>
      <c r="G9777" s="15"/>
      <c r="H9777" s="15"/>
      <c r="I9777" s="14"/>
      <c r="P9777" s="14"/>
    </row>
    <row r="9778" ht="18.75" customHeight="1">
      <c r="A9778" s="14"/>
      <c r="B9778" s="12"/>
      <c r="C9778" s="12"/>
      <c r="D9778" s="12"/>
      <c r="E9778" s="12"/>
      <c r="F9778" s="14"/>
      <c r="G9778" s="15"/>
      <c r="H9778" s="15"/>
      <c r="I9778" s="14"/>
      <c r="P9778" s="14"/>
    </row>
    <row r="9779" ht="18.75" customHeight="1">
      <c r="A9779" s="14"/>
      <c r="B9779" s="12"/>
      <c r="C9779" s="12"/>
      <c r="D9779" s="12"/>
      <c r="E9779" s="12"/>
      <c r="F9779" s="14"/>
      <c r="G9779" s="15"/>
      <c r="H9779" s="15"/>
      <c r="I9779" s="14"/>
      <c r="P9779" s="14"/>
    </row>
    <row r="9780" ht="18.75" customHeight="1">
      <c r="A9780" s="14"/>
      <c r="B9780" s="12"/>
      <c r="C9780" s="12"/>
      <c r="D9780" s="12"/>
      <c r="E9780" s="12"/>
      <c r="F9780" s="14"/>
      <c r="G9780" s="15"/>
      <c r="H9780" s="15"/>
      <c r="I9780" s="14"/>
      <c r="P9780" s="14"/>
    </row>
    <row r="9781" ht="18.75" customHeight="1">
      <c r="A9781" s="14"/>
      <c r="B9781" s="12"/>
      <c r="C9781" s="12"/>
      <c r="D9781" s="12"/>
      <c r="E9781" s="12"/>
      <c r="F9781" s="14"/>
      <c r="G9781" s="15"/>
      <c r="H9781" s="15"/>
      <c r="I9781" s="14"/>
      <c r="P9781" s="14"/>
    </row>
    <row r="9782" ht="18.75" customHeight="1">
      <c r="A9782" s="14"/>
      <c r="B9782" s="12"/>
      <c r="C9782" s="12"/>
      <c r="D9782" s="12"/>
      <c r="E9782" s="12"/>
      <c r="F9782" s="14"/>
      <c r="G9782" s="15"/>
      <c r="H9782" s="15"/>
      <c r="I9782" s="14"/>
      <c r="P9782" s="14"/>
    </row>
    <row r="9783" ht="18.75" customHeight="1">
      <c r="A9783" s="14"/>
      <c r="B9783" s="12"/>
      <c r="C9783" s="12"/>
      <c r="D9783" s="12"/>
      <c r="E9783" s="12"/>
      <c r="F9783" s="14"/>
      <c r="G9783" s="15"/>
      <c r="H9783" s="15"/>
      <c r="I9783" s="14"/>
      <c r="P9783" s="14"/>
    </row>
    <row r="9784" ht="18.75" customHeight="1">
      <c r="A9784" s="14"/>
      <c r="B9784" s="12"/>
      <c r="C9784" s="12"/>
      <c r="D9784" s="12"/>
      <c r="E9784" s="12"/>
      <c r="F9784" s="14"/>
      <c r="G9784" s="15"/>
      <c r="H9784" s="15"/>
      <c r="I9784" s="14"/>
      <c r="P9784" s="14"/>
    </row>
    <row r="9785" ht="18.75" customHeight="1">
      <c r="A9785" s="14"/>
      <c r="B9785" s="12"/>
      <c r="C9785" s="12"/>
      <c r="D9785" s="12"/>
      <c r="E9785" s="12"/>
      <c r="F9785" s="14"/>
      <c r="G9785" s="15"/>
      <c r="H9785" s="15"/>
      <c r="I9785" s="14"/>
      <c r="P9785" s="14"/>
    </row>
    <row r="9786" ht="18.75" customHeight="1">
      <c r="A9786" s="14"/>
      <c r="B9786" s="12"/>
      <c r="C9786" s="12"/>
      <c r="D9786" s="12"/>
      <c r="E9786" s="12"/>
      <c r="F9786" s="14"/>
      <c r="G9786" s="15"/>
      <c r="H9786" s="15"/>
      <c r="I9786" s="14"/>
      <c r="P9786" s="14"/>
    </row>
    <row r="9787" ht="18.75" customHeight="1">
      <c r="A9787" s="14"/>
      <c r="B9787" s="12"/>
      <c r="C9787" s="12"/>
      <c r="D9787" s="12"/>
      <c r="E9787" s="12"/>
      <c r="F9787" s="14"/>
      <c r="G9787" s="15"/>
      <c r="H9787" s="15"/>
      <c r="I9787" s="14"/>
      <c r="P9787" s="14"/>
    </row>
    <row r="9788" ht="18.75" customHeight="1">
      <c r="A9788" s="14"/>
      <c r="B9788" s="12"/>
      <c r="C9788" s="12"/>
      <c r="D9788" s="12"/>
      <c r="E9788" s="12"/>
      <c r="F9788" s="14"/>
      <c r="G9788" s="15"/>
      <c r="H9788" s="15"/>
      <c r="I9788" s="14"/>
      <c r="P9788" s="14"/>
    </row>
    <row r="9789" ht="18.75" customHeight="1">
      <c r="A9789" s="14"/>
      <c r="B9789" s="12"/>
      <c r="C9789" s="12"/>
      <c r="D9789" s="12"/>
      <c r="E9789" s="12"/>
      <c r="F9789" s="14"/>
      <c r="G9789" s="15"/>
      <c r="H9789" s="15"/>
      <c r="I9789" s="14"/>
      <c r="P9789" s="14"/>
    </row>
    <row r="9790" ht="18.75" customHeight="1">
      <c r="A9790" s="14"/>
      <c r="B9790" s="12"/>
      <c r="C9790" s="12"/>
      <c r="D9790" s="12"/>
      <c r="E9790" s="12"/>
      <c r="F9790" s="14"/>
      <c r="G9790" s="15"/>
      <c r="H9790" s="15"/>
      <c r="I9790" s="14"/>
      <c r="P9790" s="14"/>
    </row>
    <row r="9791" ht="18.75" customHeight="1">
      <c r="A9791" s="14"/>
      <c r="B9791" s="12"/>
      <c r="C9791" s="12"/>
      <c r="D9791" s="12"/>
      <c r="E9791" s="12"/>
      <c r="F9791" s="14"/>
      <c r="G9791" s="15"/>
      <c r="H9791" s="15"/>
      <c r="I9791" s="14"/>
      <c r="P9791" s="14"/>
    </row>
    <row r="9792" ht="18.75" customHeight="1">
      <c r="A9792" s="14"/>
      <c r="B9792" s="12"/>
      <c r="C9792" s="12"/>
      <c r="D9792" s="12"/>
      <c r="E9792" s="12"/>
      <c r="F9792" s="14"/>
      <c r="G9792" s="15"/>
      <c r="H9792" s="15"/>
      <c r="I9792" s="14"/>
      <c r="P9792" s="14"/>
    </row>
    <row r="9793" ht="18.75" customHeight="1">
      <c r="A9793" s="14"/>
      <c r="B9793" s="12"/>
      <c r="C9793" s="12"/>
      <c r="D9793" s="12"/>
      <c r="E9793" s="12"/>
      <c r="F9793" s="14"/>
      <c r="G9793" s="15"/>
      <c r="H9793" s="15"/>
      <c r="I9793" s="14"/>
      <c r="P9793" s="14"/>
    </row>
    <row r="9794" ht="18.75" customHeight="1">
      <c r="A9794" s="14"/>
      <c r="B9794" s="12"/>
      <c r="C9794" s="12"/>
      <c r="D9794" s="12"/>
      <c r="E9794" s="12"/>
      <c r="F9794" s="14"/>
      <c r="G9794" s="15"/>
      <c r="H9794" s="15"/>
      <c r="I9794" s="14"/>
      <c r="P9794" s="14"/>
    </row>
    <row r="9795" ht="18.75" customHeight="1">
      <c r="A9795" s="14"/>
      <c r="B9795" s="12"/>
      <c r="C9795" s="12"/>
      <c r="D9795" s="12"/>
      <c r="E9795" s="12"/>
      <c r="F9795" s="14"/>
      <c r="G9795" s="15"/>
      <c r="H9795" s="15"/>
      <c r="I9795" s="14"/>
      <c r="P9795" s="14"/>
    </row>
    <row r="9796" ht="18.75" customHeight="1">
      <c r="A9796" s="14"/>
      <c r="B9796" s="12"/>
      <c r="C9796" s="12"/>
      <c r="D9796" s="12"/>
      <c r="E9796" s="12"/>
      <c r="F9796" s="14"/>
      <c r="G9796" s="15"/>
      <c r="H9796" s="15"/>
      <c r="I9796" s="14"/>
      <c r="P9796" s="14"/>
    </row>
    <row r="9797" ht="18.75" customHeight="1">
      <c r="A9797" s="14"/>
      <c r="B9797" s="12"/>
      <c r="C9797" s="12"/>
      <c r="D9797" s="12"/>
      <c r="E9797" s="12"/>
      <c r="F9797" s="14"/>
      <c r="G9797" s="15"/>
      <c r="H9797" s="15"/>
      <c r="I9797" s="14"/>
      <c r="P9797" s="14"/>
    </row>
    <row r="9798" ht="18.75" customHeight="1">
      <c r="A9798" s="14"/>
      <c r="B9798" s="12"/>
      <c r="C9798" s="12"/>
      <c r="D9798" s="12"/>
      <c r="E9798" s="12"/>
      <c r="F9798" s="14"/>
      <c r="G9798" s="15"/>
      <c r="H9798" s="15"/>
      <c r="I9798" s="14"/>
      <c r="P9798" s="14"/>
    </row>
    <row r="9799" ht="18.75" customHeight="1">
      <c r="A9799" s="14"/>
      <c r="B9799" s="12"/>
      <c r="C9799" s="12"/>
      <c r="D9799" s="12"/>
      <c r="E9799" s="12"/>
      <c r="F9799" s="14"/>
      <c r="G9799" s="15"/>
      <c r="H9799" s="15"/>
      <c r="I9799" s="14"/>
      <c r="P9799" s="14"/>
    </row>
    <row r="9800" ht="18.75" customHeight="1">
      <c r="A9800" s="14"/>
      <c r="B9800" s="12"/>
      <c r="C9800" s="12"/>
      <c r="D9800" s="12"/>
      <c r="E9800" s="12"/>
      <c r="F9800" s="14"/>
      <c r="G9800" s="15"/>
      <c r="H9800" s="15"/>
      <c r="I9800" s="14"/>
      <c r="P9800" s="14"/>
    </row>
    <row r="9801" ht="18.75" customHeight="1">
      <c r="A9801" s="14"/>
      <c r="B9801" s="12"/>
      <c r="C9801" s="12"/>
      <c r="D9801" s="12"/>
      <c r="E9801" s="12"/>
      <c r="F9801" s="14"/>
      <c r="G9801" s="15"/>
      <c r="H9801" s="15"/>
      <c r="I9801" s="14"/>
      <c r="P9801" s="14"/>
    </row>
    <row r="9802" ht="18.75" customHeight="1">
      <c r="A9802" s="14"/>
      <c r="B9802" s="12"/>
      <c r="C9802" s="12"/>
      <c r="D9802" s="12"/>
      <c r="E9802" s="12"/>
      <c r="F9802" s="14"/>
      <c r="G9802" s="15"/>
      <c r="H9802" s="15"/>
      <c r="I9802" s="14"/>
      <c r="P9802" s="14"/>
    </row>
    <row r="9803" ht="18.75" customHeight="1">
      <c r="A9803" s="14"/>
      <c r="B9803" s="12"/>
      <c r="C9803" s="12"/>
      <c r="D9803" s="12"/>
      <c r="E9803" s="12"/>
      <c r="F9803" s="14"/>
      <c r="G9803" s="15"/>
      <c r="H9803" s="15"/>
      <c r="I9803" s="14"/>
      <c r="P9803" s="14"/>
    </row>
    <row r="9804" ht="18.75" customHeight="1">
      <c r="A9804" s="14"/>
      <c r="B9804" s="12"/>
      <c r="C9804" s="12"/>
      <c r="D9804" s="12"/>
      <c r="E9804" s="12"/>
      <c r="F9804" s="14"/>
      <c r="G9804" s="15"/>
      <c r="H9804" s="15"/>
      <c r="I9804" s="14"/>
      <c r="P9804" s="14"/>
    </row>
    <row r="9805" ht="18.75" customHeight="1">
      <c r="A9805" s="14"/>
      <c r="B9805" s="12"/>
      <c r="C9805" s="12"/>
      <c r="D9805" s="12"/>
      <c r="E9805" s="12"/>
      <c r="F9805" s="14"/>
      <c r="G9805" s="15"/>
      <c r="H9805" s="15"/>
      <c r="I9805" s="14"/>
      <c r="P9805" s="14"/>
    </row>
    <row r="9806" ht="18.75" customHeight="1">
      <c r="A9806" s="14"/>
      <c r="B9806" s="12"/>
      <c r="C9806" s="12"/>
      <c r="D9806" s="12"/>
      <c r="E9806" s="12"/>
      <c r="F9806" s="14"/>
      <c r="G9806" s="15"/>
      <c r="H9806" s="15"/>
      <c r="I9806" s="14"/>
      <c r="P9806" s="14"/>
    </row>
    <row r="9807" ht="18.75" customHeight="1">
      <c r="A9807" s="14"/>
      <c r="B9807" s="12"/>
      <c r="C9807" s="12"/>
      <c r="D9807" s="12"/>
      <c r="E9807" s="12"/>
      <c r="F9807" s="14"/>
      <c r="G9807" s="15"/>
      <c r="H9807" s="15"/>
      <c r="I9807" s="14"/>
      <c r="P9807" s="14"/>
    </row>
    <row r="9808" ht="18.75" customHeight="1">
      <c r="A9808" s="14"/>
      <c r="B9808" s="12"/>
      <c r="C9808" s="12"/>
      <c r="D9808" s="12"/>
      <c r="E9808" s="12"/>
      <c r="F9808" s="14"/>
      <c r="G9808" s="15"/>
      <c r="H9808" s="15"/>
      <c r="I9808" s="14"/>
      <c r="P9808" s="14"/>
    </row>
    <row r="9809" ht="18.75" customHeight="1">
      <c r="A9809" s="14"/>
      <c r="B9809" s="12"/>
      <c r="C9809" s="12"/>
      <c r="D9809" s="12"/>
      <c r="E9809" s="12"/>
      <c r="F9809" s="14"/>
      <c r="G9809" s="15"/>
      <c r="H9809" s="15"/>
      <c r="I9809" s="14"/>
      <c r="P9809" s="14"/>
    </row>
    <row r="9810" ht="18.75" customHeight="1">
      <c r="A9810" s="14"/>
      <c r="B9810" s="12"/>
      <c r="C9810" s="12"/>
      <c r="D9810" s="12"/>
      <c r="E9810" s="12"/>
      <c r="F9810" s="14"/>
      <c r="G9810" s="15"/>
      <c r="H9810" s="15"/>
      <c r="I9810" s="14"/>
      <c r="P9810" s="14"/>
    </row>
    <row r="9811" ht="18.75" customHeight="1">
      <c r="A9811" s="14"/>
      <c r="B9811" s="12"/>
      <c r="C9811" s="12"/>
      <c r="D9811" s="12"/>
      <c r="E9811" s="12"/>
      <c r="F9811" s="14"/>
      <c r="G9811" s="15"/>
      <c r="H9811" s="15"/>
      <c r="I9811" s="14"/>
      <c r="P9811" s="14"/>
    </row>
    <row r="9812" ht="18.75" customHeight="1">
      <c r="A9812" s="14"/>
      <c r="B9812" s="12"/>
      <c r="C9812" s="12"/>
      <c r="D9812" s="12"/>
      <c r="E9812" s="12"/>
      <c r="F9812" s="14"/>
      <c r="G9812" s="15"/>
      <c r="H9812" s="15"/>
      <c r="I9812" s="14"/>
      <c r="P9812" s="14"/>
    </row>
    <row r="9813" ht="18.75" customHeight="1">
      <c r="A9813" s="14"/>
      <c r="B9813" s="12"/>
      <c r="C9813" s="12"/>
      <c r="D9813" s="12"/>
      <c r="E9813" s="12"/>
      <c r="F9813" s="14"/>
      <c r="G9813" s="15"/>
      <c r="H9813" s="15"/>
      <c r="I9813" s="14"/>
      <c r="P9813" s="14"/>
    </row>
    <row r="9814" ht="18.75" customHeight="1">
      <c r="A9814" s="14"/>
      <c r="B9814" s="12"/>
      <c r="C9814" s="12"/>
      <c r="D9814" s="12"/>
      <c r="E9814" s="12"/>
      <c r="F9814" s="14"/>
      <c r="G9814" s="15"/>
      <c r="H9814" s="15"/>
      <c r="I9814" s="14"/>
      <c r="P9814" s="14"/>
    </row>
    <row r="9815" ht="18.75" customHeight="1">
      <c r="A9815" s="14"/>
      <c r="B9815" s="12"/>
      <c r="C9815" s="12"/>
      <c r="D9815" s="12"/>
      <c r="E9815" s="12"/>
      <c r="F9815" s="14"/>
      <c r="G9815" s="15"/>
      <c r="H9815" s="15"/>
      <c r="I9815" s="14"/>
      <c r="P9815" s="14"/>
    </row>
    <row r="9816" ht="18.75" customHeight="1">
      <c r="A9816" s="14"/>
      <c r="B9816" s="12"/>
      <c r="C9816" s="12"/>
      <c r="D9816" s="12"/>
      <c r="E9816" s="12"/>
      <c r="F9816" s="14"/>
      <c r="G9816" s="15"/>
      <c r="H9816" s="15"/>
      <c r="I9816" s="14"/>
      <c r="P9816" s="14"/>
    </row>
    <row r="9817" ht="18.75" customHeight="1">
      <c r="A9817" s="14"/>
      <c r="B9817" s="12"/>
      <c r="C9817" s="12"/>
      <c r="D9817" s="12"/>
      <c r="E9817" s="12"/>
      <c r="F9817" s="14"/>
      <c r="G9817" s="15"/>
      <c r="H9817" s="15"/>
      <c r="I9817" s="14"/>
      <c r="P9817" s="14"/>
    </row>
    <row r="9818" ht="18.75" customHeight="1">
      <c r="A9818" s="14"/>
      <c r="B9818" s="12"/>
      <c r="C9818" s="12"/>
      <c r="D9818" s="12"/>
      <c r="E9818" s="12"/>
      <c r="F9818" s="14"/>
      <c r="G9818" s="15"/>
      <c r="H9818" s="15"/>
      <c r="I9818" s="14"/>
      <c r="P9818" s="14"/>
    </row>
    <row r="9819" ht="18.75" customHeight="1">
      <c r="A9819" s="14"/>
      <c r="B9819" s="12"/>
      <c r="C9819" s="12"/>
      <c r="D9819" s="12"/>
      <c r="E9819" s="12"/>
      <c r="F9819" s="14"/>
      <c r="G9819" s="15"/>
      <c r="H9819" s="15"/>
      <c r="I9819" s="14"/>
      <c r="P9819" s="14"/>
    </row>
    <row r="9820" ht="18.75" customHeight="1">
      <c r="A9820" s="14"/>
      <c r="B9820" s="12"/>
      <c r="C9820" s="12"/>
      <c r="D9820" s="12"/>
      <c r="E9820" s="12"/>
      <c r="F9820" s="14"/>
      <c r="G9820" s="15"/>
      <c r="H9820" s="15"/>
      <c r="I9820" s="14"/>
      <c r="P9820" s="14"/>
    </row>
    <row r="9821" ht="18.75" customHeight="1">
      <c r="A9821" s="14"/>
      <c r="B9821" s="12"/>
      <c r="C9821" s="12"/>
      <c r="D9821" s="12"/>
      <c r="E9821" s="12"/>
      <c r="F9821" s="14"/>
      <c r="G9821" s="15"/>
      <c r="H9821" s="15"/>
      <c r="I9821" s="14"/>
      <c r="P9821" s="14"/>
    </row>
    <row r="9822" ht="18.75" customHeight="1">
      <c r="A9822" s="14"/>
      <c r="B9822" s="12"/>
      <c r="C9822" s="12"/>
      <c r="D9822" s="12"/>
      <c r="E9822" s="12"/>
      <c r="F9822" s="14"/>
      <c r="G9822" s="15"/>
      <c r="H9822" s="15"/>
      <c r="I9822" s="14"/>
      <c r="P9822" s="14"/>
    </row>
    <row r="9823" ht="18.75" customHeight="1">
      <c r="A9823" s="14"/>
      <c r="B9823" s="12"/>
      <c r="C9823" s="12"/>
      <c r="D9823" s="12"/>
      <c r="E9823" s="12"/>
      <c r="F9823" s="14"/>
      <c r="G9823" s="15"/>
      <c r="H9823" s="15"/>
      <c r="I9823" s="14"/>
      <c r="P9823" s="14"/>
    </row>
    <row r="9824" ht="18.75" customHeight="1">
      <c r="A9824" s="14"/>
      <c r="B9824" s="12"/>
      <c r="C9824" s="12"/>
      <c r="D9824" s="12"/>
      <c r="E9824" s="12"/>
      <c r="F9824" s="14"/>
      <c r="G9824" s="15"/>
      <c r="H9824" s="15"/>
      <c r="I9824" s="14"/>
      <c r="P9824" s="14"/>
    </row>
    <row r="9825" ht="18.75" customHeight="1">
      <c r="A9825" s="14"/>
      <c r="B9825" s="12"/>
      <c r="C9825" s="12"/>
      <c r="D9825" s="12"/>
      <c r="E9825" s="12"/>
      <c r="F9825" s="14"/>
      <c r="G9825" s="15"/>
      <c r="H9825" s="15"/>
      <c r="I9825" s="14"/>
      <c r="P9825" s="14"/>
    </row>
    <row r="9826" ht="18.75" customHeight="1">
      <c r="A9826" s="14"/>
      <c r="B9826" s="12"/>
      <c r="C9826" s="12"/>
      <c r="D9826" s="12"/>
      <c r="E9826" s="12"/>
      <c r="F9826" s="14"/>
      <c r="G9826" s="15"/>
      <c r="H9826" s="15"/>
      <c r="I9826" s="14"/>
      <c r="P9826" s="14"/>
    </row>
    <row r="9827" ht="18.75" customHeight="1">
      <c r="A9827" s="14"/>
      <c r="B9827" s="12"/>
      <c r="C9827" s="12"/>
      <c r="D9827" s="12"/>
      <c r="E9827" s="12"/>
      <c r="F9827" s="14"/>
      <c r="G9827" s="15"/>
      <c r="H9827" s="15"/>
      <c r="I9827" s="14"/>
      <c r="P9827" s="14"/>
    </row>
    <row r="9828" ht="18.75" customHeight="1">
      <c r="A9828" s="14"/>
      <c r="B9828" s="12"/>
      <c r="C9828" s="12"/>
      <c r="D9828" s="12"/>
      <c r="E9828" s="12"/>
      <c r="F9828" s="14"/>
      <c r="G9828" s="15"/>
      <c r="H9828" s="15"/>
      <c r="I9828" s="14"/>
      <c r="P9828" s="14"/>
    </row>
    <row r="9829" ht="18.75" customHeight="1">
      <c r="A9829" s="14"/>
      <c r="B9829" s="12"/>
      <c r="C9829" s="12"/>
      <c r="D9829" s="12"/>
      <c r="E9829" s="12"/>
      <c r="F9829" s="14"/>
      <c r="G9829" s="15"/>
      <c r="H9829" s="15"/>
      <c r="I9829" s="14"/>
      <c r="P9829" s="14"/>
    </row>
    <row r="9830" ht="18.75" customHeight="1">
      <c r="A9830" s="14"/>
      <c r="B9830" s="12"/>
      <c r="C9830" s="12"/>
      <c r="D9830" s="12"/>
      <c r="E9830" s="12"/>
      <c r="F9830" s="14"/>
      <c r="G9830" s="15"/>
      <c r="H9830" s="15"/>
      <c r="I9830" s="14"/>
      <c r="P9830" s="14"/>
    </row>
    <row r="9831" ht="18.75" customHeight="1">
      <c r="A9831" s="14"/>
      <c r="B9831" s="12"/>
      <c r="C9831" s="12"/>
      <c r="D9831" s="12"/>
      <c r="E9831" s="12"/>
      <c r="F9831" s="14"/>
      <c r="G9831" s="15"/>
      <c r="H9831" s="15"/>
      <c r="I9831" s="14"/>
      <c r="P9831" s="14"/>
    </row>
    <row r="9832" ht="18.75" customHeight="1">
      <c r="A9832" s="14"/>
      <c r="B9832" s="12"/>
      <c r="C9832" s="12"/>
      <c r="D9832" s="12"/>
      <c r="E9832" s="12"/>
      <c r="F9832" s="14"/>
      <c r="G9832" s="15"/>
      <c r="H9832" s="15"/>
      <c r="I9832" s="14"/>
      <c r="P9832" s="14"/>
    </row>
    <row r="9833" ht="18.75" customHeight="1">
      <c r="A9833" s="14"/>
      <c r="B9833" s="12"/>
      <c r="C9833" s="12"/>
      <c r="D9833" s="12"/>
      <c r="E9833" s="12"/>
      <c r="F9833" s="14"/>
      <c r="G9833" s="15"/>
      <c r="H9833" s="15"/>
      <c r="I9833" s="14"/>
      <c r="P9833" s="14"/>
    </row>
    <row r="9834" ht="18.75" customHeight="1">
      <c r="A9834" s="14"/>
      <c r="B9834" s="12"/>
      <c r="C9834" s="12"/>
      <c r="D9834" s="12"/>
      <c r="E9834" s="12"/>
      <c r="F9834" s="14"/>
      <c r="G9834" s="15"/>
      <c r="H9834" s="15"/>
      <c r="I9834" s="14"/>
      <c r="P9834" s="14"/>
    </row>
    <row r="9835" ht="18.75" customHeight="1">
      <c r="A9835" s="14"/>
      <c r="B9835" s="12"/>
      <c r="C9835" s="12"/>
      <c r="D9835" s="12"/>
      <c r="E9835" s="12"/>
      <c r="F9835" s="14"/>
      <c r="G9835" s="15"/>
      <c r="H9835" s="15"/>
      <c r="I9835" s="14"/>
      <c r="P9835" s="14"/>
    </row>
    <row r="9836" ht="18.75" customHeight="1">
      <c r="A9836" s="14"/>
      <c r="B9836" s="12"/>
      <c r="C9836" s="12"/>
      <c r="D9836" s="12"/>
      <c r="E9836" s="12"/>
      <c r="F9836" s="14"/>
      <c r="G9836" s="15"/>
      <c r="H9836" s="15"/>
      <c r="I9836" s="14"/>
      <c r="P9836" s="14"/>
    </row>
    <row r="9837" ht="18.75" customHeight="1">
      <c r="A9837" s="14"/>
      <c r="B9837" s="12"/>
      <c r="C9837" s="12"/>
      <c r="D9837" s="12"/>
      <c r="E9837" s="12"/>
      <c r="F9837" s="14"/>
      <c r="G9837" s="15"/>
      <c r="H9837" s="15"/>
      <c r="I9837" s="14"/>
      <c r="P9837" s="14"/>
    </row>
    <row r="9838" ht="18.75" customHeight="1">
      <c r="A9838" s="14"/>
      <c r="B9838" s="12"/>
      <c r="C9838" s="12"/>
      <c r="D9838" s="12"/>
      <c r="E9838" s="12"/>
      <c r="F9838" s="14"/>
      <c r="G9838" s="15"/>
      <c r="H9838" s="15"/>
      <c r="I9838" s="14"/>
      <c r="P9838" s="14"/>
    </row>
    <row r="9839" ht="18.75" customHeight="1">
      <c r="A9839" s="14"/>
      <c r="B9839" s="12"/>
      <c r="C9839" s="12"/>
      <c r="D9839" s="12"/>
      <c r="E9839" s="12"/>
      <c r="F9839" s="14"/>
      <c r="G9839" s="15"/>
      <c r="H9839" s="15"/>
      <c r="I9839" s="14"/>
      <c r="P9839" s="14"/>
    </row>
    <row r="9840" ht="18.75" customHeight="1">
      <c r="A9840" s="14"/>
      <c r="B9840" s="12"/>
      <c r="C9840" s="12"/>
      <c r="D9840" s="12"/>
      <c r="E9840" s="12"/>
      <c r="F9840" s="14"/>
      <c r="G9840" s="15"/>
      <c r="H9840" s="15"/>
      <c r="I9840" s="14"/>
      <c r="P9840" s="14"/>
    </row>
    <row r="9841" ht="18.75" customHeight="1">
      <c r="A9841" s="14"/>
      <c r="B9841" s="12"/>
      <c r="C9841" s="12"/>
      <c r="D9841" s="12"/>
      <c r="E9841" s="12"/>
      <c r="F9841" s="14"/>
      <c r="G9841" s="15"/>
      <c r="H9841" s="15"/>
      <c r="I9841" s="14"/>
      <c r="P9841" s="14"/>
    </row>
    <row r="9842" ht="18.75" customHeight="1">
      <c r="A9842" s="14"/>
      <c r="B9842" s="12"/>
      <c r="C9842" s="12"/>
      <c r="D9842" s="12"/>
      <c r="E9842" s="12"/>
      <c r="F9842" s="14"/>
      <c r="G9842" s="15"/>
      <c r="H9842" s="15"/>
      <c r="I9842" s="14"/>
      <c r="P9842" s="14"/>
    </row>
    <row r="9843" ht="18.75" customHeight="1">
      <c r="A9843" s="14"/>
      <c r="B9843" s="12"/>
      <c r="C9843" s="12"/>
      <c r="D9843" s="12"/>
      <c r="E9843" s="12"/>
      <c r="F9843" s="14"/>
      <c r="G9843" s="15"/>
      <c r="H9843" s="15"/>
      <c r="I9843" s="14"/>
      <c r="P9843" s="14"/>
    </row>
    <row r="9844" ht="18.75" customHeight="1">
      <c r="A9844" s="14"/>
      <c r="B9844" s="12"/>
      <c r="C9844" s="12"/>
      <c r="D9844" s="12"/>
      <c r="E9844" s="12"/>
      <c r="F9844" s="14"/>
      <c r="G9844" s="15"/>
      <c r="H9844" s="15"/>
      <c r="I9844" s="14"/>
      <c r="P9844" s="14"/>
    </row>
    <row r="9845" ht="18.75" customHeight="1">
      <c r="A9845" s="14"/>
      <c r="B9845" s="12"/>
      <c r="C9845" s="12"/>
      <c r="D9845" s="12"/>
      <c r="E9845" s="12"/>
      <c r="F9845" s="14"/>
      <c r="G9845" s="15"/>
      <c r="H9845" s="15"/>
      <c r="I9845" s="14"/>
      <c r="P9845" s="14"/>
    </row>
    <row r="9846" ht="18.75" customHeight="1">
      <c r="A9846" s="14"/>
      <c r="B9846" s="12"/>
      <c r="C9846" s="12"/>
      <c r="D9846" s="12"/>
      <c r="E9846" s="12"/>
      <c r="F9846" s="14"/>
      <c r="G9846" s="15"/>
      <c r="H9846" s="15"/>
      <c r="I9846" s="14"/>
      <c r="P9846" s="14"/>
    </row>
    <row r="9847" ht="18.75" customHeight="1">
      <c r="A9847" s="14"/>
      <c r="B9847" s="12"/>
      <c r="C9847" s="12"/>
      <c r="D9847" s="12"/>
      <c r="E9847" s="12"/>
      <c r="F9847" s="14"/>
      <c r="G9847" s="15"/>
      <c r="H9847" s="15"/>
      <c r="I9847" s="14"/>
      <c r="P9847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7" t="s">
        <v>2230</v>
      </c>
      <c r="B1" s="7" t="s">
        <v>3777</v>
      </c>
      <c r="C1" s="7" t="s">
        <v>3778</v>
      </c>
      <c r="D1" s="7" t="s">
        <v>3779</v>
      </c>
      <c r="E1" s="7" t="s">
        <v>3780</v>
      </c>
      <c r="F1" s="7" t="s">
        <v>3781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ht="18.75" customHeight="1">
      <c r="A2" s="7" t="s">
        <v>2772</v>
      </c>
      <c r="B2" s="9">
        <v>68237.0</v>
      </c>
      <c r="C2" s="9">
        <v>75758.0</v>
      </c>
      <c r="D2" s="9">
        <v>65795.0</v>
      </c>
      <c r="E2" s="9">
        <v>20401.0</v>
      </c>
      <c r="F2" s="9">
        <v>394.0</v>
      </c>
      <c r="G2" s="15"/>
      <c r="H2" s="15"/>
      <c r="I2" s="14"/>
      <c r="J2" s="17"/>
      <c r="K2" s="14"/>
      <c r="L2" s="17"/>
      <c r="M2" s="14"/>
      <c r="N2" s="14"/>
      <c r="O2" s="14"/>
      <c r="P2" s="14"/>
      <c r="Q2" s="14"/>
      <c r="R2" s="14"/>
    </row>
    <row r="3" ht="18.75" customHeight="1">
      <c r="A3" s="7" t="s">
        <v>2774</v>
      </c>
      <c r="B3" s="9">
        <v>56899.0</v>
      </c>
      <c r="C3" s="9">
        <v>64158.0</v>
      </c>
      <c r="D3" s="9">
        <v>53701.0</v>
      </c>
      <c r="E3" s="9">
        <v>9305.0</v>
      </c>
      <c r="F3" s="9">
        <v>122.0</v>
      </c>
      <c r="G3" s="15"/>
      <c r="H3" s="15"/>
      <c r="I3" s="14"/>
      <c r="J3" s="17"/>
      <c r="K3" s="14"/>
      <c r="L3" s="17"/>
      <c r="M3" s="14"/>
      <c r="N3" s="14"/>
      <c r="O3" s="14"/>
      <c r="P3" s="14"/>
      <c r="Q3" s="14"/>
    </row>
    <row r="4" ht="18.75" customHeight="1">
      <c r="A4" s="7" t="s">
        <v>2852</v>
      </c>
      <c r="B4" s="9">
        <v>28071.0</v>
      </c>
      <c r="C4" s="9">
        <v>34949.0</v>
      </c>
      <c r="D4" s="9">
        <v>25011.0</v>
      </c>
      <c r="E4" s="9">
        <v>7950.0</v>
      </c>
      <c r="F4" s="9">
        <v>15.0</v>
      </c>
      <c r="G4" s="15"/>
      <c r="H4" s="15"/>
      <c r="I4" s="14"/>
      <c r="J4" s="17"/>
      <c r="K4" s="14"/>
      <c r="L4" s="17"/>
      <c r="M4" s="14"/>
      <c r="N4" s="14"/>
      <c r="O4" s="14"/>
      <c r="P4" s="14"/>
      <c r="Q4" s="14"/>
    </row>
    <row r="5" ht="18.75" customHeight="1">
      <c r="A5" s="7" t="s">
        <v>2767</v>
      </c>
      <c r="B5" s="9">
        <v>34339.0</v>
      </c>
      <c r="C5" s="9">
        <v>36357.0</v>
      </c>
      <c r="D5" s="9">
        <v>32892.0</v>
      </c>
      <c r="E5" s="9">
        <v>4370.0</v>
      </c>
      <c r="F5" s="9">
        <v>31.0</v>
      </c>
      <c r="G5" s="15"/>
      <c r="H5" s="15"/>
      <c r="I5" s="14"/>
      <c r="J5" s="17"/>
      <c r="K5" s="14"/>
      <c r="L5" s="17"/>
      <c r="M5" s="14"/>
      <c r="N5" s="14"/>
      <c r="O5" s="14"/>
      <c r="P5" s="14"/>
      <c r="Q5" s="14"/>
    </row>
    <row r="6" ht="18.75" customHeight="1">
      <c r="A6" s="7" t="s">
        <v>2852</v>
      </c>
      <c r="B6" s="9">
        <v>27475.0</v>
      </c>
      <c r="C6" s="9">
        <v>29856.0</v>
      </c>
      <c r="D6" s="9">
        <v>26311.0</v>
      </c>
      <c r="E6" s="9">
        <v>6267.0</v>
      </c>
      <c r="F6" s="9">
        <v>58.0</v>
      </c>
      <c r="G6" s="15"/>
      <c r="H6" s="15"/>
      <c r="I6" s="14"/>
      <c r="J6" s="17"/>
      <c r="K6" s="14"/>
      <c r="L6" s="17"/>
      <c r="M6" s="14"/>
      <c r="N6" s="14"/>
      <c r="O6" s="14"/>
      <c r="P6" s="14"/>
      <c r="Q6" s="14"/>
    </row>
    <row r="7" ht="18.75" customHeight="1">
      <c r="A7" s="7" t="s">
        <v>2852</v>
      </c>
      <c r="B7" s="9">
        <v>16521.0</v>
      </c>
      <c r="C7" s="9">
        <v>17285.0</v>
      </c>
      <c r="D7" s="9">
        <v>13468.0</v>
      </c>
      <c r="E7" s="9">
        <v>1518.0</v>
      </c>
      <c r="F7" s="9">
        <v>19.0</v>
      </c>
      <c r="G7" s="15"/>
      <c r="H7" s="15"/>
      <c r="I7" s="14"/>
      <c r="J7" s="17"/>
      <c r="K7" s="14"/>
      <c r="L7" s="17"/>
      <c r="M7" s="14"/>
      <c r="N7" s="14"/>
      <c r="O7" s="14"/>
      <c r="P7" s="14"/>
      <c r="Q7" s="14"/>
    </row>
    <row r="8" ht="18.75" customHeight="1">
      <c r="A8" s="7" t="s">
        <v>3072</v>
      </c>
      <c r="B8" s="9">
        <v>74231.0</v>
      </c>
      <c r="C8" s="9">
        <v>109612.0</v>
      </c>
      <c r="D8" s="9">
        <v>58134.0</v>
      </c>
      <c r="E8" s="9">
        <v>25747.0</v>
      </c>
      <c r="F8" s="9">
        <v>25.0</v>
      </c>
      <c r="G8" s="15"/>
      <c r="H8" s="15"/>
      <c r="I8" s="14"/>
      <c r="J8" s="17"/>
      <c r="K8" s="14"/>
      <c r="L8" s="17"/>
      <c r="M8" s="14"/>
      <c r="N8" s="14"/>
      <c r="O8" s="14"/>
      <c r="P8" s="14"/>
      <c r="Q8" s="14"/>
    </row>
    <row r="9" ht="18.75" customHeight="1">
      <c r="A9" s="7" t="s">
        <v>3072</v>
      </c>
      <c r="B9" s="9">
        <v>94510.0</v>
      </c>
      <c r="C9" s="9">
        <v>104301.0</v>
      </c>
      <c r="D9" s="9">
        <v>91168.0</v>
      </c>
      <c r="E9" s="9">
        <v>29331.0</v>
      </c>
      <c r="F9" s="9">
        <v>51.0</v>
      </c>
      <c r="G9" s="15"/>
      <c r="H9" s="15"/>
      <c r="I9" s="14"/>
      <c r="J9" s="17"/>
      <c r="K9" s="14"/>
      <c r="L9" s="17"/>
      <c r="M9" s="14"/>
      <c r="N9" s="14"/>
      <c r="O9" s="14"/>
      <c r="P9" s="14"/>
      <c r="Q9" s="14"/>
    </row>
    <row r="10" ht="18.75" customHeight="1">
      <c r="A10" s="7" t="s">
        <v>3072</v>
      </c>
      <c r="B10" s="9">
        <v>68406.0</v>
      </c>
      <c r="C10" s="9">
        <v>93416.0</v>
      </c>
      <c r="D10" s="9">
        <v>59300.0</v>
      </c>
      <c r="E10" s="9">
        <v>25915.0</v>
      </c>
      <c r="F10" s="9">
        <v>23.0</v>
      </c>
      <c r="G10" s="15"/>
      <c r="H10" s="15"/>
      <c r="I10" s="14"/>
      <c r="J10" s="17"/>
      <c r="K10" s="14"/>
      <c r="L10" s="17"/>
      <c r="M10" s="14"/>
      <c r="N10" s="14"/>
      <c r="O10" s="14"/>
      <c r="P10" s="14"/>
      <c r="Q10" s="14"/>
    </row>
    <row r="11" ht="18.75" customHeight="1">
      <c r="A11" s="7" t="s">
        <v>3072</v>
      </c>
      <c r="B11" s="9">
        <v>47369.0</v>
      </c>
      <c r="C11" s="9">
        <v>54662.0</v>
      </c>
      <c r="D11" s="9">
        <v>43309.0</v>
      </c>
      <c r="E11" s="9">
        <v>14227.0</v>
      </c>
      <c r="F11" s="9">
        <v>22.0</v>
      </c>
      <c r="G11" s="15"/>
      <c r="H11" s="15"/>
      <c r="I11" s="14"/>
      <c r="J11" s="17"/>
      <c r="K11" s="14"/>
      <c r="L11" s="17"/>
      <c r="M11" s="14"/>
      <c r="N11" s="14"/>
      <c r="O11" s="14"/>
      <c r="P11" s="14"/>
      <c r="Q11" s="14"/>
    </row>
    <row r="12" ht="18.75" customHeight="1">
      <c r="A12" s="7" t="s">
        <v>3393</v>
      </c>
      <c r="B12" s="9">
        <v>209068.0</v>
      </c>
      <c r="C12" s="9">
        <v>233915.0</v>
      </c>
      <c r="D12" s="9">
        <v>196526.0</v>
      </c>
      <c r="E12" s="9">
        <v>65326.0</v>
      </c>
      <c r="F12" s="9">
        <v>219.0</v>
      </c>
      <c r="G12" s="15"/>
      <c r="H12" s="15"/>
      <c r="I12" s="14"/>
      <c r="J12" s="17"/>
      <c r="K12" s="14"/>
      <c r="L12" s="17"/>
      <c r="M12" s="14"/>
      <c r="N12" s="14"/>
      <c r="O12" s="14"/>
      <c r="P12" s="14"/>
      <c r="Q12" s="14"/>
    </row>
    <row r="13" ht="18.75" customHeight="1">
      <c r="A13" s="7" t="s">
        <v>3444</v>
      </c>
      <c r="B13" s="9">
        <v>5801.0</v>
      </c>
      <c r="C13" s="9">
        <v>6264.0</v>
      </c>
      <c r="D13" s="9">
        <v>5378.0</v>
      </c>
      <c r="E13" s="9">
        <v>2552.0</v>
      </c>
      <c r="F13" s="9">
        <v>2.0</v>
      </c>
      <c r="G13" s="15"/>
      <c r="H13" s="15"/>
      <c r="I13" s="14"/>
      <c r="J13" s="17"/>
      <c r="K13" s="14"/>
      <c r="L13" s="17"/>
      <c r="M13" s="14"/>
      <c r="N13" s="14"/>
      <c r="O13" s="14"/>
      <c r="P13" s="14"/>
      <c r="Q13" s="14"/>
    </row>
    <row r="14" ht="18.75" customHeight="1">
      <c r="A14" s="7" t="s">
        <v>3072</v>
      </c>
      <c r="B14" s="9">
        <v>96983.0</v>
      </c>
      <c r="C14" s="9">
        <v>135054.0</v>
      </c>
      <c r="D14" s="9">
        <v>83819.0</v>
      </c>
      <c r="E14" s="9">
        <v>38985.0</v>
      </c>
      <c r="F14" s="9">
        <v>27.0</v>
      </c>
      <c r="G14" s="15"/>
      <c r="H14" s="15"/>
      <c r="I14" s="14"/>
      <c r="J14" s="17"/>
      <c r="K14" s="14"/>
      <c r="L14" s="17"/>
      <c r="M14" s="14"/>
      <c r="N14" s="14"/>
      <c r="O14" s="14"/>
      <c r="P14" s="14"/>
      <c r="Q14" s="14"/>
    </row>
    <row r="15" ht="18.75" customHeight="1">
      <c r="A15" s="7" t="s">
        <v>3134</v>
      </c>
      <c r="B15" s="9">
        <v>129004.0</v>
      </c>
      <c r="C15" s="9">
        <v>102155.0</v>
      </c>
      <c r="D15" s="9">
        <v>117775.0</v>
      </c>
      <c r="E15" s="9">
        <v>33310.0</v>
      </c>
      <c r="F15" s="9">
        <v>18.0</v>
      </c>
      <c r="G15" s="15"/>
      <c r="H15" s="15"/>
      <c r="I15" s="14"/>
      <c r="J15" s="17"/>
      <c r="K15" s="14"/>
      <c r="L15" s="17"/>
      <c r="M15" s="14"/>
      <c r="N15" s="14"/>
      <c r="O15" s="14"/>
      <c r="P15" s="14"/>
      <c r="Q15" s="14"/>
    </row>
    <row r="16" ht="18.75" customHeight="1">
      <c r="A16" s="7" t="s">
        <v>3161</v>
      </c>
      <c r="B16" s="9">
        <v>105488.0</v>
      </c>
      <c r="C16" s="9">
        <v>120632.0</v>
      </c>
      <c r="D16" s="9">
        <v>98081.0</v>
      </c>
      <c r="E16" s="9">
        <v>50302.0</v>
      </c>
      <c r="F16" s="9">
        <v>15.0</v>
      </c>
      <c r="G16" s="15"/>
      <c r="H16" s="15"/>
      <c r="I16" s="14"/>
      <c r="J16" s="17"/>
      <c r="K16" s="14"/>
      <c r="L16" s="17"/>
      <c r="M16" s="14"/>
      <c r="N16" s="14"/>
      <c r="O16" s="14"/>
      <c r="P16" s="14"/>
      <c r="Q16" s="14"/>
    </row>
    <row r="17" ht="18.75" customHeight="1">
      <c r="A17" s="7" t="s">
        <v>3394</v>
      </c>
      <c r="B17" s="9">
        <v>11713.0</v>
      </c>
      <c r="C17" s="9">
        <v>12695.0</v>
      </c>
      <c r="D17" s="9">
        <v>11062.0</v>
      </c>
      <c r="E17" s="9">
        <v>3598.0</v>
      </c>
      <c r="F17" s="9">
        <v>4.0</v>
      </c>
      <c r="G17" s="15"/>
      <c r="H17" s="15"/>
      <c r="I17" s="14"/>
      <c r="J17" s="17"/>
      <c r="K17" s="14"/>
      <c r="L17" s="17"/>
      <c r="M17" s="14"/>
      <c r="N17" s="14"/>
      <c r="O17" s="14"/>
      <c r="P17" s="14"/>
      <c r="Q17" s="14"/>
    </row>
    <row r="18" ht="18.75" customHeight="1">
      <c r="A18" s="7" t="s">
        <v>3394</v>
      </c>
      <c r="B18" s="9">
        <v>2651.0</v>
      </c>
      <c r="C18" s="9">
        <v>2755.0</v>
      </c>
      <c r="D18" s="9">
        <v>2540.0</v>
      </c>
      <c r="E18" s="9">
        <v>1293.0</v>
      </c>
      <c r="F18" s="9">
        <v>14.0</v>
      </c>
      <c r="G18" s="15"/>
      <c r="H18" s="15"/>
      <c r="I18" s="14"/>
      <c r="J18" s="17"/>
      <c r="K18" s="14"/>
      <c r="L18" s="17"/>
      <c r="M18" s="14"/>
      <c r="N18" s="14"/>
      <c r="O18" s="14"/>
      <c r="P18" s="14"/>
      <c r="Q18" s="14"/>
    </row>
    <row r="19" ht="18.75" customHeight="1">
      <c r="A19" s="7" t="s">
        <v>3515</v>
      </c>
      <c r="B19" s="9">
        <v>2644.0</v>
      </c>
      <c r="C19" s="9">
        <v>2779.0</v>
      </c>
      <c r="D19" s="9">
        <v>2484.0</v>
      </c>
      <c r="E19" s="9">
        <v>1285.0</v>
      </c>
      <c r="F19" s="9">
        <v>2.0</v>
      </c>
      <c r="G19" s="15"/>
      <c r="H19" s="15"/>
      <c r="I19" s="14"/>
      <c r="J19" s="17"/>
      <c r="K19" s="14"/>
      <c r="L19" s="17"/>
      <c r="M19" s="14"/>
      <c r="N19" s="14"/>
      <c r="O19" s="14"/>
      <c r="P19" s="14"/>
      <c r="Q19" s="14"/>
    </row>
    <row r="20" ht="18.75" customHeight="1">
      <c r="A20" s="7" t="s">
        <v>3515</v>
      </c>
      <c r="B20" s="9">
        <v>10124.0</v>
      </c>
      <c r="C20" s="9">
        <v>12850.0</v>
      </c>
      <c r="D20" s="9">
        <v>9285.0</v>
      </c>
      <c r="E20" s="9">
        <v>5140.0</v>
      </c>
      <c r="F20" s="9">
        <v>7.0</v>
      </c>
      <c r="G20" s="15"/>
      <c r="H20" s="15"/>
      <c r="I20" s="14"/>
      <c r="J20" s="17"/>
      <c r="K20" s="14"/>
      <c r="L20" s="17"/>
      <c r="M20" s="14"/>
      <c r="N20" s="14"/>
      <c r="O20" s="14"/>
      <c r="P20" s="14"/>
      <c r="Q20" s="14"/>
    </row>
    <row r="21" ht="18.75" customHeight="1">
      <c r="A21" s="7" t="s">
        <v>3515</v>
      </c>
      <c r="B21" s="9">
        <v>5594.0</v>
      </c>
      <c r="C21" s="9">
        <v>6819.0</v>
      </c>
      <c r="D21" s="9">
        <v>5165.0</v>
      </c>
      <c r="E21" s="9">
        <v>2918.0</v>
      </c>
      <c r="F21" s="9">
        <v>4.0</v>
      </c>
      <c r="G21" s="15"/>
      <c r="H21" s="15"/>
      <c r="I21" s="14"/>
      <c r="J21" s="17"/>
      <c r="K21" s="14"/>
      <c r="L21" s="17"/>
      <c r="M21" s="14"/>
      <c r="N21" s="14"/>
      <c r="O21" s="14"/>
      <c r="P21" s="14"/>
      <c r="Q21" s="14"/>
    </row>
    <row r="22" ht="18.75" customHeight="1">
      <c r="A22" s="7" t="s">
        <v>3515</v>
      </c>
      <c r="B22" s="9">
        <v>12983.0</v>
      </c>
      <c r="C22" s="9">
        <v>15934.0</v>
      </c>
      <c r="D22" s="9">
        <v>11605.0</v>
      </c>
      <c r="E22" s="9">
        <v>6309.0</v>
      </c>
      <c r="F22" s="9">
        <v>6.0</v>
      </c>
      <c r="G22" s="15"/>
      <c r="H22" s="15"/>
      <c r="I22" s="14"/>
      <c r="J22" s="17"/>
      <c r="K22" s="14"/>
      <c r="L22" s="17"/>
    </row>
    <row r="23" ht="18.75" customHeight="1">
      <c r="A23" s="7" t="s">
        <v>3515</v>
      </c>
      <c r="B23" s="9">
        <v>8622.0</v>
      </c>
      <c r="C23" s="9">
        <v>10353.0</v>
      </c>
      <c r="D23" s="9">
        <v>7917.0</v>
      </c>
      <c r="E23" s="9">
        <v>4182.0</v>
      </c>
      <c r="F23" s="9">
        <v>5.0</v>
      </c>
      <c r="G23" s="15"/>
      <c r="H23" s="15"/>
      <c r="I23" s="14"/>
      <c r="J23" s="17"/>
      <c r="K23" s="14"/>
      <c r="L23" s="17"/>
    </row>
    <row r="24" ht="18.75" customHeight="1">
      <c r="A24" s="7" t="s">
        <v>2766</v>
      </c>
      <c r="B24" s="9">
        <v>160302.0</v>
      </c>
      <c r="C24" s="9">
        <v>172096.0</v>
      </c>
      <c r="D24" s="9">
        <v>155126.0</v>
      </c>
      <c r="E24" s="9">
        <v>35745.0</v>
      </c>
      <c r="F24" s="9">
        <v>62.0</v>
      </c>
      <c r="G24" s="15"/>
      <c r="H24" s="15"/>
      <c r="I24" s="14"/>
      <c r="J24" s="17"/>
      <c r="K24" s="14"/>
      <c r="L24" s="17"/>
    </row>
    <row r="25" ht="18.75" customHeight="1">
      <c r="A25" s="7" t="s">
        <v>3131</v>
      </c>
      <c r="B25" s="9">
        <v>29504.0</v>
      </c>
      <c r="C25" s="9">
        <v>33037.0</v>
      </c>
      <c r="D25" s="9">
        <v>27853.0</v>
      </c>
      <c r="E25" s="9">
        <v>10114.0</v>
      </c>
      <c r="F25" s="9">
        <v>7.0</v>
      </c>
      <c r="G25" s="15"/>
      <c r="H25" s="15"/>
      <c r="I25" s="14"/>
      <c r="J25" s="17"/>
      <c r="K25" s="14"/>
      <c r="L25" s="17"/>
    </row>
    <row r="26" ht="18.75" customHeight="1">
      <c r="A26" s="7" t="s">
        <v>3499</v>
      </c>
      <c r="B26" s="9">
        <v>7682.0</v>
      </c>
      <c r="C26" s="9">
        <v>9388.0</v>
      </c>
      <c r="D26" s="9">
        <v>6940.0</v>
      </c>
      <c r="E26" s="9">
        <v>2835.0</v>
      </c>
      <c r="F26" s="9">
        <v>3.0</v>
      </c>
      <c r="G26" s="15"/>
      <c r="H26" s="15"/>
      <c r="I26" s="14"/>
      <c r="J26" s="17"/>
      <c r="K26" s="14"/>
      <c r="L26" s="17"/>
    </row>
    <row r="27" ht="18.75" customHeight="1">
      <c r="A27" s="7" t="s">
        <v>2792</v>
      </c>
      <c r="B27" s="9">
        <v>186460.0</v>
      </c>
      <c r="C27" s="9">
        <v>237855.0</v>
      </c>
      <c r="D27" s="9">
        <v>168052.0</v>
      </c>
      <c r="E27" s="9">
        <v>72481.0</v>
      </c>
      <c r="F27" s="9">
        <v>0.0</v>
      </c>
      <c r="G27" s="15"/>
      <c r="H27" s="15"/>
      <c r="I27" s="14"/>
      <c r="J27" s="17"/>
      <c r="K27" s="14"/>
      <c r="L27" s="17"/>
    </row>
    <row r="28" ht="18.75" customHeight="1">
      <c r="A28" s="7" t="s">
        <v>3462</v>
      </c>
      <c r="B28" s="9">
        <v>44651.0</v>
      </c>
      <c r="C28" s="9">
        <v>66940.0</v>
      </c>
      <c r="D28" s="9">
        <v>35650.0</v>
      </c>
      <c r="E28" s="9">
        <v>25404.0</v>
      </c>
      <c r="F28" s="9">
        <v>127.0</v>
      </c>
      <c r="G28" s="15"/>
      <c r="H28" s="15"/>
      <c r="I28" s="14"/>
      <c r="J28" s="17"/>
      <c r="K28" s="14"/>
      <c r="L28" s="17"/>
    </row>
    <row r="29" ht="18.75" customHeight="1">
      <c r="A29" s="7" t="s">
        <v>3782</v>
      </c>
      <c r="B29" s="9">
        <v>24363.0</v>
      </c>
      <c r="C29" s="9">
        <v>28815.0</v>
      </c>
      <c r="D29" s="9">
        <v>22150.0</v>
      </c>
      <c r="E29" s="9">
        <v>10567.0</v>
      </c>
      <c r="F29" s="9">
        <v>14.0</v>
      </c>
      <c r="G29" s="15"/>
      <c r="H29" s="15"/>
      <c r="I29" s="14"/>
      <c r="J29" s="17"/>
      <c r="K29" s="14"/>
      <c r="L29" s="17"/>
    </row>
    <row r="30" ht="18.75" customHeight="1">
      <c r="A30" s="7" t="s">
        <v>2790</v>
      </c>
      <c r="B30" s="9">
        <v>141485.0</v>
      </c>
      <c r="C30" s="9">
        <v>161206.0</v>
      </c>
      <c r="D30" s="9">
        <v>125911.0</v>
      </c>
      <c r="E30" s="9">
        <v>63677.0</v>
      </c>
      <c r="F30" s="9">
        <v>0.0</v>
      </c>
      <c r="G30" s="15"/>
      <c r="H30" s="15"/>
      <c r="I30" s="14"/>
      <c r="J30" s="17"/>
      <c r="K30" s="14"/>
      <c r="L30" s="17"/>
    </row>
    <row r="31" ht="18.75" customHeight="1">
      <c r="A31" s="7" t="s">
        <v>2790</v>
      </c>
      <c r="B31" s="9">
        <v>136712.0</v>
      </c>
      <c r="C31" s="9">
        <v>157108.0</v>
      </c>
      <c r="D31" s="9">
        <v>126468.0</v>
      </c>
      <c r="E31" s="9">
        <v>49926.0</v>
      </c>
      <c r="F31" s="9">
        <v>0.0</v>
      </c>
      <c r="G31" s="15"/>
      <c r="H31" s="15"/>
      <c r="I31" s="14"/>
      <c r="J31" s="17"/>
      <c r="K31" s="14"/>
      <c r="L31" s="17"/>
    </row>
    <row r="32" ht="18.75" customHeight="1">
      <c r="A32" s="7" t="s">
        <v>3783</v>
      </c>
      <c r="B32" s="9">
        <v>26315.0</v>
      </c>
      <c r="C32" s="9">
        <v>31505.0</v>
      </c>
      <c r="D32" s="9">
        <v>23041.0</v>
      </c>
      <c r="E32" s="9">
        <v>7997.0</v>
      </c>
      <c r="F32" s="9">
        <v>8.0</v>
      </c>
      <c r="G32" s="15"/>
      <c r="H32" s="15"/>
      <c r="I32" s="14"/>
      <c r="J32" s="17"/>
      <c r="K32" s="14"/>
      <c r="L32" s="17"/>
    </row>
    <row r="33" ht="18.75" customHeight="1">
      <c r="A33" s="7" t="s">
        <v>3437</v>
      </c>
      <c r="B33" s="9">
        <v>54559.0</v>
      </c>
      <c r="C33" s="9">
        <v>62131.0</v>
      </c>
      <c r="D33" s="9">
        <v>52747.0</v>
      </c>
      <c r="E33" s="9">
        <v>28642.0</v>
      </c>
      <c r="F33" s="9">
        <v>60.0</v>
      </c>
      <c r="G33" s="15"/>
      <c r="H33" s="15"/>
      <c r="I33" s="14"/>
      <c r="J33" s="17"/>
      <c r="K33" s="14"/>
      <c r="L33" s="17"/>
    </row>
    <row r="34" ht="18.75" customHeight="1">
      <c r="A34" s="7" t="s">
        <v>3462</v>
      </c>
      <c r="B34" s="9">
        <v>17651.0</v>
      </c>
      <c r="C34" s="9">
        <v>19463.0</v>
      </c>
      <c r="D34" s="9">
        <v>15814.0</v>
      </c>
      <c r="E34" s="9">
        <v>7580.0</v>
      </c>
      <c r="F34" s="9">
        <v>24.0</v>
      </c>
      <c r="G34" s="15"/>
      <c r="H34" s="15"/>
      <c r="I34" s="14"/>
      <c r="J34" s="17"/>
      <c r="K34" s="14"/>
      <c r="L34" s="17"/>
    </row>
    <row r="35" ht="18.75" customHeight="1">
      <c r="A35" s="7" t="s">
        <v>3412</v>
      </c>
      <c r="B35" s="9">
        <v>41669.0</v>
      </c>
      <c r="C35" s="9">
        <v>46669.0</v>
      </c>
      <c r="D35" s="9">
        <v>38054.0</v>
      </c>
      <c r="E35" s="9">
        <v>22221.0</v>
      </c>
      <c r="F35" s="9">
        <v>32.0</v>
      </c>
      <c r="G35" s="15"/>
      <c r="H35" s="15"/>
      <c r="I35" s="14"/>
      <c r="J35" s="17"/>
      <c r="K35" s="14"/>
      <c r="L35" s="17"/>
    </row>
    <row r="36" ht="18.75" customHeight="1">
      <c r="A36" s="7" t="s">
        <v>3784</v>
      </c>
      <c r="B36" s="9">
        <v>40524.0</v>
      </c>
      <c r="C36" s="9">
        <v>48732.0</v>
      </c>
      <c r="D36" s="9">
        <v>34766.0</v>
      </c>
      <c r="E36" s="9">
        <v>14783.0</v>
      </c>
      <c r="F36" s="9">
        <v>28.0</v>
      </c>
      <c r="G36" s="15"/>
      <c r="H36" s="15"/>
      <c r="I36" s="14"/>
      <c r="J36" s="17"/>
      <c r="K36" s="14"/>
      <c r="L36" s="17"/>
    </row>
    <row r="37" ht="18.75" customHeight="1">
      <c r="A37" s="7" t="s">
        <v>3448</v>
      </c>
      <c r="B37" s="9">
        <v>56949.0</v>
      </c>
      <c r="C37" s="9">
        <v>64274.0</v>
      </c>
      <c r="D37" s="9">
        <v>53523.0</v>
      </c>
      <c r="E37" s="9">
        <v>31367.0</v>
      </c>
      <c r="F37" s="9">
        <v>23.0</v>
      </c>
      <c r="G37" s="15"/>
      <c r="H37" s="15"/>
      <c r="I37" s="14"/>
      <c r="J37" s="17"/>
      <c r="K37" s="14"/>
      <c r="L37" s="17"/>
    </row>
    <row r="38" ht="18.75" customHeight="1">
      <c r="A38" s="7" t="s">
        <v>3514</v>
      </c>
      <c r="B38" s="9">
        <v>39690.0</v>
      </c>
      <c r="C38" s="9">
        <v>39690.0</v>
      </c>
      <c r="D38" s="9">
        <v>35800.0</v>
      </c>
      <c r="E38" s="9">
        <v>16586.0</v>
      </c>
      <c r="F38" s="9">
        <v>143.0</v>
      </c>
      <c r="G38" s="15"/>
      <c r="H38" s="15"/>
      <c r="I38" s="14"/>
      <c r="J38" s="17"/>
      <c r="K38" s="14"/>
      <c r="L38" s="17"/>
    </row>
    <row r="39" ht="18.75" customHeight="1">
      <c r="A39" s="7" t="s">
        <v>3121</v>
      </c>
      <c r="B39" s="9">
        <v>20724.0</v>
      </c>
      <c r="C39" s="9">
        <v>22819.0</v>
      </c>
      <c r="D39" s="9">
        <v>19193.0</v>
      </c>
      <c r="E39" s="9">
        <v>12137.0</v>
      </c>
      <c r="F39" s="9">
        <v>6.0</v>
      </c>
      <c r="G39" s="15"/>
      <c r="H39" s="15"/>
      <c r="I39" s="14"/>
      <c r="J39" s="17"/>
      <c r="K39" s="14"/>
      <c r="L39" s="17"/>
    </row>
    <row r="40" ht="18.75" customHeight="1">
      <c r="A40" s="7" t="s">
        <v>2817</v>
      </c>
      <c r="B40" s="9">
        <v>8596.0</v>
      </c>
      <c r="C40" s="9">
        <v>8596.0</v>
      </c>
      <c r="D40" s="9">
        <v>8196.0</v>
      </c>
      <c r="E40" s="9">
        <v>4043.0</v>
      </c>
      <c r="F40" s="9">
        <v>17.0</v>
      </c>
      <c r="G40" s="15"/>
      <c r="H40" s="15"/>
      <c r="I40" s="14"/>
      <c r="J40" s="17"/>
      <c r="K40" s="14"/>
      <c r="L40" s="17"/>
    </row>
    <row r="41" ht="18.75" customHeight="1">
      <c r="A41" s="7" t="s">
        <v>2832</v>
      </c>
      <c r="B41" s="9">
        <v>13462.0</v>
      </c>
      <c r="C41" s="9">
        <v>13462.0</v>
      </c>
      <c r="D41" s="9">
        <v>12518.0</v>
      </c>
      <c r="E41" s="9">
        <v>5227.0</v>
      </c>
      <c r="F41" s="9">
        <v>57.0</v>
      </c>
      <c r="G41" s="15"/>
      <c r="H41" s="15"/>
      <c r="I41" s="14"/>
      <c r="J41" s="17"/>
      <c r="K41" s="14"/>
      <c r="L41" s="17"/>
    </row>
    <row r="42" ht="18.75" customHeight="1">
      <c r="A42" s="7" t="s">
        <v>2833</v>
      </c>
      <c r="B42" s="9">
        <v>9519.0</v>
      </c>
      <c r="C42" s="9">
        <v>9519.0</v>
      </c>
      <c r="D42" s="9">
        <v>8947.0</v>
      </c>
      <c r="E42" s="9">
        <v>4085.0</v>
      </c>
      <c r="F42" s="9">
        <v>30.0</v>
      </c>
      <c r="G42" s="15"/>
      <c r="H42" s="15"/>
      <c r="I42" s="14"/>
      <c r="J42" s="17"/>
      <c r="K42" s="14"/>
      <c r="L42" s="17"/>
    </row>
    <row r="43" ht="18.75" customHeight="1">
      <c r="A43" s="7" t="s">
        <v>2835</v>
      </c>
      <c r="B43" s="9">
        <v>12000.0</v>
      </c>
      <c r="C43" s="9">
        <v>12718.0</v>
      </c>
      <c r="D43" s="9">
        <v>11596.0</v>
      </c>
      <c r="E43" s="9">
        <v>6222.0</v>
      </c>
      <c r="F43" s="9">
        <v>35.0</v>
      </c>
      <c r="G43" s="15"/>
      <c r="H43" s="15"/>
      <c r="I43" s="14"/>
      <c r="J43" s="17"/>
      <c r="K43" s="14"/>
      <c r="L43" s="17"/>
    </row>
    <row r="44" ht="18.75" customHeight="1">
      <c r="A44" s="7" t="s">
        <v>2834</v>
      </c>
      <c r="B44" s="9">
        <v>10415.0</v>
      </c>
      <c r="C44" s="9">
        <v>10415.0</v>
      </c>
      <c r="D44" s="9">
        <v>9630.0</v>
      </c>
      <c r="E44" s="9">
        <v>5041.0</v>
      </c>
      <c r="F44" s="9">
        <v>23.0</v>
      </c>
      <c r="G44" s="15"/>
      <c r="H44" s="15"/>
      <c r="I44" s="14"/>
      <c r="J44" s="17"/>
      <c r="K44" s="14"/>
      <c r="L44" s="17"/>
    </row>
    <row r="45" ht="18.75" customHeight="1">
      <c r="A45" s="7" t="s">
        <v>2837</v>
      </c>
      <c r="B45" s="9">
        <v>14582.0</v>
      </c>
      <c r="C45" s="9">
        <v>14582.0</v>
      </c>
      <c r="D45" s="9">
        <v>12865.0</v>
      </c>
      <c r="E45" s="9">
        <v>5906.0</v>
      </c>
      <c r="F45" s="9">
        <v>38.0</v>
      </c>
      <c r="G45" s="15"/>
      <c r="H45" s="15"/>
      <c r="I45" s="14"/>
      <c r="J45" s="17"/>
      <c r="K45" s="14"/>
      <c r="L45" s="17"/>
    </row>
    <row r="46" ht="18.75" customHeight="1">
      <c r="A46" s="7" t="s">
        <v>2786</v>
      </c>
      <c r="B46" s="9">
        <v>1745.0</v>
      </c>
      <c r="C46" s="9">
        <v>1745.0</v>
      </c>
      <c r="D46" s="9">
        <v>1700.0</v>
      </c>
      <c r="E46" s="9">
        <v>552.0</v>
      </c>
      <c r="F46" s="9">
        <v>18.0</v>
      </c>
      <c r="G46" s="15"/>
      <c r="H46" s="15"/>
      <c r="I46" s="14"/>
      <c r="J46" s="17"/>
      <c r="K46" s="14"/>
      <c r="L46" s="17"/>
    </row>
    <row r="47" ht="18.75" customHeight="1">
      <c r="A47" s="7" t="s">
        <v>3202</v>
      </c>
      <c r="B47" s="9">
        <v>5529.0</v>
      </c>
      <c r="C47" s="9">
        <v>5529.0</v>
      </c>
      <c r="D47" s="9">
        <v>4888.0</v>
      </c>
      <c r="E47" s="9">
        <v>2059.0</v>
      </c>
      <c r="F47" s="9">
        <v>21.0</v>
      </c>
      <c r="G47" s="15"/>
      <c r="H47" s="15"/>
      <c r="I47" s="14"/>
      <c r="J47" s="17"/>
      <c r="K47" s="14"/>
      <c r="L47" s="17"/>
    </row>
    <row r="48" ht="18.75" customHeight="1">
      <c r="A48" s="7" t="s">
        <v>2836</v>
      </c>
      <c r="B48" s="9">
        <v>9139.0</v>
      </c>
      <c r="C48" s="9">
        <v>9139.0</v>
      </c>
      <c r="D48" s="9">
        <v>8181.0</v>
      </c>
      <c r="E48" s="9">
        <v>3390.0</v>
      </c>
      <c r="F48" s="9">
        <v>23.0</v>
      </c>
      <c r="G48" s="15"/>
      <c r="H48" s="15"/>
      <c r="I48" s="14"/>
      <c r="J48" s="17"/>
      <c r="K48" s="14"/>
      <c r="L48" s="17"/>
    </row>
    <row r="49" ht="18.75" customHeight="1">
      <c r="A49" s="7" t="s">
        <v>2818</v>
      </c>
      <c r="B49" s="9">
        <v>8466.0</v>
      </c>
      <c r="C49" s="9">
        <v>8466.0</v>
      </c>
      <c r="D49" s="9">
        <v>7501.0</v>
      </c>
      <c r="E49" s="9">
        <v>2940.0</v>
      </c>
      <c r="F49" s="9">
        <v>16.0</v>
      </c>
      <c r="G49" s="15"/>
      <c r="H49" s="15"/>
      <c r="I49" s="14"/>
      <c r="J49" s="17"/>
      <c r="K49" s="14"/>
      <c r="L49" s="17"/>
    </row>
    <row r="50" ht="18.75" customHeight="1">
      <c r="A50" s="7" t="s">
        <v>2869</v>
      </c>
      <c r="B50" s="9">
        <v>3936.0</v>
      </c>
      <c r="C50" s="9">
        <v>3936.0</v>
      </c>
      <c r="D50" s="9">
        <v>3787.0</v>
      </c>
      <c r="E50" s="9">
        <v>1022.0</v>
      </c>
      <c r="F50" s="9">
        <v>10.0</v>
      </c>
      <c r="G50" s="15"/>
      <c r="H50" s="15"/>
      <c r="I50" s="14"/>
      <c r="J50" s="17"/>
      <c r="K50" s="14"/>
      <c r="L50" s="17"/>
    </row>
    <row r="51" ht="18.75" customHeight="1">
      <c r="A51" s="7" t="s">
        <v>2819</v>
      </c>
      <c r="B51" s="9">
        <v>14378.0</v>
      </c>
      <c r="C51" s="9">
        <v>14378.0</v>
      </c>
      <c r="D51" s="9">
        <v>12697.0</v>
      </c>
      <c r="E51" s="9">
        <v>5697.0</v>
      </c>
      <c r="F51" s="9">
        <v>46.0</v>
      </c>
      <c r="G51" s="15"/>
      <c r="H51" s="15"/>
      <c r="I51" s="14"/>
      <c r="J51" s="17"/>
      <c r="K51" s="14"/>
      <c r="L51" s="17"/>
    </row>
    <row r="52" ht="18.75" customHeight="1">
      <c r="A52" s="7" t="s">
        <v>2820</v>
      </c>
      <c r="B52" s="9">
        <v>13935.0</v>
      </c>
      <c r="C52" s="9">
        <v>13935.0</v>
      </c>
      <c r="D52" s="9">
        <v>12260.0</v>
      </c>
      <c r="E52" s="9">
        <v>4905.0</v>
      </c>
      <c r="F52" s="9">
        <v>67.0</v>
      </c>
      <c r="G52" s="15"/>
      <c r="H52" s="15"/>
      <c r="I52" s="14"/>
      <c r="J52" s="17"/>
      <c r="K52" s="14"/>
      <c r="L52" s="17"/>
    </row>
    <row r="53" ht="18.75" customHeight="1">
      <c r="A53" s="7" t="s">
        <v>2778</v>
      </c>
      <c r="B53" s="9">
        <v>19551.0</v>
      </c>
      <c r="C53" s="9">
        <v>19551.0</v>
      </c>
      <c r="D53" s="9">
        <v>16903.0</v>
      </c>
      <c r="E53" s="9">
        <v>7041.0</v>
      </c>
      <c r="F53" s="9">
        <v>64.0</v>
      </c>
      <c r="G53" s="15"/>
      <c r="H53" s="15"/>
      <c r="I53" s="14"/>
      <c r="J53" s="17"/>
      <c r="K53" s="14"/>
      <c r="L53" s="17"/>
    </row>
    <row r="54" ht="18.75" customHeight="1">
      <c r="A54" s="7" t="s">
        <v>2838</v>
      </c>
      <c r="B54" s="9">
        <v>9019.0</v>
      </c>
      <c r="C54" s="9">
        <v>9019.0</v>
      </c>
      <c r="D54" s="9">
        <v>8032.0</v>
      </c>
      <c r="E54" s="9">
        <v>3307.0</v>
      </c>
      <c r="F54" s="9">
        <v>41.0</v>
      </c>
      <c r="G54" s="15"/>
      <c r="H54" s="15"/>
      <c r="I54" s="14"/>
      <c r="J54" s="17"/>
      <c r="K54" s="14"/>
      <c r="L54" s="17"/>
    </row>
    <row r="55" ht="18.75" customHeight="1">
      <c r="A55" s="7" t="s">
        <v>2809</v>
      </c>
      <c r="B55" s="9">
        <v>46731.0</v>
      </c>
      <c r="C55" s="9">
        <v>46731.0</v>
      </c>
      <c r="D55" s="9">
        <v>40499.0</v>
      </c>
      <c r="E55" s="9">
        <v>17820.0</v>
      </c>
      <c r="F55" s="9">
        <v>75.0</v>
      </c>
      <c r="G55" s="15"/>
      <c r="H55" s="15"/>
      <c r="I55" s="14"/>
      <c r="J55" s="17"/>
      <c r="K55" s="14"/>
      <c r="L55" s="17"/>
    </row>
    <row r="56" ht="18.75" customHeight="1">
      <c r="A56" s="7" t="s">
        <v>2828</v>
      </c>
      <c r="B56" s="9">
        <v>4066.0</v>
      </c>
      <c r="C56" s="9">
        <v>4066.0</v>
      </c>
      <c r="D56" s="9">
        <v>3755.0</v>
      </c>
      <c r="E56" s="9">
        <v>1472.0</v>
      </c>
      <c r="F56" s="9">
        <v>21.0</v>
      </c>
      <c r="G56" s="15"/>
      <c r="H56" s="15"/>
      <c r="I56" s="14"/>
      <c r="J56" s="17"/>
      <c r="K56" s="14"/>
      <c r="L56" s="17"/>
    </row>
    <row r="57" ht="18.75" customHeight="1">
      <c r="A57" s="7" t="s">
        <v>2779</v>
      </c>
      <c r="B57" s="9">
        <v>9332.0</v>
      </c>
      <c r="C57" s="9">
        <v>9332.0</v>
      </c>
      <c r="D57" s="9">
        <v>8230.0</v>
      </c>
      <c r="E57" s="9">
        <v>3285.0</v>
      </c>
      <c r="F57" s="9">
        <v>37.0</v>
      </c>
      <c r="G57" s="15"/>
      <c r="H57" s="15"/>
      <c r="I57" s="14"/>
      <c r="J57" s="17"/>
      <c r="K57" s="14"/>
      <c r="L57" s="17"/>
    </row>
    <row r="58" ht="18.75" customHeight="1">
      <c r="A58" s="7" t="s">
        <v>2780</v>
      </c>
      <c r="B58" s="9">
        <v>9304.0</v>
      </c>
      <c r="C58" s="9">
        <v>9304.0</v>
      </c>
      <c r="D58" s="9">
        <v>8678.0</v>
      </c>
      <c r="E58" s="9">
        <v>3625.0</v>
      </c>
      <c r="F58" s="9">
        <v>49.0</v>
      </c>
      <c r="G58" s="15"/>
      <c r="H58" s="15"/>
      <c r="I58" s="14"/>
      <c r="J58" s="17"/>
      <c r="K58" s="14"/>
      <c r="L58" s="17"/>
    </row>
    <row r="59" ht="18.75" customHeight="1">
      <c r="A59" s="7" t="s">
        <v>2810</v>
      </c>
      <c r="B59" s="9">
        <v>11715.0</v>
      </c>
      <c r="C59" s="9">
        <v>11715.0</v>
      </c>
      <c r="D59" s="9">
        <v>11097.0</v>
      </c>
      <c r="E59" s="9">
        <v>4478.0</v>
      </c>
      <c r="F59" s="9">
        <v>41.0</v>
      </c>
      <c r="G59" s="15"/>
      <c r="H59" s="15"/>
      <c r="I59" s="14"/>
      <c r="J59" s="17"/>
      <c r="K59" s="14"/>
      <c r="L59" s="17"/>
    </row>
    <row r="60" ht="18.75" customHeight="1">
      <c r="A60" s="7" t="s">
        <v>3220</v>
      </c>
      <c r="B60" s="9">
        <v>25622.0</v>
      </c>
      <c r="C60" s="9">
        <v>25622.0</v>
      </c>
      <c r="D60" s="9">
        <v>24151.0</v>
      </c>
      <c r="E60" s="9">
        <v>9753.0</v>
      </c>
      <c r="F60" s="9">
        <v>90.0</v>
      </c>
      <c r="G60" s="15"/>
      <c r="H60" s="15"/>
      <c r="I60" s="14"/>
      <c r="J60" s="17"/>
      <c r="K60" s="14"/>
      <c r="L60" s="17"/>
    </row>
    <row r="61" ht="18.75" customHeight="1">
      <c r="A61" s="7" t="s">
        <v>3223</v>
      </c>
      <c r="B61" s="9">
        <v>3802.0</v>
      </c>
      <c r="C61" s="9">
        <v>3802.0</v>
      </c>
      <c r="D61" s="9">
        <v>3630.0</v>
      </c>
      <c r="E61" s="9">
        <v>1621.0</v>
      </c>
      <c r="F61" s="9">
        <v>13.0</v>
      </c>
      <c r="G61" s="15"/>
      <c r="H61" s="15"/>
      <c r="I61" s="14"/>
      <c r="J61" s="17"/>
      <c r="K61" s="14"/>
      <c r="L61" s="17"/>
    </row>
    <row r="62" ht="18.75" customHeight="1">
      <c r="A62" s="7" t="s">
        <v>2821</v>
      </c>
      <c r="B62" s="9">
        <v>15664.0</v>
      </c>
      <c r="C62" s="9">
        <v>15664.0</v>
      </c>
      <c r="D62" s="9">
        <v>15028.0</v>
      </c>
      <c r="E62" s="9">
        <v>6141.0</v>
      </c>
      <c r="F62" s="9">
        <v>43.0</v>
      </c>
      <c r="G62" s="15"/>
      <c r="H62" s="15"/>
      <c r="I62" s="14"/>
      <c r="J62" s="17"/>
      <c r="K62" s="14"/>
      <c r="L62" s="17"/>
    </row>
    <row r="63" ht="18.75" customHeight="1">
      <c r="A63" s="7" t="s">
        <v>2787</v>
      </c>
      <c r="B63" s="9">
        <v>31368.0</v>
      </c>
      <c r="C63" s="9">
        <v>31368.0</v>
      </c>
      <c r="D63" s="9">
        <v>29716.0</v>
      </c>
      <c r="E63" s="9">
        <v>12822.0</v>
      </c>
      <c r="F63" s="9">
        <v>103.0</v>
      </c>
      <c r="G63" s="15"/>
      <c r="H63" s="15"/>
      <c r="I63" s="14"/>
      <c r="J63" s="17"/>
      <c r="K63" s="14"/>
      <c r="L63" s="17"/>
    </row>
    <row r="64" ht="18.75" customHeight="1">
      <c r="A64" s="7" t="s">
        <v>2825</v>
      </c>
      <c r="B64" s="9">
        <v>9010.0</v>
      </c>
      <c r="C64" s="9">
        <v>9010.0</v>
      </c>
      <c r="D64" s="9">
        <v>8525.0</v>
      </c>
      <c r="E64" s="9">
        <v>3538.0</v>
      </c>
      <c r="F64" s="9">
        <v>33.0</v>
      </c>
      <c r="G64" s="15"/>
      <c r="H64" s="15"/>
      <c r="I64" s="14"/>
      <c r="J64" s="17"/>
      <c r="K64" s="14"/>
      <c r="L64" s="17"/>
    </row>
    <row r="65" ht="18.75" customHeight="1">
      <c r="A65" s="7" t="s">
        <v>2853</v>
      </c>
      <c r="B65" s="9">
        <v>21174.0</v>
      </c>
      <c r="C65" s="9">
        <v>21174.0</v>
      </c>
      <c r="D65" s="9">
        <v>19998.0</v>
      </c>
      <c r="E65" s="9">
        <v>8089.0</v>
      </c>
      <c r="F65" s="9">
        <v>90.0</v>
      </c>
      <c r="G65" s="15"/>
      <c r="H65" s="15"/>
      <c r="I65" s="14"/>
      <c r="J65" s="17"/>
      <c r="K65" s="14"/>
      <c r="L65" s="17"/>
    </row>
    <row r="66" ht="18.75" customHeight="1">
      <c r="A66" s="7" t="s">
        <v>2761</v>
      </c>
      <c r="B66" s="9">
        <v>8099.0</v>
      </c>
      <c r="C66" s="9">
        <v>8099.0</v>
      </c>
      <c r="D66" s="9">
        <v>7626.0</v>
      </c>
      <c r="E66" s="9">
        <v>3160.0</v>
      </c>
      <c r="F66" s="9">
        <v>42.0</v>
      </c>
      <c r="G66" s="15"/>
      <c r="H66" s="15"/>
      <c r="I66" s="14"/>
      <c r="J66" s="17"/>
      <c r="K66" s="14"/>
      <c r="L66" s="17"/>
    </row>
    <row r="67" ht="18.75" customHeight="1">
      <c r="A67" s="7" t="s">
        <v>2826</v>
      </c>
      <c r="B67" s="9">
        <v>4233.0</v>
      </c>
      <c r="C67" s="9">
        <v>4233.0</v>
      </c>
      <c r="D67" s="9">
        <v>3955.0</v>
      </c>
      <c r="E67" s="9">
        <v>1593.0</v>
      </c>
      <c r="F67" s="9">
        <v>15.0</v>
      </c>
      <c r="G67" s="15"/>
      <c r="H67" s="15"/>
      <c r="I67" s="14"/>
      <c r="J67" s="17"/>
      <c r="K67" s="14"/>
      <c r="L67" s="17"/>
    </row>
    <row r="68" ht="18.75" customHeight="1">
      <c r="A68" s="7" t="s">
        <v>2827</v>
      </c>
      <c r="B68" s="9">
        <v>8466.0</v>
      </c>
      <c r="C68" s="9">
        <v>8466.0</v>
      </c>
      <c r="D68" s="9">
        <v>7691.0</v>
      </c>
      <c r="E68" s="9">
        <v>3603.0</v>
      </c>
      <c r="F68" s="9">
        <v>32.0</v>
      </c>
      <c r="G68" s="15"/>
      <c r="H68" s="15"/>
      <c r="I68" s="14"/>
      <c r="J68" s="17"/>
      <c r="K68" s="14"/>
      <c r="L68" s="17"/>
    </row>
    <row r="69" ht="18.75" customHeight="1">
      <c r="A69" s="7" t="s">
        <v>2822</v>
      </c>
      <c r="B69" s="9">
        <v>3802.0</v>
      </c>
      <c r="C69" s="9">
        <v>3802.0</v>
      </c>
      <c r="D69" s="9">
        <v>3423.0</v>
      </c>
      <c r="E69" s="9">
        <v>1685.0</v>
      </c>
      <c r="F69" s="9">
        <v>9.0</v>
      </c>
      <c r="G69" s="15"/>
      <c r="H69" s="15"/>
      <c r="I69" s="14"/>
      <c r="J69" s="17"/>
      <c r="K69" s="14"/>
      <c r="L69" s="17"/>
    </row>
    <row r="70" ht="18.75" customHeight="1">
      <c r="A70" s="7" t="s">
        <v>2781</v>
      </c>
      <c r="B70" s="9">
        <v>4807.0</v>
      </c>
      <c r="C70" s="9">
        <v>4807.0</v>
      </c>
      <c r="D70" s="9">
        <v>4459.0</v>
      </c>
      <c r="E70" s="9">
        <v>1930.0</v>
      </c>
      <c r="F70" s="9">
        <v>31.0</v>
      </c>
      <c r="G70" s="15"/>
      <c r="H70" s="15"/>
      <c r="I70" s="14"/>
      <c r="J70" s="17"/>
      <c r="K70" s="14"/>
      <c r="L70" s="17"/>
    </row>
    <row r="71" ht="18.75" customHeight="1">
      <c r="A71" s="7" t="s">
        <v>2830</v>
      </c>
      <c r="B71" s="9">
        <v>5529.0</v>
      </c>
      <c r="C71" s="9">
        <v>5529.0</v>
      </c>
      <c r="D71" s="9">
        <v>4961.0</v>
      </c>
      <c r="E71" s="9">
        <v>1921.0</v>
      </c>
      <c r="F71" s="9">
        <v>24.0</v>
      </c>
      <c r="G71" s="15"/>
      <c r="H71" s="15"/>
      <c r="I71" s="14"/>
      <c r="J71" s="17"/>
      <c r="K71" s="14"/>
      <c r="L71" s="17"/>
    </row>
    <row r="72" ht="18.75" customHeight="1">
      <c r="A72" s="7" t="s">
        <v>2788</v>
      </c>
      <c r="B72" s="9">
        <v>10547.0</v>
      </c>
      <c r="C72" s="9">
        <v>10547.0</v>
      </c>
      <c r="D72" s="9">
        <v>9474.0</v>
      </c>
      <c r="E72" s="9">
        <v>3791.0</v>
      </c>
      <c r="F72" s="9">
        <v>47.0</v>
      </c>
      <c r="G72" s="15"/>
      <c r="H72" s="15"/>
      <c r="I72" s="14"/>
      <c r="J72" s="17"/>
      <c r="K72" s="14"/>
      <c r="L72" s="17"/>
    </row>
    <row r="73" ht="18.75" customHeight="1">
      <c r="A73" s="7" t="s">
        <v>2811</v>
      </c>
      <c r="B73" s="9">
        <v>8946.0</v>
      </c>
      <c r="C73" s="9">
        <v>8946.0</v>
      </c>
      <c r="D73" s="9">
        <v>8106.0</v>
      </c>
      <c r="E73" s="9">
        <v>3261.0</v>
      </c>
      <c r="F73" s="9">
        <v>29.0</v>
      </c>
      <c r="G73" s="15"/>
      <c r="H73" s="15"/>
      <c r="I73" s="14"/>
      <c r="J73" s="17"/>
      <c r="K73" s="14"/>
      <c r="L73" s="17"/>
    </row>
    <row r="74" ht="18.75" customHeight="1">
      <c r="A74" s="7" t="s">
        <v>2812</v>
      </c>
      <c r="B74" s="9">
        <v>9421.0</v>
      </c>
      <c r="C74" s="9">
        <v>9421.0</v>
      </c>
      <c r="D74" s="9">
        <v>8419.0</v>
      </c>
      <c r="E74" s="9">
        <v>4076.0</v>
      </c>
      <c r="F74" s="9">
        <v>28.0</v>
      </c>
      <c r="G74" s="15"/>
      <c r="H74" s="15"/>
      <c r="I74" s="14"/>
      <c r="J74" s="17"/>
      <c r="K74" s="14"/>
      <c r="L74" s="17"/>
    </row>
    <row r="75" ht="18.75" customHeight="1">
      <c r="A75" s="7" t="s">
        <v>2813</v>
      </c>
      <c r="B75" s="9">
        <v>11341.0</v>
      </c>
      <c r="C75" s="9">
        <v>11341.0</v>
      </c>
      <c r="D75" s="9">
        <v>10228.0</v>
      </c>
      <c r="E75" s="9">
        <v>4821.0</v>
      </c>
      <c r="F75" s="9">
        <v>26.0</v>
      </c>
      <c r="G75" s="15"/>
      <c r="H75" s="15"/>
      <c r="I75" s="14"/>
      <c r="J75" s="17"/>
      <c r="K75" s="14"/>
      <c r="L75" s="17"/>
    </row>
    <row r="76" ht="18.75" customHeight="1">
      <c r="A76" s="7" t="s">
        <v>2789</v>
      </c>
      <c r="B76" s="9">
        <v>6223.0</v>
      </c>
      <c r="C76" s="9">
        <v>6223.0</v>
      </c>
      <c r="D76" s="9">
        <v>5604.0</v>
      </c>
      <c r="E76" s="9">
        <v>2418.0</v>
      </c>
      <c r="F76" s="9">
        <v>33.0</v>
      </c>
      <c r="G76" s="15"/>
      <c r="H76" s="15"/>
      <c r="I76" s="14"/>
      <c r="J76" s="17"/>
      <c r="K76" s="14"/>
      <c r="L76" s="17"/>
    </row>
    <row r="77" ht="18.75" customHeight="1">
      <c r="A77" s="7" t="s">
        <v>2756</v>
      </c>
      <c r="B77" s="9">
        <v>8596.0</v>
      </c>
      <c r="C77" s="9">
        <v>8596.0</v>
      </c>
      <c r="D77" s="9">
        <v>7833.0</v>
      </c>
      <c r="E77" s="9">
        <v>3804.0</v>
      </c>
      <c r="F77" s="9">
        <v>35.0</v>
      </c>
      <c r="G77" s="15"/>
      <c r="H77" s="15"/>
      <c r="I77" s="14"/>
      <c r="J77" s="17"/>
      <c r="K77" s="14"/>
      <c r="L77" s="17"/>
    </row>
    <row r="78" ht="18.75" customHeight="1">
      <c r="A78" s="7" t="s">
        <v>2823</v>
      </c>
      <c r="B78" s="9">
        <v>4966.0</v>
      </c>
      <c r="C78" s="9">
        <v>4966.0</v>
      </c>
      <c r="D78" s="9">
        <v>4513.0</v>
      </c>
      <c r="E78" s="9">
        <v>2206.0</v>
      </c>
      <c r="F78" s="9">
        <v>27.0</v>
      </c>
      <c r="G78" s="15"/>
      <c r="H78" s="15"/>
      <c r="I78" s="14"/>
      <c r="J78" s="17"/>
      <c r="K78" s="14"/>
      <c r="L78" s="17"/>
    </row>
    <row r="79" ht="18.75" customHeight="1">
      <c r="A79" s="7" t="s">
        <v>2757</v>
      </c>
      <c r="B79" s="9">
        <v>28753.0</v>
      </c>
      <c r="C79" s="9">
        <v>28753.0</v>
      </c>
      <c r="D79" s="9">
        <v>26778.0</v>
      </c>
      <c r="E79" s="9">
        <v>13082.0</v>
      </c>
      <c r="F79" s="9">
        <v>148.0</v>
      </c>
      <c r="G79" s="15"/>
      <c r="H79" s="15"/>
      <c r="I79" s="14"/>
      <c r="J79" s="17"/>
      <c r="K79" s="14"/>
      <c r="L79" s="17"/>
    </row>
    <row r="80" ht="18.75" customHeight="1">
      <c r="A80" s="7" t="s">
        <v>2814</v>
      </c>
      <c r="B80" s="9">
        <v>9054.0</v>
      </c>
      <c r="C80" s="9">
        <v>9054.0</v>
      </c>
      <c r="D80" s="9">
        <v>8070.0</v>
      </c>
      <c r="E80" s="9">
        <v>3709.0</v>
      </c>
      <c r="F80" s="9">
        <v>31.0</v>
      </c>
      <c r="G80" s="15"/>
      <c r="H80" s="15"/>
      <c r="I80" s="14"/>
      <c r="J80" s="17"/>
      <c r="K80" s="14"/>
      <c r="L80" s="17"/>
    </row>
    <row r="81" ht="18.75" customHeight="1">
      <c r="A81" s="7" t="s">
        <v>2782</v>
      </c>
      <c r="B81" s="9">
        <v>15921.0</v>
      </c>
      <c r="C81" s="9">
        <v>15921.0</v>
      </c>
      <c r="D81" s="9">
        <v>14406.0</v>
      </c>
      <c r="E81" s="9">
        <v>6457.0</v>
      </c>
      <c r="F81" s="9">
        <v>27.0</v>
      </c>
      <c r="G81" s="15"/>
      <c r="H81" s="15"/>
      <c r="I81" s="14"/>
      <c r="J81" s="17"/>
      <c r="K81" s="14"/>
      <c r="L81" s="17"/>
    </row>
    <row r="82" ht="18.75" customHeight="1">
      <c r="A82" s="7" t="s">
        <v>2758</v>
      </c>
      <c r="B82" s="9">
        <v>88264.0</v>
      </c>
      <c r="C82" s="9">
        <v>88234.0</v>
      </c>
      <c r="D82" s="9">
        <v>77131.0</v>
      </c>
      <c r="E82" s="9">
        <v>32094.0</v>
      </c>
      <c r="F82" s="9">
        <v>38.0</v>
      </c>
      <c r="G82" s="15"/>
      <c r="H82" s="15"/>
      <c r="I82" s="14"/>
      <c r="J82" s="17"/>
      <c r="K82" s="14"/>
      <c r="L82" s="17"/>
    </row>
    <row r="83" ht="18.75" customHeight="1">
      <c r="A83" s="7" t="s">
        <v>3349</v>
      </c>
      <c r="B83" s="9">
        <v>20447.0</v>
      </c>
      <c r="C83" s="9">
        <v>20447.0</v>
      </c>
      <c r="D83" s="9">
        <v>18626.0</v>
      </c>
      <c r="E83" s="9">
        <v>7157.0</v>
      </c>
      <c r="F83" s="9">
        <v>66.0</v>
      </c>
      <c r="G83" s="15"/>
      <c r="H83" s="15"/>
      <c r="I83" s="14"/>
      <c r="J83" s="17"/>
      <c r="K83" s="14"/>
      <c r="L83" s="17"/>
    </row>
    <row r="84" ht="18.75" customHeight="1">
      <c r="A84" s="7" t="s">
        <v>3571</v>
      </c>
      <c r="B84" s="9">
        <v>20415.0</v>
      </c>
      <c r="C84" s="9">
        <v>18426.0</v>
      </c>
      <c r="D84" s="9">
        <v>13573.0</v>
      </c>
      <c r="E84" s="9">
        <v>8212.0</v>
      </c>
      <c r="F84" s="9">
        <v>0.0</v>
      </c>
      <c r="G84" s="15"/>
      <c r="H84" s="15"/>
      <c r="I84" s="14"/>
      <c r="J84" s="17"/>
      <c r="K84" s="14"/>
      <c r="L84" s="17"/>
    </row>
    <row r="85" ht="18.75" customHeight="1">
      <c r="A85" s="7" t="s">
        <v>3286</v>
      </c>
      <c r="B85" s="9">
        <v>24184.0</v>
      </c>
      <c r="C85" s="9">
        <v>24184.0</v>
      </c>
      <c r="D85" s="9">
        <v>19220.0</v>
      </c>
      <c r="E85" s="9">
        <v>8793.0</v>
      </c>
      <c r="F85" s="9">
        <v>22.0</v>
      </c>
      <c r="G85" s="15"/>
      <c r="H85" s="15"/>
      <c r="I85" s="14"/>
      <c r="J85" s="17"/>
      <c r="K85" s="14"/>
      <c r="L85" s="17"/>
    </row>
    <row r="86" ht="18.75" customHeight="1">
      <c r="A86" s="7" t="s">
        <v>3490</v>
      </c>
      <c r="B86" s="9">
        <v>3142.0</v>
      </c>
      <c r="C86" s="9">
        <v>3142.0</v>
      </c>
      <c r="D86" s="9">
        <v>2875.0</v>
      </c>
      <c r="E86" s="9">
        <v>755.0</v>
      </c>
      <c r="F86" s="9">
        <v>0.0</v>
      </c>
      <c r="G86" s="15"/>
      <c r="H86" s="15"/>
      <c r="I86" s="14"/>
      <c r="J86" s="17"/>
      <c r="K86" s="14"/>
      <c r="L86" s="17"/>
    </row>
    <row r="87" ht="18.75" customHeight="1">
      <c r="A87" s="7" t="s">
        <v>3447</v>
      </c>
      <c r="B87" s="9">
        <v>5452.0</v>
      </c>
      <c r="C87" s="9">
        <v>5452.0</v>
      </c>
      <c r="D87" s="9">
        <v>5001.0</v>
      </c>
      <c r="E87" s="9">
        <v>3225.0</v>
      </c>
      <c r="F87" s="9">
        <v>20.0</v>
      </c>
      <c r="G87" s="15"/>
      <c r="H87" s="15"/>
      <c r="I87" s="14"/>
      <c r="J87" s="17"/>
      <c r="K87" s="14"/>
      <c r="L87" s="17"/>
    </row>
    <row r="88" ht="18.75" customHeight="1">
      <c r="A88" s="7" t="s">
        <v>3576</v>
      </c>
      <c r="B88" s="9">
        <v>61479.0</v>
      </c>
      <c r="C88" s="9">
        <v>61479.0</v>
      </c>
      <c r="D88" s="9">
        <v>55298.0</v>
      </c>
      <c r="E88" s="9">
        <v>22304.0</v>
      </c>
      <c r="F88" s="9">
        <v>163.0</v>
      </c>
      <c r="G88" s="15"/>
      <c r="H88" s="15"/>
      <c r="I88" s="14"/>
      <c r="J88" s="17"/>
      <c r="K88" s="14"/>
      <c r="L88" s="17"/>
    </row>
    <row r="89" ht="18.75" customHeight="1">
      <c r="A89" s="7" t="s">
        <v>3559</v>
      </c>
      <c r="B89" s="9">
        <v>9716.0</v>
      </c>
      <c r="C89" s="9">
        <v>9716.0</v>
      </c>
      <c r="D89" s="9">
        <v>8681.0</v>
      </c>
      <c r="E89" s="9">
        <v>3759.0</v>
      </c>
      <c r="F89" s="9">
        <v>54.0</v>
      </c>
      <c r="G89" s="15"/>
      <c r="H89" s="15"/>
      <c r="I89" s="14"/>
      <c r="J89" s="17"/>
      <c r="K89" s="14"/>
      <c r="L89" s="17"/>
    </row>
    <row r="90" ht="18.75" customHeight="1">
      <c r="A90" s="7" t="s">
        <v>3569</v>
      </c>
      <c r="B90" s="9">
        <v>4523.0</v>
      </c>
      <c r="C90" s="9">
        <v>4523.0</v>
      </c>
      <c r="D90" s="9">
        <v>4115.0</v>
      </c>
      <c r="E90" s="9">
        <v>1626.0</v>
      </c>
      <c r="F90" s="9">
        <v>22.0</v>
      </c>
      <c r="G90" s="15"/>
      <c r="H90" s="15"/>
      <c r="I90" s="14"/>
      <c r="J90" s="17"/>
      <c r="K90" s="14"/>
      <c r="L90" s="17"/>
    </row>
    <row r="91" ht="18.75" customHeight="1">
      <c r="A91" s="7" t="s">
        <v>3601</v>
      </c>
      <c r="B91" s="9">
        <v>9359.0</v>
      </c>
      <c r="C91" s="9">
        <v>9359.0</v>
      </c>
      <c r="D91" s="9">
        <v>8698.0</v>
      </c>
      <c r="E91" s="9">
        <v>3551.0</v>
      </c>
      <c r="F91" s="9">
        <v>14.0</v>
      </c>
      <c r="G91" s="15"/>
      <c r="H91" s="15"/>
      <c r="I91" s="14"/>
      <c r="J91" s="17"/>
      <c r="K91" s="14"/>
      <c r="L91" s="17"/>
    </row>
    <row r="92" ht="18.75" customHeight="1">
      <c r="A92" s="7" t="s">
        <v>3611</v>
      </c>
      <c r="B92" s="9">
        <v>14989.0</v>
      </c>
      <c r="C92" s="9">
        <v>14989.0</v>
      </c>
      <c r="D92" s="9">
        <v>14451.0</v>
      </c>
      <c r="E92" s="9">
        <v>5957.0</v>
      </c>
      <c r="F92" s="9">
        <v>20.0</v>
      </c>
      <c r="G92" s="15"/>
      <c r="H92" s="15"/>
      <c r="I92" s="14"/>
      <c r="J92" s="17"/>
      <c r="K92" s="14"/>
      <c r="L92" s="17"/>
    </row>
    <row r="93" ht="18.75" customHeight="1">
      <c r="A93" s="7" t="s">
        <v>3610</v>
      </c>
      <c r="B93" s="9">
        <v>38026.0</v>
      </c>
      <c r="C93" s="9">
        <v>38026.0</v>
      </c>
      <c r="D93" s="9">
        <v>36634.0</v>
      </c>
      <c r="E93" s="9">
        <v>14623.0</v>
      </c>
      <c r="F93" s="9">
        <v>101.0</v>
      </c>
      <c r="G93" s="15"/>
      <c r="H93" s="15"/>
      <c r="I93" s="14"/>
      <c r="J93" s="17"/>
      <c r="K93" s="14"/>
      <c r="L93" s="17"/>
    </row>
    <row r="94" ht="18.75" customHeight="1">
      <c r="A94" s="7" t="s">
        <v>3632</v>
      </c>
      <c r="B94" s="9">
        <v>40361.0</v>
      </c>
      <c r="C94" s="9">
        <v>40361.0</v>
      </c>
      <c r="D94" s="9">
        <v>38648.0</v>
      </c>
      <c r="E94" s="9">
        <v>15489.0</v>
      </c>
      <c r="F94" s="9">
        <v>120.0</v>
      </c>
      <c r="G94" s="15"/>
      <c r="H94" s="15"/>
      <c r="I94" s="14"/>
      <c r="J94" s="17"/>
      <c r="K94" s="14"/>
      <c r="L94" s="17"/>
    </row>
    <row r="95" ht="18.75" customHeight="1">
      <c r="A95" s="7" t="s">
        <v>3596</v>
      </c>
      <c r="B95" s="9">
        <v>39998.0</v>
      </c>
      <c r="C95" s="9">
        <v>39998.0</v>
      </c>
      <c r="D95" s="9">
        <v>38571.0</v>
      </c>
      <c r="E95" s="9">
        <v>5915.0</v>
      </c>
      <c r="F95" s="9">
        <v>41.0</v>
      </c>
      <c r="G95" s="15"/>
      <c r="H95" s="15"/>
      <c r="I95" s="14"/>
      <c r="J95" s="17"/>
      <c r="K95" s="14"/>
      <c r="L95" s="17"/>
    </row>
    <row r="96" ht="18.75" customHeight="1">
      <c r="A96" s="7" t="s">
        <v>3654</v>
      </c>
      <c r="B96" s="9">
        <v>11946.0</v>
      </c>
      <c r="C96" s="9">
        <v>8946.0</v>
      </c>
      <c r="D96" s="9">
        <v>8628.0</v>
      </c>
      <c r="E96" s="9">
        <v>2906.0</v>
      </c>
      <c r="F96" s="9">
        <v>43.0</v>
      </c>
      <c r="G96" s="15"/>
      <c r="H96" s="15"/>
      <c r="I96" s="14"/>
      <c r="J96" s="17"/>
      <c r="K96" s="14"/>
      <c r="L96" s="17"/>
    </row>
    <row r="97" ht="18.75" customHeight="1">
      <c r="A97" s="7" t="s">
        <v>3645</v>
      </c>
      <c r="B97" s="9">
        <v>13055.0</v>
      </c>
      <c r="C97" s="9">
        <v>13055.0</v>
      </c>
      <c r="D97" s="9">
        <v>12631.0</v>
      </c>
      <c r="E97" s="9">
        <v>5648.0</v>
      </c>
      <c r="F97" s="9">
        <v>40.0</v>
      </c>
      <c r="G97" s="15"/>
      <c r="H97" s="15"/>
      <c r="I97" s="14"/>
      <c r="J97" s="17"/>
      <c r="K97" s="14"/>
      <c r="L97" s="17"/>
    </row>
    <row r="98" ht="18.75" customHeight="1">
      <c r="A98" s="7" t="s">
        <v>3596</v>
      </c>
      <c r="B98" s="9">
        <v>92533.0</v>
      </c>
      <c r="C98" s="9">
        <v>92533.0</v>
      </c>
      <c r="D98" s="9">
        <v>76983.0</v>
      </c>
      <c r="E98" s="9">
        <v>15452.0</v>
      </c>
      <c r="F98" s="9">
        <v>57.0</v>
      </c>
      <c r="G98" s="15"/>
      <c r="H98" s="15"/>
      <c r="I98" s="14"/>
      <c r="J98" s="17"/>
      <c r="K98" s="14"/>
      <c r="L98" s="17"/>
    </row>
    <row r="99" ht="18.75" customHeight="1">
      <c r="A99" s="7" t="s">
        <v>3662</v>
      </c>
      <c r="B99" s="9">
        <v>9245.0</v>
      </c>
      <c r="C99" s="9">
        <v>9245.0</v>
      </c>
      <c r="D99" s="9">
        <v>8309.0</v>
      </c>
      <c r="E99" s="9">
        <v>3181.0</v>
      </c>
      <c r="F99" s="9">
        <v>40.0</v>
      </c>
      <c r="G99" s="15"/>
      <c r="H99" s="15"/>
      <c r="I99" s="14"/>
      <c r="J99" s="17"/>
      <c r="K99" s="14"/>
      <c r="L99" s="17"/>
    </row>
    <row r="100" ht="18.75" customHeight="1">
      <c r="A100" s="7" t="s">
        <v>3683</v>
      </c>
      <c r="B100" s="9">
        <v>54283.0</v>
      </c>
      <c r="C100" s="9">
        <v>54283.0</v>
      </c>
      <c r="D100" s="9">
        <v>47629.0</v>
      </c>
      <c r="E100" s="9">
        <v>22428.0</v>
      </c>
      <c r="F100" s="9">
        <v>0.0</v>
      </c>
      <c r="G100" s="15"/>
      <c r="H100" s="15"/>
      <c r="I100" s="14"/>
      <c r="J100" s="17"/>
      <c r="K100" s="14"/>
      <c r="L100" s="17"/>
    </row>
    <row r="101" ht="18.75" customHeight="1">
      <c r="A101" s="7" t="s">
        <v>3693</v>
      </c>
      <c r="B101" s="9">
        <v>22532.0</v>
      </c>
      <c r="C101" s="9">
        <v>22532.0</v>
      </c>
      <c r="D101" s="9">
        <v>19214.0</v>
      </c>
      <c r="E101" s="9">
        <v>7596.0</v>
      </c>
      <c r="F101" s="9">
        <v>125.0</v>
      </c>
      <c r="G101" s="15"/>
      <c r="H101" s="15"/>
      <c r="I101" s="14"/>
      <c r="J101" s="17"/>
      <c r="K101" s="14"/>
      <c r="L101" s="17"/>
    </row>
    <row r="102" ht="18.75" customHeight="1">
      <c r="A102" s="7" t="s">
        <v>3714</v>
      </c>
      <c r="B102" s="9">
        <v>4045.0</v>
      </c>
      <c r="C102" s="9">
        <v>4045.0</v>
      </c>
      <c r="D102" s="9">
        <v>3691.0</v>
      </c>
      <c r="E102" s="9">
        <v>1512.0</v>
      </c>
      <c r="F102" s="9">
        <v>28.0</v>
      </c>
      <c r="G102" s="15"/>
      <c r="H102" s="15"/>
      <c r="I102" s="14"/>
      <c r="J102" s="17"/>
      <c r="K102" s="14"/>
      <c r="L102" s="17"/>
    </row>
    <row r="103" ht="18.75" customHeight="1">
      <c r="A103" s="7" t="s">
        <v>414</v>
      </c>
      <c r="B103" s="9">
        <v>20047.0</v>
      </c>
      <c r="C103" s="9">
        <v>20047.0</v>
      </c>
      <c r="D103" s="9">
        <v>18305.0</v>
      </c>
      <c r="E103" s="9">
        <v>7077.0</v>
      </c>
      <c r="F103" s="9">
        <v>90.0</v>
      </c>
      <c r="G103" s="15"/>
      <c r="H103" s="15"/>
      <c r="I103" s="14"/>
      <c r="J103" s="17"/>
      <c r="K103" s="14"/>
      <c r="L103" s="17"/>
    </row>
    <row r="104" ht="18.75" customHeight="1">
      <c r="A104" s="7" t="s">
        <v>3720</v>
      </c>
      <c r="B104" s="9">
        <v>48144.0</v>
      </c>
      <c r="C104" s="9">
        <v>48144.0</v>
      </c>
      <c r="D104" s="9">
        <v>43588.0</v>
      </c>
      <c r="E104" s="9">
        <v>18215.0</v>
      </c>
      <c r="F104" s="9">
        <v>160.0</v>
      </c>
      <c r="G104" s="15"/>
      <c r="H104" s="15"/>
      <c r="I104" s="14"/>
      <c r="J104" s="17"/>
      <c r="K104" s="14"/>
      <c r="L104" s="17"/>
    </row>
    <row r="105" ht="18.75" customHeight="1">
      <c r="A105" s="7" t="s">
        <v>418</v>
      </c>
      <c r="B105" s="9">
        <v>26519.0</v>
      </c>
      <c r="C105" s="9">
        <v>26519.0</v>
      </c>
      <c r="D105" s="9">
        <v>23879.0</v>
      </c>
      <c r="E105" s="9">
        <v>10329.0</v>
      </c>
      <c r="F105" s="9">
        <v>63.0</v>
      </c>
      <c r="G105" s="15"/>
      <c r="H105" s="15"/>
      <c r="I105" s="14"/>
      <c r="J105" s="17"/>
      <c r="K105" s="14"/>
      <c r="L105" s="17"/>
    </row>
    <row r="106" ht="18.75" customHeight="1">
      <c r="A106" s="7" t="s">
        <v>3645</v>
      </c>
      <c r="B106" s="9">
        <v>13.055</v>
      </c>
      <c r="C106" s="9">
        <v>13.055</v>
      </c>
      <c r="D106" s="9">
        <v>12.631</v>
      </c>
      <c r="E106" s="9">
        <v>5.648</v>
      </c>
      <c r="F106" s="9">
        <v>40.0</v>
      </c>
      <c r="G106" s="15"/>
      <c r="H106" s="15"/>
      <c r="I106" s="14"/>
      <c r="J106" s="17"/>
      <c r="K106" s="14"/>
      <c r="L106" s="17"/>
    </row>
    <row r="107" ht="18.75" customHeight="1">
      <c r="A107" s="7" t="s">
        <v>3596</v>
      </c>
      <c r="B107" s="9">
        <v>92.533</v>
      </c>
      <c r="C107" s="9">
        <v>92.533</v>
      </c>
      <c r="D107" s="9">
        <v>76.983</v>
      </c>
      <c r="E107" s="9">
        <v>15.452</v>
      </c>
      <c r="F107" s="9">
        <v>57.0</v>
      </c>
      <c r="G107" s="15"/>
      <c r="H107" s="15"/>
      <c r="I107" s="14"/>
      <c r="J107" s="17"/>
      <c r="K107" s="14"/>
      <c r="L107" s="17"/>
    </row>
    <row r="108" ht="18.75" customHeight="1">
      <c r="A108" s="7" t="s">
        <v>3662</v>
      </c>
      <c r="B108" s="9">
        <v>9.245</v>
      </c>
      <c r="C108" s="9">
        <v>9.245</v>
      </c>
      <c r="D108" s="9">
        <v>8309.0</v>
      </c>
      <c r="E108" s="9">
        <v>3.181</v>
      </c>
      <c r="F108" s="9">
        <v>40.0</v>
      </c>
      <c r="G108" s="15"/>
      <c r="H108" s="15"/>
      <c r="I108" s="14"/>
      <c r="J108" s="17"/>
      <c r="K108" s="14"/>
      <c r="L108" s="17"/>
    </row>
    <row r="109" ht="18.75" customHeight="1">
      <c r="A109" s="7" t="s">
        <v>3683</v>
      </c>
      <c r="B109" s="9">
        <v>54.283</v>
      </c>
      <c r="C109" s="9">
        <v>54.283</v>
      </c>
      <c r="D109" s="9">
        <v>47.629</v>
      </c>
      <c r="E109" s="9">
        <v>22.428</v>
      </c>
      <c r="F109" s="9">
        <v>0.0</v>
      </c>
      <c r="G109" s="15"/>
      <c r="H109" s="15"/>
      <c r="I109" s="14"/>
      <c r="J109" s="17"/>
      <c r="K109" s="14"/>
      <c r="L109" s="17"/>
    </row>
    <row r="110" ht="18.75" customHeight="1">
      <c r="A110" s="7" t="s">
        <v>3693</v>
      </c>
      <c r="B110" s="9">
        <v>22.532</v>
      </c>
      <c r="C110" s="9">
        <v>22.532</v>
      </c>
      <c r="D110" s="9">
        <v>19214.0</v>
      </c>
      <c r="E110" s="9">
        <v>7.596</v>
      </c>
      <c r="F110" s="9">
        <v>125.0</v>
      </c>
      <c r="G110" s="15"/>
      <c r="H110" s="15"/>
      <c r="I110" s="14"/>
      <c r="J110" s="17"/>
      <c r="K110" s="14"/>
      <c r="L110" s="17"/>
    </row>
    <row r="111" ht="18.75" customHeight="1">
      <c r="A111" s="7" t="s">
        <v>3714</v>
      </c>
      <c r="B111" s="9">
        <v>4.045</v>
      </c>
      <c r="C111" s="9">
        <v>4.045</v>
      </c>
      <c r="D111" s="9">
        <v>3.691</v>
      </c>
      <c r="E111" s="9">
        <v>1.512</v>
      </c>
      <c r="F111" s="9">
        <v>28.0</v>
      </c>
      <c r="G111" s="15"/>
      <c r="H111" s="15"/>
      <c r="I111" s="14"/>
      <c r="J111" s="17"/>
      <c r="K111" s="14"/>
      <c r="L111" s="17"/>
    </row>
    <row r="112" ht="18.75" customHeight="1">
      <c r="A112" s="7" t="s">
        <v>414</v>
      </c>
      <c r="B112" s="9">
        <v>20.047</v>
      </c>
      <c r="C112" s="9">
        <v>20.047</v>
      </c>
      <c r="D112" s="9">
        <v>18.305</v>
      </c>
      <c r="E112" s="9">
        <v>7.077</v>
      </c>
      <c r="F112" s="9">
        <v>90.0</v>
      </c>
      <c r="G112" s="15"/>
      <c r="H112" s="15"/>
      <c r="I112" s="14"/>
      <c r="J112" s="17"/>
      <c r="K112" s="14"/>
      <c r="L112" s="17"/>
    </row>
    <row r="113" ht="18.75" customHeight="1">
      <c r="A113" s="7" t="s">
        <v>3720</v>
      </c>
      <c r="B113" s="9">
        <v>48.144</v>
      </c>
      <c r="C113" s="9">
        <v>48.144</v>
      </c>
      <c r="D113" s="9">
        <v>43.588</v>
      </c>
      <c r="E113" s="9">
        <v>18.215</v>
      </c>
      <c r="F113" s="9">
        <v>160.0</v>
      </c>
      <c r="G113" s="15"/>
      <c r="H113" s="15"/>
      <c r="I113" s="14"/>
      <c r="J113" s="17"/>
      <c r="K113" s="14"/>
      <c r="L113" s="17"/>
    </row>
    <row r="114" ht="18.75" customHeight="1">
      <c r="A114" s="7" t="s">
        <v>418</v>
      </c>
      <c r="B114" s="9">
        <v>26.519</v>
      </c>
      <c r="C114" s="9">
        <v>26.519</v>
      </c>
      <c r="D114" s="9">
        <v>23.879</v>
      </c>
      <c r="E114" s="9">
        <v>10.329</v>
      </c>
      <c r="F114" s="9">
        <v>63.0</v>
      </c>
      <c r="G114" s="15"/>
      <c r="H114" s="15"/>
      <c r="I114" s="14"/>
      <c r="J114" s="17"/>
      <c r="K114" s="14"/>
      <c r="L114" s="17"/>
    </row>
    <row r="115" ht="18.75" customHeight="1">
      <c r="A115" s="7" t="s">
        <v>2373</v>
      </c>
      <c r="B115" s="9">
        <v>67770.0</v>
      </c>
      <c r="C115" s="9">
        <v>85733.0</v>
      </c>
      <c r="D115" s="9">
        <v>58781.0</v>
      </c>
      <c r="E115" s="9">
        <v>14116.0</v>
      </c>
      <c r="F115" s="9">
        <v>1435.0</v>
      </c>
      <c r="G115" s="15"/>
      <c r="H115" s="15"/>
      <c r="I115" s="14"/>
      <c r="J115" s="17"/>
      <c r="K115" s="14"/>
      <c r="L115" s="17"/>
    </row>
    <row r="116" ht="18.75" customHeight="1">
      <c r="A116" s="7" t="s">
        <v>2391</v>
      </c>
      <c r="B116" s="9">
        <v>12670.0</v>
      </c>
      <c r="C116" s="9">
        <v>37465.0</v>
      </c>
      <c r="D116" s="9">
        <v>241.0</v>
      </c>
      <c r="E116" s="9">
        <v>195.0</v>
      </c>
      <c r="F116" s="9">
        <v>3.0</v>
      </c>
      <c r="G116" s="15"/>
      <c r="H116" s="15"/>
      <c r="I116" s="14"/>
      <c r="J116" s="17"/>
      <c r="K116" s="14"/>
      <c r="L116" s="17"/>
    </row>
    <row r="117" ht="18.75" customHeight="1">
      <c r="A117" s="7" t="s">
        <v>2391</v>
      </c>
      <c r="B117" s="9">
        <v>11867.0</v>
      </c>
      <c r="C117" s="9">
        <v>29111.0</v>
      </c>
      <c r="D117" s="9">
        <v>5966.0</v>
      </c>
      <c r="E117" s="9">
        <v>5047.0</v>
      </c>
      <c r="F117" s="9">
        <v>45.0</v>
      </c>
      <c r="G117" s="15"/>
      <c r="H117" s="15"/>
      <c r="I117" s="14"/>
      <c r="J117" s="17"/>
      <c r="K117" s="14"/>
      <c r="L117" s="17"/>
    </row>
    <row r="118" ht="18.75" customHeight="1">
      <c r="A118" s="7" t="s">
        <v>2397</v>
      </c>
      <c r="B118" s="9">
        <v>4268.0</v>
      </c>
      <c r="C118" s="9">
        <v>16012.0</v>
      </c>
      <c r="D118" s="9">
        <v>547.0</v>
      </c>
      <c r="E118" s="9">
        <v>304.0</v>
      </c>
      <c r="F118" s="9">
        <v>26.0</v>
      </c>
      <c r="G118" s="15"/>
      <c r="H118" s="15"/>
      <c r="I118" s="14"/>
      <c r="J118" s="17"/>
      <c r="K118" s="14"/>
      <c r="L118" s="17"/>
    </row>
    <row r="119" ht="18.75" customHeight="1">
      <c r="A119" s="7" t="s">
        <v>2397</v>
      </c>
      <c r="B119" s="9">
        <v>8542.0</v>
      </c>
      <c r="C119" s="9">
        <v>26027.0</v>
      </c>
      <c r="D119" s="9">
        <v>4821.0</v>
      </c>
      <c r="E119" s="9">
        <v>2600.0</v>
      </c>
      <c r="F119" s="9">
        <v>78.0</v>
      </c>
      <c r="G119" s="15"/>
      <c r="H119" s="15"/>
      <c r="I119" s="14"/>
      <c r="J119" s="17"/>
      <c r="K119" s="14"/>
      <c r="L119" s="17"/>
    </row>
    <row r="120" ht="18.75" customHeight="1">
      <c r="A120" s="7" t="s">
        <v>2406</v>
      </c>
      <c r="B120" s="9">
        <v>44915.0</v>
      </c>
      <c r="C120" s="9">
        <v>51919.0</v>
      </c>
      <c r="D120" s="9">
        <v>2766.0</v>
      </c>
      <c r="E120" s="9">
        <v>1960.0</v>
      </c>
      <c r="F120" s="9">
        <v>62.0</v>
      </c>
      <c r="G120" s="15"/>
      <c r="H120" s="15"/>
      <c r="I120" s="14"/>
      <c r="J120" s="17"/>
      <c r="K120" s="14"/>
      <c r="L120" s="17"/>
    </row>
    <row r="121" ht="18.75" customHeight="1">
      <c r="A121" s="7" t="s">
        <v>2406</v>
      </c>
      <c r="B121" s="9">
        <v>54393.0</v>
      </c>
      <c r="C121" s="9">
        <v>76408.0</v>
      </c>
      <c r="D121" s="9">
        <v>22583.0</v>
      </c>
      <c r="E121" s="9">
        <v>15030.0</v>
      </c>
      <c r="F121" s="9">
        <v>131.0</v>
      </c>
      <c r="G121" s="15"/>
      <c r="H121" s="15"/>
      <c r="I121" s="14"/>
      <c r="J121" s="17"/>
      <c r="K121" s="14"/>
      <c r="L121" s="17"/>
    </row>
    <row r="122" ht="18.75" customHeight="1">
      <c r="A122" s="7" t="s">
        <v>2406</v>
      </c>
      <c r="B122" s="9">
        <v>33393.0</v>
      </c>
      <c r="C122" s="9">
        <v>57068.0</v>
      </c>
      <c r="D122" s="9">
        <v>18861.0</v>
      </c>
      <c r="E122" s="9">
        <v>7939.0</v>
      </c>
      <c r="F122" s="9">
        <v>67.0</v>
      </c>
      <c r="G122" s="15"/>
      <c r="H122" s="15"/>
      <c r="I122" s="14"/>
      <c r="J122" s="17"/>
      <c r="K122" s="14"/>
      <c r="L122" s="17"/>
    </row>
    <row r="123" ht="18.75" customHeight="1">
      <c r="A123" s="7" t="s">
        <v>2417</v>
      </c>
      <c r="B123" s="9">
        <v>197543.0</v>
      </c>
      <c r="C123" s="9">
        <v>216215.0</v>
      </c>
      <c r="D123" s="9">
        <v>178934.0</v>
      </c>
      <c r="E123" s="9">
        <v>25060.0</v>
      </c>
      <c r="F123" s="9">
        <v>1011.0</v>
      </c>
      <c r="G123" s="15"/>
      <c r="H123" s="15"/>
      <c r="I123" s="14"/>
      <c r="J123" s="17"/>
      <c r="K123" s="14"/>
      <c r="L123" s="17"/>
    </row>
    <row r="124" ht="18.75" customHeight="1">
      <c r="A124" s="7" t="s">
        <v>2447</v>
      </c>
      <c r="B124" s="9">
        <v>84000.0</v>
      </c>
      <c r="C124" s="9">
        <v>115047.0</v>
      </c>
      <c r="D124" s="9">
        <v>73824.0</v>
      </c>
      <c r="E124" s="9">
        <v>14258.0</v>
      </c>
      <c r="F124" s="9">
        <v>175.0</v>
      </c>
      <c r="G124" s="15"/>
      <c r="H124" s="15"/>
      <c r="I124" s="14"/>
      <c r="J124" s="17"/>
      <c r="K124" s="14"/>
      <c r="L124" s="17"/>
    </row>
    <row r="125" ht="18.75" customHeight="1">
      <c r="A125" s="7" t="s">
        <v>2447</v>
      </c>
      <c r="B125" s="9">
        <v>51000.0</v>
      </c>
      <c r="C125" s="9">
        <v>59568.0</v>
      </c>
      <c r="D125" s="9">
        <v>47789.0</v>
      </c>
      <c r="E125" s="9">
        <v>8262.0</v>
      </c>
      <c r="F125" s="9">
        <v>126.0</v>
      </c>
      <c r="G125" s="15"/>
      <c r="H125" s="15"/>
      <c r="I125" s="14"/>
      <c r="J125" s="17"/>
      <c r="K125" s="14"/>
      <c r="L125" s="17"/>
    </row>
    <row r="126" ht="18.75" customHeight="1">
      <c r="A126" s="7" t="s">
        <v>2431</v>
      </c>
      <c r="B126" s="9">
        <v>55435.0</v>
      </c>
      <c r="C126" s="9">
        <v>68000.0</v>
      </c>
      <c r="D126" s="9">
        <v>49503.0</v>
      </c>
      <c r="E126" s="9">
        <v>4348.0</v>
      </c>
      <c r="F126" s="9">
        <v>101.0</v>
      </c>
      <c r="H126" s="17"/>
      <c r="I126" s="14"/>
      <c r="J126" s="17"/>
      <c r="K126" s="14"/>
      <c r="L126" s="17"/>
    </row>
    <row r="127" ht="18.75" customHeight="1">
      <c r="A127" s="7" t="s">
        <v>2431</v>
      </c>
      <c r="B127" s="9">
        <v>40401.0</v>
      </c>
      <c r="C127" s="9">
        <v>40922.0</v>
      </c>
      <c r="D127" s="9">
        <v>32209.0</v>
      </c>
      <c r="E127" s="9">
        <v>5580.0</v>
      </c>
      <c r="F127" s="9">
        <v>167.0</v>
      </c>
      <c r="H127" s="17"/>
      <c r="I127" s="14"/>
      <c r="J127" s="17"/>
      <c r="K127" s="14"/>
      <c r="L127" s="17"/>
    </row>
    <row r="128" ht="18.75" customHeight="1">
      <c r="A128" s="7" t="s">
        <v>2455</v>
      </c>
      <c r="B128" s="9">
        <v>71850.0</v>
      </c>
      <c r="C128" s="9">
        <v>85175.0</v>
      </c>
      <c r="D128" s="9">
        <v>65550.0</v>
      </c>
      <c r="E128" s="9">
        <v>20643.0</v>
      </c>
      <c r="F128" s="9">
        <v>0.0</v>
      </c>
      <c r="H128" s="17"/>
      <c r="I128" s="14"/>
      <c r="J128" s="17"/>
      <c r="K128" s="14"/>
      <c r="L128" s="17"/>
    </row>
    <row r="129" ht="18.75" customHeight="1">
      <c r="A129" s="7" t="s">
        <v>2493</v>
      </c>
      <c r="B129" s="9">
        <v>64058.0</v>
      </c>
      <c r="C129" s="9">
        <v>127731.0</v>
      </c>
      <c r="D129" s="9">
        <v>55509.0</v>
      </c>
      <c r="E129" s="9">
        <v>31091.0</v>
      </c>
      <c r="F129" s="9">
        <v>0.0</v>
      </c>
      <c r="H129" s="17"/>
      <c r="I129" s="14"/>
      <c r="J129" s="17"/>
      <c r="K129" s="14"/>
      <c r="L129" s="17"/>
    </row>
    <row r="130" ht="18.75" customHeight="1">
      <c r="A130" s="7" t="s">
        <v>2493</v>
      </c>
      <c r="B130" s="9">
        <v>50296.0</v>
      </c>
      <c r="C130" s="9">
        <v>70520.0</v>
      </c>
      <c r="D130" s="9">
        <v>46290.0</v>
      </c>
      <c r="E130" s="9">
        <v>9983.0</v>
      </c>
      <c r="F130" s="9">
        <v>0.0</v>
      </c>
      <c r="H130" s="17"/>
      <c r="I130" s="14"/>
      <c r="J130" s="17"/>
      <c r="K130" s="14"/>
      <c r="L130" s="17"/>
    </row>
    <row r="131" ht="18.75" customHeight="1">
      <c r="A131" s="7" t="s">
        <v>3785</v>
      </c>
      <c r="B131" s="9">
        <v>178000.0</v>
      </c>
      <c r="C131" s="9">
        <v>61497.0</v>
      </c>
      <c r="D131" s="9">
        <v>46581.0</v>
      </c>
      <c r="E131" s="9">
        <v>21944.0</v>
      </c>
      <c r="F131" s="9">
        <v>0.0</v>
      </c>
      <c r="H131" s="17"/>
      <c r="I131" s="14"/>
      <c r="J131" s="17"/>
      <c r="K131" s="14"/>
      <c r="L131" s="17"/>
    </row>
    <row r="132" ht="18.75" customHeight="1">
      <c r="A132" s="7" t="s">
        <v>3785</v>
      </c>
      <c r="B132" s="9">
        <v>208102.0</v>
      </c>
      <c r="C132" s="9">
        <v>303574.0</v>
      </c>
      <c r="D132" s="9">
        <v>179772.0</v>
      </c>
      <c r="E132" s="9">
        <v>106934.0</v>
      </c>
      <c r="F132" s="9">
        <v>0.0</v>
      </c>
      <c r="H132" s="17"/>
      <c r="I132" s="14"/>
      <c r="J132" s="17"/>
      <c r="K132" s="14"/>
      <c r="L132" s="17"/>
    </row>
    <row r="133" ht="18.75" customHeight="1">
      <c r="A133" s="7" t="s">
        <v>2529</v>
      </c>
      <c r="B133" s="9">
        <v>25491.0</v>
      </c>
      <c r="C133" s="9">
        <v>40584.0</v>
      </c>
      <c r="D133" s="9">
        <v>21844.0</v>
      </c>
      <c r="E133" s="9">
        <v>4080.0</v>
      </c>
      <c r="F133" s="9">
        <v>91.0</v>
      </c>
      <c r="H133" s="17"/>
      <c r="I133" s="14"/>
      <c r="J133" s="17"/>
      <c r="K133" s="14"/>
      <c r="L133" s="17"/>
    </row>
    <row r="134" ht="18.75" customHeight="1">
      <c r="A134" s="7" t="s">
        <v>2550</v>
      </c>
      <c r="B134" s="9">
        <v>222108.0</v>
      </c>
      <c r="C134" s="9">
        <v>316384.0</v>
      </c>
      <c r="D134" s="9">
        <v>204093.0</v>
      </c>
      <c r="E134" s="9">
        <v>136336.0</v>
      </c>
      <c r="F134" s="9">
        <v>0.0</v>
      </c>
      <c r="H134" s="17"/>
      <c r="I134" s="14"/>
      <c r="J134" s="17"/>
      <c r="K134" s="14"/>
      <c r="L134" s="17"/>
    </row>
    <row r="135" ht="18.75" customHeight="1">
      <c r="A135" s="7" t="s">
        <v>2478</v>
      </c>
      <c r="B135" s="9">
        <v>56000.0</v>
      </c>
      <c r="C135" s="9">
        <v>62867.0</v>
      </c>
      <c r="D135" s="9">
        <v>55007.0</v>
      </c>
      <c r="E135" s="9">
        <v>19890.0</v>
      </c>
      <c r="F135" s="9">
        <v>0.0</v>
      </c>
      <c r="H135" s="17"/>
      <c r="I135" s="14"/>
      <c r="J135" s="17"/>
      <c r="K135" s="14"/>
      <c r="L135" s="17"/>
    </row>
    <row r="136" ht="18.75" customHeight="1">
      <c r="A136" s="7" t="s">
        <v>452</v>
      </c>
      <c r="B136" s="9">
        <v>12049.0</v>
      </c>
      <c r="C136" s="9">
        <v>12049.0</v>
      </c>
      <c r="D136" s="9">
        <v>11592.0</v>
      </c>
      <c r="E136" s="9">
        <v>4731.0</v>
      </c>
      <c r="F136" s="9">
        <v>49.0</v>
      </c>
      <c r="H136" s="17"/>
      <c r="I136" s="14"/>
      <c r="J136" s="17"/>
      <c r="K136" s="14"/>
      <c r="L136" s="17"/>
    </row>
    <row r="137" ht="18.75" customHeight="1">
      <c r="A137" s="7" t="s">
        <v>392</v>
      </c>
      <c r="B137" s="9">
        <v>60114.0</v>
      </c>
      <c r="C137" s="9">
        <v>60114.0</v>
      </c>
      <c r="D137" s="9">
        <v>50294.0</v>
      </c>
      <c r="E137" s="9">
        <v>14803.0</v>
      </c>
      <c r="F137" s="9">
        <v>0.0</v>
      </c>
      <c r="H137" s="17"/>
      <c r="I137" s="14"/>
      <c r="J137" s="17"/>
      <c r="K137" s="14"/>
      <c r="L137" s="17"/>
    </row>
    <row r="138" ht="18.75" customHeight="1">
      <c r="A138" s="7" t="s">
        <v>539</v>
      </c>
      <c r="B138" s="9">
        <v>32361.0</v>
      </c>
      <c r="C138" s="9">
        <v>32361.0</v>
      </c>
      <c r="D138" s="9">
        <v>25759.0</v>
      </c>
      <c r="E138" s="9">
        <v>10328.0</v>
      </c>
      <c r="F138" s="9">
        <v>108.0</v>
      </c>
      <c r="H138" s="17"/>
      <c r="I138" s="14"/>
      <c r="J138" s="17"/>
      <c r="K138" s="14"/>
      <c r="L138" s="17"/>
    </row>
    <row r="139" ht="18.75" customHeight="1">
      <c r="A139" s="7" t="s">
        <v>597</v>
      </c>
      <c r="B139" s="9">
        <v>42962.0</v>
      </c>
      <c r="C139" s="9">
        <v>42962.0</v>
      </c>
      <c r="D139" s="9">
        <v>34063.0</v>
      </c>
      <c r="E139" s="9">
        <v>17710.0</v>
      </c>
      <c r="F139" s="9">
        <v>113.0</v>
      </c>
      <c r="H139" s="17"/>
      <c r="I139" s="14"/>
      <c r="J139" s="17"/>
      <c r="K139" s="14"/>
      <c r="L139" s="17"/>
    </row>
    <row r="140" ht="18.75" customHeight="1">
      <c r="A140" s="7" t="s">
        <v>599</v>
      </c>
      <c r="B140" s="9">
        <v>9388.0</v>
      </c>
      <c r="C140" s="9">
        <v>9388.0</v>
      </c>
      <c r="D140" s="9">
        <v>8433.0</v>
      </c>
      <c r="E140" s="9">
        <v>3769.0</v>
      </c>
      <c r="F140" s="9">
        <v>99.0</v>
      </c>
      <c r="H140" s="17"/>
      <c r="I140" s="14"/>
      <c r="J140" s="17"/>
      <c r="K140" s="14"/>
      <c r="L140" s="17"/>
    </row>
    <row r="141" ht="18.75" customHeight="1">
      <c r="A141" s="7" t="s">
        <v>668</v>
      </c>
      <c r="B141" s="9">
        <v>16073.0</v>
      </c>
      <c r="C141" s="9">
        <v>16073.0</v>
      </c>
      <c r="D141" s="9">
        <v>14277.0</v>
      </c>
      <c r="E141" s="9">
        <v>5609.0</v>
      </c>
      <c r="F141" s="9">
        <v>81.0</v>
      </c>
      <c r="H141" s="17"/>
      <c r="I141" s="14"/>
      <c r="J141" s="17"/>
      <c r="K141" s="14"/>
      <c r="L141" s="17"/>
    </row>
    <row r="142" ht="18.75" customHeight="1">
      <c r="A142" s="7" t="s">
        <v>670</v>
      </c>
      <c r="B142" s="9">
        <v>6193.0</v>
      </c>
      <c r="C142" s="9">
        <v>6193.0</v>
      </c>
      <c r="D142" s="9">
        <v>5485.0</v>
      </c>
      <c r="E142" s="9">
        <v>2438.0</v>
      </c>
      <c r="F142" s="9">
        <v>35.0</v>
      </c>
      <c r="H142" s="17"/>
      <c r="I142" s="14"/>
      <c r="J142" s="17"/>
      <c r="K142" s="14"/>
      <c r="L142" s="17"/>
    </row>
    <row r="143" ht="18.75" customHeight="1">
      <c r="A143" s="7" t="s">
        <v>726</v>
      </c>
      <c r="B143" s="9">
        <v>21453.0</v>
      </c>
      <c r="C143" s="9">
        <v>21453.0</v>
      </c>
      <c r="D143" s="9">
        <v>19026.0</v>
      </c>
      <c r="E143" s="9">
        <v>8302.0</v>
      </c>
      <c r="F143" s="9">
        <v>114.0</v>
      </c>
      <c r="H143" s="17"/>
      <c r="I143" s="14"/>
      <c r="J143" s="17"/>
      <c r="K143" s="14"/>
      <c r="L143" s="17"/>
    </row>
    <row r="144" ht="18.75" customHeight="1">
      <c r="A144" s="7" t="s">
        <v>730</v>
      </c>
      <c r="B144" s="9">
        <v>8251.0</v>
      </c>
      <c r="C144" s="9">
        <v>8251.0</v>
      </c>
      <c r="D144" s="9">
        <v>7502.0</v>
      </c>
      <c r="E144" s="9">
        <v>3225.0</v>
      </c>
      <c r="F144" s="9">
        <v>68.0</v>
      </c>
      <c r="H144" s="17"/>
      <c r="I144" s="14"/>
      <c r="J144" s="17"/>
      <c r="K144" s="14"/>
      <c r="L144" s="17"/>
    </row>
    <row r="145" ht="18.75" customHeight="1">
      <c r="A145" s="7" t="s">
        <v>728</v>
      </c>
      <c r="B145" s="9">
        <v>9265.0</v>
      </c>
      <c r="C145" s="9">
        <v>9265.0</v>
      </c>
      <c r="D145" s="9">
        <v>8211.0</v>
      </c>
      <c r="E145" s="9">
        <v>3582.0</v>
      </c>
      <c r="F145" s="9">
        <v>52.0</v>
      </c>
      <c r="H145" s="17"/>
      <c r="I145" s="14"/>
      <c r="J145" s="17"/>
      <c r="K145" s="14"/>
      <c r="L145" s="17"/>
    </row>
    <row r="146" ht="18.75" customHeight="1">
      <c r="A146" s="7" t="s">
        <v>802</v>
      </c>
      <c r="B146" s="9">
        <v>4696.0</v>
      </c>
      <c r="C146" s="9">
        <v>4696.0</v>
      </c>
      <c r="D146" s="9">
        <v>4204.0</v>
      </c>
      <c r="E146" s="9">
        <v>1780.0</v>
      </c>
      <c r="F146" s="9">
        <v>20.0</v>
      </c>
      <c r="H146" s="17"/>
      <c r="I146" s="14"/>
      <c r="J146" s="17"/>
      <c r="K146" s="14"/>
      <c r="L146" s="17"/>
    </row>
    <row r="147" ht="18.75" customHeight="1">
      <c r="A147" s="7" t="s">
        <v>836</v>
      </c>
      <c r="B147" s="9">
        <v>8688.0</v>
      </c>
      <c r="C147" s="9">
        <v>8688.0</v>
      </c>
      <c r="D147" s="9">
        <v>7849.0</v>
      </c>
      <c r="E147" s="9">
        <v>3283.0</v>
      </c>
      <c r="F147" s="9">
        <v>54.0</v>
      </c>
      <c r="H147" s="17"/>
      <c r="I147" s="14"/>
      <c r="J147" s="17"/>
      <c r="K147" s="14"/>
      <c r="L147" s="17"/>
    </row>
    <row r="148" ht="18.75" customHeight="1">
      <c r="A148" s="7" t="s">
        <v>902</v>
      </c>
      <c r="B148" s="9">
        <v>19604.0</v>
      </c>
      <c r="C148" s="9">
        <v>16525.0</v>
      </c>
      <c r="D148" s="9">
        <v>14357.0</v>
      </c>
      <c r="E148" s="9">
        <v>6963.0</v>
      </c>
      <c r="F148" s="9">
        <v>56.0</v>
      </c>
      <c r="H148" s="17"/>
      <c r="I148" s="14"/>
      <c r="J148" s="17"/>
      <c r="K148" s="14"/>
      <c r="L148" s="17"/>
    </row>
    <row r="149" ht="18.75" customHeight="1">
      <c r="A149" s="7" t="s">
        <v>3751</v>
      </c>
      <c r="B149" s="9">
        <v>7403.0</v>
      </c>
      <c r="C149" s="9">
        <v>6965.0</v>
      </c>
      <c r="D149" s="9">
        <v>6381.0</v>
      </c>
      <c r="E149" s="9">
        <v>3253.0</v>
      </c>
      <c r="F149" s="9">
        <v>35.0</v>
      </c>
      <c r="H149" s="17"/>
      <c r="I149" s="14"/>
      <c r="J149" s="17"/>
      <c r="K149" s="14"/>
      <c r="L149" s="17"/>
    </row>
    <row r="150" ht="18.75" customHeight="1">
      <c r="A150" s="7" t="s">
        <v>910</v>
      </c>
      <c r="B150" s="9">
        <v>57984.0</v>
      </c>
      <c r="C150" s="9">
        <v>57984.0</v>
      </c>
      <c r="D150" s="9">
        <v>52424.0</v>
      </c>
      <c r="E150" s="9">
        <v>17770.0</v>
      </c>
      <c r="F150" s="9">
        <v>59.0</v>
      </c>
      <c r="H150" s="17"/>
      <c r="I150" s="14"/>
      <c r="J150" s="17"/>
      <c r="K150" s="14"/>
      <c r="L150" s="17"/>
    </row>
    <row r="151" ht="18.75" customHeight="1">
      <c r="A151" s="7" t="s">
        <v>1033</v>
      </c>
      <c r="B151" s="9">
        <v>11439.0</v>
      </c>
      <c r="C151" s="9">
        <v>11438.0</v>
      </c>
      <c r="D151" s="9">
        <v>10379.0</v>
      </c>
      <c r="E151" s="9">
        <v>4601.0</v>
      </c>
      <c r="F151" s="9">
        <v>49.0</v>
      </c>
      <c r="H151" s="17"/>
      <c r="I151" s="14"/>
      <c r="J151" s="17"/>
      <c r="K151" s="14"/>
      <c r="L151" s="17"/>
    </row>
    <row r="152" ht="18.75" customHeight="1">
      <c r="A152" s="7" t="s">
        <v>1035</v>
      </c>
      <c r="B152" s="9">
        <v>13644.0</v>
      </c>
      <c r="C152" s="9">
        <v>13644.0</v>
      </c>
      <c r="D152" s="9">
        <v>12015.0</v>
      </c>
      <c r="E152" s="9">
        <v>5442.0</v>
      </c>
      <c r="F152" s="9">
        <v>25.0</v>
      </c>
      <c r="H152" s="17"/>
      <c r="I152" s="14"/>
      <c r="J152" s="17"/>
      <c r="K152" s="14"/>
      <c r="L152" s="17"/>
    </row>
    <row r="153" ht="18.75" customHeight="1">
      <c r="A153" s="7" t="s">
        <v>1037</v>
      </c>
      <c r="B153" s="9">
        <v>55346.0</v>
      </c>
      <c r="C153" s="9">
        <v>55346.0</v>
      </c>
      <c r="D153" s="9">
        <v>49466.0</v>
      </c>
      <c r="E153" s="9">
        <v>15920.0</v>
      </c>
      <c r="F153" s="9">
        <v>188.0</v>
      </c>
      <c r="H153" s="17"/>
      <c r="I153" s="14"/>
      <c r="J153" s="17"/>
      <c r="K153" s="14"/>
      <c r="L153" s="17"/>
    </row>
    <row r="154" ht="18.75" customHeight="1">
      <c r="A154" s="7" t="s">
        <v>1071</v>
      </c>
      <c r="B154" s="9">
        <v>8886.0</v>
      </c>
      <c r="C154" s="9">
        <v>8886.0</v>
      </c>
      <c r="D154" s="9">
        <v>7917.0</v>
      </c>
      <c r="E154" s="9">
        <v>3604.0</v>
      </c>
      <c r="F154" s="9">
        <v>25.0</v>
      </c>
      <c r="H154" s="17"/>
      <c r="I154" s="14"/>
      <c r="J154" s="17"/>
      <c r="K154" s="14"/>
      <c r="L154" s="17"/>
    </row>
    <row r="155" ht="18.75" customHeight="1">
      <c r="A155" s="7" t="s">
        <v>1111</v>
      </c>
      <c r="B155" s="9">
        <v>20393.0</v>
      </c>
      <c r="C155" s="9">
        <v>20393.0</v>
      </c>
      <c r="D155" s="9">
        <v>18428.0</v>
      </c>
      <c r="E155" s="9">
        <v>9088.0</v>
      </c>
      <c r="F155" s="9">
        <v>46.0</v>
      </c>
      <c r="H155" s="17"/>
      <c r="I155" s="14"/>
      <c r="J155" s="17"/>
      <c r="K155" s="14"/>
      <c r="L155" s="17"/>
    </row>
    <row r="156" ht="18.75" customHeight="1">
      <c r="A156" s="7" t="s">
        <v>1103</v>
      </c>
      <c r="B156" s="9">
        <v>53579.0</v>
      </c>
      <c r="C156" s="9">
        <v>53579.0</v>
      </c>
      <c r="D156" s="9">
        <v>48404.0</v>
      </c>
      <c r="E156" s="9">
        <v>20346.0</v>
      </c>
      <c r="F156" s="9">
        <v>109.0</v>
      </c>
      <c r="H156" s="17"/>
      <c r="I156" s="14"/>
      <c r="J156" s="17"/>
      <c r="K156" s="14"/>
      <c r="L156" s="17"/>
    </row>
    <row r="157" ht="18.75" customHeight="1">
      <c r="A157" s="7" t="s">
        <v>1103</v>
      </c>
      <c r="B157" s="9">
        <v>39316.0</v>
      </c>
      <c r="C157" s="9">
        <v>39316.0</v>
      </c>
      <c r="D157" s="9">
        <v>35160.0</v>
      </c>
      <c r="E157" s="9">
        <v>15171.0</v>
      </c>
      <c r="F157" s="9">
        <v>83.0</v>
      </c>
      <c r="H157" s="17"/>
      <c r="I157" s="14"/>
      <c r="J157" s="17"/>
      <c r="K157" s="14"/>
      <c r="L157" s="17"/>
    </row>
    <row r="158" ht="18.75" customHeight="1">
      <c r="A158" s="7" t="s">
        <v>1183</v>
      </c>
      <c r="B158" s="9">
        <v>14387.0</v>
      </c>
      <c r="C158" s="9">
        <v>14387.0</v>
      </c>
      <c r="D158" s="9">
        <v>12817.0</v>
      </c>
      <c r="E158" s="9">
        <v>6411.0</v>
      </c>
      <c r="F158" s="9">
        <v>49.0</v>
      </c>
      <c r="H158" s="17"/>
      <c r="I158" s="14"/>
      <c r="J158" s="17"/>
      <c r="K158" s="14"/>
      <c r="L158" s="17"/>
    </row>
    <row r="159" ht="18.75" customHeight="1">
      <c r="A159" s="7" t="s">
        <v>1185</v>
      </c>
      <c r="B159" s="9">
        <v>22084.0</v>
      </c>
      <c r="C159" s="9">
        <v>22084.0</v>
      </c>
      <c r="D159" s="9">
        <v>21053.0</v>
      </c>
      <c r="E159" s="9">
        <v>8617.0</v>
      </c>
      <c r="F159" s="9">
        <v>96.0</v>
      </c>
      <c r="H159" s="17"/>
      <c r="I159" s="14"/>
      <c r="J159" s="17"/>
      <c r="K159" s="14"/>
      <c r="L159" s="17"/>
    </row>
    <row r="160" ht="18.75" customHeight="1">
      <c r="A160" s="7" t="s">
        <v>1185</v>
      </c>
      <c r="B160" s="9">
        <v>37356.0</v>
      </c>
      <c r="C160" s="9">
        <v>37356.0</v>
      </c>
      <c r="D160" s="9">
        <v>35185.0</v>
      </c>
      <c r="E160" s="9">
        <v>12883.0</v>
      </c>
      <c r="F160" s="9">
        <v>80.0</v>
      </c>
      <c r="H160" s="17"/>
      <c r="I160" s="14"/>
      <c r="J160" s="17"/>
      <c r="K160" s="14"/>
      <c r="L160" s="17"/>
    </row>
    <row r="161" ht="18.75" customHeight="1">
      <c r="A161" s="7" t="s">
        <v>3754</v>
      </c>
      <c r="B161" s="9">
        <v>11641.0</v>
      </c>
      <c r="C161" s="9">
        <v>2556.0</v>
      </c>
      <c r="D161" s="9">
        <v>2365.0</v>
      </c>
      <c r="E161" s="9">
        <v>1004.0</v>
      </c>
      <c r="F161" s="9">
        <v>14.0</v>
      </c>
      <c r="H161" s="17"/>
      <c r="I161" s="14"/>
      <c r="J161" s="17"/>
      <c r="K161" s="14"/>
      <c r="L161" s="17"/>
    </row>
    <row r="162" ht="18.75" customHeight="1">
      <c r="A162" s="7" t="s">
        <v>1307</v>
      </c>
      <c r="B162" s="9">
        <v>62676.0</v>
      </c>
      <c r="C162" s="9">
        <v>62676.0</v>
      </c>
      <c r="D162" s="9">
        <v>58952.0</v>
      </c>
      <c r="E162" s="9">
        <v>26514.0</v>
      </c>
      <c r="F162" s="9">
        <v>175.0</v>
      </c>
      <c r="H162" s="17"/>
      <c r="I162" s="14"/>
      <c r="J162" s="17"/>
      <c r="K162" s="14"/>
      <c r="L162" s="17"/>
    </row>
    <row r="163" ht="18.75" customHeight="1">
      <c r="A163" s="7" t="s">
        <v>1351</v>
      </c>
      <c r="B163" s="9">
        <v>11641.0</v>
      </c>
      <c r="C163" s="9">
        <v>11641.0</v>
      </c>
      <c r="D163" s="9">
        <v>10616.0</v>
      </c>
      <c r="E163" s="9">
        <v>4281.0</v>
      </c>
      <c r="F163" s="9">
        <v>66.0</v>
      </c>
      <c r="H163" s="17"/>
      <c r="I163" s="14"/>
      <c r="J163" s="17"/>
      <c r="K163" s="14"/>
      <c r="L163" s="17"/>
    </row>
    <row r="164" ht="18.75" customHeight="1">
      <c r="A164" s="7" t="s">
        <v>1397</v>
      </c>
      <c r="B164" s="9">
        <v>20162.0</v>
      </c>
      <c r="C164" s="9">
        <v>20161.0</v>
      </c>
      <c r="D164" s="9">
        <v>19106.0</v>
      </c>
      <c r="E164" s="9">
        <v>7747.0</v>
      </c>
      <c r="F164" s="9">
        <v>76.0</v>
      </c>
      <c r="H164" s="17"/>
      <c r="I164" s="14"/>
      <c r="J164" s="17"/>
      <c r="K164" s="14"/>
      <c r="L164" s="17"/>
    </row>
    <row r="165" ht="18.75" customHeight="1">
      <c r="A165" s="7" t="s">
        <v>1469</v>
      </c>
      <c r="B165" s="9">
        <v>48931.0</v>
      </c>
      <c r="C165" s="9">
        <v>48931.0</v>
      </c>
      <c r="D165" s="9">
        <v>41350.0</v>
      </c>
      <c r="E165" s="9">
        <v>16496.0</v>
      </c>
      <c r="F165" s="9">
        <v>0.0</v>
      </c>
      <c r="H165" s="17"/>
      <c r="I165" s="14"/>
      <c r="J165" s="17"/>
      <c r="K165" s="14"/>
      <c r="L165" s="17"/>
    </row>
    <row r="166" ht="18.75" customHeight="1">
      <c r="A166" s="7" t="s">
        <v>3755</v>
      </c>
      <c r="B166" s="9">
        <v>44825.0</v>
      </c>
      <c r="C166" s="9">
        <v>43500.0</v>
      </c>
      <c r="D166" s="9">
        <v>40889.0</v>
      </c>
      <c r="E166" s="9">
        <v>14494.0</v>
      </c>
      <c r="F166" s="9">
        <v>235.0</v>
      </c>
      <c r="H166" s="17"/>
      <c r="I166" s="14"/>
      <c r="J166" s="17"/>
      <c r="K166" s="14"/>
      <c r="L166" s="17"/>
    </row>
    <row r="167" ht="18.75" customHeight="1">
      <c r="A167" s="7" t="s">
        <v>3755</v>
      </c>
      <c r="B167" s="9">
        <v>8117.0</v>
      </c>
      <c r="C167" s="9">
        <v>7937.0</v>
      </c>
      <c r="D167" s="9">
        <v>7456.0</v>
      </c>
      <c r="E167" s="9">
        <v>2659.0</v>
      </c>
      <c r="F167" s="9">
        <v>105.0</v>
      </c>
      <c r="H167" s="17"/>
      <c r="I167" s="14"/>
      <c r="J167" s="17"/>
      <c r="K167" s="14"/>
      <c r="L167" s="17"/>
    </row>
    <row r="168" ht="18.75" customHeight="1">
      <c r="A168" s="7" t="s">
        <v>1537</v>
      </c>
      <c r="B168" s="9">
        <v>30451.0</v>
      </c>
      <c r="C168" s="9">
        <v>30451.0</v>
      </c>
      <c r="D168" s="9">
        <v>28740.0</v>
      </c>
      <c r="E168" s="9">
        <v>10338.0</v>
      </c>
      <c r="F168" s="9">
        <v>189.0</v>
      </c>
      <c r="H168" s="17"/>
      <c r="I168" s="14"/>
      <c r="J168" s="17"/>
      <c r="K168" s="14"/>
      <c r="L168" s="17"/>
    </row>
    <row r="169" ht="18.75" customHeight="1">
      <c r="A169" s="7" t="s">
        <v>1537</v>
      </c>
      <c r="B169" s="9">
        <v>29628.0</v>
      </c>
      <c r="C169" s="9">
        <v>29628.0</v>
      </c>
      <c r="D169" s="9">
        <v>27919.0</v>
      </c>
      <c r="E169" s="9">
        <v>9275.0</v>
      </c>
      <c r="F169" s="9">
        <v>98.0</v>
      </c>
      <c r="H169" s="17"/>
      <c r="I169" s="14"/>
      <c r="J169" s="17"/>
      <c r="K169" s="14"/>
      <c r="L169" s="17"/>
    </row>
    <row r="170" ht="18.75" customHeight="1">
      <c r="A170" s="7" t="s">
        <v>3756</v>
      </c>
      <c r="B170" s="9">
        <v>13768.0</v>
      </c>
      <c r="C170" s="9">
        <v>8000.0</v>
      </c>
      <c r="D170" s="9">
        <v>7500.0</v>
      </c>
      <c r="E170" s="9">
        <v>2934.0</v>
      </c>
      <c r="F170" s="9">
        <v>36.0</v>
      </c>
      <c r="H170" s="17"/>
      <c r="I170" s="14"/>
      <c r="J170" s="17"/>
      <c r="K170" s="14"/>
      <c r="L170" s="17"/>
    </row>
    <row r="171" ht="18.75" customHeight="1">
      <c r="A171" s="7" t="s">
        <v>1607</v>
      </c>
      <c r="B171" s="9">
        <v>153326.0</v>
      </c>
      <c r="C171" s="9">
        <v>153326.0</v>
      </c>
      <c r="D171" s="9">
        <v>140588.0</v>
      </c>
      <c r="E171" s="9">
        <v>72013.0</v>
      </c>
      <c r="F171" s="9">
        <v>236.0</v>
      </c>
      <c r="H171" s="17"/>
      <c r="I171" s="14"/>
      <c r="J171" s="17"/>
      <c r="K171" s="14"/>
      <c r="L171" s="17"/>
    </row>
    <row r="172" ht="18.75" customHeight="1">
      <c r="A172" s="7" t="s">
        <v>1605</v>
      </c>
      <c r="B172" s="9">
        <v>6292.0</v>
      </c>
      <c r="C172" s="9">
        <v>6292.0</v>
      </c>
      <c r="D172" s="9">
        <v>5359.0</v>
      </c>
      <c r="E172" s="9">
        <v>2335.0</v>
      </c>
      <c r="F172" s="9">
        <v>11.0</v>
      </c>
      <c r="H172" s="17"/>
      <c r="I172" s="14"/>
      <c r="J172" s="17"/>
      <c r="K172" s="14"/>
      <c r="L172" s="17"/>
    </row>
    <row r="173" ht="18.75" customHeight="1">
      <c r="A173" s="7" t="s">
        <v>1401</v>
      </c>
      <c r="B173" s="9">
        <v>44122.0</v>
      </c>
      <c r="C173" s="9">
        <v>44122.0</v>
      </c>
      <c r="D173" s="9">
        <v>41181.0</v>
      </c>
      <c r="E173" s="9">
        <v>8940.0</v>
      </c>
      <c r="F173" s="9">
        <v>40.0</v>
      </c>
      <c r="H173" s="17"/>
      <c r="I173" s="14"/>
      <c r="J173" s="17"/>
      <c r="K173" s="14"/>
      <c r="L173" s="17"/>
    </row>
    <row r="174" ht="18.75" customHeight="1">
      <c r="A174" s="7" t="s">
        <v>1661</v>
      </c>
      <c r="B174" s="9">
        <v>33371.0</v>
      </c>
      <c r="C174" s="9">
        <v>24967.0</v>
      </c>
      <c r="D174" s="9">
        <v>22524.0</v>
      </c>
      <c r="E174" s="9">
        <v>9579.0</v>
      </c>
      <c r="F174" s="9">
        <v>19.0</v>
      </c>
      <c r="H174" s="17"/>
      <c r="I174" s="14"/>
      <c r="J174" s="17"/>
      <c r="K174" s="14"/>
      <c r="L174" s="17"/>
    </row>
    <row r="175" ht="18.75" customHeight="1">
      <c r="A175" s="7" t="s">
        <v>1676</v>
      </c>
      <c r="B175" s="9">
        <v>6669.0</v>
      </c>
      <c r="C175" s="9">
        <v>6669.0</v>
      </c>
      <c r="D175" s="9">
        <v>6191.0</v>
      </c>
      <c r="E175" s="9">
        <v>2495.0</v>
      </c>
      <c r="F175" s="9">
        <v>59.0</v>
      </c>
      <c r="H175" s="17"/>
      <c r="I175" s="14"/>
      <c r="J175" s="17"/>
      <c r="K175" s="14"/>
      <c r="L175" s="17"/>
    </row>
    <row r="176" ht="18.75" customHeight="1">
      <c r="A176" s="7" t="s">
        <v>3757</v>
      </c>
      <c r="B176" s="9">
        <v>7432.0</v>
      </c>
      <c r="C176" s="9">
        <v>1080.0</v>
      </c>
      <c r="D176" s="9">
        <v>1013.0</v>
      </c>
      <c r="E176" s="9">
        <v>581.0</v>
      </c>
      <c r="F176" s="9">
        <v>0.0</v>
      </c>
      <c r="H176" s="17"/>
      <c r="I176" s="14"/>
      <c r="J176" s="17"/>
      <c r="K176" s="14"/>
      <c r="L176" s="17"/>
    </row>
    <row r="177" ht="18.75" customHeight="1">
      <c r="A177" s="7" t="s">
        <v>1401</v>
      </c>
      <c r="B177" s="9">
        <v>59951.0</v>
      </c>
      <c r="C177" s="9">
        <v>59951.0</v>
      </c>
      <c r="D177" s="9">
        <v>57687.0</v>
      </c>
      <c r="E177" s="9">
        <v>14857.0</v>
      </c>
      <c r="F177" s="9">
        <v>45.0</v>
      </c>
      <c r="H177" s="17"/>
      <c r="I177" s="14"/>
      <c r="J177" s="17"/>
      <c r="K177" s="14"/>
      <c r="L177" s="17"/>
    </row>
    <row r="178" ht="18.75" customHeight="1">
      <c r="A178" s="7" t="s">
        <v>1676</v>
      </c>
      <c r="B178" s="9">
        <v>44474.0</v>
      </c>
      <c r="C178" s="9">
        <v>44474.0</v>
      </c>
      <c r="D178" s="9">
        <v>39888.0</v>
      </c>
      <c r="E178" s="9">
        <v>15248.0</v>
      </c>
      <c r="F178" s="9">
        <v>142.0</v>
      </c>
      <c r="H178" s="17"/>
      <c r="I178" s="14"/>
      <c r="J178" s="17"/>
      <c r="K178" s="14"/>
      <c r="L178" s="17"/>
    </row>
    <row r="179" ht="18.75" customHeight="1">
      <c r="A179" s="7" t="s">
        <v>3758</v>
      </c>
      <c r="B179" s="9">
        <v>6036.0</v>
      </c>
      <c r="C179" s="9">
        <v>5000.0</v>
      </c>
      <c r="D179" s="9">
        <v>4787.0</v>
      </c>
      <c r="E179" s="9">
        <v>2243.0</v>
      </c>
      <c r="F179" s="9">
        <v>30.0</v>
      </c>
      <c r="H179" s="17"/>
      <c r="I179" s="14"/>
      <c r="J179" s="17"/>
      <c r="K179" s="14"/>
      <c r="L179" s="17"/>
    </row>
    <row r="180" ht="18.75" customHeight="1">
      <c r="A180" s="7" t="s">
        <v>1757</v>
      </c>
      <c r="B180" s="9">
        <v>25624.0</v>
      </c>
      <c r="C180" s="9">
        <v>25624.0</v>
      </c>
      <c r="D180" s="9">
        <v>24248.0</v>
      </c>
      <c r="E180" s="9">
        <v>12460.0</v>
      </c>
      <c r="F180" s="9">
        <v>57.0</v>
      </c>
      <c r="H180" s="17"/>
      <c r="I180" s="14"/>
      <c r="J180" s="17"/>
      <c r="K180" s="14"/>
      <c r="L180" s="17"/>
    </row>
    <row r="181" ht="18.75" customHeight="1">
      <c r="A181" s="7" t="s">
        <v>1731</v>
      </c>
      <c r="B181" s="9">
        <v>53042.0</v>
      </c>
      <c r="C181" s="9">
        <v>53042.0</v>
      </c>
      <c r="D181" s="9">
        <v>44012.0</v>
      </c>
      <c r="E181" s="9">
        <v>17242.0</v>
      </c>
      <c r="F181" s="9">
        <v>38.0</v>
      </c>
      <c r="H181" s="17"/>
      <c r="I181" s="14"/>
      <c r="J181" s="17"/>
      <c r="K181" s="14"/>
      <c r="L181" s="17"/>
    </row>
    <row r="182" ht="18.75" customHeight="1">
      <c r="A182" s="7" t="s">
        <v>1801</v>
      </c>
      <c r="B182" s="9">
        <v>31763.0</v>
      </c>
      <c r="C182" s="9">
        <v>31763.0</v>
      </c>
      <c r="D182" s="9">
        <v>29935.0</v>
      </c>
      <c r="E182" s="9">
        <v>10690.0</v>
      </c>
      <c r="F182" s="9">
        <v>41.0</v>
      </c>
      <c r="H182" s="17"/>
      <c r="I182" s="14"/>
      <c r="J182" s="17"/>
      <c r="K182" s="14"/>
      <c r="L182" s="17"/>
    </row>
    <row r="183" ht="18.75" customHeight="1">
      <c r="A183" s="7" t="s">
        <v>1801</v>
      </c>
      <c r="B183" s="9">
        <v>38508.0</v>
      </c>
      <c r="C183" s="9">
        <v>38508.0</v>
      </c>
      <c r="D183" s="9">
        <v>36866.0</v>
      </c>
      <c r="E183" s="9">
        <v>13193.0</v>
      </c>
      <c r="F183" s="9">
        <v>94.0</v>
      </c>
      <c r="H183" s="17"/>
      <c r="I183" s="14"/>
      <c r="J183" s="17"/>
      <c r="K183" s="14"/>
      <c r="L183" s="17"/>
    </row>
    <row r="184" ht="18.75" customHeight="1">
      <c r="A184" s="7" t="s">
        <v>1837</v>
      </c>
      <c r="B184" s="9">
        <v>18293.0</v>
      </c>
      <c r="C184" s="9">
        <v>18293.0</v>
      </c>
      <c r="D184" s="9">
        <v>16883.0</v>
      </c>
      <c r="E184" s="9">
        <v>7555.0</v>
      </c>
      <c r="F184" s="9">
        <v>59.0</v>
      </c>
      <c r="H184" s="17"/>
      <c r="I184" s="14"/>
      <c r="J184" s="17"/>
      <c r="K184" s="14"/>
      <c r="L184" s="17"/>
    </row>
    <row r="185" ht="18.75" customHeight="1">
      <c r="A185" s="7" t="s">
        <v>1865</v>
      </c>
      <c r="B185" s="9">
        <v>24293.0</v>
      </c>
      <c r="C185" s="9">
        <v>24293.0</v>
      </c>
      <c r="D185" s="9">
        <v>22642.0</v>
      </c>
      <c r="E185" s="9">
        <v>10434.0</v>
      </c>
      <c r="F185" s="9">
        <v>77.0</v>
      </c>
      <c r="H185" s="17"/>
      <c r="I185" s="14"/>
      <c r="J185" s="17"/>
      <c r="K185" s="14"/>
      <c r="L185" s="17"/>
    </row>
    <row r="186" ht="18.75" customHeight="1">
      <c r="A186" s="7" t="s">
        <v>1865</v>
      </c>
      <c r="B186" s="9">
        <v>30576.0</v>
      </c>
      <c r="C186" s="9">
        <v>30576.0</v>
      </c>
      <c r="D186" s="9">
        <v>28388.0</v>
      </c>
      <c r="E186" s="9">
        <v>13865.0</v>
      </c>
      <c r="F186" s="9">
        <v>148.0</v>
      </c>
      <c r="H186" s="17"/>
      <c r="I186" s="14"/>
      <c r="J186" s="17"/>
      <c r="K186" s="14"/>
      <c r="L186" s="17"/>
    </row>
    <row r="187" ht="18.75" customHeight="1">
      <c r="A187" s="7" t="s">
        <v>1733</v>
      </c>
      <c r="B187" s="9">
        <v>291240.0</v>
      </c>
      <c r="C187" s="9">
        <v>291240.0</v>
      </c>
      <c r="D187" s="9">
        <v>260205.0</v>
      </c>
      <c r="E187" s="9">
        <v>48447.0</v>
      </c>
      <c r="F187" s="9">
        <v>82.0</v>
      </c>
      <c r="H187" s="17"/>
      <c r="I187" s="14"/>
      <c r="J187" s="17"/>
      <c r="K187" s="14"/>
      <c r="L187" s="17"/>
    </row>
    <row r="188" ht="18.75" customHeight="1">
      <c r="A188" s="7" t="s">
        <v>3763</v>
      </c>
      <c r="B188" s="9">
        <v>40874.0</v>
      </c>
      <c r="C188" s="9">
        <v>7700.0</v>
      </c>
      <c r="D188" s="9">
        <v>7061.0</v>
      </c>
      <c r="E188" s="9">
        <v>1233.0</v>
      </c>
      <c r="F188" s="9">
        <v>36.0</v>
      </c>
      <c r="H188" s="17"/>
      <c r="I188" s="14"/>
      <c r="J188" s="17"/>
      <c r="K188" s="14"/>
      <c r="L188" s="17"/>
    </row>
    <row r="189" ht="18.75" customHeight="1">
      <c r="A189" s="7" t="s">
        <v>3763</v>
      </c>
      <c r="B189" s="9">
        <v>37763.0</v>
      </c>
      <c r="C189" s="9">
        <v>6700.0</v>
      </c>
      <c r="D189" s="9">
        <v>6161.0</v>
      </c>
      <c r="E189" s="9">
        <v>2229.0</v>
      </c>
      <c r="F189" s="9">
        <v>67.0</v>
      </c>
      <c r="H189" s="17"/>
      <c r="I189" s="14"/>
      <c r="J189" s="17"/>
      <c r="K189" s="14"/>
      <c r="L189" s="17"/>
    </row>
    <row r="190" ht="18.75" customHeight="1">
      <c r="A190" s="7" t="s">
        <v>2112</v>
      </c>
      <c r="B190" s="12"/>
      <c r="C190" s="12"/>
      <c r="D190" s="12"/>
      <c r="E190" s="12"/>
      <c r="F190" s="12"/>
      <c r="H190" s="17"/>
      <c r="I190" s="14"/>
      <c r="J190" s="17"/>
      <c r="K190" s="14"/>
      <c r="L190" s="17"/>
    </row>
    <row r="191" ht="18.75" customHeight="1">
      <c r="A191" s="7" t="s">
        <v>2112</v>
      </c>
      <c r="B191" s="12"/>
      <c r="C191" s="12"/>
      <c r="D191" s="12"/>
      <c r="E191" s="12"/>
      <c r="F191" s="12"/>
      <c r="H191" s="17"/>
      <c r="I191" s="14"/>
      <c r="J191" s="17"/>
      <c r="K191" s="14"/>
      <c r="L191" s="17"/>
    </row>
    <row r="192" ht="18.75" customHeight="1">
      <c r="B192" s="12"/>
      <c r="C192" s="12"/>
      <c r="D192" s="12"/>
      <c r="E192" s="12"/>
      <c r="F192" s="12"/>
      <c r="H192" s="17"/>
      <c r="I192" s="14"/>
      <c r="J192" s="17"/>
      <c r="K192" s="14"/>
      <c r="L192" s="17"/>
    </row>
    <row r="193" ht="18.75" customHeight="1">
      <c r="B193" s="12"/>
      <c r="C193" s="12"/>
      <c r="D193" s="12"/>
      <c r="E193" s="12"/>
      <c r="F193" s="12"/>
      <c r="H193" s="17"/>
      <c r="I193" s="14"/>
      <c r="J193" s="17"/>
      <c r="K193" s="14"/>
      <c r="L193" s="17"/>
    </row>
    <row r="194" ht="18.75" customHeight="1">
      <c r="B194" s="12"/>
      <c r="C194" s="12"/>
      <c r="D194" s="12"/>
      <c r="E194" s="12"/>
      <c r="F194" s="12"/>
      <c r="H194" s="17"/>
      <c r="I194" s="14"/>
      <c r="J194" s="17"/>
      <c r="K194" s="14"/>
      <c r="L194" s="17"/>
    </row>
    <row r="195" ht="18.75" customHeight="1">
      <c r="B195" s="12"/>
      <c r="C195" s="12"/>
      <c r="D195" s="12"/>
      <c r="E195" s="12"/>
      <c r="F195" s="12"/>
      <c r="H195" s="17"/>
      <c r="I195" s="14"/>
      <c r="J195" s="17"/>
      <c r="K195" s="14"/>
      <c r="L195" s="17"/>
    </row>
    <row r="196" ht="18.75" customHeight="1">
      <c r="B196" s="12"/>
      <c r="C196" s="12"/>
      <c r="D196" s="12"/>
      <c r="E196" s="12"/>
      <c r="F196" s="12"/>
      <c r="H196" s="17"/>
      <c r="I196" s="14"/>
      <c r="J196" s="17"/>
      <c r="K196" s="14"/>
      <c r="L196" s="17"/>
    </row>
    <row r="197" ht="18.75" customHeight="1">
      <c r="B197" s="12"/>
      <c r="C197" s="12"/>
      <c r="D197" s="12"/>
      <c r="E197" s="12"/>
      <c r="F197" s="12"/>
      <c r="H197" s="17"/>
      <c r="I197" s="14"/>
      <c r="J197" s="17"/>
      <c r="K197" s="14"/>
      <c r="L197" s="17"/>
    </row>
    <row r="198" ht="18.75" customHeight="1">
      <c r="B198" s="12"/>
      <c r="C198" s="12"/>
      <c r="D198" s="12"/>
      <c r="E198" s="12"/>
      <c r="F198" s="12"/>
      <c r="H198" s="17"/>
      <c r="I198" s="14"/>
      <c r="J198" s="17"/>
      <c r="K198" s="14"/>
      <c r="L198" s="17"/>
    </row>
    <row r="199" ht="18.75" customHeight="1">
      <c r="B199" s="12"/>
      <c r="C199" s="12"/>
      <c r="D199" s="12"/>
      <c r="E199" s="12"/>
      <c r="F199" s="12"/>
      <c r="H199" s="17"/>
      <c r="I199" s="14"/>
      <c r="J199" s="17"/>
      <c r="K199" s="14"/>
      <c r="L199" s="17"/>
    </row>
    <row r="200" ht="18.75" customHeight="1">
      <c r="B200" s="12"/>
      <c r="C200" s="12"/>
      <c r="D200" s="12"/>
      <c r="E200" s="12"/>
      <c r="F200" s="12"/>
      <c r="H200" s="17"/>
      <c r="I200" s="14"/>
      <c r="J200" s="17"/>
      <c r="K200" s="14"/>
      <c r="L200" s="17"/>
    </row>
    <row r="201" ht="18.75" customHeight="1">
      <c r="B201" s="12"/>
      <c r="C201" s="12"/>
      <c r="D201" s="12"/>
      <c r="E201" s="12"/>
      <c r="F201" s="12"/>
      <c r="H201" s="17"/>
      <c r="I201" s="14"/>
      <c r="J201" s="17"/>
      <c r="K201" s="14"/>
      <c r="L201" s="17"/>
    </row>
    <row r="202" ht="18.75" customHeight="1">
      <c r="B202" s="12"/>
      <c r="C202" s="12"/>
      <c r="D202" s="12"/>
      <c r="E202" s="12"/>
      <c r="F202" s="12"/>
      <c r="H202" s="17"/>
      <c r="I202" s="14"/>
      <c r="J202" s="17"/>
      <c r="K202" s="14"/>
      <c r="L202" s="17"/>
    </row>
    <row r="203" ht="18.75" customHeight="1">
      <c r="B203" s="12"/>
      <c r="C203" s="12"/>
      <c r="D203" s="12"/>
      <c r="E203" s="12"/>
      <c r="F203" s="12"/>
      <c r="H203" s="17"/>
      <c r="I203" s="14"/>
      <c r="J203" s="17"/>
      <c r="K203" s="14"/>
      <c r="L203" s="17"/>
    </row>
    <row r="204" ht="18.75" customHeight="1">
      <c r="B204" s="12"/>
      <c r="C204" s="12"/>
      <c r="D204" s="12"/>
      <c r="E204" s="12"/>
      <c r="F204" s="12"/>
      <c r="H204" s="17"/>
      <c r="I204" s="14"/>
      <c r="J204" s="17"/>
      <c r="K204" s="14"/>
      <c r="L204" s="17"/>
    </row>
    <row r="205" ht="18.75" customHeight="1">
      <c r="B205" s="12"/>
      <c r="C205" s="12"/>
      <c r="D205" s="12"/>
      <c r="E205" s="12"/>
      <c r="F205" s="12"/>
      <c r="H205" s="17"/>
      <c r="I205" s="14"/>
      <c r="J205" s="17"/>
      <c r="K205" s="14"/>
      <c r="L205" s="17"/>
    </row>
    <row r="206" ht="18.75" customHeight="1">
      <c r="B206" s="12"/>
      <c r="C206" s="12"/>
      <c r="D206" s="12"/>
      <c r="E206" s="12"/>
      <c r="F206" s="12"/>
      <c r="H206" s="17"/>
      <c r="I206" s="14"/>
      <c r="J206" s="17"/>
      <c r="K206" s="14"/>
      <c r="L206" s="17"/>
    </row>
    <row r="207" ht="18.75" customHeight="1">
      <c r="B207" s="12"/>
      <c r="C207" s="12"/>
      <c r="D207" s="12"/>
      <c r="E207" s="12"/>
      <c r="F207" s="12"/>
      <c r="H207" s="17"/>
      <c r="I207" s="14"/>
      <c r="J207" s="17"/>
      <c r="K207" s="14"/>
      <c r="L207" s="17"/>
    </row>
    <row r="208" ht="18.75" customHeight="1">
      <c r="B208" s="12"/>
      <c r="C208" s="12"/>
      <c r="D208" s="12"/>
      <c r="E208" s="12"/>
      <c r="F208" s="12"/>
      <c r="H208" s="17"/>
      <c r="I208" s="14"/>
      <c r="J208" s="17"/>
      <c r="K208" s="14"/>
      <c r="L208" s="17"/>
    </row>
    <row r="209" ht="18.75" customHeight="1">
      <c r="B209" s="12"/>
      <c r="C209" s="12"/>
      <c r="D209" s="12"/>
      <c r="E209" s="12"/>
      <c r="F209" s="12"/>
      <c r="H209" s="17"/>
      <c r="I209" s="14"/>
      <c r="J209" s="17"/>
      <c r="K209" s="14"/>
      <c r="L209" s="17"/>
    </row>
    <row r="210" ht="18.75" customHeight="1">
      <c r="B210" s="12"/>
      <c r="C210" s="12"/>
      <c r="D210" s="12"/>
      <c r="E210" s="12"/>
      <c r="F210" s="12"/>
      <c r="H210" s="17"/>
      <c r="I210" s="14"/>
      <c r="J210" s="17"/>
      <c r="K210" s="14"/>
      <c r="L210" s="17"/>
    </row>
    <row r="211" ht="18.75" customHeight="1">
      <c r="B211" s="12"/>
      <c r="C211" s="12"/>
      <c r="D211" s="12"/>
      <c r="E211" s="12"/>
      <c r="F211" s="12"/>
      <c r="H211" s="17"/>
      <c r="I211" s="14"/>
      <c r="J211" s="17"/>
      <c r="K211" s="14"/>
      <c r="L211" s="17"/>
    </row>
    <row r="212" ht="18.75" customHeight="1">
      <c r="B212" s="12"/>
      <c r="C212" s="12"/>
      <c r="D212" s="12"/>
      <c r="E212" s="12"/>
      <c r="F212" s="12"/>
      <c r="H212" s="17"/>
      <c r="I212" s="14"/>
      <c r="J212" s="17"/>
      <c r="K212" s="14"/>
      <c r="L212" s="17"/>
    </row>
    <row r="213" ht="18.75" customHeight="1">
      <c r="B213" s="12"/>
      <c r="C213" s="12"/>
      <c r="D213" s="12"/>
      <c r="E213" s="12"/>
      <c r="F213" s="12"/>
      <c r="H213" s="17"/>
      <c r="I213" s="14"/>
      <c r="J213" s="17"/>
      <c r="K213" s="14"/>
      <c r="L213" s="17"/>
    </row>
    <row r="214" ht="18.75" customHeight="1">
      <c r="B214" s="12"/>
      <c r="C214" s="12"/>
      <c r="D214" s="12"/>
      <c r="E214" s="12"/>
      <c r="F214" s="12"/>
      <c r="H214" s="17"/>
      <c r="I214" s="14"/>
      <c r="J214" s="17"/>
      <c r="K214" s="14"/>
      <c r="L214" s="17"/>
    </row>
    <row r="215" ht="18.75" customHeight="1">
      <c r="B215" s="12"/>
      <c r="C215" s="12"/>
      <c r="D215" s="12"/>
      <c r="E215" s="12"/>
      <c r="F215" s="12"/>
      <c r="H215" s="17"/>
      <c r="I215" s="14"/>
      <c r="J215" s="17"/>
      <c r="K215" s="14"/>
      <c r="L215" s="17"/>
    </row>
    <row r="216" ht="18.75" customHeight="1">
      <c r="B216" s="12"/>
      <c r="C216" s="12"/>
      <c r="D216" s="12"/>
      <c r="E216" s="12"/>
      <c r="F216" s="12"/>
      <c r="H216" s="17"/>
      <c r="I216" s="14"/>
      <c r="J216" s="17"/>
      <c r="K216" s="14"/>
      <c r="L216" s="17"/>
    </row>
    <row r="217" ht="18.75" customHeight="1">
      <c r="B217" s="12"/>
      <c r="C217" s="12"/>
      <c r="D217" s="12"/>
      <c r="E217" s="12"/>
      <c r="F217" s="12"/>
      <c r="H217" s="17"/>
      <c r="I217" s="14"/>
      <c r="J217" s="17"/>
      <c r="K217" s="14"/>
      <c r="L217" s="17"/>
    </row>
    <row r="218" ht="18.75" customHeight="1">
      <c r="B218" s="12"/>
      <c r="C218" s="12"/>
      <c r="D218" s="12"/>
      <c r="E218" s="12"/>
      <c r="F218" s="12"/>
      <c r="H218" s="17"/>
      <c r="I218" s="14"/>
      <c r="J218" s="17"/>
      <c r="K218" s="14"/>
      <c r="L218" s="17"/>
    </row>
    <row r="219" ht="18.75" customHeight="1">
      <c r="B219" s="12"/>
      <c r="C219" s="12"/>
      <c r="D219" s="12"/>
      <c r="E219" s="12"/>
      <c r="F219" s="12"/>
      <c r="H219" s="17"/>
      <c r="I219" s="14"/>
      <c r="J219" s="17"/>
      <c r="K219" s="14"/>
      <c r="L219" s="17"/>
    </row>
    <row r="220" ht="18.75" customHeight="1">
      <c r="B220" s="12"/>
      <c r="C220" s="12"/>
      <c r="D220" s="12"/>
      <c r="E220" s="12"/>
      <c r="F220" s="12"/>
      <c r="H220" s="17"/>
      <c r="I220" s="14"/>
      <c r="J220" s="17"/>
      <c r="K220" s="14"/>
      <c r="L220" s="17"/>
    </row>
    <row r="221" ht="18.75" customHeight="1">
      <c r="B221" s="12"/>
      <c r="C221" s="12"/>
      <c r="D221" s="12"/>
      <c r="E221" s="12"/>
      <c r="F221" s="12"/>
      <c r="H221" s="17"/>
      <c r="I221" s="14"/>
      <c r="J221" s="17"/>
      <c r="K221" s="14"/>
      <c r="L221" s="17"/>
    </row>
    <row r="222" ht="18.75" customHeight="1">
      <c r="B222" s="12"/>
      <c r="C222" s="12"/>
      <c r="D222" s="12"/>
      <c r="E222" s="12"/>
      <c r="F222" s="12"/>
      <c r="H222" s="17"/>
      <c r="I222" s="14"/>
      <c r="J222" s="17"/>
      <c r="K222" s="14"/>
      <c r="L222" s="17"/>
    </row>
    <row r="223" ht="18.75" customHeight="1">
      <c r="B223" s="12"/>
      <c r="C223" s="12"/>
      <c r="D223" s="12"/>
      <c r="E223" s="12"/>
      <c r="F223" s="12"/>
      <c r="H223" s="17"/>
      <c r="I223" s="14"/>
      <c r="J223" s="17"/>
      <c r="K223" s="14"/>
      <c r="L223" s="17"/>
    </row>
    <row r="224" ht="18.75" customHeight="1">
      <c r="B224" s="12"/>
      <c r="C224" s="12"/>
      <c r="D224" s="12"/>
      <c r="E224" s="12"/>
      <c r="F224" s="12"/>
      <c r="H224" s="17"/>
      <c r="I224" s="14"/>
      <c r="J224" s="17"/>
      <c r="K224" s="14"/>
      <c r="L224" s="17"/>
    </row>
    <row r="225" ht="18.75" customHeight="1">
      <c r="B225" s="12"/>
      <c r="C225" s="12"/>
      <c r="D225" s="12"/>
      <c r="E225" s="12"/>
      <c r="F225" s="12"/>
      <c r="H225" s="17"/>
      <c r="I225" s="14"/>
      <c r="J225" s="17"/>
      <c r="K225" s="14"/>
      <c r="L225" s="17"/>
    </row>
    <row r="226" ht="18.75" customHeight="1">
      <c r="B226" s="12"/>
      <c r="C226" s="12"/>
      <c r="D226" s="12"/>
      <c r="E226" s="12"/>
      <c r="F226" s="12"/>
      <c r="H226" s="17"/>
      <c r="I226" s="14"/>
      <c r="J226" s="17"/>
      <c r="K226" s="14"/>
      <c r="L226" s="17"/>
    </row>
    <row r="227" ht="18.75" customHeight="1">
      <c r="B227" s="12"/>
      <c r="C227" s="12"/>
      <c r="D227" s="12"/>
      <c r="E227" s="12"/>
      <c r="F227" s="12"/>
      <c r="H227" s="17"/>
      <c r="I227" s="14"/>
      <c r="J227" s="17"/>
      <c r="K227" s="14"/>
      <c r="L227" s="17"/>
    </row>
    <row r="228" ht="18.75" customHeight="1">
      <c r="B228" s="12"/>
      <c r="C228" s="12"/>
      <c r="D228" s="12"/>
      <c r="E228" s="12"/>
      <c r="F228" s="12"/>
      <c r="H228" s="17"/>
      <c r="I228" s="14"/>
      <c r="J228" s="17"/>
      <c r="K228" s="14"/>
      <c r="L228" s="17"/>
    </row>
    <row r="229" ht="18.75" customHeight="1">
      <c r="B229" s="12"/>
      <c r="C229" s="12"/>
      <c r="D229" s="12"/>
      <c r="E229" s="12"/>
      <c r="F229" s="12"/>
      <c r="H229" s="17"/>
      <c r="I229" s="14"/>
      <c r="J229" s="17"/>
      <c r="K229" s="14"/>
      <c r="L229" s="17"/>
    </row>
    <row r="230" ht="18.75" customHeight="1">
      <c r="B230" s="12"/>
      <c r="C230" s="12"/>
      <c r="D230" s="12"/>
      <c r="E230" s="12"/>
      <c r="F230" s="12"/>
      <c r="H230" s="17"/>
      <c r="I230" s="14"/>
      <c r="J230" s="17"/>
      <c r="K230" s="14"/>
      <c r="L230" s="17"/>
    </row>
    <row r="231" ht="18.75" customHeight="1">
      <c r="B231" s="12"/>
      <c r="C231" s="12"/>
      <c r="D231" s="12"/>
      <c r="E231" s="12"/>
      <c r="F231" s="12"/>
      <c r="H231" s="17"/>
      <c r="I231" s="14"/>
      <c r="J231" s="17"/>
      <c r="K231" s="14"/>
      <c r="L231" s="17"/>
    </row>
    <row r="232" ht="18.75" customHeight="1">
      <c r="B232" s="12"/>
      <c r="C232" s="12"/>
      <c r="D232" s="12"/>
      <c r="E232" s="12"/>
      <c r="F232" s="12"/>
      <c r="H232" s="17"/>
      <c r="I232" s="14"/>
      <c r="J232" s="17"/>
      <c r="K232" s="14"/>
      <c r="L232" s="17"/>
    </row>
    <row r="233" ht="18.75" customHeight="1">
      <c r="B233" s="12"/>
      <c r="C233" s="12"/>
      <c r="D233" s="12"/>
      <c r="E233" s="12"/>
      <c r="F233" s="12"/>
      <c r="H233" s="17"/>
      <c r="I233" s="14"/>
      <c r="J233" s="17"/>
      <c r="K233" s="14"/>
      <c r="L233" s="17"/>
    </row>
    <row r="234" ht="18.75" customHeight="1">
      <c r="B234" s="12"/>
      <c r="C234" s="12"/>
      <c r="D234" s="12"/>
      <c r="E234" s="12"/>
      <c r="F234" s="12"/>
      <c r="H234" s="17"/>
      <c r="I234" s="14"/>
      <c r="J234" s="17"/>
      <c r="K234" s="14"/>
      <c r="L234" s="17"/>
    </row>
    <row r="235" ht="18.75" customHeight="1">
      <c r="B235" s="12"/>
      <c r="C235" s="12"/>
      <c r="D235" s="12"/>
      <c r="E235" s="12"/>
      <c r="F235" s="12"/>
      <c r="H235" s="17"/>
      <c r="I235" s="14"/>
      <c r="J235" s="17"/>
      <c r="K235" s="14"/>
      <c r="L235" s="17"/>
    </row>
    <row r="236" ht="18.75" customHeight="1">
      <c r="B236" s="12"/>
      <c r="C236" s="12"/>
      <c r="D236" s="12"/>
      <c r="E236" s="12"/>
      <c r="F236" s="12"/>
      <c r="H236" s="17"/>
      <c r="I236" s="14"/>
      <c r="J236" s="17"/>
      <c r="K236" s="14"/>
      <c r="L236" s="17"/>
    </row>
    <row r="237" ht="18.75" customHeight="1">
      <c r="B237" s="12"/>
      <c r="C237" s="12"/>
      <c r="D237" s="12"/>
      <c r="E237" s="12"/>
      <c r="F237" s="12"/>
      <c r="H237" s="17"/>
      <c r="I237" s="14"/>
      <c r="J237" s="17"/>
      <c r="K237" s="14"/>
      <c r="L237" s="17"/>
    </row>
    <row r="238" ht="18.75" customHeight="1">
      <c r="B238" s="12"/>
      <c r="C238" s="12"/>
      <c r="D238" s="12"/>
      <c r="E238" s="12"/>
      <c r="F238" s="12"/>
      <c r="H238" s="17"/>
      <c r="I238" s="14"/>
      <c r="J238" s="17"/>
      <c r="K238" s="14"/>
      <c r="L238" s="17"/>
    </row>
    <row r="239" ht="18.75" customHeight="1">
      <c r="B239" s="12"/>
      <c r="C239" s="12"/>
      <c r="D239" s="12"/>
      <c r="E239" s="12"/>
      <c r="F239" s="12"/>
      <c r="H239" s="17"/>
      <c r="I239" s="14"/>
      <c r="J239" s="17"/>
      <c r="K239" s="14"/>
      <c r="L239" s="17"/>
    </row>
    <row r="240" ht="18.75" customHeight="1">
      <c r="B240" s="12"/>
      <c r="C240" s="12"/>
      <c r="D240" s="12"/>
      <c r="E240" s="12"/>
      <c r="F240" s="12"/>
      <c r="H240" s="17"/>
      <c r="I240" s="14"/>
      <c r="J240" s="17"/>
      <c r="K240" s="14"/>
      <c r="L240" s="17"/>
    </row>
    <row r="241" ht="18.75" customHeight="1">
      <c r="B241" s="12"/>
      <c r="C241" s="12"/>
      <c r="D241" s="12"/>
      <c r="E241" s="12"/>
      <c r="F241" s="12"/>
      <c r="H241" s="17"/>
      <c r="I241" s="14"/>
      <c r="J241" s="17"/>
      <c r="K241" s="14"/>
      <c r="L241" s="17"/>
    </row>
    <row r="242" ht="18.75" customHeight="1">
      <c r="B242" s="12"/>
      <c r="C242" s="12"/>
      <c r="D242" s="12"/>
      <c r="E242" s="12"/>
      <c r="F242" s="12"/>
      <c r="H242" s="17"/>
      <c r="I242" s="14"/>
      <c r="J242" s="17"/>
      <c r="K242" s="14"/>
      <c r="L242" s="17"/>
    </row>
    <row r="243" ht="18.75" customHeight="1">
      <c r="B243" s="12"/>
      <c r="C243" s="12"/>
      <c r="D243" s="12"/>
      <c r="E243" s="12"/>
      <c r="F243" s="12"/>
      <c r="H243" s="17"/>
      <c r="I243" s="14"/>
      <c r="J243" s="17"/>
      <c r="K243" s="14"/>
      <c r="L243" s="17"/>
    </row>
    <row r="244" ht="18.75" customHeight="1">
      <c r="B244" s="12"/>
      <c r="C244" s="12"/>
      <c r="D244" s="12"/>
      <c r="E244" s="12"/>
      <c r="F244" s="12"/>
      <c r="H244" s="17"/>
      <c r="I244" s="14"/>
      <c r="J244" s="17"/>
      <c r="K244" s="14"/>
      <c r="L244" s="17"/>
    </row>
    <row r="245" ht="18.75" customHeight="1">
      <c r="B245" s="12"/>
      <c r="C245" s="12"/>
      <c r="D245" s="12"/>
      <c r="E245" s="12"/>
      <c r="F245" s="12"/>
      <c r="H245" s="17"/>
      <c r="I245" s="14"/>
      <c r="J245" s="17"/>
      <c r="K245" s="14"/>
      <c r="L245" s="17"/>
    </row>
    <row r="246" ht="18.75" customHeight="1">
      <c r="B246" s="12"/>
      <c r="C246" s="12"/>
      <c r="D246" s="12"/>
      <c r="E246" s="12"/>
      <c r="F246" s="12"/>
      <c r="H246" s="17"/>
      <c r="I246" s="14"/>
      <c r="J246" s="17"/>
      <c r="K246" s="14"/>
      <c r="L246" s="17"/>
    </row>
    <row r="247" ht="18.75" customHeight="1">
      <c r="B247" s="12"/>
      <c r="C247" s="12"/>
      <c r="D247" s="12"/>
      <c r="E247" s="12"/>
      <c r="F247" s="12"/>
      <c r="H247" s="17"/>
      <c r="I247" s="14"/>
      <c r="J247" s="17"/>
      <c r="K247" s="14"/>
      <c r="L247" s="17"/>
    </row>
    <row r="248" ht="18.75" customHeight="1">
      <c r="B248" s="12"/>
      <c r="C248" s="12"/>
      <c r="D248" s="12"/>
      <c r="E248" s="12"/>
      <c r="F248" s="12"/>
      <c r="H248" s="17"/>
      <c r="I248" s="14"/>
      <c r="J248" s="17"/>
      <c r="K248" s="14"/>
      <c r="L248" s="17"/>
    </row>
    <row r="249" ht="18.75" customHeight="1">
      <c r="B249" s="12"/>
      <c r="C249" s="12"/>
      <c r="D249" s="12"/>
      <c r="E249" s="12"/>
      <c r="F249" s="12"/>
      <c r="H249" s="17"/>
      <c r="I249" s="14"/>
      <c r="J249" s="17"/>
      <c r="K249" s="14"/>
      <c r="L249" s="17"/>
    </row>
    <row r="250" ht="18.75" customHeight="1">
      <c r="B250" s="12"/>
      <c r="C250" s="12"/>
      <c r="D250" s="12"/>
      <c r="E250" s="12"/>
      <c r="F250" s="12"/>
      <c r="H250" s="17"/>
      <c r="I250" s="14"/>
      <c r="J250" s="17"/>
      <c r="K250" s="14"/>
      <c r="L250" s="17"/>
    </row>
    <row r="251" ht="18.75" customHeight="1">
      <c r="B251" s="12"/>
      <c r="C251" s="12"/>
      <c r="D251" s="12"/>
      <c r="E251" s="12"/>
      <c r="F251" s="12"/>
      <c r="H251" s="17"/>
      <c r="I251" s="14"/>
      <c r="J251" s="17"/>
      <c r="K251" s="14"/>
      <c r="L251" s="17"/>
    </row>
    <row r="252" ht="18.75" customHeight="1">
      <c r="B252" s="12"/>
      <c r="C252" s="12"/>
      <c r="D252" s="12"/>
      <c r="E252" s="12"/>
      <c r="F252" s="12"/>
      <c r="H252" s="17"/>
      <c r="I252" s="14"/>
      <c r="J252" s="17"/>
      <c r="K252" s="14"/>
      <c r="L252" s="17"/>
    </row>
    <row r="253" ht="18.75" customHeight="1">
      <c r="B253" s="12"/>
      <c r="C253" s="12"/>
      <c r="D253" s="12"/>
      <c r="E253" s="12"/>
      <c r="F253" s="12"/>
      <c r="H253" s="17"/>
      <c r="I253" s="14"/>
      <c r="J253" s="17"/>
      <c r="K253" s="14"/>
      <c r="L253" s="17"/>
    </row>
    <row r="254" ht="18.75" customHeight="1">
      <c r="B254" s="12"/>
      <c r="C254" s="12"/>
      <c r="D254" s="12"/>
      <c r="E254" s="12"/>
      <c r="F254" s="12"/>
      <c r="H254" s="17"/>
      <c r="I254" s="14"/>
      <c r="J254" s="17"/>
      <c r="K254" s="14"/>
      <c r="L254" s="17"/>
    </row>
    <row r="255" ht="18.75" customHeight="1">
      <c r="B255" s="12"/>
      <c r="C255" s="12"/>
      <c r="D255" s="12"/>
      <c r="E255" s="12"/>
      <c r="F255" s="12"/>
      <c r="H255" s="17"/>
      <c r="I255" s="14"/>
      <c r="J255" s="17"/>
      <c r="K255" s="14"/>
      <c r="L255" s="17"/>
    </row>
    <row r="256" ht="18.75" customHeight="1">
      <c r="B256" s="12"/>
      <c r="C256" s="12"/>
      <c r="D256" s="12"/>
      <c r="E256" s="12"/>
      <c r="F256" s="12"/>
      <c r="H256" s="17"/>
      <c r="I256" s="14"/>
      <c r="J256" s="17"/>
      <c r="K256" s="14"/>
      <c r="L256" s="17"/>
    </row>
    <row r="257" ht="18.75" customHeight="1">
      <c r="B257" s="12"/>
      <c r="C257" s="12"/>
      <c r="D257" s="12"/>
      <c r="E257" s="12"/>
      <c r="F257" s="12"/>
      <c r="H257" s="17"/>
      <c r="I257" s="14"/>
      <c r="J257" s="17"/>
      <c r="K257" s="14"/>
      <c r="L257" s="17"/>
    </row>
    <row r="258" ht="18.75" customHeight="1">
      <c r="B258" s="12"/>
      <c r="C258" s="12"/>
      <c r="D258" s="12"/>
      <c r="E258" s="12"/>
      <c r="F258" s="12"/>
      <c r="H258" s="17"/>
      <c r="I258" s="14"/>
      <c r="J258" s="17"/>
      <c r="K258" s="14"/>
      <c r="L258" s="17"/>
    </row>
    <row r="259" ht="18.75" customHeight="1">
      <c r="B259" s="12"/>
      <c r="C259" s="12"/>
      <c r="D259" s="12"/>
      <c r="E259" s="12"/>
      <c r="F259" s="12"/>
      <c r="H259" s="17"/>
      <c r="I259" s="14"/>
      <c r="J259" s="17"/>
      <c r="K259" s="14"/>
      <c r="L259" s="17"/>
    </row>
    <row r="260" ht="18.75" customHeight="1">
      <c r="B260" s="12"/>
      <c r="C260" s="12"/>
      <c r="D260" s="12"/>
      <c r="E260" s="12"/>
      <c r="F260" s="12"/>
      <c r="H260" s="17"/>
      <c r="I260" s="14"/>
      <c r="J260" s="17"/>
      <c r="K260" s="14"/>
      <c r="L260" s="17"/>
    </row>
    <row r="261" ht="18.75" customHeight="1">
      <c r="B261" s="12"/>
      <c r="C261" s="12"/>
      <c r="D261" s="12"/>
      <c r="E261" s="12"/>
      <c r="F261" s="12"/>
      <c r="H261" s="17"/>
      <c r="I261" s="14"/>
      <c r="J261" s="17"/>
      <c r="K261" s="14"/>
      <c r="L261" s="17"/>
    </row>
    <row r="262" ht="18.75" customHeight="1">
      <c r="B262" s="12"/>
      <c r="C262" s="12"/>
      <c r="D262" s="12"/>
      <c r="E262" s="12"/>
      <c r="F262" s="12"/>
      <c r="H262" s="17"/>
      <c r="I262" s="14"/>
      <c r="J262" s="17"/>
      <c r="K262" s="14"/>
      <c r="L262" s="17"/>
    </row>
    <row r="263" ht="18.75" customHeight="1">
      <c r="B263" s="12"/>
      <c r="C263" s="12"/>
      <c r="D263" s="12"/>
      <c r="E263" s="12"/>
      <c r="F263" s="12"/>
      <c r="H263" s="17"/>
      <c r="I263" s="14"/>
      <c r="J263" s="17"/>
      <c r="K263" s="14"/>
      <c r="L263" s="17"/>
    </row>
    <row r="264" ht="18.75" customHeight="1">
      <c r="B264" s="12"/>
      <c r="C264" s="12"/>
      <c r="D264" s="12"/>
      <c r="E264" s="12"/>
      <c r="F264" s="12"/>
      <c r="H264" s="17"/>
      <c r="I264" s="14"/>
      <c r="J264" s="17"/>
      <c r="K264" s="14"/>
      <c r="L264" s="17"/>
    </row>
    <row r="265" ht="18.75" customHeight="1">
      <c r="B265" s="12"/>
      <c r="C265" s="12"/>
      <c r="D265" s="12"/>
      <c r="E265" s="12"/>
      <c r="F265" s="12"/>
      <c r="H265" s="17"/>
      <c r="I265" s="14"/>
      <c r="J265" s="17"/>
      <c r="K265" s="14"/>
      <c r="L265" s="17"/>
    </row>
    <row r="266" ht="18.75" customHeight="1">
      <c r="B266" s="12"/>
      <c r="C266" s="12"/>
      <c r="D266" s="12"/>
      <c r="E266" s="12"/>
      <c r="F266" s="12"/>
      <c r="H266" s="17"/>
      <c r="I266" s="14"/>
      <c r="J266" s="17"/>
      <c r="K266" s="14"/>
      <c r="L266" s="17"/>
    </row>
    <row r="267" ht="18.75" customHeight="1">
      <c r="B267" s="12"/>
      <c r="C267" s="12"/>
      <c r="D267" s="12"/>
      <c r="E267" s="12"/>
      <c r="F267" s="12"/>
      <c r="H267" s="17"/>
      <c r="I267" s="14"/>
      <c r="J267" s="17"/>
      <c r="K267" s="14"/>
      <c r="L267" s="17"/>
    </row>
    <row r="268" ht="18.75" customHeight="1">
      <c r="B268" s="12"/>
      <c r="C268" s="12"/>
      <c r="D268" s="12"/>
      <c r="E268" s="12"/>
      <c r="F268" s="12"/>
      <c r="H268" s="17"/>
      <c r="I268" s="14"/>
      <c r="J268" s="17"/>
      <c r="K268" s="14"/>
      <c r="L268" s="17"/>
    </row>
    <row r="269" ht="18.75" customHeight="1">
      <c r="B269" s="12"/>
      <c r="C269" s="12"/>
      <c r="D269" s="12"/>
      <c r="E269" s="12"/>
      <c r="F269" s="12"/>
      <c r="H269" s="17"/>
      <c r="I269" s="14"/>
      <c r="J269" s="17"/>
      <c r="K269" s="14"/>
      <c r="L269" s="17"/>
    </row>
    <row r="270" ht="18.75" customHeight="1">
      <c r="B270" s="12"/>
      <c r="C270" s="12"/>
      <c r="D270" s="12"/>
      <c r="E270" s="12"/>
      <c r="F270" s="12"/>
      <c r="H270" s="17"/>
      <c r="I270" s="14"/>
      <c r="J270" s="17"/>
      <c r="K270" s="14"/>
      <c r="L270" s="17"/>
    </row>
    <row r="271" ht="18.75" customHeight="1">
      <c r="B271" s="12"/>
      <c r="C271" s="12"/>
      <c r="D271" s="12"/>
      <c r="E271" s="12"/>
      <c r="F271" s="12"/>
      <c r="H271" s="17"/>
      <c r="I271" s="14"/>
      <c r="J271" s="17"/>
      <c r="K271" s="14"/>
      <c r="L271" s="17"/>
    </row>
    <row r="272" ht="18.75" customHeight="1">
      <c r="B272" s="12"/>
      <c r="C272" s="12"/>
      <c r="D272" s="12"/>
      <c r="E272" s="12"/>
      <c r="F272" s="12"/>
      <c r="H272" s="17"/>
      <c r="I272" s="14"/>
      <c r="J272" s="17"/>
      <c r="K272" s="14"/>
      <c r="L272" s="17"/>
    </row>
    <row r="273" ht="18.75" customHeight="1">
      <c r="B273" s="12"/>
      <c r="C273" s="12"/>
      <c r="D273" s="12"/>
      <c r="E273" s="12"/>
      <c r="F273" s="12"/>
      <c r="H273" s="17"/>
      <c r="I273" s="14"/>
      <c r="J273" s="17"/>
      <c r="K273" s="14"/>
      <c r="L273" s="17"/>
    </row>
    <row r="274" ht="18.75" customHeight="1">
      <c r="B274" s="12"/>
      <c r="C274" s="12"/>
      <c r="D274" s="12"/>
      <c r="E274" s="12"/>
      <c r="F274" s="12"/>
      <c r="H274" s="17"/>
      <c r="I274" s="14"/>
      <c r="J274" s="17"/>
      <c r="K274" s="14"/>
      <c r="L274" s="17"/>
    </row>
    <row r="275" ht="18.75" customHeight="1">
      <c r="B275" s="12"/>
      <c r="C275" s="12"/>
      <c r="D275" s="12"/>
      <c r="E275" s="12"/>
      <c r="F275" s="12"/>
      <c r="H275" s="17"/>
      <c r="I275" s="14"/>
      <c r="J275" s="17"/>
      <c r="K275" s="14"/>
      <c r="L275" s="17"/>
    </row>
    <row r="276" ht="18.75" customHeight="1">
      <c r="B276" s="12"/>
      <c r="C276" s="12"/>
      <c r="D276" s="12"/>
      <c r="E276" s="12"/>
      <c r="F276" s="12"/>
      <c r="H276" s="17"/>
      <c r="I276" s="14"/>
      <c r="J276" s="17"/>
      <c r="K276" s="14"/>
      <c r="L276" s="17"/>
    </row>
    <row r="277" ht="18.75" customHeight="1">
      <c r="B277" s="12"/>
      <c r="C277" s="12"/>
      <c r="D277" s="12"/>
      <c r="E277" s="12"/>
      <c r="F277" s="12"/>
      <c r="H277" s="17"/>
      <c r="I277" s="14"/>
      <c r="J277" s="17"/>
      <c r="K277" s="14"/>
      <c r="L277" s="17"/>
    </row>
    <row r="278" ht="18.75" customHeight="1">
      <c r="B278" s="12"/>
      <c r="C278" s="12"/>
      <c r="D278" s="12"/>
      <c r="E278" s="12"/>
      <c r="F278" s="12"/>
      <c r="H278" s="17"/>
      <c r="I278" s="14"/>
      <c r="J278" s="17"/>
      <c r="K278" s="14"/>
      <c r="L278" s="17"/>
    </row>
    <row r="279" ht="18.75" customHeight="1">
      <c r="B279" s="12"/>
      <c r="C279" s="12"/>
      <c r="D279" s="12"/>
      <c r="E279" s="12"/>
      <c r="F279" s="12"/>
      <c r="H279" s="17"/>
      <c r="I279" s="14"/>
      <c r="J279" s="17"/>
      <c r="K279" s="14"/>
      <c r="L279" s="17"/>
    </row>
    <row r="280" ht="18.75" customHeight="1">
      <c r="B280" s="12"/>
      <c r="C280" s="12"/>
      <c r="D280" s="12"/>
      <c r="E280" s="12"/>
      <c r="F280" s="12"/>
      <c r="H280" s="17"/>
      <c r="I280" s="14"/>
      <c r="J280" s="17"/>
      <c r="K280" s="14"/>
      <c r="L280" s="17"/>
    </row>
    <row r="281" ht="18.75" customHeight="1">
      <c r="B281" s="12"/>
      <c r="C281" s="12"/>
      <c r="D281" s="12"/>
      <c r="E281" s="12"/>
      <c r="F281" s="12"/>
      <c r="H281" s="17"/>
      <c r="I281" s="14"/>
      <c r="J281" s="17"/>
      <c r="K281" s="14"/>
      <c r="L281" s="17"/>
    </row>
    <row r="282" ht="18.75" customHeight="1">
      <c r="B282" s="12"/>
      <c r="C282" s="12"/>
      <c r="D282" s="12"/>
      <c r="E282" s="12"/>
      <c r="F282" s="12"/>
      <c r="H282" s="17"/>
      <c r="I282" s="14"/>
      <c r="J282" s="17"/>
      <c r="K282" s="14"/>
      <c r="L282" s="17"/>
    </row>
    <row r="283" ht="18.75" customHeight="1">
      <c r="B283" s="12"/>
      <c r="C283" s="12"/>
      <c r="D283" s="12"/>
      <c r="E283" s="12"/>
      <c r="F283" s="12"/>
      <c r="H283" s="17"/>
      <c r="I283" s="14"/>
      <c r="J283" s="17"/>
      <c r="K283" s="14"/>
      <c r="L283" s="17"/>
    </row>
    <row r="284" ht="18.75" customHeight="1">
      <c r="B284" s="12"/>
      <c r="C284" s="12"/>
      <c r="D284" s="12"/>
      <c r="E284" s="12"/>
      <c r="F284" s="12"/>
      <c r="H284" s="17"/>
      <c r="I284" s="14"/>
      <c r="J284" s="17"/>
      <c r="K284" s="14"/>
      <c r="L284" s="17"/>
    </row>
    <row r="285" ht="18.75" customHeight="1">
      <c r="B285" s="12"/>
      <c r="C285" s="12"/>
      <c r="D285" s="12"/>
      <c r="E285" s="12"/>
      <c r="F285" s="12"/>
      <c r="H285" s="17"/>
      <c r="I285" s="14"/>
      <c r="J285" s="17"/>
      <c r="K285" s="14"/>
      <c r="L285" s="17"/>
    </row>
    <row r="286" ht="18.75" customHeight="1">
      <c r="B286" s="12"/>
      <c r="C286" s="12"/>
      <c r="D286" s="12"/>
      <c r="E286" s="12"/>
      <c r="F286" s="12"/>
      <c r="H286" s="17"/>
      <c r="I286" s="14"/>
      <c r="J286" s="17"/>
      <c r="K286" s="14"/>
      <c r="L286" s="17"/>
    </row>
    <row r="287" ht="18.75" customHeight="1">
      <c r="B287" s="12"/>
      <c r="C287" s="12"/>
      <c r="D287" s="12"/>
      <c r="E287" s="12"/>
      <c r="F287" s="12"/>
      <c r="H287" s="17"/>
      <c r="I287" s="14"/>
      <c r="J287" s="17"/>
      <c r="K287" s="14"/>
      <c r="L287" s="17"/>
    </row>
    <row r="288" ht="18.75" customHeight="1">
      <c r="B288" s="12"/>
      <c r="C288" s="12"/>
      <c r="D288" s="12"/>
      <c r="E288" s="12"/>
      <c r="F288" s="12"/>
      <c r="H288" s="17"/>
      <c r="I288" s="14"/>
      <c r="J288" s="17"/>
      <c r="K288" s="14"/>
      <c r="L288" s="17"/>
    </row>
    <row r="289" ht="18.75" customHeight="1">
      <c r="B289" s="12"/>
      <c r="C289" s="12"/>
      <c r="D289" s="12"/>
      <c r="E289" s="12"/>
      <c r="F289" s="12"/>
      <c r="H289" s="17"/>
      <c r="I289" s="14"/>
      <c r="J289" s="17"/>
      <c r="K289" s="14"/>
      <c r="L289" s="17"/>
    </row>
    <row r="290" ht="18.75" customHeight="1">
      <c r="B290" s="12"/>
      <c r="C290" s="12"/>
      <c r="D290" s="12"/>
      <c r="E290" s="12"/>
      <c r="F290" s="12"/>
      <c r="H290" s="17"/>
      <c r="I290" s="14"/>
      <c r="J290" s="17"/>
      <c r="K290" s="14"/>
      <c r="L290" s="17"/>
    </row>
    <row r="291" ht="18.75" customHeight="1">
      <c r="B291" s="12"/>
      <c r="C291" s="12"/>
      <c r="D291" s="12"/>
      <c r="E291" s="12"/>
      <c r="F291" s="12"/>
      <c r="H291" s="17"/>
      <c r="I291" s="14"/>
      <c r="J291" s="17"/>
      <c r="K291" s="14"/>
      <c r="L291" s="17"/>
    </row>
    <row r="292" ht="18.75" customHeight="1">
      <c r="B292" s="12"/>
      <c r="C292" s="12"/>
      <c r="D292" s="12"/>
      <c r="E292" s="12"/>
      <c r="F292" s="12"/>
      <c r="H292" s="17"/>
      <c r="I292" s="14"/>
      <c r="J292" s="17"/>
      <c r="K292" s="14"/>
      <c r="L292" s="17"/>
    </row>
    <row r="293" ht="18.75" customHeight="1">
      <c r="B293" s="12"/>
      <c r="C293" s="12"/>
      <c r="D293" s="12"/>
      <c r="E293" s="12"/>
      <c r="F293" s="12"/>
      <c r="H293" s="17"/>
      <c r="I293" s="14"/>
      <c r="J293" s="17"/>
      <c r="K293" s="14"/>
      <c r="L293" s="17"/>
    </row>
    <row r="294" ht="18.75" customHeight="1">
      <c r="B294" s="12"/>
      <c r="C294" s="12"/>
      <c r="D294" s="12"/>
      <c r="E294" s="12"/>
      <c r="F294" s="12"/>
      <c r="H294" s="17"/>
      <c r="I294" s="14"/>
      <c r="J294" s="17"/>
      <c r="K294" s="14"/>
      <c r="L294" s="17"/>
    </row>
    <row r="295" ht="18.75" customHeight="1">
      <c r="B295" s="12"/>
      <c r="C295" s="12"/>
      <c r="D295" s="12"/>
      <c r="E295" s="12"/>
      <c r="F295" s="12"/>
      <c r="H295" s="17"/>
      <c r="I295" s="14"/>
      <c r="J295" s="17"/>
      <c r="K295" s="14"/>
      <c r="L295" s="17"/>
    </row>
    <row r="296" ht="18.75" customHeight="1">
      <c r="B296" s="12"/>
      <c r="C296" s="12"/>
      <c r="D296" s="12"/>
      <c r="E296" s="12"/>
      <c r="F296" s="12"/>
      <c r="H296" s="17"/>
      <c r="I296" s="14"/>
      <c r="J296" s="17"/>
      <c r="K296" s="14"/>
      <c r="L296" s="17"/>
    </row>
    <row r="297" ht="18.75" customHeight="1">
      <c r="B297" s="12"/>
      <c r="C297" s="12"/>
      <c r="D297" s="12"/>
      <c r="E297" s="12"/>
      <c r="F297" s="12"/>
      <c r="H297" s="17"/>
      <c r="I297" s="14"/>
      <c r="J297" s="17"/>
      <c r="K297" s="14"/>
      <c r="L297" s="17"/>
    </row>
    <row r="298" ht="18.75" customHeight="1">
      <c r="B298" s="12"/>
      <c r="C298" s="12"/>
      <c r="D298" s="12"/>
      <c r="E298" s="12"/>
      <c r="F298" s="12"/>
      <c r="H298" s="17"/>
      <c r="I298" s="14"/>
      <c r="J298" s="17"/>
      <c r="K298" s="14"/>
      <c r="L298" s="17"/>
    </row>
    <row r="299" ht="18.75" customHeight="1">
      <c r="B299" s="12"/>
      <c r="C299" s="12"/>
      <c r="D299" s="12"/>
      <c r="E299" s="12"/>
      <c r="F299" s="12"/>
      <c r="H299" s="17"/>
      <c r="I299" s="14"/>
      <c r="J299" s="17"/>
      <c r="K299" s="14"/>
      <c r="L299" s="17"/>
    </row>
    <row r="300" ht="18.75" customHeight="1">
      <c r="B300" s="12"/>
      <c r="C300" s="12"/>
      <c r="D300" s="12"/>
      <c r="E300" s="12"/>
      <c r="F300" s="12"/>
      <c r="H300" s="17"/>
      <c r="I300" s="14"/>
      <c r="J300" s="17"/>
      <c r="K300" s="14"/>
      <c r="L300" s="17"/>
    </row>
    <row r="301" ht="18.75" customHeight="1">
      <c r="B301" s="12"/>
      <c r="C301" s="12"/>
      <c r="D301" s="12"/>
      <c r="E301" s="12"/>
      <c r="F301" s="12"/>
      <c r="H301" s="17"/>
      <c r="I301" s="14"/>
      <c r="J301" s="17"/>
      <c r="K301" s="14"/>
      <c r="L301" s="17"/>
    </row>
    <row r="302" ht="18.75" customHeight="1">
      <c r="B302" s="12"/>
      <c r="C302" s="12"/>
      <c r="D302" s="12"/>
      <c r="E302" s="12"/>
      <c r="F302" s="12"/>
      <c r="H302" s="17"/>
      <c r="I302" s="14"/>
      <c r="J302" s="17"/>
      <c r="K302" s="14"/>
      <c r="L302" s="17"/>
    </row>
    <row r="303" ht="18.75" customHeight="1">
      <c r="B303" s="12"/>
      <c r="C303" s="12"/>
      <c r="D303" s="12"/>
      <c r="E303" s="12"/>
      <c r="F303" s="12"/>
      <c r="H303" s="17"/>
      <c r="I303" s="14"/>
      <c r="J303" s="17"/>
      <c r="K303" s="14"/>
      <c r="L303" s="17"/>
    </row>
    <row r="304" ht="18.75" customHeight="1">
      <c r="B304" s="12"/>
      <c r="C304" s="12"/>
      <c r="D304" s="12"/>
      <c r="E304" s="12"/>
      <c r="F304" s="12"/>
      <c r="H304" s="17"/>
      <c r="I304" s="14"/>
      <c r="J304" s="17"/>
      <c r="K304" s="14"/>
      <c r="L304" s="17"/>
    </row>
    <row r="305" ht="18.75" customHeight="1">
      <c r="B305" s="12"/>
      <c r="C305" s="12"/>
      <c r="D305" s="12"/>
      <c r="E305" s="12"/>
      <c r="F305" s="12"/>
      <c r="H305" s="17"/>
      <c r="I305" s="14"/>
      <c r="J305" s="17"/>
      <c r="K305" s="14"/>
      <c r="L305" s="17"/>
    </row>
    <row r="306" ht="18.75" customHeight="1">
      <c r="B306" s="12"/>
      <c r="C306" s="12"/>
      <c r="D306" s="12"/>
      <c r="E306" s="12"/>
      <c r="F306" s="12"/>
      <c r="H306" s="17"/>
      <c r="I306" s="14"/>
      <c r="J306" s="17"/>
      <c r="K306" s="14"/>
      <c r="L306" s="17"/>
    </row>
    <row r="307" ht="18.75" customHeight="1">
      <c r="B307" s="12"/>
      <c r="C307" s="12"/>
      <c r="D307" s="12"/>
      <c r="E307" s="12"/>
      <c r="F307" s="12"/>
      <c r="H307" s="17"/>
      <c r="I307" s="14"/>
      <c r="J307" s="17"/>
      <c r="K307" s="14"/>
      <c r="L307" s="17"/>
    </row>
    <row r="308" ht="18.75" customHeight="1">
      <c r="B308" s="12"/>
      <c r="C308" s="12"/>
      <c r="D308" s="12"/>
      <c r="E308" s="12"/>
      <c r="F308" s="12"/>
      <c r="H308" s="17"/>
      <c r="I308" s="14"/>
      <c r="J308" s="17"/>
      <c r="K308" s="14"/>
      <c r="L308" s="17"/>
    </row>
    <row r="309" ht="18.75" customHeight="1">
      <c r="B309" s="12"/>
      <c r="C309" s="12"/>
      <c r="D309" s="12"/>
      <c r="E309" s="12"/>
      <c r="F309" s="12"/>
      <c r="H309" s="17"/>
      <c r="I309" s="14"/>
      <c r="J309" s="17"/>
      <c r="K309" s="14"/>
      <c r="L309" s="17"/>
    </row>
    <row r="310" ht="18.75" customHeight="1">
      <c r="B310" s="12"/>
      <c r="C310" s="12"/>
      <c r="D310" s="12"/>
      <c r="E310" s="12"/>
      <c r="F310" s="12"/>
      <c r="H310" s="17"/>
      <c r="I310" s="14"/>
      <c r="J310" s="17"/>
      <c r="K310" s="14"/>
      <c r="L310" s="17"/>
    </row>
    <row r="311" ht="18.75" customHeight="1">
      <c r="B311" s="12"/>
      <c r="C311" s="12"/>
      <c r="D311" s="12"/>
      <c r="E311" s="12"/>
      <c r="F311" s="12"/>
      <c r="H311" s="17"/>
      <c r="I311" s="14"/>
      <c r="J311" s="17"/>
      <c r="K311" s="14"/>
      <c r="L311" s="17"/>
    </row>
    <row r="312" ht="18.75" customHeight="1">
      <c r="B312" s="12"/>
      <c r="C312" s="12"/>
      <c r="D312" s="12"/>
      <c r="E312" s="12"/>
      <c r="F312" s="12"/>
      <c r="H312" s="17"/>
      <c r="I312" s="14"/>
      <c r="J312" s="17"/>
      <c r="K312" s="14"/>
      <c r="L312" s="17"/>
    </row>
    <row r="313" ht="18.75" customHeight="1">
      <c r="B313" s="12"/>
      <c r="C313" s="12"/>
      <c r="D313" s="12"/>
      <c r="E313" s="12"/>
      <c r="F313" s="12"/>
      <c r="H313" s="17"/>
      <c r="I313" s="14"/>
      <c r="J313" s="17"/>
      <c r="K313" s="14"/>
      <c r="L313" s="17"/>
    </row>
    <row r="314" ht="18.75" customHeight="1">
      <c r="B314" s="12"/>
      <c r="C314" s="12"/>
      <c r="D314" s="12"/>
      <c r="E314" s="12"/>
      <c r="F314" s="12"/>
      <c r="H314" s="17"/>
      <c r="I314" s="14"/>
      <c r="J314" s="17"/>
      <c r="K314" s="14"/>
      <c r="L314" s="17"/>
    </row>
    <row r="315" ht="18.75" customHeight="1">
      <c r="B315" s="12"/>
      <c r="C315" s="12"/>
      <c r="D315" s="12"/>
      <c r="E315" s="12"/>
      <c r="F315" s="12"/>
      <c r="H315" s="17"/>
      <c r="I315" s="14"/>
      <c r="J315" s="17"/>
      <c r="K315" s="14"/>
      <c r="L315" s="17"/>
    </row>
    <row r="316" ht="18.75" customHeight="1">
      <c r="B316" s="12"/>
      <c r="C316" s="12"/>
      <c r="D316" s="12"/>
      <c r="E316" s="12"/>
      <c r="F316" s="12"/>
      <c r="H316" s="17"/>
      <c r="I316" s="14"/>
      <c r="J316" s="17"/>
      <c r="K316" s="14"/>
      <c r="L316" s="17"/>
    </row>
    <row r="317" ht="18.75" customHeight="1">
      <c r="B317" s="12"/>
      <c r="C317" s="12"/>
      <c r="D317" s="12"/>
      <c r="E317" s="12"/>
      <c r="F317" s="12"/>
      <c r="H317" s="17"/>
      <c r="I317" s="14"/>
      <c r="J317" s="17"/>
      <c r="K317" s="14"/>
      <c r="L317" s="17"/>
    </row>
    <row r="318" ht="18.75" customHeight="1">
      <c r="B318" s="12"/>
      <c r="C318" s="12"/>
      <c r="D318" s="12"/>
      <c r="E318" s="12"/>
      <c r="F318" s="12"/>
      <c r="H318" s="17"/>
      <c r="I318" s="14"/>
      <c r="J318" s="17"/>
      <c r="K318" s="14"/>
      <c r="L318" s="17"/>
    </row>
    <row r="319" ht="18.75" customHeight="1">
      <c r="B319" s="12"/>
      <c r="C319" s="12"/>
      <c r="D319" s="12"/>
      <c r="E319" s="12"/>
      <c r="F319" s="12"/>
      <c r="H319" s="17"/>
      <c r="I319" s="14"/>
      <c r="J319" s="17"/>
      <c r="K319" s="14"/>
      <c r="L319" s="17"/>
    </row>
    <row r="320" ht="18.75" customHeight="1">
      <c r="B320" s="12"/>
      <c r="C320" s="12"/>
      <c r="D320" s="12"/>
      <c r="E320" s="12"/>
      <c r="F320" s="12"/>
      <c r="H320" s="17"/>
      <c r="I320" s="14"/>
      <c r="J320" s="17"/>
      <c r="K320" s="14"/>
      <c r="L320" s="17"/>
    </row>
    <row r="321" ht="18.75" customHeight="1">
      <c r="B321" s="12"/>
      <c r="C321" s="12"/>
      <c r="D321" s="12"/>
      <c r="E321" s="12"/>
      <c r="F321" s="12"/>
      <c r="H321" s="17"/>
      <c r="I321" s="14"/>
      <c r="J321" s="17"/>
      <c r="K321" s="14"/>
      <c r="L321" s="17"/>
    </row>
    <row r="322" ht="18.75" customHeight="1">
      <c r="B322" s="12"/>
      <c r="C322" s="12"/>
      <c r="D322" s="12"/>
      <c r="E322" s="12"/>
      <c r="F322" s="12"/>
      <c r="H322" s="17"/>
      <c r="I322" s="14"/>
      <c r="J322" s="17"/>
      <c r="K322" s="14"/>
      <c r="L322" s="17"/>
    </row>
    <row r="323" ht="18.75" customHeight="1">
      <c r="B323" s="12"/>
      <c r="C323" s="12"/>
      <c r="D323" s="12"/>
      <c r="E323" s="12"/>
      <c r="F323" s="12"/>
      <c r="H323" s="17"/>
      <c r="I323" s="14"/>
      <c r="J323" s="17"/>
      <c r="K323" s="14"/>
      <c r="L323" s="17"/>
    </row>
    <row r="324" ht="18.75" customHeight="1">
      <c r="B324" s="12"/>
      <c r="C324" s="12"/>
      <c r="D324" s="12"/>
      <c r="E324" s="12"/>
      <c r="F324" s="12"/>
      <c r="H324" s="17"/>
      <c r="I324" s="14"/>
      <c r="J324" s="17"/>
      <c r="K324" s="14"/>
      <c r="L324" s="17"/>
    </row>
    <row r="325" ht="18.75" customHeight="1">
      <c r="B325" s="12"/>
      <c r="C325" s="12"/>
      <c r="D325" s="12"/>
      <c r="E325" s="12"/>
      <c r="F325" s="12"/>
      <c r="H325" s="17"/>
      <c r="I325" s="14"/>
      <c r="J325" s="17"/>
      <c r="K325" s="14"/>
      <c r="L325" s="17"/>
    </row>
    <row r="326" ht="18.75" customHeight="1">
      <c r="B326" s="12"/>
      <c r="C326" s="12"/>
      <c r="D326" s="12"/>
      <c r="E326" s="12"/>
      <c r="F326" s="12"/>
      <c r="H326" s="17"/>
      <c r="I326" s="14"/>
      <c r="J326" s="17"/>
      <c r="K326" s="14"/>
      <c r="L326" s="17"/>
    </row>
    <row r="327" ht="18.75" customHeight="1">
      <c r="B327" s="12"/>
      <c r="C327" s="12"/>
      <c r="D327" s="12"/>
      <c r="E327" s="12"/>
      <c r="F327" s="12"/>
      <c r="H327" s="17"/>
      <c r="I327" s="14"/>
      <c r="J327" s="17"/>
      <c r="K327" s="14"/>
      <c r="L327" s="17"/>
    </row>
    <row r="328" ht="18.75" customHeight="1">
      <c r="B328" s="12"/>
      <c r="C328" s="12"/>
      <c r="D328" s="12"/>
      <c r="E328" s="12"/>
      <c r="F328" s="12"/>
      <c r="H328" s="17"/>
      <c r="I328" s="14"/>
      <c r="J328" s="17"/>
      <c r="K328" s="14"/>
      <c r="L328" s="17"/>
    </row>
    <row r="329" ht="18.75" customHeight="1">
      <c r="B329" s="12"/>
      <c r="C329" s="12"/>
      <c r="D329" s="12"/>
      <c r="E329" s="12"/>
      <c r="F329" s="12"/>
      <c r="H329" s="17"/>
      <c r="I329" s="14"/>
      <c r="J329" s="17"/>
      <c r="K329" s="14"/>
      <c r="L329" s="17"/>
    </row>
    <row r="330" ht="18.75" customHeight="1">
      <c r="B330" s="12"/>
      <c r="C330" s="12"/>
      <c r="D330" s="12"/>
      <c r="E330" s="12"/>
      <c r="F330" s="12"/>
      <c r="H330" s="17"/>
      <c r="I330" s="14"/>
      <c r="J330" s="17"/>
      <c r="K330" s="14"/>
      <c r="L330" s="17"/>
    </row>
    <row r="331" ht="18.75" customHeight="1">
      <c r="B331" s="12"/>
      <c r="C331" s="12"/>
      <c r="D331" s="12"/>
      <c r="E331" s="12"/>
      <c r="F331" s="12"/>
      <c r="H331" s="17"/>
      <c r="I331" s="14"/>
      <c r="J331" s="17"/>
      <c r="K331" s="14"/>
      <c r="L331" s="17"/>
    </row>
    <row r="332" ht="18.75" customHeight="1">
      <c r="B332" s="12"/>
      <c r="C332" s="12"/>
      <c r="D332" s="12"/>
      <c r="E332" s="12"/>
      <c r="F332" s="12"/>
      <c r="H332" s="17"/>
      <c r="I332" s="14"/>
      <c r="J332" s="17"/>
      <c r="K332" s="14"/>
      <c r="L332" s="17"/>
    </row>
    <row r="333" ht="18.75" customHeight="1">
      <c r="B333" s="12"/>
      <c r="C333" s="12"/>
      <c r="D333" s="12"/>
      <c r="E333" s="12"/>
      <c r="F333" s="12"/>
      <c r="H333" s="17"/>
      <c r="I333" s="14"/>
      <c r="J333" s="17"/>
      <c r="K333" s="14"/>
      <c r="L333" s="17"/>
    </row>
    <row r="334" ht="18.75" customHeight="1">
      <c r="B334" s="12"/>
      <c r="C334" s="12"/>
      <c r="D334" s="12"/>
      <c r="E334" s="12"/>
      <c r="F334" s="12"/>
      <c r="H334" s="17"/>
      <c r="I334" s="14"/>
      <c r="J334" s="17"/>
      <c r="K334" s="14"/>
      <c r="L334" s="17"/>
    </row>
    <row r="335" ht="18.75" customHeight="1">
      <c r="B335" s="12"/>
      <c r="C335" s="12"/>
      <c r="D335" s="12"/>
      <c r="E335" s="12"/>
      <c r="F335" s="12"/>
      <c r="H335" s="17"/>
      <c r="I335" s="14"/>
      <c r="J335" s="17"/>
      <c r="K335" s="14"/>
      <c r="L335" s="17"/>
    </row>
    <row r="336" ht="18.75" customHeight="1">
      <c r="B336" s="12"/>
      <c r="C336" s="12"/>
      <c r="D336" s="12"/>
      <c r="E336" s="12"/>
      <c r="F336" s="12"/>
      <c r="H336" s="17"/>
      <c r="I336" s="14"/>
      <c r="J336" s="17"/>
      <c r="K336" s="14"/>
      <c r="L336" s="17"/>
    </row>
    <row r="337" ht="18.75" customHeight="1">
      <c r="B337" s="12"/>
      <c r="C337" s="12"/>
      <c r="D337" s="12"/>
      <c r="E337" s="12"/>
      <c r="F337" s="12"/>
      <c r="H337" s="17"/>
      <c r="I337" s="14"/>
      <c r="J337" s="17"/>
      <c r="K337" s="14"/>
      <c r="L337" s="17"/>
    </row>
    <row r="338" ht="18.75" customHeight="1">
      <c r="B338" s="12"/>
      <c r="C338" s="12"/>
      <c r="D338" s="12"/>
      <c r="E338" s="12"/>
      <c r="F338" s="12"/>
      <c r="H338" s="17"/>
      <c r="I338" s="14"/>
      <c r="J338" s="17"/>
      <c r="K338" s="14"/>
      <c r="L338" s="17"/>
    </row>
    <row r="339" ht="18.75" customHeight="1">
      <c r="B339" s="12"/>
      <c r="C339" s="12"/>
      <c r="D339" s="12"/>
      <c r="E339" s="12"/>
      <c r="F339" s="12"/>
      <c r="H339" s="17"/>
      <c r="I339" s="14"/>
      <c r="J339" s="17"/>
      <c r="K339" s="14"/>
      <c r="L339" s="17"/>
    </row>
    <row r="340" ht="18.75" customHeight="1">
      <c r="B340" s="12"/>
      <c r="C340" s="12"/>
      <c r="D340" s="12"/>
      <c r="E340" s="12"/>
      <c r="F340" s="12"/>
      <c r="H340" s="17"/>
      <c r="I340" s="14"/>
      <c r="J340" s="17"/>
      <c r="K340" s="14"/>
      <c r="L340" s="17"/>
    </row>
    <row r="341" ht="18.75" customHeight="1">
      <c r="B341" s="12"/>
      <c r="C341" s="12"/>
      <c r="D341" s="12"/>
      <c r="E341" s="12"/>
      <c r="F341" s="12"/>
      <c r="H341" s="17"/>
      <c r="I341" s="14"/>
      <c r="J341" s="17"/>
      <c r="K341" s="14"/>
      <c r="L341" s="17"/>
    </row>
    <row r="342" ht="18.75" customHeight="1">
      <c r="B342" s="12"/>
      <c r="C342" s="12"/>
      <c r="D342" s="12"/>
      <c r="E342" s="12"/>
      <c r="F342" s="12"/>
      <c r="H342" s="17"/>
      <c r="I342" s="14"/>
      <c r="J342" s="17"/>
      <c r="K342" s="14"/>
      <c r="L342" s="17"/>
    </row>
    <row r="343" ht="18.75" customHeight="1">
      <c r="B343" s="12"/>
      <c r="C343" s="12"/>
      <c r="D343" s="12"/>
      <c r="E343" s="12"/>
      <c r="F343" s="12"/>
      <c r="H343" s="17"/>
      <c r="I343" s="14"/>
      <c r="J343" s="17"/>
      <c r="K343" s="14"/>
      <c r="L343" s="17"/>
    </row>
    <row r="344" ht="18.75" customHeight="1">
      <c r="B344" s="12"/>
      <c r="C344" s="12"/>
      <c r="D344" s="12"/>
      <c r="E344" s="12"/>
      <c r="F344" s="12"/>
      <c r="H344" s="17"/>
      <c r="I344" s="14"/>
      <c r="J344" s="17"/>
      <c r="K344" s="14"/>
      <c r="L344" s="17"/>
    </row>
    <row r="345" ht="18.75" customHeight="1">
      <c r="B345" s="12"/>
      <c r="C345" s="12"/>
      <c r="D345" s="12"/>
      <c r="E345" s="12"/>
      <c r="F345" s="12"/>
      <c r="H345" s="17"/>
      <c r="I345" s="14"/>
      <c r="J345" s="17"/>
      <c r="K345" s="14"/>
      <c r="L345" s="17"/>
    </row>
    <row r="346" ht="18.75" customHeight="1">
      <c r="B346" s="12"/>
      <c r="C346" s="12"/>
      <c r="D346" s="12"/>
      <c r="E346" s="12"/>
      <c r="F346" s="12"/>
      <c r="H346" s="17"/>
      <c r="I346" s="14"/>
      <c r="J346" s="17"/>
      <c r="K346" s="14"/>
      <c r="L346" s="17"/>
    </row>
    <row r="347" ht="18.75" customHeight="1">
      <c r="B347" s="12"/>
      <c r="C347" s="12"/>
      <c r="D347" s="12"/>
      <c r="E347" s="12"/>
      <c r="F347" s="12"/>
      <c r="H347" s="17"/>
      <c r="I347" s="14"/>
      <c r="J347" s="17"/>
      <c r="K347" s="14"/>
      <c r="L347" s="17"/>
    </row>
    <row r="348" ht="18.75" customHeight="1">
      <c r="B348" s="12"/>
      <c r="C348" s="12"/>
      <c r="D348" s="12"/>
      <c r="E348" s="12"/>
      <c r="F348" s="12"/>
      <c r="H348" s="17"/>
      <c r="I348" s="14"/>
      <c r="J348" s="17"/>
      <c r="K348" s="14"/>
      <c r="L348" s="17"/>
    </row>
    <row r="349" ht="18.75" customHeight="1">
      <c r="B349" s="12"/>
      <c r="C349" s="12"/>
      <c r="D349" s="12"/>
      <c r="E349" s="12"/>
      <c r="F349" s="12"/>
      <c r="H349" s="17"/>
      <c r="I349" s="14"/>
      <c r="J349" s="17"/>
      <c r="K349" s="14"/>
      <c r="L349" s="17"/>
    </row>
    <row r="350" ht="18.75" customHeight="1">
      <c r="B350" s="12"/>
      <c r="C350" s="12"/>
      <c r="D350" s="12"/>
      <c r="E350" s="12"/>
      <c r="F350" s="12"/>
      <c r="H350" s="17"/>
      <c r="I350" s="14"/>
      <c r="J350" s="17"/>
      <c r="K350" s="14"/>
      <c r="L350" s="17"/>
    </row>
    <row r="351" ht="18.75" customHeight="1">
      <c r="B351" s="12"/>
      <c r="C351" s="12"/>
      <c r="D351" s="12"/>
      <c r="E351" s="12"/>
      <c r="F351" s="12"/>
      <c r="H351" s="17"/>
      <c r="I351" s="14"/>
      <c r="J351" s="17"/>
      <c r="K351" s="14"/>
      <c r="L351" s="17"/>
    </row>
    <row r="352" ht="18.75" customHeight="1">
      <c r="B352" s="12"/>
      <c r="C352" s="12"/>
      <c r="D352" s="12"/>
      <c r="E352" s="12"/>
      <c r="F352" s="12"/>
      <c r="H352" s="17"/>
      <c r="I352" s="14"/>
      <c r="J352" s="17"/>
      <c r="K352" s="14"/>
      <c r="L352" s="17"/>
    </row>
    <row r="353" ht="18.75" customHeight="1">
      <c r="B353" s="12"/>
      <c r="C353" s="12"/>
      <c r="D353" s="12"/>
      <c r="E353" s="12"/>
      <c r="F353" s="12"/>
      <c r="H353" s="17"/>
      <c r="I353" s="14"/>
      <c r="J353" s="17"/>
      <c r="K353" s="14"/>
      <c r="L353" s="17"/>
    </row>
    <row r="354" ht="18.75" customHeight="1">
      <c r="B354" s="12"/>
      <c r="C354" s="12"/>
      <c r="D354" s="12"/>
      <c r="E354" s="12"/>
      <c r="F354" s="12"/>
      <c r="H354" s="17"/>
      <c r="I354" s="14"/>
      <c r="J354" s="17"/>
      <c r="K354" s="14"/>
      <c r="L354" s="17"/>
    </row>
    <row r="355" ht="18.75" customHeight="1">
      <c r="B355" s="12"/>
      <c r="C355" s="12"/>
      <c r="D355" s="12"/>
      <c r="E355" s="12"/>
      <c r="F355" s="12"/>
      <c r="H355" s="17"/>
      <c r="I355" s="14"/>
      <c r="J355" s="17"/>
      <c r="K355" s="14"/>
      <c r="L355" s="17"/>
    </row>
    <row r="356" ht="18.75" customHeight="1">
      <c r="B356" s="12"/>
      <c r="C356" s="12"/>
      <c r="D356" s="12"/>
      <c r="E356" s="12"/>
      <c r="F356" s="12"/>
      <c r="H356" s="17"/>
      <c r="I356" s="14"/>
      <c r="J356" s="17"/>
      <c r="K356" s="14"/>
      <c r="L356" s="17"/>
    </row>
    <row r="357" ht="18.75" customHeight="1">
      <c r="B357" s="12"/>
      <c r="C357" s="12"/>
      <c r="D357" s="12"/>
      <c r="E357" s="12"/>
      <c r="F357" s="12"/>
      <c r="H357" s="17"/>
      <c r="I357" s="14"/>
      <c r="J357" s="17"/>
      <c r="K357" s="14"/>
      <c r="L357" s="17"/>
    </row>
    <row r="358" ht="18.75" customHeight="1">
      <c r="B358" s="12"/>
      <c r="C358" s="12"/>
      <c r="D358" s="12"/>
      <c r="E358" s="12"/>
      <c r="F358" s="12"/>
      <c r="H358" s="17"/>
      <c r="I358" s="14"/>
      <c r="J358" s="17"/>
      <c r="K358" s="14"/>
      <c r="L358" s="17"/>
    </row>
    <row r="359" ht="18.75" customHeight="1">
      <c r="B359" s="12"/>
      <c r="C359" s="12"/>
      <c r="D359" s="12"/>
      <c r="E359" s="12"/>
      <c r="F359" s="12"/>
      <c r="H359" s="17"/>
      <c r="I359" s="14"/>
      <c r="J359" s="17"/>
      <c r="K359" s="14"/>
      <c r="L359" s="17"/>
    </row>
    <row r="360" ht="18.75" customHeight="1">
      <c r="B360" s="12"/>
      <c r="C360" s="12"/>
      <c r="D360" s="12"/>
      <c r="E360" s="12"/>
      <c r="F360" s="12"/>
      <c r="H360" s="17"/>
      <c r="I360" s="14"/>
      <c r="J360" s="17"/>
      <c r="K360" s="14"/>
      <c r="L360" s="17"/>
    </row>
    <row r="361" ht="18.75" customHeight="1">
      <c r="B361" s="12"/>
      <c r="C361" s="12"/>
      <c r="D361" s="12"/>
      <c r="E361" s="12"/>
      <c r="F361" s="12"/>
      <c r="H361" s="17"/>
      <c r="I361" s="14"/>
      <c r="J361" s="17"/>
      <c r="K361" s="14"/>
      <c r="L361" s="17"/>
    </row>
    <row r="362" ht="18.75" customHeight="1">
      <c r="B362" s="12"/>
      <c r="C362" s="12"/>
      <c r="D362" s="12"/>
      <c r="E362" s="12"/>
      <c r="F362" s="12"/>
      <c r="H362" s="17"/>
      <c r="I362" s="14"/>
      <c r="J362" s="17"/>
      <c r="K362" s="14"/>
      <c r="L362" s="17"/>
    </row>
    <row r="363" ht="18.75" customHeight="1">
      <c r="B363" s="12"/>
      <c r="C363" s="12"/>
      <c r="D363" s="12"/>
      <c r="E363" s="12"/>
      <c r="F363" s="12"/>
      <c r="H363" s="17"/>
      <c r="I363" s="14"/>
      <c r="J363" s="17"/>
      <c r="K363" s="14"/>
      <c r="L363" s="17"/>
    </row>
    <row r="364" ht="18.75" customHeight="1">
      <c r="B364" s="12"/>
      <c r="C364" s="12"/>
      <c r="D364" s="12"/>
      <c r="E364" s="12"/>
      <c r="F364" s="12"/>
      <c r="H364" s="17"/>
      <c r="I364" s="14"/>
      <c r="J364" s="17"/>
      <c r="K364" s="14"/>
      <c r="L364" s="17"/>
    </row>
    <row r="365" ht="18.75" customHeight="1">
      <c r="B365" s="12"/>
      <c r="C365" s="12"/>
      <c r="D365" s="12"/>
      <c r="E365" s="12"/>
      <c r="F365" s="12"/>
      <c r="H365" s="17"/>
      <c r="I365" s="14"/>
      <c r="J365" s="17"/>
      <c r="K365" s="14"/>
      <c r="L365" s="17"/>
    </row>
    <row r="366" ht="18.75" customHeight="1">
      <c r="B366" s="12"/>
      <c r="C366" s="12"/>
      <c r="D366" s="12"/>
      <c r="E366" s="12"/>
      <c r="F366" s="12"/>
      <c r="H366" s="17"/>
      <c r="I366" s="14"/>
      <c r="J366" s="17"/>
      <c r="K366" s="14"/>
      <c r="L366" s="17"/>
    </row>
    <row r="367" ht="18.75" customHeight="1">
      <c r="B367" s="12"/>
      <c r="C367" s="12"/>
      <c r="D367" s="12"/>
      <c r="E367" s="12"/>
      <c r="F367" s="12"/>
      <c r="H367" s="17"/>
      <c r="I367" s="14"/>
      <c r="J367" s="17"/>
      <c r="K367" s="14"/>
      <c r="L367" s="17"/>
    </row>
    <row r="368" ht="18.75" customHeight="1">
      <c r="B368" s="12"/>
      <c r="C368" s="12"/>
      <c r="D368" s="12"/>
      <c r="E368" s="12"/>
      <c r="F368" s="12"/>
      <c r="H368" s="17"/>
      <c r="I368" s="14"/>
      <c r="J368" s="17"/>
      <c r="K368" s="14"/>
      <c r="L368" s="17"/>
    </row>
    <row r="369" ht="18.75" customHeight="1">
      <c r="B369" s="12"/>
      <c r="C369" s="12"/>
      <c r="D369" s="12"/>
      <c r="E369" s="12"/>
      <c r="F369" s="12"/>
      <c r="H369" s="17"/>
      <c r="I369" s="14"/>
      <c r="J369" s="17"/>
      <c r="K369" s="14"/>
      <c r="L369" s="17"/>
    </row>
    <row r="370" ht="18.75" customHeight="1">
      <c r="B370" s="12"/>
      <c r="C370" s="12"/>
      <c r="D370" s="12"/>
      <c r="E370" s="12"/>
      <c r="F370" s="12"/>
      <c r="H370" s="17"/>
      <c r="I370" s="14"/>
      <c r="J370" s="17"/>
      <c r="K370" s="14"/>
      <c r="L370" s="17"/>
    </row>
    <row r="371" ht="18.75" customHeight="1">
      <c r="B371" s="12"/>
      <c r="C371" s="12"/>
      <c r="D371" s="12"/>
      <c r="E371" s="12"/>
      <c r="F371" s="12"/>
      <c r="H371" s="17"/>
      <c r="I371" s="14"/>
      <c r="J371" s="17"/>
      <c r="K371" s="14"/>
      <c r="L371" s="17"/>
    </row>
    <row r="372" ht="18.75" customHeight="1">
      <c r="B372" s="12"/>
      <c r="C372" s="12"/>
      <c r="D372" s="12"/>
      <c r="E372" s="12"/>
      <c r="F372" s="12"/>
      <c r="H372" s="17"/>
      <c r="I372" s="14"/>
      <c r="J372" s="17"/>
      <c r="K372" s="14"/>
      <c r="L372" s="17"/>
    </row>
    <row r="373" ht="18.75" customHeight="1">
      <c r="B373" s="12"/>
      <c r="C373" s="12"/>
      <c r="D373" s="12"/>
      <c r="E373" s="12"/>
      <c r="F373" s="12"/>
      <c r="H373" s="17"/>
      <c r="I373" s="14"/>
      <c r="J373" s="17"/>
      <c r="K373" s="14"/>
      <c r="L373" s="17"/>
    </row>
    <row r="374" ht="18.75" customHeight="1">
      <c r="B374" s="12"/>
      <c r="C374" s="12"/>
      <c r="D374" s="12"/>
      <c r="E374" s="12"/>
      <c r="F374" s="12"/>
      <c r="H374" s="17"/>
      <c r="I374" s="14"/>
      <c r="J374" s="17"/>
      <c r="K374" s="14"/>
      <c r="L374" s="17"/>
    </row>
    <row r="375" ht="18.75" customHeight="1">
      <c r="B375" s="12"/>
      <c r="C375" s="12"/>
      <c r="D375" s="12"/>
      <c r="E375" s="12"/>
      <c r="F375" s="12"/>
      <c r="H375" s="17"/>
      <c r="I375" s="14"/>
      <c r="J375" s="17"/>
      <c r="K375" s="14"/>
      <c r="L375" s="17"/>
    </row>
    <row r="376" ht="18.75" customHeight="1">
      <c r="B376" s="12"/>
      <c r="C376" s="12"/>
      <c r="D376" s="12"/>
      <c r="E376" s="12"/>
      <c r="F376" s="12"/>
      <c r="H376" s="17"/>
      <c r="I376" s="14"/>
      <c r="J376" s="17"/>
      <c r="K376" s="14"/>
      <c r="L376" s="17"/>
    </row>
    <row r="377" ht="18.75" customHeight="1">
      <c r="B377" s="12"/>
      <c r="C377" s="12"/>
      <c r="D377" s="12"/>
      <c r="E377" s="12"/>
      <c r="F377" s="12"/>
      <c r="H377" s="17"/>
      <c r="I377" s="14"/>
      <c r="J377" s="17"/>
      <c r="K377" s="14"/>
      <c r="L377" s="17"/>
    </row>
    <row r="378" ht="18.75" customHeight="1">
      <c r="B378" s="12"/>
      <c r="C378" s="12"/>
      <c r="D378" s="12"/>
      <c r="E378" s="12"/>
      <c r="F378" s="12"/>
      <c r="H378" s="17"/>
      <c r="I378" s="14"/>
      <c r="J378" s="17"/>
      <c r="K378" s="14"/>
      <c r="L378" s="17"/>
    </row>
    <row r="379" ht="18.75" customHeight="1">
      <c r="B379" s="12"/>
      <c r="C379" s="12"/>
      <c r="D379" s="12"/>
      <c r="E379" s="12"/>
      <c r="F379" s="12"/>
      <c r="H379" s="17"/>
      <c r="I379" s="14"/>
      <c r="J379" s="17"/>
      <c r="K379" s="14"/>
      <c r="L379" s="17"/>
    </row>
    <row r="380" ht="18.75" customHeight="1">
      <c r="B380" s="12"/>
      <c r="C380" s="12"/>
      <c r="D380" s="12"/>
      <c r="E380" s="12"/>
      <c r="F380" s="12"/>
      <c r="H380" s="17"/>
      <c r="I380" s="14"/>
      <c r="J380" s="17"/>
      <c r="K380" s="14"/>
      <c r="L380" s="17"/>
    </row>
    <row r="381" ht="18.75" customHeight="1">
      <c r="B381" s="12"/>
      <c r="C381" s="12"/>
      <c r="D381" s="12"/>
      <c r="E381" s="12"/>
      <c r="F381" s="12"/>
      <c r="H381" s="17"/>
      <c r="I381" s="14"/>
      <c r="J381" s="17"/>
      <c r="K381" s="14"/>
      <c r="L381" s="17"/>
    </row>
    <row r="382" ht="18.75" customHeight="1">
      <c r="B382" s="12"/>
      <c r="C382" s="12"/>
      <c r="D382" s="12"/>
      <c r="E382" s="12"/>
      <c r="F382" s="12"/>
      <c r="H382" s="17"/>
      <c r="I382" s="14"/>
      <c r="J382" s="17"/>
      <c r="K382" s="14"/>
      <c r="L382" s="17"/>
    </row>
    <row r="383" ht="18.75" customHeight="1">
      <c r="B383" s="12"/>
      <c r="C383" s="12"/>
      <c r="D383" s="12"/>
      <c r="E383" s="12"/>
      <c r="F383" s="12"/>
      <c r="H383" s="17"/>
      <c r="I383" s="14"/>
      <c r="J383" s="17"/>
      <c r="K383" s="14"/>
      <c r="L383" s="17"/>
    </row>
    <row r="384" ht="18.75" customHeight="1">
      <c r="B384" s="12"/>
      <c r="C384" s="12"/>
      <c r="D384" s="12"/>
      <c r="E384" s="12"/>
      <c r="F384" s="12"/>
      <c r="H384" s="17"/>
      <c r="I384" s="14"/>
      <c r="J384" s="17"/>
      <c r="K384" s="14"/>
      <c r="L384" s="17"/>
    </row>
    <row r="385" ht="18.75" customHeight="1">
      <c r="B385" s="12"/>
      <c r="C385" s="12"/>
      <c r="D385" s="12"/>
      <c r="E385" s="12"/>
      <c r="F385" s="12"/>
      <c r="H385" s="17"/>
      <c r="I385" s="14"/>
      <c r="J385" s="17"/>
      <c r="K385" s="14"/>
      <c r="L385" s="17"/>
    </row>
    <row r="386" ht="18.75" customHeight="1">
      <c r="B386" s="12"/>
      <c r="C386" s="12"/>
      <c r="D386" s="12"/>
      <c r="E386" s="12"/>
      <c r="F386" s="12"/>
      <c r="H386" s="17"/>
      <c r="I386" s="14"/>
      <c r="J386" s="17"/>
      <c r="K386" s="14"/>
      <c r="L386" s="17"/>
    </row>
    <row r="387" ht="18.75" customHeight="1">
      <c r="B387" s="12"/>
      <c r="C387" s="12"/>
      <c r="D387" s="12"/>
      <c r="E387" s="12"/>
      <c r="F387" s="12"/>
      <c r="H387" s="17"/>
      <c r="I387" s="14"/>
      <c r="J387" s="17"/>
      <c r="K387" s="14"/>
      <c r="L387" s="17"/>
    </row>
    <row r="388" ht="18.75" customHeight="1">
      <c r="B388" s="12"/>
      <c r="C388" s="12"/>
      <c r="D388" s="12"/>
      <c r="E388" s="12"/>
      <c r="F388" s="12"/>
      <c r="H388" s="17"/>
      <c r="I388" s="14"/>
      <c r="J388" s="17"/>
      <c r="K388" s="14"/>
      <c r="L388" s="17"/>
    </row>
    <row r="389" ht="18.75" customHeight="1">
      <c r="B389" s="12"/>
      <c r="C389" s="12"/>
      <c r="D389" s="12"/>
      <c r="E389" s="12"/>
      <c r="F389" s="12"/>
      <c r="H389" s="17"/>
      <c r="I389" s="14"/>
      <c r="J389" s="17"/>
      <c r="K389" s="14"/>
      <c r="L389" s="17"/>
    </row>
    <row r="390" ht="18.75" customHeight="1">
      <c r="B390" s="12"/>
      <c r="C390" s="12"/>
      <c r="D390" s="12"/>
      <c r="E390" s="12"/>
      <c r="F390" s="12"/>
      <c r="H390" s="17"/>
      <c r="I390" s="14"/>
      <c r="J390" s="17"/>
      <c r="K390" s="14"/>
      <c r="L390" s="17"/>
    </row>
    <row r="391" ht="18.75" customHeight="1">
      <c r="B391" s="12"/>
      <c r="C391" s="12"/>
      <c r="D391" s="12"/>
      <c r="E391" s="12"/>
      <c r="F391" s="12"/>
      <c r="H391" s="17"/>
      <c r="I391" s="14"/>
      <c r="J391" s="17"/>
      <c r="K391" s="14"/>
      <c r="L391" s="17"/>
    </row>
    <row r="392" ht="18.75" customHeight="1">
      <c r="B392" s="12"/>
      <c r="C392" s="12"/>
      <c r="D392" s="12"/>
      <c r="E392" s="12"/>
      <c r="F392" s="12"/>
      <c r="H392" s="17"/>
      <c r="I392" s="14"/>
      <c r="J392" s="17"/>
      <c r="K392" s="14"/>
      <c r="L392" s="17"/>
    </row>
    <row r="393" ht="18.75" customHeight="1">
      <c r="B393" s="12"/>
      <c r="C393" s="12"/>
      <c r="D393" s="12"/>
      <c r="E393" s="12"/>
      <c r="F393" s="12"/>
      <c r="H393" s="17"/>
      <c r="I393" s="14"/>
      <c r="J393" s="17"/>
      <c r="K393" s="14"/>
      <c r="L393" s="17"/>
    </row>
    <row r="394" ht="18.75" customHeight="1">
      <c r="B394" s="12"/>
      <c r="C394" s="12"/>
      <c r="D394" s="12"/>
      <c r="E394" s="12"/>
      <c r="F394" s="12"/>
      <c r="H394" s="17"/>
      <c r="I394" s="14"/>
      <c r="J394" s="17"/>
      <c r="K394" s="14"/>
      <c r="L394" s="17"/>
    </row>
    <row r="395" ht="18.75" customHeight="1">
      <c r="B395" s="12"/>
      <c r="C395" s="12"/>
      <c r="D395" s="12"/>
      <c r="E395" s="12"/>
      <c r="F395" s="12"/>
      <c r="H395" s="17"/>
      <c r="I395" s="14"/>
      <c r="J395" s="17"/>
      <c r="K395" s="14"/>
      <c r="L395" s="17"/>
    </row>
    <row r="396" ht="18.75" customHeight="1">
      <c r="B396" s="12"/>
      <c r="C396" s="12"/>
      <c r="D396" s="12"/>
      <c r="E396" s="12"/>
      <c r="F396" s="12"/>
      <c r="H396" s="17"/>
      <c r="I396" s="14"/>
      <c r="J396" s="17"/>
      <c r="K396" s="14"/>
      <c r="L396" s="17"/>
    </row>
    <row r="397" ht="18.75" customHeight="1">
      <c r="B397" s="12"/>
      <c r="C397" s="12"/>
      <c r="D397" s="12"/>
      <c r="E397" s="12"/>
      <c r="F397" s="12"/>
      <c r="H397" s="17"/>
      <c r="I397" s="14"/>
      <c r="J397" s="17"/>
      <c r="K397" s="14"/>
      <c r="L397" s="17"/>
    </row>
    <row r="398" ht="18.75" customHeight="1">
      <c r="B398" s="12"/>
      <c r="C398" s="12"/>
      <c r="D398" s="12"/>
      <c r="E398" s="12"/>
      <c r="F398" s="12"/>
      <c r="H398" s="17"/>
      <c r="I398" s="14"/>
      <c r="J398" s="17"/>
      <c r="K398" s="14"/>
      <c r="L398" s="17"/>
    </row>
    <row r="399" ht="18.75" customHeight="1">
      <c r="B399" s="12"/>
      <c r="C399" s="12"/>
      <c r="D399" s="12"/>
      <c r="E399" s="12"/>
      <c r="F399" s="12"/>
      <c r="H399" s="17"/>
      <c r="I399" s="14"/>
      <c r="J399" s="17"/>
      <c r="K399" s="14"/>
      <c r="L399" s="17"/>
    </row>
    <row r="400" ht="18.75" customHeight="1">
      <c r="B400" s="12"/>
      <c r="C400" s="12"/>
      <c r="D400" s="12"/>
      <c r="E400" s="12"/>
      <c r="F400" s="12"/>
      <c r="H400" s="17"/>
      <c r="I400" s="14"/>
      <c r="J400" s="17"/>
      <c r="K400" s="14"/>
      <c r="L400" s="17"/>
    </row>
    <row r="401" ht="18.75" customHeight="1">
      <c r="B401" s="12"/>
      <c r="C401" s="12"/>
      <c r="D401" s="12"/>
      <c r="E401" s="12"/>
      <c r="F401" s="12"/>
      <c r="H401" s="17"/>
      <c r="I401" s="14"/>
      <c r="J401" s="17"/>
      <c r="K401" s="14"/>
      <c r="L401" s="17"/>
    </row>
    <row r="402" ht="18.75" customHeight="1">
      <c r="B402" s="12"/>
      <c r="C402" s="12"/>
      <c r="D402" s="12"/>
      <c r="E402" s="12"/>
      <c r="F402" s="12"/>
      <c r="H402" s="17"/>
      <c r="I402" s="14"/>
      <c r="J402" s="17"/>
      <c r="K402" s="14"/>
      <c r="L402" s="17"/>
    </row>
    <row r="403" ht="18.75" customHeight="1">
      <c r="B403" s="12"/>
      <c r="C403" s="12"/>
      <c r="D403" s="12"/>
      <c r="E403" s="12"/>
      <c r="F403" s="12"/>
      <c r="H403" s="17"/>
      <c r="I403" s="14"/>
      <c r="J403" s="17"/>
      <c r="K403" s="14"/>
      <c r="L403" s="17"/>
    </row>
    <row r="404" ht="18.75" customHeight="1">
      <c r="B404" s="12"/>
      <c r="C404" s="12"/>
      <c r="D404" s="12"/>
      <c r="E404" s="12"/>
      <c r="F404" s="12"/>
      <c r="H404" s="17"/>
      <c r="I404" s="14"/>
      <c r="J404" s="17"/>
      <c r="K404" s="14"/>
      <c r="L404" s="17"/>
    </row>
    <row r="405" ht="18.75" customHeight="1">
      <c r="B405" s="12"/>
      <c r="C405" s="12"/>
      <c r="D405" s="12"/>
      <c r="E405" s="12"/>
      <c r="F405" s="12"/>
      <c r="H405" s="17"/>
      <c r="I405" s="14"/>
      <c r="J405" s="17"/>
      <c r="K405" s="14"/>
      <c r="L405" s="17"/>
    </row>
    <row r="406" ht="18.75" customHeight="1">
      <c r="B406" s="12"/>
      <c r="C406" s="12"/>
      <c r="D406" s="12"/>
      <c r="E406" s="12"/>
      <c r="F406" s="12"/>
      <c r="H406" s="17"/>
      <c r="I406" s="14"/>
      <c r="J406" s="17"/>
      <c r="K406" s="14"/>
      <c r="L406" s="17"/>
    </row>
    <row r="407" ht="18.75" customHeight="1">
      <c r="B407" s="12"/>
      <c r="C407" s="12"/>
      <c r="D407" s="12"/>
      <c r="E407" s="12"/>
      <c r="F407" s="12"/>
      <c r="H407" s="17"/>
      <c r="I407" s="14"/>
      <c r="J407" s="17"/>
      <c r="K407" s="14"/>
      <c r="L407" s="17"/>
    </row>
    <row r="408" ht="18.75" customHeight="1">
      <c r="B408" s="12"/>
      <c r="C408" s="12"/>
      <c r="D408" s="12"/>
      <c r="E408" s="12"/>
      <c r="F408" s="12"/>
      <c r="H408" s="17"/>
      <c r="I408" s="14"/>
      <c r="J408" s="17"/>
      <c r="K408" s="14"/>
      <c r="L408" s="17"/>
    </row>
    <row r="409" ht="18.75" customHeight="1">
      <c r="B409" s="12"/>
      <c r="C409" s="12"/>
      <c r="D409" s="12"/>
      <c r="E409" s="12"/>
      <c r="F409" s="12"/>
      <c r="H409" s="17"/>
      <c r="I409" s="14"/>
      <c r="J409" s="17"/>
      <c r="K409" s="14"/>
      <c r="L409" s="17"/>
    </row>
    <row r="410" ht="18.75" customHeight="1">
      <c r="B410" s="12"/>
      <c r="C410" s="12"/>
      <c r="D410" s="12"/>
      <c r="E410" s="12"/>
      <c r="F410" s="12"/>
      <c r="H410" s="17"/>
      <c r="I410" s="14"/>
      <c r="J410" s="17"/>
      <c r="K410" s="14"/>
      <c r="L410" s="17"/>
    </row>
    <row r="411" ht="18.75" customHeight="1">
      <c r="B411" s="12"/>
      <c r="C411" s="12"/>
      <c r="D411" s="12"/>
      <c r="E411" s="12"/>
      <c r="F411" s="12"/>
      <c r="H411" s="17"/>
      <c r="I411" s="14"/>
      <c r="J411" s="17"/>
      <c r="K411" s="14"/>
      <c r="L411" s="17"/>
    </row>
    <row r="412" ht="18.75" customHeight="1">
      <c r="B412" s="12"/>
      <c r="C412" s="12"/>
      <c r="D412" s="12"/>
      <c r="E412" s="12"/>
      <c r="F412" s="12"/>
      <c r="H412" s="17"/>
      <c r="I412" s="14"/>
      <c r="J412" s="17"/>
      <c r="K412" s="14"/>
      <c r="L412" s="17"/>
    </row>
    <row r="413" ht="18.75" customHeight="1">
      <c r="B413" s="12"/>
      <c r="C413" s="12"/>
      <c r="D413" s="12"/>
      <c r="E413" s="12"/>
      <c r="F413" s="12"/>
      <c r="H413" s="17"/>
      <c r="I413" s="14"/>
      <c r="J413" s="17"/>
      <c r="K413" s="14"/>
      <c r="L413" s="17"/>
    </row>
    <row r="414" ht="18.75" customHeight="1">
      <c r="B414" s="12"/>
      <c r="C414" s="12"/>
      <c r="D414" s="12"/>
      <c r="E414" s="12"/>
      <c r="F414" s="12"/>
      <c r="H414" s="17"/>
      <c r="I414" s="14"/>
      <c r="J414" s="17"/>
      <c r="K414" s="14"/>
      <c r="L414" s="17"/>
    </row>
    <row r="415" ht="18.75" customHeight="1">
      <c r="B415" s="12"/>
      <c r="C415" s="12"/>
      <c r="D415" s="12"/>
      <c r="E415" s="12"/>
      <c r="F415" s="12"/>
      <c r="H415" s="17"/>
      <c r="I415" s="14"/>
      <c r="J415" s="17"/>
      <c r="K415" s="14"/>
      <c r="L415" s="17"/>
    </row>
    <row r="416" ht="18.75" customHeight="1">
      <c r="B416" s="12"/>
      <c r="C416" s="12"/>
      <c r="D416" s="12"/>
      <c r="E416" s="12"/>
      <c r="F416" s="12"/>
      <c r="H416" s="17"/>
      <c r="I416" s="14"/>
      <c r="J416" s="17"/>
      <c r="K416" s="14"/>
      <c r="L416" s="17"/>
    </row>
    <row r="417" ht="18.75" customHeight="1">
      <c r="B417" s="12"/>
      <c r="C417" s="12"/>
      <c r="D417" s="12"/>
      <c r="E417" s="12"/>
      <c r="F417" s="12"/>
      <c r="H417" s="17"/>
      <c r="I417" s="14"/>
      <c r="J417" s="17"/>
      <c r="K417" s="14"/>
      <c r="L417" s="17"/>
    </row>
    <row r="418" ht="18.75" customHeight="1">
      <c r="B418" s="12"/>
      <c r="C418" s="12"/>
      <c r="D418" s="12"/>
      <c r="E418" s="12"/>
      <c r="F418" s="12"/>
      <c r="H418" s="17"/>
      <c r="I418" s="14"/>
      <c r="J418" s="17"/>
      <c r="K418" s="14"/>
      <c r="L418" s="17"/>
    </row>
    <row r="419" ht="18.75" customHeight="1">
      <c r="B419" s="12"/>
      <c r="C419" s="12"/>
      <c r="D419" s="12"/>
      <c r="E419" s="12"/>
      <c r="F419" s="12"/>
      <c r="H419" s="17"/>
      <c r="I419" s="14"/>
      <c r="J419" s="17"/>
      <c r="K419" s="14"/>
      <c r="L419" s="17"/>
    </row>
    <row r="420" ht="18.75" customHeight="1">
      <c r="B420" s="12"/>
      <c r="C420" s="12"/>
      <c r="D420" s="12"/>
      <c r="E420" s="12"/>
      <c r="F420" s="12"/>
      <c r="H420" s="17"/>
      <c r="I420" s="14"/>
      <c r="J420" s="17"/>
      <c r="K420" s="14"/>
      <c r="L420" s="17"/>
    </row>
    <row r="421" ht="18.75" customHeight="1">
      <c r="B421" s="12"/>
      <c r="C421" s="12"/>
      <c r="D421" s="12"/>
      <c r="E421" s="12"/>
      <c r="F421" s="12"/>
      <c r="H421" s="17"/>
      <c r="I421" s="14"/>
      <c r="J421" s="17"/>
      <c r="K421" s="14"/>
      <c r="L421" s="17"/>
    </row>
    <row r="422" ht="18.75" customHeight="1">
      <c r="B422" s="12"/>
      <c r="C422" s="12"/>
      <c r="D422" s="12"/>
      <c r="E422" s="12"/>
      <c r="F422" s="12"/>
      <c r="H422" s="17"/>
      <c r="I422" s="14"/>
      <c r="J422" s="17"/>
      <c r="K422" s="14"/>
      <c r="L422" s="17"/>
    </row>
    <row r="423" ht="18.75" customHeight="1">
      <c r="B423" s="12"/>
      <c r="C423" s="12"/>
      <c r="D423" s="12"/>
      <c r="E423" s="12"/>
      <c r="F423" s="12"/>
      <c r="H423" s="17"/>
      <c r="I423" s="14"/>
      <c r="J423" s="17"/>
      <c r="K423" s="14"/>
      <c r="L423" s="17"/>
    </row>
    <row r="424" ht="18.75" customHeight="1">
      <c r="B424" s="12"/>
      <c r="C424" s="12"/>
      <c r="D424" s="12"/>
      <c r="E424" s="12"/>
      <c r="F424" s="12"/>
      <c r="H424" s="17"/>
      <c r="I424" s="14"/>
      <c r="J424" s="17"/>
      <c r="K424" s="14"/>
      <c r="L424" s="17"/>
    </row>
    <row r="425" ht="18.75" customHeight="1">
      <c r="B425" s="12"/>
      <c r="C425" s="12"/>
      <c r="D425" s="12"/>
      <c r="E425" s="12"/>
      <c r="F425" s="12"/>
      <c r="H425" s="17"/>
      <c r="I425" s="14"/>
      <c r="J425" s="17"/>
      <c r="K425" s="14"/>
      <c r="L425" s="17"/>
    </row>
    <row r="426" ht="18.75" customHeight="1">
      <c r="B426" s="12"/>
      <c r="C426" s="12"/>
      <c r="D426" s="12"/>
      <c r="E426" s="12"/>
      <c r="F426" s="12"/>
      <c r="H426" s="17"/>
      <c r="I426" s="14"/>
      <c r="J426" s="17"/>
      <c r="K426" s="14"/>
      <c r="L426" s="17"/>
    </row>
    <row r="427" ht="18.75" customHeight="1">
      <c r="B427" s="12"/>
      <c r="C427" s="12"/>
      <c r="D427" s="12"/>
      <c r="E427" s="12"/>
      <c r="F427" s="12"/>
      <c r="H427" s="17"/>
      <c r="I427" s="14"/>
      <c r="J427" s="17"/>
      <c r="K427" s="14"/>
      <c r="L427" s="17"/>
    </row>
    <row r="428" ht="18.75" customHeight="1">
      <c r="B428" s="12"/>
      <c r="C428" s="12"/>
      <c r="D428" s="12"/>
      <c r="E428" s="12"/>
      <c r="F428" s="12"/>
      <c r="H428" s="17"/>
      <c r="I428" s="14"/>
      <c r="J428" s="17"/>
      <c r="K428" s="14"/>
      <c r="L428" s="17"/>
    </row>
    <row r="429" ht="18.75" customHeight="1">
      <c r="B429" s="12"/>
      <c r="C429" s="12"/>
      <c r="D429" s="12"/>
      <c r="E429" s="12"/>
      <c r="F429" s="12"/>
      <c r="H429" s="17"/>
      <c r="I429" s="14"/>
      <c r="J429" s="17"/>
      <c r="K429" s="14"/>
      <c r="L429" s="17"/>
    </row>
    <row r="430" ht="18.75" customHeight="1">
      <c r="B430" s="12"/>
      <c r="C430" s="12"/>
      <c r="D430" s="12"/>
      <c r="E430" s="12"/>
      <c r="F430" s="12"/>
      <c r="H430" s="17"/>
      <c r="I430" s="14"/>
      <c r="J430" s="17"/>
      <c r="K430" s="14"/>
      <c r="L430" s="17"/>
    </row>
    <row r="431" ht="18.75" customHeight="1">
      <c r="B431" s="12"/>
      <c r="C431" s="12"/>
      <c r="D431" s="12"/>
      <c r="E431" s="12"/>
      <c r="F431" s="12"/>
      <c r="H431" s="17"/>
      <c r="I431" s="14"/>
      <c r="J431" s="17"/>
      <c r="K431" s="14"/>
      <c r="L431" s="17"/>
    </row>
    <row r="432" ht="18.75" customHeight="1">
      <c r="B432" s="12"/>
      <c r="C432" s="12"/>
      <c r="D432" s="12"/>
      <c r="E432" s="12"/>
      <c r="F432" s="12"/>
      <c r="H432" s="17"/>
      <c r="I432" s="14"/>
      <c r="J432" s="17"/>
      <c r="K432" s="14"/>
      <c r="L432" s="17"/>
    </row>
    <row r="433" ht="18.75" customHeight="1">
      <c r="B433" s="12"/>
      <c r="C433" s="12"/>
      <c r="D433" s="12"/>
      <c r="E433" s="12"/>
      <c r="F433" s="12"/>
      <c r="H433" s="17"/>
      <c r="I433" s="14"/>
      <c r="J433" s="17"/>
      <c r="K433" s="14"/>
      <c r="L433" s="17"/>
    </row>
    <row r="434" ht="18.75" customHeight="1">
      <c r="B434" s="12"/>
      <c r="C434" s="12"/>
      <c r="D434" s="12"/>
      <c r="E434" s="12"/>
      <c r="F434" s="12"/>
      <c r="H434" s="17"/>
      <c r="I434" s="14"/>
      <c r="J434" s="17"/>
      <c r="K434" s="14"/>
      <c r="L434" s="17"/>
    </row>
    <row r="435" ht="18.75" customHeight="1">
      <c r="B435" s="12"/>
      <c r="C435" s="12"/>
      <c r="D435" s="12"/>
      <c r="E435" s="12"/>
      <c r="F435" s="12"/>
      <c r="H435" s="17"/>
      <c r="I435" s="14"/>
      <c r="J435" s="17"/>
      <c r="K435" s="14"/>
      <c r="L435" s="17"/>
    </row>
    <row r="436" ht="18.75" customHeight="1">
      <c r="B436" s="12"/>
      <c r="C436" s="12"/>
      <c r="D436" s="12"/>
      <c r="E436" s="12"/>
      <c r="F436" s="12"/>
      <c r="H436" s="17"/>
      <c r="I436" s="14"/>
      <c r="J436" s="17"/>
      <c r="K436" s="14"/>
      <c r="L436" s="17"/>
    </row>
    <row r="437" ht="18.75" customHeight="1">
      <c r="B437" s="12"/>
      <c r="C437" s="12"/>
      <c r="D437" s="12"/>
      <c r="E437" s="12"/>
      <c r="F437" s="12"/>
      <c r="H437" s="17"/>
      <c r="I437" s="14"/>
      <c r="J437" s="17"/>
      <c r="K437" s="14"/>
      <c r="L437" s="17"/>
    </row>
    <row r="438" ht="18.75" customHeight="1">
      <c r="B438" s="12"/>
      <c r="C438" s="12"/>
      <c r="D438" s="12"/>
      <c r="E438" s="12"/>
      <c r="F438" s="12"/>
      <c r="H438" s="17"/>
      <c r="I438" s="14"/>
      <c r="J438" s="17"/>
      <c r="K438" s="14"/>
      <c r="L438" s="17"/>
    </row>
    <row r="439" ht="18.75" customHeight="1">
      <c r="B439" s="12"/>
      <c r="C439" s="12"/>
      <c r="D439" s="12"/>
      <c r="E439" s="12"/>
      <c r="F439" s="12"/>
      <c r="H439" s="17"/>
      <c r="I439" s="14"/>
      <c r="J439" s="17"/>
      <c r="K439" s="14"/>
      <c r="L439" s="17"/>
    </row>
    <row r="440" ht="18.75" customHeight="1">
      <c r="B440" s="12"/>
      <c r="C440" s="12"/>
      <c r="D440" s="12"/>
      <c r="E440" s="12"/>
      <c r="F440" s="12"/>
      <c r="H440" s="17"/>
      <c r="I440" s="14"/>
      <c r="J440" s="17"/>
      <c r="K440" s="14"/>
      <c r="L440" s="17"/>
    </row>
    <row r="441" ht="18.75" customHeight="1">
      <c r="B441" s="12"/>
      <c r="C441" s="12"/>
      <c r="D441" s="12"/>
      <c r="E441" s="12"/>
      <c r="F441" s="12"/>
      <c r="H441" s="17"/>
      <c r="I441" s="14"/>
      <c r="J441" s="17"/>
      <c r="K441" s="14"/>
      <c r="L441" s="17"/>
    </row>
    <row r="442" ht="18.75" customHeight="1">
      <c r="B442" s="12"/>
      <c r="C442" s="12"/>
      <c r="D442" s="12"/>
      <c r="E442" s="12"/>
      <c r="F442" s="12"/>
      <c r="H442" s="17"/>
      <c r="I442" s="14"/>
      <c r="J442" s="17"/>
      <c r="K442" s="14"/>
      <c r="L442" s="17"/>
    </row>
    <row r="443" ht="18.75" customHeight="1">
      <c r="B443" s="12"/>
      <c r="C443" s="12"/>
      <c r="D443" s="12"/>
      <c r="E443" s="12"/>
      <c r="F443" s="12"/>
      <c r="H443" s="17"/>
      <c r="I443" s="14"/>
      <c r="J443" s="17"/>
      <c r="K443" s="14"/>
      <c r="L443" s="17"/>
    </row>
    <row r="444" ht="18.75" customHeight="1">
      <c r="B444" s="12"/>
      <c r="C444" s="12"/>
      <c r="D444" s="12"/>
      <c r="E444" s="12"/>
      <c r="F444" s="12"/>
      <c r="H444" s="17"/>
      <c r="I444" s="14"/>
      <c r="J444" s="17"/>
      <c r="K444" s="14"/>
      <c r="L444" s="17"/>
    </row>
    <row r="445" ht="18.75" customHeight="1">
      <c r="B445" s="12"/>
      <c r="C445" s="12"/>
      <c r="D445" s="12"/>
      <c r="E445" s="12"/>
      <c r="F445" s="12"/>
      <c r="H445" s="17"/>
      <c r="I445" s="14"/>
      <c r="J445" s="17"/>
      <c r="K445" s="14"/>
      <c r="L445" s="17"/>
    </row>
    <row r="446" ht="18.75" customHeight="1">
      <c r="B446" s="12"/>
      <c r="C446" s="12"/>
      <c r="D446" s="12"/>
      <c r="E446" s="12"/>
      <c r="F446" s="12"/>
      <c r="H446" s="17"/>
      <c r="I446" s="14"/>
      <c r="J446" s="17"/>
      <c r="K446" s="14"/>
      <c r="L446" s="17"/>
    </row>
    <row r="447" ht="18.75" customHeight="1">
      <c r="B447" s="12"/>
      <c r="C447" s="12"/>
      <c r="D447" s="12"/>
      <c r="E447" s="12"/>
      <c r="F447" s="12"/>
      <c r="H447" s="17"/>
      <c r="I447" s="14"/>
      <c r="J447" s="17"/>
      <c r="K447" s="14"/>
      <c r="L447" s="17"/>
    </row>
    <row r="448" ht="18.75" customHeight="1">
      <c r="B448" s="12"/>
      <c r="C448" s="12"/>
      <c r="D448" s="12"/>
      <c r="E448" s="12"/>
      <c r="F448" s="12"/>
      <c r="H448" s="17"/>
      <c r="I448" s="14"/>
      <c r="J448" s="17"/>
      <c r="K448" s="14"/>
      <c r="L448" s="17"/>
    </row>
    <row r="449" ht="18.75" customHeight="1">
      <c r="B449" s="12"/>
      <c r="C449" s="12"/>
      <c r="D449" s="12"/>
      <c r="E449" s="12"/>
      <c r="F449" s="12"/>
      <c r="H449" s="17"/>
      <c r="I449" s="14"/>
      <c r="J449" s="17"/>
      <c r="K449" s="14"/>
      <c r="L449" s="17"/>
    </row>
    <row r="450" ht="18.75" customHeight="1">
      <c r="B450" s="12"/>
      <c r="C450" s="12"/>
      <c r="D450" s="12"/>
      <c r="E450" s="12"/>
      <c r="F450" s="12"/>
      <c r="H450" s="17"/>
      <c r="I450" s="14"/>
      <c r="J450" s="17"/>
      <c r="K450" s="14"/>
      <c r="L450" s="17"/>
    </row>
    <row r="451" ht="18.75" customHeight="1">
      <c r="B451" s="12"/>
      <c r="C451" s="12"/>
      <c r="D451" s="12"/>
      <c r="E451" s="12"/>
      <c r="F451" s="12"/>
      <c r="H451" s="17"/>
      <c r="I451" s="14"/>
      <c r="J451" s="17"/>
      <c r="K451" s="14"/>
      <c r="L451" s="17"/>
    </row>
    <row r="452" ht="18.75" customHeight="1">
      <c r="B452" s="12"/>
      <c r="C452" s="12"/>
      <c r="D452" s="12"/>
      <c r="E452" s="12"/>
      <c r="F452" s="12"/>
      <c r="H452" s="17"/>
      <c r="I452" s="14"/>
      <c r="J452" s="17"/>
      <c r="K452" s="14"/>
      <c r="L452" s="17"/>
    </row>
    <row r="453" ht="18.75" customHeight="1">
      <c r="B453" s="12"/>
      <c r="C453" s="12"/>
      <c r="D453" s="12"/>
      <c r="E453" s="12"/>
      <c r="F453" s="12"/>
      <c r="H453" s="17"/>
      <c r="I453" s="14"/>
      <c r="J453" s="17"/>
      <c r="K453" s="14"/>
      <c r="L453" s="17"/>
    </row>
    <row r="454" ht="18.75" customHeight="1">
      <c r="B454" s="12"/>
      <c r="C454" s="12"/>
      <c r="D454" s="12"/>
      <c r="E454" s="12"/>
      <c r="F454" s="12"/>
      <c r="H454" s="17"/>
      <c r="I454" s="14"/>
      <c r="J454" s="17"/>
      <c r="K454" s="14"/>
      <c r="L454" s="17"/>
    </row>
    <row r="455" ht="18.75" customHeight="1">
      <c r="B455" s="12"/>
      <c r="C455" s="12"/>
      <c r="D455" s="12"/>
      <c r="E455" s="12"/>
      <c r="F455" s="12"/>
      <c r="H455" s="17"/>
      <c r="I455" s="14"/>
      <c r="J455" s="17"/>
      <c r="K455" s="14"/>
      <c r="L455" s="17"/>
    </row>
    <row r="456" ht="18.75" customHeight="1">
      <c r="B456" s="12"/>
      <c r="C456" s="12"/>
      <c r="D456" s="12"/>
      <c r="E456" s="12"/>
      <c r="F456" s="12"/>
      <c r="H456" s="17"/>
      <c r="I456" s="14"/>
      <c r="J456" s="17"/>
      <c r="K456" s="14"/>
      <c r="L456" s="17"/>
    </row>
    <row r="457" ht="18.75" customHeight="1">
      <c r="B457" s="12"/>
      <c r="C457" s="12"/>
      <c r="D457" s="12"/>
      <c r="E457" s="12"/>
      <c r="F457" s="12"/>
      <c r="H457" s="17"/>
      <c r="I457" s="14"/>
      <c r="J457" s="17"/>
      <c r="K457" s="14"/>
      <c r="L457" s="17"/>
    </row>
    <row r="458" ht="18.75" customHeight="1">
      <c r="B458" s="12"/>
      <c r="C458" s="12"/>
      <c r="D458" s="12"/>
      <c r="E458" s="12"/>
      <c r="F458" s="12"/>
      <c r="H458" s="17"/>
      <c r="I458" s="14"/>
      <c r="J458" s="17"/>
      <c r="K458" s="14"/>
      <c r="L458" s="17"/>
    </row>
    <row r="459" ht="18.75" customHeight="1">
      <c r="B459" s="12"/>
      <c r="C459" s="12"/>
      <c r="D459" s="12"/>
      <c r="E459" s="12"/>
      <c r="F459" s="12"/>
      <c r="H459" s="17"/>
      <c r="I459" s="14"/>
      <c r="J459" s="17"/>
      <c r="K459" s="14"/>
      <c r="L459" s="17"/>
    </row>
    <row r="460" ht="18.75" customHeight="1">
      <c r="B460" s="12"/>
      <c r="C460" s="12"/>
      <c r="D460" s="12"/>
      <c r="E460" s="12"/>
      <c r="F460" s="12"/>
      <c r="H460" s="17"/>
      <c r="I460" s="14"/>
      <c r="J460" s="17"/>
      <c r="K460" s="14"/>
      <c r="L460" s="17"/>
    </row>
    <row r="461" ht="18.75" customHeight="1">
      <c r="B461" s="12"/>
      <c r="C461" s="12"/>
      <c r="D461" s="12"/>
      <c r="E461" s="12"/>
      <c r="F461" s="12"/>
      <c r="H461" s="17"/>
      <c r="I461" s="14"/>
      <c r="J461" s="17"/>
      <c r="K461" s="14"/>
      <c r="L461" s="17"/>
    </row>
    <row r="462" ht="18.75" customHeight="1">
      <c r="B462" s="12"/>
      <c r="C462" s="12"/>
      <c r="D462" s="12"/>
      <c r="E462" s="12"/>
      <c r="F462" s="12"/>
      <c r="H462" s="17"/>
      <c r="I462" s="14"/>
      <c r="J462" s="17"/>
      <c r="K462" s="14"/>
      <c r="L462" s="17"/>
    </row>
    <row r="463" ht="18.75" customHeight="1">
      <c r="B463" s="12"/>
      <c r="C463" s="12"/>
      <c r="D463" s="12"/>
      <c r="E463" s="12"/>
      <c r="F463" s="12"/>
      <c r="H463" s="17"/>
      <c r="I463" s="14"/>
      <c r="J463" s="17"/>
      <c r="K463" s="14"/>
      <c r="L463" s="17"/>
    </row>
    <row r="464" ht="18.75" customHeight="1">
      <c r="B464" s="12"/>
      <c r="C464" s="12"/>
      <c r="D464" s="12"/>
      <c r="E464" s="12"/>
      <c r="F464" s="12"/>
      <c r="H464" s="17"/>
      <c r="I464" s="14"/>
      <c r="J464" s="17"/>
      <c r="K464" s="14"/>
      <c r="L464" s="17"/>
    </row>
    <row r="465" ht="18.75" customHeight="1">
      <c r="B465" s="12"/>
      <c r="C465" s="12"/>
      <c r="D465" s="12"/>
      <c r="E465" s="12"/>
      <c r="F465" s="12"/>
      <c r="H465" s="17"/>
      <c r="I465" s="14"/>
      <c r="J465" s="17"/>
      <c r="K465" s="14"/>
      <c r="L465" s="17"/>
    </row>
    <row r="466" ht="18.75" customHeight="1">
      <c r="B466" s="12"/>
      <c r="C466" s="12"/>
      <c r="D466" s="12"/>
      <c r="E466" s="12"/>
      <c r="F466" s="12"/>
      <c r="H466" s="17"/>
      <c r="I466" s="14"/>
      <c r="J466" s="17"/>
      <c r="K466" s="14"/>
      <c r="L466" s="17"/>
    </row>
    <row r="467" ht="18.75" customHeight="1">
      <c r="B467" s="12"/>
      <c r="C467" s="12"/>
      <c r="D467" s="12"/>
      <c r="E467" s="12"/>
      <c r="F467" s="12"/>
      <c r="H467" s="17"/>
      <c r="I467" s="14"/>
      <c r="J467" s="17"/>
      <c r="K467" s="14"/>
      <c r="L467" s="17"/>
    </row>
    <row r="468" ht="18.75" customHeight="1">
      <c r="B468" s="12"/>
      <c r="C468" s="12"/>
      <c r="D468" s="12"/>
      <c r="E468" s="12"/>
      <c r="F468" s="12"/>
      <c r="H468" s="17"/>
      <c r="I468" s="14"/>
      <c r="J468" s="17"/>
      <c r="K468" s="14"/>
      <c r="L468" s="17"/>
    </row>
    <row r="469" ht="18.75" customHeight="1">
      <c r="B469" s="12"/>
      <c r="C469" s="12"/>
      <c r="D469" s="12"/>
      <c r="E469" s="12"/>
      <c r="F469" s="12"/>
      <c r="H469" s="17"/>
      <c r="I469" s="14"/>
      <c r="J469" s="17"/>
      <c r="K469" s="14"/>
      <c r="L469" s="17"/>
    </row>
    <row r="470" ht="18.75" customHeight="1">
      <c r="B470" s="12"/>
      <c r="C470" s="12"/>
      <c r="D470" s="12"/>
      <c r="E470" s="12"/>
      <c r="F470" s="12"/>
      <c r="H470" s="17"/>
      <c r="I470" s="14"/>
      <c r="J470" s="17"/>
      <c r="K470" s="14"/>
      <c r="L470" s="17"/>
    </row>
    <row r="471" ht="18.75" customHeight="1">
      <c r="B471" s="12"/>
      <c r="C471" s="12"/>
      <c r="D471" s="12"/>
      <c r="E471" s="12"/>
      <c r="F471" s="12"/>
      <c r="H471" s="17"/>
      <c r="I471" s="14"/>
      <c r="J471" s="17"/>
      <c r="K471" s="14"/>
      <c r="L471" s="17"/>
    </row>
    <row r="472" ht="18.75" customHeight="1">
      <c r="B472" s="12"/>
      <c r="C472" s="12"/>
      <c r="D472" s="12"/>
      <c r="E472" s="12"/>
      <c r="F472" s="12"/>
      <c r="H472" s="17"/>
      <c r="I472" s="14"/>
      <c r="J472" s="17"/>
      <c r="K472" s="14"/>
      <c r="L472" s="17"/>
    </row>
    <row r="473" ht="18.75" customHeight="1">
      <c r="B473" s="12"/>
      <c r="C473" s="12"/>
      <c r="D473" s="12"/>
      <c r="E473" s="12"/>
      <c r="F473" s="12"/>
      <c r="H473" s="17"/>
      <c r="I473" s="14"/>
      <c r="J473" s="17"/>
      <c r="K473" s="14"/>
      <c r="L473" s="17"/>
    </row>
    <row r="474" ht="18.75" customHeight="1">
      <c r="B474" s="12"/>
      <c r="C474" s="12"/>
      <c r="D474" s="12"/>
      <c r="E474" s="12"/>
      <c r="F474" s="12"/>
      <c r="H474" s="17"/>
      <c r="I474" s="14"/>
      <c r="J474" s="17"/>
      <c r="K474" s="14"/>
      <c r="L474" s="17"/>
    </row>
    <row r="475" ht="18.75" customHeight="1">
      <c r="B475" s="12"/>
      <c r="C475" s="12"/>
      <c r="D475" s="12"/>
      <c r="E475" s="12"/>
      <c r="F475" s="12"/>
      <c r="H475" s="17"/>
      <c r="I475" s="14"/>
      <c r="J475" s="17"/>
      <c r="K475" s="14"/>
      <c r="L475" s="17"/>
    </row>
    <row r="476" ht="18.75" customHeight="1">
      <c r="B476" s="12"/>
      <c r="C476" s="12"/>
      <c r="D476" s="12"/>
      <c r="E476" s="12"/>
      <c r="F476" s="12"/>
      <c r="H476" s="17"/>
      <c r="I476" s="14"/>
      <c r="J476" s="17"/>
      <c r="K476" s="14"/>
      <c r="L476" s="17"/>
    </row>
    <row r="477" ht="18.75" customHeight="1">
      <c r="B477" s="12"/>
      <c r="C477" s="12"/>
      <c r="D477" s="12"/>
      <c r="E477" s="12"/>
      <c r="F477" s="12"/>
      <c r="H477" s="17"/>
      <c r="I477" s="14"/>
      <c r="J477" s="17"/>
      <c r="K477" s="14"/>
      <c r="L477" s="17"/>
    </row>
    <row r="478" ht="18.75" customHeight="1">
      <c r="B478" s="12"/>
      <c r="C478" s="12"/>
      <c r="D478" s="12"/>
      <c r="E478" s="12"/>
      <c r="F478" s="12"/>
      <c r="H478" s="17"/>
      <c r="I478" s="14"/>
      <c r="J478" s="17"/>
      <c r="K478" s="14"/>
      <c r="L478" s="17"/>
    </row>
    <row r="479" ht="18.75" customHeight="1">
      <c r="B479" s="12"/>
      <c r="C479" s="12"/>
      <c r="D479" s="12"/>
      <c r="E479" s="12"/>
      <c r="F479" s="12"/>
      <c r="H479" s="17"/>
      <c r="I479" s="14"/>
      <c r="J479" s="17"/>
      <c r="K479" s="14"/>
      <c r="L479" s="17"/>
    </row>
    <row r="480" ht="18.75" customHeight="1">
      <c r="B480" s="12"/>
      <c r="C480" s="12"/>
      <c r="D480" s="12"/>
      <c r="E480" s="12"/>
      <c r="F480" s="12"/>
      <c r="H480" s="17"/>
      <c r="I480" s="14"/>
      <c r="J480" s="17"/>
      <c r="K480" s="14"/>
      <c r="L480" s="17"/>
    </row>
    <row r="481" ht="18.75" customHeight="1">
      <c r="B481" s="12"/>
      <c r="C481" s="12"/>
      <c r="D481" s="12"/>
      <c r="E481" s="12"/>
      <c r="F481" s="12"/>
      <c r="H481" s="17"/>
      <c r="I481" s="14"/>
      <c r="J481" s="17"/>
      <c r="K481" s="14"/>
      <c r="L481" s="17"/>
    </row>
    <row r="482" ht="18.75" customHeight="1">
      <c r="B482" s="12"/>
      <c r="C482" s="12"/>
      <c r="D482" s="12"/>
      <c r="E482" s="12"/>
      <c r="F482" s="12"/>
      <c r="H482" s="17"/>
      <c r="I482" s="14"/>
      <c r="J482" s="17"/>
      <c r="K482" s="14"/>
      <c r="L482" s="17"/>
    </row>
    <row r="483" ht="18.75" customHeight="1">
      <c r="B483" s="12"/>
      <c r="C483" s="12"/>
      <c r="D483" s="12"/>
      <c r="E483" s="12"/>
      <c r="F483" s="12"/>
      <c r="H483" s="17"/>
      <c r="I483" s="14"/>
      <c r="J483" s="17"/>
      <c r="K483" s="14"/>
      <c r="L483" s="17"/>
    </row>
    <row r="484" ht="18.75" customHeight="1">
      <c r="B484" s="12"/>
      <c r="C484" s="12"/>
      <c r="D484" s="12"/>
      <c r="E484" s="12"/>
      <c r="F484" s="12"/>
      <c r="H484" s="17"/>
      <c r="I484" s="14"/>
      <c r="J484" s="17"/>
      <c r="K484" s="14"/>
      <c r="L484" s="17"/>
    </row>
    <row r="485" ht="18.75" customHeight="1">
      <c r="B485" s="12"/>
      <c r="C485" s="12"/>
      <c r="D485" s="12"/>
      <c r="E485" s="12"/>
      <c r="F485" s="12"/>
      <c r="H485" s="17"/>
      <c r="I485" s="14"/>
      <c r="J485" s="17"/>
      <c r="K485" s="14"/>
      <c r="L485" s="17"/>
    </row>
    <row r="486" ht="18.75" customHeight="1">
      <c r="B486" s="12"/>
      <c r="C486" s="12"/>
      <c r="D486" s="12"/>
      <c r="E486" s="12"/>
      <c r="F486" s="12"/>
      <c r="H486" s="17"/>
      <c r="I486" s="14"/>
      <c r="J486" s="17"/>
      <c r="K486" s="14"/>
      <c r="L486" s="17"/>
    </row>
    <row r="487" ht="18.75" customHeight="1">
      <c r="B487" s="12"/>
      <c r="C487" s="12"/>
      <c r="D487" s="12"/>
      <c r="E487" s="12"/>
      <c r="F487" s="12"/>
      <c r="H487" s="17"/>
      <c r="I487" s="14"/>
      <c r="J487" s="17"/>
      <c r="K487" s="14"/>
      <c r="L487" s="17"/>
    </row>
    <row r="488" ht="18.75" customHeight="1">
      <c r="B488" s="12"/>
      <c r="C488" s="12"/>
      <c r="D488" s="12"/>
      <c r="E488" s="12"/>
      <c r="F488" s="12"/>
      <c r="H488" s="17"/>
      <c r="I488" s="14"/>
      <c r="J488" s="17"/>
      <c r="K488" s="14"/>
      <c r="L488" s="17"/>
    </row>
    <row r="489" ht="18.75" customHeight="1">
      <c r="B489" s="12"/>
      <c r="C489" s="12"/>
      <c r="D489" s="12"/>
      <c r="E489" s="12"/>
      <c r="F489" s="12"/>
      <c r="H489" s="17"/>
      <c r="I489" s="14"/>
      <c r="J489" s="17"/>
      <c r="K489" s="14"/>
      <c r="L489" s="17"/>
    </row>
    <row r="490" ht="18.75" customHeight="1">
      <c r="B490" s="12"/>
      <c r="C490" s="12"/>
      <c r="D490" s="12"/>
      <c r="E490" s="12"/>
      <c r="F490" s="12"/>
      <c r="H490" s="17"/>
      <c r="I490" s="14"/>
      <c r="J490" s="17"/>
      <c r="K490" s="14"/>
      <c r="L490" s="17"/>
    </row>
    <row r="491" ht="18.75" customHeight="1">
      <c r="B491" s="12"/>
      <c r="C491" s="12"/>
      <c r="D491" s="12"/>
      <c r="E491" s="12"/>
      <c r="F491" s="12"/>
      <c r="H491" s="17"/>
      <c r="I491" s="14"/>
      <c r="J491" s="17"/>
      <c r="K491" s="14"/>
      <c r="L491" s="17"/>
    </row>
    <row r="492" ht="18.75" customHeight="1">
      <c r="B492" s="12"/>
      <c r="C492" s="12"/>
      <c r="D492" s="12"/>
      <c r="E492" s="12"/>
      <c r="F492" s="12"/>
      <c r="H492" s="17"/>
      <c r="I492" s="14"/>
      <c r="J492" s="17"/>
      <c r="K492" s="14"/>
      <c r="L492" s="17"/>
    </row>
    <row r="493" ht="18.75" customHeight="1">
      <c r="B493" s="12"/>
      <c r="C493" s="12"/>
      <c r="D493" s="12"/>
      <c r="E493" s="12"/>
      <c r="F493" s="12"/>
      <c r="H493" s="17"/>
      <c r="I493" s="14"/>
      <c r="J493" s="17"/>
      <c r="K493" s="14"/>
      <c r="L493" s="17"/>
    </row>
    <row r="494" ht="18.75" customHeight="1">
      <c r="B494" s="12"/>
      <c r="C494" s="12"/>
      <c r="D494" s="12"/>
      <c r="E494" s="12"/>
      <c r="F494" s="12"/>
      <c r="H494" s="17"/>
      <c r="I494" s="14"/>
      <c r="J494" s="17"/>
      <c r="K494" s="14"/>
      <c r="L494" s="17"/>
    </row>
    <row r="495" ht="18.75" customHeight="1">
      <c r="B495" s="12"/>
      <c r="C495" s="12"/>
      <c r="D495" s="12"/>
      <c r="E495" s="12"/>
      <c r="F495" s="12"/>
      <c r="H495" s="17"/>
      <c r="I495" s="14"/>
      <c r="J495" s="17"/>
      <c r="K495" s="14"/>
      <c r="L495" s="17"/>
    </row>
    <row r="496" ht="18.75" customHeight="1">
      <c r="B496" s="12"/>
      <c r="C496" s="12"/>
      <c r="D496" s="12"/>
      <c r="E496" s="12"/>
      <c r="F496" s="12"/>
      <c r="H496" s="17"/>
      <c r="I496" s="14"/>
      <c r="J496" s="17"/>
      <c r="K496" s="14"/>
      <c r="L496" s="17"/>
    </row>
    <row r="497" ht="18.75" customHeight="1">
      <c r="B497" s="12"/>
      <c r="C497" s="12"/>
      <c r="D497" s="12"/>
      <c r="E497" s="12"/>
      <c r="F497" s="12"/>
      <c r="H497" s="17"/>
      <c r="I497" s="14"/>
      <c r="J497" s="17"/>
      <c r="K497" s="14"/>
      <c r="L497" s="17"/>
    </row>
    <row r="498" ht="18.75" customHeight="1">
      <c r="B498" s="12"/>
      <c r="C498" s="12"/>
      <c r="D498" s="12"/>
      <c r="E498" s="12"/>
      <c r="F498" s="12"/>
      <c r="H498" s="17"/>
      <c r="I498" s="14"/>
      <c r="J498" s="17"/>
      <c r="K498" s="14"/>
      <c r="L498" s="17"/>
    </row>
    <row r="499" ht="18.75" customHeight="1">
      <c r="B499" s="12"/>
      <c r="C499" s="12"/>
      <c r="D499" s="12"/>
      <c r="E499" s="12"/>
      <c r="F499" s="12"/>
      <c r="H499" s="17"/>
      <c r="I499" s="14"/>
      <c r="J499" s="17"/>
      <c r="K499" s="14"/>
      <c r="L499" s="17"/>
    </row>
    <row r="500" ht="18.75" customHeight="1">
      <c r="B500" s="12"/>
      <c r="C500" s="12"/>
      <c r="D500" s="12"/>
      <c r="E500" s="12"/>
      <c r="F500" s="12"/>
      <c r="H500" s="17"/>
      <c r="I500" s="14"/>
      <c r="J500" s="17"/>
      <c r="K500" s="14"/>
      <c r="L500" s="17"/>
    </row>
    <row r="501" ht="18.75" customHeight="1">
      <c r="B501" s="12"/>
      <c r="C501" s="12"/>
      <c r="D501" s="12"/>
      <c r="E501" s="12"/>
      <c r="F501" s="12"/>
      <c r="H501" s="17"/>
      <c r="I501" s="14"/>
      <c r="J501" s="17"/>
      <c r="K501" s="14"/>
      <c r="L501" s="17"/>
    </row>
    <row r="502" ht="18.75" customHeight="1">
      <c r="B502" s="12"/>
      <c r="C502" s="12"/>
      <c r="D502" s="12"/>
      <c r="E502" s="12"/>
      <c r="F502" s="12"/>
      <c r="H502" s="17"/>
      <c r="I502" s="14"/>
      <c r="J502" s="17"/>
      <c r="K502" s="14"/>
      <c r="L502" s="17"/>
    </row>
    <row r="503" ht="18.75" customHeight="1">
      <c r="B503" s="12"/>
      <c r="C503" s="12"/>
      <c r="D503" s="12"/>
      <c r="E503" s="12"/>
      <c r="F503" s="12"/>
      <c r="H503" s="17"/>
      <c r="I503" s="14"/>
      <c r="J503" s="17"/>
      <c r="K503" s="14"/>
      <c r="L503" s="17"/>
    </row>
    <row r="504" ht="18.75" customHeight="1">
      <c r="B504" s="12"/>
      <c r="C504" s="12"/>
      <c r="D504" s="12"/>
      <c r="E504" s="12"/>
      <c r="F504" s="12"/>
      <c r="H504" s="17"/>
      <c r="I504" s="14"/>
      <c r="J504" s="17"/>
      <c r="K504" s="14"/>
      <c r="L504" s="17"/>
    </row>
    <row r="505" ht="18.75" customHeight="1">
      <c r="B505" s="12"/>
      <c r="C505" s="12"/>
      <c r="D505" s="12"/>
      <c r="E505" s="12"/>
      <c r="F505" s="12"/>
      <c r="H505" s="17"/>
      <c r="I505" s="14"/>
      <c r="J505" s="17"/>
      <c r="K505" s="14"/>
      <c r="L505" s="17"/>
    </row>
    <row r="506" ht="18.75" customHeight="1">
      <c r="B506" s="12"/>
      <c r="C506" s="12"/>
      <c r="D506" s="12"/>
      <c r="E506" s="12"/>
      <c r="F506" s="12"/>
      <c r="H506" s="17"/>
      <c r="I506" s="14"/>
      <c r="J506" s="17"/>
      <c r="K506" s="14"/>
      <c r="L506" s="17"/>
    </row>
    <row r="507" ht="18.75" customHeight="1">
      <c r="B507" s="12"/>
      <c r="C507" s="12"/>
      <c r="D507" s="12"/>
      <c r="E507" s="12"/>
      <c r="F507" s="12"/>
      <c r="H507" s="17"/>
      <c r="I507" s="14"/>
      <c r="J507" s="17"/>
      <c r="K507" s="14"/>
      <c r="L507" s="17"/>
    </row>
    <row r="508" ht="18.75" customHeight="1">
      <c r="B508" s="12"/>
      <c r="C508" s="12"/>
      <c r="D508" s="12"/>
      <c r="E508" s="12"/>
      <c r="F508" s="12"/>
      <c r="H508" s="17"/>
      <c r="I508" s="14"/>
      <c r="J508" s="17"/>
      <c r="K508" s="14"/>
      <c r="L508" s="17"/>
    </row>
    <row r="509" ht="18.75" customHeight="1">
      <c r="B509" s="12"/>
      <c r="C509" s="12"/>
      <c r="D509" s="12"/>
      <c r="E509" s="12"/>
      <c r="F509" s="12"/>
      <c r="H509" s="17"/>
      <c r="I509" s="14"/>
      <c r="J509" s="17"/>
      <c r="K509" s="14"/>
      <c r="L509" s="17"/>
    </row>
    <row r="510" ht="18.75" customHeight="1">
      <c r="B510" s="12"/>
      <c r="C510" s="12"/>
      <c r="D510" s="12"/>
      <c r="E510" s="12"/>
      <c r="F510" s="12"/>
      <c r="H510" s="17"/>
      <c r="I510" s="14"/>
      <c r="J510" s="17"/>
      <c r="K510" s="14"/>
      <c r="L510" s="17"/>
    </row>
    <row r="511" ht="18.75" customHeight="1">
      <c r="B511" s="12"/>
      <c r="C511" s="12"/>
      <c r="D511" s="12"/>
      <c r="E511" s="12"/>
      <c r="F511" s="12"/>
      <c r="H511" s="17"/>
      <c r="I511" s="14"/>
      <c r="J511" s="17"/>
      <c r="K511" s="14"/>
      <c r="L511" s="17"/>
    </row>
    <row r="512" ht="18.75" customHeight="1">
      <c r="B512" s="12"/>
      <c r="C512" s="12"/>
      <c r="D512" s="12"/>
      <c r="E512" s="12"/>
      <c r="F512" s="12"/>
      <c r="H512" s="17"/>
      <c r="I512" s="14"/>
      <c r="J512" s="17"/>
      <c r="K512" s="14"/>
      <c r="L512" s="17"/>
    </row>
    <row r="513" ht="18.75" customHeight="1">
      <c r="B513" s="12"/>
      <c r="C513" s="12"/>
      <c r="D513" s="12"/>
      <c r="E513" s="12"/>
      <c r="F513" s="12"/>
      <c r="H513" s="17"/>
      <c r="I513" s="14"/>
      <c r="J513" s="17"/>
      <c r="K513" s="14"/>
      <c r="L513" s="17"/>
    </row>
    <row r="514" ht="18.75" customHeight="1">
      <c r="B514" s="12"/>
      <c r="C514" s="12"/>
      <c r="D514" s="12"/>
      <c r="E514" s="12"/>
      <c r="F514" s="12"/>
      <c r="H514" s="17"/>
      <c r="I514" s="14"/>
      <c r="J514" s="17"/>
      <c r="K514" s="14"/>
      <c r="L514" s="17"/>
    </row>
    <row r="515" ht="18.75" customHeight="1">
      <c r="B515" s="12"/>
      <c r="C515" s="12"/>
      <c r="D515" s="12"/>
      <c r="E515" s="12"/>
      <c r="F515" s="12"/>
      <c r="H515" s="17"/>
      <c r="I515" s="14"/>
      <c r="J515" s="17"/>
      <c r="K515" s="14"/>
      <c r="L515" s="17"/>
    </row>
    <row r="516" ht="18.75" customHeight="1">
      <c r="B516" s="12"/>
      <c r="C516" s="12"/>
      <c r="D516" s="12"/>
      <c r="E516" s="12"/>
      <c r="F516" s="12"/>
      <c r="H516" s="17"/>
      <c r="I516" s="14"/>
      <c r="J516" s="17"/>
      <c r="K516" s="14"/>
      <c r="L516" s="17"/>
    </row>
    <row r="517" ht="18.75" customHeight="1">
      <c r="B517" s="12"/>
      <c r="C517" s="12"/>
      <c r="D517" s="12"/>
      <c r="E517" s="12"/>
      <c r="F517" s="12"/>
      <c r="H517" s="17"/>
      <c r="I517" s="14"/>
      <c r="J517" s="17"/>
      <c r="K517" s="14"/>
      <c r="L517" s="17"/>
    </row>
    <row r="518" ht="18.75" customHeight="1">
      <c r="B518" s="12"/>
      <c r="C518" s="12"/>
      <c r="D518" s="12"/>
      <c r="E518" s="12"/>
      <c r="F518" s="12"/>
      <c r="H518" s="17"/>
      <c r="I518" s="14"/>
      <c r="J518" s="17"/>
      <c r="K518" s="14"/>
      <c r="L518" s="17"/>
    </row>
    <row r="519" ht="18.75" customHeight="1">
      <c r="B519" s="12"/>
      <c r="C519" s="12"/>
      <c r="D519" s="12"/>
      <c r="E519" s="12"/>
      <c r="F519" s="12"/>
      <c r="H519" s="17"/>
      <c r="I519" s="14"/>
      <c r="J519" s="17"/>
      <c r="K519" s="14"/>
      <c r="L519" s="17"/>
    </row>
    <row r="520" ht="18.75" customHeight="1">
      <c r="B520" s="12"/>
      <c r="C520" s="12"/>
      <c r="D520" s="12"/>
      <c r="E520" s="12"/>
      <c r="F520" s="12"/>
      <c r="H520" s="17"/>
      <c r="I520" s="14"/>
      <c r="J520" s="17"/>
      <c r="K520" s="14"/>
      <c r="L520" s="17"/>
    </row>
    <row r="521" ht="18.75" customHeight="1">
      <c r="B521" s="12"/>
      <c r="C521" s="12"/>
      <c r="D521" s="12"/>
      <c r="E521" s="12"/>
      <c r="F521" s="12"/>
      <c r="H521" s="17"/>
      <c r="I521" s="14"/>
      <c r="J521" s="17"/>
      <c r="K521" s="14"/>
      <c r="L521" s="17"/>
    </row>
    <row r="522" ht="18.75" customHeight="1">
      <c r="B522" s="12"/>
      <c r="C522" s="12"/>
      <c r="D522" s="12"/>
      <c r="E522" s="12"/>
      <c r="F522" s="12"/>
      <c r="H522" s="17"/>
      <c r="I522" s="14"/>
      <c r="J522" s="17"/>
      <c r="K522" s="14"/>
      <c r="L522" s="17"/>
    </row>
    <row r="523" ht="18.75" customHeight="1">
      <c r="B523" s="12"/>
      <c r="C523" s="12"/>
      <c r="D523" s="12"/>
      <c r="E523" s="12"/>
      <c r="F523" s="12"/>
      <c r="H523" s="17"/>
      <c r="I523" s="14"/>
      <c r="J523" s="17"/>
      <c r="K523" s="14"/>
      <c r="L523" s="17"/>
    </row>
    <row r="524" ht="18.75" customHeight="1">
      <c r="B524" s="12"/>
      <c r="C524" s="12"/>
      <c r="D524" s="12"/>
      <c r="E524" s="12"/>
      <c r="F524" s="12"/>
      <c r="H524" s="17"/>
      <c r="I524" s="14"/>
      <c r="J524" s="17"/>
      <c r="K524" s="14"/>
      <c r="L524" s="17"/>
    </row>
    <row r="525" ht="18.75" customHeight="1">
      <c r="B525" s="12"/>
      <c r="C525" s="12"/>
      <c r="D525" s="12"/>
      <c r="E525" s="12"/>
      <c r="F525" s="12"/>
      <c r="H525" s="17"/>
      <c r="I525" s="14"/>
      <c r="J525" s="17"/>
      <c r="K525" s="14"/>
      <c r="L525" s="17"/>
    </row>
    <row r="526" ht="18.75" customHeight="1">
      <c r="B526" s="12"/>
      <c r="C526" s="12"/>
      <c r="D526" s="12"/>
      <c r="E526" s="12"/>
      <c r="F526" s="12"/>
      <c r="H526" s="17"/>
      <c r="I526" s="14"/>
      <c r="J526" s="17"/>
      <c r="K526" s="14"/>
      <c r="L526" s="17"/>
    </row>
    <row r="527" ht="18.75" customHeight="1">
      <c r="B527" s="12"/>
      <c r="C527" s="12"/>
      <c r="D527" s="12"/>
      <c r="E527" s="12"/>
      <c r="F527" s="12"/>
      <c r="H527" s="17"/>
      <c r="I527" s="14"/>
      <c r="J527" s="17"/>
      <c r="K527" s="14"/>
      <c r="L527" s="17"/>
    </row>
    <row r="528" ht="18.75" customHeight="1">
      <c r="B528" s="12"/>
      <c r="C528" s="12"/>
      <c r="D528" s="12"/>
      <c r="E528" s="12"/>
      <c r="F528" s="12"/>
      <c r="H528" s="17"/>
      <c r="I528" s="14"/>
      <c r="J528" s="17"/>
      <c r="K528" s="14"/>
      <c r="L528" s="17"/>
    </row>
    <row r="529" ht="18.75" customHeight="1">
      <c r="B529" s="12"/>
      <c r="C529" s="12"/>
      <c r="D529" s="12"/>
      <c r="E529" s="12"/>
      <c r="F529" s="12"/>
      <c r="H529" s="17"/>
      <c r="I529" s="14"/>
      <c r="J529" s="17"/>
      <c r="K529" s="14"/>
      <c r="L529" s="17"/>
    </row>
    <row r="530" ht="18.75" customHeight="1">
      <c r="B530" s="12"/>
      <c r="C530" s="12"/>
      <c r="D530" s="12"/>
      <c r="E530" s="12"/>
      <c r="F530" s="12"/>
      <c r="H530" s="17"/>
      <c r="I530" s="14"/>
      <c r="J530" s="17"/>
      <c r="K530" s="14"/>
      <c r="L530" s="17"/>
    </row>
    <row r="531" ht="18.75" customHeight="1">
      <c r="B531" s="12"/>
      <c r="C531" s="12"/>
      <c r="D531" s="12"/>
      <c r="E531" s="12"/>
      <c r="F531" s="12"/>
      <c r="H531" s="17"/>
      <c r="I531" s="14"/>
      <c r="J531" s="17"/>
      <c r="K531" s="14"/>
      <c r="L531" s="17"/>
    </row>
    <row r="532" ht="18.75" customHeight="1">
      <c r="B532" s="12"/>
      <c r="C532" s="12"/>
      <c r="D532" s="12"/>
      <c r="E532" s="12"/>
      <c r="F532" s="12"/>
      <c r="H532" s="17"/>
      <c r="I532" s="14"/>
      <c r="J532" s="17"/>
      <c r="K532" s="14"/>
      <c r="L532" s="17"/>
    </row>
    <row r="533" ht="18.75" customHeight="1">
      <c r="B533" s="12"/>
      <c r="C533" s="12"/>
      <c r="D533" s="12"/>
      <c r="E533" s="12"/>
      <c r="F533" s="12"/>
      <c r="H533" s="17"/>
      <c r="I533" s="14"/>
      <c r="J533" s="17"/>
      <c r="K533" s="14"/>
      <c r="L533" s="17"/>
    </row>
    <row r="534" ht="18.75" customHeight="1">
      <c r="B534" s="12"/>
      <c r="C534" s="12"/>
      <c r="D534" s="12"/>
      <c r="E534" s="12"/>
      <c r="F534" s="12"/>
      <c r="H534" s="17"/>
      <c r="I534" s="14"/>
      <c r="J534" s="17"/>
      <c r="K534" s="14"/>
      <c r="L534" s="17"/>
    </row>
    <row r="535" ht="18.75" customHeight="1">
      <c r="B535" s="12"/>
      <c r="C535" s="12"/>
      <c r="D535" s="12"/>
      <c r="E535" s="12"/>
      <c r="F535" s="12"/>
      <c r="H535" s="17"/>
      <c r="I535" s="14"/>
      <c r="J535" s="17"/>
      <c r="K535" s="14"/>
      <c r="L535" s="17"/>
    </row>
    <row r="536" ht="18.75" customHeight="1">
      <c r="B536" s="12"/>
      <c r="C536" s="12"/>
      <c r="D536" s="12"/>
      <c r="E536" s="12"/>
      <c r="F536" s="12"/>
      <c r="H536" s="17"/>
      <c r="I536" s="14"/>
      <c r="J536" s="17"/>
      <c r="K536" s="14"/>
      <c r="L536" s="17"/>
    </row>
    <row r="537" ht="18.75" customHeight="1">
      <c r="B537" s="12"/>
      <c r="C537" s="12"/>
      <c r="D537" s="12"/>
      <c r="E537" s="12"/>
      <c r="F537" s="12"/>
      <c r="H537" s="17"/>
      <c r="I537" s="14"/>
      <c r="J537" s="17"/>
      <c r="K537" s="14"/>
      <c r="L537" s="17"/>
    </row>
    <row r="538" ht="18.75" customHeight="1">
      <c r="B538" s="12"/>
      <c r="C538" s="12"/>
      <c r="D538" s="12"/>
      <c r="E538" s="12"/>
      <c r="F538" s="12"/>
      <c r="H538" s="17"/>
      <c r="I538" s="14"/>
      <c r="J538" s="17"/>
      <c r="K538" s="14"/>
      <c r="L538" s="17"/>
    </row>
    <row r="539" ht="18.75" customHeight="1">
      <c r="B539" s="12"/>
      <c r="C539" s="12"/>
      <c r="D539" s="12"/>
      <c r="E539" s="12"/>
      <c r="F539" s="12"/>
      <c r="H539" s="17"/>
      <c r="I539" s="14"/>
      <c r="J539" s="17"/>
      <c r="K539" s="14"/>
      <c r="L539" s="17"/>
    </row>
    <row r="540" ht="18.75" customHeight="1">
      <c r="B540" s="12"/>
      <c r="C540" s="12"/>
      <c r="D540" s="12"/>
      <c r="E540" s="12"/>
      <c r="F540" s="12"/>
      <c r="H540" s="17"/>
      <c r="I540" s="14"/>
      <c r="J540" s="17"/>
      <c r="K540" s="14"/>
      <c r="L540" s="17"/>
    </row>
    <row r="541" ht="18.75" customHeight="1">
      <c r="B541" s="12"/>
      <c r="C541" s="12"/>
      <c r="D541" s="12"/>
      <c r="E541" s="12"/>
      <c r="F541" s="12"/>
      <c r="H541" s="17"/>
      <c r="I541" s="14"/>
      <c r="J541" s="17"/>
      <c r="K541" s="14"/>
      <c r="L541" s="17"/>
    </row>
    <row r="542" ht="18.75" customHeight="1">
      <c r="B542" s="12"/>
      <c r="C542" s="12"/>
      <c r="D542" s="12"/>
      <c r="E542" s="12"/>
      <c r="F542" s="12"/>
      <c r="H542" s="17"/>
      <c r="I542" s="14"/>
      <c r="J542" s="17"/>
      <c r="K542" s="14"/>
      <c r="L542" s="17"/>
    </row>
    <row r="543" ht="18.75" customHeight="1">
      <c r="B543" s="12"/>
      <c r="C543" s="12"/>
      <c r="D543" s="12"/>
      <c r="E543" s="12"/>
      <c r="F543" s="12"/>
      <c r="H543" s="17"/>
      <c r="I543" s="14"/>
      <c r="J543" s="17"/>
      <c r="K543" s="14"/>
      <c r="L543" s="17"/>
    </row>
    <row r="544" ht="18.75" customHeight="1">
      <c r="B544" s="12"/>
      <c r="C544" s="12"/>
      <c r="D544" s="12"/>
      <c r="E544" s="12"/>
      <c r="F544" s="12"/>
      <c r="H544" s="17"/>
      <c r="I544" s="14"/>
      <c r="J544" s="17"/>
      <c r="K544" s="14"/>
      <c r="L544" s="17"/>
    </row>
    <row r="545" ht="18.75" customHeight="1">
      <c r="B545" s="12"/>
      <c r="C545" s="12"/>
      <c r="D545" s="12"/>
      <c r="E545" s="12"/>
      <c r="F545" s="12"/>
      <c r="H545" s="17"/>
      <c r="I545" s="14"/>
      <c r="J545" s="17"/>
      <c r="K545" s="14"/>
      <c r="L545" s="17"/>
    </row>
    <row r="546" ht="18.75" customHeight="1">
      <c r="B546" s="12"/>
      <c r="C546" s="12"/>
      <c r="D546" s="12"/>
      <c r="E546" s="12"/>
      <c r="F546" s="12"/>
      <c r="H546" s="17"/>
      <c r="I546" s="14"/>
      <c r="J546" s="17"/>
      <c r="K546" s="14"/>
      <c r="L546" s="17"/>
    </row>
    <row r="547" ht="18.75" customHeight="1">
      <c r="B547" s="12"/>
      <c r="C547" s="12"/>
      <c r="D547" s="12"/>
      <c r="E547" s="12"/>
      <c r="F547" s="12"/>
      <c r="H547" s="17"/>
      <c r="I547" s="14"/>
      <c r="J547" s="17"/>
      <c r="K547" s="14"/>
      <c r="L547" s="17"/>
    </row>
    <row r="548" ht="18.75" customHeight="1">
      <c r="B548" s="12"/>
      <c r="C548" s="12"/>
      <c r="D548" s="12"/>
      <c r="E548" s="12"/>
      <c r="F548" s="12"/>
      <c r="H548" s="17"/>
      <c r="I548" s="14"/>
      <c r="J548" s="17"/>
      <c r="K548" s="14"/>
      <c r="L548" s="17"/>
    </row>
    <row r="549" ht="18.75" customHeight="1">
      <c r="B549" s="12"/>
      <c r="C549" s="12"/>
      <c r="D549" s="12"/>
      <c r="E549" s="12"/>
      <c r="F549" s="12"/>
      <c r="H549" s="17"/>
      <c r="I549" s="14"/>
      <c r="J549" s="17"/>
      <c r="K549" s="14"/>
      <c r="L549" s="17"/>
    </row>
    <row r="550" ht="18.75" customHeight="1">
      <c r="B550" s="12"/>
      <c r="C550" s="12"/>
      <c r="D550" s="12"/>
      <c r="E550" s="12"/>
      <c r="F550" s="12"/>
      <c r="H550" s="17"/>
      <c r="I550" s="14"/>
      <c r="J550" s="17"/>
      <c r="K550" s="14"/>
      <c r="L550" s="17"/>
    </row>
    <row r="551" ht="18.75" customHeight="1">
      <c r="B551" s="12"/>
      <c r="C551" s="12"/>
      <c r="D551" s="12"/>
      <c r="E551" s="12"/>
      <c r="F551" s="12"/>
      <c r="H551" s="17"/>
      <c r="I551" s="14"/>
      <c r="J551" s="17"/>
      <c r="K551" s="14"/>
      <c r="L551" s="17"/>
    </row>
    <row r="552" ht="18.75" customHeight="1">
      <c r="B552" s="12"/>
      <c r="C552" s="12"/>
      <c r="D552" s="12"/>
      <c r="E552" s="12"/>
      <c r="F552" s="12"/>
      <c r="H552" s="17"/>
      <c r="I552" s="14"/>
      <c r="J552" s="17"/>
      <c r="K552" s="14"/>
      <c r="L552" s="17"/>
    </row>
    <row r="553" ht="18.75" customHeight="1">
      <c r="B553" s="12"/>
      <c r="C553" s="12"/>
      <c r="D553" s="12"/>
      <c r="E553" s="12"/>
      <c r="F553" s="12"/>
      <c r="H553" s="17"/>
      <c r="I553" s="14"/>
      <c r="J553" s="17"/>
      <c r="K553" s="14"/>
      <c r="L553" s="17"/>
    </row>
    <row r="554" ht="18.75" customHeight="1">
      <c r="B554" s="12"/>
      <c r="C554" s="12"/>
      <c r="D554" s="12"/>
      <c r="E554" s="12"/>
      <c r="F554" s="12"/>
      <c r="H554" s="17"/>
      <c r="I554" s="14"/>
      <c r="J554" s="17"/>
      <c r="K554" s="14"/>
      <c r="L554" s="17"/>
    </row>
    <row r="555" ht="18.75" customHeight="1">
      <c r="B555" s="12"/>
      <c r="C555" s="12"/>
      <c r="D555" s="12"/>
      <c r="E555" s="12"/>
      <c r="F555" s="12"/>
      <c r="H555" s="17"/>
      <c r="I555" s="14"/>
      <c r="J555" s="17"/>
      <c r="K555" s="14"/>
      <c r="L555" s="17"/>
    </row>
    <row r="556" ht="18.75" customHeight="1">
      <c r="B556" s="12"/>
      <c r="C556" s="12"/>
      <c r="D556" s="12"/>
      <c r="E556" s="12"/>
      <c r="F556" s="12"/>
      <c r="H556" s="17"/>
      <c r="I556" s="14"/>
      <c r="J556" s="17"/>
      <c r="K556" s="14"/>
      <c r="L556" s="17"/>
    </row>
    <row r="557" ht="18.75" customHeight="1">
      <c r="B557" s="12"/>
      <c r="C557" s="12"/>
      <c r="D557" s="12"/>
      <c r="E557" s="12"/>
      <c r="F557" s="12"/>
      <c r="H557" s="17"/>
      <c r="I557" s="14"/>
      <c r="J557" s="17"/>
      <c r="K557" s="14"/>
      <c r="L557" s="17"/>
    </row>
    <row r="558" ht="18.75" customHeight="1">
      <c r="B558" s="12"/>
      <c r="C558" s="12"/>
      <c r="D558" s="12"/>
      <c r="E558" s="12"/>
      <c r="F558" s="12"/>
      <c r="H558" s="17"/>
      <c r="I558" s="14"/>
      <c r="J558" s="17"/>
      <c r="K558" s="14"/>
      <c r="L558" s="17"/>
    </row>
    <row r="559" ht="18.75" customHeight="1">
      <c r="B559" s="12"/>
      <c r="C559" s="12"/>
      <c r="D559" s="12"/>
      <c r="E559" s="12"/>
      <c r="F559" s="12"/>
      <c r="H559" s="17"/>
      <c r="I559" s="14"/>
      <c r="J559" s="17"/>
      <c r="K559" s="14"/>
      <c r="L559" s="17"/>
    </row>
    <row r="560" ht="18.75" customHeight="1">
      <c r="B560" s="12"/>
      <c r="C560" s="12"/>
      <c r="D560" s="12"/>
      <c r="E560" s="12"/>
      <c r="F560" s="12"/>
      <c r="H560" s="17"/>
      <c r="I560" s="14"/>
      <c r="J560" s="17"/>
      <c r="K560" s="14"/>
      <c r="L560" s="17"/>
    </row>
    <row r="561" ht="18.75" customHeight="1">
      <c r="B561" s="12"/>
      <c r="C561" s="12"/>
      <c r="D561" s="12"/>
      <c r="E561" s="12"/>
      <c r="F561" s="12"/>
      <c r="H561" s="17"/>
      <c r="I561" s="14"/>
      <c r="J561" s="17"/>
      <c r="K561" s="14"/>
      <c r="L561" s="17"/>
    </row>
    <row r="562" ht="18.75" customHeight="1">
      <c r="B562" s="12"/>
      <c r="C562" s="12"/>
      <c r="D562" s="12"/>
      <c r="E562" s="12"/>
      <c r="F562" s="12"/>
      <c r="H562" s="17"/>
      <c r="I562" s="14"/>
      <c r="J562" s="17"/>
      <c r="K562" s="14"/>
      <c r="L562" s="17"/>
    </row>
    <row r="563" ht="18.75" customHeight="1">
      <c r="B563" s="12"/>
      <c r="C563" s="12"/>
      <c r="D563" s="12"/>
      <c r="E563" s="12"/>
      <c r="F563" s="12"/>
      <c r="H563" s="17"/>
      <c r="I563" s="14"/>
      <c r="J563" s="17"/>
      <c r="K563" s="14"/>
      <c r="L563" s="17"/>
    </row>
    <row r="564" ht="18.75" customHeight="1">
      <c r="B564" s="12"/>
      <c r="C564" s="12"/>
      <c r="D564" s="12"/>
      <c r="E564" s="12"/>
      <c r="F564" s="12"/>
      <c r="H564" s="17"/>
      <c r="I564" s="14"/>
      <c r="J564" s="17"/>
      <c r="K564" s="14"/>
      <c r="L564" s="17"/>
    </row>
    <row r="565" ht="18.75" customHeight="1">
      <c r="B565" s="12"/>
      <c r="C565" s="12"/>
      <c r="D565" s="12"/>
      <c r="E565" s="12"/>
      <c r="F565" s="12"/>
      <c r="H565" s="17"/>
      <c r="I565" s="14"/>
      <c r="J565" s="17"/>
      <c r="K565" s="14"/>
      <c r="L565" s="17"/>
    </row>
    <row r="566" ht="18.75" customHeight="1">
      <c r="B566" s="12"/>
      <c r="C566" s="12"/>
      <c r="D566" s="12"/>
      <c r="E566" s="12"/>
      <c r="F566" s="12"/>
      <c r="H566" s="17"/>
      <c r="I566" s="14"/>
      <c r="J566" s="17"/>
      <c r="K566" s="14"/>
      <c r="L566" s="17"/>
    </row>
    <row r="567" ht="18.75" customHeight="1">
      <c r="B567" s="12"/>
      <c r="C567" s="12"/>
      <c r="D567" s="12"/>
      <c r="E567" s="12"/>
      <c r="F567" s="12"/>
      <c r="H567" s="17"/>
      <c r="I567" s="14"/>
      <c r="J567" s="17"/>
      <c r="K567" s="14"/>
      <c r="L567" s="17"/>
    </row>
    <row r="568" ht="18.75" customHeight="1">
      <c r="B568" s="12"/>
      <c r="C568" s="12"/>
      <c r="D568" s="12"/>
      <c r="E568" s="12"/>
      <c r="F568" s="12"/>
      <c r="H568" s="17"/>
      <c r="I568" s="14"/>
      <c r="J568" s="17"/>
      <c r="K568" s="14"/>
      <c r="L568" s="17"/>
    </row>
    <row r="569" ht="18.75" customHeight="1">
      <c r="B569" s="12"/>
      <c r="C569" s="12"/>
      <c r="D569" s="12"/>
      <c r="E569" s="12"/>
      <c r="F569" s="12"/>
      <c r="H569" s="17"/>
      <c r="I569" s="14"/>
      <c r="J569" s="17"/>
      <c r="K569" s="14"/>
      <c r="L569" s="17"/>
    </row>
    <row r="570" ht="18.75" customHeight="1">
      <c r="B570" s="12"/>
      <c r="C570" s="12"/>
      <c r="D570" s="12"/>
      <c r="E570" s="12"/>
      <c r="F570" s="12"/>
      <c r="H570" s="17"/>
      <c r="I570" s="14"/>
      <c r="J570" s="17"/>
      <c r="K570" s="14"/>
      <c r="L570" s="17"/>
    </row>
    <row r="571" ht="18.75" customHeight="1">
      <c r="B571" s="12"/>
      <c r="C571" s="12"/>
      <c r="D571" s="12"/>
      <c r="E571" s="12"/>
      <c r="F571" s="12"/>
      <c r="H571" s="17"/>
      <c r="I571" s="14"/>
      <c r="J571" s="17"/>
      <c r="K571" s="14"/>
      <c r="L571" s="17"/>
    </row>
    <row r="572" ht="18.75" customHeight="1">
      <c r="B572" s="12"/>
      <c r="C572" s="12"/>
      <c r="D572" s="12"/>
      <c r="E572" s="12"/>
      <c r="F572" s="12"/>
      <c r="H572" s="17"/>
      <c r="I572" s="14"/>
      <c r="J572" s="17"/>
      <c r="K572" s="14"/>
      <c r="L572" s="17"/>
    </row>
    <row r="573" ht="18.75" customHeight="1">
      <c r="B573" s="12"/>
      <c r="C573" s="12"/>
      <c r="D573" s="12"/>
      <c r="E573" s="12"/>
      <c r="F573" s="12"/>
      <c r="H573" s="17"/>
      <c r="I573" s="14"/>
      <c r="J573" s="17"/>
      <c r="K573" s="14"/>
      <c r="L573" s="17"/>
    </row>
    <row r="574" ht="18.75" customHeight="1">
      <c r="B574" s="12"/>
      <c r="C574" s="12"/>
      <c r="D574" s="12"/>
      <c r="E574" s="12"/>
      <c r="F574" s="12"/>
      <c r="H574" s="17"/>
      <c r="I574" s="14"/>
      <c r="J574" s="17"/>
      <c r="K574" s="14"/>
      <c r="L574" s="17"/>
    </row>
    <row r="575" ht="18.75" customHeight="1">
      <c r="B575" s="12"/>
      <c r="C575" s="12"/>
      <c r="D575" s="12"/>
      <c r="E575" s="12"/>
      <c r="F575" s="12"/>
      <c r="H575" s="17"/>
      <c r="I575" s="14"/>
      <c r="J575" s="17"/>
      <c r="K575" s="14"/>
      <c r="L575" s="17"/>
    </row>
    <row r="576" ht="18.75" customHeight="1">
      <c r="B576" s="12"/>
      <c r="C576" s="12"/>
      <c r="D576" s="12"/>
      <c r="E576" s="12"/>
      <c r="F576" s="12"/>
      <c r="H576" s="17"/>
      <c r="I576" s="14"/>
      <c r="J576" s="17"/>
      <c r="K576" s="14"/>
      <c r="L576" s="17"/>
    </row>
    <row r="577" ht="18.75" customHeight="1">
      <c r="B577" s="12"/>
      <c r="C577" s="12"/>
      <c r="D577" s="12"/>
      <c r="E577" s="12"/>
      <c r="F577" s="12"/>
      <c r="H577" s="17"/>
      <c r="I577" s="14"/>
      <c r="J577" s="17"/>
      <c r="K577" s="14"/>
      <c r="L577" s="17"/>
    </row>
    <row r="578" ht="18.75" customHeight="1">
      <c r="B578" s="12"/>
      <c r="C578" s="12"/>
      <c r="D578" s="12"/>
      <c r="E578" s="12"/>
      <c r="F578" s="12"/>
      <c r="H578" s="17"/>
      <c r="I578" s="14"/>
      <c r="J578" s="17"/>
      <c r="K578" s="14"/>
      <c r="L578" s="17"/>
    </row>
    <row r="579" ht="18.75" customHeight="1">
      <c r="B579" s="12"/>
      <c r="C579" s="12"/>
      <c r="D579" s="12"/>
      <c r="E579" s="12"/>
      <c r="F579" s="12"/>
      <c r="H579" s="17"/>
      <c r="I579" s="14"/>
      <c r="J579" s="17"/>
      <c r="K579" s="14"/>
      <c r="L579" s="17"/>
    </row>
    <row r="580" ht="18.75" customHeight="1">
      <c r="B580" s="12"/>
      <c r="C580" s="12"/>
      <c r="D580" s="12"/>
      <c r="E580" s="12"/>
      <c r="F580" s="12"/>
      <c r="H580" s="17"/>
      <c r="I580" s="14"/>
      <c r="J580" s="17"/>
      <c r="K580" s="14"/>
      <c r="L580" s="17"/>
    </row>
    <row r="581" ht="18.75" customHeight="1">
      <c r="B581" s="12"/>
      <c r="C581" s="12"/>
      <c r="D581" s="12"/>
      <c r="E581" s="12"/>
      <c r="F581" s="12"/>
      <c r="H581" s="17"/>
      <c r="I581" s="14"/>
      <c r="J581" s="17"/>
      <c r="K581" s="14"/>
      <c r="L581" s="17"/>
    </row>
    <row r="582" ht="18.75" customHeight="1">
      <c r="B582" s="12"/>
      <c r="C582" s="12"/>
      <c r="D582" s="12"/>
      <c r="E582" s="12"/>
      <c r="F582" s="12"/>
      <c r="H582" s="17"/>
      <c r="I582" s="14"/>
      <c r="J582" s="17"/>
      <c r="K582" s="14"/>
      <c r="L582" s="17"/>
    </row>
    <row r="583" ht="18.75" customHeight="1">
      <c r="B583" s="12"/>
      <c r="C583" s="12"/>
      <c r="D583" s="12"/>
      <c r="E583" s="12"/>
      <c r="F583" s="12"/>
      <c r="H583" s="17"/>
      <c r="I583" s="14"/>
      <c r="J583" s="17"/>
      <c r="K583" s="14"/>
      <c r="L583" s="17"/>
    </row>
    <row r="584" ht="18.75" customHeight="1">
      <c r="B584" s="12"/>
      <c r="C584" s="12"/>
      <c r="D584" s="12"/>
      <c r="E584" s="12"/>
      <c r="F584" s="12"/>
      <c r="H584" s="17"/>
      <c r="I584" s="14"/>
      <c r="J584" s="17"/>
      <c r="K584" s="14"/>
      <c r="L584" s="17"/>
    </row>
    <row r="585" ht="18.75" customHeight="1">
      <c r="B585" s="12"/>
      <c r="C585" s="12"/>
      <c r="D585" s="12"/>
      <c r="E585" s="12"/>
      <c r="F585" s="12"/>
      <c r="H585" s="17"/>
      <c r="I585" s="14"/>
      <c r="J585" s="17"/>
      <c r="K585" s="14"/>
      <c r="L585" s="17"/>
    </row>
    <row r="586" ht="18.75" customHeight="1">
      <c r="B586" s="12"/>
      <c r="C586" s="12"/>
      <c r="D586" s="12"/>
      <c r="E586" s="12"/>
      <c r="F586" s="12"/>
      <c r="H586" s="17"/>
      <c r="I586" s="14"/>
      <c r="J586" s="17"/>
      <c r="K586" s="14"/>
      <c r="L586" s="17"/>
    </row>
    <row r="587" ht="18.75" customHeight="1">
      <c r="B587" s="12"/>
      <c r="C587" s="12"/>
      <c r="D587" s="12"/>
      <c r="E587" s="12"/>
      <c r="F587" s="12"/>
      <c r="H587" s="17"/>
      <c r="I587" s="14"/>
      <c r="J587" s="17"/>
      <c r="K587" s="14"/>
      <c r="L587" s="17"/>
    </row>
    <row r="588" ht="18.75" customHeight="1">
      <c r="B588" s="12"/>
      <c r="C588" s="12"/>
      <c r="D588" s="12"/>
      <c r="E588" s="12"/>
      <c r="F588" s="12"/>
      <c r="H588" s="17"/>
      <c r="I588" s="14"/>
      <c r="J588" s="17"/>
      <c r="K588" s="14"/>
      <c r="L588" s="17"/>
    </row>
    <row r="589" ht="18.75" customHeight="1">
      <c r="B589" s="12"/>
      <c r="C589" s="12"/>
      <c r="D589" s="12"/>
      <c r="E589" s="12"/>
      <c r="F589" s="12"/>
      <c r="H589" s="17"/>
      <c r="I589" s="14"/>
      <c r="J589" s="17"/>
      <c r="K589" s="14"/>
      <c r="L589" s="17"/>
    </row>
    <row r="590" ht="18.75" customHeight="1">
      <c r="B590" s="12"/>
      <c r="C590" s="12"/>
      <c r="D590" s="12"/>
      <c r="E590" s="12"/>
      <c r="F590" s="12"/>
      <c r="H590" s="17"/>
      <c r="I590" s="14"/>
      <c r="J590" s="17"/>
      <c r="K590" s="14"/>
      <c r="L590" s="17"/>
    </row>
    <row r="591" ht="18.75" customHeight="1">
      <c r="B591" s="12"/>
      <c r="C591" s="12"/>
      <c r="D591" s="12"/>
      <c r="E591" s="12"/>
      <c r="F591" s="12"/>
      <c r="H591" s="17"/>
      <c r="I591" s="14"/>
      <c r="J591" s="17"/>
      <c r="K591" s="14"/>
      <c r="L591" s="17"/>
    </row>
    <row r="592" ht="18.75" customHeight="1">
      <c r="B592" s="12"/>
      <c r="C592" s="12"/>
      <c r="D592" s="12"/>
      <c r="E592" s="12"/>
      <c r="F592" s="12"/>
      <c r="H592" s="17"/>
      <c r="I592" s="14"/>
      <c r="J592" s="17"/>
      <c r="K592" s="14"/>
      <c r="L592" s="17"/>
    </row>
    <row r="593" ht="18.75" customHeight="1">
      <c r="B593" s="12"/>
      <c r="C593" s="12"/>
      <c r="D593" s="12"/>
      <c r="E593" s="12"/>
      <c r="F593" s="12"/>
      <c r="H593" s="17"/>
      <c r="I593" s="14"/>
      <c r="J593" s="17"/>
      <c r="K593" s="14"/>
      <c r="L593" s="17"/>
    </row>
    <row r="594" ht="18.75" customHeight="1">
      <c r="B594" s="12"/>
      <c r="C594" s="12"/>
      <c r="D594" s="12"/>
      <c r="E594" s="12"/>
      <c r="F594" s="12"/>
      <c r="H594" s="17"/>
      <c r="I594" s="14"/>
      <c r="J594" s="17"/>
      <c r="K594" s="14"/>
      <c r="L594" s="17"/>
    </row>
    <row r="595" ht="18.75" customHeight="1">
      <c r="B595" s="12"/>
      <c r="C595" s="12"/>
      <c r="D595" s="12"/>
      <c r="E595" s="12"/>
      <c r="F595" s="12"/>
      <c r="H595" s="17"/>
      <c r="I595" s="14"/>
      <c r="J595" s="17"/>
      <c r="K595" s="14"/>
      <c r="L595" s="17"/>
    </row>
    <row r="596" ht="18.75" customHeight="1">
      <c r="B596" s="12"/>
      <c r="C596" s="12"/>
      <c r="D596" s="12"/>
      <c r="E596" s="12"/>
      <c r="F596" s="12"/>
      <c r="H596" s="17"/>
      <c r="I596" s="14"/>
      <c r="J596" s="17"/>
      <c r="K596" s="14"/>
      <c r="L596" s="17"/>
    </row>
    <row r="597" ht="18.75" customHeight="1">
      <c r="B597" s="12"/>
      <c r="C597" s="12"/>
      <c r="D597" s="12"/>
      <c r="E597" s="12"/>
      <c r="F597" s="12"/>
      <c r="H597" s="17"/>
      <c r="I597" s="14"/>
      <c r="J597" s="17"/>
      <c r="K597" s="14"/>
      <c r="L597" s="17"/>
    </row>
    <row r="598" ht="18.75" customHeight="1">
      <c r="B598" s="12"/>
      <c r="C598" s="12"/>
      <c r="D598" s="12"/>
      <c r="E598" s="12"/>
      <c r="F598" s="12"/>
      <c r="H598" s="17"/>
      <c r="I598" s="14"/>
      <c r="J598" s="17"/>
      <c r="K598" s="14"/>
      <c r="L598" s="17"/>
    </row>
    <row r="599" ht="18.75" customHeight="1">
      <c r="B599" s="12"/>
      <c r="C599" s="12"/>
      <c r="D599" s="12"/>
      <c r="E599" s="12"/>
      <c r="F599" s="12"/>
      <c r="H599" s="17"/>
      <c r="I599" s="14"/>
      <c r="J599" s="17"/>
      <c r="K599" s="14"/>
      <c r="L599" s="17"/>
    </row>
    <row r="600" ht="18.75" customHeight="1">
      <c r="B600" s="12"/>
      <c r="C600" s="12"/>
      <c r="D600" s="12"/>
      <c r="E600" s="12"/>
      <c r="F600" s="12"/>
      <c r="H600" s="17"/>
      <c r="I600" s="14"/>
      <c r="J600" s="17"/>
      <c r="K600" s="14"/>
      <c r="L600" s="17"/>
    </row>
    <row r="601" ht="18.75" customHeight="1">
      <c r="B601" s="12"/>
      <c r="C601" s="12"/>
      <c r="D601" s="12"/>
      <c r="E601" s="12"/>
      <c r="F601" s="12"/>
      <c r="H601" s="17"/>
      <c r="I601" s="14"/>
      <c r="J601" s="17"/>
      <c r="K601" s="14"/>
      <c r="L601" s="17"/>
    </row>
    <row r="602" ht="18.75" customHeight="1">
      <c r="B602" s="12"/>
      <c r="C602" s="12"/>
      <c r="D602" s="12"/>
      <c r="E602" s="12"/>
      <c r="F602" s="12"/>
      <c r="H602" s="17"/>
      <c r="I602" s="14"/>
      <c r="J602" s="17"/>
      <c r="K602" s="14"/>
      <c r="L602" s="17"/>
    </row>
    <row r="603" ht="18.75" customHeight="1">
      <c r="B603" s="12"/>
      <c r="C603" s="12"/>
      <c r="D603" s="12"/>
      <c r="E603" s="12"/>
      <c r="F603" s="12"/>
      <c r="H603" s="17"/>
      <c r="I603" s="14"/>
      <c r="J603" s="17"/>
      <c r="K603" s="14"/>
      <c r="L603" s="17"/>
    </row>
    <row r="604" ht="18.75" customHeight="1">
      <c r="B604" s="12"/>
      <c r="C604" s="12"/>
      <c r="D604" s="12"/>
      <c r="E604" s="12"/>
      <c r="F604" s="12"/>
      <c r="H604" s="17"/>
      <c r="I604" s="14"/>
      <c r="J604" s="17"/>
      <c r="K604" s="14"/>
      <c r="L604" s="17"/>
    </row>
    <row r="605" ht="18.75" customHeight="1">
      <c r="B605" s="12"/>
      <c r="C605" s="12"/>
      <c r="D605" s="12"/>
      <c r="E605" s="12"/>
      <c r="F605" s="12"/>
      <c r="H605" s="17"/>
      <c r="I605" s="14"/>
      <c r="J605" s="17"/>
      <c r="K605" s="14"/>
      <c r="L605" s="17"/>
    </row>
    <row r="606" ht="18.75" customHeight="1">
      <c r="B606" s="12"/>
      <c r="C606" s="12"/>
      <c r="D606" s="12"/>
      <c r="E606" s="12"/>
      <c r="F606" s="12"/>
      <c r="H606" s="17"/>
      <c r="I606" s="14"/>
      <c r="J606" s="17"/>
      <c r="K606" s="14"/>
      <c r="L606" s="17"/>
    </row>
    <row r="607" ht="18.75" customHeight="1">
      <c r="B607" s="12"/>
      <c r="C607" s="12"/>
      <c r="D607" s="12"/>
      <c r="E607" s="12"/>
      <c r="F607" s="12"/>
      <c r="H607" s="17"/>
      <c r="I607" s="14"/>
      <c r="J607" s="17"/>
      <c r="K607" s="14"/>
      <c r="L607" s="17"/>
    </row>
    <row r="608" ht="18.75" customHeight="1">
      <c r="B608" s="12"/>
      <c r="C608" s="12"/>
      <c r="D608" s="12"/>
      <c r="E608" s="12"/>
      <c r="F608" s="12"/>
      <c r="H608" s="17"/>
      <c r="I608" s="14"/>
      <c r="J608" s="17"/>
      <c r="K608" s="14"/>
      <c r="L608" s="17"/>
    </row>
    <row r="609" ht="18.75" customHeight="1">
      <c r="B609" s="12"/>
      <c r="C609" s="12"/>
      <c r="D609" s="12"/>
      <c r="E609" s="12"/>
      <c r="F609" s="12"/>
      <c r="H609" s="17"/>
      <c r="I609" s="14"/>
      <c r="J609" s="17"/>
      <c r="K609" s="14"/>
      <c r="L609" s="17"/>
    </row>
    <row r="610" ht="18.75" customHeight="1">
      <c r="B610" s="12"/>
      <c r="C610" s="12"/>
      <c r="D610" s="12"/>
      <c r="E610" s="12"/>
      <c r="F610" s="12"/>
      <c r="H610" s="17"/>
      <c r="I610" s="14"/>
      <c r="J610" s="17"/>
      <c r="K610" s="14"/>
      <c r="L610" s="17"/>
    </row>
    <row r="611" ht="18.75" customHeight="1">
      <c r="B611" s="12"/>
      <c r="C611" s="12"/>
      <c r="D611" s="12"/>
      <c r="E611" s="12"/>
      <c r="F611" s="12"/>
      <c r="H611" s="17"/>
      <c r="I611" s="14"/>
      <c r="J611" s="17"/>
      <c r="K611" s="14"/>
      <c r="L611" s="17"/>
    </row>
    <row r="612" ht="18.75" customHeight="1">
      <c r="B612" s="12"/>
      <c r="C612" s="12"/>
      <c r="D612" s="12"/>
      <c r="E612" s="12"/>
      <c r="F612" s="12"/>
      <c r="H612" s="17"/>
      <c r="I612" s="14"/>
      <c r="J612" s="17"/>
      <c r="K612" s="14"/>
      <c r="L612" s="17"/>
    </row>
    <row r="613" ht="18.75" customHeight="1">
      <c r="B613" s="12"/>
      <c r="C613" s="12"/>
      <c r="D613" s="12"/>
      <c r="E613" s="12"/>
      <c r="F613" s="12"/>
      <c r="H613" s="17"/>
      <c r="I613" s="14"/>
      <c r="J613" s="17"/>
      <c r="K613" s="14"/>
      <c r="L613" s="17"/>
    </row>
    <row r="614" ht="18.75" customHeight="1">
      <c r="B614" s="12"/>
      <c r="C614" s="12"/>
      <c r="D614" s="12"/>
      <c r="E614" s="12"/>
      <c r="F614" s="12"/>
      <c r="H614" s="17"/>
      <c r="I614" s="14"/>
      <c r="J614" s="17"/>
      <c r="K614" s="14"/>
      <c r="L614" s="17"/>
    </row>
    <row r="615" ht="18.75" customHeight="1">
      <c r="B615" s="12"/>
      <c r="C615" s="12"/>
      <c r="D615" s="12"/>
      <c r="E615" s="12"/>
      <c r="F615" s="12"/>
      <c r="H615" s="17"/>
      <c r="I615" s="14"/>
      <c r="J615" s="17"/>
      <c r="K615" s="14"/>
      <c r="L615" s="17"/>
    </row>
    <row r="616" ht="18.75" customHeight="1">
      <c r="B616" s="12"/>
      <c r="C616" s="12"/>
      <c r="D616" s="12"/>
      <c r="E616" s="12"/>
      <c r="F616" s="12"/>
      <c r="H616" s="17"/>
      <c r="I616" s="14"/>
      <c r="J616" s="17"/>
      <c r="K616" s="14"/>
      <c r="L616" s="17"/>
    </row>
    <row r="617" ht="18.75" customHeight="1">
      <c r="B617" s="12"/>
      <c r="C617" s="12"/>
      <c r="D617" s="12"/>
      <c r="E617" s="12"/>
      <c r="F617" s="12"/>
      <c r="H617" s="17"/>
      <c r="I617" s="14"/>
      <c r="J617" s="17"/>
      <c r="K617" s="14"/>
      <c r="L617" s="17"/>
    </row>
    <row r="618" ht="18.75" customHeight="1">
      <c r="B618" s="12"/>
      <c r="C618" s="12"/>
      <c r="D618" s="12"/>
      <c r="E618" s="12"/>
      <c r="F618" s="12"/>
      <c r="H618" s="17"/>
      <c r="I618" s="14"/>
      <c r="J618" s="17"/>
      <c r="K618" s="14"/>
      <c r="L618" s="17"/>
    </row>
    <row r="619" ht="18.75" customHeight="1">
      <c r="B619" s="12"/>
      <c r="C619" s="12"/>
      <c r="D619" s="12"/>
      <c r="E619" s="12"/>
      <c r="F619" s="12"/>
      <c r="H619" s="17"/>
      <c r="I619" s="14"/>
      <c r="J619" s="17"/>
      <c r="K619" s="14"/>
      <c r="L619" s="17"/>
    </row>
    <row r="620" ht="18.75" customHeight="1">
      <c r="B620" s="12"/>
      <c r="C620" s="12"/>
      <c r="D620" s="12"/>
      <c r="E620" s="12"/>
      <c r="F620" s="12"/>
      <c r="H620" s="17"/>
      <c r="I620" s="14"/>
      <c r="J620" s="17"/>
      <c r="K620" s="14"/>
      <c r="L620" s="17"/>
    </row>
    <row r="621" ht="18.75" customHeight="1">
      <c r="B621" s="12"/>
      <c r="C621" s="12"/>
      <c r="D621" s="12"/>
      <c r="E621" s="12"/>
      <c r="F621" s="12"/>
      <c r="H621" s="17"/>
      <c r="I621" s="14"/>
      <c r="J621" s="17"/>
      <c r="K621" s="14"/>
      <c r="L621" s="17"/>
    </row>
    <row r="622" ht="18.75" customHeight="1">
      <c r="B622" s="12"/>
      <c r="C622" s="12"/>
      <c r="D622" s="12"/>
      <c r="E622" s="12"/>
      <c r="F622" s="12"/>
      <c r="H622" s="17"/>
      <c r="I622" s="14"/>
      <c r="J622" s="17"/>
      <c r="K622" s="14"/>
      <c r="L622" s="17"/>
    </row>
    <row r="623" ht="18.75" customHeight="1">
      <c r="B623" s="12"/>
      <c r="C623" s="12"/>
      <c r="D623" s="12"/>
      <c r="E623" s="12"/>
      <c r="F623" s="12"/>
      <c r="H623" s="17"/>
      <c r="I623" s="14"/>
      <c r="J623" s="17"/>
      <c r="K623" s="14"/>
      <c r="L623" s="17"/>
    </row>
    <row r="624" ht="18.75" customHeight="1">
      <c r="B624" s="12"/>
      <c r="C624" s="12"/>
      <c r="D624" s="12"/>
      <c r="E624" s="12"/>
      <c r="F624" s="12"/>
      <c r="H624" s="17"/>
      <c r="I624" s="14"/>
      <c r="J624" s="17"/>
      <c r="K624" s="14"/>
      <c r="L624" s="17"/>
    </row>
    <row r="625" ht="18.75" customHeight="1">
      <c r="B625" s="12"/>
      <c r="C625" s="12"/>
      <c r="D625" s="12"/>
      <c r="E625" s="12"/>
      <c r="F625" s="12"/>
      <c r="H625" s="17"/>
      <c r="I625" s="14"/>
      <c r="J625" s="17"/>
      <c r="K625" s="14"/>
      <c r="L625" s="17"/>
    </row>
    <row r="626" ht="18.75" customHeight="1">
      <c r="B626" s="12"/>
      <c r="C626" s="12"/>
      <c r="D626" s="12"/>
      <c r="E626" s="12"/>
      <c r="F626" s="12"/>
      <c r="H626" s="17"/>
      <c r="I626" s="14"/>
      <c r="J626" s="17"/>
      <c r="K626" s="14"/>
      <c r="L626" s="17"/>
    </row>
    <row r="627" ht="18.75" customHeight="1">
      <c r="B627" s="12"/>
      <c r="C627" s="12"/>
      <c r="D627" s="12"/>
      <c r="E627" s="12"/>
      <c r="F627" s="12"/>
      <c r="H627" s="17"/>
      <c r="I627" s="14"/>
      <c r="J627" s="17"/>
      <c r="K627" s="14"/>
      <c r="L627" s="17"/>
    </row>
    <row r="628" ht="18.75" customHeight="1">
      <c r="B628" s="12"/>
      <c r="C628" s="12"/>
      <c r="D628" s="12"/>
      <c r="E628" s="12"/>
      <c r="F628" s="12"/>
      <c r="H628" s="17"/>
      <c r="I628" s="14"/>
      <c r="J628" s="17"/>
      <c r="K628" s="14"/>
      <c r="L628" s="17"/>
    </row>
    <row r="629" ht="18.75" customHeight="1">
      <c r="B629" s="12"/>
      <c r="C629" s="12"/>
      <c r="D629" s="12"/>
      <c r="E629" s="12"/>
      <c r="F629" s="12"/>
      <c r="H629" s="17"/>
      <c r="I629" s="14"/>
      <c r="J629" s="17"/>
      <c r="K629" s="14"/>
      <c r="L629" s="17"/>
    </row>
    <row r="630" ht="18.75" customHeight="1">
      <c r="B630" s="12"/>
      <c r="C630" s="12"/>
      <c r="D630" s="12"/>
      <c r="E630" s="12"/>
      <c r="F630" s="12"/>
      <c r="H630" s="17"/>
      <c r="I630" s="14"/>
      <c r="J630" s="17"/>
      <c r="K630" s="14"/>
      <c r="L630" s="17"/>
    </row>
    <row r="631" ht="18.75" customHeight="1">
      <c r="B631" s="12"/>
      <c r="C631" s="12"/>
      <c r="D631" s="12"/>
      <c r="E631" s="12"/>
      <c r="F631" s="12"/>
      <c r="H631" s="17"/>
      <c r="I631" s="14"/>
      <c r="J631" s="17"/>
      <c r="K631" s="14"/>
      <c r="L631" s="17"/>
    </row>
    <row r="632" ht="18.75" customHeight="1">
      <c r="B632" s="12"/>
      <c r="C632" s="12"/>
      <c r="D632" s="12"/>
      <c r="E632" s="12"/>
      <c r="F632" s="12"/>
      <c r="H632" s="17"/>
      <c r="I632" s="14"/>
      <c r="J632" s="17"/>
      <c r="K632" s="14"/>
      <c r="L632" s="17"/>
    </row>
    <row r="633" ht="18.75" customHeight="1">
      <c r="B633" s="12"/>
      <c r="C633" s="12"/>
      <c r="D633" s="12"/>
      <c r="E633" s="12"/>
      <c r="F633" s="12"/>
      <c r="H633" s="17"/>
      <c r="I633" s="14"/>
      <c r="J633" s="17"/>
      <c r="K633" s="14"/>
      <c r="L633" s="17"/>
    </row>
    <row r="634" ht="18.75" customHeight="1">
      <c r="B634" s="12"/>
      <c r="C634" s="12"/>
      <c r="D634" s="12"/>
      <c r="E634" s="12"/>
      <c r="F634" s="12"/>
      <c r="H634" s="17"/>
      <c r="I634" s="14"/>
      <c r="J634" s="17"/>
      <c r="K634" s="14"/>
      <c r="L634" s="17"/>
    </row>
    <row r="635" ht="18.75" customHeight="1">
      <c r="B635" s="12"/>
      <c r="C635" s="12"/>
      <c r="D635" s="12"/>
      <c r="E635" s="12"/>
      <c r="F635" s="12"/>
      <c r="H635" s="17"/>
      <c r="I635" s="14"/>
      <c r="J635" s="17"/>
      <c r="K635" s="14"/>
      <c r="L635" s="17"/>
    </row>
    <row r="636" ht="18.75" customHeight="1">
      <c r="B636" s="12"/>
      <c r="C636" s="12"/>
      <c r="D636" s="12"/>
      <c r="E636" s="12"/>
      <c r="F636" s="12"/>
      <c r="H636" s="17"/>
      <c r="I636" s="14"/>
      <c r="J636" s="17"/>
      <c r="K636" s="14"/>
      <c r="L636" s="17"/>
    </row>
    <row r="637" ht="18.75" customHeight="1">
      <c r="B637" s="12"/>
      <c r="C637" s="12"/>
      <c r="D637" s="12"/>
      <c r="E637" s="12"/>
      <c r="F637" s="12"/>
      <c r="H637" s="17"/>
      <c r="I637" s="14"/>
      <c r="J637" s="17"/>
      <c r="K637" s="14"/>
      <c r="L637" s="17"/>
    </row>
    <row r="638" ht="18.75" customHeight="1">
      <c r="B638" s="12"/>
      <c r="C638" s="12"/>
      <c r="D638" s="12"/>
      <c r="E638" s="12"/>
      <c r="F638" s="12"/>
      <c r="H638" s="17"/>
      <c r="I638" s="14"/>
      <c r="J638" s="17"/>
      <c r="K638" s="14"/>
      <c r="L638" s="17"/>
    </row>
    <row r="639" ht="18.75" customHeight="1">
      <c r="B639" s="12"/>
      <c r="C639" s="12"/>
      <c r="D639" s="12"/>
      <c r="E639" s="12"/>
      <c r="F639" s="12"/>
      <c r="H639" s="17"/>
      <c r="I639" s="14"/>
      <c r="J639" s="17"/>
      <c r="K639" s="14"/>
      <c r="L639" s="17"/>
    </row>
    <row r="640" ht="18.75" customHeight="1">
      <c r="B640" s="12"/>
      <c r="C640" s="12"/>
      <c r="D640" s="12"/>
      <c r="E640" s="12"/>
      <c r="F640" s="12"/>
      <c r="H640" s="17"/>
      <c r="I640" s="14"/>
      <c r="J640" s="17"/>
      <c r="K640" s="14"/>
      <c r="L640" s="17"/>
    </row>
    <row r="641" ht="18.75" customHeight="1">
      <c r="B641" s="12"/>
      <c r="C641" s="12"/>
      <c r="D641" s="12"/>
      <c r="E641" s="12"/>
      <c r="F641" s="12"/>
      <c r="H641" s="17"/>
      <c r="I641" s="14"/>
      <c r="J641" s="17"/>
      <c r="K641" s="14"/>
      <c r="L641" s="17"/>
    </row>
    <row r="642" ht="18.75" customHeight="1">
      <c r="B642" s="12"/>
      <c r="C642" s="12"/>
      <c r="D642" s="12"/>
      <c r="E642" s="12"/>
      <c r="F642" s="12"/>
      <c r="H642" s="17"/>
      <c r="I642" s="14"/>
      <c r="J642" s="17"/>
      <c r="K642" s="14"/>
      <c r="L642" s="17"/>
    </row>
    <row r="643" ht="18.75" customHeight="1">
      <c r="B643" s="12"/>
      <c r="C643" s="12"/>
      <c r="D643" s="12"/>
      <c r="E643" s="12"/>
      <c r="F643" s="12"/>
      <c r="H643" s="17"/>
      <c r="I643" s="14"/>
      <c r="J643" s="17"/>
      <c r="K643" s="14"/>
      <c r="L643" s="17"/>
    </row>
    <row r="644" ht="18.75" customHeight="1">
      <c r="B644" s="12"/>
      <c r="C644" s="12"/>
      <c r="D644" s="12"/>
      <c r="E644" s="12"/>
      <c r="F644" s="12"/>
      <c r="H644" s="17"/>
      <c r="I644" s="14"/>
      <c r="J644" s="17"/>
      <c r="K644" s="14"/>
      <c r="L644" s="17"/>
    </row>
    <row r="645" ht="18.75" customHeight="1">
      <c r="B645" s="12"/>
      <c r="C645" s="12"/>
      <c r="D645" s="12"/>
      <c r="E645" s="12"/>
      <c r="F645" s="12"/>
      <c r="H645" s="17"/>
      <c r="I645" s="14"/>
      <c r="J645" s="17"/>
      <c r="K645" s="14"/>
      <c r="L645" s="17"/>
    </row>
    <row r="646" ht="18.75" customHeight="1">
      <c r="B646" s="12"/>
      <c r="C646" s="12"/>
      <c r="D646" s="12"/>
      <c r="E646" s="12"/>
      <c r="F646" s="12"/>
      <c r="H646" s="17"/>
      <c r="I646" s="14"/>
      <c r="J646" s="17"/>
      <c r="K646" s="14"/>
      <c r="L646" s="17"/>
    </row>
    <row r="647" ht="18.75" customHeight="1">
      <c r="B647" s="12"/>
      <c r="C647" s="12"/>
      <c r="D647" s="12"/>
      <c r="E647" s="12"/>
      <c r="F647" s="12"/>
      <c r="H647" s="17"/>
      <c r="I647" s="14"/>
      <c r="J647" s="17"/>
      <c r="K647" s="14"/>
      <c r="L647" s="17"/>
    </row>
    <row r="648" ht="18.75" customHeight="1">
      <c r="B648" s="12"/>
      <c r="C648" s="12"/>
      <c r="D648" s="12"/>
      <c r="E648" s="12"/>
      <c r="F648" s="12"/>
      <c r="H648" s="17"/>
      <c r="I648" s="14"/>
      <c r="J648" s="17"/>
      <c r="K648" s="14"/>
      <c r="L648" s="17"/>
    </row>
    <row r="649" ht="18.75" customHeight="1">
      <c r="B649" s="12"/>
      <c r="C649" s="12"/>
      <c r="D649" s="12"/>
      <c r="E649" s="12"/>
      <c r="F649" s="12"/>
      <c r="H649" s="17"/>
      <c r="I649" s="14"/>
      <c r="J649" s="17"/>
      <c r="K649" s="14"/>
      <c r="L649" s="17"/>
    </row>
    <row r="650" ht="18.75" customHeight="1">
      <c r="B650" s="12"/>
      <c r="C650" s="12"/>
      <c r="D650" s="12"/>
      <c r="E650" s="12"/>
      <c r="F650" s="12"/>
      <c r="H650" s="17"/>
      <c r="I650" s="14"/>
      <c r="J650" s="17"/>
      <c r="K650" s="14"/>
      <c r="L650" s="17"/>
    </row>
    <row r="651" ht="18.75" customHeight="1">
      <c r="B651" s="12"/>
      <c r="C651" s="12"/>
      <c r="D651" s="12"/>
      <c r="E651" s="12"/>
      <c r="F651" s="12"/>
      <c r="H651" s="17"/>
      <c r="I651" s="14"/>
      <c r="J651" s="17"/>
      <c r="K651" s="14"/>
      <c r="L651" s="17"/>
    </row>
    <row r="652" ht="18.75" customHeight="1">
      <c r="B652" s="12"/>
      <c r="C652" s="12"/>
      <c r="D652" s="12"/>
      <c r="E652" s="12"/>
      <c r="F652" s="12"/>
      <c r="H652" s="17"/>
      <c r="I652" s="14"/>
      <c r="J652" s="17"/>
      <c r="K652" s="14"/>
      <c r="L652" s="17"/>
    </row>
    <row r="653" ht="18.75" customHeight="1">
      <c r="B653" s="12"/>
      <c r="C653" s="12"/>
      <c r="D653" s="12"/>
      <c r="E653" s="12"/>
      <c r="F653" s="12"/>
      <c r="H653" s="17"/>
      <c r="I653" s="14"/>
      <c r="J653" s="17"/>
      <c r="K653" s="14"/>
      <c r="L653" s="17"/>
    </row>
    <row r="654" ht="18.75" customHeight="1">
      <c r="B654" s="12"/>
      <c r="C654" s="12"/>
      <c r="D654" s="12"/>
      <c r="E654" s="12"/>
      <c r="F654" s="12"/>
      <c r="H654" s="17"/>
      <c r="I654" s="14"/>
      <c r="J654" s="17"/>
      <c r="K654" s="14"/>
      <c r="L654" s="17"/>
    </row>
    <row r="655" ht="18.75" customHeight="1">
      <c r="B655" s="12"/>
      <c r="C655" s="12"/>
      <c r="D655" s="12"/>
      <c r="E655" s="12"/>
      <c r="F655" s="12"/>
      <c r="H655" s="17"/>
      <c r="I655" s="14"/>
      <c r="J655" s="17"/>
      <c r="K655" s="14"/>
      <c r="L655" s="17"/>
    </row>
    <row r="656" ht="18.75" customHeight="1">
      <c r="B656" s="12"/>
      <c r="C656" s="12"/>
      <c r="D656" s="12"/>
      <c r="E656" s="12"/>
      <c r="F656" s="12"/>
      <c r="H656" s="17"/>
      <c r="I656" s="14"/>
      <c r="J656" s="17"/>
      <c r="K656" s="14"/>
      <c r="L656" s="17"/>
    </row>
    <row r="657" ht="18.75" customHeight="1">
      <c r="B657" s="12"/>
      <c r="C657" s="12"/>
      <c r="D657" s="12"/>
      <c r="E657" s="12"/>
      <c r="F657" s="12"/>
      <c r="H657" s="17"/>
      <c r="I657" s="14"/>
      <c r="J657" s="17"/>
      <c r="K657" s="14"/>
      <c r="L657" s="17"/>
    </row>
    <row r="658" ht="18.75" customHeight="1">
      <c r="B658" s="12"/>
      <c r="C658" s="12"/>
      <c r="D658" s="12"/>
      <c r="E658" s="12"/>
      <c r="F658" s="12"/>
      <c r="H658" s="17"/>
      <c r="I658" s="14"/>
      <c r="J658" s="17"/>
      <c r="K658" s="14"/>
      <c r="L658" s="17"/>
    </row>
    <row r="659" ht="18.75" customHeight="1">
      <c r="B659" s="12"/>
      <c r="C659" s="12"/>
      <c r="D659" s="12"/>
      <c r="E659" s="12"/>
      <c r="F659" s="12"/>
      <c r="H659" s="17"/>
      <c r="I659" s="14"/>
      <c r="J659" s="17"/>
      <c r="K659" s="14"/>
      <c r="L659" s="17"/>
    </row>
    <row r="660" ht="18.75" customHeight="1">
      <c r="B660" s="12"/>
      <c r="C660" s="12"/>
      <c r="D660" s="12"/>
      <c r="E660" s="12"/>
      <c r="F660" s="12"/>
      <c r="H660" s="17"/>
      <c r="I660" s="14"/>
      <c r="J660" s="17"/>
      <c r="K660" s="14"/>
      <c r="L660" s="17"/>
    </row>
    <row r="661" ht="18.75" customHeight="1">
      <c r="B661" s="12"/>
      <c r="C661" s="12"/>
      <c r="D661" s="12"/>
      <c r="E661" s="12"/>
      <c r="F661" s="12"/>
      <c r="H661" s="17"/>
      <c r="I661" s="14"/>
      <c r="J661" s="17"/>
      <c r="K661" s="14"/>
      <c r="L661" s="17"/>
    </row>
    <row r="662" ht="18.75" customHeight="1">
      <c r="B662" s="12"/>
      <c r="C662" s="12"/>
      <c r="D662" s="12"/>
      <c r="E662" s="12"/>
      <c r="F662" s="12"/>
      <c r="H662" s="17"/>
      <c r="I662" s="14"/>
      <c r="J662" s="17"/>
      <c r="K662" s="14"/>
      <c r="L662" s="17"/>
    </row>
    <row r="663" ht="18.75" customHeight="1">
      <c r="B663" s="12"/>
      <c r="C663" s="12"/>
      <c r="D663" s="12"/>
      <c r="E663" s="12"/>
      <c r="F663" s="12"/>
      <c r="H663" s="17"/>
      <c r="I663" s="14"/>
      <c r="J663" s="17"/>
      <c r="K663" s="14"/>
      <c r="L663" s="17"/>
    </row>
    <row r="664" ht="18.75" customHeight="1">
      <c r="B664" s="12"/>
      <c r="C664" s="12"/>
      <c r="D664" s="12"/>
      <c r="E664" s="12"/>
      <c r="F664" s="12"/>
      <c r="H664" s="17"/>
      <c r="I664" s="14"/>
      <c r="J664" s="17"/>
      <c r="K664" s="14"/>
      <c r="L664" s="17"/>
    </row>
    <row r="665" ht="18.75" customHeight="1">
      <c r="B665" s="12"/>
      <c r="C665" s="12"/>
      <c r="D665" s="12"/>
      <c r="E665" s="12"/>
      <c r="F665" s="12"/>
      <c r="H665" s="17"/>
      <c r="I665" s="14"/>
      <c r="J665" s="17"/>
      <c r="K665" s="14"/>
      <c r="L665" s="17"/>
    </row>
    <row r="666" ht="18.75" customHeight="1">
      <c r="B666" s="12"/>
      <c r="C666" s="12"/>
      <c r="D666" s="12"/>
      <c r="E666" s="12"/>
      <c r="F666" s="12"/>
      <c r="H666" s="17"/>
      <c r="I666" s="14"/>
      <c r="J666" s="17"/>
      <c r="K666" s="14"/>
      <c r="L666" s="17"/>
    </row>
    <row r="667" ht="18.75" customHeight="1">
      <c r="B667" s="12"/>
      <c r="C667" s="12"/>
      <c r="D667" s="12"/>
      <c r="E667" s="12"/>
      <c r="F667" s="12"/>
      <c r="H667" s="17"/>
      <c r="I667" s="14"/>
      <c r="J667" s="17"/>
      <c r="K667" s="14"/>
      <c r="L667" s="17"/>
    </row>
    <row r="668" ht="18.75" customHeight="1">
      <c r="B668" s="12"/>
      <c r="C668" s="12"/>
      <c r="D668" s="12"/>
      <c r="E668" s="12"/>
      <c r="F668" s="12"/>
      <c r="H668" s="17"/>
      <c r="I668" s="14"/>
      <c r="J668" s="17"/>
      <c r="K668" s="14"/>
      <c r="L668" s="17"/>
    </row>
    <row r="669" ht="18.75" customHeight="1">
      <c r="B669" s="12"/>
      <c r="C669" s="12"/>
      <c r="D669" s="12"/>
      <c r="E669" s="12"/>
      <c r="F669" s="12"/>
      <c r="H669" s="17"/>
      <c r="I669" s="14"/>
      <c r="J669" s="17"/>
      <c r="K669" s="14"/>
      <c r="L669" s="17"/>
    </row>
    <row r="670" ht="18.75" customHeight="1">
      <c r="B670" s="12"/>
      <c r="C670" s="12"/>
      <c r="D670" s="12"/>
      <c r="E670" s="12"/>
      <c r="F670" s="12"/>
      <c r="H670" s="17"/>
      <c r="I670" s="14"/>
      <c r="J670" s="17"/>
      <c r="K670" s="14"/>
      <c r="L670" s="17"/>
    </row>
    <row r="671" ht="18.75" customHeight="1">
      <c r="B671" s="12"/>
      <c r="C671" s="12"/>
      <c r="D671" s="12"/>
      <c r="E671" s="12"/>
      <c r="F671" s="12"/>
      <c r="H671" s="17"/>
      <c r="I671" s="14"/>
      <c r="J671" s="17"/>
      <c r="K671" s="14"/>
      <c r="L671" s="17"/>
    </row>
    <row r="672" ht="18.75" customHeight="1">
      <c r="B672" s="12"/>
      <c r="C672" s="12"/>
      <c r="D672" s="12"/>
      <c r="E672" s="12"/>
      <c r="F672" s="12"/>
      <c r="H672" s="17"/>
      <c r="I672" s="14"/>
      <c r="J672" s="17"/>
      <c r="K672" s="14"/>
      <c r="L672" s="17"/>
    </row>
    <row r="673" ht="18.75" customHeight="1">
      <c r="B673" s="12"/>
      <c r="C673" s="12"/>
      <c r="D673" s="12"/>
      <c r="E673" s="12"/>
      <c r="F673" s="12"/>
      <c r="H673" s="17"/>
      <c r="I673" s="14"/>
      <c r="J673" s="17"/>
      <c r="K673" s="14"/>
      <c r="L673" s="17"/>
    </row>
    <row r="674" ht="18.75" customHeight="1">
      <c r="B674" s="12"/>
      <c r="C674" s="12"/>
      <c r="D674" s="12"/>
      <c r="E674" s="12"/>
      <c r="F674" s="12"/>
      <c r="H674" s="17"/>
      <c r="I674" s="14"/>
      <c r="J674" s="17"/>
      <c r="K674" s="14"/>
      <c r="L674" s="17"/>
    </row>
    <row r="675" ht="18.75" customHeight="1">
      <c r="B675" s="12"/>
      <c r="C675" s="12"/>
      <c r="D675" s="12"/>
      <c r="E675" s="12"/>
      <c r="F675" s="12"/>
      <c r="H675" s="17"/>
      <c r="I675" s="14"/>
      <c r="J675" s="17"/>
      <c r="K675" s="14"/>
      <c r="L675" s="17"/>
    </row>
    <row r="676" ht="18.75" customHeight="1">
      <c r="B676" s="12"/>
      <c r="C676" s="12"/>
      <c r="D676" s="12"/>
      <c r="E676" s="12"/>
      <c r="F676" s="12"/>
      <c r="H676" s="17"/>
      <c r="I676" s="14"/>
      <c r="J676" s="17"/>
      <c r="K676" s="14"/>
      <c r="L676" s="17"/>
    </row>
    <row r="677" ht="18.75" customHeight="1">
      <c r="B677" s="12"/>
      <c r="C677" s="12"/>
      <c r="D677" s="12"/>
      <c r="E677" s="12"/>
      <c r="F677" s="12"/>
      <c r="H677" s="17"/>
      <c r="I677" s="14"/>
      <c r="J677" s="17"/>
      <c r="K677" s="14"/>
      <c r="L677" s="17"/>
    </row>
    <row r="678" ht="18.75" customHeight="1">
      <c r="B678" s="12"/>
      <c r="C678" s="12"/>
      <c r="D678" s="12"/>
      <c r="E678" s="12"/>
      <c r="F678" s="12"/>
      <c r="H678" s="17"/>
      <c r="I678" s="14"/>
      <c r="J678" s="17"/>
      <c r="K678" s="14"/>
      <c r="L678" s="17"/>
    </row>
    <row r="679" ht="18.75" customHeight="1">
      <c r="B679" s="12"/>
      <c r="C679" s="12"/>
      <c r="D679" s="12"/>
      <c r="E679" s="12"/>
      <c r="F679" s="12"/>
      <c r="H679" s="17"/>
      <c r="I679" s="14"/>
      <c r="J679" s="17"/>
      <c r="K679" s="14"/>
      <c r="L679" s="17"/>
    </row>
    <row r="680" ht="18.75" customHeight="1">
      <c r="B680" s="12"/>
      <c r="C680" s="12"/>
      <c r="D680" s="12"/>
      <c r="E680" s="12"/>
      <c r="F680" s="12"/>
      <c r="H680" s="17"/>
      <c r="I680" s="14"/>
      <c r="J680" s="17"/>
      <c r="K680" s="14"/>
      <c r="L680" s="17"/>
    </row>
    <row r="681" ht="18.75" customHeight="1">
      <c r="B681" s="12"/>
      <c r="C681" s="12"/>
      <c r="D681" s="12"/>
      <c r="E681" s="12"/>
      <c r="F681" s="12"/>
      <c r="H681" s="17"/>
      <c r="I681" s="14"/>
      <c r="J681" s="17"/>
      <c r="K681" s="14"/>
      <c r="L681" s="17"/>
    </row>
    <row r="682" ht="18.75" customHeight="1">
      <c r="B682" s="12"/>
      <c r="C682" s="12"/>
      <c r="D682" s="12"/>
      <c r="E682" s="12"/>
      <c r="F682" s="12"/>
      <c r="H682" s="17"/>
      <c r="I682" s="14"/>
      <c r="J682" s="17"/>
      <c r="K682" s="14"/>
      <c r="L682" s="17"/>
    </row>
    <row r="683" ht="18.75" customHeight="1">
      <c r="B683" s="12"/>
      <c r="C683" s="12"/>
      <c r="D683" s="12"/>
      <c r="E683" s="12"/>
      <c r="F683" s="12"/>
      <c r="H683" s="17"/>
      <c r="I683" s="14"/>
      <c r="J683" s="17"/>
      <c r="K683" s="14"/>
      <c r="L683" s="17"/>
    </row>
    <row r="684" ht="18.75" customHeight="1">
      <c r="B684" s="12"/>
      <c r="C684" s="12"/>
      <c r="D684" s="12"/>
      <c r="E684" s="12"/>
      <c r="F684" s="12"/>
      <c r="H684" s="17"/>
      <c r="I684" s="14"/>
      <c r="J684" s="17"/>
      <c r="K684" s="14"/>
      <c r="L684" s="17"/>
    </row>
    <row r="685" ht="18.75" customHeight="1">
      <c r="B685" s="12"/>
      <c r="C685" s="12"/>
      <c r="D685" s="12"/>
      <c r="E685" s="12"/>
      <c r="F685" s="12"/>
      <c r="H685" s="17"/>
      <c r="I685" s="14"/>
      <c r="J685" s="17"/>
      <c r="K685" s="14"/>
      <c r="L685" s="17"/>
    </row>
    <row r="686" ht="18.75" customHeight="1">
      <c r="B686" s="12"/>
      <c r="C686" s="12"/>
      <c r="D686" s="12"/>
      <c r="E686" s="12"/>
      <c r="F686" s="12"/>
      <c r="H686" s="17"/>
      <c r="I686" s="14"/>
      <c r="J686" s="17"/>
      <c r="K686" s="14"/>
      <c r="L686" s="17"/>
    </row>
    <row r="687" ht="18.75" customHeight="1">
      <c r="B687" s="12"/>
      <c r="C687" s="12"/>
      <c r="D687" s="12"/>
      <c r="E687" s="12"/>
      <c r="F687" s="12"/>
      <c r="H687" s="17"/>
      <c r="I687" s="14"/>
      <c r="J687" s="17"/>
      <c r="K687" s="14"/>
      <c r="L687" s="17"/>
    </row>
    <row r="688" ht="18.75" customHeight="1">
      <c r="B688" s="12"/>
      <c r="C688" s="12"/>
      <c r="D688" s="12"/>
      <c r="E688" s="12"/>
      <c r="F688" s="12"/>
      <c r="H688" s="17"/>
      <c r="I688" s="14"/>
      <c r="J688" s="17"/>
      <c r="K688" s="14"/>
      <c r="L688" s="17"/>
    </row>
    <row r="689" ht="18.75" customHeight="1">
      <c r="B689" s="12"/>
      <c r="C689" s="12"/>
      <c r="D689" s="12"/>
      <c r="E689" s="12"/>
      <c r="F689" s="12"/>
      <c r="H689" s="17"/>
      <c r="I689" s="14"/>
      <c r="J689" s="17"/>
      <c r="K689" s="14"/>
      <c r="L689" s="17"/>
    </row>
    <row r="690" ht="18.75" customHeight="1">
      <c r="B690" s="12"/>
      <c r="C690" s="12"/>
      <c r="D690" s="12"/>
      <c r="E690" s="12"/>
      <c r="F690" s="12"/>
      <c r="H690" s="17"/>
      <c r="I690" s="14"/>
      <c r="J690" s="17"/>
      <c r="K690" s="14"/>
      <c r="L690" s="17"/>
    </row>
    <row r="691" ht="18.75" customHeight="1">
      <c r="B691" s="12"/>
      <c r="C691" s="12"/>
      <c r="D691" s="12"/>
      <c r="E691" s="12"/>
      <c r="F691" s="12"/>
      <c r="H691" s="17"/>
      <c r="I691" s="14"/>
      <c r="J691" s="17"/>
      <c r="K691" s="14"/>
      <c r="L691" s="17"/>
    </row>
    <row r="692" ht="18.75" customHeight="1">
      <c r="B692" s="12"/>
      <c r="C692" s="12"/>
      <c r="D692" s="12"/>
      <c r="E692" s="12"/>
      <c r="F692" s="12"/>
      <c r="H692" s="17"/>
      <c r="I692" s="14"/>
      <c r="J692" s="17"/>
      <c r="K692" s="14"/>
      <c r="L692" s="17"/>
    </row>
    <row r="693" ht="18.75" customHeight="1">
      <c r="B693" s="12"/>
      <c r="C693" s="12"/>
      <c r="D693" s="12"/>
      <c r="E693" s="12"/>
      <c r="F693" s="12"/>
      <c r="H693" s="17"/>
      <c r="I693" s="14"/>
      <c r="J693" s="17"/>
      <c r="K693" s="14"/>
      <c r="L693" s="17"/>
    </row>
    <row r="694" ht="18.75" customHeight="1">
      <c r="B694" s="12"/>
      <c r="C694" s="12"/>
      <c r="D694" s="12"/>
      <c r="E694" s="12"/>
      <c r="F694" s="12"/>
      <c r="H694" s="17"/>
      <c r="I694" s="14"/>
      <c r="J694" s="17"/>
      <c r="K694" s="14"/>
      <c r="L694" s="17"/>
    </row>
    <row r="695" ht="18.75" customHeight="1">
      <c r="B695" s="12"/>
      <c r="C695" s="12"/>
      <c r="D695" s="12"/>
      <c r="E695" s="12"/>
      <c r="F695" s="12"/>
      <c r="H695" s="17"/>
      <c r="I695" s="14"/>
      <c r="J695" s="17"/>
      <c r="K695" s="14"/>
      <c r="L695" s="17"/>
    </row>
    <row r="696" ht="18.75" customHeight="1">
      <c r="B696" s="12"/>
      <c r="C696" s="12"/>
      <c r="D696" s="12"/>
      <c r="E696" s="12"/>
      <c r="F696" s="12"/>
      <c r="H696" s="17"/>
      <c r="I696" s="14"/>
      <c r="J696" s="17"/>
      <c r="K696" s="14"/>
      <c r="L696" s="17"/>
    </row>
    <row r="697" ht="18.75" customHeight="1">
      <c r="B697" s="12"/>
      <c r="C697" s="12"/>
      <c r="D697" s="12"/>
      <c r="E697" s="12"/>
      <c r="F697" s="12"/>
      <c r="H697" s="17"/>
      <c r="I697" s="14"/>
      <c r="J697" s="17"/>
      <c r="K697" s="14"/>
      <c r="L697" s="17"/>
    </row>
    <row r="698" ht="18.75" customHeight="1">
      <c r="B698" s="12"/>
      <c r="C698" s="12"/>
      <c r="D698" s="12"/>
      <c r="E698" s="12"/>
      <c r="F698" s="12"/>
      <c r="H698" s="17"/>
      <c r="I698" s="14"/>
      <c r="J698" s="17"/>
      <c r="K698" s="14"/>
      <c r="L698" s="17"/>
    </row>
    <row r="699" ht="18.75" customHeight="1">
      <c r="B699" s="12"/>
      <c r="C699" s="12"/>
      <c r="D699" s="12"/>
      <c r="E699" s="12"/>
      <c r="F699" s="12"/>
      <c r="H699" s="17"/>
      <c r="I699" s="14"/>
      <c r="J699" s="17"/>
      <c r="K699" s="14"/>
      <c r="L699" s="17"/>
    </row>
    <row r="700" ht="18.75" customHeight="1">
      <c r="B700" s="12"/>
      <c r="C700" s="12"/>
      <c r="D700" s="12"/>
      <c r="E700" s="12"/>
      <c r="F700" s="12"/>
      <c r="H700" s="17"/>
      <c r="I700" s="14"/>
      <c r="J700" s="17"/>
      <c r="K700" s="14"/>
      <c r="L700" s="17"/>
    </row>
    <row r="701" ht="18.75" customHeight="1">
      <c r="B701" s="12"/>
      <c r="C701" s="12"/>
      <c r="D701" s="12"/>
      <c r="E701" s="12"/>
      <c r="F701" s="12"/>
      <c r="H701" s="17"/>
      <c r="I701" s="14"/>
      <c r="J701" s="17"/>
      <c r="K701" s="14"/>
      <c r="L701" s="17"/>
    </row>
    <row r="702" ht="18.75" customHeight="1">
      <c r="B702" s="12"/>
      <c r="C702" s="12"/>
      <c r="D702" s="12"/>
      <c r="E702" s="12"/>
      <c r="F702" s="12"/>
      <c r="H702" s="17"/>
      <c r="I702" s="14"/>
      <c r="J702" s="17"/>
      <c r="K702" s="14"/>
      <c r="L702" s="17"/>
    </row>
    <row r="703" ht="18.75" customHeight="1">
      <c r="B703" s="12"/>
      <c r="C703" s="12"/>
      <c r="D703" s="12"/>
      <c r="E703" s="12"/>
      <c r="F703" s="12"/>
      <c r="H703" s="17"/>
      <c r="I703" s="14"/>
      <c r="J703" s="17"/>
      <c r="K703" s="14"/>
      <c r="L703" s="17"/>
    </row>
    <row r="704" ht="18.75" customHeight="1">
      <c r="B704" s="12"/>
      <c r="C704" s="12"/>
      <c r="D704" s="12"/>
      <c r="E704" s="12"/>
      <c r="F704" s="12"/>
      <c r="H704" s="17"/>
      <c r="I704" s="14"/>
      <c r="J704" s="17"/>
      <c r="K704" s="14"/>
      <c r="L704" s="17"/>
    </row>
    <row r="705" ht="18.75" customHeight="1">
      <c r="B705" s="12"/>
      <c r="C705" s="12"/>
      <c r="D705" s="12"/>
      <c r="E705" s="12"/>
      <c r="F705" s="12"/>
      <c r="H705" s="17"/>
      <c r="I705" s="14"/>
      <c r="J705" s="17"/>
      <c r="K705" s="14"/>
      <c r="L705" s="17"/>
    </row>
    <row r="706" ht="18.75" customHeight="1">
      <c r="B706" s="12"/>
      <c r="C706" s="12"/>
      <c r="D706" s="12"/>
      <c r="E706" s="12"/>
      <c r="F706" s="12"/>
      <c r="H706" s="17"/>
      <c r="I706" s="14"/>
      <c r="J706" s="17"/>
      <c r="K706" s="14"/>
      <c r="L706" s="17"/>
    </row>
    <row r="707" ht="18.75" customHeight="1">
      <c r="B707" s="12"/>
      <c r="C707" s="12"/>
      <c r="D707" s="12"/>
      <c r="E707" s="12"/>
      <c r="F707" s="12"/>
      <c r="H707" s="17"/>
      <c r="I707" s="14"/>
      <c r="J707" s="17"/>
      <c r="K707" s="14"/>
      <c r="L707" s="17"/>
    </row>
    <row r="708" ht="18.75" customHeight="1">
      <c r="B708" s="12"/>
      <c r="C708" s="12"/>
      <c r="D708" s="12"/>
      <c r="E708" s="12"/>
      <c r="F708" s="12"/>
      <c r="H708" s="17"/>
      <c r="I708" s="14"/>
      <c r="J708" s="17"/>
      <c r="K708" s="14"/>
      <c r="L708" s="17"/>
    </row>
    <row r="709" ht="18.75" customHeight="1">
      <c r="B709" s="12"/>
      <c r="C709" s="12"/>
      <c r="D709" s="12"/>
      <c r="E709" s="12"/>
      <c r="F709" s="12"/>
      <c r="H709" s="17"/>
      <c r="I709" s="14"/>
      <c r="J709" s="17"/>
      <c r="K709" s="14"/>
      <c r="L709" s="17"/>
    </row>
    <row r="710" ht="18.75" customHeight="1">
      <c r="B710" s="12"/>
      <c r="C710" s="12"/>
      <c r="D710" s="12"/>
      <c r="E710" s="12"/>
      <c r="F710" s="12"/>
      <c r="H710" s="17"/>
      <c r="I710" s="14"/>
      <c r="J710" s="17"/>
      <c r="K710" s="14"/>
      <c r="L710" s="17"/>
    </row>
    <row r="711" ht="18.75" customHeight="1">
      <c r="B711" s="12"/>
      <c r="C711" s="12"/>
      <c r="D711" s="12"/>
      <c r="E711" s="12"/>
      <c r="F711" s="12"/>
      <c r="H711" s="17"/>
      <c r="I711" s="14"/>
      <c r="J711" s="17"/>
      <c r="K711" s="14"/>
      <c r="L711" s="17"/>
    </row>
    <row r="712" ht="18.75" customHeight="1">
      <c r="B712" s="12"/>
      <c r="C712" s="12"/>
      <c r="D712" s="12"/>
      <c r="E712" s="12"/>
      <c r="F712" s="12"/>
      <c r="H712" s="17"/>
      <c r="I712" s="14"/>
      <c r="J712" s="17"/>
      <c r="K712" s="14"/>
      <c r="L712" s="17"/>
    </row>
    <row r="713" ht="18.75" customHeight="1">
      <c r="B713" s="12"/>
      <c r="C713" s="12"/>
      <c r="D713" s="12"/>
      <c r="E713" s="12"/>
      <c r="F713" s="12"/>
      <c r="H713" s="17"/>
      <c r="I713" s="14"/>
      <c r="J713" s="17"/>
      <c r="K713" s="14"/>
      <c r="L713" s="17"/>
    </row>
    <row r="714" ht="18.75" customHeight="1">
      <c r="B714" s="12"/>
      <c r="C714" s="12"/>
      <c r="D714" s="12"/>
      <c r="E714" s="12"/>
      <c r="F714" s="12"/>
      <c r="H714" s="17"/>
      <c r="I714" s="14"/>
      <c r="J714" s="17"/>
      <c r="K714" s="14"/>
      <c r="L714" s="17"/>
    </row>
    <row r="715" ht="18.75" customHeight="1">
      <c r="B715" s="12"/>
      <c r="C715" s="12"/>
      <c r="D715" s="12"/>
      <c r="E715" s="12"/>
      <c r="F715" s="12"/>
      <c r="H715" s="17"/>
      <c r="I715" s="14"/>
      <c r="J715" s="17"/>
      <c r="K715" s="14"/>
      <c r="L715" s="17"/>
    </row>
    <row r="716" ht="18.75" customHeight="1">
      <c r="B716" s="12"/>
      <c r="C716" s="12"/>
      <c r="D716" s="12"/>
      <c r="E716" s="12"/>
      <c r="F716" s="12"/>
      <c r="H716" s="17"/>
      <c r="I716" s="14"/>
      <c r="J716" s="17"/>
      <c r="K716" s="14"/>
      <c r="L716" s="17"/>
    </row>
    <row r="717" ht="18.75" customHeight="1">
      <c r="B717" s="12"/>
      <c r="C717" s="12"/>
      <c r="D717" s="12"/>
      <c r="E717" s="12"/>
      <c r="F717" s="12"/>
      <c r="H717" s="17"/>
      <c r="I717" s="14"/>
      <c r="J717" s="17"/>
      <c r="K717" s="14"/>
      <c r="L717" s="17"/>
    </row>
    <row r="718" ht="18.75" customHeight="1">
      <c r="B718" s="12"/>
      <c r="C718" s="12"/>
      <c r="D718" s="12"/>
      <c r="E718" s="12"/>
      <c r="F718" s="12"/>
      <c r="H718" s="17"/>
      <c r="I718" s="14"/>
      <c r="J718" s="17"/>
      <c r="K718" s="14"/>
      <c r="L718" s="17"/>
    </row>
    <row r="719" ht="18.75" customHeight="1">
      <c r="B719" s="12"/>
      <c r="C719" s="12"/>
      <c r="D719" s="12"/>
      <c r="E719" s="12"/>
      <c r="F719" s="12"/>
      <c r="H719" s="17"/>
      <c r="I719" s="14"/>
      <c r="J719" s="17"/>
      <c r="K719" s="14"/>
      <c r="L719" s="17"/>
    </row>
    <row r="720" ht="18.75" customHeight="1">
      <c r="B720" s="12"/>
      <c r="C720" s="12"/>
      <c r="D720" s="12"/>
      <c r="E720" s="12"/>
      <c r="F720" s="12"/>
      <c r="H720" s="17"/>
      <c r="I720" s="14"/>
      <c r="J720" s="17"/>
      <c r="K720" s="14"/>
      <c r="L720" s="17"/>
    </row>
    <row r="721" ht="18.75" customHeight="1">
      <c r="B721" s="12"/>
      <c r="C721" s="12"/>
      <c r="D721" s="12"/>
      <c r="E721" s="12"/>
      <c r="F721" s="12"/>
      <c r="H721" s="17"/>
      <c r="I721" s="14"/>
      <c r="J721" s="17"/>
      <c r="K721" s="14"/>
      <c r="L721" s="17"/>
    </row>
    <row r="722" ht="18.75" customHeight="1">
      <c r="B722" s="12"/>
      <c r="C722" s="12"/>
      <c r="D722" s="12"/>
      <c r="E722" s="12"/>
      <c r="F722" s="12"/>
      <c r="H722" s="17"/>
      <c r="I722" s="14"/>
      <c r="J722" s="17"/>
      <c r="K722" s="14"/>
      <c r="L722" s="17"/>
    </row>
    <row r="723" ht="18.75" customHeight="1">
      <c r="B723" s="12"/>
      <c r="C723" s="12"/>
      <c r="D723" s="12"/>
      <c r="E723" s="12"/>
      <c r="F723" s="12"/>
      <c r="H723" s="17"/>
      <c r="I723" s="14"/>
      <c r="J723" s="17"/>
      <c r="K723" s="14"/>
      <c r="L723" s="17"/>
    </row>
    <row r="724" ht="18.75" customHeight="1">
      <c r="B724" s="12"/>
      <c r="C724" s="12"/>
      <c r="D724" s="12"/>
      <c r="E724" s="12"/>
      <c r="F724" s="12"/>
      <c r="H724" s="17"/>
      <c r="I724" s="14"/>
      <c r="J724" s="17"/>
      <c r="K724" s="14"/>
      <c r="L724" s="17"/>
    </row>
    <row r="725" ht="18.75" customHeight="1">
      <c r="B725" s="12"/>
      <c r="C725" s="12"/>
      <c r="D725" s="12"/>
      <c r="E725" s="12"/>
      <c r="F725" s="12"/>
      <c r="H725" s="17"/>
      <c r="I725" s="14"/>
      <c r="J725" s="17"/>
      <c r="K725" s="14"/>
      <c r="L725" s="17"/>
    </row>
    <row r="726" ht="18.75" customHeight="1">
      <c r="B726" s="12"/>
      <c r="C726" s="12"/>
      <c r="D726" s="12"/>
      <c r="E726" s="12"/>
      <c r="F726" s="12"/>
      <c r="H726" s="17"/>
      <c r="I726" s="14"/>
      <c r="J726" s="17"/>
      <c r="K726" s="14"/>
      <c r="L726" s="17"/>
    </row>
    <row r="727" ht="18.75" customHeight="1">
      <c r="B727" s="12"/>
      <c r="C727" s="12"/>
      <c r="D727" s="12"/>
      <c r="E727" s="12"/>
      <c r="F727" s="12"/>
      <c r="H727" s="17"/>
      <c r="I727" s="14"/>
      <c r="J727" s="17"/>
      <c r="K727" s="14"/>
      <c r="L727" s="17"/>
    </row>
    <row r="728" ht="18.75" customHeight="1">
      <c r="B728" s="12"/>
      <c r="C728" s="12"/>
      <c r="D728" s="12"/>
      <c r="E728" s="12"/>
      <c r="F728" s="12"/>
      <c r="H728" s="17"/>
      <c r="I728" s="14"/>
      <c r="J728" s="17"/>
      <c r="K728" s="14"/>
      <c r="L728" s="17"/>
    </row>
    <row r="729" ht="18.75" customHeight="1">
      <c r="B729" s="12"/>
      <c r="C729" s="12"/>
      <c r="D729" s="12"/>
      <c r="E729" s="12"/>
      <c r="F729" s="12"/>
      <c r="H729" s="17"/>
      <c r="I729" s="14"/>
      <c r="J729" s="17"/>
      <c r="K729" s="14"/>
      <c r="L729" s="17"/>
    </row>
    <row r="730" ht="18.75" customHeight="1">
      <c r="B730" s="12"/>
      <c r="C730" s="12"/>
      <c r="D730" s="12"/>
      <c r="E730" s="12"/>
      <c r="F730" s="12"/>
      <c r="H730" s="17"/>
      <c r="I730" s="14"/>
      <c r="J730" s="17"/>
      <c r="K730" s="14"/>
      <c r="L730" s="17"/>
    </row>
    <row r="731" ht="18.75" customHeight="1">
      <c r="B731" s="12"/>
      <c r="C731" s="12"/>
      <c r="D731" s="12"/>
      <c r="E731" s="12"/>
      <c r="F731" s="12"/>
      <c r="H731" s="17"/>
      <c r="I731" s="14"/>
      <c r="J731" s="17"/>
      <c r="K731" s="14"/>
      <c r="L731" s="17"/>
    </row>
    <row r="732" ht="18.75" customHeight="1">
      <c r="B732" s="12"/>
      <c r="C732" s="12"/>
      <c r="D732" s="12"/>
      <c r="E732" s="12"/>
      <c r="F732" s="12"/>
      <c r="H732" s="17"/>
      <c r="I732" s="14"/>
      <c r="J732" s="17"/>
      <c r="K732" s="14"/>
      <c r="L732" s="17"/>
    </row>
    <row r="733" ht="18.75" customHeight="1">
      <c r="B733" s="12"/>
      <c r="C733" s="12"/>
      <c r="D733" s="12"/>
      <c r="E733" s="12"/>
      <c r="F733" s="12"/>
      <c r="H733" s="17"/>
      <c r="I733" s="14"/>
      <c r="J733" s="17"/>
      <c r="K733" s="14"/>
      <c r="L733" s="17"/>
    </row>
    <row r="734" ht="18.75" customHeight="1">
      <c r="B734" s="12"/>
      <c r="C734" s="12"/>
      <c r="D734" s="12"/>
      <c r="E734" s="12"/>
      <c r="F734" s="12"/>
      <c r="H734" s="17"/>
      <c r="I734" s="14"/>
      <c r="J734" s="17"/>
      <c r="K734" s="14"/>
      <c r="L734" s="17"/>
    </row>
    <row r="735" ht="18.75" customHeight="1">
      <c r="B735" s="12"/>
      <c r="C735" s="12"/>
      <c r="D735" s="12"/>
      <c r="E735" s="12"/>
      <c r="F735" s="12"/>
      <c r="H735" s="17"/>
      <c r="I735" s="14"/>
      <c r="J735" s="17"/>
      <c r="K735" s="14"/>
      <c r="L735" s="17"/>
    </row>
    <row r="736" ht="18.75" customHeight="1">
      <c r="B736" s="12"/>
      <c r="C736" s="12"/>
      <c r="D736" s="12"/>
      <c r="E736" s="12"/>
      <c r="F736" s="12"/>
      <c r="H736" s="17"/>
      <c r="I736" s="14"/>
      <c r="J736" s="17"/>
      <c r="K736" s="14"/>
      <c r="L736" s="17"/>
    </row>
    <row r="737" ht="18.75" customHeight="1">
      <c r="B737" s="12"/>
      <c r="C737" s="12"/>
      <c r="D737" s="12"/>
      <c r="E737" s="12"/>
      <c r="F737" s="12"/>
      <c r="H737" s="17"/>
      <c r="I737" s="14"/>
      <c r="J737" s="17"/>
      <c r="K737" s="14"/>
      <c r="L737" s="17"/>
    </row>
    <row r="738" ht="18.75" customHeight="1">
      <c r="B738" s="12"/>
      <c r="C738" s="12"/>
      <c r="D738" s="12"/>
      <c r="E738" s="12"/>
      <c r="F738" s="12"/>
      <c r="H738" s="17"/>
      <c r="I738" s="14"/>
      <c r="J738" s="17"/>
      <c r="K738" s="14"/>
      <c r="L738" s="17"/>
    </row>
    <row r="739" ht="18.75" customHeight="1">
      <c r="B739" s="12"/>
      <c r="C739" s="12"/>
      <c r="D739" s="12"/>
      <c r="E739" s="12"/>
      <c r="F739" s="12"/>
      <c r="H739" s="17"/>
      <c r="I739" s="14"/>
      <c r="J739" s="17"/>
      <c r="K739" s="14"/>
      <c r="L739" s="17"/>
    </row>
    <row r="740" ht="18.75" customHeight="1">
      <c r="B740" s="12"/>
      <c r="C740" s="12"/>
      <c r="D740" s="12"/>
      <c r="E740" s="12"/>
      <c r="F740" s="12"/>
      <c r="H740" s="17"/>
      <c r="I740" s="14"/>
      <c r="J740" s="17"/>
      <c r="K740" s="14"/>
      <c r="L740" s="17"/>
    </row>
    <row r="741" ht="18.75" customHeight="1">
      <c r="B741" s="12"/>
      <c r="C741" s="12"/>
      <c r="D741" s="12"/>
      <c r="E741" s="12"/>
      <c r="F741" s="12"/>
      <c r="H741" s="17"/>
      <c r="I741" s="14"/>
      <c r="J741" s="17"/>
      <c r="K741" s="14"/>
      <c r="L741" s="17"/>
    </row>
    <row r="742" ht="18.75" customHeight="1">
      <c r="B742" s="12"/>
      <c r="C742" s="12"/>
      <c r="D742" s="12"/>
      <c r="E742" s="12"/>
      <c r="F742" s="12"/>
      <c r="H742" s="17"/>
      <c r="I742" s="14"/>
      <c r="J742" s="17"/>
      <c r="K742" s="14"/>
      <c r="L742" s="17"/>
    </row>
    <row r="743" ht="18.75" customHeight="1">
      <c r="B743" s="12"/>
      <c r="C743" s="12"/>
      <c r="D743" s="12"/>
      <c r="E743" s="12"/>
      <c r="F743" s="12"/>
      <c r="H743" s="17"/>
      <c r="I743" s="14"/>
      <c r="J743" s="17"/>
      <c r="K743" s="14"/>
      <c r="L743" s="17"/>
    </row>
    <row r="744" ht="18.75" customHeight="1">
      <c r="B744" s="12"/>
      <c r="C744" s="12"/>
      <c r="D744" s="12"/>
      <c r="E744" s="12"/>
      <c r="F744" s="12"/>
      <c r="H744" s="17"/>
      <c r="I744" s="14"/>
      <c r="J744" s="17"/>
      <c r="K744" s="14"/>
      <c r="L744" s="17"/>
    </row>
    <row r="745" ht="18.75" customHeight="1">
      <c r="B745" s="12"/>
      <c r="C745" s="12"/>
      <c r="D745" s="12"/>
      <c r="E745" s="12"/>
      <c r="F745" s="12"/>
      <c r="H745" s="17"/>
      <c r="I745" s="14"/>
      <c r="J745" s="17"/>
      <c r="K745" s="14"/>
      <c r="L745" s="17"/>
    </row>
    <row r="746" ht="18.75" customHeight="1">
      <c r="B746" s="12"/>
      <c r="C746" s="12"/>
      <c r="D746" s="12"/>
      <c r="E746" s="12"/>
      <c r="F746" s="12"/>
      <c r="H746" s="17"/>
      <c r="I746" s="14"/>
      <c r="J746" s="17"/>
      <c r="K746" s="14"/>
      <c r="L746" s="17"/>
    </row>
    <row r="747" ht="18.75" customHeight="1">
      <c r="B747" s="12"/>
      <c r="C747" s="12"/>
      <c r="D747" s="12"/>
      <c r="E747" s="12"/>
      <c r="F747" s="12"/>
      <c r="H747" s="17"/>
      <c r="I747" s="14"/>
      <c r="J747" s="17"/>
      <c r="K747" s="14"/>
      <c r="L747" s="17"/>
    </row>
    <row r="748" ht="18.75" customHeight="1">
      <c r="B748" s="12"/>
      <c r="C748" s="12"/>
      <c r="D748" s="12"/>
      <c r="E748" s="12"/>
      <c r="F748" s="12"/>
      <c r="H748" s="17"/>
      <c r="I748" s="14"/>
      <c r="J748" s="17"/>
      <c r="K748" s="14"/>
      <c r="L748" s="17"/>
    </row>
    <row r="749" ht="18.75" customHeight="1">
      <c r="B749" s="12"/>
      <c r="C749" s="12"/>
      <c r="D749" s="12"/>
      <c r="E749" s="12"/>
      <c r="F749" s="12"/>
      <c r="H749" s="17"/>
      <c r="I749" s="14"/>
      <c r="J749" s="17"/>
      <c r="K749" s="14"/>
      <c r="L749" s="17"/>
    </row>
    <row r="750" ht="18.75" customHeight="1">
      <c r="B750" s="12"/>
      <c r="C750" s="12"/>
      <c r="D750" s="12"/>
      <c r="E750" s="12"/>
      <c r="F750" s="12"/>
      <c r="H750" s="17"/>
      <c r="I750" s="14"/>
      <c r="J750" s="17"/>
      <c r="K750" s="14"/>
      <c r="L750" s="17"/>
    </row>
    <row r="751" ht="18.75" customHeight="1">
      <c r="B751" s="12"/>
      <c r="C751" s="12"/>
      <c r="D751" s="12"/>
      <c r="E751" s="12"/>
      <c r="F751" s="12"/>
      <c r="H751" s="17"/>
      <c r="I751" s="14"/>
      <c r="J751" s="17"/>
      <c r="K751" s="14"/>
      <c r="L751" s="17"/>
    </row>
    <row r="752" ht="18.75" customHeight="1">
      <c r="B752" s="12"/>
      <c r="C752" s="12"/>
      <c r="D752" s="12"/>
      <c r="E752" s="12"/>
      <c r="F752" s="12"/>
      <c r="H752" s="17"/>
      <c r="I752" s="14"/>
      <c r="J752" s="17"/>
      <c r="K752" s="14"/>
      <c r="L752" s="17"/>
    </row>
    <row r="753" ht="18.75" customHeight="1">
      <c r="B753" s="12"/>
      <c r="C753" s="12"/>
      <c r="D753" s="12"/>
      <c r="E753" s="12"/>
      <c r="F753" s="12"/>
      <c r="H753" s="17"/>
      <c r="I753" s="14"/>
      <c r="J753" s="17"/>
      <c r="K753" s="14"/>
      <c r="L753" s="17"/>
    </row>
    <row r="754" ht="18.75" customHeight="1">
      <c r="B754" s="12"/>
      <c r="C754" s="12"/>
      <c r="D754" s="12"/>
      <c r="E754" s="12"/>
      <c r="F754" s="12"/>
      <c r="H754" s="17"/>
      <c r="I754" s="14"/>
      <c r="J754" s="17"/>
      <c r="K754" s="14"/>
      <c r="L754" s="17"/>
    </row>
    <row r="755" ht="18.75" customHeight="1">
      <c r="B755" s="12"/>
      <c r="C755" s="12"/>
      <c r="D755" s="12"/>
      <c r="E755" s="12"/>
      <c r="F755" s="12"/>
      <c r="H755" s="17"/>
      <c r="I755" s="14"/>
      <c r="J755" s="17"/>
      <c r="K755" s="14"/>
      <c r="L755" s="17"/>
    </row>
    <row r="756" ht="18.75" customHeight="1">
      <c r="B756" s="12"/>
      <c r="C756" s="12"/>
      <c r="D756" s="12"/>
      <c r="E756" s="12"/>
      <c r="F756" s="12"/>
      <c r="H756" s="17"/>
      <c r="I756" s="14"/>
      <c r="J756" s="17"/>
      <c r="K756" s="14"/>
      <c r="L756" s="17"/>
    </row>
    <row r="757" ht="18.75" customHeight="1">
      <c r="B757" s="12"/>
      <c r="C757" s="12"/>
      <c r="D757" s="12"/>
      <c r="E757" s="12"/>
      <c r="F757" s="12"/>
      <c r="H757" s="17"/>
      <c r="I757" s="14"/>
      <c r="J757" s="17"/>
      <c r="K757" s="14"/>
      <c r="L757" s="17"/>
    </row>
    <row r="758" ht="18.75" customHeight="1">
      <c r="B758" s="12"/>
      <c r="C758" s="12"/>
      <c r="D758" s="12"/>
      <c r="E758" s="12"/>
      <c r="F758" s="12"/>
      <c r="H758" s="17"/>
      <c r="I758" s="14"/>
      <c r="J758" s="17"/>
      <c r="K758" s="14"/>
      <c r="L758" s="17"/>
    </row>
    <row r="759" ht="18.75" customHeight="1">
      <c r="B759" s="12"/>
      <c r="C759" s="12"/>
      <c r="D759" s="12"/>
      <c r="E759" s="12"/>
      <c r="F759" s="12"/>
      <c r="H759" s="17"/>
      <c r="I759" s="14"/>
      <c r="J759" s="17"/>
      <c r="K759" s="14"/>
      <c r="L759" s="17"/>
    </row>
    <row r="760" ht="18.75" customHeight="1">
      <c r="B760" s="12"/>
      <c r="C760" s="12"/>
      <c r="D760" s="12"/>
      <c r="E760" s="12"/>
      <c r="F760" s="12"/>
      <c r="H760" s="17"/>
      <c r="I760" s="14"/>
      <c r="J760" s="17"/>
      <c r="K760" s="14"/>
      <c r="L760" s="17"/>
    </row>
    <row r="761" ht="18.75" customHeight="1">
      <c r="B761" s="12"/>
      <c r="C761" s="12"/>
      <c r="D761" s="12"/>
      <c r="E761" s="12"/>
      <c r="F761" s="12"/>
      <c r="H761" s="17"/>
      <c r="I761" s="14"/>
      <c r="J761" s="17"/>
      <c r="K761" s="14"/>
      <c r="L761" s="17"/>
    </row>
    <row r="762" ht="18.75" customHeight="1">
      <c r="B762" s="12"/>
      <c r="C762" s="12"/>
      <c r="D762" s="12"/>
      <c r="E762" s="12"/>
      <c r="F762" s="12"/>
      <c r="H762" s="17"/>
      <c r="I762" s="14"/>
      <c r="J762" s="17"/>
      <c r="K762" s="14"/>
      <c r="L762" s="17"/>
    </row>
    <row r="763" ht="18.75" customHeight="1">
      <c r="B763" s="12"/>
      <c r="C763" s="12"/>
      <c r="D763" s="12"/>
      <c r="E763" s="12"/>
      <c r="F763" s="12"/>
      <c r="H763" s="17"/>
      <c r="I763" s="14"/>
      <c r="J763" s="17"/>
      <c r="K763" s="14"/>
      <c r="L763" s="17"/>
    </row>
    <row r="764" ht="18.75" customHeight="1">
      <c r="B764" s="12"/>
      <c r="C764" s="12"/>
      <c r="D764" s="12"/>
      <c r="E764" s="12"/>
      <c r="F764" s="12"/>
      <c r="H764" s="17"/>
      <c r="I764" s="14"/>
      <c r="J764" s="17"/>
      <c r="K764" s="14"/>
      <c r="L764" s="17"/>
    </row>
    <row r="765" ht="18.75" customHeight="1">
      <c r="B765" s="12"/>
      <c r="C765" s="12"/>
      <c r="D765" s="12"/>
      <c r="E765" s="12"/>
      <c r="F765" s="12"/>
      <c r="H765" s="17"/>
      <c r="I765" s="14"/>
      <c r="J765" s="17"/>
      <c r="K765" s="14"/>
      <c r="L765" s="17"/>
    </row>
    <row r="766" ht="18.75" customHeight="1">
      <c r="B766" s="12"/>
      <c r="C766" s="12"/>
      <c r="D766" s="12"/>
      <c r="E766" s="12"/>
      <c r="F766" s="12"/>
      <c r="H766" s="17"/>
      <c r="I766" s="14"/>
      <c r="J766" s="17"/>
      <c r="K766" s="14"/>
      <c r="L766" s="17"/>
    </row>
    <row r="767" ht="18.75" customHeight="1">
      <c r="B767" s="12"/>
      <c r="C767" s="12"/>
      <c r="D767" s="12"/>
      <c r="E767" s="12"/>
      <c r="F767" s="12"/>
      <c r="H767" s="17"/>
      <c r="I767" s="14"/>
      <c r="J767" s="17"/>
      <c r="K767" s="14"/>
      <c r="L767" s="17"/>
    </row>
    <row r="768" ht="18.75" customHeight="1">
      <c r="B768" s="12"/>
      <c r="C768" s="12"/>
      <c r="D768" s="12"/>
      <c r="E768" s="12"/>
      <c r="F768" s="12"/>
      <c r="H768" s="17"/>
      <c r="I768" s="14"/>
      <c r="J768" s="17"/>
      <c r="K768" s="14"/>
      <c r="L768" s="17"/>
    </row>
    <row r="769" ht="18.75" customHeight="1">
      <c r="B769" s="12"/>
      <c r="C769" s="12"/>
      <c r="D769" s="12"/>
      <c r="E769" s="12"/>
      <c r="F769" s="12"/>
      <c r="H769" s="17"/>
      <c r="I769" s="14"/>
      <c r="J769" s="17"/>
      <c r="K769" s="14"/>
      <c r="L769" s="17"/>
    </row>
    <row r="770" ht="18.75" customHeight="1">
      <c r="B770" s="12"/>
      <c r="C770" s="12"/>
      <c r="D770" s="12"/>
      <c r="E770" s="12"/>
      <c r="F770" s="12"/>
      <c r="H770" s="17"/>
      <c r="I770" s="14"/>
      <c r="J770" s="17"/>
      <c r="K770" s="14"/>
      <c r="L770" s="17"/>
    </row>
    <row r="771" ht="18.75" customHeight="1">
      <c r="B771" s="12"/>
      <c r="C771" s="12"/>
      <c r="D771" s="12"/>
      <c r="E771" s="12"/>
      <c r="F771" s="12"/>
      <c r="H771" s="17"/>
      <c r="I771" s="14"/>
      <c r="J771" s="17"/>
      <c r="K771" s="14"/>
      <c r="L771" s="17"/>
    </row>
    <row r="772" ht="18.75" customHeight="1">
      <c r="B772" s="12"/>
      <c r="C772" s="12"/>
      <c r="D772" s="12"/>
      <c r="E772" s="12"/>
      <c r="F772" s="12"/>
      <c r="H772" s="17"/>
      <c r="I772" s="14"/>
      <c r="J772" s="17"/>
      <c r="K772" s="14"/>
      <c r="L772" s="17"/>
    </row>
    <row r="773" ht="18.75" customHeight="1">
      <c r="B773" s="12"/>
      <c r="C773" s="12"/>
      <c r="D773" s="12"/>
      <c r="E773" s="12"/>
      <c r="F773" s="12"/>
      <c r="H773" s="17"/>
      <c r="I773" s="14"/>
      <c r="J773" s="17"/>
      <c r="K773" s="14"/>
      <c r="L773" s="17"/>
    </row>
    <row r="774" ht="18.75" customHeight="1">
      <c r="B774" s="12"/>
      <c r="C774" s="12"/>
      <c r="D774" s="12"/>
      <c r="E774" s="12"/>
      <c r="F774" s="12"/>
      <c r="H774" s="17"/>
      <c r="I774" s="14"/>
      <c r="J774" s="17"/>
      <c r="K774" s="14"/>
      <c r="L774" s="17"/>
    </row>
    <row r="775" ht="18.75" customHeight="1">
      <c r="B775" s="12"/>
      <c r="C775" s="12"/>
      <c r="D775" s="12"/>
      <c r="E775" s="12"/>
      <c r="F775" s="12"/>
      <c r="H775" s="17"/>
      <c r="I775" s="14"/>
      <c r="J775" s="17"/>
      <c r="K775" s="14"/>
      <c r="L775" s="17"/>
    </row>
    <row r="776" ht="18.75" customHeight="1">
      <c r="B776" s="12"/>
      <c r="C776" s="12"/>
      <c r="D776" s="12"/>
      <c r="E776" s="12"/>
      <c r="F776" s="12"/>
      <c r="H776" s="17"/>
      <c r="I776" s="14"/>
      <c r="J776" s="17"/>
      <c r="K776" s="14"/>
      <c r="L776" s="17"/>
    </row>
    <row r="777" ht="18.75" customHeight="1">
      <c r="B777" s="12"/>
      <c r="C777" s="12"/>
      <c r="D777" s="12"/>
      <c r="E777" s="12"/>
      <c r="F777" s="12"/>
      <c r="H777" s="17"/>
      <c r="I777" s="14"/>
      <c r="J777" s="17"/>
      <c r="K777" s="14"/>
      <c r="L777" s="17"/>
    </row>
    <row r="778" ht="18.75" customHeight="1">
      <c r="B778" s="12"/>
      <c r="C778" s="12"/>
      <c r="D778" s="12"/>
      <c r="E778" s="12"/>
      <c r="F778" s="12"/>
      <c r="H778" s="17"/>
      <c r="I778" s="14"/>
      <c r="J778" s="17"/>
      <c r="K778" s="14"/>
      <c r="L778" s="17"/>
    </row>
    <row r="779" ht="18.75" customHeight="1">
      <c r="B779" s="12"/>
      <c r="C779" s="12"/>
      <c r="D779" s="12"/>
      <c r="E779" s="12"/>
      <c r="F779" s="12"/>
      <c r="H779" s="17"/>
      <c r="I779" s="14"/>
      <c r="J779" s="17"/>
      <c r="K779" s="14"/>
      <c r="L779" s="17"/>
    </row>
    <row r="780" ht="18.75" customHeight="1">
      <c r="B780" s="12"/>
      <c r="C780" s="12"/>
      <c r="D780" s="12"/>
      <c r="E780" s="12"/>
      <c r="F780" s="12"/>
      <c r="H780" s="17"/>
      <c r="I780" s="14"/>
      <c r="J780" s="17"/>
      <c r="K780" s="14"/>
      <c r="L780" s="17"/>
    </row>
    <row r="781" ht="18.75" customHeight="1">
      <c r="B781" s="12"/>
      <c r="C781" s="12"/>
      <c r="D781" s="12"/>
      <c r="E781" s="12"/>
      <c r="F781" s="12"/>
      <c r="H781" s="17"/>
      <c r="I781" s="14"/>
      <c r="J781" s="17"/>
      <c r="K781" s="14"/>
      <c r="L781" s="17"/>
    </row>
    <row r="782" ht="18.75" customHeight="1">
      <c r="B782" s="12"/>
      <c r="C782" s="12"/>
      <c r="D782" s="12"/>
      <c r="E782" s="12"/>
      <c r="F782" s="12"/>
      <c r="H782" s="17"/>
      <c r="I782" s="14"/>
      <c r="J782" s="17"/>
      <c r="K782" s="14"/>
      <c r="L782" s="17"/>
    </row>
    <row r="783" ht="18.75" customHeight="1">
      <c r="B783" s="12"/>
      <c r="C783" s="12"/>
      <c r="D783" s="12"/>
      <c r="E783" s="12"/>
      <c r="F783" s="12"/>
      <c r="H783" s="17"/>
      <c r="I783" s="14"/>
      <c r="J783" s="17"/>
      <c r="K783" s="14"/>
      <c r="L783" s="17"/>
    </row>
    <row r="784" ht="18.75" customHeight="1">
      <c r="B784" s="12"/>
      <c r="C784" s="12"/>
      <c r="D784" s="12"/>
      <c r="E784" s="12"/>
      <c r="F784" s="12"/>
      <c r="H784" s="17"/>
      <c r="I784" s="14"/>
      <c r="J784" s="17"/>
      <c r="K784" s="14"/>
      <c r="L784" s="17"/>
    </row>
    <row r="785" ht="18.75" customHeight="1">
      <c r="B785" s="12"/>
      <c r="C785" s="12"/>
      <c r="D785" s="12"/>
      <c r="E785" s="12"/>
      <c r="F785" s="12"/>
      <c r="H785" s="17"/>
      <c r="I785" s="14"/>
      <c r="J785" s="17"/>
      <c r="K785" s="14"/>
      <c r="L785" s="17"/>
    </row>
    <row r="786" ht="18.75" customHeight="1">
      <c r="B786" s="12"/>
      <c r="C786" s="12"/>
      <c r="D786" s="12"/>
      <c r="E786" s="12"/>
      <c r="F786" s="12"/>
      <c r="H786" s="17"/>
      <c r="I786" s="14"/>
      <c r="J786" s="17"/>
      <c r="K786" s="14"/>
      <c r="L786" s="17"/>
    </row>
    <row r="787" ht="18.75" customHeight="1">
      <c r="B787" s="12"/>
      <c r="C787" s="12"/>
      <c r="D787" s="12"/>
      <c r="E787" s="12"/>
      <c r="F787" s="12"/>
      <c r="H787" s="17"/>
      <c r="I787" s="14"/>
      <c r="J787" s="17"/>
      <c r="K787" s="14"/>
      <c r="L787" s="17"/>
    </row>
    <row r="788" ht="18.75" customHeight="1">
      <c r="B788" s="12"/>
      <c r="C788" s="12"/>
      <c r="D788" s="12"/>
      <c r="E788" s="12"/>
      <c r="F788" s="12"/>
      <c r="H788" s="17"/>
      <c r="I788" s="14"/>
      <c r="J788" s="17"/>
      <c r="K788" s="14"/>
      <c r="L788" s="17"/>
    </row>
    <row r="789" ht="18.75" customHeight="1">
      <c r="B789" s="12"/>
      <c r="C789" s="12"/>
      <c r="D789" s="12"/>
      <c r="E789" s="12"/>
      <c r="F789" s="12"/>
      <c r="H789" s="17"/>
      <c r="I789" s="14"/>
      <c r="J789" s="17"/>
      <c r="K789" s="14"/>
      <c r="L789" s="17"/>
    </row>
    <row r="790" ht="18.75" customHeight="1">
      <c r="B790" s="12"/>
      <c r="C790" s="12"/>
      <c r="D790" s="12"/>
      <c r="E790" s="12"/>
      <c r="F790" s="12"/>
      <c r="H790" s="17"/>
      <c r="I790" s="14"/>
      <c r="J790" s="17"/>
      <c r="K790" s="14"/>
      <c r="L790" s="17"/>
    </row>
    <row r="791" ht="18.75" customHeight="1">
      <c r="B791" s="12"/>
      <c r="C791" s="12"/>
      <c r="D791" s="12"/>
      <c r="E791" s="12"/>
      <c r="F791" s="12"/>
      <c r="H791" s="17"/>
      <c r="I791" s="14"/>
      <c r="J791" s="17"/>
      <c r="K791" s="14"/>
      <c r="L791" s="17"/>
    </row>
    <row r="792" ht="18.75" customHeight="1">
      <c r="B792" s="12"/>
      <c r="C792" s="12"/>
      <c r="D792" s="12"/>
      <c r="E792" s="12"/>
      <c r="F792" s="12"/>
      <c r="H792" s="17"/>
      <c r="I792" s="14"/>
      <c r="J792" s="17"/>
      <c r="K792" s="14"/>
      <c r="L792" s="17"/>
    </row>
    <row r="793" ht="18.75" customHeight="1">
      <c r="B793" s="12"/>
      <c r="C793" s="12"/>
      <c r="D793" s="12"/>
      <c r="E793" s="12"/>
      <c r="F793" s="12"/>
      <c r="H793" s="17"/>
      <c r="I793" s="14"/>
      <c r="J793" s="17"/>
      <c r="K793" s="14"/>
      <c r="L793" s="17"/>
    </row>
    <row r="794" ht="18.75" customHeight="1">
      <c r="B794" s="12"/>
      <c r="C794" s="12"/>
      <c r="D794" s="12"/>
      <c r="E794" s="12"/>
      <c r="F794" s="12"/>
      <c r="H794" s="17"/>
      <c r="I794" s="14"/>
      <c r="J794" s="17"/>
      <c r="K794" s="14"/>
      <c r="L794" s="17"/>
    </row>
    <row r="795" ht="18.75" customHeight="1">
      <c r="B795" s="12"/>
      <c r="C795" s="12"/>
      <c r="D795" s="12"/>
      <c r="E795" s="12"/>
      <c r="F795" s="12"/>
      <c r="H795" s="17"/>
      <c r="I795" s="14"/>
      <c r="J795" s="17"/>
      <c r="K795" s="14"/>
      <c r="L795" s="17"/>
    </row>
    <row r="796" ht="18.75" customHeight="1">
      <c r="B796" s="12"/>
      <c r="C796" s="12"/>
      <c r="D796" s="12"/>
      <c r="E796" s="12"/>
      <c r="F796" s="12"/>
      <c r="H796" s="17"/>
      <c r="I796" s="14"/>
      <c r="J796" s="17"/>
      <c r="K796" s="14"/>
      <c r="L796" s="17"/>
    </row>
    <row r="797" ht="18.75" customHeight="1">
      <c r="B797" s="12"/>
      <c r="C797" s="12"/>
      <c r="D797" s="12"/>
      <c r="E797" s="12"/>
      <c r="F797" s="12"/>
      <c r="H797" s="17"/>
      <c r="I797" s="14"/>
      <c r="J797" s="17"/>
      <c r="K797" s="14"/>
      <c r="L797" s="17"/>
    </row>
    <row r="798" ht="18.75" customHeight="1">
      <c r="B798" s="12"/>
      <c r="C798" s="12"/>
      <c r="D798" s="12"/>
      <c r="E798" s="12"/>
      <c r="F798" s="12"/>
      <c r="H798" s="17"/>
      <c r="I798" s="14"/>
      <c r="J798" s="17"/>
      <c r="K798" s="14"/>
      <c r="L798" s="17"/>
    </row>
    <row r="799" ht="18.75" customHeight="1">
      <c r="B799" s="12"/>
      <c r="C799" s="12"/>
      <c r="D799" s="12"/>
      <c r="E799" s="12"/>
      <c r="F799" s="12"/>
      <c r="H799" s="17"/>
      <c r="I799" s="14"/>
      <c r="J799" s="17"/>
      <c r="K799" s="14"/>
      <c r="L799" s="17"/>
    </row>
    <row r="800" ht="18.75" customHeight="1">
      <c r="B800" s="12"/>
      <c r="C800" s="12"/>
      <c r="D800" s="12"/>
      <c r="E800" s="12"/>
      <c r="F800" s="12"/>
      <c r="H800" s="17"/>
      <c r="I800" s="14"/>
      <c r="J800" s="17"/>
      <c r="K800" s="14"/>
      <c r="L800" s="17"/>
    </row>
    <row r="801" ht="18.75" customHeight="1">
      <c r="B801" s="12"/>
      <c r="C801" s="12"/>
      <c r="D801" s="12"/>
      <c r="E801" s="12"/>
      <c r="F801" s="12"/>
      <c r="H801" s="17"/>
      <c r="I801" s="14"/>
      <c r="J801" s="17"/>
      <c r="K801" s="14"/>
      <c r="L801" s="17"/>
    </row>
    <row r="802" ht="18.75" customHeight="1">
      <c r="B802" s="12"/>
      <c r="C802" s="12"/>
      <c r="D802" s="12"/>
      <c r="E802" s="12"/>
      <c r="F802" s="12"/>
      <c r="H802" s="17"/>
      <c r="I802" s="14"/>
      <c r="J802" s="17"/>
      <c r="K802" s="14"/>
      <c r="L802" s="17"/>
    </row>
    <row r="803" ht="18.75" customHeight="1">
      <c r="B803" s="12"/>
      <c r="C803" s="12"/>
      <c r="D803" s="12"/>
      <c r="E803" s="12"/>
      <c r="F803" s="12"/>
      <c r="H803" s="17"/>
      <c r="I803" s="14"/>
      <c r="J803" s="17"/>
      <c r="K803" s="14"/>
      <c r="L803" s="17"/>
    </row>
    <row r="804" ht="18.75" customHeight="1">
      <c r="B804" s="12"/>
      <c r="C804" s="12"/>
      <c r="D804" s="12"/>
      <c r="E804" s="12"/>
      <c r="F804" s="12"/>
      <c r="H804" s="17"/>
      <c r="I804" s="14"/>
      <c r="J804" s="17"/>
      <c r="K804" s="14"/>
      <c r="L804" s="17"/>
    </row>
    <row r="805" ht="18.75" customHeight="1">
      <c r="B805" s="12"/>
      <c r="C805" s="12"/>
      <c r="D805" s="12"/>
      <c r="E805" s="12"/>
      <c r="F805" s="12"/>
      <c r="H805" s="17"/>
      <c r="I805" s="14"/>
      <c r="J805" s="17"/>
      <c r="K805" s="14"/>
      <c r="L805" s="17"/>
    </row>
    <row r="806" ht="18.75" customHeight="1">
      <c r="B806" s="12"/>
      <c r="C806" s="12"/>
      <c r="D806" s="12"/>
      <c r="E806" s="12"/>
      <c r="F806" s="12"/>
      <c r="H806" s="17"/>
      <c r="I806" s="14"/>
      <c r="J806" s="17"/>
      <c r="K806" s="14"/>
      <c r="L806" s="17"/>
    </row>
    <row r="807" ht="18.75" customHeight="1">
      <c r="B807" s="12"/>
      <c r="C807" s="12"/>
      <c r="D807" s="12"/>
      <c r="E807" s="12"/>
      <c r="F807" s="12"/>
      <c r="H807" s="17"/>
      <c r="I807" s="14"/>
      <c r="J807" s="17"/>
      <c r="K807" s="14"/>
      <c r="L807" s="17"/>
    </row>
    <row r="808" ht="18.75" customHeight="1">
      <c r="B808" s="12"/>
      <c r="C808" s="12"/>
      <c r="D808" s="12"/>
      <c r="E808" s="12"/>
      <c r="F808" s="12"/>
      <c r="H808" s="17"/>
      <c r="I808" s="14"/>
      <c r="J808" s="17"/>
      <c r="K808" s="14"/>
      <c r="L808" s="17"/>
    </row>
    <row r="809" ht="18.75" customHeight="1">
      <c r="B809" s="12"/>
      <c r="C809" s="12"/>
      <c r="D809" s="12"/>
      <c r="E809" s="12"/>
      <c r="F809" s="12"/>
      <c r="H809" s="17"/>
      <c r="I809" s="14"/>
      <c r="J809" s="17"/>
      <c r="K809" s="14"/>
      <c r="L809" s="17"/>
    </row>
    <row r="810" ht="18.75" customHeight="1">
      <c r="B810" s="12"/>
      <c r="C810" s="12"/>
      <c r="D810" s="12"/>
      <c r="E810" s="12"/>
      <c r="F810" s="12"/>
      <c r="H810" s="17"/>
      <c r="I810" s="14"/>
      <c r="J810" s="17"/>
      <c r="K810" s="14"/>
      <c r="L810" s="17"/>
    </row>
    <row r="811" ht="18.75" customHeight="1">
      <c r="B811" s="12"/>
      <c r="C811" s="12"/>
      <c r="D811" s="12"/>
      <c r="E811" s="12"/>
      <c r="F811" s="12"/>
      <c r="H811" s="17"/>
      <c r="I811" s="14"/>
      <c r="J811" s="17"/>
      <c r="K811" s="14"/>
      <c r="L811" s="17"/>
    </row>
    <row r="812" ht="18.75" customHeight="1">
      <c r="B812" s="12"/>
      <c r="C812" s="12"/>
      <c r="D812" s="12"/>
      <c r="E812" s="12"/>
      <c r="F812" s="12"/>
      <c r="H812" s="17"/>
      <c r="I812" s="14"/>
      <c r="J812" s="17"/>
      <c r="K812" s="14"/>
      <c r="L812" s="17"/>
    </row>
    <row r="813" ht="18.75" customHeight="1">
      <c r="B813" s="12"/>
      <c r="C813" s="12"/>
      <c r="D813" s="12"/>
      <c r="E813" s="12"/>
      <c r="F813" s="12"/>
      <c r="H813" s="17"/>
      <c r="I813" s="14"/>
      <c r="J813" s="17"/>
      <c r="K813" s="14"/>
      <c r="L813" s="17"/>
    </row>
    <row r="814" ht="18.75" customHeight="1">
      <c r="B814" s="12"/>
      <c r="C814" s="12"/>
      <c r="D814" s="12"/>
      <c r="E814" s="12"/>
      <c r="F814" s="12"/>
      <c r="H814" s="17"/>
      <c r="I814" s="14"/>
      <c r="J814" s="17"/>
      <c r="K814" s="14"/>
      <c r="L814" s="17"/>
    </row>
    <row r="815" ht="18.75" customHeight="1">
      <c r="B815" s="12"/>
      <c r="C815" s="12"/>
      <c r="D815" s="12"/>
      <c r="E815" s="12"/>
      <c r="F815" s="12"/>
      <c r="H815" s="17"/>
      <c r="I815" s="14"/>
      <c r="J815" s="17"/>
      <c r="K815" s="14"/>
      <c r="L815" s="17"/>
    </row>
    <row r="816" ht="18.75" customHeight="1">
      <c r="B816" s="12"/>
      <c r="C816" s="12"/>
      <c r="D816" s="12"/>
      <c r="E816" s="12"/>
      <c r="F816" s="12"/>
      <c r="H816" s="17"/>
      <c r="I816" s="14"/>
      <c r="J816" s="17"/>
      <c r="K816" s="14"/>
      <c r="L816" s="17"/>
    </row>
    <row r="817" ht="18.75" customHeight="1">
      <c r="B817" s="12"/>
      <c r="C817" s="12"/>
      <c r="D817" s="12"/>
      <c r="E817" s="12"/>
      <c r="F817" s="12"/>
      <c r="H817" s="17"/>
      <c r="I817" s="14"/>
      <c r="J817" s="17"/>
      <c r="K817" s="14"/>
      <c r="L817" s="17"/>
    </row>
    <row r="818" ht="18.75" customHeight="1">
      <c r="B818" s="12"/>
      <c r="C818" s="12"/>
      <c r="D818" s="12"/>
      <c r="E818" s="12"/>
      <c r="F818" s="12"/>
      <c r="H818" s="17"/>
      <c r="I818" s="14"/>
      <c r="J818" s="17"/>
      <c r="K818" s="14"/>
      <c r="L818" s="17"/>
    </row>
    <row r="819" ht="18.75" customHeight="1">
      <c r="B819" s="12"/>
      <c r="C819" s="12"/>
      <c r="D819" s="12"/>
      <c r="E819" s="12"/>
      <c r="F819" s="12"/>
      <c r="H819" s="17"/>
      <c r="I819" s="14"/>
      <c r="J819" s="17"/>
      <c r="K819" s="14"/>
      <c r="L819" s="17"/>
    </row>
    <row r="820" ht="18.75" customHeight="1">
      <c r="B820" s="12"/>
      <c r="C820" s="12"/>
      <c r="D820" s="12"/>
      <c r="E820" s="12"/>
      <c r="F820" s="12"/>
      <c r="H820" s="17"/>
      <c r="I820" s="14"/>
      <c r="J820" s="17"/>
      <c r="K820" s="14"/>
      <c r="L820" s="17"/>
    </row>
    <row r="821" ht="18.75" customHeight="1">
      <c r="B821" s="12"/>
      <c r="C821" s="12"/>
      <c r="D821" s="12"/>
      <c r="E821" s="12"/>
      <c r="F821" s="12"/>
      <c r="H821" s="17"/>
      <c r="I821" s="14"/>
      <c r="J821" s="17"/>
      <c r="K821" s="14"/>
      <c r="L821" s="17"/>
    </row>
    <row r="822" ht="18.75" customHeight="1">
      <c r="B822" s="12"/>
      <c r="C822" s="12"/>
      <c r="D822" s="12"/>
      <c r="E822" s="12"/>
      <c r="F822" s="12"/>
      <c r="H822" s="17"/>
      <c r="I822" s="14"/>
      <c r="J822" s="17"/>
      <c r="K822" s="14"/>
      <c r="L822" s="17"/>
    </row>
    <row r="823" ht="18.75" customHeight="1">
      <c r="B823" s="12"/>
      <c r="C823" s="12"/>
      <c r="D823" s="12"/>
      <c r="E823" s="12"/>
      <c r="F823" s="12"/>
      <c r="H823" s="17"/>
      <c r="I823" s="14"/>
      <c r="J823" s="17"/>
      <c r="K823" s="14"/>
      <c r="L823" s="17"/>
    </row>
    <row r="824" ht="18.75" customHeight="1">
      <c r="B824" s="12"/>
      <c r="C824" s="12"/>
      <c r="D824" s="12"/>
      <c r="E824" s="12"/>
      <c r="F824" s="12"/>
      <c r="H824" s="17"/>
      <c r="I824" s="14"/>
      <c r="J824" s="17"/>
      <c r="K824" s="14"/>
      <c r="L824" s="17"/>
    </row>
    <row r="825" ht="18.75" customHeight="1">
      <c r="B825" s="12"/>
      <c r="C825" s="12"/>
      <c r="D825" s="12"/>
      <c r="E825" s="12"/>
      <c r="F825" s="12"/>
      <c r="H825" s="17"/>
      <c r="I825" s="14"/>
      <c r="J825" s="17"/>
      <c r="K825" s="14"/>
      <c r="L825" s="17"/>
    </row>
    <row r="826" ht="18.75" customHeight="1">
      <c r="B826" s="12"/>
      <c r="C826" s="12"/>
      <c r="D826" s="12"/>
      <c r="E826" s="12"/>
      <c r="F826" s="12"/>
      <c r="H826" s="17"/>
      <c r="I826" s="14"/>
      <c r="J826" s="17"/>
      <c r="K826" s="14"/>
      <c r="L826" s="17"/>
    </row>
    <row r="827" ht="18.75" customHeight="1">
      <c r="B827" s="12"/>
      <c r="C827" s="12"/>
      <c r="D827" s="12"/>
      <c r="E827" s="12"/>
      <c r="F827" s="12"/>
      <c r="H827" s="17"/>
      <c r="I827" s="14"/>
      <c r="J827" s="17"/>
      <c r="K827" s="14"/>
      <c r="L827" s="17"/>
    </row>
    <row r="828" ht="18.75" customHeight="1">
      <c r="B828" s="12"/>
      <c r="C828" s="12"/>
      <c r="D828" s="12"/>
      <c r="E828" s="12"/>
      <c r="F828" s="12"/>
      <c r="H828" s="17"/>
      <c r="I828" s="14"/>
      <c r="J828" s="17"/>
      <c r="K828" s="14"/>
      <c r="L828" s="17"/>
    </row>
    <row r="829" ht="18.75" customHeight="1">
      <c r="B829" s="12"/>
      <c r="C829" s="12"/>
      <c r="D829" s="12"/>
      <c r="E829" s="12"/>
      <c r="F829" s="12"/>
      <c r="H829" s="17"/>
      <c r="I829" s="14"/>
      <c r="J829" s="17"/>
      <c r="K829" s="14"/>
      <c r="L829" s="17"/>
    </row>
    <row r="830" ht="18.75" customHeight="1">
      <c r="B830" s="12"/>
      <c r="C830" s="12"/>
      <c r="D830" s="12"/>
      <c r="E830" s="12"/>
      <c r="F830" s="12"/>
      <c r="H830" s="17"/>
      <c r="I830" s="14"/>
      <c r="J830" s="17"/>
      <c r="K830" s="14"/>
      <c r="L830" s="17"/>
    </row>
    <row r="831" ht="18.75" customHeight="1">
      <c r="B831" s="12"/>
      <c r="C831" s="12"/>
      <c r="D831" s="12"/>
      <c r="E831" s="12"/>
      <c r="F831" s="12"/>
      <c r="H831" s="17"/>
      <c r="I831" s="14"/>
      <c r="J831" s="17"/>
      <c r="K831" s="14"/>
      <c r="L831" s="17"/>
    </row>
    <row r="832" ht="18.75" customHeight="1">
      <c r="B832" s="12"/>
      <c r="C832" s="12"/>
      <c r="D832" s="12"/>
      <c r="E832" s="12"/>
      <c r="F832" s="12"/>
      <c r="H832" s="17"/>
      <c r="I832" s="14"/>
      <c r="J832" s="17"/>
      <c r="K832" s="14"/>
      <c r="L832" s="17"/>
    </row>
    <row r="833" ht="18.75" customHeight="1">
      <c r="B833" s="12"/>
      <c r="C833" s="12"/>
      <c r="D833" s="12"/>
      <c r="E833" s="12"/>
      <c r="F833" s="12"/>
      <c r="H833" s="17"/>
      <c r="I833" s="14"/>
      <c r="J833" s="17"/>
      <c r="K833" s="14"/>
      <c r="L833" s="17"/>
    </row>
    <row r="834" ht="18.75" customHeight="1">
      <c r="B834" s="12"/>
      <c r="C834" s="12"/>
      <c r="D834" s="12"/>
      <c r="E834" s="12"/>
      <c r="F834" s="12"/>
      <c r="H834" s="17"/>
      <c r="I834" s="14"/>
      <c r="J834" s="17"/>
      <c r="K834" s="14"/>
      <c r="L834" s="17"/>
    </row>
    <row r="835" ht="18.75" customHeight="1">
      <c r="B835" s="12"/>
      <c r="C835" s="12"/>
      <c r="D835" s="12"/>
      <c r="E835" s="12"/>
      <c r="F835" s="12"/>
      <c r="H835" s="17"/>
      <c r="I835" s="14"/>
      <c r="J835" s="17"/>
      <c r="K835" s="14"/>
      <c r="L835" s="17"/>
    </row>
    <row r="836" ht="18.75" customHeight="1">
      <c r="B836" s="12"/>
      <c r="C836" s="12"/>
      <c r="D836" s="12"/>
      <c r="E836" s="12"/>
      <c r="F836" s="12"/>
      <c r="H836" s="17"/>
      <c r="I836" s="14"/>
      <c r="J836" s="17"/>
      <c r="K836" s="14"/>
      <c r="L836" s="17"/>
    </row>
    <row r="837" ht="18.75" customHeight="1">
      <c r="B837" s="12"/>
      <c r="C837" s="12"/>
      <c r="D837" s="12"/>
      <c r="E837" s="12"/>
      <c r="F837" s="12"/>
      <c r="H837" s="17"/>
      <c r="I837" s="14"/>
      <c r="J837" s="17"/>
      <c r="K837" s="14"/>
      <c r="L837" s="17"/>
    </row>
    <row r="838" ht="18.75" customHeight="1">
      <c r="B838" s="12"/>
      <c r="C838" s="12"/>
      <c r="D838" s="12"/>
      <c r="E838" s="12"/>
      <c r="F838" s="12"/>
      <c r="H838" s="17"/>
      <c r="I838" s="14"/>
      <c r="J838" s="17"/>
      <c r="K838" s="14"/>
      <c r="L838" s="17"/>
    </row>
    <row r="839" ht="18.75" customHeight="1">
      <c r="B839" s="12"/>
      <c r="C839" s="12"/>
      <c r="D839" s="12"/>
      <c r="E839" s="12"/>
      <c r="F839" s="12"/>
      <c r="H839" s="17"/>
      <c r="I839" s="14"/>
      <c r="J839" s="17"/>
      <c r="K839" s="14"/>
      <c r="L839" s="17"/>
    </row>
    <row r="840" ht="18.75" customHeight="1">
      <c r="B840" s="12"/>
      <c r="C840" s="12"/>
      <c r="D840" s="12"/>
      <c r="E840" s="12"/>
      <c r="F840" s="12"/>
      <c r="H840" s="17"/>
      <c r="I840" s="14"/>
      <c r="J840" s="17"/>
      <c r="K840" s="14"/>
      <c r="L840" s="17"/>
    </row>
    <row r="841" ht="18.75" customHeight="1">
      <c r="B841" s="12"/>
      <c r="C841" s="12"/>
      <c r="D841" s="12"/>
      <c r="E841" s="12"/>
      <c r="F841" s="12"/>
      <c r="H841" s="17"/>
      <c r="I841" s="14"/>
      <c r="J841" s="17"/>
      <c r="K841" s="14"/>
      <c r="L841" s="17"/>
    </row>
    <row r="842" ht="18.75" customHeight="1">
      <c r="B842" s="12"/>
      <c r="C842" s="12"/>
      <c r="D842" s="12"/>
      <c r="E842" s="12"/>
      <c r="F842" s="12"/>
      <c r="H842" s="17"/>
      <c r="I842" s="14"/>
      <c r="J842" s="17"/>
      <c r="K842" s="14"/>
      <c r="L842" s="17"/>
    </row>
    <row r="843" ht="18.75" customHeight="1">
      <c r="B843" s="12"/>
      <c r="C843" s="12"/>
      <c r="D843" s="12"/>
      <c r="E843" s="12"/>
      <c r="F843" s="12"/>
      <c r="H843" s="17"/>
      <c r="I843" s="14"/>
      <c r="J843" s="17"/>
      <c r="K843" s="14"/>
      <c r="L843" s="17"/>
    </row>
    <row r="844" ht="18.75" customHeight="1">
      <c r="B844" s="12"/>
      <c r="C844" s="12"/>
      <c r="D844" s="12"/>
      <c r="E844" s="12"/>
      <c r="F844" s="12"/>
      <c r="H844" s="17"/>
      <c r="I844" s="14"/>
      <c r="J844" s="17"/>
      <c r="K844" s="14"/>
      <c r="L844" s="17"/>
    </row>
    <row r="845" ht="18.75" customHeight="1">
      <c r="B845" s="12"/>
      <c r="C845" s="12"/>
      <c r="D845" s="12"/>
      <c r="E845" s="12"/>
      <c r="F845" s="12"/>
      <c r="H845" s="17"/>
      <c r="I845" s="14"/>
      <c r="J845" s="17"/>
      <c r="K845" s="14"/>
      <c r="L845" s="17"/>
    </row>
    <row r="846" ht="18.75" customHeight="1">
      <c r="B846" s="12"/>
      <c r="C846" s="12"/>
      <c r="D846" s="12"/>
      <c r="E846" s="12"/>
      <c r="F846" s="12"/>
      <c r="H846" s="17"/>
      <c r="I846" s="14"/>
      <c r="J846" s="17"/>
      <c r="K846" s="14"/>
      <c r="L846" s="17"/>
    </row>
    <row r="847" ht="18.75" customHeight="1">
      <c r="B847" s="12"/>
      <c r="C847" s="12"/>
      <c r="D847" s="12"/>
      <c r="E847" s="12"/>
      <c r="F847" s="12"/>
      <c r="H847" s="17"/>
      <c r="I847" s="14"/>
      <c r="J847" s="17"/>
      <c r="K847" s="14"/>
      <c r="L847" s="17"/>
    </row>
    <row r="848" ht="18.75" customHeight="1">
      <c r="B848" s="12"/>
      <c r="C848" s="12"/>
      <c r="D848" s="12"/>
      <c r="E848" s="12"/>
      <c r="F848" s="12"/>
      <c r="H848" s="17"/>
      <c r="I848" s="14"/>
      <c r="J848" s="17"/>
      <c r="K848" s="14"/>
      <c r="L848" s="17"/>
    </row>
    <row r="849" ht="18.75" customHeight="1">
      <c r="B849" s="12"/>
      <c r="C849" s="12"/>
      <c r="D849" s="12"/>
      <c r="E849" s="12"/>
      <c r="F849" s="12"/>
      <c r="H849" s="17"/>
      <c r="I849" s="14"/>
      <c r="J849" s="17"/>
      <c r="K849" s="14"/>
      <c r="L849" s="17"/>
    </row>
    <row r="850" ht="18.75" customHeight="1">
      <c r="B850" s="12"/>
      <c r="C850" s="12"/>
      <c r="D850" s="12"/>
      <c r="E850" s="12"/>
      <c r="F850" s="12"/>
      <c r="H850" s="17"/>
      <c r="I850" s="14"/>
      <c r="J850" s="17"/>
      <c r="K850" s="14"/>
      <c r="L850" s="17"/>
    </row>
    <row r="851" ht="18.75" customHeight="1">
      <c r="B851" s="12"/>
      <c r="C851" s="12"/>
      <c r="D851" s="12"/>
      <c r="E851" s="12"/>
      <c r="F851" s="12"/>
      <c r="H851" s="17"/>
      <c r="I851" s="14"/>
      <c r="J851" s="17"/>
      <c r="K851" s="14"/>
      <c r="L851" s="17"/>
    </row>
    <row r="852" ht="18.75" customHeight="1">
      <c r="B852" s="12"/>
      <c r="C852" s="12"/>
      <c r="D852" s="12"/>
      <c r="E852" s="12"/>
      <c r="F852" s="12"/>
      <c r="H852" s="17"/>
      <c r="I852" s="14"/>
      <c r="J852" s="17"/>
      <c r="K852" s="14"/>
      <c r="L852" s="17"/>
    </row>
    <row r="853" ht="18.75" customHeight="1">
      <c r="B853" s="12"/>
      <c r="C853" s="12"/>
      <c r="D853" s="12"/>
      <c r="E853" s="12"/>
      <c r="F853" s="12"/>
      <c r="H853" s="17"/>
      <c r="I853" s="14"/>
      <c r="J853" s="17"/>
      <c r="K853" s="14"/>
      <c r="L853" s="17"/>
    </row>
    <row r="854" ht="18.75" customHeight="1">
      <c r="B854" s="12"/>
      <c r="C854" s="12"/>
      <c r="D854" s="12"/>
      <c r="E854" s="12"/>
      <c r="F854" s="12"/>
      <c r="H854" s="17"/>
      <c r="I854" s="14"/>
      <c r="J854" s="17"/>
      <c r="K854" s="14"/>
      <c r="L854" s="17"/>
    </row>
    <row r="855" ht="18.75" customHeight="1">
      <c r="B855" s="12"/>
      <c r="C855" s="12"/>
      <c r="D855" s="12"/>
      <c r="E855" s="12"/>
      <c r="F855" s="12"/>
      <c r="H855" s="17"/>
      <c r="I855" s="14"/>
      <c r="J855" s="17"/>
      <c r="K855" s="14"/>
      <c r="L855" s="17"/>
    </row>
    <row r="856" ht="18.75" customHeight="1">
      <c r="B856" s="12"/>
      <c r="C856" s="12"/>
      <c r="D856" s="12"/>
      <c r="E856" s="12"/>
      <c r="F856" s="12"/>
      <c r="H856" s="17"/>
      <c r="I856" s="14"/>
      <c r="J856" s="17"/>
      <c r="K856" s="14"/>
      <c r="L856" s="17"/>
    </row>
    <row r="857" ht="18.75" customHeight="1">
      <c r="B857" s="12"/>
      <c r="C857" s="12"/>
      <c r="D857" s="12"/>
      <c r="E857" s="12"/>
      <c r="F857" s="12"/>
      <c r="H857" s="17"/>
      <c r="I857" s="14"/>
      <c r="J857" s="17"/>
      <c r="K857" s="14"/>
      <c r="L857" s="17"/>
    </row>
    <row r="858" ht="18.75" customHeight="1">
      <c r="B858" s="12"/>
      <c r="C858" s="12"/>
      <c r="D858" s="12"/>
      <c r="E858" s="12"/>
      <c r="F858" s="12"/>
      <c r="H858" s="17"/>
      <c r="I858" s="14"/>
      <c r="J858" s="17"/>
      <c r="K858" s="14"/>
      <c r="L858" s="17"/>
    </row>
    <row r="859" ht="18.75" customHeight="1">
      <c r="B859" s="12"/>
      <c r="C859" s="12"/>
      <c r="D859" s="12"/>
      <c r="E859" s="12"/>
      <c r="F859" s="12"/>
      <c r="H859" s="17"/>
      <c r="I859" s="14"/>
      <c r="J859" s="17"/>
      <c r="K859" s="14"/>
      <c r="L859" s="17"/>
    </row>
    <row r="860" ht="18.75" customHeight="1">
      <c r="B860" s="12"/>
      <c r="C860" s="12"/>
      <c r="D860" s="12"/>
      <c r="E860" s="12"/>
      <c r="F860" s="12"/>
      <c r="H860" s="17"/>
      <c r="I860" s="14"/>
      <c r="J860" s="17"/>
      <c r="K860" s="14"/>
      <c r="L860" s="17"/>
    </row>
    <row r="861" ht="18.75" customHeight="1">
      <c r="B861" s="12"/>
      <c r="C861" s="12"/>
      <c r="D861" s="12"/>
      <c r="E861" s="12"/>
      <c r="F861" s="12"/>
      <c r="H861" s="17"/>
      <c r="I861" s="14"/>
      <c r="J861" s="17"/>
      <c r="K861" s="14"/>
      <c r="L861" s="17"/>
    </row>
    <row r="862" ht="18.75" customHeight="1">
      <c r="B862" s="12"/>
      <c r="C862" s="12"/>
      <c r="D862" s="12"/>
      <c r="E862" s="12"/>
      <c r="F862" s="12"/>
      <c r="H862" s="17"/>
      <c r="I862" s="14"/>
      <c r="J862" s="17"/>
      <c r="K862" s="14"/>
      <c r="L862" s="17"/>
    </row>
    <row r="863" ht="18.75" customHeight="1">
      <c r="B863" s="12"/>
      <c r="C863" s="12"/>
      <c r="D863" s="12"/>
      <c r="E863" s="12"/>
      <c r="F863" s="12"/>
      <c r="H863" s="17"/>
      <c r="I863" s="14"/>
      <c r="J863" s="17"/>
      <c r="K863" s="14"/>
      <c r="L863" s="17"/>
    </row>
    <row r="864" ht="18.75" customHeight="1">
      <c r="B864" s="12"/>
      <c r="C864" s="12"/>
      <c r="D864" s="12"/>
      <c r="E864" s="12"/>
      <c r="F864" s="12"/>
      <c r="H864" s="17"/>
      <c r="I864" s="14"/>
      <c r="J864" s="17"/>
      <c r="K864" s="14"/>
      <c r="L864" s="17"/>
    </row>
    <row r="865" ht="18.75" customHeight="1">
      <c r="B865" s="12"/>
      <c r="C865" s="12"/>
      <c r="D865" s="12"/>
      <c r="E865" s="12"/>
      <c r="F865" s="12"/>
      <c r="H865" s="17"/>
      <c r="I865" s="14"/>
      <c r="J865" s="17"/>
      <c r="K865" s="14"/>
      <c r="L865" s="17"/>
    </row>
    <row r="866" ht="18.75" customHeight="1">
      <c r="B866" s="12"/>
      <c r="C866" s="12"/>
      <c r="D866" s="12"/>
      <c r="E866" s="12"/>
      <c r="F866" s="12"/>
      <c r="H866" s="17"/>
      <c r="I866" s="14"/>
      <c r="J866" s="17"/>
      <c r="K866" s="14"/>
      <c r="L866" s="17"/>
    </row>
    <row r="867" ht="18.75" customHeight="1">
      <c r="B867" s="12"/>
      <c r="C867" s="12"/>
      <c r="D867" s="12"/>
      <c r="E867" s="12"/>
      <c r="F867" s="12"/>
      <c r="H867" s="17"/>
      <c r="I867" s="14"/>
      <c r="J867" s="17"/>
      <c r="K867" s="14"/>
      <c r="L867" s="17"/>
    </row>
    <row r="868" ht="18.75" customHeight="1">
      <c r="B868" s="12"/>
      <c r="C868" s="12"/>
      <c r="D868" s="12"/>
      <c r="E868" s="12"/>
      <c r="F868" s="12"/>
      <c r="H868" s="17"/>
      <c r="I868" s="14"/>
      <c r="J868" s="17"/>
      <c r="K868" s="14"/>
      <c r="L868" s="17"/>
    </row>
    <row r="869" ht="18.75" customHeight="1">
      <c r="B869" s="12"/>
      <c r="C869" s="12"/>
      <c r="D869" s="12"/>
      <c r="E869" s="12"/>
      <c r="F869" s="12"/>
      <c r="H869" s="17"/>
      <c r="I869" s="14"/>
      <c r="J869" s="17"/>
      <c r="K869" s="14"/>
      <c r="L869" s="17"/>
    </row>
    <row r="870" ht="18.75" customHeight="1">
      <c r="B870" s="12"/>
      <c r="C870" s="12"/>
      <c r="D870" s="12"/>
      <c r="E870" s="12"/>
      <c r="F870" s="12"/>
      <c r="H870" s="17"/>
      <c r="I870" s="14"/>
      <c r="J870" s="17"/>
      <c r="K870" s="14"/>
      <c r="L870" s="17"/>
    </row>
    <row r="871" ht="18.75" customHeight="1">
      <c r="B871" s="12"/>
      <c r="C871" s="12"/>
      <c r="D871" s="12"/>
      <c r="E871" s="12"/>
      <c r="F871" s="12"/>
      <c r="H871" s="17"/>
      <c r="I871" s="14"/>
      <c r="J871" s="17"/>
      <c r="K871" s="14"/>
      <c r="L871" s="17"/>
    </row>
    <row r="872" ht="18.75" customHeight="1">
      <c r="B872" s="12"/>
      <c r="C872" s="12"/>
      <c r="D872" s="12"/>
      <c r="E872" s="12"/>
      <c r="F872" s="12"/>
      <c r="H872" s="17"/>
      <c r="I872" s="14"/>
      <c r="J872" s="17"/>
      <c r="K872" s="14"/>
      <c r="L872" s="17"/>
    </row>
    <row r="873" ht="18.75" customHeight="1">
      <c r="B873" s="12"/>
      <c r="C873" s="12"/>
      <c r="D873" s="12"/>
      <c r="E873" s="12"/>
      <c r="F873" s="12"/>
      <c r="H873" s="17"/>
      <c r="I873" s="14"/>
      <c r="J873" s="17"/>
      <c r="K873" s="14"/>
      <c r="L873" s="17"/>
    </row>
    <row r="874" ht="18.75" customHeight="1">
      <c r="B874" s="12"/>
      <c r="C874" s="12"/>
      <c r="D874" s="12"/>
      <c r="E874" s="12"/>
      <c r="F874" s="12"/>
      <c r="H874" s="17"/>
      <c r="I874" s="14"/>
      <c r="J874" s="17"/>
      <c r="K874" s="14"/>
      <c r="L874" s="17"/>
    </row>
    <row r="875" ht="18.75" customHeight="1">
      <c r="B875" s="12"/>
      <c r="C875" s="12"/>
      <c r="D875" s="12"/>
      <c r="E875" s="12"/>
      <c r="F875" s="12"/>
      <c r="H875" s="17"/>
      <c r="I875" s="14"/>
      <c r="J875" s="17"/>
      <c r="K875" s="14"/>
      <c r="L875" s="17"/>
    </row>
    <row r="876" ht="18.75" customHeight="1">
      <c r="B876" s="12"/>
      <c r="C876" s="12"/>
      <c r="D876" s="12"/>
      <c r="E876" s="12"/>
      <c r="F876" s="12"/>
      <c r="H876" s="17"/>
      <c r="I876" s="14"/>
      <c r="J876" s="17"/>
      <c r="K876" s="14"/>
      <c r="L876" s="17"/>
    </row>
    <row r="877" ht="18.75" customHeight="1">
      <c r="B877" s="12"/>
      <c r="C877" s="12"/>
      <c r="D877" s="12"/>
      <c r="E877" s="12"/>
      <c r="F877" s="12"/>
      <c r="H877" s="17"/>
      <c r="I877" s="14"/>
      <c r="J877" s="17"/>
      <c r="K877" s="14"/>
      <c r="L877" s="17"/>
    </row>
    <row r="878" ht="18.75" customHeight="1">
      <c r="B878" s="12"/>
      <c r="C878" s="12"/>
      <c r="D878" s="12"/>
      <c r="E878" s="12"/>
      <c r="F878" s="12"/>
      <c r="H878" s="17"/>
      <c r="I878" s="14"/>
      <c r="J878" s="17"/>
      <c r="K878" s="14"/>
      <c r="L878" s="17"/>
    </row>
    <row r="879" ht="18.75" customHeight="1">
      <c r="B879" s="12"/>
      <c r="C879" s="12"/>
      <c r="D879" s="12"/>
      <c r="E879" s="12"/>
      <c r="F879" s="12"/>
      <c r="H879" s="17"/>
      <c r="I879" s="14"/>
      <c r="J879" s="17"/>
      <c r="K879" s="14"/>
      <c r="L879" s="17"/>
    </row>
    <row r="880" ht="18.75" customHeight="1">
      <c r="B880" s="12"/>
      <c r="C880" s="12"/>
      <c r="D880" s="12"/>
      <c r="E880" s="12"/>
      <c r="F880" s="12"/>
      <c r="H880" s="17"/>
      <c r="I880" s="14"/>
      <c r="J880" s="17"/>
      <c r="K880" s="14"/>
      <c r="L880" s="17"/>
    </row>
    <row r="881" ht="18.75" customHeight="1">
      <c r="B881" s="12"/>
      <c r="C881" s="12"/>
      <c r="D881" s="12"/>
      <c r="E881" s="12"/>
      <c r="F881" s="12"/>
      <c r="H881" s="17"/>
      <c r="I881" s="14"/>
      <c r="J881" s="17"/>
      <c r="K881" s="14"/>
      <c r="L881" s="17"/>
    </row>
    <row r="882" ht="18.75" customHeight="1">
      <c r="B882" s="12"/>
      <c r="C882" s="12"/>
      <c r="D882" s="12"/>
      <c r="E882" s="12"/>
      <c r="F882" s="12"/>
      <c r="H882" s="17"/>
      <c r="I882" s="14"/>
      <c r="J882" s="17"/>
      <c r="K882" s="14"/>
      <c r="L882" s="17"/>
    </row>
    <row r="883" ht="18.75" customHeight="1">
      <c r="B883" s="12"/>
      <c r="C883" s="12"/>
      <c r="D883" s="12"/>
      <c r="E883" s="12"/>
      <c r="F883" s="12"/>
      <c r="H883" s="17"/>
      <c r="I883" s="14"/>
      <c r="J883" s="17"/>
      <c r="K883" s="14"/>
      <c r="L883" s="17"/>
    </row>
    <row r="884" ht="18.75" customHeight="1">
      <c r="B884" s="12"/>
      <c r="C884" s="12"/>
      <c r="D884" s="12"/>
      <c r="E884" s="12"/>
      <c r="F884" s="12"/>
      <c r="H884" s="17"/>
      <c r="I884" s="14"/>
      <c r="J884" s="17"/>
      <c r="K884" s="14"/>
      <c r="L884" s="17"/>
    </row>
    <row r="885" ht="18.75" customHeight="1">
      <c r="B885" s="12"/>
      <c r="C885" s="12"/>
      <c r="D885" s="12"/>
      <c r="E885" s="12"/>
      <c r="F885" s="12"/>
      <c r="H885" s="17"/>
      <c r="I885" s="14"/>
      <c r="J885" s="17"/>
      <c r="K885" s="14"/>
      <c r="L885" s="17"/>
    </row>
    <row r="886" ht="18.75" customHeight="1">
      <c r="B886" s="12"/>
      <c r="C886" s="12"/>
      <c r="D886" s="12"/>
      <c r="E886" s="12"/>
      <c r="F886" s="12"/>
      <c r="H886" s="17"/>
      <c r="I886" s="14"/>
      <c r="J886" s="17"/>
      <c r="K886" s="14"/>
      <c r="L886" s="17"/>
    </row>
    <row r="887" ht="18.75" customHeight="1">
      <c r="B887" s="12"/>
      <c r="C887" s="12"/>
      <c r="D887" s="12"/>
      <c r="E887" s="12"/>
      <c r="F887" s="12"/>
      <c r="H887" s="17"/>
      <c r="I887" s="14"/>
      <c r="J887" s="17"/>
      <c r="K887" s="14"/>
      <c r="L887" s="17"/>
    </row>
    <row r="888" ht="18.75" customHeight="1">
      <c r="B888" s="12"/>
      <c r="C888" s="12"/>
      <c r="D888" s="12"/>
      <c r="E888" s="12"/>
      <c r="F888" s="12"/>
      <c r="H888" s="17"/>
      <c r="I888" s="14"/>
      <c r="J888" s="17"/>
      <c r="K888" s="14"/>
      <c r="L888" s="17"/>
    </row>
    <row r="889" ht="18.75" customHeight="1">
      <c r="B889" s="12"/>
      <c r="C889" s="12"/>
      <c r="D889" s="12"/>
      <c r="E889" s="12"/>
      <c r="F889" s="12"/>
      <c r="H889" s="17"/>
      <c r="I889" s="14"/>
      <c r="J889" s="17"/>
      <c r="K889" s="14"/>
      <c r="L889" s="17"/>
    </row>
    <row r="890" ht="18.75" customHeight="1">
      <c r="B890" s="12"/>
      <c r="C890" s="12"/>
      <c r="D890" s="12"/>
      <c r="E890" s="12"/>
      <c r="F890" s="12"/>
      <c r="H890" s="17"/>
      <c r="I890" s="14"/>
      <c r="J890" s="17"/>
      <c r="K890" s="14"/>
      <c r="L890" s="17"/>
    </row>
    <row r="891" ht="18.75" customHeight="1">
      <c r="B891" s="12"/>
      <c r="C891" s="12"/>
      <c r="D891" s="12"/>
      <c r="E891" s="12"/>
      <c r="F891" s="12"/>
      <c r="H891" s="17"/>
      <c r="I891" s="14"/>
      <c r="J891" s="17"/>
      <c r="K891" s="14"/>
      <c r="L891" s="17"/>
    </row>
    <row r="892" ht="18.75" customHeight="1">
      <c r="B892" s="12"/>
      <c r="C892" s="12"/>
      <c r="D892" s="12"/>
      <c r="E892" s="12"/>
      <c r="F892" s="12"/>
      <c r="H892" s="17"/>
      <c r="I892" s="14"/>
      <c r="J892" s="17"/>
      <c r="K892" s="14"/>
      <c r="L892" s="17"/>
    </row>
    <row r="893" ht="18.75" customHeight="1">
      <c r="B893" s="12"/>
      <c r="C893" s="12"/>
      <c r="D893" s="12"/>
      <c r="E893" s="12"/>
      <c r="F893" s="12"/>
      <c r="H893" s="17"/>
      <c r="I893" s="14"/>
      <c r="J893" s="17"/>
      <c r="K893" s="14"/>
      <c r="L893" s="17"/>
    </row>
    <row r="894" ht="18.75" customHeight="1">
      <c r="B894" s="12"/>
      <c r="C894" s="12"/>
      <c r="D894" s="12"/>
      <c r="E894" s="12"/>
      <c r="F894" s="12"/>
      <c r="H894" s="17"/>
      <c r="I894" s="14"/>
      <c r="J894" s="17"/>
      <c r="K894" s="14"/>
      <c r="L894" s="17"/>
    </row>
    <row r="895" ht="18.75" customHeight="1">
      <c r="B895" s="12"/>
      <c r="C895" s="12"/>
      <c r="D895" s="12"/>
      <c r="E895" s="12"/>
      <c r="F895" s="12"/>
      <c r="H895" s="17"/>
      <c r="I895" s="14"/>
      <c r="J895" s="17"/>
      <c r="K895" s="14"/>
      <c r="L895" s="17"/>
    </row>
    <row r="896" ht="18.75" customHeight="1">
      <c r="B896" s="12"/>
      <c r="C896" s="12"/>
      <c r="D896" s="12"/>
      <c r="E896" s="12"/>
      <c r="F896" s="12"/>
      <c r="H896" s="17"/>
      <c r="I896" s="14"/>
      <c r="J896" s="17"/>
      <c r="K896" s="14"/>
      <c r="L896" s="17"/>
    </row>
    <row r="897" ht="18.75" customHeight="1">
      <c r="B897" s="12"/>
      <c r="C897" s="12"/>
      <c r="D897" s="12"/>
      <c r="E897" s="12"/>
      <c r="F897" s="12"/>
      <c r="H897" s="17"/>
      <c r="I897" s="14"/>
      <c r="J897" s="17"/>
      <c r="K897" s="14"/>
      <c r="L897" s="17"/>
    </row>
    <row r="898" ht="18.75" customHeight="1">
      <c r="B898" s="12"/>
      <c r="C898" s="12"/>
      <c r="D898" s="12"/>
      <c r="E898" s="12"/>
      <c r="F898" s="12"/>
      <c r="H898" s="17"/>
      <c r="I898" s="14"/>
      <c r="J898" s="17"/>
      <c r="K898" s="14"/>
      <c r="L898" s="17"/>
    </row>
    <row r="899" ht="18.75" customHeight="1">
      <c r="B899" s="12"/>
      <c r="C899" s="12"/>
      <c r="D899" s="12"/>
      <c r="E899" s="12"/>
      <c r="F899" s="12"/>
      <c r="H899" s="17"/>
      <c r="I899" s="14"/>
      <c r="J899" s="17"/>
      <c r="K899" s="14"/>
      <c r="L899" s="17"/>
    </row>
    <row r="900" ht="18.75" customHeight="1">
      <c r="B900" s="12"/>
      <c r="C900" s="12"/>
      <c r="D900" s="12"/>
      <c r="E900" s="12"/>
      <c r="F900" s="12"/>
      <c r="H900" s="17"/>
      <c r="I900" s="14"/>
      <c r="J900" s="17"/>
      <c r="K900" s="14"/>
      <c r="L900" s="17"/>
    </row>
    <row r="901" ht="18.75" customHeight="1">
      <c r="B901" s="12"/>
      <c r="C901" s="12"/>
      <c r="D901" s="12"/>
      <c r="E901" s="12"/>
      <c r="F901" s="12"/>
      <c r="H901" s="17"/>
      <c r="I901" s="14"/>
      <c r="J901" s="17"/>
      <c r="K901" s="14"/>
      <c r="L901" s="17"/>
    </row>
    <row r="902" ht="18.75" customHeight="1">
      <c r="B902" s="12"/>
      <c r="C902" s="12"/>
      <c r="D902" s="12"/>
      <c r="E902" s="12"/>
      <c r="F902" s="12"/>
      <c r="H902" s="17"/>
      <c r="I902" s="14"/>
      <c r="J902" s="17"/>
      <c r="K902" s="14"/>
      <c r="L902" s="17"/>
    </row>
    <row r="903" ht="18.75" customHeight="1">
      <c r="B903" s="12"/>
      <c r="C903" s="12"/>
      <c r="D903" s="12"/>
      <c r="E903" s="12"/>
      <c r="F903" s="12"/>
      <c r="H903" s="17"/>
      <c r="I903" s="14"/>
      <c r="J903" s="17"/>
      <c r="K903" s="14"/>
      <c r="L903" s="17"/>
    </row>
    <row r="904" ht="18.75" customHeight="1">
      <c r="B904" s="12"/>
      <c r="C904" s="12"/>
      <c r="D904" s="12"/>
      <c r="E904" s="12"/>
      <c r="F904" s="12"/>
      <c r="H904" s="17"/>
      <c r="I904" s="14"/>
      <c r="J904" s="17"/>
      <c r="K904" s="14"/>
      <c r="L904" s="17"/>
    </row>
    <row r="905" ht="18.75" customHeight="1">
      <c r="B905" s="12"/>
      <c r="C905" s="12"/>
      <c r="D905" s="12"/>
      <c r="E905" s="12"/>
      <c r="F905" s="12"/>
      <c r="H905" s="17"/>
      <c r="I905" s="14"/>
      <c r="J905" s="17"/>
      <c r="K905" s="14"/>
      <c r="L905" s="17"/>
    </row>
    <row r="906" ht="18.75" customHeight="1">
      <c r="B906" s="12"/>
      <c r="C906" s="12"/>
      <c r="D906" s="12"/>
      <c r="E906" s="12"/>
      <c r="F906" s="12"/>
      <c r="H906" s="17"/>
      <c r="I906" s="14"/>
      <c r="J906" s="17"/>
      <c r="K906" s="14"/>
      <c r="L906" s="17"/>
    </row>
    <row r="907" ht="18.75" customHeight="1">
      <c r="B907" s="12"/>
      <c r="C907" s="12"/>
      <c r="D907" s="12"/>
      <c r="E907" s="12"/>
      <c r="F907" s="12"/>
      <c r="H907" s="17"/>
      <c r="I907" s="14"/>
      <c r="J907" s="17"/>
      <c r="K907" s="14"/>
      <c r="L907" s="17"/>
    </row>
    <row r="908" ht="18.75" customHeight="1">
      <c r="B908" s="12"/>
      <c r="C908" s="12"/>
      <c r="D908" s="12"/>
      <c r="E908" s="12"/>
      <c r="F908" s="12"/>
      <c r="H908" s="17"/>
      <c r="I908" s="14"/>
      <c r="J908" s="17"/>
      <c r="K908" s="14"/>
      <c r="L908" s="17"/>
    </row>
    <row r="909" ht="18.75" customHeight="1">
      <c r="B909" s="12"/>
      <c r="C909" s="12"/>
      <c r="D909" s="12"/>
      <c r="E909" s="12"/>
      <c r="F909" s="12"/>
      <c r="H909" s="17"/>
      <c r="I909" s="14"/>
      <c r="J909" s="17"/>
      <c r="K909" s="14"/>
      <c r="L909" s="17"/>
    </row>
    <row r="910" ht="18.75" customHeight="1">
      <c r="B910" s="12"/>
      <c r="C910" s="12"/>
      <c r="D910" s="12"/>
      <c r="E910" s="12"/>
      <c r="F910" s="12"/>
      <c r="H910" s="17"/>
      <c r="I910" s="14"/>
      <c r="J910" s="17"/>
      <c r="K910" s="14"/>
      <c r="L910" s="17"/>
    </row>
    <row r="911" ht="18.75" customHeight="1">
      <c r="B911" s="12"/>
      <c r="C911" s="12"/>
      <c r="D911" s="12"/>
      <c r="E911" s="12"/>
      <c r="F911" s="12"/>
      <c r="H911" s="17"/>
      <c r="I911" s="14"/>
      <c r="J911" s="17"/>
      <c r="K911" s="14"/>
      <c r="L911" s="17"/>
    </row>
    <row r="912" ht="18.75" customHeight="1">
      <c r="B912" s="12"/>
      <c r="C912" s="12"/>
      <c r="D912" s="12"/>
      <c r="E912" s="12"/>
      <c r="F912" s="12"/>
      <c r="H912" s="17"/>
      <c r="I912" s="14"/>
      <c r="J912" s="17"/>
      <c r="K912" s="14"/>
      <c r="L912" s="17"/>
    </row>
    <row r="913" ht="18.75" customHeight="1">
      <c r="B913" s="12"/>
      <c r="C913" s="12"/>
      <c r="D913" s="12"/>
      <c r="E913" s="12"/>
      <c r="F913" s="12"/>
      <c r="H913" s="17"/>
      <c r="I913" s="14"/>
      <c r="J913" s="17"/>
      <c r="K913" s="14"/>
      <c r="L913" s="17"/>
    </row>
    <row r="914" ht="18.75" customHeight="1">
      <c r="B914" s="12"/>
      <c r="C914" s="12"/>
      <c r="D914" s="12"/>
      <c r="E914" s="12"/>
      <c r="F914" s="12"/>
      <c r="H914" s="17"/>
      <c r="I914" s="14"/>
      <c r="J914" s="17"/>
      <c r="K914" s="14"/>
      <c r="L914" s="17"/>
    </row>
    <row r="915" ht="18.75" customHeight="1">
      <c r="B915" s="12"/>
      <c r="C915" s="12"/>
      <c r="D915" s="12"/>
      <c r="E915" s="12"/>
      <c r="F915" s="12"/>
      <c r="H915" s="17"/>
      <c r="I915" s="14"/>
      <c r="J915" s="17"/>
      <c r="K915" s="14"/>
      <c r="L915" s="17"/>
    </row>
    <row r="916" ht="18.75" customHeight="1">
      <c r="B916" s="12"/>
      <c r="C916" s="12"/>
      <c r="D916" s="12"/>
      <c r="E916" s="12"/>
      <c r="F916" s="12"/>
      <c r="H916" s="17"/>
      <c r="I916" s="14"/>
      <c r="J916" s="17"/>
      <c r="K916" s="14"/>
      <c r="L916" s="17"/>
    </row>
    <row r="917" ht="18.75" customHeight="1">
      <c r="B917" s="12"/>
      <c r="C917" s="12"/>
      <c r="D917" s="12"/>
      <c r="E917" s="12"/>
      <c r="F917" s="12"/>
      <c r="H917" s="17"/>
      <c r="I917" s="14"/>
      <c r="J917" s="17"/>
      <c r="K917" s="14"/>
      <c r="L917" s="17"/>
    </row>
    <row r="918" ht="18.75" customHeight="1">
      <c r="B918" s="12"/>
      <c r="C918" s="12"/>
      <c r="D918" s="12"/>
      <c r="E918" s="12"/>
      <c r="F918" s="12"/>
      <c r="H918" s="17"/>
      <c r="I918" s="14"/>
      <c r="J918" s="17"/>
      <c r="K918" s="14"/>
      <c r="L918" s="17"/>
    </row>
    <row r="919" ht="18.75" customHeight="1">
      <c r="B919" s="12"/>
      <c r="C919" s="12"/>
      <c r="D919" s="12"/>
      <c r="E919" s="12"/>
      <c r="F919" s="12"/>
      <c r="H919" s="17"/>
      <c r="I919" s="14"/>
      <c r="J919" s="17"/>
      <c r="K919" s="14"/>
      <c r="L919" s="17"/>
    </row>
    <row r="920" ht="18.75" customHeight="1">
      <c r="B920" s="12"/>
      <c r="C920" s="12"/>
      <c r="D920" s="12"/>
      <c r="E920" s="12"/>
      <c r="F920" s="12"/>
      <c r="H920" s="17"/>
      <c r="I920" s="14"/>
      <c r="J920" s="17"/>
      <c r="K920" s="14"/>
      <c r="L920" s="17"/>
    </row>
    <row r="921" ht="18.75" customHeight="1">
      <c r="B921" s="12"/>
      <c r="C921" s="12"/>
      <c r="D921" s="12"/>
      <c r="E921" s="12"/>
      <c r="F921" s="12"/>
      <c r="H921" s="17"/>
      <c r="I921" s="14"/>
      <c r="J921" s="17"/>
      <c r="K921" s="14"/>
      <c r="L921" s="17"/>
    </row>
    <row r="922" ht="18.75" customHeight="1">
      <c r="B922" s="12"/>
      <c r="C922" s="12"/>
      <c r="D922" s="12"/>
      <c r="E922" s="12"/>
      <c r="F922" s="12"/>
      <c r="H922" s="17"/>
      <c r="I922" s="14"/>
      <c r="J922" s="17"/>
      <c r="K922" s="14"/>
      <c r="L922" s="17"/>
    </row>
    <row r="923" ht="18.75" customHeight="1">
      <c r="B923" s="12"/>
      <c r="C923" s="12"/>
      <c r="D923" s="12"/>
      <c r="E923" s="12"/>
      <c r="F923" s="12"/>
      <c r="H923" s="17"/>
      <c r="I923" s="14"/>
      <c r="J923" s="17"/>
      <c r="K923" s="14"/>
      <c r="L923" s="17"/>
    </row>
    <row r="924" ht="18.75" customHeight="1">
      <c r="B924" s="12"/>
      <c r="C924" s="12"/>
      <c r="D924" s="12"/>
      <c r="E924" s="12"/>
      <c r="F924" s="12"/>
      <c r="H924" s="17"/>
      <c r="I924" s="14"/>
      <c r="J924" s="17"/>
      <c r="K924" s="14"/>
      <c r="L924" s="17"/>
    </row>
    <row r="925" ht="18.75" customHeight="1">
      <c r="B925" s="12"/>
      <c r="C925" s="12"/>
      <c r="D925" s="12"/>
      <c r="E925" s="12"/>
      <c r="F925" s="12"/>
      <c r="H925" s="17"/>
      <c r="I925" s="14"/>
      <c r="J925" s="17"/>
      <c r="K925" s="14"/>
      <c r="L925" s="17"/>
    </row>
    <row r="926" ht="18.75" customHeight="1">
      <c r="B926" s="12"/>
      <c r="C926" s="12"/>
      <c r="D926" s="12"/>
      <c r="E926" s="12"/>
      <c r="F926" s="12"/>
      <c r="H926" s="17"/>
      <c r="I926" s="14"/>
      <c r="J926" s="17"/>
      <c r="K926" s="14"/>
      <c r="L926" s="17"/>
    </row>
    <row r="927" ht="18.75" customHeight="1">
      <c r="B927" s="12"/>
      <c r="C927" s="12"/>
      <c r="D927" s="12"/>
      <c r="E927" s="12"/>
      <c r="F927" s="12"/>
      <c r="H927" s="17"/>
      <c r="I927" s="14"/>
      <c r="J927" s="17"/>
      <c r="K927" s="14"/>
      <c r="L927" s="17"/>
    </row>
    <row r="928" ht="18.75" customHeight="1">
      <c r="B928" s="12"/>
      <c r="C928" s="12"/>
      <c r="D928" s="12"/>
      <c r="E928" s="12"/>
      <c r="F928" s="12"/>
      <c r="H928" s="17"/>
      <c r="I928" s="14"/>
      <c r="J928" s="17"/>
      <c r="K928" s="14"/>
      <c r="L928" s="17"/>
    </row>
    <row r="929" ht="18.75" customHeight="1">
      <c r="B929" s="12"/>
      <c r="C929" s="12"/>
      <c r="D929" s="12"/>
      <c r="E929" s="12"/>
      <c r="F929" s="12"/>
      <c r="H929" s="17"/>
      <c r="I929" s="14"/>
      <c r="J929" s="17"/>
      <c r="K929" s="14"/>
      <c r="L929" s="17"/>
    </row>
    <row r="930" ht="18.75" customHeight="1">
      <c r="B930" s="12"/>
      <c r="C930" s="12"/>
      <c r="D930" s="12"/>
      <c r="E930" s="12"/>
      <c r="F930" s="12"/>
      <c r="H930" s="17"/>
      <c r="I930" s="14"/>
      <c r="J930" s="17"/>
      <c r="K930" s="14"/>
      <c r="L930" s="17"/>
    </row>
    <row r="931" ht="18.75" customHeight="1">
      <c r="B931" s="12"/>
      <c r="C931" s="12"/>
      <c r="D931" s="12"/>
      <c r="E931" s="12"/>
      <c r="F931" s="12"/>
      <c r="H931" s="17"/>
      <c r="I931" s="14"/>
      <c r="J931" s="17"/>
      <c r="K931" s="14"/>
      <c r="L931" s="17"/>
    </row>
    <row r="932" ht="18.75" customHeight="1">
      <c r="B932" s="12"/>
      <c r="C932" s="12"/>
      <c r="D932" s="12"/>
      <c r="E932" s="12"/>
      <c r="F932" s="12"/>
      <c r="H932" s="17"/>
      <c r="I932" s="14"/>
      <c r="J932" s="17"/>
      <c r="K932" s="14"/>
      <c r="L932" s="17"/>
    </row>
    <row r="933" ht="18.75" customHeight="1">
      <c r="B933" s="12"/>
      <c r="C933" s="12"/>
      <c r="D933" s="12"/>
      <c r="E933" s="12"/>
      <c r="F933" s="12"/>
      <c r="H933" s="17"/>
      <c r="I933" s="14"/>
      <c r="J933" s="17"/>
      <c r="K933" s="14"/>
      <c r="L933" s="17"/>
    </row>
    <row r="934" ht="18.75" customHeight="1">
      <c r="B934" s="12"/>
      <c r="C934" s="12"/>
      <c r="D934" s="12"/>
      <c r="E934" s="12"/>
      <c r="F934" s="12"/>
      <c r="H934" s="17"/>
      <c r="I934" s="14"/>
      <c r="J934" s="17"/>
      <c r="K934" s="14"/>
      <c r="L934" s="17"/>
    </row>
    <row r="935" ht="18.75" customHeight="1">
      <c r="B935" s="12"/>
      <c r="C935" s="12"/>
      <c r="D935" s="12"/>
      <c r="E935" s="12"/>
      <c r="F935" s="12"/>
      <c r="H935" s="17"/>
      <c r="I935" s="14"/>
      <c r="J935" s="17"/>
      <c r="K935" s="14"/>
      <c r="L935" s="17"/>
    </row>
    <row r="936" ht="18.75" customHeight="1">
      <c r="B936" s="12"/>
      <c r="C936" s="12"/>
      <c r="D936" s="12"/>
      <c r="E936" s="12"/>
      <c r="F936" s="12"/>
      <c r="H936" s="17"/>
      <c r="I936" s="14"/>
      <c r="J936" s="17"/>
      <c r="K936" s="14"/>
      <c r="L936" s="17"/>
    </row>
    <row r="937" ht="18.75" customHeight="1">
      <c r="B937" s="12"/>
      <c r="C937" s="12"/>
      <c r="D937" s="12"/>
      <c r="E937" s="12"/>
      <c r="F937" s="12"/>
      <c r="H937" s="17"/>
      <c r="I937" s="14"/>
      <c r="J937" s="17"/>
      <c r="K937" s="14"/>
      <c r="L937" s="17"/>
    </row>
    <row r="938" ht="18.75" customHeight="1">
      <c r="B938" s="12"/>
      <c r="C938" s="12"/>
      <c r="D938" s="12"/>
      <c r="E938" s="12"/>
      <c r="F938" s="12"/>
      <c r="H938" s="17"/>
      <c r="I938" s="14"/>
      <c r="J938" s="17"/>
      <c r="K938" s="14"/>
      <c r="L938" s="17"/>
    </row>
    <row r="939" ht="18.75" customHeight="1">
      <c r="B939" s="12"/>
      <c r="C939" s="12"/>
      <c r="D939" s="12"/>
      <c r="E939" s="12"/>
      <c r="F939" s="12"/>
      <c r="H939" s="17"/>
      <c r="I939" s="14"/>
      <c r="J939" s="17"/>
      <c r="K939" s="14"/>
      <c r="L939" s="17"/>
    </row>
    <row r="940" ht="18.75" customHeight="1">
      <c r="B940" s="12"/>
      <c r="C940" s="12"/>
      <c r="D940" s="12"/>
      <c r="E940" s="12"/>
      <c r="F940" s="12"/>
      <c r="H940" s="17"/>
      <c r="I940" s="14"/>
      <c r="J940" s="17"/>
      <c r="K940" s="14"/>
      <c r="L940" s="17"/>
    </row>
    <row r="941" ht="18.75" customHeight="1">
      <c r="B941" s="12"/>
      <c r="C941" s="12"/>
      <c r="D941" s="12"/>
      <c r="E941" s="12"/>
      <c r="F941" s="12"/>
      <c r="H941" s="17"/>
      <c r="I941" s="14"/>
      <c r="J941" s="17"/>
      <c r="K941" s="14"/>
      <c r="L941" s="17"/>
    </row>
    <row r="942" ht="18.75" customHeight="1">
      <c r="B942" s="12"/>
      <c r="C942" s="12"/>
      <c r="D942" s="12"/>
      <c r="E942" s="12"/>
      <c r="F942" s="12"/>
      <c r="H942" s="17"/>
      <c r="I942" s="14"/>
      <c r="J942" s="17"/>
      <c r="K942" s="14"/>
      <c r="L942" s="17"/>
    </row>
    <row r="943" ht="18.75" customHeight="1">
      <c r="B943" s="12"/>
      <c r="C943" s="12"/>
      <c r="D943" s="12"/>
      <c r="E943" s="12"/>
      <c r="F943" s="12"/>
      <c r="H943" s="17"/>
      <c r="I943" s="14"/>
      <c r="J943" s="17"/>
      <c r="K943" s="14"/>
      <c r="L943" s="17"/>
    </row>
    <row r="944" ht="18.75" customHeight="1">
      <c r="B944" s="12"/>
      <c r="C944" s="12"/>
      <c r="D944" s="12"/>
      <c r="E944" s="12"/>
      <c r="F944" s="12"/>
      <c r="H944" s="17"/>
      <c r="I944" s="14"/>
      <c r="J944" s="17"/>
      <c r="K944" s="14"/>
      <c r="L944" s="17"/>
    </row>
    <row r="945" ht="18.75" customHeight="1">
      <c r="B945" s="12"/>
      <c r="C945" s="12"/>
      <c r="D945" s="12"/>
      <c r="E945" s="12"/>
      <c r="F945" s="12"/>
      <c r="H945" s="17"/>
      <c r="I945" s="14"/>
      <c r="J945" s="17"/>
      <c r="K945" s="14"/>
      <c r="L945" s="17"/>
    </row>
    <row r="946" ht="18.75" customHeight="1">
      <c r="B946" s="12"/>
      <c r="C946" s="12"/>
      <c r="D946" s="12"/>
      <c r="E946" s="12"/>
      <c r="F946" s="12"/>
      <c r="H946" s="17"/>
      <c r="I946" s="14"/>
      <c r="J946" s="17"/>
      <c r="K946" s="14"/>
      <c r="L946" s="17"/>
    </row>
    <row r="947" ht="18.75" customHeight="1">
      <c r="B947" s="12"/>
      <c r="C947" s="12"/>
      <c r="D947" s="12"/>
      <c r="E947" s="12"/>
      <c r="F947" s="12"/>
      <c r="H947" s="17"/>
      <c r="I947" s="14"/>
      <c r="J947" s="17"/>
      <c r="K947" s="14"/>
      <c r="L947" s="17"/>
    </row>
    <row r="948" ht="18.75" customHeight="1">
      <c r="B948" s="12"/>
      <c r="C948" s="12"/>
      <c r="D948" s="12"/>
      <c r="E948" s="12"/>
      <c r="F948" s="12"/>
      <c r="H948" s="17"/>
      <c r="I948" s="14"/>
      <c r="J948" s="17"/>
      <c r="K948" s="14"/>
      <c r="L948" s="17"/>
    </row>
    <row r="949" ht="18.75" customHeight="1">
      <c r="B949" s="12"/>
      <c r="C949" s="12"/>
      <c r="D949" s="12"/>
      <c r="E949" s="12"/>
      <c r="F949" s="12"/>
      <c r="H949" s="17"/>
      <c r="I949" s="14"/>
      <c r="J949" s="17"/>
      <c r="K949" s="14"/>
      <c r="L949" s="17"/>
    </row>
    <row r="950" ht="18.75" customHeight="1">
      <c r="B950" s="12"/>
      <c r="C950" s="12"/>
      <c r="D950" s="12"/>
      <c r="E950" s="12"/>
      <c r="F950" s="12"/>
      <c r="H950" s="17"/>
      <c r="I950" s="14"/>
      <c r="J950" s="17"/>
      <c r="K950" s="14"/>
      <c r="L950" s="17"/>
    </row>
    <row r="951" ht="18.75" customHeight="1">
      <c r="B951" s="12"/>
      <c r="C951" s="12"/>
      <c r="D951" s="12"/>
      <c r="E951" s="12"/>
      <c r="F951" s="12"/>
      <c r="H951" s="17"/>
      <c r="I951" s="14"/>
      <c r="J951" s="17"/>
      <c r="K951" s="14"/>
      <c r="L951" s="17"/>
    </row>
    <row r="952" ht="18.75" customHeight="1">
      <c r="B952" s="12"/>
      <c r="C952" s="12"/>
      <c r="D952" s="12"/>
      <c r="E952" s="12"/>
      <c r="F952" s="12"/>
      <c r="H952" s="17"/>
      <c r="I952" s="14"/>
      <c r="J952" s="17"/>
      <c r="K952" s="14"/>
      <c r="L952" s="17"/>
    </row>
    <row r="953" ht="18.75" customHeight="1">
      <c r="B953" s="12"/>
      <c r="C953" s="12"/>
      <c r="D953" s="12"/>
      <c r="E953" s="12"/>
      <c r="F953" s="12"/>
      <c r="H953" s="17"/>
      <c r="I953" s="14"/>
      <c r="J953" s="17"/>
      <c r="K953" s="14"/>
      <c r="L953" s="17"/>
    </row>
    <row r="954" ht="18.75" customHeight="1">
      <c r="B954" s="12"/>
      <c r="C954" s="12"/>
      <c r="D954" s="12"/>
      <c r="E954" s="12"/>
      <c r="F954" s="12"/>
      <c r="H954" s="17"/>
      <c r="I954" s="14"/>
      <c r="J954" s="17"/>
      <c r="K954" s="14"/>
      <c r="L954" s="17"/>
    </row>
    <row r="955" ht="18.75" customHeight="1">
      <c r="B955" s="12"/>
      <c r="C955" s="12"/>
      <c r="D955" s="12"/>
      <c r="E955" s="12"/>
      <c r="F955" s="12"/>
      <c r="H955" s="17"/>
      <c r="I955" s="14"/>
      <c r="J955" s="17"/>
      <c r="K955" s="14"/>
      <c r="L955" s="17"/>
    </row>
    <row r="956" ht="18.75" customHeight="1">
      <c r="B956" s="12"/>
      <c r="C956" s="12"/>
      <c r="D956" s="12"/>
      <c r="E956" s="12"/>
      <c r="F956" s="12"/>
      <c r="H956" s="17"/>
      <c r="I956" s="14"/>
      <c r="J956" s="17"/>
      <c r="K956" s="14"/>
      <c r="L956" s="17"/>
    </row>
    <row r="957" ht="18.75" customHeight="1">
      <c r="B957" s="12"/>
      <c r="C957" s="12"/>
      <c r="D957" s="12"/>
      <c r="E957" s="12"/>
      <c r="F957" s="12"/>
      <c r="H957" s="17"/>
      <c r="I957" s="14"/>
      <c r="J957" s="17"/>
      <c r="K957" s="14"/>
      <c r="L957" s="17"/>
    </row>
    <row r="958" ht="18.75" customHeight="1">
      <c r="B958" s="12"/>
      <c r="C958" s="12"/>
      <c r="D958" s="12"/>
      <c r="E958" s="12"/>
      <c r="F958" s="12"/>
      <c r="H958" s="17"/>
      <c r="I958" s="14"/>
      <c r="J958" s="17"/>
      <c r="K958" s="14"/>
      <c r="L958" s="17"/>
    </row>
    <row r="959" ht="18.75" customHeight="1">
      <c r="B959" s="12"/>
      <c r="C959" s="12"/>
      <c r="D959" s="12"/>
      <c r="E959" s="12"/>
      <c r="F959" s="12"/>
      <c r="H959" s="17"/>
      <c r="I959" s="14"/>
      <c r="J959" s="17"/>
      <c r="K959" s="14"/>
      <c r="L959" s="17"/>
    </row>
    <row r="960" ht="18.75" customHeight="1">
      <c r="B960" s="12"/>
      <c r="C960" s="12"/>
      <c r="D960" s="12"/>
      <c r="E960" s="12"/>
      <c r="F960" s="12"/>
      <c r="H960" s="17"/>
      <c r="I960" s="14"/>
      <c r="J960" s="17"/>
      <c r="K960" s="14"/>
      <c r="L960" s="17"/>
    </row>
    <row r="961" ht="18.75" customHeight="1">
      <c r="B961" s="12"/>
      <c r="C961" s="12"/>
      <c r="D961" s="12"/>
      <c r="E961" s="12"/>
      <c r="F961" s="12"/>
      <c r="H961" s="17"/>
      <c r="I961" s="14"/>
      <c r="J961" s="17"/>
      <c r="K961" s="14"/>
      <c r="L961" s="17"/>
    </row>
    <row r="962" ht="18.75" customHeight="1">
      <c r="B962" s="12"/>
      <c r="C962" s="12"/>
      <c r="D962" s="12"/>
      <c r="E962" s="12"/>
      <c r="F962" s="12"/>
      <c r="H962" s="17"/>
      <c r="I962" s="14"/>
      <c r="J962" s="17"/>
      <c r="K962" s="14"/>
      <c r="L962" s="17"/>
    </row>
    <row r="963" ht="18.75" customHeight="1">
      <c r="B963" s="12"/>
      <c r="C963" s="12"/>
      <c r="D963" s="12"/>
      <c r="E963" s="12"/>
      <c r="F963" s="12"/>
      <c r="H963" s="17"/>
      <c r="I963" s="14"/>
      <c r="J963" s="17"/>
      <c r="K963" s="14"/>
      <c r="L963" s="17"/>
    </row>
    <row r="964" ht="18.75" customHeight="1">
      <c r="B964" s="12"/>
      <c r="C964" s="12"/>
      <c r="D964" s="12"/>
      <c r="E964" s="12"/>
      <c r="F964" s="12"/>
      <c r="H964" s="17"/>
      <c r="I964" s="14"/>
      <c r="J964" s="17"/>
      <c r="K964" s="14"/>
      <c r="L964" s="17"/>
    </row>
    <row r="965" ht="18.75" customHeight="1">
      <c r="B965" s="12"/>
      <c r="C965" s="12"/>
      <c r="D965" s="12"/>
      <c r="E965" s="12"/>
      <c r="F965" s="12"/>
      <c r="H965" s="17"/>
      <c r="I965" s="14"/>
      <c r="J965" s="17"/>
      <c r="K965" s="14"/>
      <c r="L965" s="17"/>
    </row>
    <row r="966" ht="18.75" customHeight="1">
      <c r="B966" s="12"/>
      <c r="C966" s="12"/>
      <c r="D966" s="12"/>
      <c r="E966" s="12"/>
      <c r="F966" s="12"/>
      <c r="H966" s="17"/>
      <c r="I966" s="14"/>
      <c r="J966" s="17"/>
      <c r="K966" s="14"/>
      <c r="L966" s="17"/>
    </row>
    <row r="967" ht="18.75" customHeight="1">
      <c r="B967" s="12"/>
      <c r="C967" s="12"/>
      <c r="D967" s="12"/>
      <c r="E967" s="12"/>
      <c r="F967" s="12"/>
      <c r="H967" s="17"/>
      <c r="I967" s="14"/>
      <c r="J967" s="17"/>
      <c r="K967" s="14"/>
      <c r="L967" s="17"/>
    </row>
    <row r="968" ht="18.75" customHeight="1">
      <c r="B968" s="12"/>
      <c r="C968" s="12"/>
      <c r="D968" s="12"/>
      <c r="E968" s="12"/>
      <c r="F968" s="12"/>
      <c r="H968" s="17"/>
      <c r="I968" s="14"/>
      <c r="J968" s="17"/>
      <c r="K968" s="14"/>
      <c r="L968" s="17"/>
    </row>
    <row r="969" ht="18.75" customHeight="1">
      <c r="B969" s="12"/>
      <c r="C969" s="12"/>
      <c r="D969" s="12"/>
      <c r="E969" s="12"/>
      <c r="F969" s="12"/>
      <c r="H969" s="17"/>
      <c r="I969" s="14"/>
      <c r="J969" s="17"/>
      <c r="K969" s="14"/>
      <c r="L969" s="17"/>
    </row>
    <row r="970" ht="18.75" customHeight="1">
      <c r="B970" s="12"/>
      <c r="C970" s="12"/>
      <c r="D970" s="12"/>
      <c r="E970" s="12"/>
      <c r="F970" s="12"/>
      <c r="H970" s="17"/>
      <c r="I970" s="14"/>
      <c r="J970" s="17"/>
      <c r="K970" s="14"/>
      <c r="L970" s="17"/>
    </row>
    <row r="971" ht="18.75" customHeight="1">
      <c r="B971" s="12"/>
      <c r="C971" s="12"/>
      <c r="D971" s="12"/>
      <c r="E971" s="12"/>
      <c r="F971" s="12"/>
      <c r="H971" s="17"/>
      <c r="I971" s="14"/>
      <c r="J971" s="17"/>
      <c r="K971" s="14"/>
      <c r="L971" s="17"/>
    </row>
    <row r="972" ht="18.75" customHeight="1">
      <c r="B972" s="12"/>
      <c r="C972" s="12"/>
      <c r="D972" s="12"/>
      <c r="E972" s="12"/>
      <c r="F972" s="12"/>
      <c r="H972" s="17"/>
      <c r="I972" s="14"/>
      <c r="J972" s="17"/>
      <c r="K972" s="14"/>
      <c r="L972" s="17"/>
    </row>
    <row r="973" ht="18.75" customHeight="1">
      <c r="B973" s="12"/>
      <c r="C973" s="12"/>
      <c r="D973" s="12"/>
      <c r="E973" s="12"/>
      <c r="F973" s="12"/>
      <c r="H973" s="17"/>
      <c r="I973" s="14"/>
      <c r="J973" s="17"/>
      <c r="K973" s="14"/>
      <c r="L973" s="17"/>
    </row>
    <row r="974" ht="18.75" customHeight="1">
      <c r="B974" s="12"/>
      <c r="C974" s="12"/>
      <c r="D974" s="12"/>
      <c r="E974" s="12"/>
      <c r="F974" s="12"/>
      <c r="H974" s="17"/>
      <c r="I974" s="14"/>
      <c r="J974" s="17"/>
      <c r="K974" s="14"/>
      <c r="L974" s="17"/>
    </row>
    <row r="975" ht="18.75" customHeight="1">
      <c r="B975" s="12"/>
      <c r="C975" s="12"/>
      <c r="D975" s="12"/>
      <c r="E975" s="12"/>
      <c r="F975" s="12"/>
      <c r="H975" s="17"/>
      <c r="I975" s="14"/>
      <c r="J975" s="17"/>
      <c r="K975" s="14"/>
      <c r="L975" s="17"/>
    </row>
    <row r="976" ht="18.75" customHeight="1">
      <c r="B976" s="12"/>
      <c r="C976" s="12"/>
      <c r="D976" s="12"/>
      <c r="E976" s="12"/>
      <c r="F976" s="12"/>
      <c r="H976" s="17"/>
      <c r="I976" s="14"/>
      <c r="J976" s="17"/>
      <c r="K976" s="14"/>
      <c r="L976" s="17"/>
    </row>
    <row r="977" ht="18.75" customHeight="1">
      <c r="B977" s="12"/>
      <c r="C977" s="12"/>
      <c r="D977" s="12"/>
      <c r="E977" s="12"/>
      <c r="F977" s="12"/>
      <c r="H977" s="17"/>
      <c r="I977" s="14"/>
      <c r="J977" s="17"/>
      <c r="K977" s="14"/>
      <c r="L977" s="17"/>
    </row>
    <row r="978" ht="18.75" customHeight="1">
      <c r="B978" s="12"/>
      <c r="C978" s="12"/>
      <c r="D978" s="12"/>
      <c r="E978" s="12"/>
      <c r="F978" s="12"/>
      <c r="H978" s="17"/>
      <c r="I978" s="14"/>
      <c r="J978" s="17"/>
      <c r="K978" s="14"/>
      <c r="L978" s="17"/>
    </row>
    <row r="979" ht="18.75" customHeight="1">
      <c r="B979" s="12"/>
      <c r="C979" s="12"/>
      <c r="D979" s="12"/>
      <c r="E979" s="12"/>
      <c r="F979" s="12"/>
      <c r="H979" s="17"/>
      <c r="I979" s="14"/>
      <c r="J979" s="17"/>
      <c r="K979" s="14"/>
      <c r="L979" s="17"/>
    </row>
    <row r="980" ht="18.75" customHeight="1">
      <c r="B980" s="12"/>
      <c r="C980" s="12"/>
      <c r="D980" s="12"/>
      <c r="E980" s="12"/>
      <c r="F980" s="12"/>
      <c r="H980" s="17"/>
      <c r="I980" s="14"/>
      <c r="J980" s="17"/>
      <c r="K980" s="14"/>
      <c r="L980" s="17"/>
    </row>
    <row r="981" ht="18.75" customHeight="1">
      <c r="B981" s="12"/>
      <c r="C981" s="12"/>
      <c r="D981" s="12"/>
      <c r="E981" s="12"/>
      <c r="F981" s="12"/>
      <c r="H981" s="17"/>
      <c r="I981" s="14"/>
      <c r="J981" s="17"/>
      <c r="K981" s="14"/>
      <c r="L981" s="17"/>
    </row>
    <row r="982" ht="18.75" customHeight="1">
      <c r="B982" s="12"/>
      <c r="C982" s="12"/>
      <c r="D982" s="12"/>
      <c r="E982" s="12"/>
      <c r="F982" s="12"/>
      <c r="H982" s="17"/>
      <c r="I982" s="14"/>
      <c r="J982" s="17"/>
      <c r="K982" s="14"/>
      <c r="L982" s="17"/>
    </row>
    <row r="983" ht="18.75" customHeight="1">
      <c r="B983" s="12"/>
      <c r="C983" s="12"/>
      <c r="D983" s="12"/>
      <c r="E983" s="12"/>
      <c r="F983" s="12"/>
      <c r="H983" s="17"/>
      <c r="I983" s="14"/>
      <c r="J983" s="17"/>
      <c r="K983" s="14"/>
      <c r="L983" s="17"/>
    </row>
    <row r="984" ht="18.75" customHeight="1">
      <c r="B984" s="12"/>
      <c r="C984" s="12"/>
      <c r="D984" s="12"/>
      <c r="E984" s="12"/>
      <c r="F984" s="12"/>
      <c r="H984" s="17"/>
      <c r="I984" s="14"/>
      <c r="J984" s="17"/>
      <c r="K984" s="14"/>
      <c r="L984" s="17"/>
    </row>
    <row r="985" ht="18.75" customHeight="1">
      <c r="B985" s="12"/>
      <c r="C985" s="12"/>
      <c r="D985" s="12"/>
      <c r="E985" s="12"/>
      <c r="F985" s="12"/>
      <c r="H985" s="17"/>
      <c r="I985" s="14"/>
      <c r="J985" s="17"/>
      <c r="K985" s="14"/>
      <c r="L985" s="17"/>
    </row>
    <row r="986" ht="18.75" customHeight="1">
      <c r="B986" s="12"/>
      <c r="C986" s="12"/>
      <c r="D986" s="12"/>
      <c r="E986" s="12"/>
      <c r="F986" s="12"/>
      <c r="H986" s="17"/>
      <c r="I986" s="14"/>
      <c r="J986" s="17"/>
      <c r="K986" s="14"/>
      <c r="L986" s="17"/>
    </row>
    <row r="987" ht="18.75" customHeight="1">
      <c r="B987" s="12"/>
      <c r="C987" s="12"/>
      <c r="D987" s="12"/>
      <c r="E987" s="12"/>
      <c r="F987" s="12"/>
      <c r="H987" s="17"/>
      <c r="I987" s="14"/>
      <c r="J987" s="17"/>
      <c r="K987" s="14"/>
      <c r="L987" s="17"/>
    </row>
    <row r="988" ht="18.75" customHeight="1">
      <c r="B988" s="12"/>
      <c r="C988" s="12"/>
      <c r="D988" s="12"/>
      <c r="E988" s="12"/>
      <c r="F988" s="12"/>
      <c r="H988" s="17"/>
      <c r="I988" s="14"/>
      <c r="J988" s="17"/>
      <c r="K988" s="14"/>
      <c r="L988" s="17"/>
    </row>
    <row r="989" ht="18.75" customHeight="1">
      <c r="B989" s="12"/>
      <c r="C989" s="12"/>
      <c r="D989" s="12"/>
      <c r="E989" s="12"/>
      <c r="F989" s="12"/>
      <c r="H989" s="17"/>
      <c r="I989" s="14"/>
      <c r="J989" s="17"/>
      <c r="K989" s="14"/>
      <c r="L989" s="17"/>
    </row>
    <row r="990" ht="18.75" customHeight="1">
      <c r="B990" s="12"/>
      <c r="C990" s="12"/>
      <c r="D990" s="12"/>
      <c r="E990" s="12"/>
      <c r="F990" s="12"/>
      <c r="H990" s="17"/>
      <c r="I990" s="14"/>
      <c r="J990" s="17"/>
      <c r="K990" s="14"/>
      <c r="L990" s="17"/>
    </row>
    <row r="991" ht="18.75" customHeight="1">
      <c r="B991" s="12"/>
      <c r="C991" s="12"/>
      <c r="D991" s="12"/>
      <c r="E991" s="12"/>
      <c r="F991" s="12"/>
      <c r="H991" s="17"/>
      <c r="I991" s="14"/>
      <c r="J991" s="17"/>
      <c r="K991" s="14"/>
      <c r="L991" s="17"/>
    </row>
    <row r="992" ht="18.75" customHeight="1">
      <c r="B992" s="12"/>
      <c r="C992" s="12"/>
      <c r="D992" s="12"/>
      <c r="E992" s="12"/>
      <c r="F992" s="12"/>
      <c r="H992" s="17"/>
      <c r="I992" s="14"/>
      <c r="J992" s="17"/>
      <c r="K992" s="14"/>
      <c r="L992" s="17"/>
    </row>
    <row r="993" ht="18.75" customHeight="1">
      <c r="B993" s="12"/>
      <c r="C993" s="12"/>
      <c r="D993" s="12"/>
      <c r="E993" s="12"/>
      <c r="F993" s="12"/>
      <c r="H993" s="17"/>
      <c r="I993" s="14"/>
      <c r="J993" s="17"/>
      <c r="K993" s="14"/>
      <c r="L993" s="17"/>
    </row>
    <row r="994" ht="18.75" customHeight="1">
      <c r="B994" s="12"/>
      <c r="C994" s="12"/>
      <c r="D994" s="12"/>
      <c r="E994" s="12"/>
      <c r="F994" s="12"/>
      <c r="H994" s="17"/>
      <c r="I994" s="14"/>
      <c r="J994" s="17"/>
      <c r="K994" s="14"/>
      <c r="L994" s="17"/>
    </row>
    <row r="995" ht="18.75" customHeight="1">
      <c r="B995" s="12"/>
      <c r="C995" s="12"/>
      <c r="D995" s="12"/>
      <c r="E995" s="12"/>
      <c r="F995" s="12"/>
      <c r="H995" s="17"/>
      <c r="I995" s="14"/>
      <c r="J995" s="17"/>
      <c r="K995" s="14"/>
      <c r="L995" s="17"/>
    </row>
    <row r="996" ht="18.75" customHeight="1">
      <c r="B996" s="12"/>
      <c r="C996" s="12"/>
      <c r="D996" s="12"/>
      <c r="E996" s="12"/>
      <c r="F996" s="12"/>
      <c r="H996" s="17"/>
      <c r="I996" s="14"/>
      <c r="J996" s="17"/>
      <c r="K996" s="14"/>
      <c r="L996" s="17"/>
    </row>
    <row r="997" ht="18.75" customHeight="1">
      <c r="B997" s="12"/>
      <c r="C997" s="12"/>
      <c r="D997" s="12"/>
      <c r="E997" s="12"/>
      <c r="F997" s="12"/>
      <c r="H997" s="17"/>
      <c r="I997" s="14"/>
      <c r="J997" s="17"/>
      <c r="K997" s="14"/>
      <c r="L997" s="17"/>
    </row>
    <row r="998" ht="18.75" customHeight="1">
      <c r="B998" s="12"/>
      <c r="C998" s="12"/>
      <c r="D998" s="12"/>
      <c r="E998" s="12"/>
      <c r="F998" s="12"/>
      <c r="H998" s="17"/>
      <c r="I998" s="14"/>
      <c r="J998" s="17"/>
      <c r="K998" s="14"/>
      <c r="L998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7" t="s">
        <v>2230</v>
      </c>
      <c r="B1" s="7" t="s">
        <v>2231</v>
      </c>
      <c r="C1" s="7" t="s">
        <v>2232</v>
      </c>
      <c r="D1" s="7" t="s">
        <v>2234</v>
      </c>
      <c r="E1" s="14"/>
      <c r="F1" s="14"/>
      <c r="G1" s="14"/>
      <c r="H1" s="14"/>
      <c r="I1" s="14"/>
      <c r="J1" s="14"/>
      <c r="K1" s="14"/>
      <c r="L1" s="14"/>
      <c r="M1" s="14"/>
    </row>
    <row r="2" ht="18.75" customHeight="1">
      <c r="A2" s="7" t="s">
        <v>2235</v>
      </c>
      <c r="B2" s="9">
        <v>64884.0</v>
      </c>
      <c r="C2" s="9">
        <v>62515.0</v>
      </c>
      <c r="D2" s="9">
        <v>0.0</v>
      </c>
      <c r="E2" s="14"/>
      <c r="F2" s="14"/>
      <c r="G2" s="15"/>
      <c r="H2" s="15"/>
      <c r="I2" s="14"/>
      <c r="J2" s="14"/>
      <c r="K2" s="14"/>
      <c r="L2" s="14"/>
    </row>
    <row r="3" ht="18.75" customHeight="1">
      <c r="A3" s="7" t="s">
        <v>2237</v>
      </c>
      <c r="B3" s="9">
        <v>27072.0</v>
      </c>
      <c r="C3" s="9">
        <v>2705.0</v>
      </c>
      <c r="D3" s="9">
        <v>0.0</v>
      </c>
      <c r="E3" s="14"/>
      <c r="F3" s="14"/>
      <c r="G3" s="15"/>
      <c r="H3" s="15"/>
      <c r="I3" s="14"/>
      <c r="J3" s="14"/>
      <c r="K3" s="14"/>
      <c r="L3" s="14"/>
    </row>
    <row r="4" ht="18.75" customHeight="1">
      <c r="A4" s="7" t="s">
        <v>2239</v>
      </c>
      <c r="B4" s="9">
        <v>39974.0</v>
      </c>
      <c r="C4" s="9">
        <v>36774.0</v>
      </c>
      <c r="D4" s="9">
        <v>0.0</v>
      </c>
      <c r="E4" s="14"/>
      <c r="F4" s="14"/>
      <c r="G4" s="15"/>
      <c r="H4" s="15"/>
      <c r="I4" s="14"/>
      <c r="J4" s="14"/>
      <c r="K4" s="14"/>
      <c r="L4" s="14"/>
    </row>
    <row r="5" ht="18.75" customHeight="1">
      <c r="A5" s="7" t="s">
        <v>2239</v>
      </c>
      <c r="B5" s="9">
        <v>187171.0</v>
      </c>
      <c r="C5" s="9">
        <v>178891.0</v>
      </c>
      <c r="D5" s="9">
        <v>0.0</v>
      </c>
      <c r="E5" s="14"/>
      <c r="F5" s="14"/>
      <c r="G5" s="15"/>
      <c r="H5" s="15"/>
      <c r="I5" s="14"/>
      <c r="J5" s="14"/>
      <c r="K5" s="14"/>
      <c r="L5" s="14"/>
    </row>
    <row r="6" ht="18.75" customHeight="1">
      <c r="A6" s="7" t="s">
        <v>2245</v>
      </c>
      <c r="B6" s="9">
        <v>174484.0</v>
      </c>
      <c r="C6" s="9">
        <v>167161.0</v>
      </c>
      <c r="D6" s="9">
        <v>0.0</v>
      </c>
      <c r="E6" s="14"/>
      <c r="F6" s="14"/>
      <c r="G6" s="15"/>
      <c r="H6" s="15"/>
      <c r="I6" s="14"/>
      <c r="J6" s="14"/>
      <c r="K6" s="14"/>
      <c r="L6" s="14"/>
    </row>
    <row r="7" ht="18.75" customHeight="1">
      <c r="A7" s="7" t="s">
        <v>2245</v>
      </c>
      <c r="B7" s="9">
        <v>120809.0</v>
      </c>
      <c r="C7" s="9">
        <v>114751.0</v>
      </c>
      <c r="D7" s="9">
        <v>0.0</v>
      </c>
      <c r="E7" s="14"/>
      <c r="F7" s="14"/>
      <c r="G7" s="15"/>
      <c r="H7" s="15"/>
      <c r="I7" s="14"/>
      <c r="J7" s="14"/>
      <c r="K7" s="14"/>
      <c r="L7" s="14"/>
    </row>
    <row r="8" ht="18.75" customHeight="1">
      <c r="A8" s="7" t="s">
        <v>2277</v>
      </c>
      <c r="B8" s="9">
        <v>2828.0</v>
      </c>
      <c r="C8" s="9">
        <v>2601.0</v>
      </c>
      <c r="D8" s="9">
        <v>0.0</v>
      </c>
      <c r="E8" s="14"/>
      <c r="F8" s="14"/>
      <c r="G8" s="15"/>
      <c r="H8" s="15"/>
      <c r="I8" s="14"/>
      <c r="J8" s="14"/>
      <c r="K8" s="14"/>
      <c r="L8" s="14"/>
    </row>
    <row r="9" ht="18.75" customHeight="1">
      <c r="A9" s="7" t="s">
        <v>2259</v>
      </c>
      <c r="B9" s="9">
        <v>62983.0</v>
      </c>
      <c r="C9" s="9">
        <v>59162.0</v>
      </c>
      <c r="D9" s="9">
        <v>0.0</v>
      </c>
      <c r="E9" s="14"/>
      <c r="F9" s="14"/>
      <c r="G9" s="15"/>
      <c r="H9" s="15"/>
      <c r="I9" s="14"/>
      <c r="J9" s="14"/>
      <c r="K9" s="14"/>
      <c r="L9" s="14"/>
    </row>
    <row r="10" ht="18.75" customHeight="1">
      <c r="A10" s="7" t="s">
        <v>2259</v>
      </c>
      <c r="B10" s="9">
        <v>72625.0</v>
      </c>
      <c r="C10" s="9">
        <v>69533.0</v>
      </c>
      <c r="D10" s="9">
        <v>0.0</v>
      </c>
      <c r="E10" s="14"/>
      <c r="F10" s="14"/>
      <c r="G10" s="15"/>
      <c r="H10" s="15"/>
      <c r="I10" s="14"/>
      <c r="J10" s="14"/>
      <c r="K10" s="14"/>
      <c r="L10" s="14"/>
    </row>
    <row r="11" ht="18.75" customHeight="1">
      <c r="A11" s="7" t="s">
        <v>2259</v>
      </c>
      <c r="B11" s="9">
        <v>73523.0</v>
      </c>
      <c r="C11" s="9">
        <v>698.0</v>
      </c>
      <c r="D11" s="9">
        <v>0.0</v>
      </c>
      <c r="E11" s="14"/>
      <c r="F11" s="14"/>
      <c r="G11" s="15"/>
      <c r="H11" s="15"/>
      <c r="I11" s="14"/>
      <c r="J11" s="14"/>
      <c r="K11" s="14"/>
      <c r="L11" s="14"/>
    </row>
    <row r="12" ht="18.75" customHeight="1">
      <c r="A12" s="7" t="s">
        <v>2259</v>
      </c>
      <c r="B12" s="9">
        <v>62382.0</v>
      </c>
      <c r="C12" s="9">
        <v>59792.0</v>
      </c>
      <c r="D12" s="9">
        <v>0.0</v>
      </c>
      <c r="E12" s="14"/>
      <c r="F12" s="14"/>
      <c r="G12" s="15"/>
      <c r="H12" s="15"/>
      <c r="I12" s="14"/>
      <c r="J12" s="14"/>
      <c r="K12" s="14"/>
      <c r="L12" s="14"/>
    </row>
    <row r="13" ht="18.75" customHeight="1">
      <c r="A13" s="7" t="s">
        <v>2259</v>
      </c>
      <c r="B13" s="9">
        <v>39423.0</v>
      </c>
      <c r="C13" s="9">
        <v>37885.0</v>
      </c>
      <c r="D13" s="9">
        <v>0.0</v>
      </c>
      <c r="E13" s="14"/>
      <c r="F13" s="14"/>
      <c r="G13" s="15"/>
      <c r="H13" s="15"/>
      <c r="I13" s="14"/>
      <c r="J13" s="14"/>
      <c r="K13" s="14"/>
      <c r="L13" s="14"/>
    </row>
    <row r="14" ht="18.75" customHeight="1">
      <c r="A14" s="7" t="s">
        <v>2774</v>
      </c>
      <c r="B14" s="9">
        <v>46308.0</v>
      </c>
      <c r="C14" s="9">
        <v>43813.0</v>
      </c>
      <c r="D14" s="9">
        <v>0.0</v>
      </c>
      <c r="E14" s="14"/>
      <c r="F14" s="14"/>
      <c r="G14" s="15"/>
      <c r="H14" s="15"/>
      <c r="I14" s="14"/>
    </row>
    <row r="15" ht="18.75" customHeight="1">
      <c r="A15" s="7" t="s">
        <v>2759</v>
      </c>
      <c r="B15" s="9">
        <v>69423.0</v>
      </c>
      <c r="C15" s="9">
        <v>65824.0</v>
      </c>
      <c r="D15" s="9">
        <v>0.0</v>
      </c>
      <c r="E15" s="14"/>
      <c r="F15" s="14"/>
      <c r="G15" s="15"/>
      <c r="H15" s="15"/>
      <c r="I15" s="14"/>
    </row>
    <row r="16" ht="18.75" customHeight="1">
      <c r="A16" s="7" t="s">
        <v>3522</v>
      </c>
      <c r="B16" s="9">
        <v>27873.0</v>
      </c>
      <c r="C16" s="9">
        <v>27397.0</v>
      </c>
      <c r="D16" s="9">
        <v>0.0</v>
      </c>
      <c r="E16" s="14"/>
      <c r="F16" s="14"/>
      <c r="G16" s="15"/>
      <c r="H16" s="15"/>
      <c r="I16" s="14"/>
    </row>
    <row r="17" ht="18.75" customHeight="1">
      <c r="A17" s="7" t="s">
        <v>2504</v>
      </c>
      <c r="B17" s="9">
        <v>3303.0</v>
      </c>
      <c r="C17" s="9">
        <v>2821.0</v>
      </c>
      <c r="D17" s="9">
        <v>0.0</v>
      </c>
      <c r="E17" s="14"/>
      <c r="F17" s="14"/>
      <c r="G17" s="15"/>
      <c r="H17" s="15"/>
      <c r="I17" s="14"/>
    </row>
    <row r="18" ht="18.75" customHeight="1">
      <c r="A18" s="7" t="s">
        <v>2903</v>
      </c>
      <c r="B18" s="9">
        <v>8315.0</v>
      </c>
      <c r="C18" s="9">
        <v>8283.0</v>
      </c>
      <c r="D18" s="9">
        <v>0.0</v>
      </c>
      <c r="E18" s="14"/>
      <c r="F18" s="14"/>
      <c r="G18" s="15"/>
      <c r="H18" s="15"/>
      <c r="I18" s="14"/>
    </row>
    <row r="19" ht="18.75" customHeight="1">
      <c r="A19" s="7" t="s">
        <v>2504</v>
      </c>
      <c r="B19" s="9">
        <v>11652.0</v>
      </c>
      <c r="C19" s="9">
        <v>11497.0</v>
      </c>
      <c r="D19" s="9">
        <v>0.0</v>
      </c>
      <c r="E19" s="14"/>
      <c r="F19" s="14"/>
      <c r="G19" s="15"/>
      <c r="H19" s="15"/>
      <c r="I19" s="14"/>
    </row>
    <row r="20" ht="18.75" customHeight="1">
      <c r="A20" s="7" t="s">
        <v>2504</v>
      </c>
      <c r="B20" s="9">
        <v>8188.0</v>
      </c>
      <c r="C20" s="9">
        <v>7504.0</v>
      </c>
      <c r="D20" s="9">
        <v>0.0</v>
      </c>
      <c r="E20" s="14"/>
      <c r="F20" s="14"/>
      <c r="G20" s="15"/>
      <c r="H20" s="15"/>
      <c r="I20" s="14"/>
    </row>
    <row r="21" ht="18.75" customHeight="1">
      <c r="A21" s="7" t="s">
        <v>3134</v>
      </c>
      <c r="B21" s="9">
        <v>43673.0</v>
      </c>
      <c r="C21" s="9">
        <v>43662.0</v>
      </c>
      <c r="D21" s="9">
        <v>0.0</v>
      </c>
      <c r="E21" s="14"/>
      <c r="F21" s="14"/>
      <c r="G21" s="15"/>
      <c r="H21" s="15"/>
      <c r="I21" s="14"/>
    </row>
    <row r="22" ht="18.75" customHeight="1">
      <c r="A22" s="7" t="s">
        <v>2716</v>
      </c>
      <c r="B22" s="9">
        <v>12334.0</v>
      </c>
      <c r="C22" s="9">
        <v>1215.0</v>
      </c>
      <c r="D22" s="9">
        <v>0.0</v>
      </c>
      <c r="E22" s="14"/>
      <c r="F22" s="14"/>
      <c r="G22" s="15"/>
      <c r="H22" s="15"/>
      <c r="I22" s="14"/>
    </row>
    <row r="23" ht="18.75" customHeight="1">
      <c r="A23" s="7" t="s">
        <v>2722</v>
      </c>
      <c r="B23" s="9">
        <v>25542.0</v>
      </c>
      <c r="C23" s="9">
        <v>25277.0</v>
      </c>
      <c r="D23" s="9">
        <v>0.0</v>
      </c>
      <c r="E23" s="14"/>
      <c r="F23" s="14"/>
      <c r="G23" s="15"/>
      <c r="H23" s="15"/>
      <c r="I23" s="14"/>
    </row>
    <row r="24" ht="18.75" customHeight="1">
      <c r="A24" s="7" t="s">
        <v>2723</v>
      </c>
      <c r="B24" s="9">
        <v>17629.0</v>
      </c>
      <c r="C24" s="9">
        <v>17436.0</v>
      </c>
      <c r="D24" s="9">
        <v>0.0</v>
      </c>
      <c r="E24" s="14"/>
      <c r="F24" s="14"/>
      <c r="G24" s="15"/>
      <c r="H24" s="15"/>
      <c r="I24" s="14"/>
    </row>
    <row r="25" ht="18.75" customHeight="1">
      <c r="A25" s="7" t="s">
        <v>3784</v>
      </c>
      <c r="B25" s="9">
        <v>91166.0</v>
      </c>
      <c r="C25" s="9">
        <v>89905.0</v>
      </c>
      <c r="D25" s="9">
        <v>0.0</v>
      </c>
      <c r="E25" s="14"/>
      <c r="F25" s="14"/>
      <c r="G25" s="15"/>
      <c r="H25" s="15"/>
      <c r="I25" s="14"/>
    </row>
    <row r="26" ht="18.75" customHeight="1">
      <c r="A26" s="7" t="s">
        <v>2724</v>
      </c>
      <c r="B26" s="9">
        <v>14006.0</v>
      </c>
      <c r="C26" s="9">
        <v>13919.0</v>
      </c>
      <c r="D26" s="9">
        <v>0.0</v>
      </c>
    </row>
    <row r="27" ht="18.75" customHeight="1">
      <c r="A27" s="7" t="s">
        <v>2725</v>
      </c>
      <c r="B27" s="9">
        <v>16195.0</v>
      </c>
      <c r="C27" s="9">
        <v>1604.0</v>
      </c>
      <c r="D27" s="9">
        <v>0.0</v>
      </c>
    </row>
    <row r="28" ht="18.75" customHeight="1">
      <c r="A28" s="7" t="s">
        <v>3448</v>
      </c>
      <c r="B28" s="9">
        <v>49762.0</v>
      </c>
      <c r="C28" s="9">
        <v>49207.0</v>
      </c>
      <c r="D28" s="9">
        <v>0.0</v>
      </c>
    </row>
    <row r="29" ht="18.75" customHeight="1">
      <c r="A29" s="7" t="s">
        <v>2735</v>
      </c>
      <c r="B29" s="9">
        <v>33298.0</v>
      </c>
      <c r="C29" s="9">
        <v>30684.0</v>
      </c>
      <c r="D29" s="9">
        <v>669.0</v>
      </c>
    </row>
    <row r="30" ht="18.75" customHeight="1">
      <c r="A30" s="7" t="s">
        <v>3039</v>
      </c>
      <c r="B30" s="9">
        <v>34792.0</v>
      </c>
      <c r="C30" s="9">
        <v>33047.0</v>
      </c>
      <c r="D30" s="9">
        <v>303.0</v>
      </c>
    </row>
    <row r="31" ht="18.75" customHeight="1">
      <c r="A31" s="7" t="s">
        <v>3786</v>
      </c>
      <c r="B31" s="9">
        <v>256.0</v>
      </c>
      <c r="C31" s="9">
        <v>215.0</v>
      </c>
      <c r="D31" s="9">
        <v>35.0</v>
      </c>
    </row>
    <row r="32" ht="18.75" customHeight="1">
      <c r="A32" s="7" t="s">
        <v>3029</v>
      </c>
      <c r="B32" s="9">
        <v>23945.0</v>
      </c>
      <c r="C32" s="9">
        <v>22354.0</v>
      </c>
      <c r="D32" s="9">
        <v>161.0</v>
      </c>
    </row>
    <row r="33" ht="18.75" customHeight="1">
      <c r="A33" s="7" t="s">
        <v>2854</v>
      </c>
      <c r="B33" s="9">
        <v>162429.0</v>
      </c>
      <c r="C33" s="9">
        <v>13012.0</v>
      </c>
      <c r="D33" s="9">
        <v>2.187</v>
      </c>
    </row>
    <row r="34" ht="18.75" customHeight="1">
      <c r="A34" s="7" t="s">
        <v>3787</v>
      </c>
      <c r="B34" s="9">
        <v>2266.0</v>
      </c>
      <c r="C34" s="9">
        <v>2046.0</v>
      </c>
      <c r="D34" s="9">
        <v>59.0</v>
      </c>
    </row>
    <row r="35" ht="18.75" customHeight="1">
      <c r="A35" s="7" t="s">
        <v>3011</v>
      </c>
      <c r="B35" s="9">
        <v>41918.0</v>
      </c>
      <c r="C35" s="9">
        <v>40008.0</v>
      </c>
      <c r="D35" s="9">
        <v>565.0</v>
      </c>
    </row>
    <row r="36" ht="18.75" customHeight="1">
      <c r="A36" s="7" t="s">
        <v>3028</v>
      </c>
      <c r="B36" s="9">
        <v>48627.0</v>
      </c>
      <c r="C36" s="9">
        <v>46359.0</v>
      </c>
      <c r="D36" s="9">
        <v>1.124</v>
      </c>
    </row>
    <row r="37" ht="18.75" customHeight="1">
      <c r="A37" s="7" t="s">
        <v>3010</v>
      </c>
      <c r="B37" s="9">
        <v>31843.0</v>
      </c>
      <c r="C37" s="9">
        <v>30479.0</v>
      </c>
      <c r="D37" s="9">
        <v>125.0</v>
      </c>
    </row>
    <row r="38" ht="18.75" customHeight="1">
      <c r="A38" s="7" t="s">
        <v>3031</v>
      </c>
      <c r="B38" s="9">
        <v>6904.0</v>
      </c>
      <c r="C38" s="9">
        <v>65684.0</v>
      </c>
      <c r="D38" s="9">
        <v>3.575</v>
      </c>
    </row>
    <row r="39" ht="18.75" customHeight="1">
      <c r="A39" s="7" t="s">
        <v>362</v>
      </c>
      <c r="B39" s="9">
        <v>16505.0</v>
      </c>
      <c r="C39" s="9">
        <v>15794.0</v>
      </c>
      <c r="D39" s="9">
        <v>82.0</v>
      </c>
    </row>
    <row r="40" ht="18.75" customHeight="1">
      <c r="A40" s="7" t="s">
        <v>3564</v>
      </c>
      <c r="B40" s="9">
        <v>11347.0</v>
      </c>
      <c r="C40" s="9">
        <v>10604.0</v>
      </c>
      <c r="D40" s="9">
        <v>109.0</v>
      </c>
    </row>
    <row r="41" ht="18.75" customHeight="1">
      <c r="A41" s="7" t="s">
        <v>3549</v>
      </c>
      <c r="B41" s="9">
        <v>23264.0</v>
      </c>
      <c r="C41" s="9">
        <v>21969.0</v>
      </c>
      <c r="D41" s="9">
        <v>479.0</v>
      </c>
    </row>
    <row r="42" ht="18.75" customHeight="1">
      <c r="A42" s="7" t="s">
        <v>3567</v>
      </c>
      <c r="B42" s="9">
        <v>39053.0</v>
      </c>
      <c r="C42" s="9">
        <v>36846.0</v>
      </c>
      <c r="D42" s="9">
        <v>87.0</v>
      </c>
    </row>
    <row r="43" ht="18.75" customHeight="1">
      <c r="A43" s="7" t="s">
        <v>3554</v>
      </c>
      <c r="B43" s="9">
        <v>7884.0</v>
      </c>
      <c r="C43" s="9">
        <v>7506.0</v>
      </c>
      <c r="D43" s="9">
        <v>158.0</v>
      </c>
    </row>
    <row r="44" ht="18.75" customHeight="1">
      <c r="A44" s="7" t="s">
        <v>3557</v>
      </c>
      <c r="B44" s="9">
        <v>22047.0</v>
      </c>
      <c r="C44" s="9">
        <v>2105.0</v>
      </c>
      <c r="D44" s="9">
        <v>322.0</v>
      </c>
    </row>
    <row r="45" ht="18.75" customHeight="1">
      <c r="A45" s="7" t="s">
        <v>3608</v>
      </c>
      <c r="B45" s="9">
        <v>11975.0</v>
      </c>
      <c r="C45" s="9">
        <v>11261.0</v>
      </c>
      <c r="D45" s="9">
        <v>157.0</v>
      </c>
    </row>
    <row r="46" ht="18.75" customHeight="1">
      <c r="A46" s="7" t="s">
        <v>3609</v>
      </c>
      <c r="B46" s="9">
        <v>245.0</v>
      </c>
      <c r="C46" s="9">
        <v>229.0</v>
      </c>
      <c r="D46" s="9">
        <v>6.0</v>
      </c>
    </row>
    <row r="47" ht="18.75" customHeight="1">
      <c r="A47" s="7" t="s">
        <v>3660</v>
      </c>
      <c r="B47" s="9">
        <v>3041.0</v>
      </c>
      <c r="C47" s="9">
        <v>3036.0</v>
      </c>
      <c r="D47" s="9">
        <v>61.0</v>
      </c>
    </row>
    <row r="48" ht="18.75" customHeight="1">
      <c r="A48" s="7" t="s">
        <v>3683</v>
      </c>
      <c r="B48" s="9">
        <v>167316.0</v>
      </c>
      <c r="C48" s="9">
        <v>166731.0</v>
      </c>
      <c r="D48" s="9">
        <v>655.0</v>
      </c>
    </row>
    <row r="49" ht="18.75" customHeight="1">
      <c r="A49" s="7" t="s">
        <v>396</v>
      </c>
      <c r="B49" s="9">
        <v>62485.0</v>
      </c>
      <c r="C49" s="9">
        <v>59237.0</v>
      </c>
      <c r="D49" s="9">
        <v>372.0</v>
      </c>
    </row>
    <row r="50" ht="18.75" customHeight="1">
      <c r="A50" s="7" t="s">
        <v>3010</v>
      </c>
      <c r="B50" s="9">
        <v>24509.0</v>
      </c>
      <c r="C50" s="9">
        <v>24253.0</v>
      </c>
      <c r="D50" s="18">
        <v>103.0</v>
      </c>
    </row>
    <row r="51" ht="18.75" customHeight="1">
      <c r="A51" s="7" t="s">
        <v>392</v>
      </c>
      <c r="B51" s="9">
        <v>44261.0</v>
      </c>
      <c r="C51" s="9">
        <v>42094.0</v>
      </c>
      <c r="D51" s="18">
        <v>432.0</v>
      </c>
    </row>
    <row r="52" ht="18.75" customHeight="1">
      <c r="A52" s="7" t="s">
        <v>388</v>
      </c>
      <c r="B52" s="9">
        <v>44842.0</v>
      </c>
      <c r="C52" s="9">
        <v>43029.0</v>
      </c>
      <c r="D52" s="18">
        <v>724.0</v>
      </c>
    </row>
    <row r="53" ht="18.75" customHeight="1">
      <c r="A53" s="7" t="s">
        <v>571</v>
      </c>
      <c r="B53" s="9">
        <v>35230.0</v>
      </c>
      <c r="C53" s="9">
        <v>32378.0</v>
      </c>
      <c r="D53" s="18">
        <v>364.0</v>
      </c>
    </row>
    <row r="54" ht="18.75" customHeight="1">
      <c r="A54" s="7" t="s">
        <v>557</v>
      </c>
      <c r="B54" s="9">
        <v>38263.0</v>
      </c>
      <c r="C54" s="9">
        <v>35939.0</v>
      </c>
      <c r="D54" s="18">
        <v>182.0</v>
      </c>
    </row>
    <row r="55" ht="18.75" customHeight="1">
      <c r="A55" s="7" t="s">
        <v>645</v>
      </c>
      <c r="B55" s="9">
        <v>34459.0</v>
      </c>
      <c r="C55" s="9">
        <v>32718.0</v>
      </c>
      <c r="D55" s="18">
        <v>132.0</v>
      </c>
    </row>
    <row r="56" ht="18.75" customHeight="1">
      <c r="A56" s="7" t="s">
        <v>717</v>
      </c>
      <c r="B56" s="9">
        <v>45689.0</v>
      </c>
      <c r="C56" s="9">
        <v>43898.0</v>
      </c>
      <c r="D56" s="18">
        <v>1288.0</v>
      </c>
    </row>
    <row r="57" ht="18.75" customHeight="1">
      <c r="A57" s="7" t="s">
        <v>569</v>
      </c>
      <c r="B57" s="9">
        <v>65784.0</v>
      </c>
      <c r="C57" s="9">
        <v>62454.0</v>
      </c>
      <c r="D57" s="18">
        <v>987.0</v>
      </c>
    </row>
    <row r="58" ht="18.75" customHeight="1">
      <c r="A58" s="7" t="s">
        <v>792</v>
      </c>
      <c r="B58" s="9">
        <v>26982.0</v>
      </c>
      <c r="C58" s="9">
        <v>25408.0</v>
      </c>
      <c r="D58" s="18">
        <v>177.0</v>
      </c>
    </row>
    <row r="59" ht="18.75" customHeight="1">
      <c r="A59" s="7" t="s">
        <v>817</v>
      </c>
      <c r="B59" s="9">
        <v>37725.0</v>
      </c>
      <c r="C59" s="9">
        <v>35618.0</v>
      </c>
      <c r="D59" s="18">
        <v>115.0</v>
      </c>
    </row>
    <row r="60" ht="18.75" customHeight="1">
      <c r="A60" s="7" t="s">
        <v>829</v>
      </c>
      <c r="B60" s="9">
        <v>25423.0</v>
      </c>
      <c r="C60" s="9">
        <v>24061.0</v>
      </c>
      <c r="D60" s="18">
        <v>2.0</v>
      </c>
    </row>
    <row r="61" ht="18.75" customHeight="1">
      <c r="A61" s="7" t="s">
        <v>809</v>
      </c>
      <c r="B61" s="9">
        <v>4110.0</v>
      </c>
      <c r="C61" s="9">
        <v>3558.0</v>
      </c>
      <c r="D61" s="18">
        <v>70.0</v>
      </c>
    </row>
    <row r="62" ht="18.75" customHeight="1">
      <c r="A62" s="7" t="s">
        <v>884</v>
      </c>
      <c r="B62" s="9">
        <v>64995.0</v>
      </c>
      <c r="C62" s="9">
        <v>61276.0</v>
      </c>
      <c r="D62" s="18">
        <v>197.0</v>
      </c>
    </row>
    <row r="63" ht="18.75" customHeight="1">
      <c r="A63" s="7" t="s">
        <v>2857</v>
      </c>
      <c r="B63" s="9">
        <v>82.0</v>
      </c>
      <c r="C63" s="9">
        <v>73.0</v>
      </c>
      <c r="D63" s="18">
        <v>15.0</v>
      </c>
    </row>
    <row r="64" ht="18.75" customHeight="1">
      <c r="A64" s="7" t="s">
        <v>1029</v>
      </c>
      <c r="B64" s="9">
        <v>432.0</v>
      </c>
      <c r="C64" s="9">
        <v>390.0</v>
      </c>
      <c r="D64" s="18">
        <v>0.0</v>
      </c>
    </row>
    <row r="65" ht="18.75" customHeight="1">
      <c r="A65" s="7" t="s">
        <v>1289</v>
      </c>
      <c r="B65" s="9">
        <v>58654.0</v>
      </c>
      <c r="C65" s="9">
        <v>55436.0</v>
      </c>
      <c r="D65" s="18">
        <v>563.0</v>
      </c>
    </row>
    <row r="66" ht="18.75" customHeight="1">
      <c r="A66" s="7" t="s">
        <v>926</v>
      </c>
      <c r="B66" s="9">
        <v>114104.0</v>
      </c>
      <c r="C66" s="9">
        <v>106582.0</v>
      </c>
      <c r="D66" s="18">
        <v>2976.0</v>
      </c>
    </row>
    <row r="67" ht="18.75" customHeight="1">
      <c r="A67" s="7" t="s">
        <v>1001</v>
      </c>
      <c r="B67" s="9">
        <v>9553.0</v>
      </c>
      <c r="C67" s="9">
        <v>9059.0</v>
      </c>
      <c r="D67" s="18">
        <v>163.0</v>
      </c>
    </row>
    <row r="68" ht="18.75" customHeight="1">
      <c r="A68" s="7" t="s">
        <v>1377</v>
      </c>
      <c r="B68" s="9">
        <v>20947.0</v>
      </c>
      <c r="C68" s="9">
        <v>19354.0</v>
      </c>
      <c r="D68" s="18">
        <v>471.0</v>
      </c>
    </row>
    <row r="69" ht="18.75" customHeight="1">
      <c r="A69" s="7" t="s">
        <v>1077</v>
      </c>
      <c r="B69" s="9">
        <v>82.0</v>
      </c>
      <c r="C69" s="9">
        <v>72.0</v>
      </c>
      <c r="D69" s="18">
        <v>10.0</v>
      </c>
    </row>
    <row r="70" ht="18.75" customHeight="1">
      <c r="A70" s="7" t="s">
        <v>1469</v>
      </c>
      <c r="B70" s="9">
        <v>40513.0</v>
      </c>
      <c r="C70" s="9">
        <v>39075.0</v>
      </c>
      <c r="D70" s="18">
        <v>433.0</v>
      </c>
    </row>
    <row r="71" ht="18.75" customHeight="1">
      <c r="A71" s="7" t="s">
        <v>1469</v>
      </c>
      <c r="B71" s="9">
        <v>40504.0</v>
      </c>
      <c r="C71" s="9">
        <v>38686.0</v>
      </c>
      <c r="D71" s="18">
        <v>433.0</v>
      </c>
    </row>
    <row r="72" ht="18.75" customHeight="1">
      <c r="A72" s="7" t="s">
        <v>1469</v>
      </c>
      <c r="B72" s="9">
        <v>40503.0</v>
      </c>
      <c r="C72" s="9">
        <v>16285.0</v>
      </c>
      <c r="D72" s="18">
        <v>430.0</v>
      </c>
    </row>
    <row r="73" ht="18.75" customHeight="1">
      <c r="A73" s="7" t="s">
        <v>1469</v>
      </c>
      <c r="B73" s="9">
        <v>40159.0</v>
      </c>
      <c r="C73" s="9">
        <v>37645.0</v>
      </c>
      <c r="D73" s="18">
        <v>433.0</v>
      </c>
    </row>
    <row r="74" ht="18.75" customHeight="1">
      <c r="A74" s="7" t="s">
        <v>1581</v>
      </c>
      <c r="B74" s="9">
        <v>27248.0</v>
      </c>
      <c r="C74" s="9">
        <v>25948.0</v>
      </c>
      <c r="D74" s="18">
        <v>0.0</v>
      </c>
    </row>
    <row r="75" ht="18.75" customHeight="1">
      <c r="A75" s="7" t="s">
        <v>1649</v>
      </c>
      <c r="B75" s="9">
        <v>1128.0</v>
      </c>
      <c r="C75" s="9">
        <v>1043.0</v>
      </c>
      <c r="D75" s="18">
        <v>32.0</v>
      </c>
    </row>
    <row r="76" ht="18.75" customHeight="1">
      <c r="A76" s="7" t="s">
        <v>1655</v>
      </c>
      <c r="B76" s="9">
        <v>33075.0</v>
      </c>
      <c r="C76" s="9">
        <v>31744.0</v>
      </c>
      <c r="D76" s="18">
        <v>649.0</v>
      </c>
    </row>
    <row r="77" ht="18.75" customHeight="1">
      <c r="A77" s="7" t="s">
        <v>1321</v>
      </c>
      <c r="B77" s="9">
        <v>40505.0</v>
      </c>
      <c r="C77" s="9">
        <v>37280.0</v>
      </c>
      <c r="D77" s="18">
        <v>0.0</v>
      </c>
    </row>
    <row r="78" ht="18.75" customHeight="1">
      <c r="A78" s="7" t="s">
        <v>1853</v>
      </c>
      <c r="B78" s="9">
        <v>1224.0</v>
      </c>
      <c r="C78" s="9">
        <v>1000.0</v>
      </c>
      <c r="D78" s="18">
        <v>15.0</v>
      </c>
    </row>
    <row r="79" ht="18.75" customHeight="1">
      <c r="A79" s="7" t="s">
        <v>1970</v>
      </c>
      <c r="B79" s="9">
        <v>7891.0</v>
      </c>
      <c r="C79" s="9">
        <v>7412.0</v>
      </c>
      <c r="D79" s="18">
        <v>233.0</v>
      </c>
    </row>
    <row r="80" ht="18.75" customHeight="1">
      <c r="A80" s="7" t="s">
        <v>1733</v>
      </c>
      <c r="B80" s="9">
        <v>140172.0</v>
      </c>
      <c r="C80" s="9">
        <v>131571.0</v>
      </c>
      <c r="D80" s="18">
        <v>436.0</v>
      </c>
    </row>
    <row r="81" ht="18.75" customHeight="1">
      <c r="A81" s="7" t="s">
        <v>1966</v>
      </c>
      <c r="B81" s="9">
        <v>4252.0</v>
      </c>
      <c r="C81" s="9">
        <v>3713.0</v>
      </c>
      <c r="D81" s="18">
        <v>97.0</v>
      </c>
    </row>
    <row r="82" ht="18.75" customHeight="1">
      <c r="A82" s="7" t="s">
        <v>2054</v>
      </c>
      <c r="B82" s="9">
        <v>36511.0</v>
      </c>
      <c r="C82" s="9">
        <v>34936.0</v>
      </c>
      <c r="D82" s="18">
        <v>0.0</v>
      </c>
    </row>
    <row r="83" ht="18.75" customHeight="1">
      <c r="A83" s="7" t="s">
        <v>2054</v>
      </c>
      <c r="B83" s="9">
        <v>36502.0</v>
      </c>
      <c r="C83" s="9">
        <v>34678.0</v>
      </c>
      <c r="D83" s="18">
        <v>0.0</v>
      </c>
    </row>
    <row r="84" ht="18.75" customHeight="1">
      <c r="A84" s="7" t="s">
        <v>2054</v>
      </c>
      <c r="B84" s="9">
        <v>37167.0</v>
      </c>
      <c r="C84" s="9">
        <v>13147.0</v>
      </c>
      <c r="D84" s="18">
        <v>0.0</v>
      </c>
    </row>
    <row r="85" ht="18.75" customHeight="1">
      <c r="A85" s="7" t="s">
        <v>1966</v>
      </c>
      <c r="B85" s="9">
        <v>23.0</v>
      </c>
      <c r="C85" s="9">
        <v>21.0</v>
      </c>
      <c r="D85" s="18">
        <v>4.0</v>
      </c>
    </row>
    <row r="86" ht="18.75" customHeight="1">
      <c r="A86" s="7" t="s">
        <v>2094</v>
      </c>
      <c r="B86" s="12"/>
      <c r="C86" s="12"/>
    </row>
    <row r="87" ht="18.75" customHeight="1">
      <c r="B87" s="12"/>
      <c r="C87" s="12"/>
    </row>
    <row r="88" ht="18.75" customHeight="1">
      <c r="B88" s="12"/>
      <c r="C88" s="12"/>
    </row>
    <row r="89" ht="18.75" customHeight="1">
      <c r="B89" s="12"/>
      <c r="C89" s="12"/>
    </row>
    <row r="90" ht="18.75" customHeight="1">
      <c r="B90" s="12"/>
      <c r="C90" s="12"/>
    </row>
    <row r="91" ht="18.75" customHeight="1">
      <c r="B91" s="12"/>
      <c r="C91" s="12"/>
    </row>
    <row r="92" ht="18.75" customHeight="1">
      <c r="B92" s="12"/>
      <c r="C92" s="12"/>
    </row>
    <row r="93" ht="18.75" customHeight="1">
      <c r="B93" s="12"/>
      <c r="C93" s="12"/>
    </row>
    <row r="94" ht="18.75" customHeight="1">
      <c r="B94" s="12"/>
      <c r="C94" s="12"/>
    </row>
    <row r="95" ht="18.75" customHeight="1">
      <c r="B95" s="12"/>
      <c r="C95" s="12"/>
    </row>
    <row r="96" ht="18.75" customHeight="1">
      <c r="B96" s="12"/>
      <c r="C96" s="12"/>
    </row>
    <row r="97" ht="18.75" customHeight="1">
      <c r="B97" s="12"/>
      <c r="C97" s="12"/>
    </row>
    <row r="98" ht="18.75" customHeight="1">
      <c r="B98" s="12"/>
      <c r="C98" s="12"/>
    </row>
    <row r="99" ht="18.75" customHeight="1">
      <c r="B99" s="12"/>
      <c r="C99" s="12"/>
    </row>
    <row r="100" ht="18.75" customHeight="1">
      <c r="B100" s="12"/>
      <c r="C100" s="12"/>
    </row>
    <row r="101" ht="18.75" customHeight="1">
      <c r="B101" s="12"/>
      <c r="C101" s="12"/>
    </row>
    <row r="102" ht="18.75" customHeight="1">
      <c r="B102" s="12"/>
      <c r="C102" s="12"/>
    </row>
    <row r="103" ht="18.75" customHeight="1">
      <c r="B103" s="12"/>
      <c r="C103" s="12"/>
    </row>
    <row r="104" ht="18.75" customHeight="1">
      <c r="B104" s="12"/>
      <c r="C104" s="12"/>
    </row>
    <row r="105" ht="18.75" customHeight="1">
      <c r="B105" s="12"/>
      <c r="C105" s="12"/>
    </row>
    <row r="106" ht="18.75" customHeight="1">
      <c r="B106" s="12"/>
      <c r="C106" s="12"/>
    </row>
    <row r="107" ht="18.75" customHeight="1">
      <c r="B107" s="12"/>
      <c r="C107" s="12"/>
    </row>
    <row r="108" ht="18.75" customHeight="1">
      <c r="B108" s="12"/>
      <c r="C108" s="12"/>
    </row>
    <row r="109" ht="18.75" customHeight="1">
      <c r="B109" s="12"/>
      <c r="C109" s="12"/>
    </row>
    <row r="110" ht="18.75" customHeight="1">
      <c r="B110" s="12"/>
      <c r="C110" s="12"/>
    </row>
    <row r="111" ht="18.75" customHeight="1">
      <c r="B111" s="12"/>
      <c r="C111" s="12"/>
    </row>
    <row r="112" ht="18.75" customHeight="1">
      <c r="B112" s="12"/>
      <c r="C112" s="12"/>
    </row>
    <row r="113" ht="18.75" customHeight="1">
      <c r="B113" s="12"/>
      <c r="C113" s="12"/>
    </row>
    <row r="114" ht="18.75" customHeight="1">
      <c r="B114" s="12"/>
      <c r="C114" s="12"/>
    </row>
    <row r="115" ht="18.75" customHeight="1">
      <c r="B115" s="12"/>
      <c r="C115" s="12"/>
    </row>
    <row r="116" ht="18.75" customHeight="1">
      <c r="B116" s="12"/>
      <c r="C116" s="12"/>
    </row>
    <row r="117" ht="18.75" customHeight="1">
      <c r="B117" s="12"/>
      <c r="C117" s="12"/>
    </row>
    <row r="118" ht="18.75" customHeight="1">
      <c r="B118" s="12"/>
      <c r="C118" s="12"/>
    </row>
    <row r="119" ht="18.75" customHeight="1">
      <c r="B119" s="12"/>
      <c r="C119" s="12"/>
    </row>
    <row r="120" ht="18.75" customHeight="1">
      <c r="B120" s="12"/>
      <c r="C120" s="12"/>
    </row>
    <row r="121" ht="18.75" customHeight="1">
      <c r="B121" s="12"/>
      <c r="C121" s="12"/>
    </row>
    <row r="122" ht="18.75" customHeight="1">
      <c r="B122" s="12"/>
      <c r="C122" s="12"/>
    </row>
    <row r="123" ht="18.75" customHeight="1">
      <c r="B123" s="12"/>
      <c r="C123" s="12"/>
    </row>
    <row r="124" ht="18.75" customHeight="1">
      <c r="B124" s="12"/>
      <c r="C124" s="12"/>
    </row>
    <row r="125" ht="18.75" customHeight="1">
      <c r="B125" s="12"/>
      <c r="C125" s="12"/>
    </row>
    <row r="126" ht="18.75" customHeight="1">
      <c r="B126" s="12"/>
      <c r="C126" s="12"/>
    </row>
    <row r="127" ht="18.75" customHeight="1">
      <c r="B127" s="12"/>
      <c r="C127" s="12"/>
    </row>
    <row r="128" ht="18.75" customHeight="1">
      <c r="B128" s="12"/>
      <c r="C128" s="12"/>
    </row>
    <row r="129" ht="18.75" customHeight="1">
      <c r="B129" s="12"/>
      <c r="C129" s="12"/>
    </row>
    <row r="130" ht="18.75" customHeight="1">
      <c r="B130" s="12"/>
      <c r="C130" s="12"/>
    </row>
    <row r="131" ht="18.75" customHeight="1">
      <c r="B131" s="12"/>
      <c r="C131" s="12"/>
    </row>
    <row r="132" ht="18.75" customHeight="1">
      <c r="B132" s="12"/>
      <c r="C132" s="12"/>
    </row>
    <row r="133" ht="18.75" customHeight="1">
      <c r="B133" s="12"/>
      <c r="C133" s="12"/>
    </row>
    <row r="134" ht="18.75" customHeight="1">
      <c r="B134" s="12"/>
      <c r="C134" s="12"/>
    </row>
    <row r="135" ht="18.75" customHeight="1">
      <c r="B135" s="12"/>
      <c r="C135" s="12"/>
    </row>
    <row r="136" ht="18.75" customHeight="1">
      <c r="B136" s="12"/>
      <c r="C136" s="12"/>
    </row>
    <row r="137" ht="18.75" customHeight="1">
      <c r="B137" s="12"/>
      <c r="C137" s="12"/>
    </row>
    <row r="138" ht="18.75" customHeight="1">
      <c r="B138" s="12"/>
      <c r="C138" s="12"/>
    </row>
    <row r="139" ht="18.75" customHeight="1">
      <c r="B139" s="12"/>
      <c r="C139" s="12"/>
    </row>
    <row r="140" ht="18.75" customHeight="1">
      <c r="B140" s="12"/>
      <c r="C140" s="12"/>
    </row>
    <row r="141" ht="18.75" customHeight="1">
      <c r="B141" s="12"/>
      <c r="C141" s="12"/>
    </row>
    <row r="142" ht="18.75" customHeight="1">
      <c r="B142" s="12"/>
      <c r="C142" s="12"/>
    </row>
    <row r="143" ht="18.75" customHeight="1">
      <c r="B143" s="12"/>
      <c r="C143" s="12"/>
    </row>
    <row r="144" ht="18.75" customHeight="1">
      <c r="B144" s="12"/>
      <c r="C144" s="12"/>
    </row>
    <row r="145" ht="18.75" customHeight="1">
      <c r="B145" s="12"/>
      <c r="C145" s="12"/>
    </row>
    <row r="146" ht="18.75" customHeight="1">
      <c r="B146" s="12"/>
      <c r="C146" s="12"/>
    </row>
    <row r="147" ht="18.75" customHeight="1">
      <c r="B147" s="12"/>
      <c r="C147" s="12"/>
    </row>
    <row r="148" ht="18.75" customHeight="1">
      <c r="B148" s="12"/>
      <c r="C148" s="12"/>
    </row>
    <row r="149" ht="18.75" customHeight="1">
      <c r="B149" s="12"/>
      <c r="C149" s="12"/>
    </row>
    <row r="150" ht="18.75" customHeight="1">
      <c r="B150" s="12"/>
      <c r="C150" s="12"/>
    </row>
    <row r="151" ht="18.75" customHeight="1">
      <c r="B151" s="12"/>
      <c r="C151" s="12"/>
    </row>
    <row r="152" ht="18.75" customHeight="1">
      <c r="B152" s="12"/>
      <c r="C152" s="12"/>
    </row>
    <row r="153" ht="18.75" customHeight="1">
      <c r="B153" s="12"/>
      <c r="C153" s="12"/>
    </row>
    <row r="154" ht="18.75" customHeight="1">
      <c r="B154" s="12"/>
      <c r="C154" s="12"/>
    </row>
    <row r="155" ht="18.75" customHeight="1">
      <c r="B155" s="12"/>
      <c r="C155" s="12"/>
    </row>
    <row r="156" ht="18.75" customHeight="1">
      <c r="B156" s="12"/>
      <c r="C156" s="12"/>
    </row>
    <row r="157" ht="18.75" customHeight="1">
      <c r="B157" s="12"/>
      <c r="C157" s="12"/>
    </row>
    <row r="158" ht="18.75" customHeight="1">
      <c r="B158" s="12"/>
      <c r="C158" s="12"/>
    </row>
    <row r="159" ht="18.75" customHeight="1">
      <c r="B159" s="12"/>
      <c r="C159" s="12"/>
    </row>
    <row r="160" ht="18.75" customHeight="1">
      <c r="B160" s="12"/>
      <c r="C160" s="12"/>
    </row>
    <row r="161" ht="18.75" customHeight="1">
      <c r="B161" s="12"/>
      <c r="C161" s="12"/>
    </row>
    <row r="162" ht="18.75" customHeight="1">
      <c r="B162" s="12"/>
      <c r="C162" s="12"/>
    </row>
    <row r="163" ht="18.75" customHeight="1">
      <c r="B163" s="12"/>
      <c r="C163" s="12"/>
    </row>
    <row r="164" ht="18.75" customHeight="1">
      <c r="B164" s="12"/>
      <c r="C164" s="12"/>
    </row>
    <row r="165" ht="18.75" customHeight="1">
      <c r="B165" s="12"/>
      <c r="C165" s="12"/>
    </row>
    <row r="166" ht="18.75" customHeight="1">
      <c r="B166" s="12"/>
      <c r="C166" s="12"/>
    </row>
    <row r="167" ht="18.75" customHeight="1">
      <c r="B167" s="12"/>
      <c r="C167" s="12"/>
    </row>
    <row r="168" ht="18.75" customHeight="1">
      <c r="B168" s="12"/>
      <c r="C168" s="12"/>
    </row>
    <row r="169" ht="18.75" customHeight="1">
      <c r="B169" s="12"/>
      <c r="C169" s="12"/>
    </row>
    <row r="170" ht="18.75" customHeight="1">
      <c r="B170" s="12"/>
      <c r="C170" s="12"/>
    </row>
    <row r="171" ht="18.75" customHeight="1">
      <c r="B171" s="12"/>
      <c r="C171" s="12"/>
    </row>
    <row r="172" ht="18.75" customHeight="1">
      <c r="B172" s="12"/>
      <c r="C172" s="12"/>
    </row>
    <row r="173" ht="18.75" customHeight="1">
      <c r="B173" s="12"/>
      <c r="C173" s="12"/>
    </row>
    <row r="174" ht="18.75" customHeight="1">
      <c r="B174" s="12"/>
      <c r="C174" s="12"/>
    </row>
    <row r="175" ht="18.75" customHeight="1">
      <c r="B175" s="12"/>
      <c r="C175" s="12"/>
    </row>
    <row r="176" ht="18.75" customHeight="1">
      <c r="B176" s="12"/>
      <c r="C176" s="12"/>
    </row>
    <row r="177" ht="18.75" customHeight="1">
      <c r="B177" s="12"/>
      <c r="C177" s="12"/>
    </row>
    <row r="178" ht="18.75" customHeight="1">
      <c r="B178" s="12"/>
      <c r="C178" s="12"/>
    </row>
    <row r="179" ht="18.75" customHeight="1">
      <c r="B179" s="12"/>
      <c r="C179" s="12"/>
    </row>
    <row r="180" ht="18.75" customHeight="1">
      <c r="B180" s="12"/>
      <c r="C180" s="12"/>
    </row>
    <row r="181" ht="18.75" customHeight="1">
      <c r="B181" s="12"/>
      <c r="C181" s="12"/>
    </row>
    <row r="182" ht="18.75" customHeight="1">
      <c r="B182" s="12"/>
      <c r="C182" s="12"/>
    </row>
    <row r="183" ht="18.75" customHeight="1">
      <c r="B183" s="12"/>
      <c r="C183" s="12"/>
    </row>
    <row r="184" ht="18.75" customHeight="1">
      <c r="B184" s="12"/>
      <c r="C184" s="12"/>
    </row>
    <row r="185" ht="18.75" customHeight="1">
      <c r="B185" s="12"/>
      <c r="C185" s="12"/>
    </row>
    <row r="186" ht="18.75" customHeight="1">
      <c r="B186" s="12"/>
      <c r="C186" s="12"/>
    </row>
    <row r="187" ht="18.75" customHeight="1">
      <c r="B187" s="12"/>
      <c r="C187" s="12"/>
    </row>
    <row r="188" ht="18.75" customHeight="1">
      <c r="B188" s="12"/>
      <c r="C188" s="12"/>
    </row>
    <row r="189" ht="18.75" customHeight="1">
      <c r="B189" s="12"/>
      <c r="C189" s="12"/>
    </row>
    <row r="190" ht="18.75" customHeight="1">
      <c r="B190" s="12"/>
      <c r="C190" s="12"/>
    </row>
    <row r="191" ht="18.75" customHeight="1">
      <c r="B191" s="12"/>
      <c r="C191" s="12"/>
    </row>
    <row r="192" ht="18.75" customHeight="1">
      <c r="B192" s="12"/>
      <c r="C192" s="12"/>
    </row>
    <row r="193" ht="18.75" customHeight="1">
      <c r="B193" s="12"/>
      <c r="C193" s="12"/>
    </row>
    <row r="194" ht="18.75" customHeight="1">
      <c r="B194" s="12"/>
      <c r="C194" s="12"/>
    </row>
    <row r="195" ht="18.75" customHeight="1">
      <c r="B195" s="12"/>
      <c r="C195" s="12"/>
    </row>
    <row r="196" ht="18.75" customHeight="1">
      <c r="B196" s="12"/>
      <c r="C196" s="12"/>
    </row>
    <row r="197" ht="18.75" customHeight="1">
      <c r="B197" s="12"/>
      <c r="C197" s="12"/>
    </row>
    <row r="198" ht="18.75" customHeight="1">
      <c r="B198" s="12"/>
      <c r="C198" s="12"/>
    </row>
    <row r="199" ht="18.75" customHeight="1">
      <c r="B199" s="12"/>
      <c r="C199" s="12"/>
    </row>
    <row r="200" ht="18.75" customHeight="1">
      <c r="B200" s="12"/>
      <c r="C200" s="12"/>
    </row>
    <row r="201" ht="18.75" customHeight="1">
      <c r="B201" s="12"/>
      <c r="C201" s="12"/>
    </row>
    <row r="202" ht="18.75" customHeight="1">
      <c r="B202" s="12"/>
      <c r="C202" s="12"/>
    </row>
    <row r="203" ht="18.75" customHeight="1">
      <c r="B203" s="12"/>
      <c r="C203" s="12"/>
    </row>
    <row r="204" ht="18.75" customHeight="1">
      <c r="B204" s="12"/>
      <c r="C204" s="12"/>
    </row>
    <row r="205" ht="18.75" customHeight="1">
      <c r="B205" s="12"/>
      <c r="C205" s="12"/>
    </row>
    <row r="206" ht="18.75" customHeight="1">
      <c r="B206" s="12"/>
      <c r="C206" s="12"/>
    </row>
    <row r="207" ht="18.75" customHeight="1">
      <c r="B207" s="12"/>
      <c r="C207" s="12"/>
    </row>
    <row r="208" ht="18.75" customHeight="1">
      <c r="B208" s="12"/>
      <c r="C208" s="12"/>
    </row>
    <row r="209" ht="18.75" customHeight="1">
      <c r="B209" s="12"/>
      <c r="C209" s="12"/>
    </row>
    <row r="210" ht="18.75" customHeight="1">
      <c r="B210" s="12"/>
      <c r="C210" s="12"/>
    </row>
    <row r="211" ht="18.75" customHeight="1">
      <c r="B211" s="12"/>
      <c r="C211" s="12"/>
    </row>
    <row r="212" ht="18.75" customHeight="1">
      <c r="B212" s="12"/>
      <c r="C212" s="12"/>
    </row>
    <row r="213" ht="18.75" customHeight="1">
      <c r="B213" s="12"/>
      <c r="C213" s="12"/>
    </row>
    <row r="214" ht="18.75" customHeight="1">
      <c r="B214" s="12"/>
      <c r="C214" s="12"/>
    </row>
    <row r="215" ht="18.75" customHeight="1">
      <c r="B215" s="12"/>
      <c r="C215" s="12"/>
    </row>
    <row r="216" ht="18.75" customHeight="1">
      <c r="B216" s="12"/>
      <c r="C216" s="12"/>
    </row>
    <row r="217" ht="18.75" customHeight="1">
      <c r="B217" s="12"/>
      <c r="C217" s="12"/>
    </row>
    <row r="218" ht="18.75" customHeight="1">
      <c r="B218" s="12"/>
      <c r="C218" s="12"/>
    </row>
    <row r="219" ht="18.75" customHeight="1">
      <c r="B219" s="12"/>
      <c r="C219" s="12"/>
    </row>
    <row r="220" ht="18.75" customHeight="1">
      <c r="B220" s="12"/>
      <c r="C220" s="12"/>
    </row>
    <row r="221" ht="18.75" customHeight="1">
      <c r="B221" s="12"/>
      <c r="C221" s="12"/>
    </row>
    <row r="222" ht="18.75" customHeight="1">
      <c r="B222" s="12"/>
      <c r="C222" s="12"/>
    </row>
    <row r="223" ht="18.75" customHeight="1">
      <c r="B223" s="12"/>
      <c r="C223" s="12"/>
    </row>
    <row r="224" ht="18.75" customHeight="1">
      <c r="B224" s="12"/>
      <c r="C224" s="12"/>
    </row>
    <row r="225" ht="18.75" customHeight="1">
      <c r="B225" s="12"/>
      <c r="C225" s="12"/>
    </row>
    <row r="226" ht="18.75" customHeight="1">
      <c r="B226" s="12"/>
      <c r="C226" s="12"/>
    </row>
    <row r="227" ht="18.75" customHeight="1">
      <c r="B227" s="12"/>
      <c r="C227" s="12"/>
    </row>
    <row r="228" ht="18.75" customHeight="1">
      <c r="B228" s="12"/>
      <c r="C228" s="12"/>
    </row>
    <row r="229" ht="18.75" customHeight="1">
      <c r="B229" s="12"/>
      <c r="C229" s="12"/>
    </row>
    <row r="230" ht="18.75" customHeight="1">
      <c r="B230" s="12"/>
      <c r="C230" s="12"/>
    </row>
    <row r="231" ht="18.75" customHeight="1">
      <c r="B231" s="12"/>
      <c r="C231" s="12"/>
    </row>
    <row r="232" ht="18.75" customHeight="1">
      <c r="B232" s="12"/>
      <c r="C232" s="12"/>
    </row>
    <row r="233" ht="18.75" customHeight="1">
      <c r="B233" s="12"/>
      <c r="C233" s="12"/>
    </row>
    <row r="234" ht="18.75" customHeight="1">
      <c r="B234" s="12"/>
      <c r="C234" s="12"/>
    </row>
    <row r="235" ht="18.75" customHeight="1">
      <c r="B235" s="12"/>
      <c r="C235" s="12"/>
    </row>
    <row r="236" ht="18.75" customHeight="1">
      <c r="B236" s="12"/>
      <c r="C236" s="12"/>
    </row>
    <row r="237" ht="18.75" customHeight="1">
      <c r="B237" s="12"/>
      <c r="C237" s="12"/>
    </row>
    <row r="238" ht="18.75" customHeight="1">
      <c r="B238" s="12"/>
      <c r="C238" s="12"/>
    </row>
    <row r="239" ht="18.75" customHeight="1">
      <c r="B239" s="12"/>
      <c r="C239" s="12"/>
    </row>
    <row r="240" ht="18.75" customHeight="1">
      <c r="B240" s="12"/>
      <c r="C240" s="12"/>
    </row>
    <row r="241" ht="18.75" customHeight="1">
      <c r="B241" s="12"/>
      <c r="C241" s="12"/>
    </row>
    <row r="242" ht="18.75" customHeight="1">
      <c r="B242" s="12"/>
      <c r="C242" s="12"/>
    </row>
    <row r="243" ht="18.75" customHeight="1">
      <c r="B243" s="12"/>
      <c r="C243" s="12"/>
    </row>
    <row r="244" ht="18.75" customHeight="1">
      <c r="B244" s="12"/>
      <c r="C244" s="12"/>
    </row>
    <row r="245" ht="18.75" customHeight="1">
      <c r="B245" s="12"/>
      <c r="C245" s="12"/>
    </row>
    <row r="246" ht="18.75" customHeight="1">
      <c r="B246" s="12"/>
      <c r="C246" s="12"/>
    </row>
    <row r="247" ht="18.75" customHeight="1">
      <c r="B247" s="12"/>
      <c r="C247" s="12"/>
    </row>
    <row r="248" ht="18.75" customHeight="1">
      <c r="B248" s="12"/>
      <c r="C248" s="12"/>
    </row>
    <row r="249" ht="18.75" customHeight="1">
      <c r="B249" s="12"/>
      <c r="C249" s="12"/>
    </row>
    <row r="250" ht="18.75" customHeight="1">
      <c r="B250" s="12"/>
      <c r="C250" s="12"/>
    </row>
    <row r="251" ht="18.75" customHeight="1">
      <c r="B251" s="12"/>
      <c r="C251" s="12"/>
    </row>
    <row r="252" ht="18.75" customHeight="1">
      <c r="B252" s="12"/>
      <c r="C252" s="12"/>
    </row>
    <row r="253" ht="18.75" customHeight="1">
      <c r="B253" s="12"/>
      <c r="C253" s="12"/>
    </row>
    <row r="254" ht="18.75" customHeight="1">
      <c r="B254" s="12"/>
      <c r="C254" s="12"/>
    </row>
    <row r="255" ht="18.75" customHeight="1">
      <c r="B255" s="12"/>
      <c r="C255" s="12"/>
    </row>
    <row r="256" ht="18.75" customHeight="1">
      <c r="B256" s="12"/>
      <c r="C256" s="12"/>
    </row>
    <row r="257" ht="18.75" customHeight="1">
      <c r="B257" s="12"/>
      <c r="C257" s="12"/>
    </row>
    <row r="258" ht="18.75" customHeight="1">
      <c r="B258" s="12"/>
      <c r="C258" s="12"/>
    </row>
    <row r="259" ht="18.75" customHeight="1">
      <c r="B259" s="12"/>
      <c r="C259" s="12"/>
    </row>
    <row r="260" ht="18.75" customHeight="1">
      <c r="B260" s="12"/>
      <c r="C260" s="12"/>
    </row>
    <row r="261" ht="18.75" customHeight="1">
      <c r="B261" s="12"/>
      <c r="C261" s="12"/>
    </row>
    <row r="262" ht="18.75" customHeight="1">
      <c r="B262" s="12"/>
      <c r="C262" s="12"/>
    </row>
    <row r="263" ht="18.75" customHeight="1">
      <c r="B263" s="12"/>
      <c r="C263" s="12"/>
    </row>
    <row r="264" ht="18.75" customHeight="1">
      <c r="B264" s="12"/>
      <c r="C264" s="12"/>
    </row>
    <row r="265" ht="18.75" customHeight="1">
      <c r="B265" s="12"/>
      <c r="C265" s="12"/>
    </row>
    <row r="266" ht="18.75" customHeight="1">
      <c r="B266" s="12"/>
      <c r="C266" s="12"/>
    </row>
    <row r="267" ht="18.75" customHeight="1">
      <c r="B267" s="12"/>
      <c r="C267" s="12"/>
    </row>
    <row r="268" ht="18.75" customHeight="1">
      <c r="B268" s="12"/>
      <c r="C268" s="12"/>
    </row>
    <row r="269" ht="18.75" customHeight="1">
      <c r="B269" s="12"/>
      <c r="C269" s="12"/>
    </row>
    <row r="270" ht="18.75" customHeight="1">
      <c r="B270" s="12"/>
      <c r="C270" s="12"/>
    </row>
    <row r="271" ht="18.75" customHeight="1">
      <c r="B271" s="12"/>
      <c r="C271" s="12"/>
    </row>
    <row r="272" ht="18.75" customHeight="1">
      <c r="B272" s="12"/>
      <c r="C272" s="12"/>
    </row>
    <row r="273" ht="18.75" customHeight="1">
      <c r="B273" s="12"/>
      <c r="C273" s="12"/>
    </row>
    <row r="274" ht="18.75" customHeight="1">
      <c r="B274" s="12"/>
      <c r="C274" s="12"/>
    </row>
    <row r="275" ht="18.75" customHeight="1">
      <c r="B275" s="12"/>
      <c r="C275" s="12"/>
    </row>
    <row r="276" ht="18.75" customHeight="1">
      <c r="B276" s="12"/>
      <c r="C276" s="12"/>
    </row>
    <row r="277" ht="18.75" customHeight="1">
      <c r="B277" s="12"/>
      <c r="C277" s="12"/>
    </row>
    <row r="278" ht="18.75" customHeight="1">
      <c r="B278" s="12"/>
      <c r="C278" s="12"/>
    </row>
    <row r="279" ht="18.75" customHeight="1">
      <c r="B279" s="12"/>
      <c r="C279" s="12"/>
    </row>
    <row r="280" ht="18.75" customHeight="1">
      <c r="B280" s="12"/>
      <c r="C280" s="12"/>
    </row>
    <row r="281" ht="18.75" customHeight="1">
      <c r="B281" s="12"/>
      <c r="C281" s="12"/>
    </row>
    <row r="282" ht="18.75" customHeight="1">
      <c r="B282" s="12"/>
      <c r="C282" s="12"/>
    </row>
    <row r="283" ht="18.75" customHeight="1">
      <c r="B283" s="12"/>
      <c r="C283" s="12"/>
    </row>
    <row r="284" ht="18.75" customHeight="1">
      <c r="B284" s="12"/>
      <c r="C284" s="12"/>
    </row>
    <row r="285" ht="18.75" customHeight="1">
      <c r="B285" s="12"/>
      <c r="C285" s="12"/>
    </row>
    <row r="286" ht="18.75" customHeight="1">
      <c r="B286" s="12"/>
      <c r="C286" s="12"/>
    </row>
    <row r="287" ht="18.75" customHeight="1">
      <c r="B287" s="12"/>
      <c r="C287" s="12"/>
    </row>
    <row r="288" ht="18.75" customHeight="1">
      <c r="B288" s="12"/>
      <c r="C288" s="12"/>
    </row>
    <row r="289" ht="18.75" customHeight="1">
      <c r="B289" s="12"/>
      <c r="C289" s="12"/>
    </row>
    <row r="290" ht="18.75" customHeight="1">
      <c r="B290" s="12"/>
      <c r="C290" s="12"/>
    </row>
    <row r="291" ht="18.75" customHeight="1">
      <c r="B291" s="12"/>
      <c r="C291" s="12"/>
    </row>
    <row r="292" ht="18.75" customHeight="1">
      <c r="B292" s="12"/>
      <c r="C292" s="12"/>
    </row>
    <row r="293" ht="18.75" customHeight="1">
      <c r="B293" s="12"/>
      <c r="C293" s="12"/>
    </row>
    <row r="294" ht="18.75" customHeight="1">
      <c r="B294" s="12"/>
      <c r="C294" s="12"/>
    </row>
    <row r="295" ht="18.75" customHeight="1">
      <c r="B295" s="12"/>
      <c r="C295" s="12"/>
    </row>
    <row r="296" ht="18.75" customHeight="1">
      <c r="B296" s="12"/>
      <c r="C296" s="12"/>
    </row>
    <row r="297" ht="18.75" customHeight="1">
      <c r="B297" s="12"/>
      <c r="C297" s="12"/>
    </row>
    <row r="298" ht="18.75" customHeight="1">
      <c r="B298" s="12"/>
      <c r="C298" s="12"/>
    </row>
    <row r="299" ht="18.75" customHeight="1">
      <c r="B299" s="12"/>
      <c r="C299" s="12"/>
    </row>
    <row r="300" ht="18.75" customHeight="1">
      <c r="B300" s="12"/>
      <c r="C300" s="12"/>
    </row>
    <row r="301" ht="18.75" customHeight="1">
      <c r="B301" s="12"/>
      <c r="C301" s="12"/>
    </row>
    <row r="302" ht="18.75" customHeight="1">
      <c r="B302" s="12"/>
      <c r="C302" s="12"/>
    </row>
    <row r="303" ht="18.75" customHeight="1">
      <c r="B303" s="12"/>
      <c r="C303" s="12"/>
    </row>
    <row r="304" ht="18.75" customHeight="1">
      <c r="B304" s="12"/>
      <c r="C304" s="12"/>
    </row>
    <row r="305" ht="18.75" customHeight="1">
      <c r="B305" s="12"/>
      <c r="C305" s="12"/>
    </row>
    <row r="306" ht="18.75" customHeight="1">
      <c r="B306" s="12"/>
      <c r="C306" s="12"/>
    </row>
    <row r="307" ht="18.75" customHeight="1">
      <c r="B307" s="12"/>
      <c r="C307" s="12"/>
    </row>
    <row r="308" ht="18.75" customHeight="1">
      <c r="B308" s="12"/>
      <c r="C308" s="12"/>
    </row>
    <row r="309" ht="18.75" customHeight="1">
      <c r="B309" s="12"/>
      <c r="C309" s="12"/>
    </row>
    <row r="310" ht="18.75" customHeight="1">
      <c r="B310" s="12"/>
      <c r="C310" s="12"/>
    </row>
    <row r="311" ht="18.75" customHeight="1">
      <c r="B311" s="12"/>
      <c r="C311" s="12"/>
    </row>
    <row r="312" ht="18.75" customHeight="1">
      <c r="B312" s="12"/>
      <c r="C312" s="12"/>
    </row>
    <row r="313" ht="18.75" customHeight="1">
      <c r="B313" s="12"/>
      <c r="C313" s="12"/>
    </row>
    <row r="314" ht="18.75" customHeight="1">
      <c r="B314" s="12"/>
      <c r="C314" s="12"/>
    </row>
    <row r="315" ht="18.75" customHeight="1">
      <c r="B315" s="12"/>
      <c r="C315" s="12"/>
    </row>
    <row r="316" ht="18.75" customHeight="1">
      <c r="B316" s="12"/>
      <c r="C316" s="12"/>
    </row>
    <row r="317" ht="18.75" customHeight="1">
      <c r="B317" s="12"/>
      <c r="C317" s="12"/>
    </row>
    <row r="318" ht="18.75" customHeight="1">
      <c r="B318" s="12"/>
      <c r="C318" s="12"/>
    </row>
    <row r="319" ht="18.75" customHeight="1">
      <c r="B319" s="12"/>
      <c r="C319" s="12"/>
    </row>
    <row r="320" ht="18.75" customHeight="1">
      <c r="B320" s="12"/>
      <c r="C320" s="12"/>
    </row>
    <row r="321" ht="18.75" customHeight="1">
      <c r="B321" s="12"/>
      <c r="C321" s="12"/>
    </row>
    <row r="322" ht="18.75" customHeight="1">
      <c r="B322" s="12"/>
      <c r="C322" s="12"/>
    </row>
    <row r="323" ht="18.75" customHeight="1">
      <c r="B323" s="12"/>
      <c r="C323" s="12"/>
    </row>
    <row r="324" ht="18.75" customHeight="1">
      <c r="B324" s="12"/>
      <c r="C324" s="12"/>
    </row>
    <row r="325" ht="18.75" customHeight="1">
      <c r="B325" s="12"/>
      <c r="C325" s="12"/>
    </row>
    <row r="326" ht="18.75" customHeight="1">
      <c r="B326" s="12"/>
      <c r="C326" s="12"/>
    </row>
    <row r="327" ht="18.75" customHeight="1">
      <c r="B327" s="12"/>
      <c r="C327" s="12"/>
    </row>
    <row r="328" ht="18.75" customHeight="1">
      <c r="B328" s="12"/>
      <c r="C328" s="12"/>
    </row>
    <row r="329" ht="18.75" customHeight="1">
      <c r="B329" s="12"/>
      <c r="C329" s="12"/>
    </row>
    <row r="330" ht="18.75" customHeight="1">
      <c r="B330" s="12"/>
      <c r="C330" s="12"/>
    </row>
    <row r="331" ht="18.75" customHeight="1">
      <c r="B331" s="12"/>
      <c r="C331" s="12"/>
    </row>
    <row r="332" ht="18.75" customHeight="1">
      <c r="B332" s="12"/>
      <c r="C332" s="12"/>
    </row>
    <row r="333" ht="18.75" customHeight="1">
      <c r="B333" s="12"/>
      <c r="C333" s="12"/>
    </row>
    <row r="334" ht="18.75" customHeight="1">
      <c r="B334" s="12"/>
      <c r="C334" s="12"/>
    </row>
    <row r="335" ht="18.75" customHeight="1">
      <c r="B335" s="12"/>
      <c r="C335" s="12"/>
    </row>
    <row r="336" ht="18.75" customHeight="1">
      <c r="B336" s="12"/>
      <c r="C336" s="12"/>
    </row>
    <row r="337" ht="18.75" customHeight="1">
      <c r="B337" s="12"/>
      <c r="C337" s="12"/>
    </row>
    <row r="338" ht="18.75" customHeight="1">
      <c r="B338" s="12"/>
      <c r="C338" s="12"/>
    </row>
    <row r="339" ht="18.75" customHeight="1">
      <c r="B339" s="12"/>
      <c r="C339" s="12"/>
    </row>
    <row r="340" ht="18.75" customHeight="1">
      <c r="B340" s="12"/>
      <c r="C340" s="12"/>
    </row>
    <row r="341" ht="18.75" customHeight="1">
      <c r="B341" s="12"/>
      <c r="C341" s="12"/>
    </row>
    <row r="342" ht="18.75" customHeight="1">
      <c r="B342" s="12"/>
      <c r="C342" s="12"/>
    </row>
    <row r="343" ht="18.75" customHeight="1">
      <c r="B343" s="12"/>
      <c r="C343" s="12"/>
    </row>
    <row r="344" ht="18.75" customHeight="1">
      <c r="B344" s="12"/>
      <c r="C344" s="12"/>
    </row>
    <row r="345" ht="18.75" customHeight="1">
      <c r="B345" s="12"/>
      <c r="C345" s="12"/>
    </row>
    <row r="346" ht="18.75" customHeight="1">
      <c r="B346" s="12"/>
      <c r="C346" s="12"/>
    </row>
    <row r="347" ht="18.75" customHeight="1">
      <c r="B347" s="12"/>
      <c r="C347" s="12"/>
    </row>
    <row r="348" ht="18.75" customHeight="1">
      <c r="B348" s="12"/>
      <c r="C348" s="12"/>
    </row>
    <row r="349" ht="18.75" customHeight="1">
      <c r="B349" s="12"/>
      <c r="C349" s="12"/>
    </row>
    <row r="350" ht="18.75" customHeight="1">
      <c r="B350" s="12"/>
      <c r="C350" s="12"/>
    </row>
    <row r="351" ht="18.75" customHeight="1">
      <c r="B351" s="12"/>
      <c r="C351" s="12"/>
    </row>
    <row r="352" ht="18.75" customHeight="1">
      <c r="B352" s="12"/>
      <c r="C352" s="12"/>
    </row>
    <row r="353" ht="18.75" customHeight="1">
      <c r="B353" s="12"/>
      <c r="C353" s="12"/>
    </row>
    <row r="354" ht="18.75" customHeight="1">
      <c r="B354" s="12"/>
      <c r="C354" s="12"/>
    </row>
    <row r="355" ht="18.75" customHeight="1">
      <c r="B355" s="12"/>
      <c r="C355" s="12"/>
    </row>
    <row r="356" ht="18.75" customHeight="1">
      <c r="B356" s="12"/>
      <c r="C356" s="12"/>
    </row>
    <row r="357" ht="18.75" customHeight="1">
      <c r="B357" s="12"/>
      <c r="C357" s="12"/>
    </row>
    <row r="358" ht="18.75" customHeight="1">
      <c r="B358" s="12"/>
      <c r="C358" s="12"/>
    </row>
    <row r="359" ht="18.75" customHeight="1">
      <c r="B359" s="12"/>
      <c r="C359" s="12"/>
    </row>
    <row r="360" ht="18.75" customHeight="1">
      <c r="B360" s="12"/>
      <c r="C360" s="12"/>
    </row>
    <row r="361" ht="18.75" customHeight="1">
      <c r="B361" s="12"/>
      <c r="C361" s="12"/>
    </row>
    <row r="362" ht="18.75" customHeight="1">
      <c r="B362" s="12"/>
      <c r="C362" s="12"/>
    </row>
    <row r="363" ht="18.75" customHeight="1">
      <c r="B363" s="12"/>
      <c r="C363" s="12"/>
    </row>
    <row r="364" ht="18.75" customHeight="1">
      <c r="B364" s="12"/>
      <c r="C364" s="12"/>
    </row>
    <row r="365" ht="18.75" customHeight="1">
      <c r="B365" s="12"/>
      <c r="C365" s="12"/>
    </row>
    <row r="366" ht="18.75" customHeight="1">
      <c r="B366" s="12"/>
      <c r="C366" s="12"/>
    </row>
    <row r="367" ht="18.75" customHeight="1">
      <c r="B367" s="12"/>
      <c r="C367" s="12"/>
    </row>
    <row r="368" ht="18.75" customHeight="1">
      <c r="B368" s="12"/>
      <c r="C368" s="12"/>
    </row>
    <row r="369" ht="18.75" customHeight="1">
      <c r="B369" s="12"/>
      <c r="C369" s="12"/>
    </row>
    <row r="370" ht="18.75" customHeight="1">
      <c r="B370" s="12"/>
      <c r="C370" s="12"/>
    </row>
    <row r="371" ht="18.75" customHeight="1">
      <c r="B371" s="12"/>
      <c r="C371" s="12"/>
    </row>
    <row r="372" ht="18.75" customHeight="1">
      <c r="B372" s="12"/>
      <c r="C372" s="12"/>
    </row>
    <row r="373" ht="18.75" customHeight="1">
      <c r="B373" s="12"/>
      <c r="C373" s="12"/>
    </row>
    <row r="374" ht="18.75" customHeight="1">
      <c r="B374" s="12"/>
      <c r="C374" s="12"/>
    </row>
    <row r="375" ht="18.75" customHeight="1">
      <c r="B375" s="12"/>
      <c r="C375" s="12"/>
    </row>
    <row r="376" ht="18.75" customHeight="1">
      <c r="B376" s="12"/>
      <c r="C376" s="12"/>
    </row>
    <row r="377" ht="18.75" customHeight="1">
      <c r="B377" s="12"/>
      <c r="C377" s="12"/>
    </row>
    <row r="378" ht="18.75" customHeight="1">
      <c r="B378" s="12"/>
      <c r="C378" s="12"/>
    </row>
    <row r="379" ht="18.75" customHeight="1">
      <c r="B379" s="12"/>
      <c r="C379" s="12"/>
    </row>
    <row r="380" ht="18.75" customHeight="1">
      <c r="B380" s="12"/>
      <c r="C380" s="12"/>
    </row>
    <row r="381" ht="18.75" customHeight="1">
      <c r="B381" s="12"/>
      <c r="C381" s="12"/>
    </row>
    <row r="382" ht="18.75" customHeight="1">
      <c r="B382" s="12"/>
      <c r="C382" s="12"/>
    </row>
    <row r="383" ht="18.75" customHeight="1">
      <c r="B383" s="12"/>
      <c r="C383" s="12"/>
    </row>
    <row r="384" ht="18.75" customHeight="1">
      <c r="B384" s="12"/>
      <c r="C384" s="12"/>
    </row>
    <row r="385" ht="18.75" customHeight="1">
      <c r="B385" s="12"/>
      <c r="C385" s="12"/>
    </row>
    <row r="386" ht="18.75" customHeight="1">
      <c r="B386" s="12"/>
      <c r="C386" s="12"/>
    </row>
    <row r="387" ht="18.75" customHeight="1">
      <c r="B387" s="12"/>
      <c r="C387" s="12"/>
    </row>
    <row r="388" ht="18.75" customHeight="1">
      <c r="B388" s="12"/>
      <c r="C388" s="12"/>
    </row>
    <row r="389" ht="18.75" customHeight="1">
      <c r="B389" s="12"/>
      <c r="C389" s="12"/>
    </row>
    <row r="390" ht="18.75" customHeight="1">
      <c r="B390" s="12"/>
      <c r="C390" s="12"/>
    </row>
    <row r="391" ht="18.75" customHeight="1">
      <c r="B391" s="12"/>
      <c r="C391" s="12"/>
    </row>
    <row r="392" ht="18.75" customHeight="1">
      <c r="B392" s="12"/>
      <c r="C392" s="12"/>
    </row>
    <row r="393" ht="18.75" customHeight="1">
      <c r="B393" s="12"/>
      <c r="C393" s="12"/>
    </row>
    <row r="394" ht="18.75" customHeight="1">
      <c r="B394" s="12"/>
      <c r="C394" s="12"/>
    </row>
    <row r="395" ht="18.75" customHeight="1">
      <c r="B395" s="12"/>
      <c r="C395" s="12"/>
    </row>
    <row r="396" ht="18.75" customHeight="1">
      <c r="B396" s="12"/>
      <c r="C396" s="12"/>
    </row>
    <row r="397" ht="18.75" customHeight="1">
      <c r="B397" s="12"/>
      <c r="C397" s="12"/>
    </row>
    <row r="398" ht="18.75" customHeight="1">
      <c r="B398" s="12"/>
      <c r="C398" s="12"/>
    </row>
    <row r="399" ht="18.75" customHeight="1">
      <c r="B399" s="12"/>
      <c r="C399" s="12"/>
    </row>
    <row r="400" ht="18.75" customHeight="1">
      <c r="B400" s="12"/>
      <c r="C400" s="12"/>
    </row>
    <row r="401" ht="18.75" customHeight="1">
      <c r="B401" s="12"/>
      <c r="C401" s="12"/>
    </row>
    <row r="402" ht="18.75" customHeight="1">
      <c r="B402" s="12"/>
      <c r="C402" s="12"/>
    </row>
    <row r="403" ht="18.75" customHeight="1">
      <c r="B403" s="12"/>
      <c r="C403" s="12"/>
    </row>
    <row r="404" ht="18.75" customHeight="1">
      <c r="B404" s="12"/>
      <c r="C404" s="12"/>
    </row>
    <row r="405" ht="18.75" customHeight="1">
      <c r="B405" s="12"/>
      <c r="C405" s="12"/>
    </row>
    <row r="406" ht="18.75" customHeight="1">
      <c r="B406" s="12"/>
      <c r="C406" s="12"/>
    </row>
    <row r="407" ht="18.75" customHeight="1">
      <c r="B407" s="12"/>
      <c r="C407" s="12"/>
    </row>
    <row r="408" ht="18.75" customHeight="1">
      <c r="B408" s="12"/>
      <c r="C408" s="12"/>
    </row>
    <row r="409" ht="18.75" customHeight="1">
      <c r="B409" s="12"/>
      <c r="C409" s="12"/>
    </row>
    <row r="410" ht="18.75" customHeight="1">
      <c r="B410" s="12"/>
      <c r="C410" s="12"/>
    </row>
    <row r="411" ht="18.75" customHeight="1">
      <c r="B411" s="12"/>
      <c r="C411" s="12"/>
    </row>
    <row r="412" ht="18.75" customHeight="1">
      <c r="B412" s="12"/>
      <c r="C412" s="12"/>
    </row>
    <row r="413" ht="18.75" customHeight="1">
      <c r="B413" s="12"/>
      <c r="C413" s="12"/>
    </row>
    <row r="414" ht="18.75" customHeight="1">
      <c r="B414" s="12"/>
      <c r="C414" s="12"/>
    </row>
    <row r="415" ht="18.75" customHeight="1">
      <c r="B415" s="12"/>
      <c r="C415" s="12"/>
    </row>
    <row r="416" ht="18.75" customHeight="1">
      <c r="B416" s="12"/>
      <c r="C416" s="12"/>
    </row>
    <row r="417" ht="18.75" customHeight="1">
      <c r="B417" s="12"/>
      <c r="C417" s="12"/>
    </row>
    <row r="418" ht="18.75" customHeight="1">
      <c r="B418" s="12"/>
      <c r="C418" s="12"/>
    </row>
    <row r="419" ht="18.75" customHeight="1">
      <c r="B419" s="12"/>
      <c r="C419" s="12"/>
    </row>
    <row r="420" ht="18.75" customHeight="1">
      <c r="B420" s="12"/>
      <c r="C420" s="12"/>
    </row>
    <row r="421" ht="18.75" customHeight="1">
      <c r="B421" s="12"/>
      <c r="C421" s="12"/>
    </row>
    <row r="422" ht="18.75" customHeight="1">
      <c r="B422" s="12"/>
      <c r="C422" s="12"/>
    </row>
    <row r="423" ht="18.75" customHeight="1">
      <c r="B423" s="12"/>
      <c r="C423" s="12"/>
    </row>
    <row r="424" ht="18.75" customHeight="1">
      <c r="B424" s="12"/>
      <c r="C424" s="12"/>
    </row>
    <row r="425" ht="18.75" customHeight="1">
      <c r="B425" s="12"/>
      <c r="C425" s="12"/>
    </row>
    <row r="426" ht="18.75" customHeight="1">
      <c r="B426" s="12"/>
      <c r="C426" s="12"/>
    </row>
    <row r="427" ht="18.75" customHeight="1">
      <c r="B427" s="12"/>
      <c r="C427" s="12"/>
    </row>
    <row r="428" ht="18.75" customHeight="1">
      <c r="B428" s="12"/>
      <c r="C428" s="12"/>
    </row>
    <row r="429" ht="18.75" customHeight="1">
      <c r="B429" s="12"/>
      <c r="C429" s="12"/>
    </row>
    <row r="430" ht="18.75" customHeight="1">
      <c r="B430" s="12"/>
      <c r="C430" s="12"/>
    </row>
    <row r="431" ht="18.75" customHeight="1">
      <c r="B431" s="12"/>
      <c r="C431" s="12"/>
    </row>
    <row r="432" ht="18.75" customHeight="1">
      <c r="B432" s="12"/>
      <c r="C432" s="12"/>
    </row>
    <row r="433" ht="18.75" customHeight="1">
      <c r="B433" s="12"/>
      <c r="C433" s="12"/>
    </row>
    <row r="434" ht="18.75" customHeight="1">
      <c r="B434" s="12"/>
      <c r="C434" s="12"/>
    </row>
    <row r="435" ht="18.75" customHeight="1">
      <c r="B435" s="12"/>
      <c r="C435" s="12"/>
    </row>
    <row r="436" ht="18.75" customHeight="1">
      <c r="B436" s="12"/>
      <c r="C436" s="12"/>
    </row>
    <row r="437" ht="18.75" customHeight="1">
      <c r="B437" s="12"/>
      <c r="C437" s="12"/>
    </row>
    <row r="438" ht="18.75" customHeight="1">
      <c r="B438" s="12"/>
      <c r="C438" s="12"/>
    </row>
    <row r="439" ht="18.75" customHeight="1">
      <c r="B439" s="12"/>
      <c r="C439" s="12"/>
    </row>
    <row r="440" ht="18.75" customHeight="1">
      <c r="B440" s="12"/>
      <c r="C440" s="12"/>
    </row>
    <row r="441" ht="18.75" customHeight="1">
      <c r="B441" s="12"/>
      <c r="C441" s="12"/>
    </row>
    <row r="442" ht="18.75" customHeight="1">
      <c r="B442" s="12"/>
      <c r="C442" s="12"/>
    </row>
    <row r="443" ht="18.75" customHeight="1">
      <c r="B443" s="12"/>
      <c r="C443" s="12"/>
    </row>
    <row r="444" ht="18.75" customHeight="1">
      <c r="B444" s="12"/>
      <c r="C444" s="12"/>
    </row>
    <row r="445" ht="18.75" customHeight="1">
      <c r="B445" s="12"/>
      <c r="C445" s="12"/>
    </row>
    <row r="446" ht="18.75" customHeight="1">
      <c r="B446" s="12"/>
      <c r="C446" s="12"/>
    </row>
    <row r="447" ht="18.75" customHeight="1">
      <c r="B447" s="12"/>
      <c r="C447" s="12"/>
    </row>
    <row r="448" ht="18.75" customHeight="1">
      <c r="B448" s="12"/>
      <c r="C448" s="12"/>
    </row>
    <row r="449" ht="18.75" customHeight="1">
      <c r="B449" s="12"/>
      <c r="C449" s="12"/>
    </row>
    <row r="450" ht="18.75" customHeight="1">
      <c r="B450" s="12"/>
      <c r="C450" s="12"/>
    </row>
    <row r="451" ht="18.75" customHeight="1">
      <c r="B451" s="12"/>
      <c r="C451" s="12"/>
    </row>
    <row r="452" ht="18.75" customHeight="1">
      <c r="B452" s="12"/>
      <c r="C452" s="12"/>
    </row>
    <row r="453" ht="18.75" customHeight="1">
      <c r="B453" s="12"/>
      <c r="C453" s="12"/>
    </row>
    <row r="454" ht="18.75" customHeight="1">
      <c r="B454" s="12"/>
      <c r="C454" s="12"/>
    </row>
    <row r="455" ht="18.75" customHeight="1">
      <c r="B455" s="12"/>
      <c r="C455" s="12"/>
    </row>
    <row r="456" ht="18.75" customHeight="1">
      <c r="B456" s="12"/>
      <c r="C456" s="12"/>
    </row>
    <row r="457" ht="18.75" customHeight="1">
      <c r="B457" s="12"/>
      <c r="C457" s="12"/>
    </row>
    <row r="458" ht="18.75" customHeight="1">
      <c r="B458" s="12"/>
      <c r="C458" s="12"/>
    </row>
    <row r="459" ht="18.75" customHeight="1">
      <c r="B459" s="12"/>
      <c r="C459" s="12"/>
    </row>
    <row r="460" ht="18.75" customHeight="1">
      <c r="B460" s="12"/>
      <c r="C460" s="12"/>
    </row>
    <row r="461" ht="18.75" customHeight="1">
      <c r="B461" s="12"/>
      <c r="C461" s="12"/>
    </row>
    <row r="462" ht="18.75" customHeight="1">
      <c r="B462" s="12"/>
      <c r="C462" s="12"/>
    </row>
    <row r="463" ht="18.75" customHeight="1">
      <c r="B463" s="12"/>
      <c r="C463" s="12"/>
    </row>
    <row r="464" ht="18.75" customHeight="1">
      <c r="B464" s="12"/>
      <c r="C464" s="12"/>
    </row>
    <row r="465" ht="18.75" customHeight="1">
      <c r="B465" s="12"/>
      <c r="C465" s="12"/>
    </row>
    <row r="466" ht="18.75" customHeight="1">
      <c r="B466" s="12"/>
      <c r="C466" s="12"/>
    </row>
    <row r="467" ht="18.75" customHeight="1">
      <c r="B467" s="12"/>
      <c r="C467" s="12"/>
    </row>
    <row r="468" ht="18.75" customHeight="1">
      <c r="B468" s="12"/>
      <c r="C468" s="12"/>
    </row>
    <row r="469" ht="18.75" customHeight="1">
      <c r="B469" s="12"/>
      <c r="C469" s="12"/>
    </row>
    <row r="470" ht="18.75" customHeight="1">
      <c r="B470" s="12"/>
      <c r="C470" s="12"/>
    </row>
    <row r="471" ht="18.75" customHeight="1">
      <c r="B471" s="12"/>
      <c r="C471" s="12"/>
    </row>
    <row r="472" ht="18.75" customHeight="1">
      <c r="B472" s="12"/>
      <c r="C472" s="12"/>
    </row>
    <row r="473" ht="18.75" customHeight="1">
      <c r="B473" s="12"/>
      <c r="C473" s="12"/>
    </row>
    <row r="474" ht="18.75" customHeight="1">
      <c r="B474" s="12"/>
      <c r="C474" s="12"/>
    </row>
    <row r="475" ht="18.75" customHeight="1">
      <c r="B475" s="12"/>
      <c r="C475" s="12"/>
    </row>
    <row r="476" ht="18.75" customHeight="1">
      <c r="B476" s="12"/>
      <c r="C476" s="12"/>
    </row>
    <row r="477" ht="18.75" customHeight="1">
      <c r="B477" s="12"/>
      <c r="C477" s="12"/>
    </row>
    <row r="478" ht="18.75" customHeight="1">
      <c r="B478" s="12"/>
      <c r="C478" s="12"/>
    </row>
    <row r="479" ht="18.75" customHeight="1">
      <c r="B479" s="12"/>
      <c r="C479" s="12"/>
    </row>
    <row r="480" ht="18.75" customHeight="1">
      <c r="B480" s="12"/>
      <c r="C480" s="12"/>
    </row>
    <row r="481" ht="18.75" customHeight="1">
      <c r="B481" s="12"/>
      <c r="C481" s="12"/>
    </row>
    <row r="482" ht="18.75" customHeight="1">
      <c r="B482" s="12"/>
      <c r="C482" s="12"/>
    </row>
    <row r="483" ht="18.75" customHeight="1">
      <c r="B483" s="12"/>
      <c r="C483" s="12"/>
    </row>
    <row r="484" ht="18.75" customHeight="1">
      <c r="B484" s="12"/>
      <c r="C484" s="12"/>
    </row>
    <row r="485" ht="18.75" customHeight="1">
      <c r="B485" s="12"/>
      <c r="C485" s="12"/>
    </row>
    <row r="486" ht="18.75" customHeight="1">
      <c r="B486" s="12"/>
      <c r="C486" s="12"/>
    </row>
    <row r="487" ht="18.75" customHeight="1">
      <c r="B487" s="12"/>
      <c r="C487" s="12"/>
    </row>
    <row r="488" ht="18.75" customHeight="1">
      <c r="B488" s="12"/>
      <c r="C488" s="12"/>
    </row>
    <row r="489" ht="18.75" customHeight="1">
      <c r="B489" s="12"/>
      <c r="C489" s="12"/>
    </row>
    <row r="490" ht="18.75" customHeight="1">
      <c r="B490" s="12"/>
      <c r="C490" s="12"/>
    </row>
    <row r="491" ht="18.75" customHeight="1">
      <c r="B491" s="12"/>
      <c r="C491" s="12"/>
    </row>
    <row r="492" ht="18.75" customHeight="1">
      <c r="B492" s="12"/>
      <c r="C492" s="12"/>
    </row>
    <row r="493" ht="18.75" customHeight="1">
      <c r="B493" s="12"/>
      <c r="C493" s="12"/>
    </row>
    <row r="494" ht="18.75" customHeight="1">
      <c r="B494" s="12"/>
      <c r="C494" s="12"/>
    </row>
    <row r="495" ht="18.75" customHeight="1">
      <c r="B495" s="12"/>
      <c r="C495" s="12"/>
    </row>
    <row r="496" ht="18.75" customHeight="1">
      <c r="B496" s="12"/>
      <c r="C496" s="12"/>
    </row>
    <row r="497" ht="18.75" customHeight="1">
      <c r="B497" s="12"/>
      <c r="C497" s="12"/>
    </row>
    <row r="498" ht="18.75" customHeight="1">
      <c r="B498" s="12"/>
      <c r="C498" s="12"/>
    </row>
    <row r="499" ht="18.75" customHeight="1">
      <c r="B499" s="12"/>
      <c r="C499" s="12"/>
    </row>
    <row r="500" ht="18.75" customHeight="1">
      <c r="B500" s="12"/>
      <c r="C500" s="12"/>
    </row>
    <row r="501" ht="18.75" customHeight="1">
      <c r="B501" s="12"/>
      <c r="C501" s="12"/>
    </row>
    <row r="502" ht="18.75" customHeight="1">
      <c r="B502" s="12"/>
      <c r="C502" s="12"/>
    </row>
    <row r="503" ht="18.75" customHeight="1">
      <c r="B503" s="12"/>
      <c r="C503" s="12"/>
    </row>
    <row r="504" ht="18.75" customHeight="1">
      <c r="B504" s="12"/>
      <c r="C504" s="12"/>
    </row>
    <row r="505" ht="18.75" customHeight="1">
      <c r="B505" s="12"/>
      <c r="C505" s="12"/>
    </row>
    <row r="506" ht="18.75" customHeight="1">
      <c r="B506" s="12"/>
      <c r="C506" s="12"/>
    </row>
    <row r="507" ht="18.75" customHeight="1">
      <c r="B507" s="12"/>
      <c r="C507" s="12"/>
    </row>
    <row r="508" ht="18.75" customHeight="1">
      <c r="B508" s="12"/>
      <c r="C508" s="12"/>
    </row>
    <row r="509" ht="18.75" customHeight="1">
      <c r="B509" s="12"/>
      <c r="C509" s="12"/>
    </row>
    <row r="510" ht="18.75" customHeight="1">
      <c r="B510" s="12"/>
      <c r="C510" s="12"/>
    </row>
    <row r="511" ht="18.75" customHeight="1">
      <c r="B511" s="12"/>
      <c r="C511" s="12"/>
    </row>
    <row r="512" ht="18.75" customHeight="1">
      <c r="B512" s="12"/>
      <c r="C512" s="12"/>
    </row>
    <row r="513" ht="18.75" customHeight="1">
      <c r="B513" s="12"/>
      <c r="C513" s="12"/>
    </row>
    <row r="514" ht="18.75" customHeight="1">
      <c r="B514" s="12"/>
      <c r="C514" s="12"/>
    </row>
    <row r="515" ht="18.75" customHeight="1">
      <c r="B515" s="12"/>
      <c r="C515" s="12"/>
    </row>
    <row r="516" ht="18.75" customHeight="1">
      <c r="B516" s="12"/>
      <c r="C516" s="12"/>
    </row>
    <row r="517" ht="18.75" customHeight="1">
      <c r="B517" s="12"/>
      <c r="C517" s="12"/>
    </row>
    <row r="518" ht="18.75" customHeight="1">
      <c r="B518" s="12"/>
      <c r="C518" s="12"/>
    </row>
    <row r="519" ht="18.75" customHeight="1">
      <c r="B519" s="12"/>
      <c r="C519" s="12"/>
    </row>
    <row r="520" ht="18.75" customHeight="1">
      <c r="B520" s="12"/>
      <c r="C520" s="12"/>
    </row>
    <row r="521" ht="18.75" customHeight="1">
      <c r="B521" s="12"/>
      <c r="C521" s="12"/>
    </row>
    <row r="522" ht="18.75" customHeight="1">
      <c r="B522" s="12"/>
      <c r="C522" s="12"/>
    </row>
    <row r="523" ht="18.75" customHeight="1">
      <c r="B523" s="12"/>
      <c r="C523" s="12"/>
    </row>
    <row r="524" ht="18.75" customHeight="1">
      <c r="B524" s="12"/>
      <c r="C524" s="12"/>
    </row>
    <row r="525" ht="18.75" customHeight="1">
      <c r="B525" s="12"/>
      <c r="C525" s="12"/>
    </row>
    <row r="526" ht="18.75" customHeight="1">
      <c r="B526" s="12"/>
      <c r="C526" s="12"/>
    </row>
    <row r="527" ht="18.75" customHeight="1">
      <c r="B527" s="12"/>
      <c r="C527" s="12"/>
    </row>
    <row r="528" ht="18.75" customHeight="1">
      <c r="B528" s="12"/>
      <c r="C528" s="12"/>
    </row>
    <row r="529" ht="18.75" customHeight="1">
      <c r="B529" s="12"/>
      <c r="C529" s="12"/>
    </row>
    <row r="530" ht="18.75" customHeight="1">
      <c r="B530" s="12"/>
      <c r="C530" s="12"/>
    </row>
    <row r="531" ht="18.75" customHeight="1">
      <c r="B531" s="12"/>
      <c r="C531" s="12"/>
    </row>
    <row r="532" ht="18.75" customHeight="1">
      <c r="B532" s="12"/>
      <c r="C532" s="12"/>
    </row>
    <row r="533" ht="18.75" customHeight="1">
      <c r="B533" s="12"/>
      <c r="C533" s="12"/>
    </row>
    <row r="534" ht="18.75" customHeight="1">
      <c r="B534" s="12"/>
      <c r="C534" s="12"/>
    </row>
    <row r="535" ht="18.75" customHeight="1">
      <c r="B535" s="12"/>
      <c r="C535" s="12"/>
    </row>
    <row r="536" ht="18.75" customHeight="1">
      <c r="B536" s="12"/>
      <c r="C536" s="12"/>
    </row>
    <row r="537" ht="18.75" customHeight="1">
      <c r="B537" s="12"/>
      <c r="C537" s="12"/>
    </row>
    <row r="538" ht="18.75" customHeight="1">
      <c r="B538" s="12"/>
      <c r="C538" s="12"/>
    </row>
    <row r="539" ht="18.75" customHeight="1">
      <c r="B539" s="12"/>
      <c r="C539" s="12"/>
    </row>
    <row r="540" ht="18.75" customHeight="1">
      <c r="B540" s="12"/>
      <c r="C540" s="12"/>
    </row>
    <row r="541" ht="18.75" customHeight="1">
      <c r="B541" s="12"/>
      <c r="C541" s="12"/>
    </row>
    <row r="542" ht="18.75" customHeight="1">
      <c r="B542" s="12"/>
      <c r="C542" s="12"/>
    </row>
    <row r="543" ht="18.75" customHeight="1">
      <c r="B543" s="12"/>
      <c r="C543" s="12"/>
    </row>
    <row r="544" ht="18.75" customHeight="1">
      <c r="B544" s="12"/>
      <c r="C544" s="12"/>
    </row>
    <row r="545" ht="18.75" customHeight="1">
      <c r="B545" s="12"/>
      <c r="C545" s="12"/>
    </row>
    <row r="546" ht="18.75" customHeight="1">
      <c r="B546" s="12"/>
      <c r="C546" s="12"/>
    </row>
    <row r="547" ht="18.75" customHeight="1">
      <c r="B547" s="12"/>
      <c r="C547" s="12"/>
    </row>
    <row r="548" ht="18.75" customHeight="1">
      <c r="B548" s="12"/>
      <c r="C548" s="12"/>
    </row>
    <row r="549" ht="18.75" customHeight="1">
      <c r="B549" s="12"/>
      <c r="C549" s="12"/>
    </row>
    <row r="550" ht="18.75" customHeight="1">
      <c r="B550" s="12"/>
      <c r="C550" s="12"/>
    </row>
    <row r="551" ht="18.75" customHeight="1">
      <c r="B551" s="12"/>
      <c r="C551" s="12"/>
    </row>
    <row r="552" ht="18.75" customHeight="1">
      <c r="B552" s="12"/>
      <c r="C552" s="12"/>
    </row>
    <row r="553" ht="18.75" customHeight="1">
      <c r="B553" s="12"/>
      <c r="C553" s="12"/>
    </row>
    <row r="554" ht="18.75" customHeight="1">
      <c r="B554" s="12"/>
      <c r="C554" s="12"/>
    </row>
    <row r="555" ht="18.75" customHeight="1">
      <c r="B555" s="12"/>
      <c r="C555" s="12"/>
    </row>
    <row r="556" ht="18.75" customHeight="1">
      <c r="B556" s="12"/>
      <c r="C556" s="12"/>
    </row>
    <row r="557" ht="18.75" customHeight="1">
      <c r="B557" s="12"/>
      <c r="C557" s="12"/>
    </row>
    <row r="558" ht="18.75" customHeight="1">
      <c r="B558" s="12"/>
      <c r="C558" s="12"/>
    </row>
    <row r="559" ht="18.75" customHeight="1">
      <c r="B559" s="12"/>
      <c r="C559" s="12"/>
    </row>
    <row r="560" ht="18.75" customHeight="1">
      <c r="B560" s="12"/>
      <c r="C560" s="12"/>
    </row>
    <row r="561" ht="18.75" customHeight="1">
      <c r="B561" s="12"/>
      <c r="C561" s="12"/>
    </row>
    <row r="562" ht="18.75" customHeight="1">
      <c r="B562" s="12"/>
      <c r="C562" s="12"/>
    </row>
    <row r="563" ht="18.75" customHeight="1">
      <c r="B563" s="12"/>
      <c r="C563" s="12"/>
    </row>
    <row r="564" ht="18.75" customHeight="1">
      <c r="B564" s="12"/>
      <c r="C564" s="12"/>
    </row>
    <row r="565" ht="18.75" customHeight="1">
      <c r="B565" s="12"/>
      <c r="C565" s="12"/>
    </row>
    <row r="566" ht="18.75" customHeight="1">
      <c r="B566" s="12"/>
      <c r="C566" s="12"/>
    </row>
    <row r="567" ht="18.75" customHeight="1">
      <c r="B567" s="12"/>
      <c r="C567" s="12"/>
    </row>
    <row r="568" ht="18.75" customHeight="1">
      <c r="B568" s="12"/>
      <c r="C568" s="12"/>
    </row>
    <row r="569" ht="18.75" customHeight="1">
      <c r="B569" s="12"/>
      <c r="C569" s="12"/>
    </row>
    <row r="570" ht="18.75" customHeight="1">
      <c r="B570" s="12"/>
      <c r="C570" s="12"/>
    </row>
    <row r="571" ht="18.75" customHeight="1">
      <c r="B571" s="12"/>
      <c r="C571" s="12"/>
    </row>
    <row r="572" ht="18.75" customHeight="1">
      <c r="B572" s="12"/>
      <c r="C572" s="12"/>
    </row>
    <row r="573" ht="18.75" customHeight="1">
      <c r="B573" s="12"/>
      <c r="C573" s="12"/>
    </row>
    <row r="574" ht="18.75" customHeight="1">
      <c r="B574" s="12"/>
      <c r="C574" s="12"/>
    </row>
    <row r="575" ht="18.75" customHeight="1">
      <c r="B575" s="12"/>
      <c r="C575" s="12"/>
    </row>
    <row r="576" ht="18.75" customHeight="1">
      <c r="B576" s="12"/>
      <c r="C576" s="12"/>
    </row>
    <row r="577" ht="18.75" customHeight="1">
      <c r="B577" s="12"/>
      <c r="C577" s="12"/>
    </row>
    <row r="578" ht="18.75" customHeight="1">
      <c r="B578" s="12"/>
      <c r="C578" s="12"/>
    </row>
    <row r="579" ht="18.75" customHeight="1">
      <c r="B579" s="12"/>
      <c r="C579" s="12"/>
    </row>
    <row r="580" ht="18.75" customHeight="1">
      <c r="B580" s="12"/>
      <c r="C580" s="12"/>
    </row>
    <row r="581" ht="18.75" customHeight="1">
      <c r="B581" s="12"/>
      <c r="C581" s="12"/>
    </row>
    <row r="582" ht="18.75" customHeight="1">
      <c r="B582" s="12"/>
      <c r="C582" s="12"/>
    </row>
    <row r="583" ht="18.75" customHeight="1">
      <c r="B583" s="12"/>
      <c r="C583" s="12"/>
    </row>
    <row r="584" ht="18.75" customHeight="1">
      <c r="B584" s="12"/>
      <c r="C584" s="12"/>
    </row>
    <row r="585" ht="18.75" customHeight="1">
      <c r="B585" s="12"/>
      <c r="C585" s="12"/>
    </row>
    <row r="586" ht="18.75" customHeight="1">
      <c r="B586" s="12"/>
      <c r="C586" s="12"/>
    </row>
    <row r="587" ht="18.75" customHeight="1">
      <c r="B587" s="12"/>
      <c r="C587" s="12"/>
    </row>
    <row r="588" ht="18.75" customHeight="1">
      <c r="B588" s="12"/>
      <c r="C588" s="12"/>
    </row>
    <row r="589" ht="18.75" customHeight="1">
      <c r="B589" s="12"/>
      <c r="C589" s="12"/>
    </row>
    <row r="590" ht="18.75" customHeight="1">
      <c r="B590" s="12"/>
      <c r="C590" s="12"/>
    </row>
    <row r="591" ht="18.75" customHeight="1">
      <c r="B591" s="12"/>
      <c r="C591" s="12"/>
    </row>
    <row r="592" ht="18.75" customHeight="1">
      <c r="B592" s="12"/>
      <c r="C592" s="12"/>
    </row>
    <row r="593" ht="18.75" customHeight="1">
      <c r="B593" s="12"/>
      <c r="C593" s="12"/>
    </row>
    <row r="594" ht="18.75" customHeight="1">
      <c r="B594" s="12"/>
      <c r="C594" s="12"/>
    </row>
    <row r="595" ht="18.75" customHeight="1">
      <c r="B595" s="12"/>
      <c r="C595" s="12"/>
    </row>
    <row r="596" ht="18.75" customHeight="1">
      <c r="B596" s="12"/>
      <c r="C596" s="12"/>
    </row>
    <row r="597" ht="18.75" customHeight="1">
      <c r="B597" s="12"/>
      <c r="C597" s="12"/>
    </row>
    <row r="598" ht="18.75" customHeight="1">
      <c r="B598" s="12"/>
      <c r="C598" s="12"/>
    </row>
    <row r="599" ht="18.75" customHeight="1">
      <c r="B599" s="12"/>
      <c r="C599" s="12"/>
    </row>
    <row r="600" ht="18.75" customHeight="1">
      <c r="B600" s="12"/>
      <c r="C600" s="12"/>
    </row>
    <row r="601" ht="18.75" customHeight="1">
      <c r="B601" s="12"/>
      <c r="C601" s="12"/>
    </row>
    <row r="602" ht="18.75" customHeight="1">
      <c r="B602" s="12"/>
      <c r="C602" s="12"/>
    </row>
    <row r="603" ht="18.75" customHeight="1">
      <c r="B603" s="12"/>
      <c r="C603" s="12"/>
    </row>
    <row r="604" ht="18.75" customHeight="1">
      <c r="B604" s="12"/>
      <c r="C604" s="12"/>
    </row>
    <row r="605" ht="18.75" customHeight="1">
      <c r="B605" s="12"/>
      <c r="C605" s="12"/>
    </row>
    <row r="606" ht="18.75" customHeight="1">
      <c r="B606" s="12"/>
      <c r="C606" s="12"/>
    </row>
    <row r="607" ht="18.75" customHeight="1">
      <c r="B607" s="12"/>
      <c r="C607" s="12"/>
    </row>
    <row r="608" ht="18.75" customHeight="1">
      <c r="B608" s="12"/>
      <c r="C608" s="12"/>
    </row>
    <row r="609" ht="18.75" customHeight="1">
      <c r="B609" s="12"/>
      <c r="C609" s="12"/>
    </row>
    <row r="610" ht="18.75" customHeight="1">
      <c r="B610" s="12"/>
      <c r="C610" s="12"/>
    </row>
    <row r="611" ht="18.75" customHeight="1">
      <c r="B611" s="12"/>
      <c r="C611" s="12"/>
    </row>
    <row r="612" ht="18.75" customHeight="1">
      <c r="B612" s="12"/>
      <c r="C612" s="12"/>
    </row>
    <row r="613" ht="18.75" customHeight="1">
      <c r="B613" s="12"/>
      <c r="C613" s="12"/>
    </row>
    <row r="614" ht="18.75" customHeight="1">
      <c r="B614" s="12"/>
      <c r="C614" s="12"/>
    </row>
    <row r="615" ht="18.75" customHeight="1">
      <c r="B615" s="12"/>
      <c r="C615" s="12"/>
    </row>
    <row r="616" ht="18.75" customHeight="1">
      <c r="B616" s="12"/>
      <c r="C616" s="12"/>
    </row>
    <row r="617" ht="18.75" customHeight="1">
      <c r="B617" s="12"/>
      <c r="C617" s="12"/>
    </row>
    <row r="618" ht="18.75" customHeight="1">
      <c r="B618" s="12"/>
      <c r="C618" s="12"/>
    </row>
    <row r="619" ht="18.75" customHeight="1">
      <c r="B619" s="12"/>
      <c r="C619" s="12"/>
    </row>
    <row r="620" ht="18.75" customHeight="1">
      <c r="B620" s="12"/>
      <c r="C620" s="12"/>
    </row>
    <row r="621" ht="18.75" customHeight="1">
      <c r="B621" s="12"/>
      <c r="C621" s="12"/>
    </row>
    <row r="622" ht="18.75" customHeight="1">
      <c r="B622" s="12"/>
      <c r="C622" s="12"/>
    </row>
    <row r="623" ht="18.75" customHeight="1">
      <c r="B623" s="12"/>
      <c r="C623" s="12"/>
    </row>
    <row r="624" ht="18.75" customHeight="1">
      <c r="B624" s="12"/>
      <c r="C624" s="12"/>
    </row>
    <row r="625" ht="18.75" customHeight="1">
      <c r="B625" s="12"/>
      <c r="C625" s="12"/>
    </row>
    <row r="626" ht="18.75" customHeight="1">
      <c r="B626" s="12"/>
      <c r="C626" s="12"/>
    </row>
    <row r="627" ht="18.75" customHeight="1">
      <c r="B627" s="12"/>
      <c r="C627" s="12"/>
    </row>
    <row r="628" ht="18.75" customHeight="1">
      <c r="B628" s="12"/>
      <c r="C628" s="12"/>
    </row>
    <row r="629" ht="18.75" customHeight="1">
      <c r="B629" s="12"/>
      <c r="C629" s="12"/>
    </row>
    <row r="630" ht="18.75" customHeight="1">
      <c r="B630" s="12"/>
      <c r="C630" s="12"/>
    </row>
    <row r="631" ht="18.75" customHeight="1">
      <c r="B631" s="12"/>
      <c r="C631" s="12"/>
    </row>
    <row r="632" ht="18.75" customHeight="1">
      <c r="B632" s="12"/>
      <c r="C632" s="12"/>
    </row>
    <row r="633" ht="18.75" customHeight="1">
      <c r="B633" s="12"/>
      <c r="C633" s="12"/>
    </row>
    <row r="634" ht="18.75" customHeight="1">
      <c r="B634" s="12"/>
      <c r="C634" s="12"/>
    </row>
    <row r="635" ht="18.75" customHeight="1">
      <c r="B635" s="12"/>
      <c r="C635" s="12"/>
    </row>
    <row r="636" ht="18.75" customHeight="1">
      <c r="B636" s="12"/>
      <c r="C636" s="12"/>
    </row>
    <row r="637" ht="18.75" customHeight="1">
      <c r="B637" s="12"/>
      <c r="C637" s="12"/>
    </row>
    <row r="638" ht="18.75" customHeight="1">
      <c r="B638" s="12"/>
      <c r="C638" s="12"/>
    </row>
    <row r="639" ht="18.75" customHeight="1">
      <c r="B639" s="12"/>
      <c r="C639" s="12"/>
    </row>
    <row r="640" ht="18.75" customHeight="1">
      <c r="B640" s="12"/>
      <c r="C640" s="12"/>
    </row>
    <row r="641" ht="18.75" customHeight="1">
      <c r="B641" s="12"/>
      <c r="C641" s="12"/>
    </row>
    <row r="642" ht="18.75" customHeight="1">
      <c r="B642" s="12"/>
      <c r="C642" s="12"/>
    </row>
    <row r="643" ht="18.75" customHeight="1">
      <c r="B643" s="12"/>
      <c r="C643" s="12"/>
    </row>
    <row r="644" ht="18.75" customHeight="1">
      <c r="B644" s="12"/>
      <c r="C644" s="12"/>
    </row>
    <row r="645" ht="18.75" customHeight="1">
      <c r="B645" s="12"/>
      <c r="C645" s="12"/>
    </row>
    <row r="646" ht="18.75" customHeight="1">
      <c r="B646" s="12"/>
      <c r="C646" s="12"/>
    </row>
    <row r="647" ht="18.75" customHeight="1">
      <c r="B647" s="12"/>
      <c r="C647" s="12"/>
    </row>
    <row r="648" ht="18.75" customHeight="1">
      <c r="B648" s="12"/>
      <c r="C648" s="12"/>
    </row>
    <row r="649" ht="18.75" customHeight="1">
      <c r="B649" s="12"/>
      <c r="C649" s="12"/>
    </row>
    <row r="650" ht="18.75" customHeight="1">
      <c r="B650" s="12"/>
      <c r="C650" s="12"/>
    </row>
    <row r="651" ht="18.75" customHeight="1">
      <c r="B651" s="12"/>
      <c r="C651" s="12"/>
    </row>
    <row r="652" ht="18.75" customHeight="1">
      <c r="B652" s="12"/>
      <c r="C652" s="12"/>
    </row>
    <row r="653" ht="18.75" customHeight="1">
      <c r="B653" s="12"/>
      <c r="C653" s="12"/>
    </row>
    <row r="654" ht="18.75" customHeight="1">
      <c r="B654" s="12"/>
      <c r="C654" s="12"/>
    </row>
    <row r="655" ht="18.75" customHeight="1">
      <c r="B655" s="12"/>
      <c r="C655" s="12"/>
    </row>
    <row r="656" ht="18.75" customHeight="1">
      <c r="B656" s="12"/>
      <c r="C656" s="12"/>
    </row>
    <row r="657" ht="18.75" customHeight="1">
      <c r="B657" s="12"/>
      <c r="C657" s="12"/>
    </row>
    <row r="658" ht="18.75" customHeight="1">
      <c r="B658" s="12"/>
      <c r="C658" s="12"/>
    </row>
    <row r="659" ht="18.75" customHeight="1">
      <c r="B659" s="12"/>
      <c r="C659" s="12"/>
    </row>
    <row r="660" ht="18.75" customHeight="1">
      <c r="B660" s="12"/>
      <c r="C660" s="12"/>
    </row>
    <row r="661" ht="18.75" customHeight="1">
      <c r="B661" s="12"/>
      <c r="C661" s="12"/>
    </row>
    <row r="662" ht="18.75" customHeight="1">
      <c r="B662" s="12"/>
      <c r="C662" s="12"/>
    </row>
    <row r="663" ht="18.75" customHeight="1">
      <c r="B663" s="12"/>
      <c r="C663" s="12"/>
    </row>
    <row r="664" ht="18.75" customHeight="1">
      <c r="B664" s="12"/>
      <c r="C664" s="12"/>
    </row>
    <row r="665" ht="18.75" customHeight="1">
      <c r="B665" s="12"/>
      <c r="C665" s="12"/>
    </row>
    <row r="666" ht="18.75" customHeight="1">
      <c r="B666" s="12"/>
      <c r="C666" s="12"/>
    </row>
    <row r="667" ht="18.75" customHeight="1">
      <c r="B667" s="12"/>
      <c r="C667" s="12"/>
    </row>
    <row r="668" ht="18.75" customHeight="1">
      <c r="B668" s="12"/>
      <c r="C668" s="12"/>
    </row>
    <row r="669" ht="18.75" customHeight="1">
      <c r="B669" s="12"/>
      <c r="C669" s="12"/>
    </row>
    <row r="670" ht="18.75" customHeight="1">
      <c r="B670" s="12"/>
      <c r="C670" s="12"/>
    </row>
    <row r="671" ht="18.75" customHeight="1">
      <c r="B671" s="12"/>
      <c r="C671" s="12"/>
    </row>
    <row r="672" ht="18.75" customHeight="1">
      <c r="B672" s="12"/>
      <c r="C672" s="12"/>
    </row>
    <row r="673" ht="18.75" customHeight="1">
      <c r="B673" s="12"/>
      <c r="C673" s="12"/>
    </row>
    <row r="674" ht="18.75" customHeight="1">
      <c r="B674" s="12"/>
      <c r="C674" s="12"/>
    </row>
    <row r="675" ht="18.75" customHeight="1">
      <c r="B675" s="12"/>
      <c r="C675" s="12"/>
    </row>
    <row r="676" ht="18.75" customHeight="1">
      <c r="B676" s="12"/>
      <c r="C676" s="12"/>
    </row>
    <row r="677" ht="18.75" customHeight="1">
      <c r="B677" s="12"/>
      <c r="C677" s="12"/>
    </row>
    <row r="678" ht="18.75" customHeight="1">
      <c r="B678" s="12"/>
      <c r="C678" s="12"/>
    </row>
    <row r="679" ht="18.75" customHeight="1">
      <c r="B679" s="12"/>
      <c r="C679" s="12"/>
    </row>
    <row r="680" ht="18.75" customHeight="1">
      <c r="B680" s="12"/>
      <c r="C680" s="12"/>
    </row>
    <row r="681" ht="18.75" customHeight="1">
      <c r="B681" s="12"/>
      <c r="C681" s="12"/>
    </row>
    <row r="682" ht="18.75" customHeight="1">
      <c r="B682" s="12"/>
      <c r="C682" s="12"/>
    </row>
    <row r="683" ht="18.75" customHeight="1">
      <c r="B683" s="12"/>
      <c r="C683" s="12"/>
    </row>
    <row r="684" ht="18.75" customHeight="1">
      <c r="B684" s="12"/>
      <c r="C684" s="12"/>
    </row>
    <row r="685" ht="18.75" customHeight="1">
      <c r="B685" s="12"/>
      <c r="C685" s="12"/>
    </row>
    <row r="686" ht="18.75" customHeight="1">
      <c r="B686" s="12"/>
      <c r="C686" s="12"/>
    </row>
    <row r="687" ht="18.75" customHeight="1">
      <c r="B687" s="12"/>
      <c r="C687" s="12"/>
    </row>
    <row r="688" ht="18.75" customHeight="1">
      <c r="B688" s="12"/>
      <c r="C688" s="12"/>
    </row>
    <row r="689" ht="18.75" customHeight="1">
      <c r="B689" s="12"/>
      <c r="C689" s="12"/>
    </row>
    <row r="690" ht="18.75" customHeight="1">
      <c r="B690" s="12"/>
      <c r="C690" s="12"/>
    </row>
    <row r="691" ht="18.75" customHeight="1">
      <c r="B691" s="12"/>
      <c r="C691" s="12"/>
    </row>
    <row r="692" ht="18.75" customHeight="1">
      <c r="B692" s="12"/>
      <c r="C692" s="12"/>
    </row>
    <row r="693" ht="18.75" customHeight="1">
      <c r="B693" s="12"/>
      <c r="C693" s="12"/>
    </row>
    <row r="694" ht="18.75" customHeight="1">
      <c r="B694" s="12"/>
      <c r="C694" s="12"/>
    </row>
    <row r="695" ht="18.75" customHeight="1">
      <c r="B695" s="12"/>
      <c r="C695" s="12"/>
    </row>
    <row r="696" ht="18.75" customHeight="1">
      <c r="B696" s="12"/>
      <c r="C696" s="12"/>
    </row>
    <row r="697" ht="18.75" customHeight="1">
      <c r="B697" s="12"/>
      <c r="C697" s="12"/>
    </row>
    <row r="698" ht="18.75" customHeight="1">
      <c r="B698" s="12"/>
      <c r="C698" s="12"/>
    </row>
    <row r="699" ht="18.75" customHeight="1">
      <c r="B699" s="12"/>
      <c r="C699" s="12"/>
    </row>
    <row r="700" ht="18.75" customHeight="1">
      <c r="B700" s="12"/>
      <c r="C700" s="12"/>
    </row>
    <row r="701" ht="18.75" customHeight="1">
      <c r="B701" s="12"/>
      <c r="C701" s="12"/>
    </row>
    <row r="702" ht="18.75" customHeight="1">
      <c r="B702" s="12"/>
      <c r="C702" s="12"/>
    </row>
    <row r="703" ht="18.75" customHeight="1">
      <c r="B703" s="12"/>
      <c r="C703" s="12"/>
    </row>
    <row r="704" ht="18.75" customHeight="1">
      <c r="B704" s="12"/>
      <c r="C704" s="12"/>
    </row>
    <row r="705" ht="18.75" customHeight="1">
      <c r="B705" s="12"/>
      <c r="C705" s="12"/>
    </row>
    <row r="706" ht="18.75" customHeight="1">
      <c r="B706" s="12"/>
      <c r="C706" s="12"/>
    </row>
    <row r="707" ht="18.75" customHeight="1">
      <c r="B707" s="12"/>
      <c r="C707" s="12"/>
    </row>
    <row r="708" ht="18.75" customHeight="1">
      <c r="B708" s="12"/>
      <c r="C708" s="12"/>
    </row>
    <row r="709" ht="18.75" customHeight="1">
      <c r="B709" s="12"/>
      <c r="C709" s="12"/>
    </row>
    <row r="710" ht="18.75" customHeight="1">
      <c r="B710" s="12"/>
      <c r="C710" s="12"/>
    </row>
    <row r="711" ht="18.75" customHeight="1">
      <c r="B711" s="12"/>
      <c r="C711" s="12"/>
    </row>
    <row r="712" ht="18.75" customHeight="1">
      <c r="B712" s="12"/>
      <c r="C712" s="12"/>
    </row>
    <row r="713" ht="18.75" customHeight="1">
      <c r="B713" s="12"/>
      <c r="C713" s="12"/>
    </row>
    <row r="714" ht="18.75" customHeight="1">
      <c r="B714" s="12"/>
      <c r="C714" s="12"/>
    </row>
    <row r="715" ht="18.75" customHeight="1">
      <c r="B715" s="12"/>
      <c r="C715" s="12"/>
    </row>
    <row r="716" ht="18.75" customHeight="1">
      <c r="B716" s="12"/>
      <c r="C716" s="12"/>
    </row>
    <row r="717" ht="18.75" customHeight="1">
      <c r="B717" s="12"/>
      <c r="C717" s="12"/>
    </row>
    <row r="718" ht="18.75" customHeight="1">
      <c r="B718" s="12"/>
      <c r="C718" s="12"/>
    </row>
    <row r="719" ht="18.75" customHeight="1">
      <c r="B719" s="12"/>
      <c r="C719" s="12"/>
    </row>
    <row r="720" ht="18.75" customHeight="1">
      <c r="B720" s="12"/>
      <c r="C720" s="12"/>
    </row>
    <row r="721" ht="18.75" customHeight="1">
      <c r="B721" s="12"/>
      <c r="C721" s="12"/>
    </row>
    <row r="722" ht="18.75" customHeight="1">
      <c r="B722" s="12"/>
      <c r="C722" s="12"/>
    </row>
    <row r="723" ht="18.75" customHeight="1">
      <c r="B723" s="12"/>
      <c r="C723" s="12"/>
    </row>
    <row r="724" ht="18.75" customHeight="1">
      <c r="B724" s="12"/>
      <c r="C724" s="12"/>
    </row>
    <row r="725" ht="18.75" customHeight="1">
      <c r="B725" s="12"/>
      <c r="C725" s="12"/>
    </row>
    <row r="726" ht="18.75" customHeight="1">
      <c r="B726" s="12"/>
      <c r="C726" s="12"/>
    </row>
    <row r="727" ht="18.75" customHeight="1">
      <c r="B727" s="12"/>
      <c r="C727" s="12"/>
    </row>
    <row r="728" ht="18.75" customHeight="1">
      <c r="B728" s="12"/>
      <c r="C728" s="12"/>
    </row>
    <row r="729" ht="18.75" customHeight="1">
      <c r="B729" s="12"/>
      <c r="C729" s="12"/>
    </row>
    <row r="730" ht="18.75" customHeight="1">
      <c r="B730" s="12"/>
      <c r="C730" s="12"/>
    </row>
    <row r="731" ht="18.75" customHeight="1">
      <c r="B731" s="12"/>
      <c r="C731" s="12"/>
    </row>
    <row r="732" ht="18.75" customHeight="1">
      <c r="B732" s="12"/>
      <c r="C732" s="12"/>
    </row>
    <row r="733" ht="18.75" customHeight="1">
      <c r="B733" s="12"/>
      <c r="C733" s="12"/>
    </row>
    <row r="734" ht="18.75" customHeight="1">
      <c r="B734" s="12"/>
      <c r="C734" s="12"/>
    </row>
    <row r="735" ht="18.75" customHeight="1">
      <c r="B735" s="12"/>
      <c r="C735" s="12"/>
    </row>
    <row r="736" ht="18.75" customHeight="1">
      <c r="B736" s="12"/>
      <c r="C736" s="12"/>
    </row>
    <row r="737" ht="18.75" customHeight="1">
      <c r="B737" s="12"/>
      <c r="C737" s="12"/>
    </row>
    <row r="738" ht="18.75" customHeight="1">
      <c r="B738" s="12"/>
      <c r="C738" s="12"/>
    </row>
    <row r="739" ht="18.75" customHeight="1">
      <c r="B739" s="12"/>
      <c r="C739" s="12"/>
    </row>
    <row r="740" ht="18.75" customHeight="1">
      <c r="B740" s="12"/>
      <c r="C740" s="12"/>
    </row>
    <row r="741" ht="18.75" customHeight="1">
      <c r="B741" s="12"/>
      <c r="C741" s="12"/>
    </row>
    <row r="742" ht="18.75" customHeight="1">
      <c r="B742" s="12"/>
      <c r="C742" s="12"/>
    </row>
    <row r="743" ht="18.75" customHeight="1">
      <c r="B743" s="12"/>
      <c r="C743" s="12"/>
    </row>
    <row r="744" ht="18.75" customHeight="1">
      <c r="B744" s="12"/>
      <c r="C744" s="12"/>
    </row>
    <row r="745" ht="18.75" customHeight="1">
      <c r="B745" s="12"/>
      <c r="C745" s="12"/>
    </row>
    <row r="746" ht="18.75" customHeight="1">
      <c r="B746" s="12"/>
      <c r="C746" s="12"/>
    </row>
    <row r="747" ht="18.75" customHeight="1">
      <c r="B747" s="12"/>
      <c r="C747" s="12"/>
    </row>
    <row r="748" ht="18.75" customHeight="1">
      <c r="B748" s="12"/>
      <c r="C748" s="12"/>
    </row>
    <row r="749" ht="18.75" customHeight="1">
      <c r="B749" s="12"/>
      <c r="C749" s="12"/>
    </row>
    <row r="750" ht="18.75" customHeight="1">
      <c r="B750" s="12"/>
      <c r="C750" s="12"/>
    </row>
    <row r="751" ht="18.75" customHeight="1">
      <c r="B751" s="12"/>
      <c r="C751" s="12"/>
    </row>
    <row r="752" ht="18.75" customHeight="1">
      <c r="B752" s="12"/>
      <c r="C752" s="12"/>
    </row>
    <row r="753" ht="18.75" customHeight="1">
      <c r="B753" s="12"/>
      <c r="C753" s="12"/>
    </row>
    <row r="754" ht="18.75" customHeight="1">
      <c r="B754" s="12"/>
      <c r="C754" s="12"/>
    </row>
    <row r="755" ht="18.75" customHeight="1">
      <c r="B755" s="12"/>
      <c r="C755" s="12"/>
    </row>
    <row r="756" ht="18.75" customHeight="1">
      <c r="B756" s="12"/>
      <c r="C756" s="12"/>
    </row>
    <row r="757" ht="18.75" customHeight="1">
      <c r="B757" s="12"/>
      <c r="C757" s="12"/>
    </row>
    <row r="758" ht="18.75" customHeight="1">
      <c r="B758" s="12"/>
      <c r="C758" s="12"/>
    </row>
    <row r="759" ht="18.75" customHeight="1">
      <c r="B759" s="12"/>
      <c r="C759" s="12"/>
    </row>
    <row r="760" ht="18.75" customHeight="1">
      <c r="B760" s="12"/>
      <c r="C760" s="12"/>
    </row>
    <row r="761" ht="18.75" customHeight="1">
      <c r="B761" s="12"/>
      <c r="C761" s="12"/>
    </row>
    <row r="762" ht="18.75" customHeight="1">
      <c r="B762" s="12"/>
      <c r="C762" s="12"/>
    </row>
    <row r="763" ht="18.75" customHeight="1">
      <c r="B763" s="12"/>
      <c r="C763" s="12"/>
    </row>
    <row r="764" ht="18.75" customHeight="1">
      <c r="B764" s="12"/>
      <c r="C764" s="12"/>
    </row>
    <row r="765" ht="18.75" customHeight="1">
      <c r="B765" s="12"/>
      <c r="C765" s="12"/>
    </row>
    <row r="766" ht="18.75" customHeight="1">
      <c r="B766" s="12"/>
      <c r="C766" s="12"/>
    </row>
    <row r="767" ht="18.75" customHeight="1">
      <c r="B767" s="12"/>
      <c r="C767" s="12"/>
    </row>
    <row r="768" ht="18.75" customHeight="1">
      <c r="B768" s="12"/>
      <c r="C768" s="12"/>
    </row>
    <row r="769" ht="18.75" customHeight="1">
      <c r="B769" s="12"/>
      <c r="C769" s="12"/>
    </row>
    <row r="770" ht="18.75" customHeight="1">
      <c r="B770" s="12"/>
      <c r="C770" s="12"/>
    </row>
    <row r="771" ht="18.75" customHeight="1">
      <c r="B771" s="12"/>
      <c r="C771" s="12"/>
    </row>
    <row r="772" ht="18.75" customHeight="1">
      <c r="B772" s="12"/>
      <c r="C772" s="12"/>
    </row>
    <row r="773" ht="18.75" customHeight="1">
      <c r="B773" s="12"/>
      <c r="C773" s="12"/>
    </row>
    <row r="774" ht="18.75" customHeight="1">
      <c r="B774" s="12"/>
      <c r="C774" s="12"/>
    </row>
    <row r="775" ht="18.75" customHeight="1">
      <c r="B775" s="12"/>
      <c r="C775" s="12"/>
    </row>
    <row r="776" ht="18.75" customHeight="1">
      <c r="B776" s="12"/>
      <c r="C776" s="12"/>
    </row>
    <row r="777" ht="18.75" customHeight="1">
      <c r="B777" s="12"/>
      <c r="C777" s="12"/>
    </row>
    <row r="778" ht="18.75" customHeight="1">
      <c r="B778" s="12"/>
      <c r="C778" s="12"/>
    </row>
    <row r="779" ht="18.75" customHeight="1">
      <c r="B779" s="12"/>
      <c r="C779" s="12"/>
    </row>
    <row r="780" ht="18.75" customHeight="1">
      <c r="B780" s="12"/>
      <c r="C780" s="12"/>
    </row>
    <row r="781" ht="18.75" customHeight="1">
      <c r="B781" s="12"/>
      <c r="C781" s="12"/>
    </row>
    <row r="782" ht="18.75" customHeight="1">
      <c r="B782" s="12"/>
      <c r="C782" s="12"/>
    </row>
    <row r="783" ht="18.75" customHeight="1">
      <c r="B783" s="12"/>
      <c r="C783" s="12"/>
    </row>
    <row r="784" ht="18.75" customHeight="1">
      <c r="B784" s="12"/>
      <c r="C784" s="12"/>
    </row>
    <row r="785" ht="18.75" customHeight="1">
      <c r="B785" s="12"/>
      <c r="C785" s="12"/>
    </row>
    <row r="786" ht="18.75" customHeight="1">
      <c r="B786" s="12"/>
      <c r="C786" s="12"/>
    </row>
    <row r="787" ht="18.75" customHeight="1">
      <c r="B787" s="12"/>
      <c r="C787" s="12"/>
    </row>
    <row r="788" ht="18.75" customHeight="1">
      <c r="B788" s="12"/>
      <c r="C788" s="12"/>
    </row>
    <row r="789" ht="18.75" customHeight="1">
      <c r="B789" s="12"/>
      <c r="C789" s="12"/>
    </row>
    <row r="790" ht="18.75" customHeight="1">
      <c r="B790" s="12"/>
      <c r="C790" s="12"/>
    </row>
    <row r="791" ht="18.75" customHeight="1">
      <c r="B791" s="12"/>
      <c r="C791" s="12"/>
    </row>
    <row r="792" ht="18.75" customHeight="1">
      <c r="B792" s="12"/>
      <c r="C792" s="12"/>
    </row>
    <row r="793" ht="18.75" customHeight="1">
      <c r="B793" s="12"/>
      <c r="C793" s="12"/>
    </row>
    <row r="794" ht="18.75" customHeight="1">
      <c r="B794" s="12"/>
      <c r="C794" s="12"/>
    </row>
    <row r="795" ht="18.75" customHeight="1">
      <c r="B795" s="12"/>
      <c r="C795" s="12"/>
    </row>
    <row r="796" ht="18.75" customHeight="1">
      <c r="B796" s="12"/>
      <c r="C796" s="12"/>
    </row>
    <row r="797" ht="18.75" customHeight="1">
      <c r="B797" s="12"/>
      <c r="C797" s="12"/>
    </row>
    <row r="798" ht="18.75" customHeight="1">
      <c r="B798" s="12"/>
      <c r="C798" s="12"/>
    </row>
    <row r="799" ht="18.75" customHeight="1">
      <c r="B799" s="12"/>
      <c r="C799" s="12"/>
    </row>
    <row r="800" ht="18.75" customHeight="1">
      <c r="B800" s="12"/>
      <c r="C800" s="12"/>
    </row>
    <row r="801" ht="18.75" customHeight="1">
      <c r="B801" s="12"/>
      <c r="C801" s="12"/>
    </row>
    <row r="802" ht="18.75" customHeight="1">
      <c r="B802" s="12"/>
      <c r="C802" s="12"/>
    </row>
    <row r="803" ht="18.75" customHeight="1">
      <c r="B803" s="12"/>
      <c r="C803" s="12"/>
    </row>
    <row r="804" ht="18.75" customHeight="1">
      <c r="B804" s="12"/>
      <c r="C804" s="12"/>
    </row>
    <row r="805" ht="18.75" customHeight="1">
      <c r="B805" s="12"/>
      <c r="C805" s="12"/>
    </row>
    <row r="806" ht="18.75" customHeight="1">
      <c r="B806" s="12"/>
      <c r="C806" s="12"/>
    </row>
    <row r="807" ht="18.75" customHeight="1">
      <c r="B807" s="12"/>
      <c r="C807" s="12"/>
    </row>
    <row r="808" ht="18.75" customHeight="1">
      <c r="B808" s="12"/>
      <c r="C808" s="12"/>
    </row>
    <row r="809" ht="18.75" customHeight="1">
      <c r="B809" s="12"/>
      <c r="C809" s="12"/>
    </row>
    <row r="810" ht="18.75" customHeight="1">
      <c r="B810" s="12"/>
      <c r="C810" s="12"/>
    </row>
    <row r="811" ht="18.75" customHeight="1">
      <c r="B811" s="12"/>
      <c r="C811" s="12"/>
    </row>
    <row r="812" ht="18.75" customHeight="1">
      <c r="B812" s="12"/>
      <c r="C812" s="12"/>
    </row>
    <row r="813" ht="18.75" customHeight="1">
      <c r="B813" s="12"/>
      <c r="C813" s="12"/>
    </row>
    <row r="814" ht="18.75" customHeight="1">
      <c r="B814" s="12"/>
      <c r="C814" s="12"/>
    </row>
    <row r="815" ht="18.75" customHeight="1">
      <c r="B815" s="12"/>
      <c r="C815" s="12"/>
    </row>
    <row r="816" ht="18.75" customHeight="1">
      <c r="B816" s="12"/>
      <c r="C816" s="12"/>
    </row>
    <row r="817" ht="18.75" customHeight="1">
      <c r="B817" s="12"/>
      <c r="C817" s="12"/>
    </row>
    <row r="818" ht="18.75" customHeight="1">
      <c r="B818" s="12"/>
      <c r="C818" s="12"/>
    </row>
    <row r="819" ht="18.75" customHeight="1">
      <c r="B819" s="12"/>
      <c r="C819" s="12"/>
    </row>
    <row r="820" ht="18.75" customHeight="1">
      <c r="B820" s="12"/>
      <c r="C820" s="12"/>
    </row>
    <row r="821" ht="18.75" customHeight="1">
      <c r="B821" s="12"/>
      <c r="C821" s="12"/>
    </row>
    <row r="822" ht="18.75" customHeight="1">
      <c r="B822" s="12"/>
      <c r="C822" s="12"/>
    </row>
    <row r="823" ht="18.75" customHeight="1">
      <c r="B823" s="12"/>
      <c r="C823" s="12"/>
    </row>
    <row r="824" ht="18.75" customHeight="1">
      <c r="B824" s="12"/>
      <c r="C824" s="12"/>
    </row>
    <row r="825" ht="18.75" customHeight="1">
      <c r="B825" s="12"/>
      <c r="C825" s="12"/>
    </row>
    <row r="826" ht="18.75" customHeight="1">
      <c r="B826" s="12"/>
      <c r="C826" s="12"/>
    </row>
    <row r="827" ht="18.75" customHeight="1">
      <c r="B827" s="12"/>
      <c r="C827" s="12"/>
    </row>
    <row r="828" ht="18.75" customHeight="1">
      <c r="B828" s="12"/>
      <c r="C828" s="12"/>
    </row>
    <row r="829" ht="18.75" customHeight="1">
      <c r="B829" s="12"/>
      <c r="C829" s="12"/>
    </row>
    <row r="830" ht="18.75" customHeight="1">
      <c r="B830" s="12"/>
      <c r="C830" s="12"/>
    </row>
    <row r="831" ht="18.75" customHeight="1">
      <c r="B831" s="12"/>
      <c r="C831" s="12"/>
    </row>
    <row r="832" ht="18.75" customHeight="1">
      <c r="B832" s="12"/>
      <c r="C832" s="12"/>
    </row>
    <row r="833" ht="18.75" customHeight="1">
      <c r="B833" s="12"/>
      <c r="C833" s="12"/>
    </row>
    <row r="834" ht="18.75" customHeight="1">
      <c r="B834" s="12"/>
      <c r="C834" s="12"/>
    </row>
    <row r="835" ht="18.75" customHeight="1">
      <c r="B835" s="12"/>
      <c r="C835" s="12"/>
    </row>
    <row r="836" ht="18.75" customHeight="1">
      <c r="B836" s="12"/>
      <c r="C836" s="12"/>
    </row>
    <row r="837" ht="18.75" customHeight="1">
      <c r="B837" s="12"/>
      <c r="C837" s="12"/>
    </row>
    <row r="838" ht="18.75" customHeight="1">
      <c r="B838" s="12"/>
      <c r="C838" s="12"/>
    </row>
    <row r="839" ht="18.75" customHeight="1">
      <c r="B839" s="12"/>
      <c r="C839" s="12"/>
    </row>
    <row r="840" ht="18.75" customHeight="1">
      <c r="B840" s="12"/>
      <c r="C840" s="12"/>
    </row>
    <row r="841" ht="18.75" customHeight="1">
      <c r="B841" s="12"/>
      <c r="C841" s="12"/>
    </row>
    <row r="842" ht="18.75" customHeight="1">
      <c r="B842" s="12"/>
      <c r="C842" s="12"/>
    </row>
    <row r="843" ht="18.75" customHeight="1">
      <c r="B843" s="12"/>
      <c r="C843" s="12"/>
    </row>
    <row r="844" ht="18.75" customHeight="1">
      <c r="B844" s="12"/>
      <c r="C844" s="12"/>
    </row>
    <row r="845" ht="18.75" customHeight="1">
      <c r="B845" s="12"/>
      <c r="C845" s="12"/>
    </row>
    <row r="846" ht="18.75" customHeight="1">
      <c r="B846" s="12"/>
      <c r="C846" s="12"/>
    </row>
    <row r="847" ht="18.75" customHeight="1">
      <c r="B847" s="12"/>
      <c r="C847" s="12"/>
    </row>
    <row r="848" ht="18.75" customHeight="1">
      <c r="B848" s="12"/>
      <c r="C848" s="12"/>
    </row>
    <row r="849" ht="18.75" customHeight="1">
      <c r="B849" s="12"/>
      <c r="C849" s="12"/>
    </row>
    <row r="850" ht="18.75" customHeight="1">
      <c r="B850" s="12"/>
      <c r="C850" s="12"/>
    </row>
    <row r="851" ht="18.75" customHeight="1">
      <c r="B851" s="12"/>
      <c r="C851" s="12"/>
    </row>
    <row r="852" ht="18.75" customHeight="1">
      <c r="B852" s="12"/>
      <c r="C852" s="12"/>
    </row>
    <row r="853" ht="18.75" customHeight="1">
      <c r="B853" s="12"/>
      <c r="C853" s="12"/>
    </row>
    <row r="854" ht="18.75" customHeight="1">
      <c r="B854" s="12"/>
      <c r="C854" s="12"/>
    </row>
    <row r="855" ht="18.75" customHeight="1">
      <c r="B855" s="12"/>
      <c r="C855" s="12"/>
    </row>
    <row r="856" ht="18.75" customHeight="1">
      <c r="B856" s="12"/>
      <c r="C856" s="12"/>
    </row>
    <row r="857" ht="18.75" customHeight="1">
      <c r="B857" s="12"/>
      <c r="C857" s="12"/>
    </row>
    <row r="858" ht="18.75" customHeight="1">
      <c r="B858" s="12"/>
      <c r="C858" s="12"/>
    </row>
    <row r="859" ht="18.75" customHeight="1">
      <c r="B859" s="12"/>
      <c r="C859" s="12"/>
    </row>
    <row r="860" ht="18.75" customHeight="1">
      <c r="B860" s="12"/>
      <c r="C860" s="12"/>
    </row>
    <row r="861" ht="18.75" customHeight="1">
      <c r="B861" s="12"/>
      <c r="C861" s="12"/>
    </row>
    <row r="862" ht="18.75" customHeight="1">
      <c r="B862" s="12"/>
      <c r="C862" s="12"/>
    </row>
    <row r="863" ht="18.75" customHeight="1">
      <c r="B863" s="12"/>
      <c r="C863" s="12"/>
    </row>
    <row r="864" ht="18.75" customHeight="1">
      <c r="B864" s="12"/>
      <c r="C864" s="12"/>
    </row>
    <row r="865" ht="18.75" customHeight="1">
      <c r="B865" s="12"/>
      <c r="C865" s="12"/>
    </row>
    <row r="866" ht="18.75" customHeight="1">
      <c r="B866" s="12"/>
      <c r="C866" s="12"/>
    </row>
    <row r="867" ht="18.75" customHeight="1">
      <c r="B867" s="12"/>
      <c r="C867" s="12"/>
    </row>
    <row r="868" ht="18.75" customHeight="1">
      <c r="B868" s="12"/>
      <c r="C868" s="12"/>
    </row>
    <row r="869" ht="18.75" customHeight="1">
      <c r="B869" s="12"/>
      <c r="C869" s="12"/>
    </row>
    <row r="870" ht="18.75" customHeight="1">
      <c r="B870" s="12"/>
      <c r="C870" s="12"/>
    </row>
    <row r="871" ht="18.75" customHeight="1">
      <c r="B871" s="12"/>
      <c r="C871" s="12"/>
    </row>
    <row r="872" ht="18.75" customHeight="1">
      <c r="B872" s="12"/>
      <c r="C872" s="12"/>
    </row>
    <row r="873" ht="18.75" customHeight="1">
      <c r="B873" s="12"/>
      <c r="C873" s="12"/>
    </row>
    <row r="874" ht="18.75" customHeight="1">
      <c r="B874" s="12"/>
      <c r="C874" s="12"/>
    </row>
    <row r="875" ht="18.75" customHeight="1">
      <c r="B875" s="12"/>
      <c r="C875" s="12"/>
    </row>
    <row r="876" ht="18.75" customHeight="1">
      <c r="B876" s="12"/>
      <c r="C876" s="12"/>
    </row>
    <row r="877" ht="18.75" customHeight="1">
      <c r="B877" s="12"/>
      <c r="C877" s="12"/>
    </row>
    <row r="878" ht="18.75" customHeight="1">
      <c r="B878" s="12"/>
      <c r="C878" s="12"/>
    </row>
    <row r="879" ht="18.75" customHeight="1">
      <c r="B879" s="12"/>
      <c r="C879" s="12"/>
    </row>
    <row r="880" ht="18.75" customHeight="1">
      <c r="B880" s="12"/>
      <c r="C880" s="12"/>
    </row>
    <row r="881" ht="18.75" customHeight="1">
      <c r="B881" s="12"/>
      <c r="C881" s="12"/>
    </row>
    <row r="882" ht="18.75" customHeight="1">
      <c r="B882" s="12"/>
      <c r="C882" s="12"/>
    </row>
    <row r="883" ht="18.75" customHeight="1">
      <c r="B883" s="12"/>
      <c r="C883" s="12"/>
    </row>
    <row r="884" ht="18.75" customHeight="1">
      <c r="B884" s="12"/>
      <c r="C884" s="12"/>
    </row>
    <row r="885" ht="18.75" customHeight="1">
      <c r="B885" s="12"/>
      <c r="C885" s="12"/>
    </row>
    <row r="886" ht="18.75" customHeight="1">
      <c r="B886" s="12"/>
      <c r="C886" s="12"/>
    </row>
    <row r="887" ht="18.75" customHeight="1">
      <c r="B887" s="12"/>
      <c r="C887" s="12"/>
    </row>
    <row r="888" ht="18.75" customHeight="1">
      <c r="B888" s="12"/>
      <c r="C888" s="12"/>
    </row>
    <row r="889" ht="18.75" customHeight="1">
      <c r="B889" s="12"/>
      <c r="C889" s="12"/>
    </row>
    <row r="890" ht="18.75" customHeight="1">
      <c r="B890" s="12"/>
      <c r="C890" s="12"/>
    </row>
    <row r="891" ht="18.75" customHeight="1">
      <c r="B891" s="12"/>
      <c r="C891" s="12"/>
    </row>
    <row r="892" ht="18.75" customHeight="1">
      <c r="B892" s="12"/>
      <c r="C892" s="12"/>
    </row>
    <row r="893" ht="18.75" customHeight="1">
      <c r="B893" s="12"/>
      <c r="C893" s="12"/>
    </row>
    <row r="894" ht="18.75" customHeight="1">
      <c r="B894" s="12"/>
      <c r="C894" s="12"/>
    </row>
    <row r="895" ht="18.75" customHeight="1">
      <c r="B895" s="12"/>
      <c r="C895" s="12"/>
    </row>
    <row r="896" ht="18.75" customHeight="1">
      <c r="B896" s="12"/>
      <c r="C896" s="12"/>
    </row>
    <row r="897" ht="18.75" customHeight="1">
      <c r="B897" s="12"/>
      <c r="C897" s="12"/>
    </row>
    <row r="898" ht="18.75" customHeight="1">
      <c r="B898" s="12"/>
      <c r="C898" s="12"/>
    </row>
    <row r="899" ht="18.75" customHeight="1">
      <c r="B899" s="12"/>
      <c r="C899" s="12"/>
    </row>
    <row r="900" ht="18.75" customHeight="1">
      <c r="B900" s="12"/>
      <c r="C900" s="12"/>
    </row>
    <row r="901" ht="18.75" customHeight="1">
      <c r="B901" s="12"/>
      <c r="C901" s="12"/>
    </row>
    <row r="902" ht="18.75" customHeight="1">
      <c r="B902" s="12"/>
      <c r="C902" s="12"/>
    </row>
    <row r="903" ht="18.75" customHeight="1">
      <c r="B903" s="12"/>
      <c r="C903" s="12"/>
    </row>
    <row r="904" ht="18.75" customHeight="1">
      <c r="B904" s="12"/>
      <c r="C904" s="12"/>
    </row>
    <row r="905" ht="18.75" customHeight="1">
      <c r="B905" s="12"/>
      <c r="C905" s="12"/>
    </row>
    <row r="906" ht="18.75" customHeight="1">
      <c r="B906" s="12"/>
      <c r="C906" s="12"/>
    </row>
    <row r="907" ht="18.75" customHeight="1">
      <c r="B907" s="12"/>
      <c r="C907" s="12"/>
    </row>
    <row r="908" ht="18.75" customHeight="1">
      <c r="B908" s="12"/>
      <c r="C908" s="12"/>
    </row>
    <row r="909" ht="18.75" customHeight="1">
      <c r="B909" s="12"/>
      <c r="C909" s="12"/>
    </row>
    <row r="910" ht="18.75" customHeight="1">
      <c r="B910" s="12"/>
      <c r="C910" s="12"/>
    </row>
    <row r="911" ht="18.75" customHeight="1">
      <c r="B911" s="12"/>
      <c r="C911" s="12"/>
    </row>
    <row r="912" ht="18.75" customHeight="1">
      <c r="B912" s="12"/>
      <c r="C912" s="12"/>
    </row>
    <row r="913" ht="18.75" customHeight="1">
      <c r="B913" s="12"/>
      <c r="C913" s="12"/>
    </row>
    <row r="914" ht="18.75" customHeight="1">
      <c r="B914" s="12"/>
      <c r="C914" s="12"/>
    </row>
    <row r="915" ht="18.75" customHeight="1">
      <c r="B915" s="12"/>
      <c r="C915" s="12"/>
    </row>
    <row r="916" ht="18.75" customHeight="1">
      <c r="B916" s="12"/>
      <c r="C916" s="12"/>
    </row>
    <row r="917" ht="18.75" customHeight="1">
      <c r="B917" s="12"/>
      <c r="C917" s="12"/>
    </row>
    <row r="918" ht="18.75" customHeight="1">
      <c r="B918" s="12"/>
      <c r="C918" s="12"/>
    </row>
    <row r="919" ht="18.75" customHeight="1">
      <c r="B919" s="12"/>
      <c r="C919" s="12"/>
    </row>
    <row r="920" ht="18.75" customHeight="1">
      <c r="B920" s="12"/>
      <c r="C920" s="12"/>
    </row>
    <row r="921" ht="18.75" customHeight="1">
      <c r="B921" s="12"/>
      <c r="C921" s="12"/>
    </row>
    <row r="922" ht="18.75" customHeight="1">
      <c r="B922" s="12"/>
      <c r="C922" s="12"/>
    </row>
    <row r="923" ht="18.75" customHeight="1">
      <c r="B923" s="12"/>
      <c r="C923" s="12"/>
    </row>
    <row r="924" ht="18.75" customHeight="1">
      <c r="B924" s="12"/>
      <c r="C924" s="12"/>
    </row>
    <row r="925" ht="18.75" customHeight="1">
      <c r="B925" s="12"/>
      <c r="C925" s="12"/>
    </row>
    <row r="926" ht="18.75" customHeight="1">
      <c r="B926" s="12"/>
      <c r="C926" s="12"/>
    </row>
    <row r="927" ht="18.75" customHeight="1">
      <c r="B927" s="12"/>
      <c r="C927" s="12"/>
    </row>
    <row r="928" ht="18.75" customHeight="1">
      <c r="B928" s="12"/>
      <c r="C928" s="12"/>
    </row>
    <row r="929" ht="18.75" customHeight="1">
      <c r="B929" s="12"/>
      <c r="C929" s="12"/>
    </row>
    <row r="930" ht="18.75" customHeight="1">
      <c r="B930" s="12"/>
      <c r="C930" s="12"/>
    </row>
    <row r="931" ht="18.75" customHeight="1">
      <c r="B931" s="12"/>
      <c r="C931" s="12"/>
    </row>
    <row r="932" ht="18.75" customHeight="1">
      <c r="B932" s="12"/>
      <c r="C932" s="12"/>
    </row>
    <row r="933" ht="18.75" customHeight="1">
      <c r="B933" s="12"/>
      <c r="C933" s="12"/>
    </row>
    <row r="934" ht="18.75" customHeight="1">
      <c r="B934" s="12"/>
      <c r="C934" s="12"/>
    </row>
    <row r="935" ht="18.75" customHeight="1">
      <c r="B935" s="12"/>
      <c r="C935" s="12"/>
    </row>
    <row r="936" ht="18.75" customHeight="1">
      <c r="B936" s="12"/>
      <c r="C936" s="12"/>
    </row>
    <row r="937" ht="18.75" customHeight="1">
      <c r="B937" s="12"/>
      <c r="C937" s="12"/>
    </row>
    <row r="938" ht="18.75" customHeight="1">
      <c r="B938" s="12"/>
      <c r="C938" s="12"/>
    </row>
    <row r="939" ht="18.75" customHeight="1">
      <c r="B939" s="12"/>
      <c r="C939" s="12"/>
    </row>
    <row r="940" ht="18.75" customHeight="1">
      <c r="B940" s="12"/>
      <c r="C940" s="12"/>
    </row>
    <row r="941" ht="18.75" customHeight="1">
      <c r="B941" s="12"/>
      <c r="C941" s="12"/>
    </row>
    <row r="942" ht="18.75" customHeight="1">
      <c r="B942" s="12"/>
      <c r="C942" s="12"/>
    </row>
    <row r="943" ht="18.75" customHeight="1">
      <c r="B943" s="12"/>
      <c r="C943" s="12"/>
    </row>
    <row r="944" ht="18.75" customHeight="1">
      <c r="B944" s="12"/>
      <c r="C944" s="12"/>
    </row>
    <row r="945" ht="18.75" customHeight="1">
      <c r="B945" s="12"/>
      <c r="C945" s="12"/>
    </row>
    <row r="946" ht="18.75" customHeight="1">
      <c r="B946" s="12"/>
      <c r="C946" s="12"/>
    </row>
    <row r="947" ht="18.75" customHeight="1">
      <c r="B947" s="12"/>
      <c r="C947" s="12"/>
    </row>
    <row r="948" ht="18.75" customHeight="1">
      <c r="B948" s="12"/>
      <c r="C948" s="12"/>
    </row>
    <row r="949" ht="18.75" customHeight="1">
      <c r="B949" s="12"/>
      <c r="C949" s="12"/>
    </row>
    <row r="950" ht="18.75" customHeight="1">
      <c r="B950" s="12"/>
      <c r="C950" s="12"/>
    </row>
    <row r="951" ht="18.75" customHeight="1">
      <c r="B951" s="12"/>
      <c r="C951" s="12"/>
    </row>
    <row r="952" ht="18.75" customHeight="1">
      <c r="B952" s="12"/>
      <c r="C952" s="12"/>
    </row>
    <row r="953" ht="18.75" customHeight="1">
      <c r="B953" s="12"/>
      <c r="C953" s="12"/>
    </row>
    <row r="954" ht="18.75" customHeight="1">
      <c r="B954" s="12"/>
      <c r="C954" s="12"/>
    </row>
    <row r="955" ht="18.75" customHeight="1">
      <c r="B955" s="12"/>
      <c r="C955" s="12"/>
    </row>
    <row r="956" ht="18.75" customHeight="1">
      <c r="B956" s="12"/>
      <c r="C956" s="12"/>
    </row>
    <row r="957" ht="18.75" customHeight="1">
      <c r="B957" s="12"/>
      <c r="C957" s="12"/>
    </row>
    <row r="958" ht="18.75" customHeight="1">
      <c r="B958" s="12"/>
      <c r="C958" s="12"/>
    </row>
    <row r="959" ht="18.75" customHeight="1">
      <c r="B959" s="12"/>
      <c r="C959" s="12"/>
    </row>
    <row r="960" ht="18.75" customHeight="1">
      <c r="B960" s="12"/>
      <c r="C960" s="12"/>
    </row>
    <row r="961" ht="18.75" customHeight="1">
      <c r="B961" s="12"/>
      <c r="C961" s="12"/>
    </row>
    <row r="962" ht="18.75" customHeight="1">
      <c r="B962" s="12"/>
      <c r="C962" s="12"/>
    </row>
    <row r="963" ht="18.75" customHeight="1">
      <c r="B963" s="12"/>
      <c r="C963" s="12"/>
    </row>
    <row r="964" ht="18.75" customHeight="1">
      <c r="B964" s="12"/>
      <c r="C964" s="12"/>
    </row>
    <row r="965" ht="18.75" customHeight="1">
      <c r="B965" s="12"/>
      <c r="C965" s="12"/>
    </row>
    <row r="966" ht="18.75" customHeight="1">
      <c r="B966" s="12"/>
      <c r="C966" s="12"/>
    </row>
    <row r="967" ht="18.75" customHeight="1">
      <c r="B967" s="12"/>
      <c r="C967" s="12"/>
    </row>
    <row r="968" ht="18.75" customHeight="1">
      <c r="B968" s="12"/>
      <c r="C968" s="12"/>
    </row>
    <row r="969" ht="18.75" customHeight="1">
      <c r="B969" s="12"/>
      <c r="C969" s="12"/>
    </row>
    <row r="970" ht="18.75" customHeight="1">
      <c r="B970" s="12"/>
      <c r="C970" s="12"/>
    </row>
    <row r="971" ht="18.75" customHeight="1">
      <c r="B971" s="12"/>
      <c r="C971" s="12"/>
    </row>
    <row r="972" ht="18.75" customHeight="1">
      <c r="B972" s="12"/>
      <c r="C972" s="12"/>
    </row>
    <row r="973" ht="18.75" customHeight="1">
      <c r="B973" s="12"/>
      <c r="C973" s="12"/>
    </row>
    <row r="974" ht="18.75" customHeight="1">
      <c r="B974" s="12"/>
      <c r="C974" s="12"/>
    </row>
    <row r="975" ht="18.75" customHeight="1">
      <c r="B975" s="12"/>
      <c r="C975" s="12"/>
    </row>
    <row r="976" ht="18.75" customHeight="1">
      <c r="B976" s="12"/>
      <c r="C976" s="12"/>
    </row>
    <row r="977" ht="18.75" customHeight="1">
      <c r="B977" s="12"/>
      <c r="C977" s="12"/>
    </row>
    <row r="978" ht="18.75" customHeight="1">
      <c r="B978" s="12"/>
      <c r="C978" s="12"/>
    </row>
    <row r="979" ht="18.75" customHeight="1">
      <c r="B979" s="12"/>
      <c r="C979" s="12"/>
    </row>
    <row r="980" ht="18.75" customHeight="1">
      <c r="B980" s="12"/>
      <c r="C980" s="12"/>
    </row>
    <row r="981" ht="18.75" customHeight="1">
      <c r="B981" s="12"/>
      <c r="C981" s="12"/>
    </row>
    <row r="982" ht="18.75" customHeight="1">
      <c r="B982" s="12"/>
      <c r="C982" s="12"/>
    </row>
    <row r="983" ht="18.75" customHeight="1">
      <c r="B983" s="12"/>
      <c r="C983" s="12"/>
    </row>
    <row r="984" ht="18.75" customHeight="1">
      <c r="B984" s="12"/>
      <c r="C984" s="12"/>
    </row>
    <row r="985" ht="18.75" customHeight="1">
      <c r="B985" s="12"/>
      <c r="C985" s="12"/>
    </row>
    <row r="986" ht="18.75" customHeight="1">
      <c r="B986" s="12"/>
      <c r="C986" s="12"/>
    </row>
    <row r="987" ht="18.75" customHeight="1">
      <c r="B987" s="12"/>
      <c r="C987" s="12"/>
    </row>
    <row r="988" ht="18.75" customHeight="1">
      <c r="B988" s="12"/>
      <c r="C988" s="12"/>
    </row>
    <row r="989" ht="18.75" customHeight="1">
      <c r="B989" s="12"/>
      <c r="C989" s="12"/>
    </row>
    <row r="990" ht="18.75" customHeight="1">
      <c r="B990" s="12"/>
      <c r="C990" s="12"/>
    </row>
    <row r="991" ht="18.75" customHeight="1">
      <c r="B991" s="12"/>
      <c r="C991" s="12"/>
    </row>
    <row r="992" ht="18.75" customHeight="1">
      <c r="B992" s="12"/>
      <c r="C992" s="12"/>
    </row>
    <row r="993" ht="18.75" customHeight="1">
      <c r="B993" s="12"/>
      <c r="C993" s="12"/>
    </row>
    <row r="994" ht="18.75" customHeight="1">
      <c r="B994" s="12"/>
      <c r="C994" s="12"/>
    </row>
    <row r="995" ht="18.75" customHeight="1">
      <c r="B995" s="12"/>
      <c r="C995" s="12"/>
    </row>
    <row r="996" ht="18.75" customHeight="1">
      <c r="B996" s="12"/>
      <c r="C996" s="12"/>
    </row>
    <row r="997" ht="18.75" customHeight="1">
      <c r="B997" s="12"/>
      <c r="C997" s="12"/>
    </row>
    <row r="998" ht="18.75" customHeight="1">
      <c r="B998" s="12"/>
      <c r="C998" s="12"/>
    </row>
    <row r="999" ht="18.75" customHeight="1">
      <c r="B999" s="12"/>
      <c r="C999" s="12"/>
    </row>
    <row r="1000" ht="18.75" customHeight="1">
      <c r="B1000" s="12"/>
      <c r="C100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7" t="s">
        <v>3788</v>
      </c>
      <c r="B1" s="7" t="s">
        <v>3789</v>
      </c>
      <c r="C1" s="7" t="s">
        <v>3790</v>
      </c>
      <c r="D1" s="7" t="s">
        <v>3791</v>
      </c>
      <c r="E1" s="7" t="s">
        <v>3792</v>
      </c>
      <c r="F1" s="14"/>
      <c r="G1" s="14"/>
      <c r="H1" s="14"/>
      <c r="I1" s="14"/>
      <c r="J1" s="14"/>
      <c r="K1" s="14"/>
      <c r="L1" s="14"/>
      <c r="M1" s="14"/>
      <c r="N1" s="14"/>
      <c r="O1" s="14"/>
    </row>
    <row r="2" ht="18.75" customHeight="1">
      <c r="A2" s="7" t="s">
        <v>3793</v>
      </c>
      <c r="B2" s="7">
        <v>3346.0</v>
      </c>
      <c r="C2" s="7">
        <v>3346.0</v>
      </c>
      <c r="D2" s="7">
        <v>1140.0</v>
      </c>
      <c r="E2" s="7">
        <v>953.0</v>
      </c>
      <c r="F2" s="14"/>
      <c r="G2" s="15"/>
      <c r="H2" s="15"/>
      <c r="I2" s="14"/>
      <c r="J2" s="14"/>
      <c r="K2" s="14"/>
      <c r="L2" s="14"/>
      <c r="M2" s="14"/>
      <c r="N2" s="14"/>
    </row>
    <row r="3" ht="18.75" customHeight="1">
      <c r="A3" s="7" t="s">
        <v>3794</v>
      </c>
      <c r="B3" s="7">
        <v>11606.0</v>
      </c>
      <c r="C3" s="7">
        <v>9785.0</v>
      </c>
      <c r="D3" s="7">
        <v>2911.0</v>
      </c>
      <c r="E3" s="7">
        <v>2297.0</v>
      </c>
      <c r="F3" s="14"/>
      <c r="G3" s="15"/>
      <c r="H3" s="15"/>
      <c r="I3" s="14"/>
      <c r="J3" s="14"/>
      <c r="K3" s="14"/>
      <c r="L3" s="14"/>
      <c r="M3" s="14"/>
      <c r="N3" s="14"/>
      <c r="O3" s="14"/>
    </row>
    <row r="4" ht="18.75" customHeight="1">
      <c r="A4" s="7" t="s">
        <v>3795</v>
      </c>
      <c r="B4" s="7">
        <v>12124.0</v>
      </c>
      <c r="C4" s="7">
        <v>11014.0</v>
      </c>
      <c r="D4" s="7">
        <v>2919.0</v>
      </c>
      <c r="E4" s="7">
        <v>2420.0</v>
      </c>
      <c r="F4" s="14"/>
      <c r="G4" s="15"/>
      <c r="H4" s="15"/>
      <c r="I4" s="14"/>
      <c r="J4" s="14"/>
      <c r="K4" s="14"/>
      <c r="L4" s="14"/>
      <c r="M4" s="14"/>
      <c r="N4" s="14"/>
      <c r="O4" s="14"/>
    </row>
    <row r="5" ht="18.75" customHeight="1">
      <c r="A5" s="7" t="s">
        <v>3796</v>
      </c>
      <c r="B5" s="7">
        <v>1500.0</v>
      </c>
      <c r="C5" s="7">
        <v>116.0</v>
      </c>
      <c r="D5" s="7">
        <v>31.0</v>
      </c>
      <c r="E5" s="7">
        <v>27.0</v>
      </c>
      <c r="F5" s="14"/>
      <c r="G5" s="15"/>
      <c r="H5" s="15"/>
      <c r="I5" s="14"/>
      <c r="J5" s="14"/>
      <c r="K5" s="14"/>
      <c r="L5" s="14"/>
      <c r="M5" s="14"/>
      <c r="N5" s="14"/>
      <c r="O5" s="14"/>
    </row>
    <row r="6" ht="18.75" customHeight="1">
      <c r="A6" s="7" t="s">
        <v>3797</v>
      </c>
      <c r="B6" s="7">
        <v>2500.0</v>
      </c>
      <c r="C6" s="7">
        <v>2500.0</v>
      </c>
      <c r="D6" s="7">
        <v>747.0</v>
      </c>
      <c r="E6" s="7">
        <v>680.0</v>
      </c>
      <c r="F6" s="14"/>
      <c r="G6" s="15"/>
      <c r="H6" s="15"/>
      <c r="I6" s="14"/>
      <c r="J6" s="14"/>
      <c r="K6" s="14"/>
      <c r="L6" s="14"/>
      <c r="M6" s="14"/>
      <c r="N6" s="14"/>
      <c r="O6" s="14"/>
    </row>
    <row r="7" ht="18.75" customHeight="1">
      <c r="A7" s="7" t="s">
        <v>3798</v>
      </c>
      <c r="B7" s="7">
        <v>4005.0</v>
      </c>
      <c r="C7" s="7">
        <v>4005.0</v>
      </c>
      <c r="D7" s="7">
        <v>1051.0</v>
      </c>
      <c r="E7" s="7">
        <v>1306.0</v>
      </c>
      <c r="F7" s="14"/>
      <c r="G7" s="15"/>
      <c r="H7" s="15"/>
      <c r="I7" s="14"/>
      <c r="J7" s="14"/>
      <c r="K7" s="14"/>
      <c r="L7" s="14"/>
      <c r="M7" s="14"/>
      <c r="N7" s="14"/>
      <c r="O7" s="14"/>
    </row>
    <row r="8" ht="18.75" customHeight="1">
      <c r="A8" s="7" t="s">
        <v>2239</v>
      </c>
      <c r="B8" s="7">
        <v>9281.0</v>
      </c>
      <c r="C8" s="7">
        <v>8390.0</v>
      </c>
      <c r="D8" s="7">
        <v>1447.0</v>
      </c>
      <c r="E8" s="7">
        <v>1306.0</v>
      </c>
      <c r="F8" s="14"/>
      <c r="G8" s="15"/>
      <c r="H8" s="15"/>
      <c r="I8" s="14"/>
      <c r="J8" s="14"/>
      <c r="K8" s="14"/>
      <c r="L8" s="14"/>
      <c r="M8" s="14"/>
      <c r="N8" s="14"/>
      <c r="O8" s="14"/>
    </row>
    <row r="9" ht="18.75" customHeight="1">
      <c r="A9" s="7" t="s">
        <v>2250</v>
      </c>
      <c r="B9" s="7">
        <v>5933.0</v>
      </c>
      <c r="C9" s="7">
        <v>5919.0</v>
      </c>
      <c r="D9" s="7">
        <v>1785.0</v>
      </c>
      <c r="E9" s="7">
        <v>1998.0</v>
      </c>
      <c r="F9" s="14"/>
      <c r="G9" s="15"/>
      <c r="H9" s="15"/>
      <c r="I9" s="14"/>
      <c r="J9" s="14"/>
      <c r="K9" s="14"/>
      <c r="L9" s="14"/>
      <c r="M9" s="14"/>
      <c r="N9" s="14"/>
      <c r="O9" s="14"/>
    </row>
    <row r="10" ht="18.75" customHeight="1">
      <c r="A10" s="7" t="s">
        <v>3799</v>
      </c>
      <c r="B10" s="7">
        <v>4700.0</v>
      </c>
      <c r="C10" s="7">
        <v>4228.0</v>
      </c>
      <c r="D10" s="7">
        <v>1194.0</v>
      </c>
      <c r="E10" s="7">
        <v>974.0</v>
      </c>
      <c r="F10" s="14"/>
      <c r="G10" s="15"/>
      <c r="H10" s="15"/>
      <c r="I10" s="14"/>
      <c r="J10" s="14"/>
      <c r="K10" s="14"/>
      <c r="L10" s="14"/>
      <c r="M10" s="14"/>
      <c r="N10" s="14"/>
      <c r="O10" s="14"/>
    </row>
    <row r="11" ht="18.75" customHeight="1">
      <c r="A11" s="7" t="s">
        <v>2250</v>
      </c>
      <c r="B11" s="7">
        <v>7378.0</v>
      </c>
      <c r="C11" s="7">
        <v>7041.0</v>
      </c>
      <c r="D11" s="7">
        <v>1901.0</v>
      </c>
      <c r="E11" s="7">
        <v>1868.0</v>
      </c>
      <c r="F11" s="14"/>
      <c r="G11" s="15"/>
      <c r="H11" s="15"/>
      <c r="I11" s="14"/>
      <c r="J11" s="14"/>
      <c r="K11" s="14"/>
      <c r="L11" s="14"/>
      <c r="M11" s="14"/>
      <c r="N11" s="14"/>
      <c r="O11" s="14"/>
    </row>
    <row r="12" ht="18.75" customHeight="1">
      <c r="A12" s="7" t="s">
        <v>2272</v>
      </c>
      <c r="B12" s="7">
        <v>2100.0</v>
      </c>
      <c r="C12" s="7">
        <v>2062.0</v>
      </c>
      <c r="D12" s="7">
        <v>767.0</v>
      </c>
      <c r="E12" s="7">
        <v>699.0</v>
      </c>
      <c r="F12" s="14"/>
      <c r="G12" s="15"/>
      <c r="H12" s="15"/>
      <c r="I12" s="14"/>
      <c r="J12" s="14"/>
      <c r="K12" s="14"/>
      <c r="L12" s="14"/>
      <c r="M12" s="14"/>
      <c r="N12" s="14"/>
      <c r="O12" s="14"/>
    </row>
    <row r="13" ht="18.75" customHeight="1">
      <c r="A13" s="7" t="s">
        <v>2262</v>
      </c>
      <c r="B13" s="7">
        <v>3351.0</v>
      </c>
      <c r="C13" s="7">
        <v>2518.0</v>
      </c>
      <c r="D13" s="7">
        <v>994.0</v>
      </c>
      <c r="E13" s="7">
        <v>908.0</v>
      </c>
      <c r="F13" s="14"/>
      <c r="G13" s="15"/>
      <c r="H13" s="15"/>
      <c r="I13" s="14"/>
      <c r="J13" s="14"/>
      <c r="K13" s="14"/>
      <c r="L13" s="14"/>
      <c r="M13" s="14"/>
      <c r="N13" s="14"/>
      <c r="O13" s="14"/>
    </row>
    <row r="14" ht="18.75" customHeight="1">
      <c r="A14" s="7" t="s">
        <v>2267</v>
      </c>
      <c r="B14" s="7">
        <v>3300.0</v>
      </c>
      <c r="C14" s="7">
        <v>3186.0</v>
      </c>
      <c r="D14" s="7">
        <v>1041.0</v>
      </c>
      <c r="E14" s="7">
        <v>870.0</v>
      </c>
      <c r="F14" s="14"/>
      <c r="G14" s="15"/>
      <c r="H14" s="15"/>
      <c r="I14" s="14"/>
      <c r="J14" s="14"/>
      <c r="K14" s="14"/>
      <c r="L14" s="14"/>
      <c r="M14" s="14"/>
      <c r="N14" s="14"/>
      <c r="O14" s="14"/>
    </row>
    <row r="15" ht="18.75" customHeight="1">
      <c r="A15" s="7" t="s">
        <v>2259</v>
      </c>
      <c r="B15" s="7">
        <v>13750.0</v>
      </c>
      <c r="C15" s="7">
        <v>12942.0</v>
      </c>
      <c r="D15" s="7">
        <v>3894.0</v>
      </c>
      <c r="E15" s="7">
        <v>3101.0</v>
      </c>
      <c r="F15" s="14"/>
      <c r="G15" s="15"/>
      <c r="H15" s="15"/>
      <c r="I15" s="14"/>
      <c r="J15" s="14"/>
      <c r="K15" s="14"/>
      <c r="L15" s="14"/>
      <c r="M15" s="14"/>
      <c r="N15" s="14"/>
      <c r="O15" s="14"/>
    </row>
    <row r="16" ht="18.75" customHeight="1">
      <c r="A16" s="7" t="s">
        <v>2280</v>
      </c>
      <c r="B16" s="7">
        <v>6813.0</v>
      </c>
      <c r="C16" s="7">
        <v>6813.0</v>
      </c>
      <c r="D16" s="7">
        <v>2305.0</v>
      </c>
      <c r="E16" s="7">
        <v>1897.0</v>
      </c>
      <c r="F16" s="14"/>
      <c r="G16" s="15"/>
      <c r="H16" s="15"/>
      <c r="I16" s="14"/>
      <c r="J16" s="14"/>
      <c r="K16" s="14"/>
      <c r="L16" s="14"/>
      <c r="M16" s="14"/>
      <c r="N16" s="14"/>
      <c r="O16" s="14"/>
    </row>
    <row r="17" ht="18.75" customHeight="1">
      <c r="A17" s="7" t="s">
        <v>2295</v>
      </c>
      <c r="B17" s="7">
        <v>53523.0</v>
      </c>
      <c r="C17" s="7">
        <v>48624.0</v>
      </c>
      <c r="D17" s="7">
        <v>10374.0</v>
      </c>
      <c r="E17" s="7">
        <v>8862.0</v>
      </c>
      <c r="F17" s="14"/>
      <c r="G17" s="15"/>
      <c r="H17" s="15"/>
      <c r="I17" s="14"/>
      <c r="J17" s="14"/>
      <c r="K17" s="14"/>
      <c r="L17" s="14"/>
      <c r="M17" s="14"/>
      <c r="N17" s="14"/>
      <c r="O17" s="14"/>
    </row>
    <row r="18" ht="18.75" customHeight="1">
      <c r="A18" s="7" t="s">
        <v>3800</v>
      </c>
      <c r="B18" s="7">
        <v>0.0</v>
      </c>
      <c r="C18" s="7">
        <v>0.0</v>
      </c>
      <c r="D18" s="7">
        <v>0.0</v>
      </c>
      <c r="E18" s="7">
        <v>0.0</v>
      </c>
      <c r="F18" s="14"/>
      <c r="G18" s="14"/>
      <c r="H18" s="14"/>
      <c r="I18" s="14"/>
      <c r="J18" s="14"/>
      <c r="K18" s="14"/>
      <c r="L18" s="14"/>
      <c r="M18" s="14"/>
      <c r="N18" s="14"/>
    </row>
    <row r="19" ht="18.75" customHeight="1">
      <c r="A19" s="7" t="s">
        <v>2328</v>
      </c>
      <c r="B19" s="7">
        <v>6650.0</v>
      </c>
      <c r="C19" s="7">
        <v>6650.0</v>
      </c>
      <c r="D19" s="7">
        <v>2431.0</v>
      </c>
      <c r="E19" s="7">
        <v>1855.0</v>
      </c>
      <c r="F19" s="14"/>
      <c r="G19" s="15"/>
      <c r="H19" s="15"/>
      <c r="I19" s="14"/>
      <c r="J19" s="14"/>
      <c r="K19" s="14"/>
      <c r="L19" s="14"/>
      <c r="M19" s="14"/>
      <c r="N19" s="14"/>
      <c r="O19" s="14"/>
    </row>
    <row r="20" ht="18.75" customHeight="1">
      <c r="A20" s="7" t="s">
        <v>2292</v>
      </c>
      <c r="B20" s="7">
        <v>3110.0</v>
      </c>
      <c r="C20" s="7">
        <v>2120.0</v>
      </c>
      <c r="D20" s="7">
        <v>931.0</v>
      </c>
      <c r="E20" s="7">
        <v>668.0</v>
      </c>
      <c r="F20" s="14"/>
      <c r="G20" s="15"/>
      <c r="H20" s="15"/>
      <c r="I20" s="14"/>
      <c r="J20" s="14"/>
      <c r="K20" s="14"/>
      <c r="L20" s="14"/>
      <c r="M20" s="14"/>
      <c r="N20" s="14"/>
      <c r="O20" s="14"/>
    </row>
    <row r="21" ht="18.75" customHeight="1">
      <c r="A21" s="7" t="s">
        <v>2300</v>
      </c>
      <c r="B21" s="7">
        <v>383.0</v>
      </c>
      <c r="C21" s="7">
        <v>239.0</v>
      </c>
      <c r="D21" s="7">
        <v>125.0</v>
      </c>
      <c r="E21" s="7">
        <v>119.0</v>
      </c>
      <c r="F21" s="14"/>
      <c r="G21" s="15"/>
      <c r="H21" s="15"/>
      <c r="I21" s="14"/>
      <c r="J21" s="14"/>
      <c r="K21" s="14"/>
      <c r="L21" s="14"/>
      <c r="M21" s="14"/>
      <c r="N21" s="14"/>
      <c r="O21" s="14"/>
    </row>
    <row r="22" ht="18.75" customHeight="1">
      <c r="A22" s="7" t="s">
        <v>2302</v>
      </c>
      <c r="B22" s="7">
        <v>22485.0</v>
      </c>
      <c r="C22" s="7">
        <v>22057.0</v>
      </c>
      <c r="D22" s="7">
        <v>8910.0</v>
      </c>
      <c r="E22" s="7">
        <v>7751.0</v>
      </c>
      <c r="F22" s="14"/>
      <c r="G22" s="15"/>
      <c r="H22" s="15"/>
      <c r="I22" s="14"/>
      <c r="J22" s="14"/>
      <c r="K22" s="14"/>
      <c r="L22" s="14"/>
      <c r="M22" s="14"/>
      <c r="N22" s="14"/>
      <c r="O22" s="14"/>
    </row>
    <row r="23" ht="18.75" customHeight="1">
      <c r="A23" s="7" t="s">
        <v>2327</v>
      </c>
      <c r="B23" s="7">
        <v>815.0</v>
      </c>
      <c r="C23" s="7">
        <v>815.0</v>
      </c>
      <c r="D23" s="7">
        <v>404.0</v>
      </c>
      <c r="E23" s="7">
        <v>353.0</v>
      </c>
      <c r="F23" s="14"/>
      <c r="G23" s="15"/>
      <c r="H23" s="15"/>
      <c r="I23" s="14"/>
      <c r="J23" s="14"/>
      <c r="K23" s="14"/>
      <c r="L23" s="14"/>
      <c r="M23" s="14"/>
      <c r="N23" s="14"/>
      <c r="O23" s="14"/>
    </row>
    <row r="24" ht="18.75" customHeight="1">
      <c r="A24" s="7" t="s">
        <v>2309</v>
      </c>
      <c r="B24" s="7">
        <v>1507.0</v>
      </c>
      <c r="C24" s="7">
        <v>1507.0</v>
      </c>
      <c r="D24" s="7">
        <v>536.0</v>
      </c>
      <c r="E24" s="7">
        <v>458.0</v>
      </c>
      <c r="F24" s="14"/>
      <c r="G24" s="15"/>
      <c r="H24" s="15"/>
      <c r="I24" s="14"/>
      <c r="J24" s="14"/>
      <c r="K24" s="14"/>
      <c r="L24" s="14"/>
      <c r="M24" s="14"/>
      <c r="N24" s="14"/>
      <c r="O24" s="14"/>
    </row>
    <row r="25" ht="18.75" customHeight="1">
      <c r="A25" s="7" t="s">
        <v>2320</v>
      </c>
      <c r="B25" s="7">
        <v>499.0</v>
      </c>
      <c r="C25" s="7">
        <v>150.0</v>
      </c>
      <c r="D25" s="7">
        <v>75.0</v>
      </c>
      <c r="E25" s="7">
        <v>74.0</v>
      </c>
      <c r="F25" s="14"/>
      <c r="G25" s="15"/>
      <c r="H25" s="15"/>
      <c r="I25" s="14"/>
      <c r="J25" s="14"/>
      <c r="K25" s="14"/>
      <c r="L25" s="14"/>
      <c r="M25" s="14"/>
      <c r="N25" s="14"/>
      <c r="O25" s="14"/>
    </row>
    <row r="26" ht="18.75" customHeight="1">
      <c r="A26" s="7" t="s">
        <v>2329</v>
      </c>
      <c r="B26" s="7">
        <v>284.0</v>
      </c>
      <c r="C26" s="7">
        <v>198.0</v>
      </c>
      <c r="D26" s="7">
        <v>105.0</v>
      </c>
      <c r="E26" s="7">
        <v>102.0</v>
      </c>
      <c r="F26" s="14"/>
      <c r="G26" s="15"/>
      <c r="H26" s="15"/>
      <c r="I26" s="14"/>
      <c r="J26" s="14"/>
      <c r="K26" s="14"/>
      <c r="L26" s="14"/>
      <c r="M26" s="14"/>
      <c r="N26" s="14"/>
      <c r="O26" s="14"/>
    </row>
    <row r="27" ht="18.75" customHeight="1">
      <c r="A27" s="7" t="s">
        <v>2310</v>
      </c>
      <c r="B27" s="7">
        <v>507.0</v>
      </c>
      <c r="C27" s="7">
        <v>368.0</v>
      </c>
      <c r="D27" s="7">
        <v>180.0</v>
      </c>
      <c r="E27" s="7">
        <v>170.0</v>
      </c>
      <c r="F27" s="14"/>
      <c r="G27" s="15"/>
      <c r="H27" s="15"/>
      <c r="I27" s="14"/>
      <c r="J27" s="14"/>
      <c r="K27" s="14"/>
      <c r="L27" s="14"/>
      <c r="M27" s="14"/>
      <c r="N27" s="14"/>
      <c r="O27" s="14"/>
    </row>
    <row r="28" ht="18.75" customHeight="1">
      <c r="A28" s="7" t="s">
        <v>2326</v>
      </c>
      <c r="B28" s="7">
        <v>593.0</v>
      </c>
      <c r="C28" s="7">
        <v>225.0</v>
      </c>
      <c r="D28" s="7">
        <v>93.0</v>
      </c>
      <c r="E28" s="7">
        <v>86.0</v>
      </c>
      <c r="F28" s="14"/>
      <c r="G28" s="15"/>
      <c r="H28" s="15"/>
      <c r="I28" s="14"/>
      <c r="J28" s="14"/>
      <c r="K28" s="14"/>
      <c r="L28" s="14"/>
      <c r="M28" s="14"/>
      <c r="N28" s="14"/>
      <c r="O28" s="14"/>
    </row>
    <row r="29" ht="18.75" customHeight="1">
      <c r="A29" s="7" t="s">
        <v>2325</v>
      </c>
      <c r="B29" s="7">
        <v>1659.0</v>
      </c>
      <c r="C29" s="7">
        <v>1659.0</v>
      </c>
      <c r="D29" s="7">
        <v>583.0</v>
      </c>
      <c r="E29" s="7">
        <v>485.0</v>
      </c>
      <c r="F29" s="14"/>
      <c r="G29" s="15"/>
      <c r="H29" s="15"/>
      <c r="I29" s="14"/>
      <c r="J29" s="14"/>
      <c r="K29" s="14"/>
      <c r="L29" s="14"/>
      <c r="M29" s="14"/>
      <c r="N29" s="14"/>
      <c r="O29" s="14"/>
    </row>
    <row r="30" ht="18.75" customHeight="1">
      <c r="A30" s="7" t="s">
        <v>2331</v>
      </c>
      <c r="B30" s="7">
        <v>245.0</v>
      </c>
      <c r="C30" s="7">
        <v>245.0</v>
      </c>
      <c r="D30" s="7">
        <v>151.0</v>
      </c>
      <c r="E30" s="7">
        <v>144.0</v>
      </c>
      <c r="F30" s="14"/>
      <c r="G30" s="15"/>
      <c r="H30" s="15"/>
      <c r="I30" s="14"/>
      <c r="J30" s="14"/>
      <c r="K30" s="14"/>
      <c r="L30" s="14"/>
      <c r="M30" s="14"/>
      <c r="N30" s="14"/>
      <c r="O30" s="14"/>
    </row>
    <row r="31" ht="18.75" customHeight="1">
      <c r="A31" s="7" t="s">
        <v>2372</v>
      </c>
      <c r="B31" s="7">
        <v>32800.0</v>
      </c>
      <c r="C31" s="7">
        <v>32800.0</v>
      </c>
      <c r="D31" s="7">
        <v>10051.0</v>
      </c>
      <c r="E31" s="7">
        <v>8256.0</v>
      </c>
      <c r="F31" s="14"/>
      <c r="G31" s="15"/>
      <c r="H31" s="15"/>
      <c r="I31" s="14"/>
      <c r="J31" s="14"/>
      <c r="K31" s="14"/>
      <c r="L31" s="14"/>
      <c r="M31" s="14"/>
      <c r="N31" s="14"/>
      <c r="O31" s="14"/>
    </row>
    <row r="32" ht="18.75" customHeight="1">
      <c r="A32" s="7" t="s">
        <v>2340</v>
      </c>
      <c r="B32" s="7">
        <v>41910.0</v>
      </c>
      <c r="C32" s="7">
        <v>41910.0</v>
      </c>
      <c r="D32" s="7">
        <v>13886.0</v>
      </c>
      <c r="E32" s="7">
        <v>11078.0</v>
      </c>
      <c r="F32" s="14"/>
      <c r="G32" s="15"/>
      <c r="H32" s="15"/>
      <c r="I32" s="14"/>
      <c r="J32" s="14"/>
      <c r="K32" s="14"/>
      <c r="L32" s="14"/>
      <c r="M32" s="14"/>
      <c r="N32" s="14"/>
      <c r="O32" s="14"/>
    </row>
    <row r="33" ht="18.75" customHeight="1">
      <c r="A33" s="7" t="s">
        <v>2344</v>
      </c>
      <c r="B33" s="7">
        <v>2709.0</v>
      </c>
      <c r="C33" s="7">
        <v>2051.0</v>
      </c>
      <c r="D33" s="7">
        <v>715.0</v>
      </c>
      <c r="E33" s="7">
        <v>585.0</v>
      </c>
      <c r="F33" s="14"/>
      <c r="G33" s="15"/>
      <c r="H33" s="15"/>
      <c r="I33" s="14"/>
      <c r="J33" s="14"/>
      <c r="K33" s="14"/>
      <c r="L33" s="14"/>
      <c r="M33" s="14"/>
      <c r="N33" s="14"/>
      <c r="O33" s="14"/>
    </row>
    <row r="34" ht="18.75" customHeight="1">
      <c r="A34" s="7" t="s">
        <v>2337</v>
      </c>
      <c r="B34" s="7">
        <v>14386.0</v>
      </c>
      <c r="C34" s="7">
        <v>14386.0</v>
      </c>
      <c r="D34" s="7">
        <v>3971.0</v>
      </c>
      <c r="E34" s="7">
        <v>2789.0</v>
      </c>
      <c r="F34" s="14"/>
      <c r="G34" s="15"/>
      <c r="H34" s="15"/>
      <c r="I34" s="14"/>
      <c r="J34" s="14"/>
      <c r="K34" s="14"/>
      <c r="L34" s="14"/>
      <c r="M34" s="14"/>
      <c r="N34" s="14"/>
      <c r="O34" s="14"/>
    </row>
    <row r="35" ht="18.75" customHeight="1">
      <c r="A35" s="7" t="s">
        <v>3801</v>
      </c>
      <c r="B35" s="7">
        <v>2296.0</v>
      </c>
      <c r="C35" s="7">
        <v>1556.0</v>
      </c>
      <c r="D35" s="7">
        <v>471.0</v>
      </c>
      <c r="E35" s="7">
        <v>375.0</v>
      </c>
      <c r="F35" s="14"/>
      <c r="G35" s="15"/>
      <c r="H35" s="15"/>
      <c r="I35" s="14"/>
      <c r="J35" s="14"/>
      <c r="K35" s="14"/>
      <c r="L35" s="14"/>
      <c r="M35" s="14"/>
      <c r="N35" s="14"/>
      <c r="O35" s="14"/>
    </row>
    <row r="36" ht="18.75" customHeight="1">
      <c r="A36" s="7" t="s">
        <v>2349</v>
      </c>
      <c r="B36" s="7">
        <v>400.0</v>
      </c>
      <c r="C36" s="7">
        <v>400.0</v>
      </c>
      <c r="D36" s="7">
        <v>239.0</v>
      </c>
      <c r="E36" s="7">
        <v>230.0</v>
      </c>
      <c r="F36" s="14"/>
      <c r="G36" s="15"/>
      <c r="H36" s="15"/>
      <c r="I36" s="14"/>
      <c r="J36" s="14"/>
      <c r="K36" s="14"/>
      <c r="L36" s="14"/>
      <c r="M36" s="14"/>
      <c r="N36" s="14"/>
      <c r="O36" s="14"/>
    </row>
    <row r="37" ht="18.75" customHeight="1">
      <c r="A37" s="7" t="s">
        <v>2392</v>
      </c>
      <c r="B37" s="7">
        <v>0.0</v>
      </c>
      <c r="C37" s="7">
        <v>0.0</v>
      </c>
      <c r="D37" s="7">
        <v>0.0</v>
      </c>
      <c r="E37" s="7">
        <v>0.0</v>
      </c>
      <c r="F37" s="14"/>
      <c r="G37" s="14"/>
      <c r="H37" s="14"/>
      <c r="I37" s="14"/>
      <c r="J37" s="14"/>
      <c r="K37" s="14"/>
      <c r="L37" s="14"/>
      <c r="M37" s="14"/>
      <c r="N37" s="14"/>
    </row>
    <row r="38" ht="18.75" customHeight="1">
      <c r="A38" s="7" t="s">
        <v>2367</v>
      </c>
      <c r="B38" s="7">
        <v>265.0</v>
      </c>
      <c r="C38" s="7">
        <v>265.0</v>
      </c>
      <c r="D38" s="7">
        <v>104.0</v>
      </c>
      <c r="E38" s="7">
        <v>96.0</v>
      </c>
      <c r="F38" s="14"/>
      <c r="G38" s="15"/>
      <c r="H38" s="15"/>
      <c r="I38" s="14"/>
      <c r="J38" s="14"/>
      <c r="K38" s="14"/>
      <c r="L38" s="14"/>
      <c r="M38" s="14"/>
      <c r="N38" s="14"/>
      <c r="O38" s="14"/>
    </row>
    <row r="39" ht="18.75" customHeight="1">
      <c r="A39" s="7" t="s">
        <v>2352</v>
      </c>
      <c r="B39" s="7">
        <v>337.0</v>
      </c>
      <c r="C39" s="7">
        <v>159.0</v>
      </c>
      <c r="D39" s="7">
        <v>77.0</v>
      </c>
      <c r="E39" s="7">
        <v>71.0</v>
      </c>
      <c r="F39" s="14"/>
      <c r="G39" s="15"/>
      <c r="H39" s="15"/>
      <c r="I39" s="14"/>
      <c r="J39" s="14"/>
      <c r="K39" s="14"/>
      <c r="L39" s="14"/>
      <c r="M39" s="14"/>
      <c r="N39" s="14"/>
      <c r="O39" s="14"/>
    </row>
    <row r="40" ht="18.75" customHeight="1">
      <c r="A40" s="7" t="s">
        <v>3802</v>
      </c>
      <c r="B40" s="7">
        <v>2043.0</v>
      </c>
      <c r="C40" s="7">
        <v>2043.0</v>
      </c>
      <c r="D40" s="7">
        <v>758.0</v>
      </c>
      <c r="E40" s="7">
        <v>608.0</v>
      </c>
      <c r="F40" s="14"/>
      <c r="G40" s="15"/>
      <c r="H40" s="15"/>
      <c r="I40" s="14"/>
      <c r="J40" s="14"/>
      <c r="K40" s="14"/>
      <c r="L40" s="14"/>
      <c r="M40" s="14"/>
      <c r="N40" s="14"/>
      <c r="O40" s="14"/>
    </row>
    <row r="41" ht="18.75" customHeight="1">
      <c r="A41" s="7" t="s">
        <v>3803</v>
      </c>
      <c r="B41" s="7">
        <v>2652.0</v>
      </c>
      <c r="C41" s="7">
        <v>2652.0</v>
      </c>
      <c r="D41" s="7">
        <v>876.0</v>
      </c>
      <c r="E41" s="7">
        <v>704.0</v>
      </c>
      <c r="F41" s="14"/>
      <c r="G41" s="15"/>
      <c r="H41" s="15"/>
      <c r="I41" s="14"/>
      <c r="J41" s="14"/>
      <c r="K41" s="14"/>
      <c r="L41" s="14"/>
      <c r="M41" s="14"/>
      <c r="N41" s="14"/>
      <c r="O41" s="14"/>
    </row>
    <row r="42" ht="18.75" customHeight="1">
      <c r="A42" s="7" t="s">
        <v>2347</v>
      </c>
      <c r="B42" s="7">
        <v>0.0</v>
      </c>
      <c r="C42" s="7">
        <v>0.0</v>
      </c>
      <c r="D42" s="7">
        <v>0.0</v>
      </c>
      <c r="E42" s="7">
        <v>0.0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ht="18.75" customHeight="1">
      <c r="A43" s="7" t="s">
        <v>3804</v>
      </c>
      <c r="B43" s="7">
        <v>3772.0</v>
      </c>
      <c r="C43" s="7">
        <v>3772.0</v>
      </c>
      <c r="D43" s="7">
        <v>1205.0</v>
      </c>
      <c r="E43" s="7">
        <v>972.0</v>
      </c>
      <c r="F43" s="14"/>
      <c r="G43" s="15"/>
      <c r="H43" s="15"/>
      <c r="I43" s="14"/>
      <c r="J43" s="14"/>
      <c r="K43" s="14"/>
      <c r="L43" s="14"/>
      <c r="M43" s="14"/>
      <c r="N43" s="14"/>
      <c r="O43" s="14"/>
    </row>
    <row r="44" ht="18.75" customHeight="1">
      <c r="A44" s="7" t="s">
        <v>2292</v>
      </c>
      <c r="B44" s="7">
        <v>2747.0</v>
      </c>
      <c r="C44" s="7">
        <v>2741.0</v>
      </c>
      <c r="D44" s="7">
        <v>1281.0</v>
      </c>
      <c r="E44" s="7">
        <v>1202.0</v>
      </c>
      <c r="F44" s="14"/>
      <c r="G44" s="15"/>
      <c r="H44" s="15"/>
      <c r="I44" s="14"/>
      <c r="J44" s="14"/>
      <c r="K44" s="14"/>
      <c r="L44" s="14"/>
      <c r="M44" s="14"/>
      <c r="N44" s="14"/>
      <c r="O44" s="14"/>
    </row>
    <row r="45" ht="18.75" customHeight="1">
      <c r="A45" s="7" t="s">
        <v>2305</v>
      </c>
      <c r="B45" s="7">
        <v>2812.0</v>
      </c>
      <c r="C45" s="7">
        <v>2812.0</v>
      </c>
      <c r="D45" s="7">
        <v>1003.0</v>
      </c>
      <c r="E45" s="7">
        <v>940.0</v>
      </c>
      <c r="F45" s="14"/>
      <c r="G45" s="15"/>
      <c r="H45" s="15"/>
      <c r="I45" s="14"/>
      <c r="J45" s="14"/>
      <c r="K45" s="14"/>
      <c r="L45" s="14"/>
      <c r="M45" s="14"/>
      <c r="N45" s="14"/>
      <c r="O45" s="14"/>
    </row>
    <row r="46" ht="18.75" customHeight="1">
      <c r="A46" s="7" t="s">
        <v>2342</v>
      </c>
      <c r="B46" s="7">
        <v>2281.0</v>
      </c>
      <c r="C46" s="7">
        <v>2281.0</v>
      </c>
      <c r="D46" s="7">
        <v>979.0</v>
      </c>
      <c r="E46" s="7">
        <v>902.0</v>
      </c>
      <c r="F46" s="14"/>
      <c r="G46" s="15"/>
      <c r="H46" s="15"/>
      <c r="I46" s="14"/>
      <c r="J46" s="14"/>
      <c r="K46" s="14"/>
      <c r="L46" s="14"/>
      <c r="M46" s="14"/>
      <c r="N46" s="14"/>
      <c r="O46" s="14"/>
    </row>
    <row r="47" ht="18.75" customHeight="1">
      <c r="A47" s="7" t="s">
        <v>2305</v>
      </c>
      <c r="B47" s="7">
        <v>1173.0</v>
      </c>
      <c r="C47" s="7">
        <v>1161.0</v>
      </c>
      <c r="D47" s="7">
        <v>575.0</v>
      </c>
      <c r="E47" s="7">
        <v>154.0</v>
      </c>
      <c r="F47" s="14"/>
      <c r="G47" s="15"/>
      <c r="H47" s="15"/>
      <c r="I47" s="14"/>
      <c r="J47" s="14"/>
      <c r="K47" s="14"/>
      <c r="L47" s="14"/>
      <c r="M47" s="14"/>
      <c r="N47" s="14"/>
      <c r="O47" s="14"/>
    </row>
    <row r="48" ht="18.75" customHeight="1">
      <c r="A48" s="7" t="s">
        <v>2342</v>
      </c>
      <c r="B48" s="7">
        <v>2300.0</v>
      </c>
      <c r="C48" s="7">
        <v>2026.0</v>
      </c>
      <c r="D48" s="7">
        <v>643.0</v>
      </c>
      <c r="E48" s="7">
        <v>508.0</v>
      </c>
      <c r="F48" s="14"/>
      <c r="G48" s="15"/>
      <c r="H48" s="15"/>
      <c r="I48" s="14"/>
      <c r="J48" s="14"/>
      <c r="K48" s="14"/>
      <c r="L48" s="14"/>
      <c r="M48" s="14"/>
      <c r="N48" s="14"/>
      <c r="O48" s="14"/>
    </row>
    <row r="49" ht="18.75" customHeight="1">
      <c r="A49" s="7" t="s">
        <v>2353</v>
      </c>
      <c r="B49" s="7">
        <v>504.0</v>
      </c>
      <c r="C49" s="7">
        <v>157.0</v>
      </c>
      <c r="D49" s="7">
        <v>59.0</v>
      </c>
      <c r="E49" s="7">
        <v>56.0</v>
      </c>
      <c r="F49" s="14"/>
      <c r="G49" s="15"/>
      <c r="H49" s="15"/>
      <c r="I49" s="14"/>
      <c r="J49" s="14"/>
      <c r="K49" s="14"/>
      <c r="L49" s="14"/>
      <c r="M49" s="14"/>
      <c r="N49" s="14"/>
      <c r="O49" s="14"/>
    </row>
    <row r="50" ht="18.75" customHeight="1">
      <c r="A50" s="7" t="s">
        <v>3805</v>
      </c>
      <c r="B50" s="7">
        <v>187.0</v>
      </c>
      <c r="C50" s="7">
        <v>187.0</v>
      </c>
      <c r="D50" s="7">
        <v>117.0</v>
      </c>
      <c r="E50" s="7">
        <v>108.0</v>
      </c>
      <c r="F50" s="14"/>
      <c r="G50" s="15"/>
      <c r="H50" s="15"/>
      <c r="I50" s="14"/>
      <c r="J50" s="14"/>
      <c r="K50" s="14"/>
      <c r="L50" s="14"/>
      <c r="M50" s="14"/>
      <c r="N50" s="14"/>
      <c r="O50" s="14"/>
    </row>
    <row r="51" ht="18.75" customHeight="1">
      <c r="A51" s="7" t="s">
        <v>2370</v>
      </c>
      <c r="B51" s="7">
        <v>420.0</v>
      </c>
      <c r="C51" s="7">
        <v>202.0</v>
      </c>
      <c r="D51" s="7">
        <v>102.0</v>
      </c>
      <c r="E51" s="7">
        <v>99.0</v>
      </c>
      <c r="F51" s="14"/>
      <c r="G51" s="15"/>
      <c r="H51" s="15"/>
      <c r="I51" s="14"/>
      <c r="J51" s="14"/>
      <c r="K51" s="14"/>
      <c r="L51" s="14"/>
      <c r="M51" s="14"/>
      <c r="N51" s="14"/>
      <c r="O51" s="14"/>
    </row>
    <row r="52" ht="18.75" customHeight="1">
      <c r="A52" s="7" t="s">
        <v>2361</v>
      </c>
      <c r="B52" s="7">
        <v>1000.0</v>
      </c>
      <c r="C52" s="7">
        <v>1000.0</v>
      </c>
      <c r="D52" s="7">
        <v>394.0</v>
      </c>
      <c r="E52" s="7">
        <v>346.0</v>
      </c>
      <c r="F52" s="14"/>
      <c r="G52" s="15"/>
      <c r="H52" s="15"/>
      <c r="I52" s="14"/>
      <c r="J52" s="14"/>
      <c r="K52" s="14"/>
      <c r="L52" s="14"/>
      <c r="M52" s="14"/>
      <c r="N52" s="14"/>
      <c r="O52" s="14"/>
    </row>
    <row r="53" ht="18.75" customHeight="1">
      <c r="A53" s="7" t="s">
        <v>3806</v>
      </c>
      <c r="B53" s="7">
        <v>1561.0</v>
      </c>
      <c r="C53" s="7">
        <v>1561.0</v>
      </c>
      <c r="D53" s="7">
        <v>553.0</v>
      </c>
      <c r="E53" s="7">
        <v>431.0</v>
      </c>
      <c r="F53" s="14"/>
      <c r="G53" s="15"/>
      <c r="H53" s="15"/>
      <c r="I53" s="14"/>
      <c r="J53" s="14"/>
      <c r="K53" s="14"/>
      <c r="L53" s="14"/>
      <c r="M53" s="14"/>
      <c r="N53" s="14"/>
      <c r="O53" s="14"/>
    </row>
    <row r="54" ht="18.75" customHeight="1">
      <c r="A54" s="7" t="s">
        <v>2368</v>
      </c>
      <c r="B54" s="7">
        <v>259.0</v>
      </c>
      <c r="C54" s="7">
        <v>259.0</v>
      </c>
      <c r="D54" s="7">
        <v>91.0</v>
      </c>
      <c r="E54" s="7">
        <v>89.0</v>
      </c>
      <c r="F54" s="14"/>
      <c r="G54" s="15"/>
      <c r="H54" s="15"/>
      <c r="I54" s="14"/>
      <c r="J54" s="14"/>
      <c r="K54" s="14"/>
      <c r="L54" s="14"/>
      <c r="M54" s="14"/>
      <c r="N54" s="14"/>
      <c r="O54" s="14"/>
    </row>
    <row r="55" ht="18.75" customHeight="1">
      <c r="A55" s="7" t="s">
        <v>2374</v>
      </c>
      <c r="B55" s="7">
        <v>3031.0</v>
      </c>
      <c r="C55" s="7">
        <v>3031.0</v>
      </c>
      <c r="D55" s="7">
        <v>1030.0</v>
      </c>
      <c r="E55" s="7">
        <v>843.0</v>
      </c>
      <c r="F55" s="14"/>
      <c r="G55" s="15"/>
      <c r="H55" s="15"/>
      <c r="I55" s="14"/>
      <c r="J55" s="14"/>
      <c r="K55" s="14"/>
      <c r="L55" s="14"/>
      <c r="M55" s="14"/>
      <c r="N55" s="14"/>
      <c r="O55" s="14"/>
    </row>
    <row r="56" ht="18.75" customHeight="1">
      <c r="A56" s="7" t="s">
        <v>2374</v>
      </c>
      <c r="B56" s="7">
        <v>1938.0</v>
      </c>
      <c r="C56" s="7">
        <v>1938.0</v>
      </c>
      <c r="D56" s="7">
        <v>877.0</v>
      </c>
      <c r="E56" s="7">
        <v>824.0</v>
      </c>
      <c r="F56" s="14"/>
      <c r="G56" s="15"/>
      <c r="H56" s="15"/>
      <c r="I56" s="14"/>
      <c r="J56" s="14"/>
      <c r="K56" s="14"/>
      <c r="L56" s="14"/>
      <c r="M56" s="14"/>
      <c r="N56" s="14"/>
      <c r="O56" s="14"/>
    </row>
    <row r="57" ht="18.75" customHeight="1">
      <c r="A57" s="7" t="s">
        <v>3807</v>
      </c>
      <c r="B57" s="7">
        <v>2252.0</v>
      </c>
      <c r="C57" s="7">
        <v>1834.0</v>
      </c>
      <c r="D57" s="7">
        <v>647.0</v>
      </c>
      <c r="E57" s="7">
        <v>507.0</v>
      </c>
      <c r="F57" s="14"/>
      <c r="G57" s="15"/>
      <c r="H57" s="15"/>
      <c r="I57" s="14"/>
      <c r="J57" s="14"/>
      <c r="K57" s="14"/>
      <c r="L57" s="14"/>
      <c r="M57" s="14"/>
      <c r="N57" s="14"/>
      <c r="O57" s="14"/>
    </row>
    <row r="58" ht="18.75" customHeight="1">
      <c r="A58" s="7" t="s">
        <v>2369</v>
      </c>
      <c r="B58" s="7">
        <v>1126.0</v>
      </c>
      <c r="C58" s="7">
        <v>716.0</v>
      </c>
      <c r="D58" s="7">
        <v>387.0</v>
      </c>
      <c r="E58" s="7">
        <v>303.0</v>
      </c>
      <c r="F58" s="14"/>
      <c r="G58" s="15"/>
      <c r="H58" s="15"/>
      <c r="I58" s="14"/>
      <c r="J58" s="14"/>
      <c r="K58" s="14"/>
      <c r="L58" s="14"/>
      <c r="M58" s="14"/>
      <c r="N58" s="14"/>
      <c r="O58" s="14"/>
    </row>
    <row r="59" ht="18.75" customHeight="1">
      <c r="A59" s="7" t="s">
        <v>3808</v>
      </c>
      <c r="B59" s="7">
        <v>211.0</v>
      </c>
      <c r="C59" s="7">
        <v>211.0</v>
      </c>
      <c r="D59" s="7">
        <v>92.0</v>
      </c>
      <c r="E59" s="7">
        <v>83.0</v>
      </c>
      <c r="F59" s="14"/>
      <c r="G59" s="15"/>
      <c r="H59" s="15"/>
      <c r="I59" s="14"/>
      <c r="J59" s="14"/>
      <c r="K59" s="14"/>
      <c r="L59" s="14"/>
      <c r="M59" s="14"/>
      <c r="N59" s="14"/>
      <c r="O59" s="14"/>
    </row>
    <row r="60" ht="18.75" customHeight="1">
      <c r="A60" s="7" t="s">
        <v>3809</v>
      </c>
      <c r="B60" s="7">
        <v>1450.0</v>
      </c>
      <c r="C60" s="7">
        <v>1100.0</v>
      </c>
      <c r="D60" s="7">
        <v>389.0</v>
      </c>
      <c r="E60" s="7">
        <v>328.0</v>
      </c>
      <c r="F60" s="14"/>
      <c r="G60" s="15"/>
      <c r="H60" s="15"/>
      <c r="I60" s="14"/>
      <c r="J60" s="14"/>
      <c r="K60" s="14"/>
      <c r="L60" s="14"/>
      <c r="M60" s="14"/>
      <c r="N60" s="14"/>
      <c r="O60" s="14"/>
    </row>
    <row r="61" ht="18.75" customHeight="1">
      <c r="A61" s="7" t="s">
        <v>2378</v>
      </c>
      <c r="B61" s="7">
        <v>120.0</v>
      </c>
      <c r="C61" s="7">
        <v>120.0</v>
      </c>
      <c r="D61" s="7">
        <v>50.0</v>
      </c>
      <c r="E61" s="7">
        <v>45.0</v>
      </c>
      <c r="F61" s="14"/>
      <c r="G61" s="15"/>
      <c r="H61" s="15"/>
      <c r="I61" s="14"/>
      <c r="J61" s="14"/>
      <c r="K61" s="14"/>
      <c r="L61" s="14"/>
      <c r="M61" s="14"/>
      <c r="N61" s="14"/>
      <c r="O61" s="14"/>
    </row>
    <row r="62" ht="18.75" customHeight="1">
      <c r="A62" s="7" t="s">
        <v>2383</v>
      </c>
      <c r="B62" s="7">
        <v>168.0</v>
      </c>
      <c r="C62" s="7">
        <v>168.0</v>
      </c>
      <c r="D62" s="7">
        <v>46.0</v>
      </c>
      <c r="E62" s="7">
        <v>36.0</v>
      </c>
      <c r="F62" s="14"/>
      <c r="G62" s="15"/>
      <c r="H62" s="15"/>
      <c r="I62" s="14"/>
      <c r="J62" s="14"/>
      <c r="K62" s="14"/>
      <c r="L62" s="14"/>
      <c r="M62" s="14"/>
      <c r="N62" s="14"/>
      <c r="O62" s="14"/>
    </row>
    <row r="63" ht="18.75" customHeight="1">
      <c r="A63" s="7" t="s">
        <v>2398</v>
      </c>
      <c r="B63" s="7">
        <v>0.0</v>
      </c>
      <c r="C63" s="7">
        <v>0.0</v>
      </c>
      <c r="D63" s="7">
        <v>0.0</v>
      </c>
      <c r="E63" s="7">
        <v>0.0</v>
      </c>
      <c r="F63" s="14"/>
      <c r="G63" s="14"/>
      <c r="H63" s="14"/>
      <c r="I63" s="14"/>
      <c r="J63" s="14"/>
      <c r="K63" s="14"/>
      <c r="L63" s="14"/>
      <c r="M63" s="14"/>
      <c r="N63" s="14"/>
    </row>
    <row r="64" ht="18.75" customHeight="1">
      <c r="A64" s="7" t="s">
        <v>2390</v>
      </c>
      <c r="B64" s="7">
        <v>141.0</v>
      </c>
      <c r="C64" s="7">
        <v>141.0</v>
      </c>
      <c r="D64" s="7">
        <v>72.0</v>
      </c>
      <c r="E64" s="7">
        <v>67.0</v>
      </c>
      <c r="F64" s="14"/>
      <c r="G64" s="15"/>
      <c r="H64" s="15"/>
      <c r="I64" s="14"/>
      <c r="J64" s="14"/>
      <c r="K64" s="14"/>
      <c r="L64" s="14"/>
      <c r="M64" s="14"/>
      <c r="N64" s="14"/>
      <c r="O64" s="14"/>
    </row>
    <row r="65" ht="18.75" customHeight="1">
      <c r="A65" s="7" t="s">
        <v>3810</v>
      </c>
      <c r="B65" s="7">
        <v>237.0</v>
      </c>
      <c r="C65" s="7">
        <v>114.0</v>
      </c>
      <c r="D65" s="7">
        <v>61.0</v>
      </c>
      <c r="E65" s="7">
        <v>55.0</v>
      </c>
      <c r="F65" s="14"/>
      <c r="G65" s="15"/>
      <c r="H65" s="15"/>
      <c r="I65" s="14"/>
      <c r="J65" s="14"/>
      <c r="K65" s="14"/>
      <c r="L65" s="14"/>
      <c r="M65" s="14"/>
      <c r="N65" s="14"/>
      <c r="O65" s="14"/>
    </row>
    <row r="66" ht="18.75" customHeight="1">
      <c r="A66" s="7" t="s">
        <v>2395</v>
      </c>
      <c r="B66" s="7">
        <v>208.0</v>
      </c>
      <c r="C66" s="7">
        <v>207.0</v>
      </c>
      <c r="D66" s="7">
        <v>73.0</v>
      </c>
      <c r="E66" s="7">
        <v>65.0</v>
      </c>
      <c r="F66" s="14"/>
      <c r="G66" s="15"/>
      <c r="H66" s="15"/>
      <c r="I66" s="14"/>
      <c r="J66" s="14"/>
      <c r="K66" s="14"/>
      <c r="L66" s="14"/>
      <c r="M66" s="14"/>
      <c r="N66" s="14"/>
      <c r="O66" s="14"/>
    </row>
    <row r="67" ht="18.75" customHeight="1">
      <c r="A67" s="7" t="s">
        <v>3811</v>
      </c>
      <c r="B67" s="7">
        <v>842.0</v>
      </c>
      <c r="C67" s="7">
        <v>206.0</v>
      </c>
      <c r="D67" s="7">
        <v>109.0</v>
      </c>
      <c r="E67" s="7">
        <v>103.0</v>
      </c>
      <c r="F67" s="14"/>
      <c r="G67" s="15"/>
      <c r="H67" s="15"/>
      <c r="I67" s="14"/>
      <c r="J67" s="14"/>
      <c r="K67" s="14"/>
      <c r="L67" s="14"/>
      <c r="M67" s="14"/>
      <c r="N67" s="14"/>
      <c r="O67" s="14"/>
    </row>
    <row r="68" ht="18.75" customHeight="1">
      <c r="A68" s="7" t="s">
        <v>3812</v>
      </c>
      <c r="B68" s="7">
        <v>2974.0</v>
      </c>
      <c r="C68" s="7">
        <v>2794.0</v>
      </c>
      <c r="D68" s="7">
        <v>959.0</v>
      </c>
      <c r="E68" s="7">
        <v>766.0</v>
      </c>
      <c r="F68" s="14"/>
      <c r="G68" s="15"/>
      <c r="H68" s="15"/>
      <c r="I68" s="14"/>
      <c r="J68" s="14"/>
      <c r="K68" s="14"/>
      <c r="L68" s="14"/>
      <c r="M68" s="14"/>
      <c r="N68" s="14"/>
      <c r="O68" s="14"/>
    </row>
    <row r="69" ht="18.75" customHeight="1">
      <c r="A69" s="7" t="s">
        <v>3813</v>
      </c>
      <c r="B69" s="7">
        <v>201.0</v>
      </c>
      <c r="C69" s="7">
        <v>138.0</v>
      </c>
      <c r="D69" s="7">
        <v>65.0</v>
      </c>
      <c r="E69" s="7">
        <v>60.0</v>
      </c>
      <c r="F69" s="14"/>
      <c r="G69" s="15"/>
      <c r="H69" s="15"/>
      <c r="I69" s="14"/>
      <c r="J69" s="14"/>
      <c r="K69" s="14"/>
      <c r="L69" s="14"/>
      <c r="M69" s="14"/>
      <c r="N69" s="14"/>
      <c r="O69" s="14"/>
    </row>
    <row r="70" ht="18.75" customHeight="1">
      <c r="A70" s="7" t="s">
        <v>3812</v>
      </c>
      <c r="B70" s="7">
        <v>0.0</v>
      </c>
      <c r="C70" s="7">
        <v>0.0</v>
      </c>
      <c r="D70" s="7">
        <v>0.0</v>
      </c>
      <c r="E70" s="7">
        <v>0.0</v>
      </c>
      <c r="F70" s="14"/>
      <c r="G70" s="14"/>
      <c r="H70" s="14"/>
      <c r="I70" s="14"/>
      <c r="J70" s="14"/>
      <c r="K70" s="14"/>
      <c r="L70" s="14"/>
      <c r="M70" s="14"/>
      <c r="N70" s="14"/>
    </row>
    <row r="71" ht="18.75" customHeight="1">
      <c r="A71" s="7" t="s">
        <v>3814</v>
      </c>
      <c r="B71" s="7">
        <v>334.0</v>
      </c>
      <c r="C71" s="7">
        <v>141.0</v>
      </c>
      <c r="D71" s="7">
        <v>71.0</v>
      </c>
      <c r="E71" s="7">
        <v>64.0</v>
      </c>
      <c r="F71" s="14"/>
      <c r="G71" s="15"/>
      <c r="H71" s="15"/>
      <c r="I71" s="14"/>
      <c r="J71" s="14"/>
      <c r="K71" s="14"/>
      <c r="L71" s="14"/>
      <c r="M71" s="14"/>
      <c r="N71" s="14"/>
      <c r="O71" s="14"/>
    </row>
    <row r="72" ht="18.75" customHeight="1">
      <c r="A72" s="7" t="s">
        <v>3815</v>
      </c>
      <c r="B72" s="7">
        <v>341.0</v>
      </c>
      <c r="C72" s="7">
        <v>341.0</v>
      </c>
      <c r="D72" s="7">
        <v>150.0</v>
      </c>
      <c r="E72" s="7">
        <v>137.0</v>
      </c>
      <c r="F72" s="14"/>
      <c r="G72" s="15"/>
      <c r="H72" s="15"/>
      <c r="I72" s="14"/>
      <c r="J72" s="14"/>
      <c r="K72" s="14"/>
      <c r="L72" s="14"/>
      <c r="M72" s="14"/>
      <c r="N72" s="14"/>
      <c r="O72" s="14"/>
    </row>
    <row r="73" ht="18.75" customHeight="1">
      <c r="A73" s="7" t="s">
        <v>3816</v>
      </c>
      <c r="B73" s="7">
        <v>443.0</v>
      </c>
      <c r="C73" s="7">
        <v>258.0</v>
      </c>
      <c r="D73" s="7">
        <v>107.0</v>
      </c>
      <c r="E73" s="7">
        <v>101.0</v>
      </c>
      <c r="F73" s="14"/>
      <c r="G73" s="15"/>
      <c r="H73" s="15"/>
      <c r="I73" s="14"/>
      <c r="J73" s="14"/>
      <c r="K73" s="14"/>
      <c r="L73" s="14"/>
      <c r="M73" s="14"/>
      <c r="N73" s="14"/>
      <c r="O73" s="14"/>
    </row>
    <row r="74" ht="18.75" customHeight="1">
      <c r="A74" s="7" t="s">
        <v>2398</v>
      </c>
      <c r="B74" s="7">
        <v>53.0</v>
      </c>
      <c r="C74" s="7">
        <v>53.0</v>
      </c>
      <c r="D74" s="7">
        <v>28.0</v>
      </c>
      <c r="E74" s="7">
        <v>28.0</v>
      </c>
      <c r="F74" s="14"/>
      <c r="G74" s="15"/>
      <c r="H74" s="15"/>
      <c r="I74" s="14"/>
      <c r="J74" s="14"/>
      <c r="K74" s="14"/>
      <c r="L74" s="14"/>
      <c r="M74" s="14"/>
      <c r="N74" s="14"/>
      <c r="O74" s="14"/>
    </row>
    <row r="75" ht="18.75" customHeight="1">
      <c r="A75" s="7" t="s">
        <v>3817</v>
      </c>
      <c r="B75" s="7">
        <v>251.0</v>
      </c>
      <c r="C75" s="7">
        <v>112.0</v>
      </c>
      <c r="D75" s="7">
        <v>59.0</v>
      </c>
      <c r="E75" s="7">
        <v>55.0</v>
      </c>
      <c r="F75" s="14"/>
      <c r="G75" s="15"/>
      <c r="H75" s="15"/>
      <c r="I75" s="14"/>
      <c r="J75" s="14"/>
      <c r="K75" s="14"/>
      <c r="L75" s="14"/>
      <c r="M75" s="14"/>
      <c r="N75" s="14"/>
      <c r="O75" s="14"/>
    </row>
    <row r="76" ht="18.75" customHeight="1">
      <c r="A76" s="7" t="s">
        <v>3818</v>
      </c>
      <c r="B76" s="7">
        <v>329.0</v>
      </c>
      <c r="C76" s="7">
        <v>83.0</v>
      </c>
      <c r="D76" s="7">
        <v>38.0</v>
      </c>
      <c r="E76" s="7">
        <v>38.0</v>
      </c>
      <c r="F76" s="14"/>
      <c r="G76" s="15"/>
      <c r="H76" s="15"/>
      <c r="I76" s="14"/>
      <c r="J76" s="14"/>
      <c r="K76" s="14"/>
      <c r="L76" s="14"/>
      <c r="M76" s="14"/>
      <c r="N76" s="14"/>
      <c r="O76" s="14"/>
    </row>
    <row r="77" ht="18.75" customHeight="1">
      <c r="A77" s="7" t="s">
        <v>2407</v>
      </c>
      <c r="B77" s="7">
        <v>134.0</v>
      </c>
      <c r="C77" s="7">
        <v>134.0</v>
      </c>
      <c r="D77" s="7">
        <v>62.0</v>
      </c>
      <c r="E77" s="7">
        <v>60.0</v>
      </c>
      <c r="F77" s="14"/>
      <c r="G77" s="15"/>
      <c r="H77" s="15"/>
      <c r="I77" s="14"/>
      <c r="J77" s="14"/>
      <c r="K77" s="14"/>
      <c r="L77" s="14"/>
      <c r="M77" s="14"/>
      <c r="N77" s="14"/>
      <c r="O77" s="14"/>
    </row>
    <row r="78" ht="18.75" customHeight="1">
      <c r="A78" s="7" t="s">
        <v>3819</v>
      </c>
      <c r="B78" s="7">
        <v>126.0</v>
      </c>
      <c r="C78" s="7">
        <v>126.0</v>
      </c>
      <c r="D78" s="7">
        <v>89.0</v>
      </c>
      <c r="E78" s="7">
        <v>84.0</v>
      </c>
      <c r="F78" s="14"/>
      <c r="G78" s="15"/>
      <c r="H78" s="15"/>
      <c r="I78" s="14"/>
      <c r="J78" s="14"/>
      <c r="K78" s="14"/>
      <c r="L78" s="14"/>
      <c r="M78" s="14"/>
      <c r="N78" s="14"/>
      <c r="O78" s="14"/>
    </row>
    <row r="79" ht="18.75" customHeight="1">
      <c r="A79" s="7" t="s">
        <v>3820</v>
      </c>
      <c r="B79" s="7">
        <v>340.0</v>
      </c>
      <c r="C79" s="7">
        <v>162.0</v>
      </c>
      <c r="D79" s="7">
        <v>85.0</v>
      </c>
      <c r="E79" s="7">
        <v>78.0</v>
      </c>
      <c r="F79" s="14"/>
      <c r="G79" s="15"/>
      <c r="H79" s="15"/>
      <c r="I79" s="14"/>
      <c r="J79" s="14"/>
      <c r="K79" s="14"/>
      <c r="L79" s="14"/>
      <c r="M79" s="14"/>
      <c r="N79" s="14"/>
      <c r="O79" s="14"/>
    </row>
    <row r="80" ht="18.75" customHeight="1">
      <c r="A80" s="7" t="s">
        <v>3821</v>
      </c>
      <c r="B80" s="7">
        <v>410.0</v>
      </c>
      <c r="C80" s="7">
        <v>175.0</v>
      </c>
      <c r="D80" s="7">
        <v>74.0</v>
      </c>
      <c r="E80" s="7">
        <v>71.0</v>
      </c>
      <c r="F80" s="14"/>
      <c r="G80" s="15"/>
      <c r="H80" s="15"/>
      <c r="I80" s="14"/>
      <c r="J80" s="14"/>
      <c r="K80" s="14"/>
      <c r="L80" s="14"/>
      <c r="M80" s="14"/>
      <c r="N80" s="14"/>
      <c r="O80" s="14"/>
    </row>
    <row r="81" ht="18.75" customHeight="1">
      <c r="A81" s="7" t="s">
        <v>2405</v>
      </c>
      <c r="B81" s="7">
        <v>83.0</v>
      </c>
      <c r="C81" s="7">
        <v>83.0</v>
      </c>
      <c r="D81" s="7">
        <v>34.0</v>
      </c>
      <c r="E81" s="7">
        <v>28.0</v>
      </c>
      <c r="F81" s="14"/>
      <c r="G81" s="15"/>
      <c r="H81" s="15"/>
      <c r="I81" s="14"/>
      <c r="J81" s="14"/>
      <c r="K81" s="14"/>
      <c r="L81" s="14"/>
      <c r="M81" s="14"/>
      <c r="N81" s="14"/>
      <c r="O81" s="14"/>
    </row>
    <row r="82" ht="18.75" customHeight="1">
      <c r="A82" s="7" t="s">
        <v>2399</v>
      </c>
      <c r="B82" s="7">
        <v>404.0</v>
      </c>
      <c r="C82" s="7">
        <v>162.0</v>
      </c>
      <c r="D82" s="7">
        <v>88.0</v>
      </c>
      <c r="E82" s="7">
        <v>86.0</v>
      </c>
      <c r="F82" s="14"/>
      <c r="G82" s="15"/>
      <c r="H82" s="15"/>
      <c r="I82" s="14"/>
      <c r="J82" s="14"/>
      <c r="K82" s="14"/>
      <c r="L82" s="14"/>
      <c r="M82" s="14"/>
      <c r="N82" s="14"/>
      <c r="O82" s="14"/>
    </row>
    <row r="83" ht="18.75" customHeight="1">
      <c r="A83" s="7" t="s">
        <v>2415</v>
      </c>
      <c r="B83" s="7">
        <v>8447.0</v>
      </c>
      <c r="C83" s="7">
        <v>8447.0</v>
      </c>
      <c r="D83" s="7">
        <v>2816.0</v>
      </c>
      <c r="E83" s="7">
        <v>2435.0</v>
      </c>
      <c r="F83" s="14"/>
      <c r="G83" s="15"/>
      <c r="H83" s="15"/>
      <c r="I83" s="14"/>
      <c r="J83" s="14"/>
      <c r="K83" s="14"/>
      <c r="L83" s="14"/>
      <c r="M83" s="14"/>
      <c r="N83" s="14"/>
      <c r="O83" s="14"/>
    </row>
    <row r="84" ht="18.75" customHeight="1">
      <c r="A84" s="7" t="s">
        <v>2415</v>
      </c>
      <c r="B84" s="7">
        <v>2426.0</v>
      </c>
      <c r="C84" s="7">
        <v>2426.0</v>
      </c>
      <c r="D84" s="7">
        <v>1207.0</v>
      </c>
      <c r="E84" s="7">
        <v>1120.0</v>
      </c>
      <c r="F84" s="14"/>
      <c r="G84" s="15"/>
      <c r="H84" s="15"/>
      <c r="I84" s="14"/>
      <c r="J84" s="14"/>
      <c r="K84" s="14"/>
      <c r="L84" s="14"/>
      <c r="M84" s="14"/>
      <c r="N84" s="14"/>
      <c r="O84" s="14"/>
    </row>
    <row r="85" ht="18.75" customHeight="1">
      <c r="A85" s="7" t="s">
        <v>3822</v>
      </c>
      <c r="B85" s="7">
        <v>4600.0</v>
      </c>
      <c r="C85" s="7">
        <v>4600.0</v>
      </c>
      <c r="D85" s="7">
        <v>1680.0</v>
      </c>
      <c r="E85" s="7">
        <v>1295.0</v>
      </c>
      <c r="F85" s="14"/>
      <c r="G85" s="15"/>
      <c r="H85" s="15"/>
      <c r="I85" s="14"/>
      <c r="J85" s="14"/>
      <c r="K85" s="14"/>
      <c r="L85" s="14"/>
      <c r="M85" s="14"/>
      <c r="N85" s="14"/>
      <c r="O85" s="14"/>
    </row>
    <row r="86" ht="18.75" customHeight="1">
      <c r="A86" s="7" t="s">
        <v>3822</v>
      </c>
      <c r="B86" s="7">
        <v>157.0</v>
      </c>
      <c r="C86" s="7">
        <v>157.0</v>
      </c>
      <c r="D86" s="7">
        <v>60.0</v>
      </c>
      <c r="E86" s="7">
        <v>55.0</v>
      </c>
      <c r="F86" s="14"/>
      <c r="G86" s="15"/>
      <c r="H86" s="15"/>
      <c r="I86" s="14"/>
      <c r="J86" s="14"/>
      <c r="K86" s="14"/>
      <c r="L86" s="14"/>
      <c r="M86" s="14"/>
      <c r="N86" s="14"/>
      <c r="O86" s="14"/>
    </row>
    <row r="87" ht="18.75" customHeight="1">
      <c r="A87" s="7" t="s">
        <v>2411</v>
      </c>
      <c r="B87" s="7">
        <v>105.0</v>
      </c>
      <c r="C87" s="7">
        <v>105.0</v>
      </c>
      <c r="D87" s="7">
        <v>58.0</v>
      </c>
      <c r="E87" s="7">
        <v>56.0</v>
      </c>
      <c r="F87" s="14"/>
      <c r="G87" s="15"/>
      <c r="H87" s="15"/>
      <c r="I87" s="14"/>
      <c r="J87" s="14"/>
      <c r="K87" s="14"/>
      <c r="L87" s="14"/>
      <c r="M87" s="14"/>
      <c r="N87" s="14"/>
      <c r="O87" s="14"/>
    </row>
    <row r="88" ht="18.75" customHeight="1">
      <c r="A88" s="7" t="s">
        <v>2420</v>
      </c>
      <c r="B88" s="7">
        <v>195.0</v>
      </c>
      <c r="C88" s="7">
        <v>195.0</v>
      </c>
      <c r="D88" s="7">
        <v>79.0</v>
      </c>
      <c r="E88" s="7">
        <v>72.0</v>
      </c>
      <c r="F88" s="14"/>
      <c r="G88" s="15"/>
      <c r="H88" s="15"/>
      <c r="I88" s="14"/>
      <c r="J88" s="14"/>
      <c r="K88" s="14"/>
      <c r="L88" s="14"/>
      <c r="M88" s="14"/>
      <c r="N88" s="14"/>
      <c r="O88" s="14"/>
    </row>
    <row r="89" ht="18.75" customHeight="1">
      <c r="A89" s="7" t="s">
        <v>2421</v>
      </c>
      <c r="B89" s="7">
        <v>505.0</v>
      </c>
      <c r="C89" s="7">
        <v>505.0</v>
      </c>
      <c r="D89" s="7">
        <v>263.0</v>
      </c>
      <c r="E89" s="7">
        <v>245.0</v>
      </c>
      <c r="F89" s="14"/>
      <c r="G89" s="15"/>
      <c r="H89" s="15"/>
      <c r="I89" s="14"/>
      <c r="J89" s="14"/>
      <c r="K89" s="14"/>
      <c r="L89" s="14"/>
      <c r="M89" s="14"/>
      <c r="N89" s="14"/>
      <c r="O89" s="14"/>
    </row>
    <row r="90" ht="18.75" customHeight="1">
      <c r="A90" s="7" t="s">
        <v>2423</v>
      </c>
      <c r="B90" s="7">
        <v>607.0</v>
      </c>
      <c r="C90" s="7">
        <v>607.0</v>
      </c>
      <c r="D90" s="7">
        <v>289.0</v>
      </c>
      <c r="E90" s="7">
        <v>257.0</v>
      </c>
      <c r="F90" s="14"/>
      <c r="G90" s="15"/>
      <c r="H90" s="15"/>
      <c r="I90" s="14"/>
      <c r="J90" s="14"/>
      <c r="K90" s="14"/>
      <c r="L90" s="14"/>
      <c r="M90" s="14"/>
      <c r="N90" s="14"/>
      <c r="O90" s="14"/>
    </row>
    <row r="91" ht="18.75" customHeight="1">
      <c r="A91" s="7" t="s">
        <v>2427</v>
      </c>
      <c r="B91" s="7">
        <v>313.0</v>
      </c>
      <c r="C91" s="7">
        <v>313.0</v>
      </c>
      <c r="D91" s="7">
        <v>158.0</v>
      </c>
      <c r="E91" s="7">
        <v>151.0</v>
      </c>
      <c r="F91" s="14"/>
      <c r="G91" s="15"/>
      <c r="H91" s="15"/>
      <c r="I91" s="14"/>
      <c r="J91" s="14"/>
      <c r="K91" s="14"/>
      <c r="L91" s="14"/>
      <c r="M91" s="14"/>
      <c r="N91" s="14"/>
      <c r="O91" s="14"/>
    </row>
    <row r="92" ht="18.75" customHeight="1">
      <c r="A92" s="7" t="s">
        <v>2433</v>
      </c>
      <c r="B92" s="7">
        <v>261.0</v>
      </c>
      <c r="C92" s="7">
        <v>261.0</v>
      </c>
      <c r="D92" s="7">
        <v>89.0</v>
      </c>
      <c r="E92" s="7">
        <v>76.0</v>
      </c>
      <c r="F92" s="14"/>
      <c r="G92" s="15"/>
      <c r="H92" s="15"/>
      <c r="I92" s="14"/>
      <c r="J92" s="14"/>
      <c r="K92" s="14"/>
      <c r="L92" s="14"/>
      <c r="M92" s="14"/>
      <c r="N92" s="14"/>
      <c r="O92" s="14"/>
    </row>
    <row r="93" ht="18.75" customHeight="1">
      <c r="A93" s="7" t="s">
        <v>2434</v>
      </c>
      <c r="B93" s="7">
        <v>80.0</v>
      </c>
      <c r="C93" s="7">
        <v>79.0</v>
      </c>
      <c r="D93" s="7">
        <v>51.0</v>
      </c>
      <c r="E93" s="7">
        <v>32.0</v>
      </c>
      <c r="F93" s="14"/>
      <c r="G93" s="15"/>
      <c r="H93" s="15"/>
      <c r="I93" s="14"/>
      <c r="J93" s="14"/>
      <c r="K93" s="14"/>
      <c r="L93" s="14"/>
      <c r="M93" s="14"/>
      <c r="N93" s="14"/>
      <c r="O93" s="14"/>
    </row>
    <row r="94" ht="18.75" customHeight="1">
      <c r="A94" s="7" t="s">
        <v>3823</v>
      </c>
      <c r="B94" s="7">
        <v>195.0</v>
      </c>
      <c r="C94" s="7">
        <v>183.0</v>
      </c>
      <c r="D94" s="7">
        <v>102.0</v>
      </c>
      <c r="E94" s="7">
        <v>100.0</v>
      </c>
      <c r="F94" s="14"/>
      <c r="G94" s="15"/>
      <c r="H94" s="15"/>
      <c r="I94" s="14"/>
      <c r="J94" s="14"/>
      <c r="K94" s="14"/>
      <c r="L94" s="14"/>
      <c r="M94" s="14"/>
      <c r="N94" s="14"/>
      <c r="O94" s="14"/>
    </row>
    <row r="95" ht="18.75" customHeight="1">
      <c r="A95" s="7" t="s">
        <v>2447</v>
      </c>
      <c r="B95" s="7">
        <v>0.0</v>
      </c>
      <c r="C95" s="7">
        <v>0.0</v>
      </c>
      <c r="D95" s="7">
        <v>0.0</v>
      </c>
      <c r="E95" s="7">
        <v>0.0</v>
      </c>
      <c r="F95" s="14"/>
      <c r="G95" s="14"/>
      <c r="H95" s="14"/>
      <c r="I95" s="14"/>
      <c r="J95" s="14"/>
      <c r="K95" s="14"/>
      <c r="L95" s="14"/>
      <c r="M95" s="14"/>
      <c r="N95" s="14"/>
    </row>
    <row r="96" ht="18.75" customHeight="1">
      <c r="A96" s="7" t="s">
        <v>2449</v>
      </c>
      <c r="B96" s="7">
        <v>133684.0</v>
      </c>
      <c r="C96" s="7">
        <v>132323.0</v>
      </c>
      <c r="D96" s="7">
        <v>52212.0</v>
      </c>
      <c r="E96" s="7">
        <v>34934.0</v>
      </c>
      <c r="F96" s="14"/>
      <c r="G96" s="15"/>
      <c r="H96" s="15"/>
      <c r="I96" s="14"/>
      <c r="J96" s="14"/>
      <c r="K96" s="14"/>
      <c r="L96" s="14"/>
      <c r="M96" s="14"/>
      <c r="N96" s="14"/>
      <c r="O96" s="14"/>
    </row>
    <row r="97" ht="18.75" customHeight="1">
      <c r="A97" s="7" t="s">
        <v>2453</v>
      </c>
      <c r="B97" s="7">
        <v>248.0</v>
      </c>
      <c r="C97" s="7">
        <v>248.0</v>
      </c>
      <c r="D97" s="7">
        <v>136.0</v>
      </c>
      <c r="E97" s="7">
        <v>130.0</v>
      </c>
      <c r="F97" s="14"/>
      <c r="G97" s="15"/>
      <c r="H97" s="15"/>
      <c r="I97" s="14"/>
      <c r="J97" s="14"/>
      <c r="K97" s="14"/>
      <c r="L97" s="14"/>
      <c r="M97" s="14"/>
      <c r="N97" s="14"/>
      <c r="O97" s="14"/>
    </row>
    <row r="98" ht="18.75" customHeight="1">
      <c r="A98" s="7" t="s">
        <v>2443</v>
      </c>
      <c r="B98" s="7">
        <v>99.0</v>
      </c>
      <c r="C98" s="7">
        <v>99.0</v>
      </c>
      <c r="D98" s="7">
        <v>44.0</v>
      </c>
      <c r="E98" s="7">
        <v>37.0</v>
      </c>
      <c r="F98" s="14"/>
      <c r="G98" s="15"/>
      <c r="H98" s="15"/>
      <c r="I98" s="14"/>
      <c r="J98" s="14"/>
      <c r="K98" s="14"/>
      <c r="L98" s="14"/>
      <c r="M98" s="14"/>
      <c r="N98" s="14"/>
      <c r="O98" s="14"/>
    </row>
    <row r="99" ht="18.75" customHeight="1">
      <c r="A99" s="7" t="s">
        <v>2436</v>
      </c>
      <c r="B99" s="7">
        <v>2013.0</v>
      </c>
      <c r="C99" s="7">
        <v>2013.0</v>
      </c>
      <c r="D99" s="7">
        <v>1115.0</v>
      </c>
      <c r="E99" s="7">
        <v>1040.0</v>
      </c>
      <c r="F99" s="14"/>
      <c r="G99" s="15"/>
      <c r="H99" s="15"/>
      <c r="I99" s="14"/>
      <c r="J99" s="14"/>
      <c r="K99" s="14"/>
      <c r="L99" s="14"/>
      <c r="M99" s="14"/>
      <c r="N99" s="14"/>
      <c r="O99" s="14"/>
    </row>
    <row r="100" ht="18.75" customHeight="1">
      <c r="A100" s="7" t="s">
        <v>3824</v>
      </c>
      <c r="B100" s="7">
        <v>155.0</v>
      </c>
      <c r="C100" s="7">
        <v>155.0</v>
      </c>
      <c r="D100" s="7">
        <v>79.0</v>
      </c>
      <c r="E100" s="7">
        <v>72.0</v>
      </c>
      <c r="F100" s="14"/>
      <c r="G100" s="15"/>
      <c r="H100" s="15"/>
      <c r="I100" s="14"/>
      <c r="J100" s="14"/>
      <c r="K100" s="14"/>
      <c r="L100" s="14"/>
      <c r="M100" s="14"/>
      <c r="N100" s="14"/>
      <c r="O100" s="14"/>
    </row>
    <row r="101" ht="18.75" customHeight="1">
      <c r="A101" s="7" t="s">
        <v>2452</v>
      </c>
      <c r="B101" s="7">
        <v>240.0</v>
      </c>
      <c r="C101" s="7">
        <v>210.0</v>
      </c>
      <c r="D101" s="7">
        <v>114.0</v>
      </c>
      <c r="E101" s="7">
        <v>109.0</v>
      </c>
      <c r="F101" s="14"/>
      <c r="G101" s="15"/>
      <c r="H101" s="15"/>
      <c r="I101" s="14"/>
      <c r="J101" s="14"/>
      <c r="K101" s="14"/>
      <c r="L101" s="14"/>
      <c r="M101" s="14"/>
      <c r="N101" s="14"/>
      <c r="O101" s="14"/>
    </row>
    <row r="102" ht="18.75" customHeight="1">
      <c r="A102" s="7" t="s">
        <v>2464</v>
      </c>
      <c r="B102" s="7">
        <v>208.0</v>
      </c>
      <c r="C102" s="7">
        <v>208.0</v>
      </c>
      <c r="D102" s="7">
        <v>82.0</v>
      </c>
      <c r="E102" s="7">
        <v>66.0</v>
      </c>
      <c r="F102" s="14"/>
      <c r="G102" s="15"/>
      <c r="H102" s="15"/>
      <c r="I102" s="14"/>
      <c r="J102" s="14"/>
      <c r="K102" s="14"/>
      <c r="L102" s="14"/>
      <c r="M102" s="14"/>
      <c r="N102" s="14"/>
      <c r="O102" s="14"/>
    </row>
    <row r="103" ht="18.75" customHeight="1">
      <c r="A103" s="7" t="s">
        <v>2461</v>
      </c>
      <c r="B103" s="7">
        <v>328.0</v>
      </c>
      <c r="C103" s="7">
        <v>328.0</v>
      </c>
      <c r="D103" s="7">
        <v>214.0</v>
      </c>
      <c r="E103" s="7">
        <v>148.0</v>
      </c>
      <c r="F103" s="14"/>
      <c r="G103" s="15"/>
      <c r="H103" s="15"/>
      <c r="I103" s="14"/>
      <c r="J103" s="14"/>
      <c r="K103" s="14"/>
      <c r="L103" s="14"/>
      <c r="M103" s="14"/>
      <c r="N103" s="14"/>
      <c r="O103" s="14"/>
    </row>
    <row r="104" ht="18.75" customHeight="1">
      <c r="A104" s="7" t="s">
        <v>2448</v>
      </c>
      <c r="B104" s="7">
        <v>4353.0</v>
      </c>
      <c r="C104" s="7">
        <v>510.0</v>
      </c>
      <c r="D104" s="7">
        <v>266.0</v>
      </c>
      <c r="E104" s="7">
        <v>251.0</v>
      </c>
      <c r="F104" s="14"/>
      <c r="G104" s="15"/>
      <c r="H104" s="15"/>
      <c r="I104" s="14"/>
      <c r="J104" s="14"/>
      <c r="K104" s="14"/>
      <c r="L104" s="14"/>
      <c r="M104" s="14"/>
      <c r="N104" s="14"/>
      <c r="O104" s="14"/>
    </row>
    <row r="105" ht="18.75" customHeight="1">
      <c r="A105" s="7" t="s">
        <v>2463</v>
      </c>
      <c r="B105" s="7">
        <v>132.0</v>
      </c>
      <c r="C105" s="7">
        <v>132.0</v>
      </c>
      <c r="D105" s="7">
        <v>43.0</v>
      </c>
      <c r="E105" s="7">
        <v>41.0</v>
      </c>
      <c r="F105" s="14"/>
      <c r="G105" s="15"/>
      <c r="H105" s="15"/>
      <c r="I105" s="14"/>
      <c r="J105" s="14"/>
      <c r="K105" s="14"/>
      <c r="L105" s="14"/>
      <c r="M105" s="14"/>
      <c r="N105" s="14"/>
      <c r="O105" s="14"/>
    </row>
    <row r="106" ht="18.75" customHeight="1">
      <c r="A106" s="7" t="s">
        <v>2466</v>
      </c>
      <c r="B106" s="7">
        <v>360.0</v>
      </c>
      <c r="C106" s="7">
        <v>194.0</v>
      </c>
      <c r="D106" s="7">
        <v>110.0</v>
      </c>
      <c r="E106" s="7">
        <v>108.0</v>
      </c>
      <c r="F106" s="14"/>
      <c r="G106" s="15"/>
      <c r="H106" s="15"/>
      <c r="I106" s="14"/>
      <c r="J106" s="14"/>
      <c r="K106" s="14"/>
      <c r="L106" s="14"/>
      <c r="M106" s="14"/>
      <c r="N106" s="14"/>
      <c r="O106" s="14"/>
    </row>
    <row r="107" ht="18.75" customHeight="1">
      <c r="A107" s="7" t="s">
        <v>3825</v>
      </c>
      <c r="B107" s="7">
        <v>42.0</v>
      </c>
      <c r="C107" s="7">
        <v>42.0</v>
      </c>
      <c r="D107" s="7">
        <v>30.0</v>
      </c>
      <c r="E107" s="7">
        <v>30.0</v>
      </c>
      <c r="F107" s="14"/>
      <c r="G107" s="15"/>
      <c r="H107" s="15"/>
      <c r="I107" s="14"/>
      <c r="J107" s="14"/>
      <c r="K107" s="14"/>
      <c r="L107" s="14"/>
      <c r="M107" s="14"/>
      <c r="N107" s="14"/>
      <c r="O107" s="14"/>
    </row>
    <row r="108" ht="18.75" customHeight="1">
      <c r="A108" s="7" t="s">
        <v>2467</v>
      </c>
      <c r="B108" s="7">
        <v>42.0</v>
      </c>
      <c r="C108" s="7">
        <v>42.0</v>
      </c>
      <c r="D108" s="7">
        <v>12.0</v>
      </c>
      <c r="E108" s="7">
        <v>11.0</v>
      </c>
      <c r="F108" s="14"/>
      <c r="G108" s="15"/>
      <c r="H108" s="15"/>
      <c r="I108" s="14"/>
      <c r="J108" s="14"/>
      <c r="K108" s="14"/>
      <c r="L108" s="14"/>
      <c r="M108" s="14"/>
      <c r="N108" s="14"/>
      <c r="O108" s="14"/>
    </row>
    <row r="109" ht="18.75" customHeight="1">
      <c r="A109" s="7" t="s">
        <v>2472</v>
      </c>
      <c r="B109" s="7">
        <v>11760.0</v>
      </c>
      <c r="C109" s="7">
        <v>11561.0</v>
      </c>
      <c r="D109" s="7">
        <v>3754.0</v>
      </c>
      <c r="E109" s="7">
        <v>2931.0</v>
      </c>
      <c r="F109" s="14"/>
      <c r="G109" s="15"/>
      <c r="H109" s="15"/>
      <c r="I109" s="14"/>
      <c r="J109" s="14"/>
      <c r="K109" s="14"/>
      <c r="L109" s="14"/>
      <c r="M109" s="14"/>
      <c r="N109" s="14"/>
      <c r="O109" s="14"/>
    </row>
    <row r="110" ht="18.75" customHeight="1">
      <c r="A110" s="7" t="s">
        <v>2472</v>
      </c>
      <c r="B110" s="7">
        <v>2077.0</v>
      </c>
      <c r="C110" s="7">
        <v>2077.0</v>
      </c>
      <c r="D110" s="7">
        <v>870.0</v>
      </c>
      <c r="E110" s="7">
        <v>784.0</v>
      </c>
      <c r="F110" s="14"/>
      <c r="G110" s="15"/>
      <c r="H110" s="15"/>
      <c r="I110" s="14"/>
      <c r="J110" s="14"/>
      <c r="K110" s="14"/>
      <c r="L110" s="14"/>
      <c r="M110" s="14"/>
      <c r="N110" s="14"/>
      <c r="O110" s="14"/>
    </row>
    <row r="111" ht="18.75" customHeight="1">
      <c r="A111" s="7" t="s">
        <v>2485</v>
      </c>
      <c r="B111" s="7">
        <v>194.0</v>
      </c>
      <c r="C111" s="7">
        <v>194.0</v>
      </c>
      <c r="D111" s="7">
        <v>142.0</v>
      </c>
      <c r="E111" s="7">
        <v>92.0</v>
      </c>
      <c r="F111" s="14"/>
      <c r="G111" s="15"/>
      <c r="H111" s="15"/>
      <c r="I111" s="14"/>
      <c r="J111" s="14"/>
      <c r="K111" s="14"/>
      <c r="L111" s="14"/>
      <c r="M111" s="14"/>
      <c r="N111" s="14"/>
      <c r="O111" s="14"/>
    </row>
    <row r="112" ht="18.75" customHeight="1">
      <c r="A112" s="7" t="s">
        <v>2475</v>
      </c>
      <c r="B112" s="7">
        <v>406.0</v>
      </c>
      <c r="C112" s="7">
        <v>310.0</v>
      </c>
      <c r="D112" s="7">
        <v>106.0</v>
      </c>
      <c r="E112" s="7">
        <v>99.0</v>
      </c>
      <c r="F112" s="14"/>
      <c r="G112" s="15"/>
      <c r="H112" s="15"/>
      <c r="I112" s="14"/>
      <c r="J112" s="14"/>
      <c r="K112" s="14"/>
      <c r="L112" s="14"/>
      <c r="M112" s="14"/>
      <c r="N112" s="14"/>
      <c r="O112" s="14"/>
    </row>
    <row r="113" ht="18.75" customHeight="1">
      <c r="A113" s="7" t="s">
        <v>2469</v>
      </c>
      <c r="B113" s="7">
        <v>71.0</v>
      </c>
      <c r="C113" s="7">
        <v>71.0</v>
      </c>
      <c r="D113" s="7">
        <v>28.0</v>
      </c>
      <c r="E113" s="7">
        <v>28.0</v>
      </c>
      <c r="F113" s="14"/>
      <c r="G113" s="15"/>
      <c r="H113" s="15"/>
      <c r="I113" s="14"/>
      <c r="J113" s="14"/>
      <c r="K113" s="14"/>
      <c r="L113" s="14"/>
      <c r="M113" s="14"/>
      <c r="N113" s="14"/>
      <c r="O113" s="14"/>
    </row>
    <row r="114" ht="18.75" customHeight="1">
      <c r="A114" s="7" t="s">
        <v>2499</v>
      </c>
      <c r="B114" s="7">
        <v>658.0</v>
      </c>
      <c r="C114" s="7">
        <v>307.0</v>
      </c>
      <c r="D114" s="7">
        <v>141.0</v>
      </c>
      <c r="E114" s="7">
        <v>119.0</v>
      </c>
      <c r="F114" s="14"/>
      <c r="G114" s="15"/>
      <c r="H114" s="15"/>
      <c r="I114" s="14"/>
      <c r="J114" s="14"/>
      <c r="K114" s="14"/>
      <c r="L114" s="14"/>
      <c r="M114" s="14"/>
      <c r="N114" s="14"/>
      <c r="O114" s="14"/>
    </row>
    <row r="115" ht="18.75" customHeight="1">
      <c r="A115" s="7" t="s">
        <v>2467</v>
      </c>
      <c r="B115" s="7">
        <v>2152.0</v>
      </c>
      <c r="C115" s="7">
        <v>2152.0</v>
      </c>
      <c r="D115" s="7">
        <v>566.0</v>
      </c>
      <c r="E115" s="7">
        <v>441.0</v>
      </c>
      <c r="F115" s="14"/>
      <c r="G115" s="15"/>
      <c r="H115" s="15"/>
      <c r="I115" s="14"/>
      <c r="J115" s="14"/>
      <c r="K115" s="14"/>
      <c r="L115" s="14"/>
      <c r="M115" s="14"/>
      <c r="N115" s="14"/>
      <c r="O115" s="14"/>
    </row>
    <row r="116" ht="18.75" customHeight="1">
      <c r="A116" s="7" t="s">
        <v>2480</v>
      </c>
      <c r="B116" s="7">
        <v>294.0</v>
      </c>
      <c r="C116" s="7">
        <v>292.0</v>
      </c>
      <c r="D116" s="7">
        <v>116.0</v>
      </c>
      <c r="E116" s="7">
        <v>111.0</v>
      </c>
      <c r="F116" s="14"/>
      <c r="G116" s="15"/>
      <c r="H116" s="15"/>
      <c r="I116" s="14"/>
      <c r="J116" s="14"/>
      <c r="K116" s="14"/>
      <c r="L116" s="14"/>
      <c r="M116" s="14"/>
      <c r="N116" s="14"/>
      <c r="O116" s="14"/>
    </row>
    <row r="117" ht="18.75" customHeight="1">
      <c r="A117" s="7" t="s">
        <v>2483</v>
      </c>
      <c r="B117" s="7">
        <v>699.0</v>
      </c>
      <c r="C117" s="7">
        <v>362.0</v>
      </c>
      <c r="D117" s="7">
        <v>154.0</v>
      </c>
      <c r="E117" s="7">
        <v>146.0</v>
      </c>
      <c r="F117" s="14"/>
      <c r="G117" s="15"/>
      <c r="H117" s="15"/>
      <c r="I117" s="14"/>
      <c r="J117" s="14"/>
      <c r="K117" s="14"/>
      <c r="L117" s="14"/>
      <c r="M117" s="14"/>
      <c r="N117" s="14"/>
      <c r="O117" s="14"/>
    </row>
    <row r="118" ht="18.75" customHeight="1">
      <c r="A118" s="7" t="s">
        <v>2482</v>
      </c>
      <c r="B118" s="7">
        <v>221.0</v>
      </c>
      <c r="C118" s="7">
        <v>221.0</v>
      </c>
      <c r="D118" s="7">
        <v>56.0</v>
      </c>
      <c r="E118" s="7">
        <v>52.0</v>
      </c>
      <c r="F118" s="14"/>
      <c r="G118" s="15"/>
      <c r="H118" s="15"/>
      <c r="I118" s="14"/>
      <c r="J118" s="14"/>
      <c r="K118" s="14"/>
      <c r="L118" s="14"/>
      <c r="M118" s="14"/>
      <c r="N118" s="14"/>
      <c r="O118" s="14"/>
    </row>
    <row r="119" ht="18.75" customHeight="1">
      <c r="A119" s="7" t="s">
        <v>3826</v>
      </c>
      <c r="B119" s="7">
        <v>184.0</v>
      </c>
      <c r="C119" s="7">
        <v>184.0</v>
      </c>
      <c r="D119" s="7">
        <v>69.0</v>
      </c>
      <c r="E119" s="7">
        <v>65.0</v>
      </c>
      <c r="F119" s="14"/>
      <c r="G119" s="15"/>
      <c r="H119" s="15"/>
      <c r="I119" s="14"/>
      <c r="J119" s="14"/>
      <c r="K119" s="14"/>
      <c r="L119" s="14"/>
      <c r="M119" s="14"/>
      <c r="N119" s="14"/>
      <c r="O119" s="14"/>
    </row>
    <row r="120" ht="18.75" customHeight="1">
      <c r="A120" s="7" t="s">
        <v>2486</v>
      </c>
      <c r="B120" s="7">
        <v>114.0</v>
      </c>
      <c r="C120" s="7">
        <v>114.0</v>
      </c>
      <c r="D120" s="7">
        <v>90.0</v>
      </c>
      <c r="E120" s="7">
        <v>44.0</v>
      </c>
      <c r="F120" s="14"/>
      <c r="G120" s="15"/>
      <c r="H120" s="15"/>
      <c r="I120" s="14"/>
      <c r="J120" s="14"/>
      <c r="K120" s="14"/>
      <c r="L120" s="14"/>
      <c r="M120" s="14"/>
      <c r="N120" s="14"/>
      <c r="O120" s="14"/>
    </row>
    <row r="121" ht="18.75" customHeight="1">
      <c r="A121" s="7" t="s">
        <v>2495</v>
      </c>
      <c r="B121" s="7">
        <v>110.0</v>
      </c>
      <c r="C121" s="7">
        <v>110.0</v>
      </c>
      <c r="D121" s="7">
        <v>56.0</v>
      </c>
      <c r="E121" s="7">
        <v>33.0</v>
      </c>
      <c r="F121" s="14"/>
      <c r="G121" s="15"/>
      <c r="H121" s="15"/>
      <c r="I121" s="14"/>
      <c r="J121" s="14"/>
      <c r="K121" s="14"/>
      <c r="L121" s="14"/>
      <c r="M121" s="14"/>
      <c r="N121" s="14"/>
      <c r="O121" s="14"/>
    </row>
    <row r="122" ht="18.75" customHeight="1">
      <c r="A122" s="7" t="s">
        <v>2497</v>
      </c>
      <c r="B122" s="7">
        <v>841.0</v>
      </c>
      <c r="C122" s="7">
        <v>841.0</v>
      </c>
      <c r="D122" s="7">
        <v>441.0</v>
      </c>
      <c r="E122" s="7">
        <v>398.0</v>
      </c>
      <c r="F122" s="14"/>
      <c r="G122" s="15"/>
      <c r="H122" s="15"/>
      <c r="I122" s="14"/>
      <c r="J122" s="14"/>
      <c r="K122" s="14"/>
      <c r="L122" s="14"/>
      <c r="M122" s="14"/>
      <c r="N122" s="14"/>
      <c r="O122" s="14"/>
    </row>
    <row r="123" ht="18.75" customHeight="1">
      <c r="A123" s="7" t="s">
        <v>3827</v>
      </c>
      <c r="B123" s="7">
        <v>3254.0</v>
      </c>
      <c r="C123" s="7">
        <v>2973.0</v>
      </c>
      <c r="D123" s="7">
        <v>895.0</v>
      </c>
      <c r="E123" s="7">
        <v>681.0</v>
      </c>
      <c r="F123" s="14"/>
      <c r="G123" s="15"/>
      <c r="H123" s="15"/>
      <c r="I123" s="14"/>
      <c r="J123" s="14"/>
      <c r="K123" s="14"/>
      <c r="L123" s="14"/>
      <c r="M123" s="14"/>
      <c r="N123" s="14"/>
      <c r="O123" s="14"/>
    </row>
    <row r="124" ht="18.75" customHeight="1">
      <c r="A124" s="7" t="s">
        <v>3827</v>
      </c>
      <c r="B124" s="7">
        <v>243.0</v>
      </c>
      <c r="C124" s="7">
        <v>243.0</v>
      </c>
      <c r="D124" s="7">
        <v>113.0</v>
      </c>
      <c r="E124" s="7">
        <v>77.0</v>
      </c>
      <c r="F124" s="14"/>
      <c r="G124" s="15"/>
      <c r="H124" s="15"/>
      <c r="I124" s="14"/>
      <c r="J124" s="14"/>
      <c r="K124" s="14"/>
      <c r="L124" s="14"/>
      <c r="M124" s="14"/>
      <c r="N124" s="14"/>
      <c r="O124" s="14"/>
    </row>
    <row r="125" ht="18.75" customHeight="1">
      <c r="A125" s="7" t="s">
        <v>2485</v>
      </c>
      <c r="B125" s="7">
        <v>2299.0</v>
      </c>
      <c r="C125" s="7">
        <v>1689.0</v>
      </c>
      <c r="D125" s="7">
        <v>800.0</v>
      </c>
      <c r="E125" s="7">
        <v>602.0</v>
      </c>
      <c r="F125" s="14"/>
      <c r="G125" s="15"/>
      <c r="H125" s="15"/>
      <c r="I125" s="14"/>
      <c r="J125" s="14"/>
      <c r="K125" s="14"/>
      <c r="L125" s="14"/>
      <c r="M125" s="14"/>
      <c r="N125" s="14"/>
      <c r="O125" s="14"/>
    </row>
    <row r="126" ht="18.75" customHeight="1">
      <c r="A126" s="7" t="s">
        <v>2541</v>
      </c>
      <c r="B126" s="7">
        <v>136.0</v>
      </c>
      <c r="C126" s="7">
        <v>136.0</v>
      </c>
      <c r="D126" s="7">
        <v>118.0</v>
      </c>
      <c r="E126" s="7">
        <v>84.0</v>
      </c>
      <c r="F126" s="14"/>
      <c r="G126" s="15"/>
      <c r="H126" s="15"/>
      <c r="I126" s="14"/>
      <c r="J126" s="14"/>
      <c r="K126" s="14"/>
      <c r="L126" s="14"/>
      <c r="M126" s="14"/>
      <c r="N126" s="14"/>
      <c r="O126" s="14"/>
    </row>
    <row r="127" ht="18.75" customHeight="1">
      <c r="A127" s="7" t="s">
        <v>2500</v>
      </c>
      <c r="B127" s="7">
        <v>131.0</v>
      </c>
      <c r="C127" s="7">
        <v>131.0</v>
      </c>
      <c r="D127" s="7">
        <v>41.0</v>
      </c>
      <c r="E127" s="7">
        <v>39.0</v>
      </c>
      <c r="F127" s="14"/>
      <c r="G127" s="15"/>
      <c r="H127" s="15"/>
      <c r="I127" s="14"/>
      <c r="J127" s="14"/>
      <c r="K127" s="14"/>
      <c r="L127" s="14"/>
      <c r="M127" s="14"/>
      <c r="N127" s="14"/>
      <c r="O127" s="14"/>
    </row>
    <row r="128" ht="18.75" customHeight="1">
      <c r="A128" s="7" t="s">
        <v>2485</v>
      </c>
      <c r="B128" s="7">
        <v>91.0</v>
      </c>
      <c r="C128" s="7">
        <v>91.0</v>
      </c>
      <c r="D128" s="7">
        <v>42.0</v>
      </c>
      <c r="E128" s="7">
        <v>40.0</v>
      </c>
      <c r="F128" s="14"/>
      <c r="G128" s="15"/>
      <c r="H128" s="15"/>
      <c r="I128" s="14"/>
      <c r="J128" s="14"/>
      <c r="K128" s="14"/>
      <c r="L128" s="14"/>
      <c r="M128" s="14"/>
      <c r="N128" s="14"/>
      <c r="O128" s="14"/>
    </row>
    <row r="129" ht="18.75" customHeight="1">
      <c r="A129" s="7" t="s">
        <v>2508</v>
      </c>
      <c r="B129" s="7">
        <v>179.0</v>
      </c>
      <c r="C129" s="7">
        <v>179.0</v>
      </c>
      <c r="D129" s="7">
        <v>115.0</v>
      </c>
      <c r="E129" s="7">
        <v>62.0</v>
      </c>
      <c r="F129" s="14"/>
      <c r="G129" s="15"/>
      <c r="H129" s="15"/>
      <c r="I129" s="14"/>
      <c r="J129" s="14"/>
      <c r="K129" s="14"/>
      <c r="L129" s="14"/>
      <c r="M129" s="14"/>
      <c r="N129" s="14"/>
      <c r="O129" s="14"/>
    </row>
    <row r="130" ht="18.75" customHeight="1">
      <c r="A130" s="7" t="s">
        <v>2510</v>
      </c>
      <c r="B130" s="7">
        <v>431.0</v>
      </c>
      <c r="C130" s="7">
        <v>286.0</v>
      </c>
      <c r="D130" s="7">
        <v>155.0</v>
      </c>
      <c r="E130" s="7">
        <v>137.0</v>
      </c>
      <c r="F130" s="14"/>
      <c r="G130" s="15"/>
      <c r="H130" s="15"/>
      <c r="I130" s="14"/>
      <c r="J130" s="14"/>
      <c r="K130" s="14"/>
      <c r="L130" s="14"/>
      <c r="M130" s="14"/>
      <c r="N130" s="14"/>
      <c r="O130" s="14"/>
    </row>
    <row r="131" ht="18.75" customHeight="1">
      <c r="A131" s="7" t="s">
        <v>2512</v>
      </c>
      <c r="B131" s="7">
        <v>200.0</v>
      </c>
      <c r="C131" s="7">
        <v>200.0</v>
      </c>
      <c r="D131" s="7">
        <v>94.0</v>
      </c>
      <c r="E131" s="7">
        <v>91.0</v>
      </c>
      <c r="F131" s="14"/>
      <c r="G131" s="15"/>
      <c r="H131" s="15"/>
      <c r="I131" s="14"/>
      <c r="J131" s="14"/>
      <c r="K131" s="14"/>
      <c r="L131" s="14"/>
      <c r="M131" s="14"/>
      <c r="N131" s="14"/>
      <c r="O131" s="14"/>
    </row>
    <row r="132" ht="18.75" customHeight="1">
      <c r="A132" s="7" t="s">
        <v>2503</v>
      </c>
      <c r="B132" s="7">
        <v>375.0</v>
      </c>
      <c r="C132" s="7">
        <v>212.0</v>
      </c>
      <c r="D132" s="7">
        <v>85.0</v>
      </c>
      <c r="E132" s="7">
        <v>85.0</v>
      </c>
      <c r="F132" s="14"/>
      <c r="G132" s="15"/>
      <c r="H132" s="15"/>
      <c r="I132" s="14"/>
      <c r="J132" s="14"/>
      <c r="K132" s="14"/>
      <c r="L132" s="14"/>
      <c r="M132" s="14"/>
      <c r="N132" s="14"/>
      <c r="O132" s="14"/>
    </row>
    <row r="133" ht="18.75" customHeight="1">
      <c r="A133" s="7" t="s">
        <v>3828</v>
      </c>
      <c r="B133" s="7">
        <v>10.0</v>
      </c>
      <c r="C133" s="7">
        <v>10.0</v>
      </c>
      <c r="D133" s="7">
        <v>10.0</v>
      </c>
      <c r="E133" s="7">
        <v>10.0</v>
      </c>
      <c r="F133" s="14"/>
      <c r="G133" s="15"/>
      <c r="H133" s="15"/>
      <c r="I133" s="14"/>
      <c r="J133" s="14"/>
      <c r="K133" s="14"/>
      <c r="L133" s="14"/>
      <c r="M133" s="14"/>
      <c r="N133" s="14"/>
      <c r="O133" s="14"/>
    </row>
    <row r="134" ht="18.75" customHeight="1">
      <c r="A134" s="7" t="s">
        <v>2515</v>
      </c>
      <c r="B134" s="7">
        <v>103.0</v>
      </c>
      <c r="C134" s="7">
        <v>103.0</v>
      </c>
      <c r="D134" s="7">
        <v>50.0</v>
      </c>
      <c r="E134" s="7">
        <v>49.0</v>
      </c>
      <c r="F134" s="14"/>
      <c r="G134" s="15"/>
      <c r="H134" s="15"/>
      <c r="I134" s="14"/>
      <c r="J134" s="14"/>
      <c r="K134" s="14"/>
      <c r="L134" s="14"/>
      <c r="M134" s="14"/>
      <c r="N134" s="14"/>
      <c r="O134" s="14"/>
    </row>
    <row r="135" ht="18.75" customHeight="1">
      <c r="A135" s="7" t="s">
        <v>2508</v>
      </c>
      <c r="B135" s="7">
        <v>54.0</v>
      </c>
      <c r="C135" s="7">
        <v>54.0</v>
      </c>
      <c r="D135" s="7">
        <v>45.0</v>
      </c>
      <c r="E135" s="7">
        <v>45.0</v>
      </c>
      <c r="F135" s="14"/>
      <c r="G135" s="15"/>
      <c r="H135" s="15"/>
      <c r="I135" s="14"/>
      <c r="J135" s="14"/>
      <c r="K135" s="14"/>
      <c r="L135" s="14"/>
      <c r="M135" s="14"/>
      <c r="N135" s="14"/>
      <c r="O135" s="14"/>
    </row>
    <row r="136" ht="18.75" customHeight="1">
      <c r="A136" s="7" t="s">
        <v>3829</v>
      </c>
      <c r="B136" s="7">
        <v>181.0</v>
      </c>
      <c r="C136" s="7">
        <v>181.0</v>
      </c>
      <c r="D136" s="7">
        <v>71.0</v>
      </c>
      <c r="E136" s="7">
        <v>67.0</v>
      </c>
      <c r="F136" s="14"/>
      <c r="G136" s="15"/>
      <c r="H136" s="15"/>
      <c r="I136" s="14"/>
      <c r="J136" s="14"/>
      <c r="K136" s="14"/>
      <c r="L136" s="14"/>
      <c r="M136" s="14"/>
      <c r="N136" s="14"/>
      <c r="O136" s="14"/>
    </row>
    <row r="137" ht="18.75" customHeight="1">
      <c r="A137" s="7" t="s">
        <v>2521</v>
      </c>
      <c r="B137" s="7">
        <v>118.0</v>
      </c>
      <c r="C137" s="7">
        <v>118.0</v>
      </c>
      <c r="D137" s="7">
        <v>93.0</v>
      </c>
      <c r="E137" s="7">
        <v>51.0</v>
      </c>
      <c r="F137" s="14"/>
      <c r="G137" s="15"/>
      <c r="H137" s="15"/>
      <c r="I137" s="14"/>
      <c r="J137" s="14"/>
      <c r="K137" s="14"/>
      <c r="L137" s="14"/>
      <c r="M137" s="14"/>
      <c r="N137" s="14"/>
      <c r="O137" s="14"/>
    </row>
    <row r="138" ht="18.75" customHeight="1">
      <c r="A138" s="7" t="s">
        <v>2527</v>
      </c>
      <c r="B138" s="7">
        <v>83.0</v>
      </c>
      <c r="C138" s="7">
        <v>83.0</v>
      </c>
      <c r="D138" s="7">
        <v>67.0</v>
      </c>
      <c r="E138" s="7">
        <v>48.0</v>
      </c>
      <c r="F138" s="14"/>
      <c r="G138" s="15"/>
      <c r="H138" s="15"/>
      <c r="I138" s="14"/>
      <c r="J138" s="14"/>
      <c r="K138" s="14"/>
      <c r="L138" s="14"/>
      <c r="M138" s="14"/>
      <c r="N138" s="14"/>
      <c r="O138" s="14"/>
    </row>
    <row r="139" ht="18.75" customHeight="1">
      <c r="A139" s="7" t="s">
        <v>2517</v>
      </c>
      <c r="B139" s="7">
        <v>13400.0</v>
      </c>
      <c r="C139" s="7">
        <v>12191.0</v>
      </c>
      <c r="D139" s="7">
        <v>4549.0</v>
      </c>
      <c r="E139" s="7">
        <v>2927.0</v>
      </c>
      <c r="F139" s="14"/>
      <c r="G139" s="15"/>
      <c r="H139" s="15"/>
      <c r="I139" s="14"/>
      <c r="J139" s="14"/>
      <c r="K139" s="14"/>
      <c r="L139" s="14"/>
      <c r="M139" s="14"/>
      <c r="N139" s="14"/>
      <c r="O139" s="14"/>
    </row>
    <row r="140" ht="18.75" customHeight="1">
      <c r="A140" s="7" t="s">
        <v>2517</v>
      </c>
      <c r="B140" s="7">
        <v>1664.0</v>
      </c>
      <c r="C140" s="7">
        <v>1664.0</v>
      </c>
      <c r="D140" s="7">
        <v>632.0</v>
      </c>
      <c r="E140" s="7">
        <v>613.0</v>
      </c>
      <c r="F140" s="14"/>
      <c r="G140" s="15"/>
      <c r="H140" s="15"/>
      <c r="I140" s="14"/>
      <c r="J140" s="14"/>
      <c r="K140" s="14"/>
      <c r="L140" s="14"/>
      <c r="M140" s="14"/>
      <c r="N140" s="14"/>
      <c r="O140" s="14"/>
    </row>
    <row r="141" ht="18.75" customHeight="1">
      <c r="A141" s="7" t="s">
        <v>2530</v>
      </c>
      <c r="B141" s="7">
        <v>119.0</v>
      </c>
      <c r="C141" s="7">
        <v>119.0</v>
      </c>
      <c r="D141" s="7">
        <v>94.0</v>
      </c>
      <c r="E141" s="7">
        <v>70.0</v>
      </c>
      <c r="F141" s="14"/>
      <c r="G141" s="15"/>
      <c r="H141" s="15"/>
      <c r="I141" s="14"/>
      <c r="J141" s="14"/>
      <c r="K141" s="14"/>
      <c r="L141" s="14"/>
      <c r="M141" s="14"/>
      <c r="N141" s="14"/>
      <c r="O141" s="14"/>
    </row>
    <row r="142" ht="18.75" customHeight="1">
      <c r="A142" s="7" t="s">
        <v>2535</v>
      </c>
      <c r="B142" s="7">
        <v>249.0</v>
      </c>
      <c r="C142" s="7">
        <v>249.0</v>
      </c>
      <c r="D142" s="7">
        <v>104.0</v>
      </c>
      <c r="E142" s="7">
        <v>93.0</v>
      </c>
      <c r="F142" s="14"/>
      <c r="G142" s="15"/>
      <c r="H142" s="15"/>
      <c r="I142" s="14"/>
      <c r="J142" s="14"/>
      <c r="K142" s="14"/>
      <c r="L142" s="14"/>
      <c r="M142" s="14"/>
      <c r="N142" s="14"/>
      <c r="O142" s="14"/>
    </row>
    <row r="143" ht="18.75" customHeight="1">
      <c r="A143" s="7" t="s">
        <v>2534</v>
      </c>
      <c r="B143" s="7">
        <v>207.0</v>
      </c>
      <c r="C143" s="7">
        <v>207.0</v>
      </c>
      <c r="D143" s="7">
        <v>86.0</v>
      </c>
      <c r="E143" s="7">
        <v>83.0</v>
      </c>
      <c r="F143" s="14"/>
      <c r="G143" s="15"/>
      <c r="H143" s="15"/>
      <c r="I143" s="14"/>
      <c r="J143" s="14"/>
      <c r="K143" s="14"/>
      <c r="L143" s="14"/>
      <c r="M143" s="14"/>
      <c r="N143" s="14"/>
      <c r="O143" s="14"/>
    </row>
    <row r="144" ht="18.75" customHeight="1">
      <c r="A144" s="7" t="s">
        <v>2532</v>
      </c>
      <c r="B144" s="7">
        <v>76.0</v>
      </c>
      <c r="C144" s="7">
        <v>76.0</v>
      </c>
      <c r="D144" s="7">
        <v>35.0</v>
      </c>
      <c r="E144" s="7">
        <v>33.0</v>
      </c>
      <c r="F144" s="14"/>
      <c r="G144" s="15"/>
      <c r="H144" s="15"/>
      <c r="I144" s="14"/>
      <c r="J144" s="14"/>
      <c r="K144" s="14"/>
      <c r="L144" s="14"/>
      <c r="M144" s="14"/>
      <c r="N144" s="14"/>
      <c r="O144" s="14"/>
    </row>
    <row r="145" ht="18.75" customHeight="1">
      <c r="A145" s="7" t="s">
        <v>3830</v>
      </c>
      <c r="B145" s="7">
        <v>10200.0</v>
      </c>
      <c r="C145" s="7">
        <v>3809.0</v>
      </c>
      <c r="D145" s="7">
        <v>1449.0</v>
      </c>
      <c r="E145" s="7">
        <v>1047.0</v>
      </c>
      <c r="F145" s="14"/>
      <c r="G145" s="15"/>
      <c r="H145" s="15"/>
      <c r="I145" s="14"/>
      <c r="J145" s="14"/>
      <c r="K145" s="14"/>
      <c r="L145" s="14"/>
      <c r="M145" s="14"/>
      <c r="N145" s="14"/>
      <c r="O145" s="14"/>
    </row>
    <row r="146" ht="18.75" customHeight="1">
      <c r="A146" s="7" t="s">
        <v>3830</v>
      </c>
      <c r="B146" s="7">
        <v>128.0</v>
      </c>
      <c r="C146" s="7">
        <v>128.0</v>
      </c>
      <c r="D146" s="7">
        <v>102.0</v>
      </c>
      <c r="E146" s="7">
        <v>89.0</v>
      </c>
      <c r="F146" s="14"/>
      <c r="G146" s="15"/>
      <c r="H146" s="15"/>
      <c r="I146" s="14"/>
      <c r="J146" s="14"/>
      <c r="K146" s="14"/>
      <c r="L146" s="14"/>
      <c r="M146" s="14"/>
      <c r="N146" s="14"/>
      <c r="O146" s="14"/>
    </row>
    <row r="147" ht="18.75" customHeight="1">
      <c r="A147" s="7" t="s">
        <v>2542</v>
      </c>
      <c r="B147" s="7">
        <v>208.0</v>
      </c>
      <c r="C147" s="7">
        <v>155.0</v>
      </c>
      <c r="D147" s="7">
        <v>64.0</v>
      </c>
      <c r="E147" s="7">
        <v>61.0</v>
      </c>
      <c r="F147" s="14"/>
      <c r="G147" s="15"/>
      <c r="H147" s="15"/>
      <c r="I147" s="14"/>
      <c r="J147" s="14"/>
      <c r="K147" s="14"/>
      <c r="L147" s="14"/>
      <c r="M147" s="14"/>
      <c r="N147" s="14"/>
      <c r="O147" s="14"/>
    </row>
    <row r="148" ht="18.75" customHeight="1">
      <c r="A148" s="7" t="s">
        <v>2543</v>
      </c>
      <c r="B148" s="7">
        <v>121.0</v>
      </c>
      <c r="C148" s="7">
        <v>121.0</v>
      </c>
      <c r="D148" s="7">
        <v>60.0</v>
      </c>
      <c r="E148" s="7">
        <v>57.0</v>
      </c>
      <c r="F148" s="14"/>
      <c r="G148" s="15"/>
      <c r="H148" s="15"/>
      <c r="I148" s="14"/>
      <c r="J148" s="14"/>
      <c r="K148" s="14"/>
      <c r="L148" s="14"/>
      <c r="M148" s="14"/>
      <c r="N148" s="14"/>
      <c r="O148" s="14"/>
    </row>
    <row r="149" ht="18.75" customHeight="1">
      <c r="A149" s="7" t="s">
        <v>2548</v>
      </c>
      <c r="B149" s="7">
        <v>142.0</v>
      </c>
      <c r="C149" s="7">
        <v>142.0</v>
      </c>
      <c r="D149" s="7">
        <v>64.0</v>
      </c>
      <c r="E149" s="7">
        <v>62.0</v>
      </c>
      <c r="F149" s="14"/>
      <c r="G149" s="15"/>
      <c r="H149" s="15"/>
      <c r="I149" s="14"/>
      <c r="J149" s="14"/>
      <c r="K149" s="14"/>
      <c r="L149" s="14"/>
      <c r="M149" s="14"/>
      <c r="N149" s="14"/>
      <c r="O149" s="14"/>
    </row>
    <row r="150" ht="18.75" customHeight="1">
      <c r="A150" s="7" t="s">
        <v>2546</v>
      </c>
      <c r="B150" s="7">
        <v>46.0</v>
      </c>
      <c r="C150" s="7">
        <v>46.0</v>
      </c>
      <c r="D150" s="7">
        <v>25.0</v>
      </c>
      <c r="E150" s="7">
        <v>25.0</v>
      </c>
      <c r="F150" s="14"/>
      <c r="G150" s="15"/>
      <c r="H150" s="15"/>
      <c r="I150" s="14"/>
      <c r="J150" s="14"/>
      <c r="K150" s="14"/>
      <c r="L150" s="14"/>
      <c r="M150" s="14"/>
      <c r="N150" s="14"/>
      <c r="O150" s="14"/>
    </row>
    <row r="151" ht="18.75" customHeight="1">
      <c r="A151" s="7" t="s">
        <v>2543</v>
      </c>
      <c r="B151" s="7">
        <v>6000.0</v>
      </c>
      <c r="C151" s="7">
        <v>4917.0</v>
      </c>
      <c r="D151" s="7">
        <v>1952.0</v>
      </c>
      <c r="E151" s="7">
        <v>1306.0</v>
      </c>
      <c r="F151" s="14"/>
      <c r="G151" s="15"/>
      <c r="H151" s="15"/>
      <c r="I151" s="14"/>
      <c r="J151" s="14"/>
      <c r="K151" s="14"/>
      <c r="L151" s="14"/>
      <c r="M151" s="14"/>
      <c r="N151" s="14"/>
      <c r="O151" s="14"/>
    </row>
    <row r="152" ht="18.75" customHeight="1">
      <c r="A152" s="7" t="s">
        <v>2548</v>
      </c>
      <c r="B152" s="7">
        <v>9500.0</v>
      </c>
      <c r="C152" s="7">
        <v>9500.0</v>
      </c>
      <c r="D152" s="7">
        <v>3499.0</v>
      </c>
      <c r="E152" s="7">
        <v>2409.0</v>
      </c>
      <c r="F152" s="14"/>
      <c r="G152" s="15"/>
      <c r="H152" s="15"/>
      <c r="I152" s="14"/>
      <c r="J152" s="14"/>
      <c r="K152" s="14"/>
      <c r="L152" s="14"/>
      <c r="M152" s="14"/>
      <c r="N152" s="14"/>
      <c r="O152" s="14"/>
    </row>
    <row r="153" ht="18.75" customHeight="1">
      <c r="A153" s="7" t="s">
        <v>2551</v>
      </c>
      <c r="B153" s="7">
        <v>7330.0</v>
      </c>
      <c r="C153" s="7">
        <v>7330.0</v>
      </c>
      <c r="D153" s="7">
        <v>2723.0</v>
      </c>
      <c r="E153" s="7">
        <v>1573.0</v>
      </c>
      <c r="F153" s="14"/>
      <c r="G153" s="15"/>
      <c r="H153" s="15"/>
      <c r="I153" s="14"/>
      <c r="J153" s="14"/>
      <c r="K153" s="14"/>
      <c r="L153" s="14"/>
      <c r="M153" s="14"/>
      <c r="N153" s="14"/>
      <c r="O153" s="14"/>
    </row>
    <row r="154" ht="18.75" customHeight="1">
      <c r="A154" s="7" t="s">
        <v>2551</v>
      </c>
      <c r="B154" s="7">
        <v>498.0</v>
      </c>
      <c r="C154" s="7">
        <v>498.0</v>
      </c>
      <c r="D154" s="7">
        <v>240.0</v>
      </c>
      <c r="E154" s="7">
        <v>230.0</v>
      </c>
      <c r="F154" s="14"/>
      <c r="G154" s="15"/>
      <c r="H154" s="15"/>
      <c r="I154" s="14"/>
      <c r="J154" s="14"/>
      <c r="K154" s="14"/>
      <c r="L154" s="14"/>
      <c r="M154" s="14"/>
      <c r="N154" s="14"/>
      <c r="O154" s="14"/>
    </row>
    <row r="155" ht="18.75" customHeight="1">
      <c r="A155" s="7" t="s">
        <v>2563</v>
      </c>
      <c r="B155" s="7">
        <v>5510.0</v>
      </c>
      <c r="C155" s="7">
        <v>5510.0</v>
      </c>
      <c r="D155" s="7">
        <v>1990.0</v>
      </c>
      <c r="E155" s="7">
        <v>1497.0</v>
      </c>
      <c r="F155" s="14"/>
      <c r="G155" s="15"/>
      <c r="H155" s="15"/>
      <c r="I155" s="14"/>
      <c r="J155" s="14"/>
      <c r="K155" s="14"/>
      <c r="L155" s="14"/>
      <c r="M155" s="14"/>
      <c r="N155" s="14"/>
      <c r="O155" s="14"/>
    </row>
    <row r="156" ht="18.75" customHeight="1">
      <c r="A156" s="7" t="s">
        <v>2563</v>
      </c>
      <c r="B156" s="7">
        <v>124.0</v>
      </c>
      <c r="C156" s="7">
        <v>124.0</v>
      </c>
      <c r="D156" s="7">
        <v>48.0</v>
      </c>
      <c r="E156" s="7">
        <v>45.0</v>
      </c>
      <c r="F156" s="14"/>
      <c r="G156" s="15"/>
      <c r="H156" s="15"/>
      <c r="I156" s="14"/>
      <c r="J156" s="14"/>
      <c r="K156" s="14"/>
      <c r="L156" s="14"/>
      <c r="M156" s="14"/>
      <c r="N156" s="14"/>
      <c r="O156" s="14"/>
    </row>
    <row r="157" ht="18.75" customHeight="1">
      <c r="A157" s="7" t="s">
        <v>2561</v>
      </c>
      <c r="B157" s="7">
        <v>91.0</v>
      </c>
      <c r="C157" s="7">
        <v>91.0</v>
      </c>
      <c r="D157" s="7">
        <v>39.0</v>
      </c>
      <c r="E157" s="7">
        <v>37.0</v>
      </c>
      <c r="F157" s="14"/>
      <c r="G157" s="15"/>
      <c r="H157" s="15"/>
      <c r="I157" s="14"/>
      <c r="J157" s="14"/>
      <c r="K157" s="14"/>
      <c r="L157" s="14"/>
      <c r="M157" s="14"/>
      <c r="N157" s="14"/>
      <c r="O157" s="14"/>
    </row>
    <row r="158" ht="18.75" customHeight="1">
      <c r="A158" s="7" t="s">
        <v>2568</v>
      </c>
      <c r="B158" s="7">
        <v>8120.0</v>
      </c>
      <c r="C158" s="7">
        <v>8120.0</v>
      </c>
      <c r="D158" s="7">
        <v>3247.0</v>
      </c>
      <c r="E158" s="7">
        <v>2281.0</v>
      </c>
      <c r="F158" s="14"/>
      <c r="G158" s="15"/>
      <c r="H158" s="15"/>
      <c r="I158" s="14"/>
      <c r="J158" s="14"/>
      <c r="K158" s="14"/>
      <c r="L158" s="14"/>
      <c r="M158" s="14"/>
      <c r="N158" s="14"/>
      <c r="O158" s="14"/>
    </row>
    <row r="159" ht="18.75" customHeight="1">
      <c r="A159" s="7" t="s">
        <v>2568</v>
      </c>
      <c r="B159" s="7">
        <v>229.0</v>
      </c>
      <c r="C159" s="7">
        <v>229.0</v>
      </c>
      <c r="D159" s="7">
        <v>124.0</v>
      </c>
      <c r="E159" s="7">
        <v>116.0</v>
      </c>
      <c r="F159" s="14"/>
      <c r="G159" s="15"/>
      <c r="H159" s="15"/>
      <c r="I159" s="14"/>
      <c r="J159" s="14"/>
      <c r="K159" s="14"/>
      <c r="L159" s="14"/>
      <c r="M159" s="14"/>
      <c r="N159" s="14"/>
      <c r="O159" s="14"/>
    </row>
    <row r="160" ht="18.75" customHeight="1">
      <c r="A160" s="7" t="s">
        <v>2553</v>
      </c>
      <c r="B160" s="7">
        <v>253.0</v>
      </c>
      <c r="C160" s="7">
        <v>138.0</v>
      </c>
      <c r="D160" s="7">
        <v>58.0</v>
      </c>
      <c r="E160" s="7">
        <v>53.0</v>
      </c>
      <c r="F160" s="14"/>
      <c r="G160" s="15"/>
      <c r="H160" s="15"/>
      <c r="I160" s="14"/>
      <c r="J160" s="14"/>
      <c r="K160" s="14"/>
      <c r="L160" s="14"/>
      <c r="M160" s="14"/>
      <c r="N160" s="14"/>
      <c r="O160" s="14"/>
    </row>
    <row r="161" ht="18.75" customHeight="1">
      <c r="A161" s="7" t="s">
        <v>2560</v>
      </c>
      <c r="B161" s="7">
        <v>1975.0</v>
      </c>
      <c r="C161" s="7">
        <v>1560.0</v>
      </c>
      <c r="D161" s="7">
        <v>708.0</v>
      </c>
      <c r="E161" s="7">
        <v>662.0</v>
      </c>
      <c r="F161" s="14"/>
      <c r="G161" s="15"/>
      <c r="H161" s="15"/>
      <c r="I161" s="14"/>
      <c r="J161" s="14"/>
      <c r="K161" s="14"/>
      <c r="L161" s="14"/>
      <c r="M161" s="14"/>
      <c r="N161" s="14"/>
      <c r="O161" s="14"/>
    </row>
    <row r="162" ht="18.75" customHeight="1">
      <c r="A162" s="7" t="s">
        <v>2566</v>
      </c>
      <c r="B162" s="7">
        <v>134.0</v>
      </c>
      <c r="C162" s="7">
        <v>134.0</v>
      </c>
      <c r="D162" s="7">
        <v>49.0</v>
      </c>
      <c r="E162" s="7">
        <v>43.0</v>
      </c>
      <c r="F162" s="14"/>
      <c r="G162" s="15"/>
      <c r="H162" s="15"/>
      <c r="I162" s="14"/>
      <c r="J162" s="14"/>
      <c r="K162" s="14"/>
      <c r="L162" s="14"/>
      <c r="M162" s="14"/>
      <c r="N162" s="14"/>
      <c r="O162" s="14"/>
    </row>
    <row r="163" ht="18.75" customHeight="1">
      <c r="A163" s="7" t="s">
        <v>2570</v>
      </c>
      <c r="B163" s="7">
        <v>125.0</v>
      </c>
      <c r="C163" s="7">
        <v>125.0</v>
      </c>
      <c r="D163" s="7">
        <v>96.0</v>
      </c>
      <c r="E163" s="7">
        <v>56.0</v>
      </c>
      <c r="F163" s="14"/>
      <c r="G163" s="15"/>
      <c r="H163" s="15"/>
      <c r="I163" s="14"/>
      <c r="J163" s="14"/>
      <c r="K163" s="14"/>
      <c r="L163" s="14"/>
      <c r="M163" s="14"/>
      <c r="N163" s="14"/>
      <c r="O163" s="14"/>
    </row>
    <row r="164" ht="18.75" customHeight="1">
      <c r="A164" s="7" t="s">
        <v>3831</v>
      </c>
      <c r="B164" s="7">
        <v>185.0</v>
      </c>
      <c r="C164" s="7">
        <v>185.0</v>
      </c>
      <c r="D164" s="7">
        <v>94.0</v>
      </c>
      <c r="E164" s="7">
        <v>83.0</v>
      </c>
      <c r="F164" s="14"/>
      <c r="G164" s="15"/>
      <c r="H164" s="15"/>
      <c r="I164" s="14"/>
      <c r="J164" s="14"/>
      <c r="K164" s="14"/>
      <c r="L164" s="14"/>
      <c r="M164" s="14"/>
      <c r="N164" s="14"/>
      <c r="O164" s="14"/>
    </row>
    <row r="165" ht="18.75" customHeight="1">
      <c r="A165" s="7" t="s">
        <v>2578</v>
      </c>
      <c r="B165" s="7">
        <v>9190.0</v>
      </c>
      <c r="C165" s="7">
        <v>6875.0</v>
      </c>
      <c r="D165" s="7">
        <v>2653.0</v>
      </c>
      <c r="E165" s="7">
        <v>1892.0</v>
      </c>
      <c r="F165" s="14"/>
      <c r="G165" s="15"/>
      <c r="H165" s="15"/>
      <c r="I165" s="14"/>
      <c r="J165" s="14"/>
      <c r="K165" s="14"/>
      <c r="L165" s="14"/>
      <c r="M165" s="14"/>
      <c r="N165" s="14"/>
      <c r="O165" s="14"/>
    </row>
    <row r="166" ht="18.75" customHeight="1">
      <c r="A166" s="7" t="s">
        <v>2578</v>
      </c>
      <c r="B166" s="7">
        <v>318.0</v>
      </c>
      <c r="C166" s="7">
        <v>318.0</v>
      </c>
      <c r="D166" s="7">
        <v>152.0</v>
      </c>
      <c r="E166" s="7">
        <v>136.0</v>
      </c>
      <c r="F166" s="14"/>
      <c r="G166" s="15"/>
      <c r="H166" s="15"/>
      <c r="I166" s="14"/>
      <c r="J166" s="14"/>
      <c r="K166" s="14"/>
      <c r="L166" s="14"/>
      <c r="M166" s="14"/>
      <c r="N166" s="14"/>
      <c r="O166" s="14"/>
    </row>
    <row r="167" ht="18.75" customHeight="1">
      <c r="A167" s="7" t="s">
        <v>3832</v>
      </c>
      <c r="B167" s="7">
        <v>0.0</v>
      </c>
      <c r="C167" s="7">
        <v>0.0</v>
      </c>
      <c r="D167" s="7">
        <v>0.0</v>
      </c>
      <c r="E167" s="7">
        <v>0.0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</row>
    <row r="168" ht="18.75" customHeight="1">
      <c r="A168" s="7" t="s">
        <v>2579</v>
      </c>
      <c r="B168" s="7">
        <v>235.0</v>
      </c>
      <c r="C168" s="7">
        <v>233.0</v>
      </c>
      <c r="D168" s="7">
        <v>116.0</v>
      </c>
      <c r="E168" s="7">
        <v>108.0</v>
      </c>
      <c r="F168" s="14"/>
      <c r="G168" s="15"/>
      <c r="H168" s="15"/>
      <c r="I168" s="14"/>
      <c r="J168" s="14"/>
      <c r="K168" s="14"/>
      <c r="L168" s="14"/>
      <c r="M168" s="14"/>
      <c r="N168" s="14"/>
      <c r="O168" s="14"/>
    </row>
    <row r="169" ht="18.75" customHeight="1">
      <c r="A169" s="7" t="s">
        <v>2582</v>
      </c>
      <c r="B169" s="7">
        <v>11541.0</v>
      </c>
      <c r="C169" s="7">
        <v>9753.0</v>
      </c>
      <c r="D169" s="7">
        <v>4219.0</v>
      </c>
      <c r="E169" s="7">
        <v>2536.0</v>
      </c>
      <c r="F169" s="14"/>
      <c r="G169" s="15"/>
      <c r="H169" s="15"/>
      <c r="I169" s="14"/>
      <c r="J169" s="14"/>
      <c r="K169" s="14"/>
      <c r="L169" s="14"/>
      <c r="M169" s="14"/>
      <c r="N169" s="14"/>
      <c r="O169" s="14"/>
    </row>
    <row r="170" ht="18.75" customHeight="1">
      <c r="A170" s="7" t="s">
        <v>2582</v>
      </c>
      <c r="B170" s="7">
        <v>383.0</v>
      </c>
      <c r="C170" s="7">
        <v>383.0</v>
      </c>
      <c r="D170" s="7">
        <v>253.0</v>
      </c>
      <c r="E170" s="7">
        <v>201.0</v>
      </c>
      <c r="F170" s="14"/>
      <c r="G170" s="15"/>
      <c r="H170" s="15"/>
      <c r="I170" s="14"/>
      <c r="J170" s="14"/>
      <c r="K170" s="14"/>
      <c r="L170" s="14"/>
      <c r="M170" s="14"/>
      <c r="N170" s="14"/>
      <c r="O170" s="14"/>
    </row>
    <row r="171" ht="18.75" customHeight="1">
      <c r="A171" s="7" t="s">
        <v>2570</v>
      </c>
      <c r="B171" s="7">
        <v>104.0</v>
      </c>
      <c r="C171" s="7">
        <v>104.0</v>
      </c>
      <c r="D171" s="7">
        <v>78.0</v>
      </c>
      <c r="E171" s="7">
        <v>61.0</v>
      </c>
      <c r="F171" s="14"/>
      <c r="G171" s="15"/>
      <c r="H171" s="15"/>
      <c r="I171" s="14"/>
      <c r="J171" s="14"/>
      <c r="K171" s="14"/>
      <c r="L171" s="14"/>
      <c r="M171" s="14"/>
      <c r="N171" s="14"/>
      <c r="O171" s="14"/>
    </row>
    <row r="172" ht="18.75" customHeight="1">
      <c r="A172" s="7" t="s">
        <v>2584</v>
      </c>
      <c r="B172" s="7">
        <v>163.0</v>
      </c>
      <c r="C172" s="7">
        <v>163.0</v>
      </c>
      <c r="D172" s="7">
        <v>114.0</v>
      </c>
      <c r="E172" s="7">
        <v>68.0</v>
      </c>
      <c r="F172" s="14"/>
      <c r="G172" s="15"/>
      <c r="H172" s="15"/>
      <c r="I172" s="14"/>
      <c r="J172" s="14"/>
      <c r="K172" s="14"/>
      <c r="L172" s="14"/>
      <c r="M172" s="14"/>
      <c r="N172" s="14"/>
      <c r="O172" s="14"/>
    </row>
    <row r="173" ht="18.75" customHeight="1">
      <c r="A173" s="7" t="s">
        <v>3831</v>
      </c>
      <c r="B173" s="7">
        <v>2500.0</v>
      </c>
      <c r="C173" s="7">
        <v>2368.0</v>
      </c>
      <c r="D173" s="7">
        <v>742.0</v>
      </c>
      <c r="E173" s="7">
        <v>533.0</v>
      </c>
      <c r="F173" s="14"/>
      <c r="G173" s="15"/>
      <c r="H173" s="15"/>
      <c r="I173" s="14"/>
      <c r="J173" s="14"/>
      <c r="K173" s="14"/>
      <c r="L173" s="14"/>
      <c r="M173" s="14"/>
      <c r="N173" s="14"/>
      <c r="O173" s="14"/>
    </row>
    <row r="174" ht="18.75" customHeight="1">
      <c r="A174" s="7" t="s">
        <v>2589</v>
      </c>
      <c r="B174" s="7">
        <v>17499.0</v>
      </c>
      <c r="C174" s="7">
        <v>17499.0</v>
      </c>
      <c r="D174" s="7">
        <v>9263.0</v>
      </c>
      <c r="E174" s="7">
        <v>4203.0</v>
      </c>
      <c r="F174" s="14"/>
      <c r="G174" s="15"/>
      <c r="H174" s="15"/>
      <c r="I174" s="14"/>
      <c r="J174" s="14"/>
      <c r="K174" s="14"/>
      <c r="L174" s="14"/>
      <c r="M174" s="14"/>
      <c r="N174" s="14"/>
      <c r="O174" s="14"/>
    </row>
    <row r="175" ht="18.75" customHeight="1">
      <c r="A175" s="7" t="s">
        <v>2589</v>
      </c>
      <c r="B175" s="7">
        <v>1779.0</v>
      </c>
      <c r="C175" s="7">
        <v>1779.0</v>
      </c>
      <c r="D175" s="7">
        <v>800.0</v>
      </c>
      <c r="E175" s="7">
        <v>765.0</v>
      </c>
      <c r="F175" s="14"/>
      <c r="G175" s="15"/>
      <c r="H175" s="15"/>
      <c r="I175" s="14"/>
      <c r="J175" s="14"/>
      <c r="K175" s="14"/>
      <c r="L175" s="14"/>
      <c r="M175" s="14"/>
      <c r="N175" s="14"/>
      <c r="O175" s="14"/>
    </row>
    <row r="176" ht="18.75" customHeight="1">
      <c r="A176" s="7" t="s">
        <v>2588</v>
      </c>
      <c r="B176" s="7">
        <v>7600.0</v>
      </c>
      <c r="C176" s="7">
        <v>7375.0</v>
      </c>
      <c r="D176" s="7">
        <v>2863.0</v>
      </c>
      <c r="E176" s="7">
        <v>1731.0</v>
      </c>
      <c r="F176" s="14"/>
      <c r="G176" s="15"/>
      <c r="H176" s="15"/>
      <c r="I176" s="14"/>
      <c r="J176" s="14"/>
      <c r="K176" s="14"/>
      <c r="L176" s="14"/>
      <c r="M176" s="14"/>
      <c r="N176" s="14"/>
      <c r="O176" s="14"/>
    </row>
    <row r="177" ht="18.75" customHeight="1">
      <c r="A177" s="7" t="s">
        <v>2588</v>
      </c>
      <c r="B177" s="7">
        <v>442.0</v>
      </c>
      <c r="C177" s="7">
        <v>442.0</v>
      </c>
      <c r="D177" s="7">
        <v>234.0</v>
      </c>
      <c r="E177" s="7">
        <v>224.0</v>
      </c>
      <c r="F177" s="14"/>
      <c r="G177" s="15"/>
      <c r="H177" s="15"/>
      <c r="I177" s="14"/>
      <c r="J177" s="14"/>
      <c r="K177" s="14"/>
      <c r="L177" s="14"/>
      <c r="M177" s="14"/>
      <c r="N177" s="14"/>
      <c r="O177" s="14"/>
    </row>
    <row r="178" ht="18.75" customHeight="1">
      <c r="A178" s="7" t="s">
        <v>2591</v>
      </c>
      <c r="B178" s="7">
        <v>31.0</v>
      </c>
      <c r="C178" s="7">
        <v>31.0</v>
      </c>
      <c r="D178" s="7">
        <v>21.0</v>
      </c>
      <c r="E178" s="7">
        <v>12.0</v>
      </c>
      <c r="F178" s="14"/>
      <c r="G178" s="15"/>
      <c r="H178" s="15"/>
      <c r="I178" s="14"/>
      <c r="J178" s="14"/>
      <c r="K178" s="14"/>
      <c r="L178" s="14"/>
      <c r="M178" s="14"/>
      <c r="N178" s="14"/>
      <c r="O178" s="14"/>
    </row>
    <row r="179" ht="18.75" customHeight="1">
      <c r="A179" s="7" t="s">
        <v>2604</v>
      </c>
      <c r="B179" s="7">
        <v>63.0</v>
      </c>
      <c r="C179" s="7">
        <v>62.0</v>
      </c>
      <c r="D179" s="7">
        <v>30.0</v>
      </c>
      <c r="E179" s="7">
        <v>28.0</v>
      </c>
      <c r="F179" s="14"/>
      <c r="G179" s="15"/>
      <c r="H179" s="15"/>
      <c r="I179" s="14"/>
      <c r="J179" s="14"/>
      <c r="K179" s="14"/>
      <c r="L179" s="14"/>
      <c r="M179" s="14"/>
      <c r="N179" s="14"/>
      <c r="O179" s="14"/>
    </row>
    <row r="180" ht="18.75" customHeight="1">
      <c r="A180" s="7" t="s">
        <v>2601</v>
      </c>
      <c r="B180" s="7">
        <v>6200.0</v>
      </c>
      <c r="C180" s="7">
        <v>6067.0</v>
      </c>
      <c r="D180" s="7">
        <v>2249.0</v>
      </c>
      <c r="E180" s="7">
        <v>1383.0</v>
      </c>
      <c r="F180" s="14"/>
      <c r="G180" s="15"/>
      <c r="H180" s="15"/>
      <c r="I180" s="14"/>
      <c r="J180" s="14"/>
      <c r="K180" s="14"/>
      <c r="L180" s="14"/>
      <c r="M180" s="14"/>
      <c r="N180" s="14"/>
      <c r="O180" s="14"/>
    </row>
    <row r="181" ht="18.75" customHeight="1">
      <c r="A181" s="7" t="s">
        <v>2601</v>
      </c>
      <c r="B181" s="7">
        <v>308.0</v>
      </c>
      <c r="C181" s="7">
        <v>308.0</v>
      </c>
      <c r="D181" s="7">
        <v>133.0</v>
      </c>
      <c r="E181" s="7">
        <v>116.0</v>
      </c>
      <c r="F181" s="14"/>
      <c r="G181" s="15"/>
      <c r="H181" s="15"/>
      <c r="I181" s="14"/>
      <c r="J181" s="14"/>
      <c r="K181" s="14"/>
      <c r="L181" s="14"/>
      <c r="M181" s="14"/>
      <c r="N181" s="14"/>
      <c r="O181" s="14"/>
    </row>
    <row r="182" ht="18.75" customHeight="1">
      <c r="A182" s="7" t="s">
        <v>2603</v>
      </c>
      <c r="B182" s="7">
        <v>201.0</v>
      </c>
      <c r="C182" s="7">
        <v>192.0</v>
      </c>
      <c r="D182" s="7">
        <v>108.0</v>
      </c>
      <c r="E182" s="7">
        <v>105.0</v>
      </c>
      <c r="F182" s="14"/>
      <c r="G182" s="15"/>
      <c r="H182" s="15"/>
      <c r="I182" s="14"/>
      <c r="J182" s="14"/>
      <c r="K182" s="14"/>
      <c r="L182" s="14"/>
      <c r="M182" s="14"/>
      <c r="N182" s="14"/>
      <c r="O182" s="14"/>
    </row>
    <row r="183" ht="18.75" customHeight="1">
      <c r="A183" s="7" t="s">
        <v>2608</v>
      </c>
      <c r="B183" s="7">
        <v>5622.0</v>
      </c>
      <c r="C183" s="7">
        <v>5622.0</v>
      </c>
      <c r="D183" s="7">
        <v>3122.0</v>
      </c>
      <c r="E183" s="7">
        <v>1315.0</v>
      </c>
      <c r="F183" s="14"/>
      <c r="G183" s="15"/>
      <c r="H183" s="15"/>
      <c r="I183" s="14"/>
      <c r="J183" s="14"/>
      <c r="K183" s="14"/>
      <c r="L183" s="14"/>
      <c r="M183" s="14"/>
      <c r="N183" s="14"/>
      <c r="O183" s="14"/>
    </row>
    <row r="184" ht="18.75" customHeight="1">
      <c r="A184" s="7" t="s">
        <v>2608</v>
      </c>
      <c r="B184" s="7">
        <v>217.0</v>
      </c>
      <c r="C184" s="7">
        <v>217.0</v>
      </c>
      <c r="D184" s="7">
        <v>149.0</v>
      </c>
      <c r="E184" s="7">
        <v>118.0</v>
      </c>
      <c r="F184" s="14"/>
      <c r="G184" s="15"/>
      <c r="H184" s="15"/>
      <c r="I184" s="14"/>
      <c r="J184" s="14"/>
      <c r="K184" s="14"/>
      <c r="L184" s="14"/>
      <c r="M184" s="14"/>
      <c r="N184" s="14"/>
      <c r="O184" s="14"/>
    </row>
    <row r="185" ht="18.75" customHeight="1">
      <c r="A185" s="7" t="s">
        <v>3833</v>
      </c>
      <c r="B185" s="7">
        <v>4528.0</v>
      </c>
      <c r="C185" s="7">
        <v>3009.0</v>
      </c>
      <c r="D185" s="7">
        <v>1612.0</v>
      </c>
      <c r="E185" s="7">
        <v>866.0</v>
      </c>
      <c r="F185" s="14"/>
      <c r="G185" s="15"/>
      <c r="H185" s="15"/>
      <c r="I185" s="14"/>
      <c r="J185" s="14"/>
      <c r="K185" s="14"/>
      <c r="L185" s="14"/>
      <c r="M185" s="14"/>
      <c r="N185" s="14"/>
      <c r="O185" s="14"/>
    </row>
    <row r="186" ht="18.75" customHeight="1">
      <c r="A186" s="7" t="s">
        <v>3833</v>
      </c>
      <c r="B186" s="7">
        <v>38.0</v>
      </c>
      <c r="C186" s="7">
        <v>38.0</v>
      </c>
      <c r="D186" s="7">
        <v>25.0</v>
      </c>
      <c r="E186" s="7">
        <v>23.0</v>
      </c>
      <c r="F186" s="14"/>
      <c r="G186" s="15"/>
      <c r="H186" s="15"/>
      <c r="I186" s="14"/>
      <c r="J186" s="14"/>
      <c r="K186" s="14"/>
      <c r="L186" s="14"/>
      <c r="M186" s="14"/>
      <c r="N186" s="14"/>
      <c r="O186" s="14"/>
    </row>
    <row r="187" ht="18.75" customHeight="1">
      <c r="A187" s="7" t="s">
        <v>2611</v>
      </c>
      <c r="B187" s="7">
        <v>45.0</v>
      </c>
      <c r="C187" s="7">
        <v>45.0</v>
      </c>
      <c r="D187" s="7">
        <v>32.0</v>
      </c>
      <c r="E187" s="7">
        <v>22.0</v>
      </c>
      <c r="F187" s="14"/>
      <c r="G187" s="15"/>
      <c r="H187" s="15"/>
      <c r="I187" s="14"/>
      <c r="J187" s="14"/>
      <c r="K187" s="14"/>
      <c r="L187" s="14"/>
      <c r="M187" s="14"/>
      <c r="N187" s="14"/>
      <c r="O187" s="14"/>
    </row>
    <row r="188" ht="18.75" customHeight="1">
      <c r="A188" s="7" t="s">
        <v>2616</v>
      </c>
      <c r="B188" s="7">
        <v>667.0</v>
      </c>
      <c r="C188" s="7">
        <v>132.0</v>
      </c>
      <c r="D188" s="7">
        <v>77.0</v>
      </c>
      <c r="E188" s="7">
        <v>71.0</v>
      </c>
      <c r="F188" s="14"/>
      <c r="G188" s="15"/>
      <c r="H188" s="15"/>
      <c r="I188" s="14"/>
      <c r="J188" s="14"/>
      <c r="K188" s="14"/>
      <c r="L188" s="14"/>
      <c r="M188" s="14"/>
      <c r="N188" s="14"/>
      <c r="O188" s="14"/>
    </row>
    <row r="189" ht="18.75" customHeight="1">
      <c r="A189" s="7" t="s">
        <v>2604</v>
      </c>
      <c r="B189" s="7">
        <v>4700.0</v>
      </c>
      <c r="C189" s="7">
        <v>3688.0</v>
      </c>
      <c r="D189" s="7">
        <v>1822.0</v>
      </c>
      <c r="E189" s="7">
        <v>1009.0</v>
      </c>
      <c r="F189" s="14"/>
      <c r="G189" s="15"/>
      <c r="H189" s="15"/>
      <c r="I189" s="14"/>
      <c r="J189" s="14"/>
      <c r="K189" s="14"/>
      <c r="L189" s="14"/>
      <c r="M189" s="14"/>
      <c r="N189" s="14"/>
      <c r="O189" s="14"/>
    </row>
    <row r="190" ht="18.75" customHeight="1">
      <c r="A190" s="7" t="s">
        <v>2625</v>
      </c>
      <c r="B190" s="7">
        <v>11650.0</v>
      </c>
      <c r="C190" s="7">
        <v>11650.0</v>
      </c>
      <c r="D190" s="7">
        <v>5918.0</v>
      </c>
      <c r="E190" s="7">
        <v>2437.0</v>
      </c>
      <c r="F190" s="14"/>
      <c r="G190" s="15"/>
      <c r="H190" s="15"/>
      <c r="I190" s="14"/>
      <c r="J190" s="14"/>
      <c r="K190" s="14"/>
      <c r="L190" s="14"/>
      <c r="M190" s="14"/>
      <c r="N190" s="14"/>
      <c r="O190" s="14"/>
    </row>
    <row r="191" ht="18.75" customHeight="1">
      <c r="A191" s="7" t="s">
        <v>2625</v>
      </c>
      <c r="B191" s="7">
        <v>234.0</v>
      </c>
      <c r="C191" s="7">
        <v>234.0</v>
      </c>
      <c r="D191" s="7">
        <v>215.0</v>
      </c>
      <c r="E191" s="7">
        <v>126.0</v>
      </c>
      <c r="F191" s="14"/>
      <c r="G191" s="15"/>
      <c r="H191" s="15"/>
      <c r="I191" s="14"/>
      <c r="J191" s="14"/>
      <c r="K191" s="14"/>
      <c r="L191" s="14"/>
      <c r="M191" s="14"/>
      <c r="N191" s="14"/>
      <c r="O191" s="14"/>
    </row>
    <row r="192" ht="18.75" customHeight="1">
      <c r="A192" s="7" t="s">
        <v>2598</v>
      </c>
      <c r="B192" s="7">
        <v>420.0</v>
      </c>
      <c r="C192" s="7">
        <v>186.0</v>
      </c>
      <c r="D192" s="7">
        <v>96.0</v>
      </c>
      <c r="E192" s="7">
        <v>89.0</v>
      </c>
      <c r="F192" s="14"/>
      <c r="G192" s="15"/>
      <c r="H192" s="15"/>
      <c r="I192" s="14"/>
      <c r="J192" s="14"/>
      <c r="K192" s="14"/>
      <c r="L192" s="14"/>
      <c r="M192" s="14"/>
      <c r="N192" s="14"/>
      <c r="O192" s="14"/>
    </row>
    <row r="193" ht="18.75" customHeight="1">
      <c r="A193" s="7" t="s">
        <v>3833</v>
      </c>
      <c r="B193" s="7">
        <v>125.0</v>
      </c>
      <c r="C193" s="7">
        <v>125.0</v>
      </c>
      <c r="D193" s="7">
        <v>98.0</v>
      </c>
      <c r="E193" s="7">
        <v>81.0</v>
      </c>
      <c r="F193" s="14"/>
      <c r="G193" s="15"/>
      <c r="H193" s="15"/>
      <c r="I193" s="14"/>
      <c r="J193" s="14"/>
      <c r="K193" s="14"/>
      <c r="L193" s="14"/>
      <c r="M193" s="14"/>
      <c r="N193" s="14"/>
      <c r="O193" s="14"/>
    </row>
    <row r="194" ht="18.75" customHeight="1">
      <c r="A194" s="7" t="s">
        <v>2624</v>
      </c>
      <c r="B194" s="7">
        <v>61.0</v>
      </c>
      <c r="C194" s="7">
        <v>60.0</v>
      </c>
      <c r="D194" s="7">
        <v>29.0</v>
      </c>
      <c r="E194" s="7">
        <v>27.0</v>
      </c>
      <c r="F194" s="14"/>
      <c r="G194" s="15"/>
      <c r="H194" s="15"/>
      <c r="I194" s="14"/>
      <c r="J194" s="14"/>
      <c r="K194" s="14"/>
      <c r="L194" s="14"/>
      <c r="M194" s="14"/>
      <c r="N194" s="14"/>
      <c r="O194" s="14"/>
    </row>
    <row r="195" ht="18.75" customHeight="1">
      <c r="A195" s="7" t="s">
        <v>2618</v>
      </c>
      <c r="B195" s="7">
        <v>135.0</v>
      </c>
      <c r="C195" s="7">
        <v>51.0</v>
      </c>
      <c r="D195" s="7">
        <v>36.0</v>
      </c>
      <c r="E195" s="7">
        <v>34.0</v>
      </c>
      <c r="F195" s="14"/>
      <c r="G195" s="15"/>
      <c r="H195" s="15"/>
      <c r="I195" s="14"/>
      <c r="J195" s="14"/>
      <c r="K195" s="14"/>
      <c r="L195" s="14"/>
      <c r="M195" s="14"/>
      <c r="N195" s="14"/>
      <c r="O195" s="14"/>
    </row>
    <row r="196" ht="18.75" customHeight="1">
      <c r="A196" s="7" t="s">
        <v>3834</v>
      </c>
      <c r="B196" s="7">
        <v>0.0</v>
      </c>
      <c r="C196" s="7">
        <v>0.0</v>
      </c>
      <c r="D196" s="7">
        <v>0.0</v>
      </c>
      <c r="E196" s="7">
        <v>0.0</v>
      </c>
      <c r="F196" s="14"/>
      <c r="H196" s="14"/>
      <c r="I196" s="14"/>
      <c r="J196" s="14"/>
      <c r="K196" s="14"/>
      <c r="L196" s="14"/>
      <c r="M196" s="14"/>
      <c r="N196" s="14"/>
      <c r="O196" s="14"/>
    </row>
    <row r="197" ht="18.75" customHeight="1">
      <c r="A197" s="7" t="s">
        <v>2614</v>
      </c>
      <c r="B197" s="7">
        <v>4700.0</v>
      </c>
      <c r="C197" s="7">
        <v>4700.0</v>
      </c>
      <c r="D197" s="7">
        <v>1060.0</v>
      </c>
      <c r="E197" s="7">
        <v>861.0</v>
      </c>
      <c r="F197" s="14"/>
      <c r="G197" s="15"/>
      <c r="H197" s="15"/>
      <c r="I197" s="14"/>
      <c r="J197" s="14"/>
      <c r="K197" s="14"/>
      <c r="L197" s="14"/>
      <c r="M197" s="14"/>
      <c r="N197" s="14"/>
      <c r="O197" s="14"/>
    </row>
    <row r="198" ht="18.75" customHeight="1">
      <c r="A198" s="7" t="s">
        <v>2614</v>
      </c>
      <c r="B198" s="7">
        <v>0.0</v>
      </c>
      <c r="C198" s="7">
        <v>0.0</v>
      </c>
      <c r="D198" s="7">
        <v>0.0</v>
      </c>
      <c r="E198" s="7">
        <v>0.0</v>
      </c>
      <c r="F198" s="14"/>
      <c r="H198" s="14"/>
      <c r="I198" s="14"/>
      <c r="J198" s="14"/>
      <c r="K198" s="14"/>
      <c r="L198" s="14"/>
      <c r="M198" s="14"/>
      <c r="N198" s="14"/>
      <c r="O198" s="14"/>
    </row>
    <row r="199" ht="18.75" customHeight="1">
      <c r="A199" s="7" t="s">
        <v>2617</v>
      </c>
      <c r="B199" s="7">
        <v>86.0</v>
      </c>
      <c r="C199" s="7">
        <v>70.0</v>
      </c>
      <c r="D199" s="7">
        <v>46.0</v>
      </c>
      <c r="E199" s="7">
        <v>45.0</v>
      </c>
      <c r="F199" s="14"/>
      <c r="G199" s="15"/>
      <c r="H199" s="15"/>
      <c r="I199" s="14"/>
      <c r="J199" s="14"/>
      <c r="K199" s="14"/>
      <c r="L199" s="14"/>
      <c r="M199" s="14"/>
      <c r="N199" s="14"/>
      <c r="O199" s="14"/>
    </row>
    <row r="200" ht="18.75" customHeight="1">
      <c r="A200" s="7" t="s">
        <v>2619</v>
      </c>
      <c r="B200" s="7">
        <v>126.0</v>
      </c>
      <c r="C200" s="7">
        <v>126.0</v>
      </c>
      <c r="D200" s="7">
        <v>109.0</v>
      </c>
      <c r="E200" s="7">
        <v>75.0</v>
      </c>
      <c r="F200" s="14"/>
      <c r="G200" s="15"/>
      <c r="H200" s="15"/>
      <c r="I200" s="14"/>
      <c r="J200" s="14"/>
      <c r="K200" s="14"/>
      <c r="L200" s="14"/>
      <c r="M200" s="14"/>
      <c r="N200" s="14"/>
      <c r="O200" s="14"/>
    </row>
    <row r="201" ht="18.75" customHeight="1">
      <c r="A201" s="7" t="s">
        <v>2619</v>
      </c>
      <c r="B201" s="7">
        <v>0.0</v>
      </c>
      <c r="C201" s="7">
        <v>0.0</v>
      </c>
      <c r="D201" s="7">
        <v>0.0</v>
      </c>
      <c r="E201" s="7">
        <v>0.0</v>
      </c>
      <c r="F201" s="14"/>
      <c r="H201" s="14"/>
      <c r="I201" s="14"/>
      <c r="J201" s="14"/>
      <c r="K201" s="14"/>
      <c r="L201" s="14"/>
      <c r="M201" s="14"/>
      <c r="N201" s="14"/>
      <c r="O201" s="14"/>
    </row>
    <row r="202" ht="18.75" customHeight="1">
      <c r="A202" s="7" t="s">
        <v>2633</v>
      </c>
      <c r="B202" s="7">
        <v>7000.0</v>
      </c>
      <c r="C202" s="7">
        <v>7000.0</v>
      </c>
      <c r="D202" s="7">
        <v>2678.0</v>
      </c>
      <c r="E202" s="7">
        <v>1355.0</v>
      </c>
      <c r="F202" s="14"/>
      <c r="G202" s="15"/>
      <c r="H202" s="15"/>
      <c r="I202" s="14"/>
      <c r="J202" s="14"/>
      <c r="K202" s="14"/>
      <c r="L202" s="14"/>
      <c r="M202" s="14"/>
      <c r="N202" s="14"/>
      <c r="O202" s="14"/>
    </row>
    <row r="203" ht="18.75" customHeight="1">
      <c r="A203" s="7" t="s">
        <v>2633</v>
      </c>
      <c r="B203" s="7">
        <v>246.0</v>
      </c>
      <c r="C203" s="7">
        <v>246.0</v>
      </c>
      <c r="D203" s="7">
        <v>182.0</v>
      </c>
      <c r="E203" s="7">
        <v>96.0</v>
      </c>
      <c r="F203" s="14"/>
      <c r="G203" s="15"/>
      <c r="H203" s="15"/>
      <c r="I203" s="14"/>
      <c r="J203" s="14"/>
      <c r="K203" s="14"/>
      <c r="L203" s="14"/>
      <c r="M203" s="14"/>
      <c r="N203" s="14"/>
      <c r="O203" s="14"/>
    </row>
    <row r="204" ht="18.75" customHeight="1">
      <c r="A204" s="7" t="s">
        <v>2642</v>
      </c>
      <c r="B204" s="7">
        <v>14640.0</v>
      </c>
      <c r="C204" s="7">
        <v>14419.0</v>
      </c>
      <c r="D204" s="7">
        <v>6706.0</v>
      </c>
      <c r="E204" s="7">
        <v>3096.0</v>
      </c>
      <c r="F204" s="14"/>
      <c r="G204" s="15"/>
      <c r="H204" s="15"/>
      <c r="I204" s="14"/>
      <c r="J204" s="14"/>
      <c r="K204" s="14"/>
      <c r="L204" s="14"/>
      <c r="M204" s="14"/>
      <c r="N204" s="14"/>
      <c r="O204" s="14"/>
    </row>
    <row r="205" ht="18.75" customHeight="1">
      <c r="A205" s="7" t="s">
        <v>2642</v>
      </c>
      <c r="B205" s="7">
        <v>279.0</v>
      </c>
      <c r="C205" s="7">
        <v>279.0</v>
      </c>
      <c r="D205" s="7">
        <v>188.0</v>
      </c>
      <c r="E205" s="7">
        <v>133.0</v>
      </c>
      <c r="F205" s="14"/>
      <c r="G205" s="15"/>
      <c r="H205" s="15"/>
      <c r="I205" s="14"/>
      <c r="J205" s="14"/>
      <c r="K205" s="14"/>
      <c r="L205" s="14"/>
      <c r="M205" s="14"/>
      <c r="N205" s="14"/>
      <c r="O205" s="14"/>
    </row>
    <row r="206" ht="18.75" customHeight="1">
      <c r="A206" s="7" t="s">
        <v>2632</v>
      </c>
      <c r="B206" s="7">
        <v>1886.0</v>
      </c>
      <c r="C206" s="7">
        <v>386.0</v>
      </c>
      <c r="D206" s="7">
        <v>186.0</v>
      </c>
      <c r="E206" s="7">
        <v>181.0</v>
      </c>
      <c r="F206" s="14"/>
      <c r="G206" s="15"/>
      <c r="H206" s="15"/>
      <c r="I206" s="14"/>
      <c r="J206" s="14"/>
      <c r="K206" s="14"/>
      <c r="L206" s="14"/>
      <c r="M206" s="14"/>
      <c r="N206" s="14"/>
      <c r="O206" s="14"/>
    </row>
    <row r="207" ht="18.75" customHeight="1">
      <c r="A207" s="7" t="s">
        <v>3835</v>
      </c>
      <c r="B207" s="7">
        <v>8200.0</v>
      </c>
      <c r="C207" s="7">
        <v>6591.0</v>
      </c>
      <c r="D207" s="7">
        <v>2821.0</v>
      </c>
      <c r="E207" s="7">
        <v>1151.0</v>
      </c>
      <c r="F207" s="14"/>
      <c r="G207" s="15"/>
      <c r="H207" s="15"/>
      <c r="I207" s="14"/>
      <c r="J207" s="14"/>
      <c r="K207" s="14"/>
      <c r="L207" s="14"/>
      <c r="M207" s="14"/>
      <c r="N207" s="14"/>
      <c r="O207" s="14"/>
    </row>
    <row r="208" ht="18.75" customHeight="1">
      <c r="A208" s="7" t="s">
        <v>3835</v>
      </c>
      <c r="B208" s="7">
        <v>223.0</v>
      </c>
      <c r="C208" s="7">
        <v>223.0</v>
      </c>
      <c r="D208" s="7">
        <v>180.0</v>
      </c>
      <c r="E208" s="7">
        <v>100.0</v>
      </c>
      <c r="F208" s="14"/>
      <c r="G208" s="15"/>
      <c r="H208" s="15"/>
      <c r="I208" s="14"/>
      <c r="J208" s="14"/>
      <c r="K208" s="14"/>
      <c r="L208" s="14"/>
      <c r="M208" s="14"/>
      <c r="N208" s="14"/>
      <c r="O208" s="14"/>
    </row>
    <row r="209" ht="18.75" customHeight="1">
      <c r="A209" s="7" t="s">
        <v>3836</v>
      </c>
      <c r="B209" s="7">
        <v>3200.0</v>
      </c>
      <c r="C209" s="7">
        <v>2782.0</v>
      </c>
      <c r="D209" s="7">
        <v>1640.0</v>
      </c>
      <c r="E209" s="7">
        <v>485.0</v>
      </c>
      <c r="F209" s="14"/>
      <c r="G209" s="15"/>
      <c r="H209" s="15"/>
      <c r="I209" s="14"/>
      <c r="J209" s="14"/>
      <c r="K209" s="14"/>
      <c r="L209" s="14"/>
      <c r="M209" s="14"/>
      <c r="N209" s="14"/>
      <c r="O209" s="14"/>
    </row>
    <row r="210" ht="18.75" customHeight="1">
      <c r="A210" s="7" t="s">
        <v>3836</v>
      </c>
      <c r="B210" s="7">
        <v>161.0</v>
      </c>
      <c r="C210" s="7">
        <v>161.0</v>
      </c>
      <c r="D210" s="7">
        <v>111.0</v>
      </c>
      <c r="E210" s="7">
        <v>79.0</v>
      </c>
      <c r="F210" s="14"/>
      <c r="G210" s="15"/>
      <c r="H210" s="15"/>
      <c r="I210" s="14"/>
      <c r="J210" s="14"/>
      <c r="K210" s="14"/>
      <c r="L210" s="14"/>
      <c r="M210" s="14"/>
      <c r="N210" s="14"/>
      <c r="O210" s="14"/>
    </row>
    <row r="211" ht="18.75" customHeight="1">
      <c r="A211" s="7" t="s">
        <v>2651</v>
      </c>
      <c r="B211" s="7">
        <v>8050.0</v>
      </c>
      <c r="C211" s="7">
        <v>8049.0</v>
      </c>
      <c r="D211" s="7">
        <v>1970.0</v>
      </c>
      <c r="E211" s="7">
        <v>1477.0</v>
      </c>
      <c r="F211" s="14"/>
      <c r="G211" s="15"/>
      <c r="H211" s="15"/>
      <c r="I211" s="14"/>
      <c r="J211" s="14"/>
      <c r="K211" s="14"/>
      <c r="L211" s="14"/>
      <c r="M211" s="14"/>
      <c r="N211" s="14"/>
      <c r="O211" s="14"/>
    </row>
    <row r="212" ht="18.75" customHeight="1">
      <c r="A212" s="7" t="s">
        <v>2651</v>
      </c>
      <c r="B212" s="7">
        <v>1973.0</v>
      </c>
      <c r="C212" s="7">
        <v>1584.0</v>
      </c>
      <c r="D212" s="7">
        <v>641.0</v>
      </c>
      <c r="E212" s="7">
        <v>602.0</v>
      </c>
      <c r="F212" s="14"/>
      <c r="G212" s="15"/>
      <c r="H212" s="15"/>
      <c r="I212" s="14"/>
      <c r="J212" s="14"/>
      <c r="K212" s="14"/>
      <c r="L212" s="14"/>
      <c r="M212" s="14"/>
      <c r="N212" s="14"/>
      <c r="O212" s="14"/>
    </row>
    <row r="213" ht="18.75" customHeight="1">
      <c r="A213" s="7" t="s">
        <v>2648</v>
      </c>
      <c r="B213" s="7">
        <v>5200.0</v>
      </c>
      <c r="C213" s="7">
        <v>5200.0</v>
      </c>
      <c r="D213" s="7">
        <v>3025.0</v>
      </c>
      <c r="E213" s="7">
        <v>1059.0</v>
      </c>
      <c r="F213" s="14"/>
      <c r="G213" s="15"/>
      <c r="H213" s="15"/>
      <c r="I213" s="14"/>
      <c r="J213" s="14"/>
      <c r="K213" s="14"/>
      <c r="L213" s="14"/>
      <c r="M213" s="14"/>
      <c r="N213" s="14"/>
      <c r="O213" s="14"/>
    </row>
    <row r="214" ht="18.75" customHeight="1">
      <c r="A214" s="7" t="s">
        <v>2648</v>
      </c>
      <c r="B214" s="7">
        <v>120.0</v>
      </c>
      <c r="C214" s="7">
        <v>120.0</v>
      </c>
      <c r="D214" s="7">
        <v>65.0</v>
      </c>
      <c r="E214" s="7">
        <v>58.0</v>
      </c>
      <c r="F214" s="14"/>
      <c r="G214" s="15"/>
      <c r="H214" s="15"/>
      <c r="I214" s="14"/>
      <c r="J214" s="14"/>
      <c r="K214" s="14"/>
      <c r="L214" s="14"/>
      <c r="M214" s="14"/>
      <c r="N214" s="14"/>
      <c r="O214" s="14"/>
    </row>
    <row r="215" ht="18.75" customHeight="1">
      <c r="A215" s="7" t="s">
        <v>2646</v>
      </c>
      <c r="B215" s="7">
        <v>3400.0</v>
      </c>
      <c r="C215" s="7">
        <v>3369.0</v>
      </c>
      <c r="D215" s="7">
        <v>1825.0</v>
      </c>
      <c r="E215" s="7">
        <v>613.0</v>
      </c>
      <c r="F215" s="14"/>
      <c r="G215" s="15"/>
      <c r="H215" s="15"/>
      <c r="I215" s="14"/>
      <c r="J215" s="14"/>
      <c r="K215" s="14"/>
      <c r="L215" s="14"/>
      <c r="M215" s="14"/>
      <c r="N215" s="14"/>
      <c r="O215" s="14"/>
    </row>
    <row r="216" ht="18.75" customHeight="1">
      <c r="A216" s="7" t="s">
        <v>2646</v>
      </c>
      <c r="B216" s="7">
        <v>178.0</v>
      </c>
      <c r="C216" s="7">
        <v>178.0</v>
      </c>
      <c r="D216" s="7">
        <v>112.0</v>
      </c>
      <c r="E216" s="7">
        <v>106.0</v>
      </c>
      <c r="F216" s="14"/>
      <c r="G216" s="15"/>
      <c r="H216" s="15"/>
      <c r="I216" s="14"/>
      <c r="J216" s="14"/>
      <c r="K216" s="14"/>
      <c r="L216" s="14"/>
      <c r="M216" s="14"/>
      <c r="N216" s="14"/>
      <c r="O216" s="14"/>
    </row>
    <row r="217" ht="18.75" customHeight="1">
      <c r="A217" s="7" t="s">
        <v>2633</v>
      </c>
      <c r="B217" s="7">
        <v>0.0</v>
      </c>
      <c r="C217" s="7">
        <v>0.0</v>
      </c>
      <c r="D217" s="7">
        <v>0.0</v>
      </c>
      <c r="E217" s="7">
        <v>0.0</v>
      </c>
      <c r="F217" s="14"/>
      <c r="G217" s="15"/>
      <c r="H217" s="15"/>
      <c r="I217" s="14"/>
      <c r="J217" s="14"/>
      <c r="K217" s="14"/>
      <c r="L217" s="14"/>
      <c r="M217" s="14"/>
      <c r="N217" s="14"/>
      <c r="O217" s="14"/>
    </row>
    <row r="218" ht="18.75" customHeight="1">
      <c r="A218" s="7" t="s">
        <v>2660</v>
      </c>
      <c r="B218" s="7">
        <v>0.0</v>
      </c>
      <c r="C218" s="7">
        <v>0.0</v>
      </c>
      <c r="D218" s="7">
        <v>0.0</v>
      </c>
      <c r="E218" s="7">
        <v>0.0</v>
      </c>
      <c r="F218" s="14"/>
      <c r="G218" s="15"/>
      <c r="H218" s="14"/>
      <c r="I218" s="14"/>
      <c r="J218" s="14"/>
      <c r="K218" s="14"/>
      <c r="L218" s="14"/>
      <c r="M218" s="14"/>
      <c r="N218" s="14"/>
      <c r="O218" s="14"/>
    </row>
    <row r="219" ht="18.75" customHeight="1">
      <c r="A219" s="7" t="s">
        <v>2650</v>
      </c>
      <c r="B219" s="7">
        <v>449.0</v>
      </c>
      <c r="C219" s="7">
        <v>449.0</v>
      </c>
      <c r="D219" s="7">
        <v>377.0</v>
      </c>
      <c r="E219" s="7">
        <v>329.0</v>
      </c>
      <c r="F219" s="14"/>
      <c r="G219" s="15"/>
      <c r="H219" s="15"/>
      <c r="I219" s="14"/>
      <c r="J219" s="14"/>
      <c r="K219" s="14"/>
      <c r="L219" s="14"/>
      <c r="M219" s="14"/>
      <c r="N219" s="14"/>
      <c r="O219" s="14"/>
    </row>
    <row r="220" ht="18.75" customHeight="1">
      <c r="A220" s="7" t="s">
        <v>2649</v>
      </c>
      <c r="B220" s="7">
        <v>6325.0</v>
      </c>
      <c r="C220" s="7">
        <v>2719.0</v>
      </c>
      <c r="D220" s="7">
        <v>1542.0</v>
      </c>
      <c r="E220" s="7">
        <v>652.0</v>
      </c>
      <c r="F220" s="14"/>
      <c r="G220" s="15"/>
      <c r="H220" s="15"/>
      <c r="I220" s="14"/>
      <c r="J220" s="14"/>
      <c r="K220" s="14"/>
      <c r="L220" s="14"/>
      <c r="M220" s="14"/>
      <c r="N220" s="14"/>
      <c r="O220" s="14"/>
    </row>
    <row r="221" ht="18.75" customHeight="1">
      <c r="A221" s="7" t="s">
        <v>2649</v>
      </c>
      <c r="B221" s="7">
        <v>178.0</v>
      </c>
      <c r="C221" s="7">
        <v>178.0</v>
      </c>
      <c r="D221" s="7">
        <v>102.0</v>
      </c>
      <c r="E221" s="7">
        <v>89.0</v>
      </c>
      <c r="F221" s="14"/>
      <c r="G221" s="15"/>
      <c r="H221" s="15"/>
      <c r="I221" s="14"/>
      <c r="J221" s="14"/>
      <c r="K221" s="14"/>
      <c r="L221" s="14"/>
      <c r="M221" s="14"/>
      <c r="N221" s="14"/>
      <c r="O221" s="14"/>
    </row>
    <row r="222" ht="18.75" customHeight="1">
      <c r="A222" s="7" t="s">
        <v>3837</v>
      </c>
      <c r="B222" s="7">
        <v>1762.0</v>
      </c>
      <c r="C222" s="7">
        <v>917.0</v>
      </c>
      <c r="D222" s="7">
        <v>444.0</v>
      </c>
      <c r="E222" s="7">
        <v>386.0</v>
      </c>
      <c r="F222" s="14"/>
      <c r="G222" s="15"/>
      <c r="H222" s="15"/>
      <c r="I222" s="14"/>
      <c r="J222" s="14"/>
      <c r="K222" s="14"/>
      <c r="L222" s="14"/>
      <c r="M222" s="14"/>
      <c r="N222" s="14"/>
      <c r="O222" s="14"/>
    </row>
    <row r="223" ht="18.75" customHeight="1">
      <c r="A223" s="7" t="s">
        <v>3838</v>
      </c>
      <c r="B223" s="7">
        <v>0.0</v>
      </c>
      <c r="C223" s="7">
        <v>0.0</v>
      </c>
      <c r="D223" s="7">
        <v>0.0</v>
      </c>
      <c r="E223" s="7">
        <v>0.0</v>
      </c>
      <c r="F223" s="14"/>
      <c r="H223" s="14"/>
      <c r="I223" s="14"/>
      <c r="J223" s="14"/>
      <c r="K223" s="14"/>
      <c r="L223" s="14"/>
      <c r="M223" s="14"/>
      <c r="N223" s="14"/>
      <c r="O223" s="14"/>
    </row>
    <row r="224" ht="18.75" customHeight="1">
      <c r="A224" s="7" t="s">
        <v>2654</v>
      </c>
      <c r="B224" s="7">
        <v>1700.0</v>
      </c>
      <c r="C224" s="7">
        <v>1700.0</v>
      </c>
      <c r="D224" s="7">
        <v>901.0</v>
      </c>
      <c r="E224" s="7">
        <v>309.0</v>
      </c>
      <c r="F224" s="14"/>
      <c r="G224" s="15"/>
      <c r="H224" s="15"/>
      <c r="I224" s="14"/>
      <c r="J224" s="14"/>
      <c r="K224" s="14"/>
      <c r="L224" s="14"/>
      <c r="M224" s="14"/>
      <c r="N224" s="14"/>
      <c r="O224" s="14"/>
    </row>
    <row r="225" ht="18.75" customHeight="1">
      <c r="A225" s="7" t="s">
        <v>2657</v>
      </c>
      <c r="B225" s="7">
        <v>7093.0</v>
      </c>
      <c r="C225" s="7">
        <v>7093.0</v>
      </c>
      <c r="D225" s="7">
        <v>3899.0</v>
      </c>
      <c r="E225" s="7">
        <v>1614.0</v>
      </c>
      <c r="F225" s="14"/>
      <c r="G225" s="15"/>
      <c r="H225" s="15"/>
      <c r="I225" s="14"/>
      <c r="J225" s="14"/>
      <c r="K225" s="14"/>
      <c r="L225" s="14"/>
      <c r="M225" s="14"/>
      <c r="N225" s="14"/>
      <c r="O225" s="14"/>
    </row>
    <row r="226" ht="18.75" customHeight="1">
      <c r="A226" s="7" t="s">
        <v>2657</v>
      </c>
      <c r="B226" s="7">
        <v>269.0</v>
      </c>
      <c r="C226" s="7">
        <v>269.0</v>
      </c>
      <c r="D226" s="7">
        <v>149.0</v>
      </c>
      <c r="E226" s="7">
        <v>124.0</v>
      </c>
      <c r="F226" s="14"/>
      <c r="G226" s="15"/>
      <c r="H226" s="15"/>
      <c r="I226" s="14"/>
      <c r="J226" s="14"/>
      <c r="K226" s="14"/>
      <c r="L226" s="14"/>
      <c r="M226" s="14"/>
      <c r="N226" s="14"/>
      <c r="O226" s="14"/>
    </row>
    <row r="227" ht="18.75" customHeight="1">
      <c r="A227" s="7" t="s">
        <v>2662</v>
      </c>
      <c r="B227" s="7">
        <v>210.0</v>
      </c>
      <c r="C227" s="7">
        <v>208.0</v>
      </c>
      <c r="D227" s="7">
        <v>65.0</v>
      </c>
      <c r="E227" s="7">
        <v>60.0</v>
      </c>
      <c r="F227" s="14"/>
      <c r="G227" s="15"/>
      <c r="H227" s="15"/>
      <c r="I227" s="14"/>
      <c r="J227" s="14"/>
      <c r="K227" s="14"/>
      <c r="L227" s="14"/>
      <c r="M227" s="14"/>
      <c r="N227" s="14"/>
      <c r="O227" s="14"/>
    </row>
    <row r="228" ht="18.75" customHeight="1">
      <c r="A228" s="7" t="s">
        <v>3839</v>
      </c>
      <c r="B228" s="7">
        <v>0.0</v>
      </c>
      <c r="C228" s="7">
        <v>0.0</v>
      </c>
      <c r="D228" s="7">
        <v>0.0</v>
      </c>
      <c r="E228" s="7">
        <v>0.0</v>
      </c>
      <c r="F228" s="14"/>
      <c r="I228" s="14"/>
      <c r="J228" s="14"/>
      <c r="K228" s="14"/>
      <c r="L228" s="14"/>
      <c r="M228" s="14"/>
      <c r="N228" s="14"/>
      <c r="O228" s="14"/>
    </row>
    <row r="229" ht="18.75" customHeight="1">
      <c r="A229" s="7" t="s">
        <v>3839</v>
      </c>
      <c r="B229" s="7">
        <v>88.0</v>
      </c>
      <c r="C229" s="7">
        <v>88.0</v>
      </c>
      <c r="D229" s="7">
        <v>39.0</v>
      </c>
      <c r="E229" s="7">
        <v>39.0</v>
      </c>
      <c r="F229" s="14"/>
      <c r="G229" s="15"/>
      <c r="H229" s="15"/>
      <c r="I229" s="14"/>
      <c r="J229" s="14"/>
      <c r="K229" s="14"/>
      <c r="L229" s="14"/>
      <c r="M229" s="14"/>
      <c r="N229" s="14"/>
      <c r="O229" s="14"/>
    </row>
    <row r="230" ht="18.75" customHeight="1">
      <c r="A230" s="7" t="s">
        <v>2659</v>
      </c>
      <c r="B230" s="7">
        <v>5800.0</v>
      </c>
      <c r="C230" s="7">
        <v>4896.0</v>
      </c>
      <c r="D230" s="7">
        <v>1931.0</v>
      </c>
      <c r="E230" s="7">
        <v>826.0</v>
      </c>
      <c r="F230" s="14"/>
      <c r="G230" s="15"/>
      <c r="H230" s="15"/>
      <c r="I230" s="14"/>
      <c r="J230" s="14"/>
      <c r="K230" s="14"/>
      <c r="L230" s="14"/>
      <c r="M230" s="14"/>
      <c r="N230" s="14"/>
      <c r="O230" s="14"/>
    </row>
    <row r="231" ht="18.75" customHeight="1">
      <c r="A231" s="7" t="s">
        <v>2659</v>
      </c>
      <c r="B231" s="7">
        <v>131.0</v>
      </c>
      <c r="C231" s="7">
        <v>131.0</v>
      </c>
      <c r="D231" s="7">
        <v>55.0</v>
      </c>
      <c r="E231" s="7">
        <v>52.0</v>
      </c>
      <c r="F231" s="14"/>
      <c r="G231" s="15"/>
      <c r="H231" s="15"/>
      <c r="I231" s="14"/>
      <c r="J231" s="14"/>
      <c r="K231" s="14"/>
      <c r="L231" s="14"/>
      <c r="M231" s="14"/>
      <c r="N231" s="14"/>
      <c r="O231" s="14"/>
    </row>
    <row r="232" ht="18.75" customHeight="1">
      <c r="A232" s="7" t="s">
        <v>2661</v>
      </c>
      <c r="B232" s="7">
        <v>9700.0</v>
      </c>
      <c r="C232" s="7">
        <v>9107.0</v>
      </c>
      <c r="D232" s="7">
        <v>2449.0</v>
      </c>
      <c r="E232" s="7">
        <v>1901.0</v>
      </c>
      <c r="F232" s="14"/>
      <c r="G232" s="15"/>
      <c r="H232" s="15"/>
      <c r="I232" s="14"/>
      <c r="J232" s="14"/>
      <c r="K232" s="14"/>
      <c r="L232" s="14"/>
      <c r="M232" s="14"/>
      <c r="N232" s="14"/>
      <c r="O232" s="14"/>
    </row>
    <row r="233" ht="18.75" customHeight="1">
      <c r="A233" s="7" t="s">
        <v>2661</v>
      </c>
      <c r="B233" s="7">
        <v>122.0</v>
      </c>
      <c r="C233" s="7">
        <v>122.0</v>
      </c>
      <c r="D233" s="7">
        <v>44.0</v>
      </c>
      <c r="E233" s="7">
        <v>42.0</v>
      </c>
      <c r="F233" s="14"/>
      <c r="G233" s="15"/>
      <c r="H233" s="15"/>
      <c r="I233" s="14"/>
      <c r="J233" s="14"/>
      <c r="K233" s="14"/>
      <c r="L233" s="14"/>
      <c r="M233" s="14"/>
      <c r="N233" s="14"/>
      <c r="O233" s="14"/>
    </row>
    <row r="234" ht="18.75" customHeight="1">
      <c r="A234" s="7" t="s">
        <v>2669</v>
      </c>
      <c r="B234" s="7">
        <v>0.0</v>
      </c>
      <c r="C234" s="7">
        <v>0.0</v>
      </c>
      <c r="D234" s="7">
        <v>0.0</v>
      </c>
      <c r="E234" s="7">
        <v>0.0</v>
      </c>
      <c r="F234" s="14"/>
      <c r="I234" s="14"/>
      <c r="J234" s="14"/>
      <c r="K234" s="14"/>
      <c r="L234" s="14"/>
      <c r="M234" s="14"/>
      <c r="N234" s="14"/>
      <c r="O234" s="14"/>
    </row>
    <row r="235" ht="18.75" customHeight="1">
      <c r="A235" s="7" t="s">
        <v>2669</v>
      </c>
      <c r="B235" s="7">
        <v>178.0</v>
      </c>
      <c r="C235" s="7">
        <v>178.0</v>
      </c>
      <c r="D235" s="7">
        <v>149.0</v>
      </c>
      <c r="E235" s="7">
        <v>108.0</v>
      </c>
      <c r="F235" s="14"/>
      <c r="G235" s="15"/>
      <c r="H235" s="15"/>
      <c r="I235" s="14"/>
      <c r="J235" s="14"/>
      <c r="K235" s="14"/>
      <c r="L235" s="14"/>
      <c r="M235" s="14"/>
      <c r="N235" s="14"/>
      <c r="O235" s="14"/>
    </row>
    <row r="236" ht="18.75" customHeight="1">
      <c r="A236" s="7" t="s">
        <v>2669</v>
      </c>
      <c r="B236" s="7">
        <v>435.0</v>
      </c>
      <c r="C236" s="7">
        <v>435.0</v>
      </c>
      <c r="D236" s="7">
        <v>331.0</v>
      </c>
      <c r="E236" s="7">
        <v>231.0</v>
      </c>
      <c r="F236" s="14"/>
      <c r="G236" s="15"/>
      <c r="H236" s="15"/>
      <c r="I236" s="14"/>
      <c r="J236" s="14"/>
      <c r="K236" s="14"/>
      <c r="L236" s="14"/>
      <c r="M236" s="14"/>
      <c r="N236" s="14"/>
      <c r="O236" s="14"/>
    </row>
    <row r="237" ht="18.75" customHeight="1">
      <c r="A237" s="7" t="s">
        <v>2669</v>
      </c>
      <c r="B237" s="7">
        <v>164.0</v>
      </c>
      <c r="C237" s="7">
        <v>142.0</v>
      </c>
      <c r="D237" s="7">
        <v>71.0</v>
      </c>
      <c r="E237" s="7">
        <v>67.0</v>
      </c>
      <c r="F237" s="14"/>
      <c r="G237" s="15"/>
      <c r="H237" s="15"/>
      <c r="I237" s="14"/>
      <c r="J237" s="14"/>
      <c r="K237" s="14"/>
      <c r="L237" s="14"/>
      <c r="M237" s="14"/>
      <c r="N237" s="14"/>
      <c r="O237" s="14"/>
    </row>
    <row r="238" ht="18.75" customHeight="1">
      <c r="A238" s="7" t="s">
        <v>3840</v>
      </c>
      <c r="B238" s="7">
        <v>264.0</v>
      </c>
      <c r="C238" s="7">
        <v>121.0</v>
      </c>
      <c r="D238" s="7">
        <v>54.0</v>
      </c>
      <c r="E238" s="7">
        <v>53.0</v>
      </c>
      <c r="F238" s="14"/>
      <c r="G238" s="15"/>
      <c r="H238" s="15"/>
      <c r="I238" s="14"/>
      <c r="J238" s="14"/>
      <c r="K238" s="14"/>
      <c r="L238" s="14"/>
      <c r="M238" s="14"/>
      <c r="N238" s="14"/>
      <c r="O238" s="14"/>
    </row>
    <row r="239" ht="18.75" customHeight="1">
      <c r="A239" s="7" t="s">
        <v>3841</v>
      </c>
      <c r="B239" s="7">
        <v>78.0</v>
      </c>
      <c r="C239" s="7">
        <v>78.0</v>
      </c>
      <c r="D239" s="7">
        <v>33.0</v>
      </c>
      <c r="E239" s="7">
        <v>24.0</v>
      </c>
      <c r="F239" s="14"/>
      <c r="G239" s="15"/>
      <c r="H239" s="15"/>
      <c r="I239" s="14"/>
      <c r="J239" s="14"/>
      <c r="K239" s="14"/>
      <c r="L239" s="14"/>
      <c r="M239" s="14"/>
      <c r="N239" s="14"/>
      <c r="O239" s="14"/>
    </row>
    <row r="240" ht="18.75" customHeight="1">
      <c r="A240" s="7" t="s">
        <v>2674</v>
      </c>
      <c r="B240" s="7">
        <v>28136.0</v>
      </c>
      <c r="C240" s="7">
        <v>24936.0</v>
      </c>
      <c r="D240" s="7">
        <v>7368.0</v>
      </c>
      <c r="E240" s="7">
        <v>5967.0</v>
      </c>
      <c r="F240" s="14"/>
      <c r="G240" s="15"/>
      <c r="H240" s="15"/>
      <c r="I240" s="14"/>
      <c r="J240" s="14"/>
      <c r="K240" s="14"/>
      <c r="L240" s="14"/>
      <c r="M240" s="14"/>
      <c r="N240" s="14"/>
      <c r="O240" s="14"/>
    </row>
    <row r="241" ht="18.75" customHeight="1">
      <c r="A241" s="7" t="s">
        <v>2673</v>
      </c>
      <c r="B241" s="7">
        <v>81.0</v>
      </c>
      <c r="C241" s="7">
        <v>81.0</v>
      </c>
      <c r="D241" s="7">
        <v>34.0</v>
      </c>
      <c r="E241" s="7">
        <v>30.0</v>
      </c>
      <c r="F241" s="14"/>
      <c r="G241" s="15"/>
      <c r="H241" s="15"/>
      <c r="I241" s="14"/>
      <c r="J241" s="14"/>
      <c r="K241" s="14"/>
      <c r="L241" s="14"/>
      <c r="M241" s="14"/>
      <c r="N241" s="14"/>
      <c r="O241" s="14"/>
    </row>
    <row r="242" ht="18.75" customHeight="1">
      <c r="A242" s="7" t="s">
        <v>2662</v>
      </c>
      <c r="B242" s="7">
        <v>53.0</v>
      </c>
      <c r="C242" s="7">
        <v>53.0</v>
      </c>
      <c r="D242" s="7">
        <v>45.0</v>
      </c>
      <c r="E242" s="7">
        <v>40.0</v>
      </c>
      <c r="F242" s="14"/>
      <c r="G242" s="15"/>
      <c r="H242" s="15"/>
      <c r="I242" s="14"/>
      <c r="J242" s="14"/>
      <c r="K242" s="14"/>
      <c r="L242" s="14"/>
      <c r="M242" s="14"/>
      <c r="N242" s="14"/>
      <c r="O242" s="14"/>
    </row>
    <row r="243" ht="18.75" customHeight="1">
      <c r="A243" s="7" t="s">
        <v>2677</v>
      </c>
      <c r="B243" s="7">
        <v>946.0</v>
      </c>
      <c r="C243" s="7">
        <v>946.0</v>
      </c>
      <c r="D243" s="7">
        <v>465.0</v>
      </c>
      <c r="E243" s="7">
        <v>383.0</v>
      </c>
      <c r="F243" s="14"/>
      <c r="G243" s="15"/>
      <c r="H243" s="15"/>
      <c r="I243" s="14"/>
      <c r="J243" s="14"/>
      <c r="K243" s="14"/>
      <c r="L243" s="14"/>
      <c r="M243" s="14"/>
      <c r="N243" s="14"/>
      <c r="O243" s="14"/>
    </row>
    <row r="244" ht="18.75" customHeight="1">
      <c r="A244" s="7" t="s">
        <v>2684</v>
      </c>
      <c r="B244" s="7">
        <v>5300.0</v>
      </c>
      <c r="C244" s="7">
        <v>4797.0</v>
      </c>
      <c r="D244" s="7">
        <v>1370.0</v>
      </c>
      <c r="E244" s="7">
        <v>1152.0</v>
      </c>
      <c r="F244" s="14"/>
      <c r="G244" s="15"/>
      <c r="H244" s="15"/>
      <c r="I244" s="14"/>
      <c r="J244" s="14"/>
      <c r="K244" s="14"/>
      <c r="L244" s="14"/>
      <c r="M244" s="14"/>
      <c r="N244" s="14"/>
      <c r="O244" s="14"/>
    </row>
    <row r="245" ht="18.75" customHeight="1">
      <c r="A245" s="7" t="s">
        <v>2675</v>
      </c>
      <c r="B245" s="7">
        <v>4800.0</v>
      </c>
      <c r="C245" s="7">
        <v>4500.0</v>
      </c>
      <c r="D245" s="7">
        <v>1474.0</v>
      </c>
      <c r="E245" s="7">
        <v>1062.0</v>
      </c>
      <c r="F245" s="14"/>
      <c r="G245" s="15"/>
      <c r="H245" s="15"/>
      <c r="I245" s="14"/>
      <c r="J245" s="14"/>
      <c r="K245" s="14"/>
      <c r="L245" s="14"/>
      <c r="M245" s="14"/>
      <c r="N245" s="14"/>
      <c r="O245" s="14"/>
    </row>
    <row r="246" ht="18.75" customHeight="1">
      <c r="A246" s="7" t="s">
        <v>2689</v>
      </c>
      <c r="B246" s="7">
        <v>14450.0</v>
      </c>
      <c r="C246" s="7">
        <v>14367.0</v>
      </c>
      <c r="D246" s="7">
        <v>4138.0</v>
      </c>
      <c r="E246" s="7">
        <v>2870.0</v>
      </c>
      <c r="F246" s="14"/>
      <c r="G246" s="15"/>
      <c r="H246" s="15"/>
      <c r="I246" s="14"/>
      <c r="J246" s="14"/>
      <c r="K246" s="14"/>
      <c r="L246" s="14"/>
      <c r="M246" s="14"/>
      <c r="N246" s="14"/>
      <c r="O246" s="14"/>
    </row>
    <row r="247" ht="18.75" customHeight="1">
      <c r="A247" s="7" t="s">
        <v>2775</v>
      </c>
      <c r="B247" s="7">
        <v>0.0</v>
      </c>
      <c r="C247" s="7">
        <v>0.0</v>
      </c>
      <c r="D247" s="7">
        <v>0.0</v>
      </c>
      <c r="E247" s="7">
        <v>0.0</v>
      </c>
      <c r="F247" s="14"/>
      <c r="G247" s="15"/>
      <c r="H247" s="15"/>
      <c r="I247" s="14"/>
      <c r="J247" s="14"/>
      <c r="K247" s="14"/>
      <c r="L247" s="14"/>
      <c r="M247" s="14"/>
      <c r="N247" s="14"/>
      <c r="O247" s="14"/>
    </row>
    <row r="248" ht="18.75" customHeight="1">
      <c r="A248" s="7" t="s">
        <v>2775</v>
      </c>
      <c r="B248" s="7">
        <v>86.0</v>
      </c>
      <c r="C248" s="7">
        <v>86.0</v>
      </c>
      <c r="D248" s="7">
        <v>46.0</v>
      </c>
      <c r="E248" s="7">
        <v>38.0</v>
      </c>
      <c r="F248" s="14"/>
      <c r="G248" s="15"/>
      <c r="H248" s="15"/>
      <c r="I248" s="14"/>
      <c r="J248" s="14"/>
      <c r="K248" s="14"/>
      <c r="L248" s="14"/>
      <c r="M248" s="14"/>
      <c r="N248" s="14"/>
      <c r="O248" s="14"/>
    </row>
    <row r="249" ht="18.75" customHeight="1">
      <c r="A249" s="7" t="s">
        <v>2775</v>
      </c>
      <c r="B249" s="7">
        <v>0.0</v>
      </c>
      <c r="C249" s="7">
        <v>0.0</v>
      </c>
      <c r="D249" s="7">
        <v>0.0</v>
      </c>
      <c r="E249" s="7">
        <v>0.0</v>
      </c>
      <c r="F249" s="14"/>
      <c r="G249" s="15"/>
      <c r="H249" s="15"/>
      <c r="I249" s="14"/>
      <c r="J249" s="14"/>
      <c r="K249" s="14"/>
      <c r="L249" s="14"/>
      <c r="M249" s="14"/>
      <c r="N249" s="14"/>
      <c r="O249" s="14"/>
    </row>
    <row r="250" ht="18.75" customHeight="1">
      <c r="A250" s="7" t="s">
        <v>2775</v>
      </c>
      <c r="B250" s="7">
        <v>42.0</v>
      </c>
      <c r="C250" s="7">
        <v>42.0</v>
      </c>
      <c r="D250" s="7">
        <v>23.0</v>
      </c>
      <c r="E250" s="7">
        <v>16.0</v>
      </c>
      <c r="F250" s="14"/>
      <c r="G250" s="15"/>
      <c r="H250" s="15"/>
      <c r="I250" s="14"/>
      <c r="J250" s="14"/>
      <c r="K250" s="14"/>
      <c r="L250" s="14"/>
      <c r="M250" s="14"/>
      <c r="N250" s="14"/>
      <c r="O250" s="14"/>
    </row>
    <row r="251" ht="18.75" customHeight="1">
      <c r="A251" s="7" t="s">
        <v>2775</v>
      </c>
      <c r="B251" s="7">
        <v>98.0</v>
      </c>
      <c r="C251" s="7">
        <v>98.0</v>
      </c>
      <c r="D251" s="7">
        <v>59.0</v>
      </c>
      <c r="E251" s="7">
        <v>37.0</v>
      </c>
      <c r="F251" s="14"/>
      <c r="G251" s="15"/>
      <c r="H251" s="15"/>
      <c r="I251" s="14"/>
      <c r="J251" s="14"/>
      <c r="K251" s="14"/>
      <c r="L251" s="14"/>
      <c r="M251" s="14"/>
      <c r="N251" s="14"/>
      <c r="O251" s="14"/>
    </row>
    <row r="252" ht="18.75" customHeight="1">
      <c r="A252" s="7" t="s">
        <v>2775</v>
      </c>
      <c r="B252" s="7">
        <v>0.0</v>
      </c>
      <c r="C252" s="7">
        <v>0.0</v>
      </c>
      <c r="D252" s="7">
        <v>0.0</v>
      </c>
      <c r="E252" s="7">
        <v>0.0</v>
      </c>
      <c r="F252" s="14"/>
      <c r="G252" s="15"/>
      <c r="H252" s="15"/>
      <c r="I252" s="14"/>
      <c r="J252" s="14"/>
      <c r="K252" s="14"/>
      <c r="L252" s="14"/>
      <c r="M252" s="14"/>
      <c r="N252" s="14"/>
      <c r="O252" s="14"/>
    </row>
    <row r="253" ht="18.75" customHeight="1">
      <c r="A253" s="7" t="s">
        <v>2775</v>
      </c>
      <c r="B253" s="7">
        <v>95.0</v>
      </c>
      <c r="C253" s="7">
        <v>95.0</v>
      </c>
      <c r="D253" s="7">
        <v>58.0</v>
      </c>
      <c r="E253" s="7">
        <v>33.0</v>
      </c>
      <c r="F253" s="14"/>
      <c r="G253" s="15"/>
      <c r="H253" s="15"/>
      <c r="I253" s="14"/>
      <c r="J253" s="14"/>
      <c r="K253" s="14"/>
      <c r="L253" s="14"/>
      <c r="M253" s="14"/>
      <c r="N253" s="14"/>
      <c r="O253" s="14"/>
    </row>
    <row r="254" ht="18.75" customHeight="1">
      <c r="A254" s="7" t="s">
        <v>2775</v>
      </c>
      <c r="B254" s="7">
        <v>353.0</v>
      </c>
      <c r="C254" s="7">
        <v>103.0</v>
      </c>
      <c r="D254" s="7">
        <v>33.0</v>
      </c>
      <c r="E254" s="7">
        <v>31.0</v>
      </c>
      <c r="F254" s="14"/>
      <c r="G254" s="15"/>
      <c r="H254" s="15"/>
      <c r="I254" s="14"/>
      <c r="J254" s="14"/>
      <c r="K254" s="14"/>
      <c r="L254" s="14"/>
      <c r="M254" s="14"/>
      <c r="N254" s="14"/>
      <c r="O254" s="14"/>
    </row>
    <row r="255" ht="18.75" customHeight="1">
      <c r="A255" s="7" t="s">
        <v>2775</v>
      </c>
      <c r="B255" s="7">
        <v>0.0</v>
      </c>
      <c r="C255" s="7">
        <v>0.0</v>
      </c>
      <c r="D255" s="7">
        <v>0.0</v>
      </c>
      <c r="E255" s="7">
        <v>0.0</v>
      </c>
      <c r="F255" s="14"/>
      <c r="G255" s="15"/>
      <c r="H255" s="15"/>
      <c r="I255" s="14"/>
      <c r="J255" s="14"/>
      <c r="K255" s="14"/>
      <c r="L255" s="14"/>
      <c r="M255" s="14"/>
      <c r="N255" s="14"/>
      <c r="O255" s="14"/>
    </row>
    <row r="256" ht="18.75" customHeight="1">
      <c r="A256" s="7" t="s">
        <v>3038</v>
      </c>
      <c r="B256" s="7">
        <v>28000.0</v>
      </c>
      <c r="C256" s="7">
        <v>28000.0</v>
      </c>
      <c r="D256" s="7">
        <v>7360.0</v>
      </c>
      <c r="E256" s="7">
        <v>6277.0</v>
      </c>
      <c r="F256" s="14"/>
      <c r="G256" s="15"/>
      <c r="H256" s="15"/>
      <c r="I256" s="14"/>
      <c r="J256" s="14"/>
      <c r="K256" s="14"/>
      <c r="L256" s="14"/>
      <c r="M256" s="14"/>
      <c r="N256" s="14"/>
      <c r="O256" s="14"/>
    </row>
    <row r="257" ht="18.75" customHeight="1">
      <c r="A257" s="7" t="s">
        <v>2755</v>
      </c>
      <c r="B257" s="7">
        <v>53488.0</v>
      </c>
      <c r="C257" s="7">
        <v>46847.0</v>
      </c>
      <c r="D257" s="7">
        <v>10206.0</v>
      </c>
      <c r="E257" s="7">
        <v>8462.0</v>
      </c>
      <c r="F257" s="14"/>
      <c r="G257" s="15"/>
      <c r="H257" s="15"/>
      <c r="I257" s="14"/>
      <c r="J257" s="14"/>
      <c r="K257" s="14"/>
      <c r="L257" s="14"/>
      <c r="M257" s="14"/>
      <c r="N257" s="14"/>
      <c r="O257" s="14"/>
    </row>
    <row r="258" ht="18.75" customHeight="1">
      <c r="A258" s="7" t="s">
        <v>3386</v>
      </c>
      <c r="B258" s="7">
        <v>30299.0</v>
      </c>
      <c r="C258" s="7">
        <v>26876.0</v>
      </c>
      <c r="D258" s="7">
        <v>6348.0</v>
      </c>
      <c r="E258" s="7">
        <v>5250.0</v>
      </c>
      <c r="F258" s="14"/>
      <c r="G258" s="15"/>
      <c r="H258" s="15"/>
      <c r="I258" s="14"/>
      <c r="J258" s="14"/>
      <c r="K258" s="14"/>
      <c r="L258" s="14"/>
      <c r="M258" s="14"/>
      <c r="N258" s="14"/>
      <c r="O258" s="14"/>
    </row>
    <row r="259" ht="18.75" customHeight="1">
      <c r="A259" s="7" t="s">
        <v>3523</v>
      </c>
      <c r="B259" s="7">
        <v>97.0</v>
      </c>
      <c r="C259" s="7">
        <v>97.0</v>
      </c>
      <c r="D259" s="7">
        <v>53.0</v>
      </c>
      <c r="E259" s="7">
        <v>38.0</v>
      </c>
      <c r="F259" s="14"/>
      <c r="G259" s="15"/>
      <c r="H259" s="15"/>
      <c r="I259" s="14"/>
      <c r="J259" s="14"/>
      <c r="K259" s="14"/>
      <c r="L259" s="14"/>
      <c r="M259" s="14"/>
      <c r="N259" s="14"/>
      <c r="O259" s="14"/>
    </row>
    <row r="260" ht="18.75" customHeight="1">
      <c r="A260" s="7" t="s">
        <v>3055</v>
      </c>
      <c r="B260" s="7">
        <v>31.0</v>
      </c>
      <c r="C260" s="7">
        <v>31.0</v>
      </c>
      <c r="D260" s="7">
        <v>17.0</v>
      </c>
      <c r="E260" s="7">
        <v>12.0</v>
      </c>
      <c r="F260" s="14"/>
      <c r="G260" s="15"/>
      <c r="H260" s="15"/>
      <c r="I260" s="14"/>
      <c r="J260" s="14"/>
      <c r="K260" s="14"/>
      <c r="L260" s="14"/>
      <c r="M260" s="14"/>
      <c r="N260" s="14"/>
      <c r="O260" s="14"/>
    </row>
    <row r="261" ht="18.75" customHeight="1">
      <c r="A261" s="7" t="s">
        <v>3055</v>
      </c>
      <c r="B261" s="7">
        <v>28.0</v>
      </c>
      <c r="C261" s="7">
        <v>28.0</v>
      </c>
      <c r="D261" s="7">
        <v>16.0</v>
      </c>
      <c r="E261" s="7">
        <v>8.0</v>
      </c>
      <c r="F261" s="14"/>
      <c r="G261" s="15"/>
      <c r="H261" s="15"/>
      <c r="I261" s="14"/>
      <c r="J261" s="14"/>
      <c r="K261" s="14"/>
      <c r="L261" s="14"/>
      <c r="M261" s="14"/>
      <c r="N261" s="14"/>
      <c r="O261" s="14"/>
    </row>
    <row r="262" ht="18.75" customHeight="1">
      <c r="A262" s="7" t="s">
        <v>3055</v>
      </c>
      <c r="B262" s="7">
        <v>177.0</v>
      </c>
      <c r="C262" s="7">
        <v>177.0</v>
      </c>
      <c r="D262" s="7">
        <v>108.0</v>
      </c>
      <c r="E262" s="7">
        <v>76.0</v>
      </c>
      <c r="F262" s="14"/>
      <c r="G262" s="15"/>
      <c r="H262" s="15"/>
      <c r="I262" s="14"/>
      <c r="J262" s="14"/>
      <c r="K262" s="14"/>
      <c r="L262" s="14"/>
      <c r="M262" s="14"/>
      <c r="N262" s="14"/>
      <c r="O262" s="14"/>
    </row>
    <row r="263" ht="18.75" customHeight="1">
      <c r="A263" s="7" t="s">
        <v>3055</v>
      </c>
      <c r="B263" s="7">
        <v>72.0</v>
      </c>
      <c r="C263" s="7">
        <v>72.0</v>
      </c>
      <c r="D263" s="7">
        <v>48.0</v>
      </c>
      <c r="E263" s="7">
        <v>28.0</v>
      </c>
      <c r="F263" s="14"/>
      <c r="G263" s="15"/>
      <c r="H263" s="15"/>
      <c r="I263" s="14"/>
      <c r="J263" s="14"/>
      <c r="K263" s="14"/>
      <c r="L263" s="14"/>
      <c r="M263" s="14"/>
      <c r="N263" s="14"/>
      <c r="O263" s="14"/>
    </row>
    <row r="264" ht="18.75" customHeight="1">
      <c r="A264" s="7" t="s">
        <v>3055</v>
      </c>
      <c r="B264" s="7">
        <v>44.0</v>
      </c>
      <c r="C264" s="7">
        <v>44.0</v>
      </c>
      <c r="D264" s="7">
        <v>29.0</v>
      </c>
      <c r="E264" s="7">
        <v>18.0</v>
      </c>
      <c r="F264" s="14"/>
      <c r="G264" s="15"/>
      <c r="H264" s="15"/>
      <c r="I264" s="14"/>
      <c r="J264" s="14"/>
      <c r="K264" s="14"/>
      <c r="L264" s="14"/>
      <c r="M264" s="14"/>
      <c r="N264" s="14"/>
      <c r="O264" s="14"/>
    </row>
    <row r="265" ht="18.75" customHeight="1">
      <c r="A265" s="7" t="s">
        <v>3055</v>
      </c>
      <c r="B265" s="7">
        <v>76.0</v>
      </c>
      <c r="C265" s="7">
        <v>76.0</v>
      </c>
      <c r="D265" s="7">
        <v>44.0</v>
      </c>
      <c r="E265" s="7">
        <v>39.0</v>
      </c>
      <c r="F265" s="14"/>
      <c r="G265" s="15"/>
      <c r="H265" s="15"/>
      <c r="I265" s="14"/>
      <c r="J265" s="14"/>
      <c r="K265" s="14"/>
      <c r="L265" s="14"/>
      <c r="M265" s="14"/>
      <c r="N265" s="14"/>
      <c r="O265" s="14"/>
    </row>
    <row r="266" ht="18.75" customHeight="1">
      <c r="A266" s="7" t="s">
        <v>3055</v>
      </c>
      <c r="B266" s="7">
        <v>182.0</v>
      </c>
      <c r="C266" s="7">
        <v>171.0</v>
      </c>
      <c r="D266" s="7">
        <v>76.0</v>
      </c>
      <c r="E266" s="7">
        <v>71.0</v>
      </c>
      <c r="F266" s="14"/>
      <c r="G266" s="15"/>
      <c r="H266" s="15"/>
      <c r="I266" s="14"/>
      <c r="J266" s="14"/>
      <c r="K266" s="14"/>
      <c r="L266" s="14"/>
      <c r="M266" s="14"/>
      <c r="N266" s="14"/>
      <c r="O266" s="14"/>
    </row>
    <row r="267" ht="18.75" customHeight="1">
      <c r="A267" s="7" t="s">
        <v>2772</v>
      </c>
      <c r="B267" s="7">
        <v>394.0</v>
      </c>
      <c r="C267" s="7">
        <v>394.0</v>
      </c>
      <c r="D267" s="7">
        <v>187.0</v>
      </c>
      <c r="E267" s="7">
        <v>168.0</v>
      </c>
      <c r="F267" s="14"/>
      <c r="G267" s="15"/>
      <c r="H267" s="15"/>
      <c r="I267" s="14"/>
      <c r="J267" s="14"/>
      <c r="K267" s="14"/>
      <c r="L267" s="14"/>
      <c r="M267" s="14"/>
      <c r="N267" s="14"/>
      <c r="O267" s="14"/>
    </row>
    <row r="268" ht="18.75" customHeight="1">
      <c r="A268" s="7" t="s">
        <v>3111</v>
      </c>
      <c r="B268" s="7">
        <v>33.0</v>
      </c>
      <c r="C268" s="7">
        <v>33.0</v>
      </c>
      <c r="D268" s="7">
        <v>24.0</v>
      </c>
      <c r="E268" s="7">
        <v>18.0</v>
      </c>
      <c r="F268" s="14"/>
      <c r="G268" s="15"/>
      <c r="H268" s="15"/>
      <c r="I268" s="14"/>
      <c r="J268" s="14"/>
      <c r="K268" s="14"/>
      <c r="L268" s="14"/>
      <c r="M268" s="14"/>
      <c r="N268" s="14"/>
      <c r="O268" s="14"/>
    </row>
    <row r="269" ht="18.75" customHeight="1">
      <c r="A269" s="7" t="s">
        <v>3111</v>
      </c>
      <c r="B269" s="7">
        <v>38.0</v>
      </c>
      <c r="C269" s="7">
        <v>38.0</v>
      </c>
      <c r="D269" s="7">
        <v>29.0</v>
      </c>
      <c r="E269" s="7">
        <v>16.0</v>
      </c>
      <c r="F269" s="14"/>
      <c r="G269" s="15"/>
      <c r="H269" s="15"/>
      <c r="I269" s="14"/>
      <c r="J269" s="14"/>
      <c r="K269" s="14"/>
      <c r="L269" s="14"/>
      <c r="M269" s="14"/>
      <c r="N269" s="14"/>
      <c r="O269" s="14"/>
    </row>
    <row r="270" ht="18.75" customHeight="1">
      <c r="A270" s="7" t="s">
        <v>3111</v>
      </c>
      <c r="B270" s="7">
        <v>81.0</v>
      </c>
      <c r="C270" s="7">
        <v>81.0</v>
      </c>
      <c r="D270" s="7">
        <v>31.0</v>
      </c>
      <c r="E270" s="7">
        <v>29.0</v>
      </c>
      <c r="F270" s="14"/>
      <c r="G270" s="15"/>
      <c r="H270" s="15"/>
      <c r="I270" s="14"/>
      <c r="J270" s="14"/>
      <c r="K270" s="14"/>
      <c r="L270" s="14"/>
      <c r="M270" s="14"/>
      <c r="N270" s="14"/>
      <c r="O270" s="14"/>
    </row>
    <row r="271" ht="18.75" customHeight="1">
      <c r="A271" s="7" t="s">
        <v>3111</v>
      </c>
      <c r="B271" s="7">
        <v>34.0</v>
      </c>
      <c r="C271" s="7">
        <v>34.0</v>
      </c>
      <c r="D271" s="7">
        <v>21.0</v>
      </c>
      <c r="E271" s="7">
        <v>12.0</v>
      </c>
      <c r="F271" s="14"/>
      <c r="G271" s="15"/>
      <c r="H271" s="15"/>
      <c r="I271" s="14"/>
      <c r="J271" s="14"/>
      <c r="K271" s="14"/>
      <c r="L271" s="14"/>
      <c r="M271" s="14"/>
      <c r="N271" s="14"/>
      <c r="O271" s="14"/>
    </row>
    <row r="272" ht="18.75" customHeight="1">
      <c r="A272" s="7" t="s">
        <v>3111</v>
      </c>
      <c r="B272" s="7">
        <v>102.0</v>
      </c>
      <c r="C272" s="7">
        <v>102.0</v>
      </c>
      <c r="D272" s="7">
        <v>68.0</v>
      </c>
      <c r="E272" s="7">
        <v>52.0</v>
      </c>
      <c r="F272" s="14"/>
      <c r="G272" s="15"/>
      <c r="H272" s="15"/>
      <c r="I272" s="14"/>
      <c r="J272" s="14"/>
      <c r="K272" s="14"/>
      <c r="L272" s="14"/>
      <c r="M272" s="14"/>
      <c r="N272" s="14"/>
      <c r="O272" s="14"/>
    </row>
    <row r="273" ht="18.75" customHeight="1">
      <c r="A273" s="7" t="s">
        <v>2774</v>
      </c>
      <c r="B273" s="7">
        <v>122.0</v>
      </c>
      <c r="C273" s="7">
        <v>122.0</v>
      </c>
      <c r="D273" s="7">
        <v>52.0</v>
      </c>
      <c r="E273" s="7">
        <v>39.0</v>
      </c>
      <c r="F273" s="14"/>
      <c r="G273" s="15"/>
      <c r="H273" s="15"/>
      <c r="I273" s="14"/>
      <c r="J273" s="14"/>
      <c r="K273" s="14"/>
      <c r="L273" s="14"/>
      <c r="M273" s="14"/>
      <c r="N273" s="14"/>
      <c r="O273" s="14"/>
    </row>
    <row r="274" ht="18.75" customHeight="1">
      <c r="A274" s="7" t="s">
        <v>3377</v>
      </c>
      <c r="B274" s="7">
        <v>0.0</v>
      </c>
      <c r="C274" s="7">
        <v>0.0</v>
      </c>
      <c r="D274" s="7">
        <v>0.0</v>
      </c>
      <c r="E274" s="7">
        <v>0.0</v>
      </c>
      <c r="F274" s="14"/>
      <c r="G274" s="15"/>
      <c r="H274" s="15"/>
      <c r="I274" s="14"/>
      <c r="J274" s="14"/>
      <c r="K274" s="14"/>
      <c r="L274" s="14"/>
      <c r="M274" s="14"/>
      <c r="N274" s="14"/>
      <c r="O274" s="14"/>
    </row>
    <row r="275" ht="18.75" customHeight="1">
      <c r="A275" s="7" t="s">
        <v>3377</v>
      </c>
      <c r="B275" s="7">
        <v>44.0</v>
      </c>
      <c r="C275" s="7">
        <v>44.0</v>
      </c>
      <c r="D275" s="7">
        <v>28.0</v>
      </c>
      <c r="E275" s="7">
        <v>12.0</v>
      </c>
      <c r="F275" s="14"/>
      <c r="G275" s="15"/>
      <c r="H275" s="15"/>
      <c r="I275" s="14"/>
      <c r="J275" s="14"/>
      <c r="K275" s="14"/>
      <c r="L275" s="14"/>
      <c r="M275" s="14"/>
      <c r="N275" s="14"/>
      <c r="O275" s="14"/>
    </row>
    <row r="276" ht="18.75" customHeight="1">
      <c r="A276" s="7" t="s">
        <v>3377</v>
      </c>
      <c r="B276" s="7">
        <v>78.0</v>
      </c>
      <c r="C276" s="7">
        <v>78.0</v>
      </c>
      <c r="D276" s="7">
        <v>45.0</v>
      </c>
      <c r="E276" s="7">
        <v>34.0</v>
      </c>
      <c r="F276" s="14"/>
      <c r="G276" s="15"/>
      <c r="H276" s="15"/>
      <c r="I276" s="14"/>
      <c r="J276" s="14"/>
      <c r="K276" s="14"/>
      <c r="L276" s="14"/>
      <c r="M276" s="14"/>
      <c r="N276" s="14"/>
      <c r="O276" s="14"/>
    </row>
    <row r="277" ht="18.75" customHeight="1">
      <c r="A277" s="7" t="s">
        <v>3377</v>
      </c>
      <c r="B277" s="7">
        <v>100.0</v>
      </c>
      <c r="C277" s="7">
        <v>100.0</v>
      </c>
      <c r="D277" s="7">
        <v>50.0</v>
      </c>
      <c r="E277" s="7">
        <v>33.0</v>
      </c>
      <c r="F277" s="14"/>
      <c r="G277" s="15"/>
      <c r="H277" s="15"/>
      <c r="I277" s="14"/>
      <c r="J277" s="14"/>
      <c r="K277" s="14"/>
      <c r="L277" s="14"/>
      <c r="M277" s="14"/>
      <c r="N277" s="14"/>
      <c r="O277" s="14"/>
    </row>
    <row r="278" ht="18.75" customHeight="1">
      <c r="A278" s="7" t="s">
        <v>3377</v>
      </c>
      <c r="B278" s="7">
        <v>133.0</v>
      </c>
      <c r="C278" s="7">
        <v>125.0</v>
      </c>
      <c r="D278" s="7">
        <v>74.0</v>
      </c>
      <c r="E278" s="7">
        <v>51.0</v>
      </c>
      <c r="F278" s="14"/>
      <c r="G278" s="15"/>
      <c r="H278" s="15"/>
      <c r="I278" s="14"/>
      <c r="J278" s="14"/>
      <c r="K278" s="14"/>
      <c r="L278" s="14"/>
      <c r="M278" s="14"/>
      <c r="N278" s="14"/>
      <c r="O278" s="14"/>
    </row>
    <row r="279" ht="18.75" customHeight="1">
      <c r="A279" s="7" t="s">
        <v>3377</v>
      </c>
      <c r="B279" s="7">
        <v>115.0</v>
      </c>
      <c r="C279" s="7">
        <v>57.0</v>
      </c>
      <c r="D279" s="7">
        <v>27.0</v>
      </c>
      <c r="E279" s="7">
        <v>26.0</v>
      </c>
      <c r="F279" s="14"/>
      <c r="G279" s="15"/>
      <c r="H279" s="15"/>
      <c r="I279" s="14"/>
      <c r="J279" s="14"/>
      <c r="K279" s="14"/>
      <c r="L279" s="14"/>
      <c r="M279" s="14"/>
      <c r="N279" s="14"/>
      <c r="O279" s="14"/>
    </row>
    <row r="280" ht="18.75" customHeight="1">
      <c r="A280" s="7" t="s">
        <v>3377</v>
      </c>
      <c r="B280" s="7">
        <v>0.0</v>
      </c>
      <c r="C280" s="7">
        <v>0.0</v>
      </c>
      <c r="D280" s="7">
        <v>0.0</v>
      </c>
      <c r="E280" s="7">
        <v>0.0</v>
      </c>
      <c r="F280" s="14"/>
      <c r="G280" s="15"/>
      <c r="H280" s="15"/>
      <c r="I280" s="14"/>
      <c r="J280" s="14"/>
      <c r="K280" s="14"/>
      <c r="L280" s="14"/>
      <c r="M280" s="14"/>
      <c r="N280" s="14"/>
      <c r="O280" s="14"/>
    </row>
    <row r="281" ht="18.75" customHeight="1">
      <c r="A281" s="7" t="s">
        <v>3191</v>
      </c>
      <c r="B281" s="7">
        <v>11200.0</v>
      </c>
      <c r="C281" s="7">
        <v>11200.0</v>
      </c>
      <c r="D281" s="7">
        <v>2181.0</v>
      </c>
      <c r="E281" s="7">
        <v>1807.0</v>
      </c>
      <c r="F281" s="14"/>
      <c r="G281" s="15"/>
      <c r="H281" s="15"/>
      <c r="I281" s="14"/>
      <c r="J281" s="14"/>
      <c r="K281" s="14"/>
      <c r="L281" s="14"/>
      <c r="M281" s="14"/>
      <c r="N281" s="14"/>
      <c r="O281" s="14"/>
    </row>
    <row r="282" ht="18.75" customHeight="1">
      <c r="A282" s="7" t="s">
        <v>3191</v>
      </c>
      <c r="B282" s="7">
        <v>3079.0</v>
      </c>
      <c r="C282" s="7">
        <v>3079.0</v>
      </c>
      <c r="D282" s="7">
        <v>905.0</v>
      </c>
      <c r="E282" s="7">
        <v>856.0</v>
      </c>
      <c r="F282" s="14"/>
      <c r="G282" s="15"/>
      <c r="H282" s="15"/>
      <c r="I282" s="14"/>
      <c r="J282" s="14"/>
      <c r="K282" s="14"/>
      <c r="L282" s="14"/>
      <c r="M282" s="14"/>
      <c r="N282" s="14"/>
      <c r="O282" s="14"/>
    </row>
    <row r="283" ht="18.75" customHeight="1">
      <c r="A283" s="7" t="s">
        <v>2774</v>
      </c>
      <c r="B283" s="7">
        <v>6960.0</v>
      </c>
      <c r="C283" s="7">
        <v>6960.0</v>
      </c>
      <c r="D283" s="7">
        <v>1549.0</v>
      </c>
      <c r="E283" s="7">
        <v>1114.0</v>
      </c>
      <c r="F283" s="14"/>
      <c r="G283" s="15"/>
      <c r="H283" s="15"/>
      <c r="I283" s="14"/>
      <c r="J283" s="14"/>
      <c r="K283" s="14"/>
      <c r="L283" s="14"/>
      <c r="M283" s="14"/>
      <c r="N283" s="14"/>
      <c r="O283" s="14"/>
    </row>
    <row r="284" ht="18.75" customHeight="1">
      <c r="A284" s="7" t="s">
        <v>3111</v>
      </c>
      <c r="B284" s="7">
        <v>64.0</v>
      </c>
      <c r="C284" s="7">
        <v>64.0</v>
      </c>
      <c r="D284" s="7">
        <v>44.0</v>
      </c>
      <c r="E284" s="7">
        <v>36.0</v>
      </c>
      <c r="F284" s="14"/>
      <c r="G284" s="15"/>
      <c r="H284" s="15"/>
      <c r="I284" s="14"/>
      <c r="J284" s="14"/>
      <c r="K284" s="14"/>
      <c r="L284" s="14"/>
      <c r="M284" s="14"/>
      <c r="N284" s="14"/>
      <c r="O284" s="14"/>
    </row>
    <row r="285" ht="18.75" customHeight="1">
      <c r="A285" s="7" t="s">
        <v>3842</v>
      </c>
      <c r="B285" s="7">
        <v>1100.0</v>
      </c>
      <c r="C285" s="7">
        <v>1100.0</v>
      </c>
      <c r="D285" s="7">
        <v>261.0</v>
      </c>
      <c r="E285" s="7">
        <v>194.0</v>
      </c>
      <c r="F285" s="14"/>
      <c r="G285" s="15"/>
      <c r="H285" s="15"/>
      <c r="I285" s="14"/>
      <c r="J285" s="14"/>
      <c r="K285" s="14"/>
      <c r="L285" s="14"/>
      <c r="M285" s="14"/>
      <c r="N285" s="14"/>
      <c r="O285" s="14"/>
    </row>
    <row r="286" ht="18.75" customHeight="1">
      <c r="A286" s="7" t="s">
        <v>3842</v>
      </c>
      <c r="B286" s="7">
        <v>84.0</v>
      </c>
      <c r="C286" s="7">
        <v>84.0</v>
      </c>
      <c r="D286" s="7">
        <v>52.0</v>
      </c>
      <c r="E286" s="7">
        <v>39.0</v>
      </c>
      <c r="F286" s="14"/>
      <c r="G286" s="15"/>
      <c r="H286" s="15"/>
      <c r="I286" s="14"/>
      <c r="J286" s="14"/>
      <c r="K286" s="14"/>
      <c r="L286" s="14"/>
      <c r="M286" s="14"/>
      <c r="N286" s="14"/>
      <c r="O286" s="14"/>
    </row>
    <row r="287" ht="18.75" customHeight="1">
      <c r="A287" s="7" t="s">
        <v>3058</v>
      </c>
      <c r="B287" s="7">
        <v>57127.0</v>
      </c>
      <c r="C287" s="7">
        <v>55136.0</v>
      </c>
      <c r="D287" s="7">
        <v>13323.0</v>
      </c>
      <c r="E287" s="7">
        <v>11771.0</v>
      </c>
      <c r="F287" s="14"/>
      <c r="G287" s="15"/>
      <c r="H287" s="15"/>
      <c r="I287" s="14"/>
      <c r="J287" s="14"/>
      <c r="K287" s="14"/>
      <c r="L287" s="14"/>
      <c r="M287" s="14"/>
      <c r="N287" s="14"/>
      <c r="O287" s="14"/>
    </row>
    <row r="288" ht="18.75" customHeight="1">
      <c r="A288" s="7" t="s">
        <v>2771</v>
      </c>
      <c r="B288" s="7">
        <v>342.0</v>
      </c>
      <c r="C288" s="7">
        <v>104.0</v>
      </c>
      <c r="D288" s="7">
        <v>40.0</v>
      </c>
      <c r="E288" s="7">
        <v>40.0</v>
      </c>
      <c r="F288" s="14"/>
      <c r="G288" s="15"/>
      <c r="H288" s="15"/>
      <c r="I288" s="14"/>
      <c r="J288" s="14"/>
      <c r="K288" s="14"/>
      <c r="L288" s="14"/>
      <c r="M288" s="14"/>
      <c r="N288" s="14"/>
      <c r="O288" s="14"/>
    </row>
    <row r="289" ht="18.75" customHeight="1">
      <c r="A289" s="7" t="s">
        <v>2986</v>
      </c>
      <c r="B289" s="7">
        <v>76.0</v>
      </c>
      <c r="C289" s="7">
        <v>76.0</v>
      </c>
      <c r="D289" s="7">
        <v>47.0</v>
      </c>
      <c r="E289" s="7">
        <v>26.0</v>
      </c>
      <c r="F289" s="14"/>
      <c r="G289" s="15"/>
      <c r="H289" s="15"/>
      <c r="I289" s="14"/>
      <c r="J289" s="14"/>
      <c r="K289" s="14"/>
      <c r="L289" s="14"/>
      <c r="M289" s="14"/>
      <c r="N289" s="14"/>
      <c r="O289" s="14"/>
    </row>
    <row r="290" ht="18.75" customHeight="1">
      <c r="A290" s="7" t="s">
        <v>3843</v>
      </c>
      <c r="B290" s="7">
        <v>0.0</v>
      </c>
      <c r="C290" s="7">
        <v>0.0</v>
      </c>
      <c r="D290" s="7">
        <v>0.0</v>
      </c>
      <c r="E290" s="7">
        <v>0.0</v>
      </c>
      <c r="F290" s="14"/>
      <c r="G290" s="15"/>
      <c r="H290" s="15"/>
      <c r="I290" s="14"/>
      <c r="J290" s="14"/>
      <c r="K290" s="14"/>
      <c r="L290" s="14"/>
      <c r="M290" s="14"/>
      <c r="N290" s="14"/>
      <c r="O290" s="14"/>
    </row>
    <row r="291" ht="18.75" customHeight="1">
      <c r="A291" s="7" t="s">
        <v>3844</v>
      </c>
      <c r="B291" s="7">
        <v>638.0</v>
      </c>
      <c r="C291" s="7">
        <v>322.0</v>
      </c>
      <c r="D291" s="7">
        <v>155.0</v>
      </c>
      <c r="E291" s="7">
        <v>148.0</v>
      </c>
      <c r="F291" s="14"/>
      <c r="G291" s="15"/>
      <c r="H291" s="15"/>
      <c r="I291" s="14"/>
      <c r="J291" s="14"/>
      <c r="K291" s="14"/>
      <c r="L291" s="14"/>
      <c r="M291" s="14"/>
      <c r="N291" s="14"/>
      <c r="O291" s="14"/>
    </row>
    <row r="292" ht="18.75" customHeight="1">
      <c r="A292" s="7" t="s">
        <v>2983</v>
      </c>
      <c r="B292" s="7">
        <v>1906.0</v>
      </c>
      <c r="C292" s="7">
        <v>654.0</v>
      </c>
      <c r="D292" s="7">
        <v>306.0</v>
      </c>
      <c r="E292" s="7">
        <v>299.0</v>
      </c>
      <c r="F292" s="14"/>
      <c r="G292" s="15"/>
      <c r="H292" s="15"/>
      <c r="I292" s="14"/>
      <c r="J292" s="14"/>
      <c r="K292" s="14"/>
      <c r="L292" s="14"/>
      <c r="M292" s="14"/>
      <c r="N292" s="14"/>
      <c r="O292" s="14"/>
    </row>
    <row r="293" ht="18.75" customHeight="1">
      <c r="A293" s="7" t="s">
        <v>2998</v>
      </c>
      <c r="B293" s="7">
        <v>21300.0</v>
      </c>
      <c r="C293" s="7">
        <v>20866.0</v>
      </c>
      <c r="D293" s="7">
        <v>5069.0</v>
      </c>
      <c r="E293" s="7">
        <v>4523.0</v>
      </c>
      <c r="F293" s="14"/>
      <c r="G293" s="15"/>
      <c r="H293" s="15"/>
      <c r="I293" s="14"/>
      <c r="J293" s="14"/>
      <c r="K293" s="14"/>
      <c r="L293" s="14"/>
      <c r="M293" s="14"/>
      <c r="N293" s="14"/>
      <c r="O293" s="14"/>
    </row>
    <row r="294" ht="18.75" customHeight="1">
      <c r="A294" s="7" t="s">
        <v>2960</v>
      </c>
      <c r="B294" s="7">
        <v>0.0</v>
      </c>
      <c r="C294" s="7">
        <v>0.0</v>
      </c>
      <c r="D294" s="7">
        <v>0.0</v>
      </c>
      <c r="E294" s="7">
        <v>0.0</v>
      </c>
      <c r="F294" s="14"/>
      <c r="G294" s="15"/>
      <c r="H294" s="15"/>
      <c r="I294" s="14"/>
      <c r="J294" s="14"/>
      <c r="K294" s="14"/>
      <c r="L294" s="14"/>
      <c r="M294" s="14"/>
      <c r="N294" s="14"/>
      <c r="O294" s="14"/>
    </row>
    <row r="295" ht="18.75" customHeight="1">
      <c r="A295" s="7" t="s">
        <v>2960</v>
      </c>
      <c r="B295" s="7">
        <v>0.0</v>
      </c>
      <c r="C295" s="7">
        <v>0.0</v>
      </c>
      <c r="D295" s="7">
        <v>0.0</v>
      </c>
      <c r="E295" s="7">
        <v>0.0</v>
      </c>
      <c r="F295" s="14"/>
      <c r="G295" s="15"/>
      <c r="H295" s="15"/>
      <c r="I295" s="14"/>
      <c r="J295" s="14"/>
      <c r="K295" s="14"/>
      <c r="L295" s="14"/>
      <c r="M295" s="14"/>
      <c r="N295" s="14"/>
      <c r="O295" s="14"/>
    </row>
    <row r="296" ht="18.75" customHeight="1">
      <c r="A296" s="7" t="s">
        <v>2960</v>
      </c>
      <c r="B296" s="7">
        <v>397.0</v>
      </c>
      <c r="C296" s="7">
        <v>396.0</v>
      </c>
      <c r="D296" s="7">
        <v>255.0</v>
      </c>
      <c r="E296" s="7">
        <v>251.0</v>
      </c>
      <c r="F296" s="14"/>
      <c r="G296" s="15"/>
      <c r="H296" s="15"/>
      <c r="I296" s="14"/>
      <c r="J296" s="14"/>
      <c r="K296" s="14"/>
      <c r="L296" s="14"/>
      <c r="M296" s="14"/>
      <c r="N296" s="14"/>
    </row>
    <row r="297" ht="18.75" customHeight="1">
      <c r="A297" s="7" t="s">
        <v>2965</v>
      </c>
      <c r="B297" s="7">
        <v>403.0</v>
      </c>
      <c r="C297" s="7">
        <v>403.0</v>
      </c>
      <c r="D297" s="7">
        <v>195.0</v>
      </c>
      <c r="E297" s="7">
        <v>152.0</v>
      </c>
      <c r="F297" s="14"/>
      <c r="G297" s="15"/>
      <c r="H297" s="15"/>
      <c r="I297" s="14"/>
      <c r="J297" s="14"/>
      <c r="K297" s="14"/>
      <c r="L297" s="14"/>
      <c r="M297" s="14"/>
      <c r="N297" s="14"/>
      <c r="O297" s="14"/>
    </row>
    <row r="298" ht="18.75" customHeight="1">
      <c r="A298" s="7" t="s">
        <v>3367</v>
      </c>
      <c r="B298" s="7">
        <v>1574.0</v>
      </c>
      <c r="C298" s="7">
        <v>686.0</v>
      </c>
      <c r="D298" s="7">
        <v>311.0</v>
      </c>
      <c r="E298" s="7">
        <v>293.0</v>
      </c>
      <c r="F298" s="14"/>
      <c r="G298" s="15"/>
      <c r="H298" s="15"/>
      <c r="I298" s="14"/>
      <c r="J298" s="14"/>
      <c r="K298" s="14"/>
      <c r="L298" s="14"/>
      <c r="M298" s="14"/>
      <c r="N298" s="14"/>
      <c r="O298" s="14"/>
    </row>
    <row r="299" ht="18.75" customHeight="1">
      <c r="A299" s="7" t="s">
        <v>3432</v>
      </c>
      <c r="B299" s="7">
        <v>0.0</v>
      </c>
      <c r="C299" s="7">
        <v>0.0</v>
      </c>
      <c r="D299" s="7">
        <v>0.0</v>
      </c>
      <c r="E299" s="7">
        <v>0.0</v>
      </c>
      <c r="F299" s="14"/>
      <c r="G299" s="15"/>
      <c r="H299" s="15"/>
      <c r="I299" s="14"/>
      <c r="J299" s="14"/>
      <c r="K299" s="14"/>
      <c r="L299" s="14"/>
      <c r="M299" s="14"/>
      <c r="N299" s="14"/>
      <c r="O299" s="14"/>
    </row>
    <row r="300" ht="18.75" customHeight="1">
      <c r="A300" s="7" t="s">
        <v>3432</v>
      </c>
      <c r="B300" s="7">
        <v>0.0</v>
      </c>
      <c r="C300" s="7">
        <v>0.0</v>
      </c>
      <c r="D300" s="7">
        <v>0.0</v>
      </c>
      <c r="E300" s="7">
        <v>0.0</v>
      </c>
      <c r="F300" s="14"/>
      <c r="I300" s="14"/>
      <c r="J300" s="14"/>
      <c r="K300" s="14"/>
      <c r="L300" s="14"/>
      <c r="M300" s="14"/>
      <c r="N300" s="14"/>
      <c r="O300" s="14"/>
    </row>
    <row r="301" ht="18.75" customHeight="1">
      <c r="A301" s="7" t="s">
        <v>2752</v>
      </c>
      <c r="B301" s="7">
        <v>53523.0</v>
      </c>
      <c r="C301" s="7">
        <v>48624.0</v>
      </c>
      <c r="D301" s="7">
        <v>10374.0</v>
      </c>
      <c r="E301" s="7">
        <v>8862.0</v>
      </c>
      <c r="F301" s="14"/>
      <c r="G301" s="15"/>
      <c r="H301" s="15"/>
      <c r="I301" s="14"/>
      <c r="J301" s="14"/>
      <c r="K301" s="14"/>
      <c r="L301" s="14"/>
      <c r="M301" s="14"/>
      <c r="N301" s="14"/>
      <c r="O301" s="14"/>
    </row>
    <row r="302" ht="18.75" customHeight="1">
      <c r="A302" s="7" t="s">
        <v>3845</v>
      </c>
      <c r="B302" s="7">
        <v>0.0</v>
      </c>
      <c r="C302" s="7">
        <v>0.0</v>
      </c>
      <c r="D302" s="7">
        <v>0.0</v>
      </c>
      <c r="E302" s="7">
        <v>0.0</v>
      </c>
      <c r="F302" s="14"/>
      <c r="G302" s="15"/>
      <c r="H302" s="15"/>
      <c r="I302" s="14"/>
      <c r="J302" s="14"/>
      <c r="K302" s="14"/>
      <c r="L302" s="14"/>
      <c r="M302" s="14"/>
      <c r="N302" s="14"/>
      <c r="O302" s="14"/>
    </row>
    <row r="303" ht="18.75" customHeight="1">
      <c r="A303" s="7" t="s">
        <v>2262</v>
      </c>
      <c r="B303" s="7">
        <v>15500.0</v>
      </c>
      <c r="C303" s="7">
        <v>15235.0</v>
      </c>
      <c r="D303" s="7">
        <v>3391.0</v>
      </c>
      <c r="E303" s="7">
        <v>2723.0</v>
      </c>
      <c r="F303" s="14"/>
      <c r="G303" s="15"/>
      <c r="H303" s="15"/>
      <c r="I303" s="14"/>
      <c r="J303" s="14"/>
      <c r="K303" s="14"/>
      <c r="L303" s="14"/>
      <c r="M303" s="14"/>
      <c r="N303" s="14"/>
      <c r="O303" s="14"/>
    </row>
    <row r="304" ht="18.75" customHeight="1">
      <c r="A304" s="7" t="s">
        <v>2262</v>
      </c>
      <c r="B304" s="7">
        <v>2114.0</v>
      </c>
      <c r="C304" s="7">
        <v>2114.0</v>
      </c>
      <c r="D304" s="7">
        <v>775.0</v>
      </c>
      <c r="E304" s="7">
        <v>745.0</v>
      </c>
      <c r="F304" s="14"/>
      <c r="G304" s="15"/>
      <c r="H304" s="15"/>
      <c r="I304" s="14"/>
      <c r="J304" s="14"/>
      <c r="K304" s="14"/>
      <c r="L304" s="14"/>
      <c r="M304" s="14"/>
      <c r="N304" s="14"/>
      <c r="O304" s="14"/>
    </row>
    <row r="305" ht="18.75" customHeight="1">
      <c r="A305" s="7" t="s">
        <v>3846</v>
      </c>
      <c r="B305" s="7">
        <v>24641.0</v>
      </c>
      <c r="C305" s="7">
        <v>19656.0</v>
      </c>
      <c r="D305" s="7">
        <v>4450.0</v>
      </c>
      <c r="E305" s="7">
        <v>3321.0</v>
      </c>
      <c r="F305" s="14"/>
      <c r="G305" s="15"/>
      <c r="H305" s="15"/>
      <c r="I305" s="14"/>
      <c r="J305" s="14"/>
      <c r="K305" s="14"/>
      <c r="L305" s="14"/>
      <c r="M305" s="14"/>
      <c r="N305" s="14"/>
      <c r="O305" s="14"/>
    </row>
    <row r="306" ht="18.75" customHeight="1">
      <c r="A306" s="7" t="s">
        <v>3376</v>
      </c>
      <c r="B306" s="7">
        <v>72.0</v>
      </c>
      <c r="C306" s="7">
        <v>72.0</v>
      </c>
      <c r="D306" s="7">
        <v>53.0</v>
      </c>
      <c r="E306" s="7">
        <v>30.0</v>
      </c>
      <c r="F306" s="14"/>
      <c r="G306" s="15"/>
      <c r="H306" s="15"/>
      <c r="I306" s="14"/>
      <c r="J306" s="14"/>
      <c r="K306" s="14"/>
      <c r="L306" s="14"/>
      <c r="M306" s="14"/>
      <c r="N306" s="14"/>
      <c r="O306" s="14"/>
    </row>
    <row r="307" ht="18.75" customHeight="1">
      <c r="A307" s="7" t="s">
        <v>3370</v>
      </c>
      <c r="B307" s="7">
        <v>223.0</v>
      </c>
      <c r="C307" s="7">
        <v>223.0</v>
      </c>
      <c r="D307" s="7">
        <v>98.0</v>
      </c>
      <c r="E307" s="7">
        <v>94.0</v>
      </c>
      <c r="F307" s="14"/>
      <c r="G307" s="15"/>
      <c r="H307" s="15"/>
      <c r="I307" s="14"/>
      <c r="J307" s="14"/>
      <c r="K307" s="14"/>
      <c r="L307" s="14"/>
      <c r="M307" s="14"/>
      <c r="N307" s="14"/>
      <c r="O307" s="14"/>
    </row>
    <row r="308" ht="18.75" customHeight="1">
      <c r="A308" s="7" t="s">
        <v>3454</v>
      </c>
      <c r="B308" s="7">
        <v>137.0</v>
      </c>
      <c r="C308" s="7">
        <v>137.0</v>
      </c>
      <c r="D308" s="7">
        <v>101.0</v>
      </c>
      <c r="E308" s="7">
        <v>49.0</v>
      </c>
      <c r="F308" s="14"/>
      <c r="G308" s="15"/>
      <c r="H308" s="15"/>
      <c r="I308" s="14"/>
      <c r="J308" s="14"/>
      <c r="K308" s="14"/>
      <c r="L308" s="14"/>
      <c r="M308" s="14"/>
      <c r="N308" s="14"/>
      <c r="O308" s="14"/>
    </row>
    <row r="309" ht="18.75" customHeight="1">
      <c r="A309" s="7" t="s">
        <v>2980</v>
      </c>
      <c r="B309" s="7">
        <v>39.0</v>
      </c>
      <c r="C309" s="7">
        <v>39.0</v>
      </c>
      <c r="D309" s="7">
        <v>24.0</v>
      </c>
      <c r="E309" s="7">
        <v>22.0</v>
      </c>
      <c r="F309" s="14"/>
      <c r="G309" s="15"/>
      <c r="H309" s="15"/>
      <c r="I309" s="14"/>
      <c r="J309" s="14"/>
      <c r="K309" s="14"/>
      <c r="L309" s="14"/>
      <c r="M309" s="14"/>
      <c r="N309" s="14"/>
      <c r="O309" s="14"/>
    </row>
    <row r="310" ht="18.75" customHeight="1">
      <c r="A310" s="7" t="s">
        <v>3477</v>
      </c>
      <c r="B310" s="7">
        <v>6700.0</v>
      </c>
      <c r="C310" s="7">
        <v>6700.0</v>
      </c>
      <c r="D310" s="7">
        <v>1351.0</v>
      </c>
      <c r="E310" s="7">
        <v>1120.0</v>
      </c>
      <c r="F310" s="14"/>
      <c r="G310" s="15"/>
      <c r="H310" s="15"/>
      <c r="I310" s="14"/>
      <c r="J310" s="14"/>
      <c r="K310" s="14"/>
      <c r="L310" s="14"/>
      <c r="M310" s="14"/>
      <c r="N310" s="14"/>
      <c r="O310" s="14"/>
    </row>
    <row r="311" ht="18.75" customHeight="1">
      <c r="A311" s="7" t="s">
        <v>3477</v>
      </c>
      <c r="B311" s="7">
        <v>169.0</v>
      </c>
      <c r="C311" s="7">
        <v>169.0</v>
      </c>
      <c r="D311" s="7">
        <v>83.0</v>
      </c>
      <c r="E311" s="7">
        <v>80.0</v>
      </c>
      <c r="F311" s="14"/>
      <c r="G311" s="15"/>
      <c r="H311" s="15"/>
      <c r="I311" s="14"/>
      <c r="J311" s="14"/>
      <c r="K311" s="14"/>
      <c r="L311" s="14"/>
      <c r="M311" s="14"/>
      <c r="N311" s="14"/>
      <c r="O311" s="14"/>
    </row>
    <row r="312" ht="18.75" customHeight="1">
      <c r="A312" s="7" t="s">
        <v>3359</v>
      </c>
      <c r="B312" s="7">
        <v>0.0</v>
      </c>
      <c r="C312" s="7">
        <v>0.0</v>
      </c>
      <c r="D312" s="7">
        <v>0.0</v>
      </c>
      <c r="E312" s="7">
        <v>0.0</v>
      </c>
      <c r="F312" s="14"/>
      <c r="G312" s="15"/>
      <c r="H312" s="15"/>
      <c r="I312" s="14"/>
      <c r="J312" s="14"/>
      <c r="K312" s="14"/>
      <c r="L312" s="14"/>
      <c r="M312" s="14"/>
      <c r="N312" s="14"/>
      <c r="O312" s="14"/>
    </row>
    <row r="313" ht="18.75" customHeight="1">
      <c r="A313" s="7" t="s">
        <v>3059</v>
      </c>
      <c r="B313" s="7">
        <v>1650.0</v>
      </c>
      <c r="C313" s="7">
        <v>1650.0</v>
      </c>
      <c r="D313" s="7">
        <v>243.0</v>
      </c>
      <c r="E313" s="7">
        <v>190.0</v>
      </c>
      <c r="F313" s="14"/>
      <c r="G313" s="15"/>
      <c r="H313" s="15"/>
      <c r="I313" s="14"/>
      <c r="J313" s="14"/>
      <c r="K313" s="14"/>
      <c r="L313" s="14"/>
      <c r="M313" s="14"/>
      <c r="N313" s="14"/>
      <c r="O313" s="14"/>
    </row>
    <row r="314" ht="18.75" customHeight="1">
      <c r="A314" s="7" t="s">
        <v>3425</v>
      </c>
      <c r="B314" s="7">
        <v>4300.0</v>
      </c>
      <c r="C314" s="7">
        <v>4300.0</v>
      </c>
      <c r="D314" s="7">
        <v>1091.0</v>
      </c>
      <c r="E314" s="7">
        <v>941.0</v>
      </c>
      <c r="F314" s="14"/>
      <c r="G314" s="15"/>
      <c r="H314" s="15"/>
      <c r="I314" s="14"/>
      <c r="J314" s="14"/>
      <c r="K314" s="14"/>
      <c r="L314" s="14"/>
      <c r="M314" s="14"/>
      <c r="N314" s="14"/>
      <c r="O314" s="14"/>
    </row>
    <row r="315" ht="18.75" customHeight="1">
      <c r="A315" s="7" t="s">
        <v>3425</v>
      </c>
      <c r="B315" s="7">
        <v>194.0</v>
      </c>
      <c r="C315" s="7">
        <v>194.0</v>
      </c>
      <c r="D315" s="7">
        <v>101.0</v>
      </c>
      <c r="E315" s="7">
        <v>99.0</v>
      </c>
      <c r="F315" s="14"/>
      <c r="G315" s="15"/>
      <c r="H315" s="15"/>
      <c r="I315" s="14"/>
      <c r="J315" s="14"/>
      <c r="K315" s="14"/>
      <c r="L315" s="14"/>
      <c r="M315" s="14"/>
      <c r="N315" s="14"/>
      <c r="O315" s="14"/>
    </row>
    <row r="316" ht="18.75" customHeight="1">
      <c r="A316" s="7" t="s">
        <v>3847</v>
      </c>
      <c r="B316" s="7">
        <v>4732.0</v>
      </c>
      <c r="C316" s="7">
        <v>100.0</v>
      </c>
      <c r="D316" s="7">
        <v>55.0</v>
      </c>
      <c r="E316" s="7">
        <v>49.0</v>
      </c>
      <c r="F316" s="14"/>
      <c r="G316" s="15"/>
      <c r="H316" s="15"/>
      <c r="I316" s="14"/>
      <c r="J316" s="14"/>
      <c r="K316" s="14"/>
      <c r="L316" s="14"/>
      <c r="M316" s="14"/>
      <c r="N316" s="14"/>
      <c r="O316" s="14"/>
    </row>
    <row r="317" ht="18.75" customHeight="1">
      <c r="A317" s="7" t="s">
        <v>3409</v>
      </c>
      <c r="B317" s="7">
        <v>121.0</v>
      </c>
      <c r="C317" s="7">
        <v>121.0</v>
      </c>
      <c r="D317" s="7">
        <v>84.0</v>
      </c>
      <c r="E317" s="7">
        <v>58.0</v>
      </c>
      <c r="F317" s="14"/>
      <c r="G317" s="15"/>
      <c r="H317" s="15"/>
      <c r="I317" s="14"/>
      <c r="J317" s="14"/>
      <c r="K317" s="14"/>
      <c r="L317" s="14"/>
      <c r="M317" s="14"/>
      <c r="N317" s="14"/>
      <c r="O317" s="14"/>
    </row>
    <row r="318" ht="18.75" customHeight="1">
      <c r="A318" s="7" t="s">
        <v>3192</v>
      </c>
      <c r="B318" s="7">
        <v>11599.0</v>
      </c>
      <c r="C318" s="7">
        <v>7273.0</v>
      </c>
      <c r="D318" s="7">
        <v>1570.0</v>
      </c>
      <c r="E318" s="7">
        <v>1324.0</v>
      </c>
      <c r="F318" s="14"/>
      <c r="G318" s="15"/>
      <c r="H318" s="15"/>
      <c r="I318" s="14"/>
      <c r="J318" s="14"/>
      <c r="K318" s="14"/>
      <c r="L318" s="14"/>
      <c r="M318" s="14"/>
      <c r="N318" s="14"/>
      <c r="O318" s="14"/>
    </row>
    <row r="319" ht="18.75" customHeight="1">
      <c r="A319" s="7" t="s">
        <v>3192</v>
      </c>
      <c r="B319" s="7">
        <v>1577.0</v>
      </c>
      <c r="C319" s="7">
        <v>1137.0</v>
      </c>
      <c r="D319" s="7">
        <v>445.0</v>
      </c>
      <c r="E319" s="7">
        <v>436.0</v>
      </c>
      <c r="F319" s="14"/>
      <c r="G319" s="15"/>
      <c r="H319" s="15"/>
      <c r="I319" s="14"/>
      <c r="J319" s="14"/>
      <c r="K319" s="14"/>
      <c r="L319" s="14"/>
      <c r="M319" s="14"/>
      <c r="N319" s="14"/>
      <c r="O319" s="14"/>
    </row>
    <row r="320" ht="18.75" customHeight="1">
      <c r="A320" s="7" t="s">
        <v>2957</v>
      </c>
      <c r="B320" s="7">
        <v>172.0</v>
      </c>
      <c r="C320" s="7">
        <v>165.0</v>
      </c>
      <c r="D320" s="7">
        <v>112.0</v>
      </c>
      <c r="E320" s="7">
        <v>105.0</v>
      </c>
      <c r="F320" s="14"/>
      <c r="G320" s="15"/>
      <c r="H320" s="15"/>
      <c r="I320" s="14"/>
      <c r="J320" s="14"/>
      <c r="K320" s="14"/>
      <c r="L320" s="14"/>
      <c r="M320" s="14"/>
      <c r="N320" s="14"/>
      <c r="O320" s="14"/>
    </row>
    <row r="321" ht="18.75" customHeight="1">
      <c r="A321" s="7" t="s">
        <v>2979</v>
      </c>
      <c r="B321" s="7">
        <v>91.0</v>
      </c>
      <c r="C321" s="7">
        <v>91.0</v>
      </c>
      <c r="D321" s="7">
        <v>60.0</v>
      </c>
      <c r="E321" s="7">
        <v>43.0</v>
      </c>
      <c r="F321" s="14"/>
      <c r="G321" s="15"/>
      <c r="H321" s="15"/>
      <c r="I321" s="14"/>
      <c r="J321" s="14"/>
      <c r="K321" s="14"/>
      <c r="L321" s="14"/>
      <c r="M321" s="14"/>
      <c r="N321" s="14"/>
      <c r="O321" s="14"/>
    </row>
    <row r="322" ht="18.75" customHeight="1">
      <c r="A322" s="7" t="s">
        <v>3356</v>
      </c>
      <c r="B322" s="7">
        <v>6000.0</v>
      </c>
      <c r="C322" s="7">
        <v>5418.0</v>
      </c>
      <c r="D322" s="7">
        <v>1276.0</v>
      </c>
      <c r="E322" s="7">
        <v>1064.0</v>
      </c>
      <c r="F322" s="14"/>
      <c r="G322" s="15"/>
      <c r="H322" s="15"/>
      <c r="I322" s="14"/>
      <c r="J322" s="14"/>
      <c r="K322" s="14"/>
      <c r="L322" s="14"/>
      <c r="M322" s="14"/>
      <c r="N322" s="14"/>
      <c r="O322" s="14"/>
    </row>
    <row r="323" ht="18.75" customHeight="1">
      <c r="A323" s="7" t="s">
        <v>3356</v>
      </c>
      <c r="B323" s="7">
        <v>220.0</v>
      </c>
      <c r="C323" s="7">
        <v>220.0</v>
      </c>
      <c r="D323" s="7">
        <v>166.0</v>
      </c>
      <c r="E323" s="7">
        <v>106.0</v>
      </c>
      <c r="F323" s="14"/>
      <c r="G323" s="15"/>
      <c r="H323" s="15"/>
      <c r="I323" s="14"/>
      <c r="J323" s="14"/>
      <c r="K323" s="14"/>
      <c r="L323" s="14"/>
      <c r="M323" s="14"/>
      <c r="N323" s="14"/>
      <c r="O323" s="14"/>
    </row>
    <row r="324" ht="18.75" customHeight="1">
      <c r="A324" s="7" t="s">
        <v>3520</v>
      </c>
      <c r="B324" s="7">
        <v>88.0</v>
      </c>
      <c r="C324" s="7">
        <v>88.0</v>
      </c>
      <c r="D324" s="7">
        <v>52.0</v>
      </c>
      <c r="E324" s="7">
        <v>33.0</v>
      </c>
      <c r="F324" s="14"/>
      <c r="G324" s="15"/>
      <c r="H324" s="15"/>
      <c r="I324" s="14"/>
      <c r="J324" s="14"/>
      <c r="K324" s="14"/>
      <c r="L324" s="14"/>
      <c r="M324" s="14"/>
      <c r="N324" s="14"/>
      <c r="O324" s="14"/>
    </row>
    <row r="325" ht="18.75" customHeight="1">
      <c r="A325" s="7" t="s">
        <v>2792</v>
      </c>
      <c r="B325" s="7">
        <v>2000.0</v>
      </c>
      <c r="C325" s="7">
        <v>1154.0</v>
      </c>
      <c r="D325" s="7">
        <v>242.0</v>
      </c>
      <c r="E325" s="7">
        <v>162.0</v>
      </c>
      <c r="F325" s="14"/>
      <c r="G325" s="15"/>
      <c r="H325" s="15"/>
      <c r="I325" s="14"/>
      <c r="J325" s="14"/>
      <c r="K325" s="14"/>
      <c r="L325" s="14"/>
      <c r="M325" s="14"/>
      <c r="N325" s="14"/>
      <c r="O325" s="14"/>
    </row>
    <row r="326" ht="18.75" customHeight="1">
      <c r="A326" s="7" t="s">
        <v>3848</v>
      </c>
      <c r="B326" s="7">
        <v>52542.0</v>
      </c>
      <c r="C326" s="7">
        <v>15163.0</v>
      </c>
      <c r="D326" s="7">
        <v>3792.0</v>
      </c>
      <c r="E326" s="7">
        <v>3201.0</v>
      </c>
      <c r="F326" s="14"/>
      <c r="G326" s="15"/>
      <c r="H326" s="15"/>
      <c r="I326" s="14"/>
      <c r="J326" s="14"/>
      <c r="K326" s="14"/>
      <c r="L326" s="14"/>
      <c r="M326" s="14"/>
      <c r="N326" s="14"/>
      <c r="O326" s="14"/>
    </row>
    <row r="327" ht="18.75" customHeight="1">
      <c r="A327" s="7" t="s">
        <v>3521</v>
      </c>
      <c r="B327" s="7">
        <v>7000.0</v>
      </c>
      <c r="C327" s="7">
        <v>7000.0</v>
      </c>
      <c r="D327" s="7">
        <v>1757.0</v>
      </c>
      <c r="E327" s="7">
        <v>1430.0</v>
      </c>
      <c r="F327" s="14"/>
      <c r="G327" s="15"/>
      <c r="H327" s="15"/>
      <c r="I327" s="14"/>
      <c r="J327" s="14"/>
      <c r="K327" s="14"/>
      <c r="L327" s="14"/>
      <c r="M327" s="14"/>
      <c r="N327" s="14"/>
      <c r="O327" s="14"/>
    </row>
    <row r="328" ht="18.75" customHeight="1">
      <c r="A328" s="7" t="s">
        <v>3521</v>
      </c>
      <c r="B328" s="7">
        <v>0.0</v>
      </c>
      <c r="C328" s="7">
        <v>0.0</v>
      </c>
      <c r="D328" s="7">
        <v>0.0</v>
      </c>
      <c r="E328" s="7">
        <v>0.0</v>
      </c>
      <c r="F328" s="14"/>
      <c r="I328" s="14"/>
      <c r="J328" s="14"/>
      <c r="K328" s="14"/>
      <c r="L328" s="14"/>
      <c r="M328" s="14"/>
      <c r="N328" s="14"/>
      <c r="O328" s="14"/>
    </row>
    <row r="329" ht="18.75" customHeight="1">
      <c r="A329" s="7" t="s">
        <v>3378</v>
      </c>
      <c r="B329" s="7">
        <v>3648.0</v>
      </c>
      <c r="C329" s="7">
        <v>2945.0</v>
      </c>
      <c r="D329" s="7">
        <v>512.0</v>
      </c>
      <c r="E329" s="7">
        <v>401.0</v>
      </c>
      <c r="F329" s="14"/>
      <c r="G329" s="15"/>
      <c r="H329" s="15"/>
      <c r="I329" s="14"/>
      <c r="J329" s="14"/>
      <c r="K329" s="14"/>
      <c r="L329" s="14"/>
      <c r="M329" s="14"/>
      <c r="N329" s="14"/>
      <c r="O329" s="14"/>
    </row>
    <row r="330" ht="18.75" customHeight="1">
      <c r="A330" s="7" t="s">
        <v>2962</v>
      </c>
      <c r="B330" s="7">
        <v>123.0</v>
      </c>
      <c r="C330" s="7">
        <v>123.0</v>
      </c>
      <c r="D330" s="7">
        <v>71.0</v>
      </c>
      <c r="E330" s="7">
        <v>39.0</v>
      </c>
      <c r="F330" s="14"/>
      <c r="G330" s="15"/>
      <c r="H330" s="15"/>
      <c r="I330" s="14"/>
      <c r="J330" s="14"/>
      <c r="K330" s="14"/>
      <c r="L330" s="14"/>
      <c r="M330" s="14"/>
      <c r="N330" s="14"/>
      <c r="O330" s="14"/>
    </row>
    <row r="331" ht="18.75" customHeight="1">
      <c r="A331" s="7" t="s">
        <v>2974</v>
      </c>
      <c r="B331" s="7">
        <v>264.0</v>
      </c>
      <c r="C331" s="7">
        <v>264.0</v>
      </c>
      <c r="D331" s="7">
        <v>75.0</v>
      </c>
      <c r="E331" s="7">
        <v>71.0</v>
      </c>
      <c r="F331" s="14"/>
      <c r="G331" s="15"/>
      <c r="H331" s="15"/>
      <c r="I331" s="14"/>
      <c r="J331" s="14"/>
      <c r="K331" s="14"/>
      <c r="L331" s="14"/>
      <c r="M331" s="14"/>
      <c r="N331" s="14"/>
      <c r="O331" s="14"/>
    </row>
    <row r="332" ht="18.75" customHeight="1">
      <c r="A332" s="7" t="s">
        <v>3375</v>
      </c>
      <c r="B332" s="7">
        <v>3599.0</v>
      </c>
      <c r="C332" s="7">
        <v>2425.0</v>
      </c>
      <c r="D332" s="7">
        <v>475.0</v>
      </c>
      <c r="E332" s="7">
        <v>378.0</v>
      </c>
      <c r="F332" s="14"/>
      <c r="G332" s="15"/>
      <c r="H332" s="15"/>
      <c r="I332" s="14"/>
      <c r="J332" s="14"/>
      <c r="K332" s="14"/>
      <c r="L332" s="14"/>
      <c r="M332" s="14"/>
      <c r="N332" s="14"/>
      <c r="O332" s="14"/>
    </row>
    <row r="333" ht="18.75" customHeight="1">
      <c r="A333" s="7" t="s">
        <v>2874</v>
      </c>
      <c r="B333" s="7">
        <v>2000.0</v>
      </c>
      <c r="C333" s="7">
        <v>627.0</v>
      </c>
      <c r="D333" s="7">
        <v>124.0</v>
      </c>
      <c r="E333" s="7">
        <v>100.0</v>
      </c>
      <c r="F333" s="14"/>
      <c r="G333" s="15"/>
      <c r="H333" s="15"/>
      <c r="I333" s="14"/>
      <c r="J333" s="14"/>
      <c r="K333" s="14"/>
      <c r="L333" s="14"/>
      <c r="M333" s="14"/>
      <c r="N333" s="14"/>
      <c r="O333" s="14"/>
    </row>
    <row r="334" ht="18.75" customHeight="1">
      <c r="A334" s="7" t="s">
        <v>2874</v>
      </c>
      <c r="B334" s="7">
        <v>33.0</v>
      </c>
      <c r="C334" s="7">
        <v>33.0</v>
      </c>
      <c r="D334" s="7">
        <v>25.0</v>
      </c>
      <c r="E334" s="7">
        <v>18.0</v>
      </c>
      <c r="F334" s="14"/>
      <c r="G334" s="15"/>
      <c r="H334" s="15"/>
      <c r="I334" s="14"/>
      <c r="J334" s="14"/>
      <c r="K334" s="14"/>
      <c r="L334" s="14"/>
      <c r="M334" s="14"/>
      <c r="N334" s="14"/>
      <c r="O334" s="14"/>
    </row>
    <row r="335" ht="18.75" customHeight="1">
      <c r="A335" s="7" t="s">
        <v>2878</v>
      </c>
      <c r="B335" s="7">
        <v>373.0</v>
      </c>
      <c r="C335" s="7">
        <v>280.0</v>
      </c>
      <c r="D335" s="7">
        <v>128.0</v>
      </c>
      <c r="E335" s="7">
        <v>121.0</v>
      </c>
      <c r="F335" s="14"/>
      <c r="G335" s="15"/>
      <c r="H335" s="15"/>
      <c r="I335" s="14"/>
      <c r="J335" s="14"/>
      <c r="K335" s="14"/>
      <c r="L335" s="14"/>
      <c r="M335" s="14"/>
      <c r="N335" s="14"/>
      <c r="O335" s="14"/>
    </row>
    <row r="336" ht="18.75" customHeight="1">
      <c r="A336" s="7" t="s">
        <v>3369</v>
      </c>
      <c r="B336" s="7">
        <v>232.0</v>
      </c>
      <c r="C336" s="7">
        <v>225.0</v>
      </c>
      <c r="D336" s="7">
        <v>98.0</v>
      </c>
      <c r="E336" s="7">
        <v>92.0</v>
      </c>
      <c r="F336" s="14"/>
      <c r="G336" s="15"/>
      <c r="H336" s="15"/>
      <c r="I336" s="14"/>
      <c r="J336" s="14"/>
      <c r="K336" s="14"/>
      <c r="L336" s="14"/>
      <c r="M336" s="14"/>
      <c r="N336" s="14"/>
      <c r="O336" s="14"/>
    </row>
    <row r="337" ht="18.75" customHeight="1">
      <c r="A337" s="7" t="s">
        <v>3494</v>
      </c>
      <c r="B337" s="7">
        <v>111.0</v>
      </c>
      <c r="C337" s="7">
        <v>111.0</v>
      </c>
      <c r="D337" s="7">
        <v>40.0</v>
      </c>
      <c r="E337" s="7">
        <v>40.0</v>
      </c>
      <c r="F337" s="14"/>
      <c r="G337" s="15"/>
      <c r="H337" s="15"/>
      <c r="I337" s="14"/>
      <c r="J337" s="14"/>
      <c r="K337" s="14"/>
      <c r="L337" s="14"/>
      <c r="M337" s="14"/>
      <c r="N337" s="14"/>
      <c r="O337" s="14"/>
    </row>
    <row r="338" ht="18.75" customHeight="1">
      <c r="A338" s="7" t="s">
        <v>3486</v>
      </c>
      <c r="B338" s="7">
        <v>424.0</v>
      </c>
      <c r="C338" s="7">
        <v>424.0</v>
      </c>
      <c r="D338" s="7">
        <v>178.0</v>
      </c>
      <c r="E338" s="7">
        <v>160.0</v>
      </c>
      <c r="F338" s="14"/>
      <c r="G338" s="15"/>
      <c r="H338" s="15"/>
      <c r="I338" s="14"/>
      <c r="J338" s="14"/>
      <c r="K338" s="14"/>
      <c r="L338" s="14"/>
      <c r="M338" s="14"/>
      <c r="N338" s="14"/>
      <c r="O338" s="14"/>
    </row>
    <row r="339" ht="18.75" customHeight="1">
      <c r="A339" s="7" t="s">
        <v>2868</v>
      </c>
      <c r="B339" s="7">
        <v>104.0</v>
      </c>
      <c r="C339" s="7">
        <v>104.0</v>
      </c>
      <c r="D339" s="7">
        <v>47.0</v>
      </c>
      <c r="E339" s="7">
        <v>44.0</v>
      </c>
      <c r="F339" s="14"/>
      <c r="G339" s="15"/>
      <c r="H339" s="15"/>
      <c r="I339" s="14"/>
      <c r="J339" s="14"/>
      <c r="K339" s="14"/>
      <c r="L339" s="14"/>
      <c r="M339" s="14"/>
      <c r="N339" s="14"/>
      <c r="O339" s="14"/>
    </row>
    <row r="340" ht="18.75" customHeight="1">
      <c r="A340" s="7" t="s">
        <v>3486</v>
      </c>
      <c r="B340" s="7">
        <v>511.0</v>
      </c>
      <c r="C340" s="7">
        <v>511.0</v>
      </c>
      <c r="D340" s="7">
        <v>268.0</v>
      </c>
      <c r="E340" s="7">
        <v>232.0</v>
      </c>
      <c r="F340" s="14"/>
      <c r="G340" s="15"/>
      <c r="H340" s="15"/>
      <c r="I340" s="14"/>
      <c r="J340" s="14"/>
      <c r="K340" s="14"/>
      <c r="L340" s="14"/>
      <c r="M340" s="14"/>
      <c r="N340" s="14"/>
    </row>
    <row r="341" ht="18.75" customHeight="1">
      <c r="A341" s="7" t="s">
        <v>2868</v>
      </c>
      <c r="B341" s="7">
        <v>5400.0</v>
      </c>
      <c r="C341" s="7">
        <v>5016.0</v>
      </c>
      <c r="D341" s="7">
        <v>1079.0</v>
      </c>
      <c r="E341" s="7">
        <v>845.0</v>
      </c>
      <c r="F341" s="14"/>
      <c r="G341" s="15"/>
      <c r="H341" s="15"/>
      <c r="I341" s="14"/>
      <c r="J341" s="14"/>
      <c r="K341" s="14"/>
      <c r="L341" s="14"/>
      <c r="M341" s="14"/>
      <c r="N341" s="14"/>
      <c r="O341" s="14"/>
    </row>
    <row r="342" ht="18.75" customHeight="1">
      <c r="A342" s="7" t="s">
        <v>3478</v>
      </c>
      <c r="B342" s="7">
        <v>51.0</v>
      </c>
      <c r="C342" s="7">
        <v>51.0</v>
      </c>
      <c r="D342" s="7">
        <v>22.0</v>
      </c>
      <c r="E342" s="7">
        <v>15.0</v>
      </c>
      <c r="F342" s="14"/>
      <c r="G342" s="15"/>
      <c r="H342" s="15"/>
      <c r="I342" s="14"/>
      <c r="J342" s="14"/>
      <c r="K342" s="14"/>
      <c r="L342" s="14"/>
      <c r="M342" s="14"/>
      <c r="N342" s="14"/>
      <c r="O342" s="14"/>
    </row>
    <row r="343" ht="18.75" customHeight="1">
      <c r="A343" s="7" t="s">
        <v>3167</v>
      </c>
      <c r="B343" s="7">
        <v>1000.0</v>
      </c>
      <c r="C343" s="7">
        <v>774.0</v>
      </c>
      <c r="D343" s="7">
        <v>324.0</v>
      </c>
      <c r="E343" s="7">
        <v>303.0</v>
      </c>
      <c r="F343" s="14"/>
      <c r="G343" s="15"/>
      <c r="H343" s="15"/>
      <c r="I343" s="14"/>
      <c r="J343" s="14"/>
      <c r="K343" s="14"/>
      <c r="L343" s="14"/>
      <c r="M343" s="14"/>
      <c r="N343" s="14"/>
      <c r="O343" s="14"/>
    </row>
    <row r="344" ht="18.75" customHeight="1">
      <c r="A344" s="7" t="s">
        <v>3434</v>
      </c>
      <c r="B344" s="7">
        <v>3700.0</v>
      </c>
      <c r="C344" s="7">
        <v>3166.0</v>
      </c>
      <c r="D344" s="7">
        <v>513.0</v>
      </c>
      <c r="E344" s="7">
        <v>412.0</v>
      </c>
      <c r="F344" s="14"/>
      <c r="G344" s="15"/>
      <c r="H344" s="15"/>
      <c r="I344" s="14"/>
      <c r="J344" s="14"/>
      <c r="K344" s="14"/>
      <c r="L344" s="14"/>
      <c r="M344" s="14"/>
      <c r="N344" s="14"/>
      <c r="O344" s="14"/>
    </row>
    <row r="345" ht="18.75" customHeight="1">
      <c r="A345" s="7" t="s">
        <v>3434</v>
      </c>
      <c r="B345" s="7">
        <v>119.0</v>
      </c>
      <c r="C345" s="7">
        <v>119.0</v>
      </c>
      <c r="D345" s="7">
        <v>87.0</v>
      </c>
      <c r="E345" s="7">
        <v>68.0</v>
      </c>
      <c r="F345" s="14"/>
      <c r="G345" s="15"/>
      <c r="H345" s="15"/>
      <c r="I345" s="14"/>
      <c r="J345" s="14"/>
      <c r="K345" s="14"/>
      <c r="L345" s="14"/>
      <c r="M345" s="14"/>
      <c r="N345" s="14"/>
      <c r="O345" s="14"/>
    </row>
    <row r="346" ht="18.75" customHeight="1">
      <c r="A346" s="7" t="s">
        <v>3441</v>
      </c>
      <c r="B346" s="7">
        <v>209.0</v>
      </c>
      <c r="C346" s="7">
        <v>209.0</v>
      </c>
      <c r="D346" s="7">
        <v>135.0</v>
      </c>
      <c r="E346" s="7">
        <v>112.0</v>
      </c>
      <c r="F346" s="14"/>
      <c r="G346" s="15"/>
      <c r="H346" s="15"/>
      <c r="I346" s="14"/>
      <c r="J346" s="14"/>
      <c r="K346" s="14"/>
      <c r="L346" s="14"/>
      <c r="M346" s="14"/>
      <c r="N346" s="14"/>
      <c r="O346" s="14"/>
    </row>
    <row r="347" ht="18.75" customHeight="1">
      <c r="A347" s="7" t="s">
        <v>3441</v>
      </c>
      <c r="B347" s="7">
        <v>273.0</v>
      </c>
      <c r="C347" s="7">
        <v>273.0</v>
      </c>
      <c r="D347" s="7">
        <v>108.0</v>
      </c>
      <c r="E347" s="7">
        <v>102.0</v>
      </c>
      <c r="F347" s="14"/>
      <c r="G347" s="15"/>
      <c r="H347" s="15"/>
      <c r="I347" s="14"/>
      <c r="J347" s="14"/>
      <c r="K347" s="14"/>
      <c r="L347" s="14"/>
      <c r="M347" s="14"/>
      <c r="N347" s="14"/>
      <c r="O347" s="14"/>
    </row>
    <row r="348" ht="18.75" customHeight="1">
      <c r="A348" s="7" t="s">
        <v>2895</v>
      </c>
      <c r="B348" s="7">
        <v>6000.0</v>
      </c>
      <c r="C348" s="7">
        <v>3823.0</v>
      </c>
      <c r="D348" s="7">
        <v>736.0</v>
      </c>
      <c r="E348" s="7">
        <v>604.0</v>
      </c>
      <c r="F348" s="14"/>
      <c r="G348" s="15"/>
      <c r="H348" s="15"/>
      <c r="I348" s="14"/>
      <c r="J348" s="14"/>
      <c r="K348" s="14"/>
      <c r="L348" s="14"/>
      <c r="M348" s="14"/>
      <c r="N348" s="14"/>
      <c r="O348" s="14"/>
    </row>
    <row r="349" ht="18.75" customHeight="1">
      <c r="A349" s="7" t="s">
        <v>2895</v>
      </c>
      <c r="B349" s="7">
        <v>1786.0</v>
      </c>
      <c r="C349" s="7">
        <v>1384.0</v>
      </c>
      <c r="D349" s="7">
        <v>539.0</v>
      </c>
      <c r="E349" s="7">
        <v>522.0</v>
      </c>
      <c r="F349" s="14"/>
      <c r="G349" s="15"/>
      <c r="H349" s="15"/>
      <c r="I349" s="14"/>
      <c r="J349" s="14"/>
      <c r="K349" s="14"/>
      <c r="L349" s="14"/>
      <c r="M349" s="14"/>
      <c r="N349" s="14"/>
      <c r="O349" s="14"/>
    </row>
    <row r="350" ht="18.75" customHeight="1">
      <c r="A350" s="7" t="s">
        <v>3396</v>
      </c>
      <c r="B350" s="7">
        <v>306.0</v>
      </c>
      <c r="C350" s="7">
        <v>306.0</v>
      </c>
      <c r="D350" s="7">
        <v>175.0</v>
      </c>
      <c r="E350" s="7">
        <v>143.0</v>
      </c>
      <c r="F350" s="14"/>
      <c r="G350" s="15"/>
      <c r="H350" s="15"/>
      <c r="I350" s="14"/>
      <c r="J350" s="14"/>
      <c r="K350" s="14"/>
      <c r="L350" s="14"/>
      <c r="M350" s="14"/>
      <c r="N350" s="14"/>
      <c r="O350" s="14"/>
    </row>
    <row r="351" ht="18.75" customHeight="1">
      <c r="A351" s="7" t="s">
        <v>3396</v>
      </c>
      <c r="B351" s="7">
        <v>145.0</v>
      </c>
      <c r="C351" s="7">
        <v>145.0</v>
      </c>
      <c r="D351" s="7">
        <v>65.0</v>
      </c>
      <c r="E351" s="7">
        <v>62.0</v>
      </c>
      <c r="F351" s="14"/>
      <c r="G351" s="15"/>
      <c r="H351" s="15"/>
      <c r="I351" s="14"/>
      <c r="J351" s="14"/>
      <c r="K351" s="14"/>
      <c r="L351" s="14"/>
      <c r="M351" s="14"/>
      <c r="N351" s="14"/>
      <c r="O351" s="14"/>
    </row>
    <row r="352" ht="18.75" customHeight="1">
      <c r="A352" s="7" t="s">
        <v>3401</v>
      </c>
      <c r="B352" s="7">
        <v>206.0</v>
      </c>
      <c r="C352" s="7">
        <v>206.0</v>
      </c>
      <c r="D352" s="7">
        <v>120.0</v>
      </c>
      <c r="E352" s="7">
        <v>100.0</v>
      </c>
      <c r="F352" s="14"/>
      <c r="G352" s="15"/>
      <c r="H352" s="15"/>
      <c r="I352" s="14"/>
      <c r="J352" s="14"/>
      <c r="K352" s="14"/>
      <c r="L352" s="14"/>
      <c r="M352" s="14"/>
      <c r="N352" s="14"/>
      <c r="O352" s="14"/>
    </row>
    <row r="353" ht="18.75" customHeight="1">
      <c r="A353" s="7" t="s">
        <v>2777</v>
      </c>
      <c r="B353" s="7">
        <v>181.0</v>
      </c>
      <c r="C353" s="7">
        <v>181.0</v>
      </c>
      <c r="D353" s="7">
        <v>138.0</v>
      </c>
      <c r="E353" s="7">
        <v>115.0</v>
      </c>
      <c r="F353" s="14"/>
      <c r="G353" s="15"/>
      <c r="H353" s="15"/>
      <c r="I353" s="14"/>
      <c r="J353" s="14"/>
      <c r="K353" s="14"/>
      <c r="L353" s="14"/>
      <c r="M353" s="14"/>
      <c r="N353" s="14"/>
      <c r="O353" s="14"/>
    </row>
    <row r="354" ht="18.75" customHeight="1">
      <c r="A354" s="7" t="s">
        <v>2777</v>
      </c>
      <c r="B354" s="7">
        <v>117.0</v>
      </c>
      <c r="C354" s="7">
        <v>117.0</v>
      </c>
      <c r="D354" s="7">
        <v>47.0</v>
      </c>
      <c r="E354" s="7">
        <v>44.0</v>
      </c>
      <c r="F354" s="14"/>
      <c r="G354" s="15"/>
      <c r="H354" s="15"/>
      <c r="I354" s="14"/>
      <c r="J354" s="14"/>
      <c r="K354" s="14"/>
      <c r="L354" s="14"/>
      <c r="M354" s="14"/>
      <c r="N354" s="14"/>
      <c r="O354" s="14"/>
    </row>
    <row r="355" ht="18.75" customHeight="1">
      <c r="A355" s="7" t="s">
        <v>2866</v>
      </c>
      <c r="B355" s="7">
        <v>1300.0</v>
      </c>
      <c r="C355" s="7">
        <v>536.0</v>
      </c>
      <c r="D355" s="7">
        <v>94.0</v>
      </c>
      <c r="E355" s="7">
        <v>62.0</v>
      </c>
      <c r="F355" s="14"/>
      <c r="G355" s="15"/>
      <c r="H355" s="15"/>
      <c r="I355" s="14"/>
      <c r="J355" s="14"/>
      <c r="K355" s="14"/>
      <c r="L355" s="14"/>
      <c r="M355" s="14"/>
      <c r="N355" s="14"/>
      <c r="O355" s="14"/>
    </row>
    <row r="356" ht="18.75" customHeight="1">
      <c r="A356" s="7" t="s">
        <v>2866</v>
      </c>
      <c r="B356" s="7">
        <v>69.0</v>
      </c>
      <c r="C356" s="7">
        <v>69.0</v>
      </c>
      <c r="D356" s="7">
        <v>39.0</v>
      </c>
      <c r="E356" s="7">
        <v>38.0</v>
      </c>
      <c r="F356" s="14"/>
      <c r="G356" s="15"/>
      <c r="H356" s="15"/>
      <c r="I356" s="14"/>
      <c r="J356" s="14"/>
      <c r="K356" s="14"/>
      <c r="L356" s="14"/>
      <c r="M356" s="14"/>
      <c r="N356" s="14"/>
      <c r="O356" s="14"/>
    </row>
    <row r="357" ht="18.75" customHeight="1">
      <c r="A357" s="7" t="s">
        <v>3353</v>
      </c>
      <c r="B357" s="7">
        <v>0.0</v>
      </c>
      <c r="C357" s="7">
        <v>0.0</v>
      </c>
      <c r="D357" s="7">
        <v>0.0</v>
      </c>
      <c r="E357" s="7">
        <v>0.0</v>
      </c>
      <c r="F357" s="14"/>
      <c r="I357" s="14"/>
      <c r="J357" s="14"/>
      <c r="K357" s="14"/>
      <c r="L357" s="14"/>
      <c r="M357" s="14"/>
      <c r="N357" s="14"/>
      <c r="O357" s="14"/>
    </row>
    <row r="358" ht="18.75" customHeight="1">
      <c r="A358" s="7" t="s">
        <v>3353</v>
      </c>
      <c r="B358" s="7">
        <v>0.0</v>
      </c>
      <c r="C358" s="7">
        <v>0.0</v>
      </c>
      <c r="D358" s="7">
        <v>0.0</v>
      </c>
      <c r="E358" s="7">
        <v>0.0</v>
      </c>
      <c r="F358" s="14"/>
      <c r="I358" s="14"/>
      <c r="J358" s="14"/>
      <c r="K358" s="14"/>
      <c r="L358" s="14"/>
      <c r="M358" s="14"/>
      <c r="N358" s="14"/>
      <c r="O358" s="14"/>
    </row>
    <row r="359" ht="18.75" customHeight="1">
      <c r="A359" s="7" t="s">
        <v>3363</v>
      </c>
      <c r="B359" s="7">
        <v>734.0</v>
      </c>
      <c r="C359" s="7">
        <v>417.0</v>
      </c>
      <c r="D359" s="7">
        <v>176.0</v>
      </c>
      <c r="E359" s="7">
        <v>156.0</v>
      </c>
      <c r="F359" s="14"/>
      <c r="G359" s="15"/>
      <c r="H359" s="15"/>
      <c r="I359" s="14"/>
      <c r="J359" s="14"/>
      <c r="K359" s="14"/>
      <c r="L359" s="14"/>
      <c r="M359" s="14"/>
      <c r="N359" s="14"/>
      <c r="O359" s="14"/>
    </row>
    <row r="360" ht="18.75" customHeight="1">
      <c r="A360" s="7" t="s">
        <v>2893</v>
      </c>
      <c r="B360" s="7">
        <v>7018.0</v>
      </c>
      <c r="C360" s="7">
        <v>934.0</v>
      </c>
      <c r="D360" s="7">
        <v>194.0</v>
      </c>
      <c r="E360" s="7">
        <v>149.0</v>
      </c>
      <c r="F360" s="14"/>
      <c r="G360" s="15"/>
      <c r="H360" s="15"/>
      <c r="I360" s="14"/>
      <c r="J360" s="14"/>
      <c r="K360" s="14"/>
      <c r="L360" s="14"/>
      <c r="M360" s="14"/>
      <c r="N360" s="14"/>
      <c r="O360" s="14"/>
    </row>
    <row r="361" ht="18.75" customHeight="1">
      <c r="A361" s="7" t="s">
        <v>2893</v>
      </c>
      <c r="B361" s="7">
        <v>135.0</v>
      </c>
      <c r="C361" s="7">
        <v>135.0</v>
      </c>
      <c r="D361" s="7">
        <v>62.0</v>
      </c>
      <c r="E361" s="7">
        <v>59.0</v>
      </c>
      <c r="F361" s="14"/>
      <c r="G361" s="15"/>
      <c r="H361" s="15"/>
      <c r="I361" s="14"/>
      <c r="J361" s="14"/>
      <c r="K361" s="14"/>
      <c r="L361" s="14"/>
      <c r="M361" s="14"/>
      <c r="N361" s="14"/>
      <c r="O361" s="14"/>
    </row>
    <row r="362" ht="18.75" customHeight="1">
      <c r="A362" s="7" t="s">
        <v>3404</v>
      </c>
      <c r="B362" s="7">
        <v>0.0</v>
      </c>
      <c r="C362" s="7">
        <v>0.0</v>
      </c>
      <c r="D362" s="7">
        <v>0.0</v>
      </c>
      <c r="E362" s="7">
        <v>0.0</v>
      </c>
      <c r="F362" s="14"/>
      <c r="G362" s="15"/>
      <c r="H362" s="15"/>
      <c r="I362" s="14"/>
      <c r="J362" s="14"/>
      <c r="K362" s="14"/>
      <c r="L362" s="14"/>
      <c r="M362" s="14"/>
      <c r="N362" s="14"/>
      <c r="O362" s="14"/>
    </row>
    <row r="363" ht="18.75" customHeight="1">
      <c r="A363" s="7" t="s">
        <v>2978</v>
      </c>
      <c r="B363" s="7">
        <v>309.0</v>
      </c>
      <c r="C363" s="7">
        <v>309.0</v>
      </c>
      <c r="D363" s="7">
        <v>169.0</v>
      </c>
      <c r="E363" s="7">
        <v>149.0</v>
      </c>
      <c r="F363" s="14"/>
      <c r="G363" s="15"/>
      <c r="H363" s="15"/>
      <c r="I363" s="14"/>
      <c r="J363" s="14"/>
      <c r="K363" s="14"/>
      <c r="L363" s="14"/>
      <c r="M363" s="14"/>
      <c r="N363" s="14"/>
      <c r="O363" s="14"/>
    </row>
    <row r="364" ht="18.75" customHeight="1">
      <c r="A364" s="7" t="s">
        <v>2969</v>
      </c>
      <c r="B364" s="7">
        <v>213.0</v>
      </c>
      <c r="C364" s="7">
        <v>213.0</v>
      </c>
      <c r="D364" s="7">
        <v>91.0</v>
      </c>
      <c r="E364" s="7">
        <v>75.0</v>
      </c>
      <c r="F364" s="14"/>
      <c r="G364" s="15"/>
      <c r="H364" s="15"/>
      <c r="I364" s="14"/>
      <c r="J364" s="14"/>
      <c r="K364" s="14"/>
      <c r="L364" s="14"/>
      <c r="M364" s="14"/>
      <c r="N364" s="14"/>
      <c r="O364" s="14"/>
    </row>
    <row r="365" ht="18.75" customHeight="1">
      <c r="A365" s="7" t="s">
        <v>2894</v>
      </c>
      <c r="B365" s="7">
        <v>61.0</v>
      </c>
      <c r="C365" s="7">
        <v>61.0</v>
      </c>
      <c r="D365" s="7">
        <v>43.0</v>
      </c>
      <c r="E365" s="7">
        <v>28.0</v>
      </c>
      <c r="F365" s="14"/>
      <c r="G365" s="15"/>
      <c r="H365" s="15"/>
      <c r="I365" s="14"/>
      <c r="J365" s="14"/>
      <c r="K365" s="14"/>
      <c r="L365" s="14"/>
      <c r="M365" s="14"/>
      <c r="N365" s="14"/>
      <c r="O365" s="14"/>
    </row>
    <row r="366" ht="18.75" customHeight="1">
      <c r="A366" s="7" t="s">
        <v>2894</v>
      </c>
      <c r="B366" s="7">
        <v>45.0</v>
      </c>
      <c r="C366" s="7">
        <v>45.0</v>
      </c>
      <c r="D366" s="7">
        <v>24.0</v>
      </c>
      <c r="E366" s="7">
        <v>21.0</v>
      </c>
      <c r="F366" s="14"/>
      <c r="G366" s="15"/>
      <c r="H366" s="15"/>
      <c r="I366" s="14"/>
      <c r="J366" s="14"/>
      <c r="K366" s="14"/>
      <c r="L366" s="14"/>
      <c r="M366" s="14"/>
      <c r="N366" s="14"/>
      <c r="O366" s="14"/>
    </row>
    <row r="367" ht="18.75" customHeight="1">
      <c r="A367" s="7" t="s">
        <v>3849</v>
      </c>
      <c r="B367" s="7">
        <v>1500.0</v>
      </c>
      <c r="C367" s="7">
        <v>1280.0</v>
      </c>
      <c r="D367" s="7">
        <v>534.0</v>
      </c>
      <c r="E367" s="7">
        <v>504.0</v>
      </c>
      <c r="F367" s="14"/>
      <c r="G367" s="15"/>
      <c r="H367" s="15"/>
      <c r="I367" s="14"/>
      <c r="J367" s="14"/>
      <c r="K367" s="14"/>
      <c r="L367" s="14"/>
      <c r="M367" s="14"/>
      <c r="N367" s="14"/>
      <c r="O367" s="14"/>
    </row>
    <row r="368" ht="18.75" customHeight="1">
      <c r="A368" s="7" t="s">
        <v>3516</v>
      </c>
      <c r="B368" s="7">
        <v>239.0</v>
      </c>
      <c r="C368" s="7">
        <v>177.0</v>
      </c>
      <c r="D368" s="7">
        <v>88.0</v>
      </c>
      <c r="E368" s="7">
        <v>85.0</v>
      </c>
      <c r="F368" s="14"/>
      <c r="G368" s="15"/>
      <c r="H368" s="15"/>
      <c r="I368" s="14"/>
      <c r="J368" s="14"/>
      <c r="K368" s="14"/>
      <c r="L368" s="14"/>
      <c r="M368" s="14"/>
      <c r="N368" s="14"/>
      <c r="O368" s="14"/>
    </row>
    <row r="369" ht="18.75" customHeight="1">
      <c r="A369" s="7" t="s">
        <v>3400</v>
      </c>
      <c r="B369" s="7">
        <v>306.0</v>
      </c>
      <c r="C369" s="7">
        <v>252.0</v>
      </c>
      <c r="D369" s="7">
        <v>99.0</v>
      </c>
      <c r="E369" s="7">
        <v>89.0</v>
      </c>
      <c r="F369" s="14"/>
      <c r="G369" s="15"/>
      <c r="H369" s="15"/>
      <c r="I369" s="14"/>
      <c r="J369" s="14"/>
      <c r="K369" s="14"/>
      <c r="L369" s="14"/>
      <c r="M369" s="14"/>
      <c r="N369" s="14"/>
      <c r="O369" s="14"/>
    </row>
    <row r="370" ht="18.75" customHeight="1">
      <c r="A370" s="7" t="s">
        <v>2959</v>
      </c>
      <c r="B370" s="7">
        <v>531.0</v>
      </c>
      <c r="C370" s="7">
        <v>347.0</v>
      </c>
      <c r="D370" s="7">
        <v>151.0</v>
      </c>
      <c r="E370" s="7">
        <v>141.0</v>
      </c>
      <c r="F370" s="14"/>
      <c r="G370" s="15"/>
      <c r="H370" s="15"/>
      <c r="I370" s="14"/>
      <c r="J370" s="14"/>
      <c r="K370" s="14"/>
      <c r="L370" s="14"/>
      <c r="M370" s="14"/>
      <c r="N370" s="14"/>
      <c r="O370" s="14"/>
    </row>
    <row r="371" ht="18.75" customHeight="1">
      <c r="A371" s="7" t="s">
        <v>2801</v>
      </c>
      <c r="B371" s="7">
        <v>0.0</v>
      </c>
      <c r="C371" s="7">
        <v>0.0</v>
      </c>
      <c r="D371" s="7">
        <v>0.0</v>
      </c>
      <c r="E371" s="7">
        <v>0.0</v>
      </c>
      <c r="F371" s="14"/>
      <c r="G371" s="15"/>
      <c r="H371" s="15"/>
      <c r="I371" s="14"/>
      <c r="J371" s="14"/>
      <c r="K371" s="14"/>
      <c r="L371" s="14"/>
      <c r="M371" s="14"/>
      <c r="N371" s="14"/>
    </row>
    <row r="372" ht="18.75" customHeight="1">
      <c r="A372" s="7" t="s">
        <v>2770</v>
      </c>
      <c r="B372" s="7">
        <v>35000.0</v>
      </c>
      <c r="C372" s="7">
        <v>21313.0</v>
      </c>
      <c r="D372" s="7">
        <v>4465.0</v>
      </c>
      <c r="E372" s="7">
        <v>3330.0</v>
      </c>
      <c r="F372" s="14"/>
      <c r="G372" s="15"/>
      <c r="H372" s="15"/>
      <c r="I372" s="14"/>
      <c r="J372" s="14"/>
      <c r="K372" s="14"/>
      <c r="L372" s="14"/>
      <c r="M372" s="14"/>
      <c r="N372" s="14"/>
      <c r="O372" s="14"/>
    </row>
    <row r="373" ht="18.75" customHeight="1">
      <c r="A373" s="7" t="s">
        <v>3469</v>
      </c>
      <c r="B373" s="7">
        <v>10000.0</v>
      </c>
      <c r="C373" s="7">
        <v>6682.0</v>
      </c>
      <c r="D373" s="7">
        <v>2020.0</v>
      </c>
      <c r="E373" s="7">
        <v>1565.0</v>
      </c>
      <c r="F373" s="14"/>
      <c r="G373" s="15"/>
      <c r="H373" s="15"/>
      <c r="I373" s="14"/>
      <c r="J373" s="14"/>
      <c r="K373" s="14"/>
      <c r="L373" s="14"/>
      <c r="M373" s="14"/>
      <c r="N373" s="14"/>
      <c r="O373" s="14"/>
    </row>
    <row r="374" ht="18.75" customHeight="1">
      <c r="A374" s="7" t="s">
        <v>3469</v>
      </c>
      <c r="B374" s="7">
        <v>516.0</v>
      </c>
      <c r="C374" s="7">
        <v>516.0</v>
      </c>
      <c r="D374" s="7">
        <v>273.0</v>
      </c>
      <c r="E374" s="7">
        <v>244.0</v>
      </c>
      <c r="F374" s="14"/>
      <c r="G374" s="15"/>
      <c r="H374" s="15"/>
      <c r="I374" s="14"/>
      <c r="J374" s="14"/>
      <c r="K374" s="14"/>
      <c r="L374" s="14"/>
      <c r="M374" s="14"/>
      <c r="N374" s="14"/>
      <c r="O374" s="14"/>
    </row>
    <row r="375" ht="18.75" customHeight="1">
      <c r="A375" s="7" t="s">
        <v>3850</v>
      </c>
      <c r="B375" s="7">
        <v>1577.0</v>
      </c>
      <c r="C375" s="7">
        <v>1526.0</v>
      </c>
      <c r="D375" s="7">
        <v>971.0</v>
      </c>
      <c r="E375" s="7">
        <v>849.0</v>
      </c>
      <c r="F375" s="14"/>
      <c r="G375" s="15"/>
      <c r="H375" s="15"/>
      <c r="I375" s="14"/>
      <c r="J375" s="14"/>
      <c r="K375" s="14"/>
      <c r="L375" s="14"/>
      <c r="M375" s="14"/>
      <c r="N375" s="14"/>
      <c r="O375" s="14"/>
    </row>
    <row r="376" ht="18.75" customHeight="1">
      <c r="A376" s="7" t="s">
        <v>3850</v>
      </c>
      <c r="B376" s="7">
        <v>355.0</v>
      </c>
      <c r="C376" s="7">
        <v>355.0</v>
      </c>
      <c r="D376" s="7">
        <v>300.0</v>
      </c>
      <c r="E376" s="7">
        <v>221.0</v>
      </c>
      <c r="F376" s="14"/>
      <c r="G376" s="15"/>
      <c r="H376" s="15"/>
      <c r="I376" s="14"/>
      <c r="J376" s="14"/>
      <c r="K376" s="14"/>
      <c r="L376" s="14"/>
      <c r="M376" s="14"/>
      <c r="N376" s="14"/>
      <c r="O376" s="14"/>
    </row>
    <row r="377" ht="18.75" customHeight="1">
      <c r="A377" s="7" t="s">
        <v>3465</v>
      </c>
      <c r="B377" s="7">
        <v>5000.0</v>
      </c>
      <c r="C377" s="7">
        <v>3138.0</v>
      </c>
      <c r="D377" s="7">
        <v>489.0</v>
      </c>
      <c r="E377" s="7">
        <v>362.0</v>
      </c>
      <c r="F377" s="14"/>
      <c r="G377" s="15"/>
      <c r="H377" s="15"/>
      <c r="I377" s="14"/>
      <c r="J377" s="14"/>
      <c r="K377" s="14"/>
      <c r="L377" s="14"/>
      <c r="M377" s="14"/>
      <c r="N377" s="14"/>
      <c r="O377" s="14"/>
    </row>
    <row r="378" ht="18.75" customHeight="1">
      <c r="A378" s="7" t="s">
        <v>3465</v>
      </c>
      <c r="B378" s="7">
        <v>467.0</v>
      </c>
      <c r="C378" s="7">
        <v>467.0</v>
      </c>
      <c r="D378" s="7">
        <v>141.0</v>
      </c>
      <c r="E378" s="7">
        <v>122.0</v>
      </c>
      <c r="F378" s="14"/>
      <c r="G378" s="15"/>
      <c r="H378" s="15"/>
      <c r="I378" s="14"/>
      <c r="J378" s="14"/>
      <c r="K378" s="14"/>
      <c r="L378" s="14"/>
      <c r="M378" s="14"/>
      <c r="N378" s="14"/>
      <c r="O378" s="14"/>
    </row>
    <row r="379" ht="18.75" customHeight="1">
      <c r="A379" s="7" t="s">
        <v>3516</v>
      </c>
      <c r="B379" s="7">
        <v>80.0</v>
      </c>
      <c r="C379" s="7">
        <v>80.0</v>
      </c>
      <c r="D379" s="7">
        <v>62.0</v>
      </c>
      <c r="E379" s="7">
        <v>62.0</v>
      </c>
      <c r="F379" s="14"/>
      <c r="G379" s="15"/>
      <c r="H379" s="15"/>
      <c r="I379" s="14"/>
      <c r="J379" s="14"/>
      <c r="K379" s="14"/>
      <c r="L379" s="14"/>
      <c r="M379" s="14"/>
      <c r="N379" s="14"/>
      <c r="O379" s="14"/>
    </row>
    <row r="380" ht="18.75" customHeight="1">
      <c r="A380" s="7" t="s">
        <v>3399</v>
      </c>
      <c r="B380" s="7">
        <v>245.0</v>
      </c>
      <c r="C380" s="7">
        <v>245.0</v>
      </c>
      <c r="D380" s="7">
        <v>139.0</v>
      </c>
      <c r="E380" s="7">
        <v>74.0</v>
      </c>
      <c r="F380" s="14"/>
      <c r="G380" s="15"/>
      <c r="H380" s="15"/>
      <c r="I380" s="14"/>
      <c r="J380" s="14"/>
      <c r="K380" s="14"/>
      <c r="L380" s="14"/>
      <c r="M380" s="14"/>
      <c r="N380" s="14"/>
      <c r="O380" s="14"/>
    </row>
    <row r="381" ht="18.75" customHeight="1">
      <c r="A381" s="7" t="s">
        <v>3513</v>
      </c>
      <c r="B381" s="7">
        <v>13000.0</v>
      </c>
      <c r="C381" s="7">
        <v>12841.0</v>
      </c>
      <c r="D381" s="7">
        <v>2537.0</v>
      </c>
      <c r="E381" s="7">
        <v>1954.0</v>
      </c>
      <c r="F381" s="14"/>
      <c r="G381" s="15"/>
      <c r="H381" s="15"/>
      <c r="I381" s="14"/>
      <c r="J381" s="14"/>
      <c r="K381" s="14"/>
      <c r="L381" s="14"/>
      <c r="M381" s="14"/>
      <c r="N381" s="14"/>
      <c r="O381" s="14"/>
    </row>
    <row r="382" ht="18.75" customHeight="1">
      <c r="A382" s="7" t="s">
        <v>3513</v>
      </c>
      <c r="B382" s="7">
        <v>1735.0</v>
      </c>
      <c r="C382" s="7">
        <v>1735.0</v>
      </c>
      <c r="D382" s="7">
        <v>553.0</v>
      </c>
      <c r="E382" s="7">
        <v>505.0</v>
      </c>
      <c r="F382" s="14"/>
      <c r="G382" s="15"/>
      <c r="H382" s="15"/>
      <c r="I382" s="14"/>
      <c r="J382" s="14"/>
      <c r="K382" s="14"/>
      <c r="L382" s="14"/>
      <c r="M382" s="14"/>
      <c r="N382" s="14"/>
      <c r="O382" s="14"/>
    </row>
    <row r="383" ht="18.75" customHeight="1">
      <c r="A383" s="7" t="s">
        <v>3518</v>
      </c>
      <c r="B383" s="7">
        <v>414.0</v>
      </c>
      <c r="C383" s="7">
        <v>414.0</v>
      </c>
      <c r="D383" s="7">
        <v>162.0</v>
      </c>
      <c r="E383" s="7">
        <v>151.0</v>
      </c>
      <c r="F383" s="14"/>
      <c r="G383" s="15"/>
      <c r="H383" s="15"/>
      <c r="I383" s="14"/>
      <c r="J383" s="14"/>
      <c r="K383" s="14"/>
      <c r="L383" s="14"/>
      <c r="M383" s="14"/>
      <c r="N383" s="14"/>
      <c r="O383" s="14"/>
    </row>
    <row r="384" ht="18.75" customHeight="1">
      <c r="A384" s="7" t="s">
        <v>2961</v>
      </c>
      <c r="B384" s="7">
        <v>125.0</v>
      </c>
      <c r="C384" s="7">
        <v>116.0</v>
      </c>
      <c r="D384" s="7">
        <v>45.0</v>
      </c>
      <c r="E384" s="7">
        <v>39.0</v>
      </c>
      <c r="F384" s="14"/>
      <c r="G384" s="15"/>
      <c r="H384" s="15"/>
      <c r="I384" s="14"/>
      <c r="J384" s="14"/>
      <c r="K384" s="14"/>
      <c r="L384" s="14"/>
      <c r="M384" s="14"/>
      <c r="N384" s="14"/>
      <c r="O384" s="14"/>
    </row>
    <row r="385" ht="18.75" customHeight="1">
      <c r="A385" s="7" t="s">
        <v>2867</v>
      </c>
      <c r="B385" s="7">
        <v>3300.0</v>
      </c>
      <c r="C385" s="7">
        <v>3300.0</v>
      </c>
      <c r="D385" s="7">
        <v>669.0</v>
      </c>
      <c r="E385" s="7">
        <v>510.0</v>
      </c>
      <c r="F385" s="14"/>
      <c r="G385" s="15"/>
      <c r="H385" s="15"/>
      <c r="I385" s="14"/>
      <c r="J385" s="14"/>
      <c r="K385" s="14"/>
      <c r="L385" s="14"/>
      <c r="M385" s="14"/>
      <c r="N385" s="14"/>
      <c r="O385" s="14"/>
    </row>
    <row r="386" ht="18.75" customHeight="1">
      <c r="A386" s="7" t="s">
        <v>2867</v>
      </c>
      <c r="B386" s="7">
        <v>33.0</v>
      </c>
      <c r="C386" s="7">
        <v>33.0</v>
      </c>
      <c r="D386" s="7">
        <v>15.0</v>
      </c>
      <c r="E386" s="7">
        <v>14.0</v>
      </c>
      <c r="F386" s="14"/>
      <c r="G386" s="15"/>
      <c r="H386" s="15"/>
      <c r="I386" s="14"/>
      <c r="J386" s="14"/>
      <c r="K386" s="14"/>
      <c r="L386" s="14"/>
      <c r="M386" s="14"/>
      <c r="N386" s="14"/>
      <c r="O386" s="14"/>
    </row>
    <row r="387" ht="18.75" customHeight="1">
      <c r="A387" s="7" t="s">
        <v>2797</v>
      </c>
      <c r="B387" s="7">
        <v>72.0</v>
      </c>
      <c r="C387" s="7">
        <v>72.0</v>
      </c>
      <c r="D387" s="7">
        <v>46.0</v>
      </c>
      <c r="E387" s="7">
        <v>29.0</v>
      </c>
      <c r="F387" s="14"/>
      <c r="G387" s="15"/>
      <c r="H387" s="15"/>
      <c r="I387" s="14"/>
      <c r="J387" s="14"/>
      <c r="K387" s="14"/>
      <c r="L387" s="14"/>
      <c r="M387" s="14"/>
      <c r="N387" s="14"/>
      <c r="O387" s="14"/>
    </row>
    <row r="388" ht="18.75" customHeight="1">
      <c r="A388" s="7" t="s">
        <v>3459</v>
      </c>
      <c r="B388" s="7">
        <v>97.0</v>
      </c>
      <c r="C388" s="7">
        <v>97.0</v>
      </c>
      <c r="D388" s="7">
        <v>54.0</v>
      </c>
      <c r="E388" s="7">
        <v>41.0</v>
      </c>
      <c r="F388" s="14"/>
      <c r="G388" s="15"/>
      <c r="H388" s="15"/>
      <c r="I388" s="14"/>
      <c r="J388" s="14"/>
      <c r="K388" s="14"/>
      <c r="L388" s="14"/>
      <c r="M388" s="14"/>
      <c r="N388" s="14"/>
      <c r="O388" s="14"/>
    </row>
    <row r="389" ht="18.75" customHeight="1">
      <c r="A389" s="7" t="s">
        <v>3474</v>
      </c>
      <c r="B389" s="7">
        <v>2848.0</v>
      </c>
      <c r="C389" s="7">
        <v>2848.0</v>
      </c>
      <c r="D389" s="7">
        <v>623.0</v>
      </c>
      <c r="E389" s="7">
        <v>490.0</v>
      </c>
      <c r="F389" s="14"/>
      <c r="G389" s="15"/>
      <c r="H389" s="15"/>
      <c r="I389" s="14"/>
      <c r="J389" s="14"/>
      <c r="K389" s="14"/>
      <c r="L389" s="14"/>
      <c r="M389" s="14"/>
      <c r="N389" s="14"/>
      <c r="O389" s="14"/>
    </row>
    <row r="390" ht="18.75" customHeight="1">
      <c r="A390" s="7" t="s">
        <v>3474</v>
      </c>
      <c r="B390" s="7">
        <v>124.0</v>
      </c>
      <c r="C390" s="7">
        <v>124.0</v>
      </c>
      <c r="D390" s="7">
        <v>61.0</v>
      </c>
      <c r="E390" s="7">
        <v>60.0</v>
      </c>
      <c r="F390" s="14"/>
      <c r="G390" s="15"/>
      <c r="H390" s="15"/>
      <c r="I390" s="14"/>
      <c r="J390" s="14"/>
      <c r="K390" s="14"/>
      <c r="L390" s="14"/>
      <c r="M390" s="14"/>
      <c r="N390" s="14"/>
      <c r="O390" s="14"/>
    </row>
    <row r="391" ht="18.75" customHeight="1">
      <c r="A391" s="7" t="s">
        <v>3851</v>
      </c>
      <c r="B391" s="7">
        <v>2174.0</v>
      </c>
      <c r="C391" s="7">
        <v>1098.0</v>
      </c>
      <c r="D391" s="7">
        <v>285.0</v>
      </c>
      <c r="E391" s="7">
        <v>218.0</v>
      </c>
      <c r="F391" s="14"/>
      <c r="G391" s="15"/>
      <c r="H391" s="15"/>
      <c r="I391" s="14"/>
      <c r="J391" s="14"/>
      <c r="K391" s="14"/>
      <c r="L391" s="14"/>
      <c r="M391" s="14"/>
      <c r="N391" s="14"/>
      <c r="O391" s="14"/>
    </row>
    <row r="392" ht="18.75" customHeight="1">
      <c r="A392" s="7" t="s">
        <v>3851</v>
      </c>
      <c r="B392" s="7">
        <v>0.0</v>
      </c>
      <c r="C392" s="7">
        <v>0.0</v>
      </c>
      <c r="D392" s="7">
        <v>0.0</v>
      </c>
      <c r="E392" s="7">
        <v>0.0</v>
      </c>
      <c r="F392" s="14"/>
      <c r="G392" s="15"/>
      <c r="H392" s="15"/>
      <c r="I392" s="14"/>
      <c r="J392" s="14"/>
      <c r="K392" s="14"/>
      <c r="L392" s="14"/>
      <c r="M392" s="14"/>
      <c r="N392" s="14"/>
      <c r="O392" s="14"/>
    </row>
    <row r="393" ht="18.75" customHeight="1">
      <c r="A393" s="7" t="s">
        <v>3852</v>
      </c>
      <c r="B393" s="7">
        <v>0.0</v>
      </c>
      <c r="C393" s="7">
        <v>0.0</v>
      </c>
      <c r="D393" s="7">
        <v>0.0</v>
      </c>
      <c r="E393" s="7">
        <v>0.0</v>
      </c>
      <c r="F393" s="14"/>
      <c r="G393" s="15"/>
      <c r="H393" s="15"/>
      <c r="I393" s="14"/>
      <c r="J393" s="14"/>
      <c r="K393" s="14"/>
      <c r="L393" s="14"/>
      <c r="M393" s="14"/>
      <c r="N393" s="14"/>
      <c r="O393" s="14"/>
    </row>
    <row r="394" ht="18.75" customHeight="1">
      <c r="A394" s="7" t="s">
        <v>3852</v>
      </c>
      <c r="B394" s="7">
        <v>0.0</v>
      </c>
      <c r="C394" s="7">
        <v>0.0</v>
      </c>
      <c r="D394" s="7">
        <v>0.0</v>
      </c>
      <c r="E394" s="7">
        <v>0.0</v>
      </c>
      <c r="F394" s="14"/>
      <c r="G394" s="15"/>
      <c r="H394" s="15"/>
      <c r="I394" s="14"/>
      <c r="J394" s="14"/>
      <c r="K394" s="14"/>
      <c r="L394" s="14"/>
      <c r="M394" s="14"/>
      <c r="N394" s="14"/>
      <c r="O394" s="14"/>
    </row>
    <row r="395" ht="18.75" customHeight="1">
      <c r="A395" s="7" t="s">
        <v>3423</v>
      </c>
      <c r="B395" s="7">
        <v>114.0</v>
      </c>
      <c r="C395" s="7">
        <v>114.0</v>
      </c>
      <c r="D395" s="7">
        <v>48.0</v>
      </c>
      <c r="E395" s="7">
        <v>41.0</v>
      </c>
      <c r="F395" s="14"/>
      <c r="G395" s="15"/>
      <c r="H395" s="15"/>
      <c r="I395" s="14"/>
      <c r="J395" s="14"/>
      <c r="K395" s="14"/>
      <c r="L395" s="14"/>
      <c r="M395" s="14"/>
      <c r="N395" s="14"/>
      <c r="O395" s="14"/>
    </row>
    <row r="396" ht="18.75" customHeight="1">
      <c r="A396" s="7" t="s">
        <v>2698</v>
      </c>
      <c r="B396" s="7">
        <v>216.0</v>
      </c>
      <c r="C396" s="7">
        <v>216.0</v>
      </c>
      <c r="D396" s="7">
        <v>116.0</v>
      </c>
      <c r="E396" s="7">
        <v>95.0</v>
      </c>
      <c r="F396" s="14"/>
      <c r="G396" s="15"/>
      <c r="H396" s="15"/>
      <c r="I396" s="14"/>
      <c r="J396" s="14"/>
      <c r="K396" s="14"/>
      <c r="L396" s="14"/>
      <c r="M396" s="14"/>
      <c r="N396" s="14"/>
      <c r="O396" s="14"/>
    </row>
    <row r="397" ht="18.75" customHeight="1">
      <c r="A397" s="7" t="s">
        <v>3390</v>
      </c>
      <c r="B397" s="7">
        <v>12000.0</v>
      </c>
      <c r="C397" s="7">
        <v>8443.0</v>
      </c>
      <c r="D397" s="7">
        <v>2046.0</v>
      </c>
      <c r="E397" s="7">
        <v>1682.0</v>
      </c>
      <c r="F397" s="14"/>
      <c r="G397" s="15"/>
      <c r="H397" s="15"/>
      <c r="I397" s="14"/>
      <c r="J397" s="14"/>
      <c r="K397" s="14"/>
      <c r="L397" s="14"/>
      <c r="M397" s="14"/>
      <c r="N397" s="14"/>
      <c r="O397" s="14"/>
    </row>
    <row r="398" ht="18.75" customHeight="1">
      <c r="A398" s="7" t="s">
        <v>3390</v>
      </c>
      <c r="B398" s="7">
        <v>270.0</v>
      </c>
      <c r="C398" s="7">
        <v>250.0</v>
      </c>
      <c r="D398" s="7">
        <v>131.0</v>
      </c>
      <c r="E398" s="7">
        <v>117.0</v>
      </c>
      <c r="F398" s="14"/>
      <c r="G398" s="15"/>
      <c r="H398" s="15"/>
      <c r="I398" s="14"/>
      <c r="J398" s="14"/>
      <c r="K398" s="14"/>
      <c r="L398" s="14"/>
      <c r="M398" s="14"/>
      <c r="N398" s="14"/>
      <c r="O398" s="14"/>
    </row>
    <row r="399" ht="18.75" customHeight="1">
      <c r="A399" s="7" t="s">
        <v>2797</v>
      </c>
      <c r="B399" s="7">
        <v>18.0</v>
      </c>
      <c r="C399" s="7">
        <v>18.0</v>
      </c>
      <c r="D399" s="7">
        <v>10.0</v>
      </c>
      <c r="E399" s="7">
        <v>8.0</v>
      </c>
      <c r="F399" s="14"/>
      <c r="G399" s="15"/>
      <c r="H399" s="15"/>
      <c r="I399" s="14"/>
      <c r="J399" s="14"/>
      <c r="K399" s="14"/>
      <c r="L399" s="14"/>
      <c r="M399" s="14"/>
      <c r="N399" s="14"/>
      <c r="O399" s="14"/>
    </row>
    <row r="400" ht="18.75" customHeight="1">
      <c r="A400" s="7" t="s">
        <v>2749</v>
      </c>
      <c r="B400" s="7">
        <v>347.0</v>
      </c>
      <c r="C400" s="7">
        <v>347.0</v>
      </c>
      <c r="D400" s="7">
        <v>216.0</v>
      </c>
      <c r="E400" s="7">
        <v>142.0</v>
      </c>
      <c r="F400" s="14"/>
      <c r="G400" s="15"/>
      <c r="H400" s="15"/>
      <c r="I400" s="14"/>
      <c r="J400" s="14"/>
      <c r="K400" s="14"/>
      <c r="L400" s="14"/>
      <c r="M400" s="14"/>
      <c r="N400" s="14"/>
      <c r="O400" s="14"/>
    </row>
    <row r="401" ht="18.75" customHeight="1">
      <c r="A401" s="7" t="s">
        <v>3510</v>
      </c>
      <c r="B401" s="7">
        <v>14958.0</v>
      </c>
      <c r="C401" s="7">
        <v>9086.0</v>
      </c>
      <c r="D401" s="7">
        <v>2470.0</v>
      </c>
      <c r="E401" s="7">
        <v>1837.0</v>
      </c>
      <c r="F401" s="14"/>
      <c r="G401" s="15"/>
      <c r="H401" s="15"/>
      <c r="I401" s="14"/>
      <c r="J401" s="14"/>
      <c r="K401" s="14"/>
      <c r="L401" s="14"/>
      <c r="M401" s="14"/>
      <c r="N401" s="14"/>
      <c r="O401" s="14"/>
    </row>
    <row r="402" ht="18.75" customHeight="1">
      <c r="A402" s="7" t="s">
        <v>3510</v>
      </c>
      <c r="B402" s="7">
        <v>238.0</v>
      </c>
      <c r="C402" s="7">
        <v>198.0</v>
      </c>
      <c r="D402" s="7">
        <v>92.0</v>
      </c>
      <c r="E402" s="7">
        <v>84.0</v>
      </c>
      <c r="F402" s="14"/>
      <c r="G402" s="15"/>
      <c r="H402" s="15"/>
      <c r="I402" s="14"/>
      <c r="J402" s="14"/>
      <c r="K402" s="14"/>
      <c r="L402" s="14"/>
      <c r="M402" s="14"/>
      <c r="N402" s="14"/>
      <c r="O402" s="14"/>
    </row>
    <row r="403" ht="18.75" customHeight="1">
      <c r="A403" s="7" t="s">
        <v>3517</v>
      </c>
      <c r="B403" s="7">
        <v>211.0</v>
      </c>
      <c r="C403" s="7">
        <v>211.0</v>
      </c>
      <c r="D403" s="7">
        <v>108.0</v>
      </c>
      <c r="E403" s="7">
        <v>79.0</v>
      </c>
      <c r="F403" s="14"/>
      <c r="G403" s="15"/>
      <c r="H403" s="15"/>
      <c r="I403" s="14"/>
      <c r="J403" s="14"/>
      <c r="K403" s="14"/>
      <c r="L403" s="14"/>
      <c r="M403" s="14"/>
      <c r="N403" s="14"/>
      <c r="O403" s="14"/>
    </row>
    <row r="404" ht="18.75" customHeight="1">
      <c r="A404" s="7" t="s">
        <v>3519</v>
      </c>
      <c r="B404" s="7">
        <v>281.0</v>
      </c>
      <c r="C404" s="7">
        <v>281.0</v>
      </c>
      <c r="D404" s="7">
        <v>182.0</v>
      </c>
      <c r="E404" s="7">
        <v>126.0</v>
      </c>
      <c r="F404" s="14"/>
      <c r="G404" s="15"/>
      <c r="H404" s="15"/>
      <c r="I404" s="14"/>
      <c r="J404" s="14"/>
      <c r="K404" s="14"/>
      <c r="L404" s="14"/>
      <c r="M404" s="14"/>
      <c r="N404" s="14"/>
      <c r="O404" s="14"/>
    </row>
    <row r="405" ht="18.75" customHeight="1">
      <c r="A405" s="7" t="s">
        <v>3302</v>
      </c>
      <c r="B405" s="7">
        <v>13753.0</v>
      </c>
      <c r="C405" s="7">
        <v>9207.0</v>
      </c>
      <c r="D405" s="7">
        <v>2121.0</v>
      </c>
      <c r="E405" s="7">
        <v>1608.0</v>
      </c>
      <c r="F405" s="14"/>
      <c r="G405" s="15"/>
      <c r="H405" s="15"/>
      <c r="I405" s="14"/>
      <c r="J405" s="14"/>
      <c r="K405" s="14"/>
      <c r="L405" s="14"/>
      <c r="M405" s="14"/>
      <c r="N405" s="14"/>
      <c r="O405" s="14"/>
    </row>
    <row r="406" ht="18.75" customHeight="1">
      <c r="A406" s="7" t="s">
        <v>3302</v>
      </c>
      <c r="B406" s="7">
        <v>1588.0</v>
      </c>
      <c r="C406" s="7">
        <v>418.0</v>
      </c>
      <c r="D406" s="7">
        <v>180.0</v>
      </c>
      <c r="E406" s="7">
        <v>171.0</v>
      </c>
      <c r="F406" s="14"/>
      <c r="G406" s="15"/>
      <c r="H406" s="15"/>
      <c r="I406" s="14"/>
      <c r="J406" s="14"/>
      <c r="K406" s="14"/>
      <c r="L406" s="14"/>
      <c r="M406" s="14"/>
      <c r="N406" s="14"/>
      <c r="O406" s="14"/>
    </row>
    <row r="407" ht="18.75" customHeight="1">
      <c r="A407" s="7" t="s">
        <v>3472</v>
      </c>
      <c r="B407" s="7">
        <v>3602.0</v>
      </c>
      <c r="C407" s="7">
        <v>2607.0</v>
      </c>
      <c r="D407" s="7">
        <v>581.0</v>
      </c>
      <c r="E407" s="7">
        <v>443.0</v>
      </c>
      <c r="F407" s="14"/>
      <c r="G407" s="15"/>
      <c r="H407" s="15"/>
      <c r="I407" s="14"/>
      <c r="J407" s="14"/>
      <c r="K407" s="14"/>
      <c r="L407" s="14"/>
      <c r="M407" s="14"/>
      <c r="N407" s="14"/>
      <c r="O407" s="14"/>
    </row>
    <row r="408" ht="18.75" customHeight="1">
      <c r="A408" s="7" t="s">
        <v>3472</v>
      </c>
      <c r="B408" s="7">
        <v>140.0</v>
      </c>
      <c r="C408" s="7">
        <v>140.0</v>
      </c>
      <c r="D408" s="7">
        <v>62.0</v>
      </c>
      <c r="E408" s="7">
        <v>57.0</v>
      </c>
      <c r="F408" s="14"/>
      <c r="G408" s="15"/>
      <c r="H408" s="15"/>
      <c r="I408" s="14"/>
      <c r="J408" s="14"/>
      <c r="K408" s="14"/>
      <c r="L408" s="14"/>
      <c r="M408" s="14"/>
      <c r="N408" s="14"/>
      <c r="O408" s="14"/>
    </row>
    <row r="409" ht="18.75" customHeight="1">
      <c r="A409" s="7" t="s">
        <v>3293</v>
      </c>
      <c r="B409" s="7">
        <v>11000.0</v>
      </c>
      <c r="C409" s="7">
        <v>8152.0</v>
      </c>
      <c r="D409" s="7">
        <v>2082.0</v>
      </c>
      <c r="E409" s="7">
        <v>1693.0</v>
      </c>
      <c r="F409" s="14"/>
      <c r="G409" s="15"/>
      <c r="H409" s="15"/>
      <c r="I409" s="14"/>
      <c r="J409" s="14"/>
      <c r="K409" s="14"/>
      <c r="L409" s="14"/>
      <c r="M409" s="14"/>
      <c r="N409" s="14"/>
      <c r="O409" s="14"/>
    </row>
    <row r="410" ht="18.75" customHeight="1">
      <c r="A410" s="7" t="s">
        <v>3293</v>
      </c>
      <c r="B410" s="7">
        <v>824.0</v>
      </c>
      <c r="C410" s="7">
        <v>824.0</v>
      </c>
      <c r="D410" s="7">
        <v>343.0</v>
      </c>
      <c r="E410" s="7">
        <v>325.0</v>
      </c>
      <c r="F410" s="14"/>
      <c r="G410" s="15"/>
      <c r="H410" s="15"/>
      <c r="I410" s="14"/>
      <c r="J410" s="14"/>
      <c r="K410" s="14"/>
      <c r="L410" s="14"/>
      <c r="M410" s="14"/>
      <c r="N410" s="14"/>
      <c r="O410" s="14"/>
    </row>
    <row r="411" ht="18.75" customHeight="1">
      <c r="A411" s="7" t="s">
        <v>3293</v>
      </c>
      <c r="B411" s="7">
        <v>506.0</v>
      </c>
      <c r="C411" s="7">
        <v>506.0</v>
      </c>
      <c r="D411" s="7">
        <v>192.0</v>
      </c>
      <c r="E411" s="7">
        <v>136.0</v>
      </c>
      <c r="F411" s="14"/>
      <c r="G411" s="15"/>
      <c r="H411" s="15"/>
      <c r="I411" s="14"/>
      <c r="J411" s="14"/>
      <c r="K411" s="14"/>
      <c r="L411" s="14"/>
      <c r="M411" s="14"/>
      <c r="N411" s="14"/>
      <c r="O411" s="14"/>
    </row>
    <row r="412" ht="18.75" customHeight="1">
      <c r="A412" s="7" t="s">
        <v>3471</v>
      </c>
      <c r="B412" s="7">
        <v>0.0</v>
      </c>
      <c r="C412" s="7">
        <v>0.0</v>
      </c>
      <c r="D412" s="7">
        <v>0.0</v>
      </c>
      <c r="E412" s="7">
        <v>0.0</v>
      </c>
      <c r="F412" s="14"/>
      <c r="G412" s="15"/>
      <c r="H412" s="15"/>
      <c r="I412" s="14"/>
      <c r="J412" s="14"/>
      <c r="K412" s="14"/>
      <c r="L412" s="14"/>
      <c r="M412" s="14"/>
      <c r="N412" s="14"/>
      <c r="O412" s="14"/>
    </row>
    <row r="413" ht="18.75" customHeight="1">
      <c r="A413" s="7" t="s">
        <v>3471</v>
      </c>
      <c r="B413" s="7">
        <v>124.0</v>
      </c>
      <c r="C413" s="7">
        <v>124.0</v>
      </c>
      <c r="D413" s="7">
        <v>48.0</v>
      </c>
      <c r="E413" s="7">
        <v>45.0</v>
      </c>
      <c r="F413" s="14"/>
      <c r="G413" s="15"/>
      <c r="H413" s="15"/>
      <c r="I413" s="14"/>
      <c r="J413" s="14"/>
      <c r="K413" s="14"/>
      <c r="L413" s="14"/>
      <c r="M413" s="14"/>
      <c r="N413" s="14"/>
      <c r="O413" s="14"/>
    </row>
    <row r="414" ht="18.75" customHeight="1">
      <c r="A414" s="7" t="s">
        <v>3449</v>
      </c>
      <c r="B414" s="7">
        <v>133.0</v>
      </c>
      <c r="C414" s="7">
        <v>96.0</v>
      </c>
      <c r="D414" s="7">
        <v>62.0</v>
      </c>
      <c r="E414" s="7">
        <v>60.0</v>
      </c>
      <c r="F414" s="14"/>
      <c r="G414" s="15"/>
      <c r="H414" s="15"/>
      <c r="I414" s="14"/>
      <c r="J414" s="14"/>
      <c r="K414" s="14"/>
      <c r="L414" s="14"/>
      <c r="M414" s="14"/>
      <c r="N414" s="14"/>
      <c r="O414" s="14"/>
    </row>
    <row r="415" ht="18.75" customHeight="1">
      <c r="A415" s="7" t="s">
        <v>3853</v>
      </c>
      <c r="B415" s="7">
        <v>198.0</v>
      </c>
      <c r="C415" s="7">
        <v>198.0</v>
      </c>
      <c r="D415" s="7">
        <v>76.0</v>
      </c>
      <c r="E415" s="7">
        <v>65.0</v>
      </c>
      <c r="F415" s="14"/>
      <c r="G415" s="15"/>
      <c r="H415" s="15"/>
      <c r="I415" s="14"/>
      <c r="J415" s="14"/>
      <c r="K415" s="14"/>
      <c r="L415" s="14"/>
      <c r="M415" s="14"/>
      <c r="N415" s="14"/>
      <c r="O415" s="14"/>
    </row>
    <row r="416" ht="18.75" customHeight="1">
      <c r="A416" s="7" t="s">
        <v>2973</v>
      </c>
      <c r="B416" s="7">
        <v>86.0</v>
      </c>
      <c r="C416" s="7">
        <v>86.0</v>
      </c>
      <c r="D416" s="7">
        <v>57.0</v>
      </c>
      <c r="E416" s="7">
        <v>32.0</v>
      </c>
      <c r="F416" s="14"/>
      <c r="G416" s="15"/>
      <c r="H416" s="15"/>
      <c r="I416" s="14"/>
      <c r="J416" s="14"/>
      <c r="K416" s="14"/>
      <c r="L416" s="14"/>
      <c r="M416" s="14"/>
      <c r="N416" s="14"/>
      <c r="O416" s="14"/>
    </row>
    <row r="417" ht="18.75" customHeight="1">
      <c r="A417" s="7" t="s">
        <v>3292</v>
      </c>
      <c r="B417" s="7">
        <v>9000.0</v>
      </c>
      <c r="C417" s="7">
        <v>6976.0</v>
      </c>
      <c r="D417" s="7">
        <v>1576.0</v>
      </c>
      <c r="E417" s="7">
        <v>1296.0</v>
      </c>
      <c r="F417" s="14"/>
      <c r="G417" s="15"/>
      <c r="H417" s="15"/>
      <c r="I417" s="14"/>
      <c r="J417" s="14"/>
      <c r="K417" s="14"/>
      <c r="L417" s="14"/>
      <c r="M417" s="14"/>
      <c r="N417" s="14"/>
      <c r="O417" s="14"/>
    </row>
    <row r="418" ht="18.75" customHeight="1">
      <c r="A418" s="7" t="s">
        <v>3292</v>
      </c>
      <c r="B418" s="7">
        <v>639.0</v>
      </c>
      <c r="C418" s="7">
        <v>639.0</v>
      </c>
      <c r="D418" s="7">
        <v>273.0</v>
      </c>
      <c r="E418" s="7">
        <v>255.0</v>
      </c>
      <c r="F418" s="14"/>
      <c r="G418" s="15"/>
      <c r="H418" s="15"/>
      <c r="I418" s="14"/>
      <c r="J418" s="14"/>
      <c r="K418" s="14"/>
      <c r="L418" s="14"/>
      <c r="M418" s="14"/>
      <c r="N418" s="14"/>
      <c r="O418" s="14"/>
    </row>
    <row r="419" ht="18.75" customHeight="1">
      <c r="A419" s="7" t="s">
        <v>3292</v>
      </c>
      <c r="B419" s="7">
        <v>61.0</v>
      </c>
      <c r="C419" s="7">
        <v>61.0</v>
      </c>
      <c r="D419" s="7">
        <v>24.0</v>
      </c>
      <c r="E419" s="7">
        <v>20.0</v>
      </c>
      <c r="F419" s="14"/>
      <c r="G419" s="15"/>
      <c r="H419" s="15"/>
      <c r="I419" s="14"/>
      <c r="J419" s="14"/>
      <c r="K419" s="14"/>
      <c r="L419" s="14"/>
      <c r="M419" s="14"/>
      <c r="N419" s="14"/>
      <c r="O419" s="14"/>
    </row>
    <row r="420" ht="18.75" customHeight="1">
      <c r="A420" s="7" t="s">
        <v>2966</v>
      </c>
      <c r="B420" s="7">
        <v>175.0</v>
      </c>
      <c r="C420" s="7">
        <v>175.0</v>
      </c>
      <c r="D420" s="7">
        <v>104.0</v>
      </c>
      <c r="E420" s="7">
        <v>80.0</v>
      </c>
      <c r="F420" s="14"/>
      <c r="G420" s="15"/>
      <c r="H420" s="15"/>
      <c r="I420" s="14"/>
      <c r="J420" s="14"/>
      <c r="K420" s="14"/>
      <c r="L420" s="14"/>
      <c r="M420" s="14"/>
      <c r="N420" s="14"/>
      <c r="O420" s="14"/>
    </row>
    <row r="421" ht="18.75" customHeight="1">
      <c r="A421" s="7" t="s">
        <v>3464</v>
      </c>
      <c r="B421" s="7">
        <v>0.0</v>
      </c>
      <c r="C421" s="7">
        <v>0.0</v>
      </c>
      <c r="D421" s="7">
        <v>0.0</v>
      </c>
      <c r="E421" s="7">
        <v>0.0</v>
      </c>
      <c r="F421" s="14"/>
      <c r="G421" s="15"/>
      <c r="H421" s="15"/>
      <c r="I421" s="14"/>
      <c r="J421" s="14"/>
      <c r="K421" s="14"/>
      <c r="L421" s="14"/>
      <c r="M421" s="14"/>
      <c r="N421" s="14"/>
      <c r="O421" s="14"/>
    </row>
    <row r="422" ht="18.75" customHeight="1">
      <c r="A422" s="7" t="s">
        <v>3460</v>
      </c>
      <c r="B422" s="7">
        <v>3000.0</v>
      </c>
      <c r="C422" s="7">
        <v>576.0</v>
      </c>
      <c r="D422" s="7">
        <v>156.0</v>
      </c>
      <c r="E422" s="7">
        <v>107.0</v>
      </c>
      <c r="F422" s="14"/>
      <c r="G422" s="15"/>
      <c r="H422" s="15"/>
      <c r="I422" s="14"/>
      <c r="J422" s="14"/>
      <c r="K422" s="14"/>
      <c r="L422" s="14"/>
      <c r="M422" s="14"/>
      <c r="N422" s="14"/>
      <c r="O422" s="14"/>
    </row>
    <row r="423" ht="18.75" customHeight="1">
      <c r="A423" s="7" t="s">
        <v>3460</v>
      </c>
      <c r="B423" s="7">
        <v>0.0</v>
      </c>
      <c r="C423" s="7">
        <v>0.0</v>
      </c>
      <c r="D423" s="7">
        <v>0.0</v>
      </c>
      <c r="E423" s="7">
        <v>0.0</v>
      </c>
      <c r="F423" s="14"/>
      <c r="G423" s="15"/>
      <c r="H423" s="15"/>
      <c r="I423" s="14"/>
      <c r="J423" s="14"/>
      <c r="K423" s="14"/>
      <c r="L423" s="14"/>
      <c r="M423" s="14"/>
      <c r="N423" s="14"/>
      <c r="O423" s="14"/>
    </row>
    <row r="424" ht="18.75" customHeight="1">
      <c r="A424" s="7" t="s">
        <v>3854</v>
      </c>
      <c r="B424" s="7">
        <v>4593.0</v>
      </c>
      <c r="C424" s="7">
        <v>1757.0</v>
      </c>
      <c r="D424" s="7">
        <v>694.0</v>
      </c>
      <c r="E424" s="7">
        <v>641.0</v>
      </c>
      <c r="F424" s="14"/>
      <c r="G424" s="15"/>
      <c r="H424" s="15"/>
      <c r="I424" s="14"/>
      <c r="J424" s="14"/>
      <c r="K424" s="14"/>
      <c r="L424" s="14"/>
      <c r="M424" s="14"/>
      <c r="N424" s="14"/>
      <c r="O424" s="14"/>
    </row>
    <row r="425" ht="18.75" customHeight="1">
      <c r="A425" s="7" t="s">
        <v>3855</v>
      </c>
      <c r="B425" s="7">
        <v>9300.0</v>
      </c>
      <c r="C425" s="7">
        <v>2603.0</v>
      </c>
      <c r="D425" s="7">
        <v>670.0</v>
      </c>
      <c r="E425" s="7">
        <v>556.0</v>
      </c>
      <c r="F425" s="14"/>
      <c r="G425" s="15"/>
      <c r="H425" s="15"/>
      <c r="I425" s="14"/>
      <c r="J425" s="14"/>
      <c r="K425" s="14"/>
      <c r="L425" s="14"/>
      <c r="M425" s="14"/>
      <c r="N425" s="14"/>
      <c r="O425" s="14"/>
    </row>
    <row r="426" ht="18.75" customHeight="1">
      <c r="A426" s="7" t="s">
        <v>3855</v>
      </c>
      <c r="B426" s="7">
        <v>35.0</v>
      </c>
      <c r="C426" s="7">
        <v>35.0</v>
      </c>
      <c r="D426" s="7">
        <v>28.0</v>
      </c>
      <c r="E426" s="7">
        <v>21.0</v>
      </c>
      <c r="F426" s="14"/>
      <c r="G426" s="15"/>
      <c r="H426" s="15"/>
      <c r="I426" s="14"/>
      <c r="J426" s="14"/>
      <c r="K426" s="14"/>
      <c r="L426" s="14"/>
      <c r="M426" s="14"/>
      <c r="N426" s="14"/>
      <c r="O426" s="14"/>
    </row>
    <row r="427" ht="18.75" customHeight="1">
      <c r="A427" s="7" t="s">
        <v>3168</v>
      </c>
      <c r="B427" s="7">
        <v>9100.0</v>
      </c>
      <c r="C427" s="7">
        <v>8629.0</v>
      </c>
      <c r="D427" s="7">
        <v>2280.0</v>
      </c>
      <c r="E427" s="7">
        <v>1770.0</v>
      </c>
      <c r="F427" s="14"/>
      <c r="G427" s="15"/>
      <c r="H427" s="15"/>
      <c r="I427" s="14"/>
      <c r="J427" s="14"/>
      <c r="K427" s="14"/>
      <c r="L427" s="14"/>
      <c r="M427" s="14"/>
      <c r="N427" s="14"/>
      <c r="O427" s="14"/>
    </row>
    <row r="428" ht="18.75" customHeight="1">
      <c r="A428" s="7" t="s">
        <v>3168</v>
      </c>
      <c r="B428" s="7">
        <v>531.0</v>
      </c>
      <c r="C428" s="7">
        <v>531.0</v>
      </c>
      <c r="D428" s="7">
        <v>194.0</v>
      </c>
      <c r="E428" s="7">
        <v>177.0</v>
      </c>
      <c r="F428" s="14"/>
      <c r="G428" s="15"/>
      <c r="H428" s="15"/>
      <c r="I428" s="14"/>
      <c r="J428" s="14"/>
      <c r="K428" s="14"/>
      <c r="L428" s="14"/>
      <c r="M428" s="14"/>
      <c r="N428" s="14"/>
      <c r="O428" s="14"/>
    </row>
    <row r="429" ht="18.75" customHeight="1">
      <c r="A429" s="7" t="s">
        <v>3168</v>
      </c>
      <c r="B429" s="7">
        <v>306.0</v>
      </c>
      <c r="C429" s="7">
        <v>306.0</v>
      </c>
      <c r="D429" s="7">
        <v>102.0</v>
      </c>
      <c r="E429" s="7">
        <v>84.0</v>
      </c>
      <c r="F429" s="14"/>
      <c r="G429" s="15"/>
      <c r="H429" s="15"/>
      <c r="I429" s="14"/>
      <c r="J429" s="14"/>
      <c r="K429" s="14"/>
      <c r="L429" s="14"/>
      <c r="M429" s="14"/>
      <c r="N429" s="14"/>
      <c r="O429" s="14"/>
    </row>
    <row r="430" ht="18.75" customHeight="1">
      <c r="A430" s="7" t="s">
        <v>2849</v>
      </c>
      <c r="B430" s="7">
        <v>11000.0</v>
      </c>
      <c r="C430" s="7">
        <v>3095.0</v>
      </c>
      <c r="D430" s="7">
        <v>728.0</v>
      </c>
      <c r="E430" s="7">
        <v>611.0</v>
      </c>
      <c r="F430" s="14"/>
      <c r="G430" s="15"/>
      <c r="H430" s="15"/>
      <c r="I430" s="14"/>
      <c r="J430" s="14"/>
      <c r="K430" s="14"/>
      <c r="L430" s="14"/>
      <c r="M430" s="14"/>
      <c r="N430" s="14"/>
      <c r="O430" s="14"/>
    </row>
    <row r="431" ht="18.75" customHeight="1">
      <c r="A431" s="7" t="s">
        <v>2849</v>
      </c>
      <c r="B431" s="7">
        <v>252.0</v>
      </c>
      <c r="C431" s="7">
        <v>252.0</v>
      </c>
      <c r="D431" s="7">
        <v>91.0</v>
      </c>
      <c r="E431" s="7">
        <v>88.0</v>
      </c>
      <c r="F431" s="14"/>
      <c r="G431" s="15"/>
      <c r="H431" s="15"/>
      <c r="I431" s="14"/>
      <c r="J431" s="14"/>
      <c r="K431" s="14"/>
      <c r="L431" s="14"/>
      <c r="M431" s="14"/>
      <c r="N431" s="14"/>
      <c r="O431" s="14"/>
    </row>
    <row r="432" ht="18.75" customHeight="1">
      <c r="A432" s="7" t="s">
        <v>2783</v>
      </c>
      <c r="B432" s="7">
        <v>5142.0</v>
      </c>
      <c r="C432" s="7">
        <v>4215.0</v>
      </c>
      <c r="D432" s="7">
        <v>1017.0</v>
      </c>
      <c r="E432" s="7">
        <v>810.0</v>
      </c>
      <c r="F432" s="14"/>
      <c r="G432" s="15"/>
      <c r="H432" s="15"/>
      <c r="I432" s="14"/>
      <c r="J432" s="14"/>
      <c r="K432" s="14"/>
      <c r="L432" s="14"/>
      <c r="M432" s="14"/>
      <c r="N432" s="14"/>
      <c r="O432" s="14"/>
    </row>
    <row r="433" ht="18.75" customHeight="1">
      <c r="A433" s="7" t="s">
        <v>2783</v>
      </c>
      <c r="B433" s="7">
        <v>217.0</v>
      </c>
      <c r="C433" s="7">
        <v>217.0</v>
      </c>
      <c r="D433" s="7">
        <v>88.0</v>
      </c>
      <c r="E433" s="7">
        <v>87.0</v>
      </c>
      <c r="F433" s="14"/>
      <c r="G433" s="15"/>
      <c r="H433" s="15"/>
      <c r="I433" s="14"/>
      <c r="J433" s="14"/>
      <c r="K433" s="14"/>
      <c r="L433" s="14"/>
      <c r="M433" s="14"/>
      <c r="N433" s="14"/>
      <c r="O433" s="14"/>
    </row>
    <row r="434" ht="18.75" customHeight="1">
      <c r="A434" s="7" t="s">
        <v>2784</v>
      </c>
      <c r="B434" s="7">
        <v>3670.0</v>
      </c>
      <c r="C434" s="7">
        <v>2174.0</v>
      </c>
      <c r="D434" s="7">
        <v>597.0</v>
      </c>
      <c r="E434" s="7">
        <v>483.0</v>
      </c>
      <c r="F434" s="14"/>
      <c r="G434" s="15"/>
      <c r="H434" s="15"/>
      <c r="I434" s="14"/>
      <c r="J434" s="14"/>
      <c r="K434" s="14"/>
      <c r="L434" s="14"/>
      <c r="M434" s="14"/>
      <c r="N434" s="14"/>
      <c r="O434" s="14"/>
    </row>
    <row r="435" ht="18.75" customHeight="1">
      <c r="A435" s="7" t="s">
        <v>2784</v>
      </c>
      <c r="B435" s="7">
        <v>205.0</v>
      </c>
      <c r="C435" s="7">
        <v>205.0</v>
      </c>
      <c r="D435" s="7">
        <v>71.0</v>
      </c>
      <c r="E435" s="7">
        <v>71.0</v>
      </c>
      <c r="F435" s="14"/>
      <c r="G435" s="15"/>
      <c r="H435" s="15"/>
      <c r="I435" s="14"/>
      <c r="J435" s="14"/>
      <c r="K435" s="14"/>
      <c r="L435" s="14"/>
      <c r="M435" s="14"/>
      <c r="N435" s="14"/>
      <c r="O435" s="14"/>
    </row>
    <row r="436" ht="18.75" customHeight="1">
      <c r="A436" s="7" t="s">
        <v>3854</v>
      </c>
      <c r="B436" s="7">
        <v>16.0</v>
      </c>
      <c r="C436" s="7">
        <v>16.0</v>
      </c>
      <c r="D436" s="7">
        <v>11.0</v>
      </c>
      <c r="E436" s="7">
        <v>8.0</v>
      </c>
      <c r="F436" s="14"/>
      <c r="G436" s="15"/>
      <c r="H436" s="15"/>
      <c r="I436" s="14"/>
      <c r="J436" s="14"/>
      <c r="K436" s="14"/>
      <c r="L436" s="14"/>
      <c r="M436" s="14"/>
      <c r="N436" s="14"/>
      <c r="O436" s="14"/>
    </row>
    <row r="437" ht="18.75" customHeight="1">
      <c r="A437" s="7" t="s">
        <v>2850</v>
      </c>
      <c r="B437" s="7">
        <v>60.0</v>
      </c>
      <c r="C437" s="7">
        <v>60.0</v>
      </c>
      <c r="D437" s="7">
        <v>45.0</v>
      </c>
      <c r="E437" s="7">
        <v>36.0</v>
      </c>
      <c r="F437" s="14"/>
      <c r="G437" s="15"/>
      <c r="H437" s="15"/>
      <c r="I437" s="14"/>
      <c r="J437" s="14"/>
      <c r="K437" s="14"/>
      <c r="L437" s="14"/>
      <c r="M437" s="14"/>
      <c r="N437" s="14"/>
      <c r="O437" s="14"/>
    </row>
    <row r="438" ht="18.75" customHeight="1">
      <c r="A438" s="7" t="s">
        <v>3446</v>
      </c>
      <c r="B438" s="7">
        <v>0.0</v>
      </c>
      <c r="C438" s="7">
        <v>0.0</v>
      </c>
      <c r="D438" s="7">
        <v>0.0</v>
      </c>
      <c r="E438" s="7">
        <v>0.0</v>
      </c>
      <c r="F438" s="14"/>
      <c r="G438" s="15"/>
      <c r="H438" s="15"/>
      <c r="I438" s="14"/>
      <c r="J438" s="14"/>
      <c r="K438" s="14"/>
      <c r="L438" s="14"/>
      <c r="M438" s="14"/>
      <c r="N438" s="14"/>
      <c r="O438" s="14"/>
    </row>
    <row r="439" ht="18.75" customHeight="1">
      <c r="A439" s="7" t="s">
        <v>3446</v>
      </c>
      <c r="B439" s="7">
        <v>38.0</v>
      </c>
      <c r="C439" s="7">
        <v>38.0</v>
      </c>
      <c r="D439" s="7">
        <v>19.0</v>
      </c>
      <c r="E439" s="7">
        <v>18.0</v>
      </c>
      <c r="F439" s="14"/>
      <c r="G439" s="15"/>
      <c r="H439" s="15"/>
      <c r="I439" s="14"/>
      <c r="J439" s="14"/>
      <c r="K439" s="14"/>
      <c r="L439" s="14"/>
      <c r="M439" s="14"/>
      <c r="N439" s="14"/>
      <c r="O439" s="14"/>
    </row>
    <row r="440" ht="18.75" customHeight="1">
      <c r="A440" s="7" t="s">
        <v>2851</v>
      </c>
      <c r="B440" s="7">
        <v>3500.0</v>
      </c>
      <c r="C440" s="7">
        <v>3484.0</v>
      </c>
      <c r="D440" s="7">
        <v>739.0</v>
      </c>
      <c r="E440" s="7">
        <v>612.0</v>
      </c>
      <c r="F440" s="14"/>
      <c r="G440" s="15"/>
      <c r="H440" s="15"/>
      <c r="I440" s="14"/>
      <c r="J440" s="14"/>
      <c r="O440" s="14"/>
    </row>
    <row r="441" ht="18.75" customHeight="1">
      <c r="A441" s="7" t="s">
        <v>2851</v>
      </c>
      <c r="B441" s="7">
        <v>273.0</v>
      </c>
      <c r="C441" s="7">
        <v>273.0</v>
      </c>
      <c r="D441" s="7">
        <v>117.0</v>
      </c>
      <c r="E441" s="7">
        <v>110.0</v>
      </c>
      <c r="F441" s="14"/>
      <c r="G441" s="15"/>
      <c r="H441" s="15"/>
      <c r="I441" s="14"/>
      <c r="J441" s="14"/>
      <c r="O441" s="14"/>
    </row>
    <row r="442" ht="18.75" customHeight="1">
      <c r="A442" s="7" t="s">
        <v>2847</v>
      </c>
      <c r="B442" s="7">
        <v>85.0</v>
      </c>
      <c r="C442" s="7">
        <v>85.0</v>
      </c>
      <c r="D442" s="7">
        <v>23.0</v>
      </c>
      <c r="E442" s="7">
        <v>22.0</v>
      </c>
      <c r="F442" s="14"/>
      <c r="G442" s="15"/>
      <c r="H442" s="15"/>
      <c r="I442" s="14"/>
      <c r="J442" s="14"/>
      <c r="O442" s="14"/>
    </row>
    <row r="443" ht="18.75" customHeight="1">
      <c r="A443" s="7" t="s">
        <v>3481</v>
      </c>
      <c r="B443" s="7">
        <v>85.0</v>
      </c>
      <c r="C443" s="7">
        <v>85.0</v>
      </c>
      <c r="D443" s="7">
        <v>31.0</v>
      </c>
      <c r="E443" s="7">
        <v>31.0</v>
      </c>
      <c r="F443" s="14"/>
      <c r="G443" s="15"/>
      <c r="H443" s="15"/>
      <c r="I443" s="14"/>
      <c r="J443" s="14"/>
      <c r="O443" s="14"/>
    </row>
    <row r="444" ht="18.75" customHeight="1">
      <c r="A444" s="7" t="s">
        <v>2847</v>
      </c>
      <c r="B444" s="7">
        <v>3683.0</v>
      </c>
      <c r="C444" s="7">
        <v>3241.0</v>
      </c>
      <c r="D444" s="7">
        <v>840.0</v>
      </c>
      <c r="E444" s="7">
        <v>683.0</v>
      </c>
      <c r="F444" s="14"/>
      <c r="G444" s="15"/>
      <c r="H444" s="15"/>
      <c r="I444" s="14"/>
      <c r="J444" s="14"/>
      <c r="O444" s="14"/>
    </row>
    <row r="445" ht="18.75" customHeight="1">
      <c r="A445" s="7" t="s">
        <v>2847</v>
      </c>
      <c r="B445" s="7">
        <v>97.0</v>
      </c>
      <c r="C445" s="7">
        <v>97.0</v>
      </c>
      <c r="D445" s="7">
        <v>58.0</v>
      </c>
      <c r="E445" s="7">
        <v>57.0</v>
      </c>
      <c r="F445" s="14"/>
      <c r="G445" s="15"/>
      <c r="H445" s="15"/>
      <c r="I445" s="14"/>
      <c r="J445" s="14"/>
      <c r="O445" s="14"/>
    </row>
    <row r="446" ht="18.75" customHeight="1">
      <c r="A446" s="7" t="s">
        <v>3439</v>
      </c>
      <c r="B446" s="7">
        <v>60.0</v>
      </c>
      <c r="C446" s="7">
        <v>60.0</v>
      </c>
      <c r="D446" s="7">
        <v>17.0</v>
      </c>
      <c r="E446" s="7">
        <v>17.0</v>
      </c>
      <c r="F446" s="14"/>
      <c r="G446" s="15"/>
      <c r="H446" s="15"/>
      <c r="I446" s="14"/>
      <c r="J446" s="14"/>
      <c r="O446" s="14"/>
    </row>
    <row r="447" ht="18.75" customHeight="1">
      <c r="A447" s="7" t="s">
        <v>3453</v>
      </c>
      <c r="B447" s="7">
        <v>53.0</v>
      </c>
      <c r="C447" s="7">
        <v>53.0</v>
      </c>
      <c r="D447" s="7">
        <v>16.0</v>
      </c>
      <c r="E447" s="7">
        <v>16.0</v>
      </c>
      <c r="F447" s="14"/>
      <c r="G447" s="15"/>
      <c r="H447" s="15"/>
      <c r="I447" s="14"/>
      <c r="J447" s="14"/>
      <c r="O447" s="14"/>
    </row>
    <row r="448" ht="18.75" customHeight="1">
      <c r="A448" s="7" t="s">
        <v>3456</v>
      </c>
      <c r="B448" s="7">
        <v>44.0</v>
      </c>
      <c r="C448" s="7">
        <v>44.0</v>
      </c>
      <c r="D448" s="7">
        <v>22.0</v>
      </c>
      <c r="E448" s="7">
        <v>22.0</v>
      </c>
      <c r="F448" s="14"/>
      <c r="G448" s="15"/>
      <c r="H448" s="15"/>
      <c r="I448" s="14"/>
      <c r="J448" s="14"/>
      <c r="O448" s="14"/>
    </row>
    <row r="449" ht="18.75" customHeight="1">
      <c r="A449" s="7" t="s">
        <v>3291</v>
      </c>
      <c r="B449" s="7">
        <v>195.0</v>
      </c>
      <c r="C449" s="7">
        <v>195.0</v>
      </c>
      <c r="D449" s="7">
        <v>66.0</v>
      </c>
      <c r="E449" s="7">
        <v>63.0</v>
      </c>
      <c r="F449" s="14"/>
      <c r="G449" s="15"/>
      <c r="H449" s="15"/>
      <c r="I449" s="14"/>
      <c r="J449" s="14"/>
      <c r="O449" s="14"/>
    </row>
    <row r="450" ht="18.75" customHeight="1">
      <c r="A450" s="7" t="s">
        <v>2846</v>
      </c>
      <c r="B450" s="7">
        <v>3214.0</v>
      </c>
      <c r="C450" s="7">
        <v>2062.0</v>
      </c>
      <c r="D450" s="7">
        <v>488.0</v>
      </c>
      <c r="E450" s="7">
        <v>403.0</v>
      </c>
      <c r="F450" s="14"/>
      <c r="G450" s="15"/>
      <c r="H450" s="15"/>
      <c r="I450" s="14"/>
      <c r="J450" s="14"/>
      <c r="O450" s="14"/>
    </row>
    <row r="451" ht="18.75" customHeight="1">
      <c r="A451" s="7" t="s">
        <v>2846</v>
      </c>
      <c r="B451" s="7">
        <v>299.0</v>
      </c>
      <c r="C451" s="7">
        <v>299.0</v>
      </c>
      <c r="D451" s="7">
        <v>188.0</v>
      </c>
      <c r="E451" s="7">
        <v>185.0</v>
      </c>
      <c r="F451" s="14"/>
      <c r="G451" s="15"/>
      <c r="H451" s="15"/>
      <c r="I451" s="14"/>
      <c r="J451" s="14"/>
      <c r="O451" s="14"/>
    </row>
    <row r="452" ht="18.75" customHeight="1">
      <c r="A452" s="7" t="s">
        <v>3304</v>
      </c>
      <c r="B452" s="7">
        <v>58.0</v>
      </c>
      <c r="C452" s="7">
        <v>58.0</v>
      </c>
      <c r="D452" s="7">
        <v>21.0</v>
      </c>
      <c r="E452" s="7">
        <v>21.0</v>
      </c>
      <c r="F452" s="14"/>
      <c r="G452" s="15"/>
      <c r="H452" s="15"/>
      <c r="I452" s="14"/>
      <c r="J452" s="14"/>
      <c r="O452" s="14"/>
    </row>
    <row r="453" ht="18.75" customHeight="1">
      <c r="A453" s="7" t="s">
        <v>3312</v>
      </c>
      <c r="B453" s="7">
        <v>0.0</v>
      </c>
      <c r="C453" s="7">
        <v>0.0</v>
      </c>
      <c r="D453" s="7">
        <v>0.0</v>
      </c>
      <c r="E453" s="7">
        <v>0.0</v>
      </c>
      <c r="F453" s="14"/>
      <c r="G453" s="15"/>
      <c r="H453" s="15"/>
      <c r="I453" s="14"/>
      <c r="J453" s="14"/>
      <c r="O453" s="14"/>
    </row>
    <row r="454" ht="18.75" customHeight="1">
      <c r="A454" s="7" t="s">
        <v>3309</v>
      </c>
      <c r="B454" s="7">
        <v>101.0</v>
      </c>
      <c r="C454" s="7">
        <v>101.0</v>
      </c>
      <c r="D454" s="7">
        <v>46.0</v>
      </c>
      <c r="E454" s="7">
        <v>45.0</v>
      </c>
      <c r="F454" s="14"/>
      <c r="G454" s="15"/>
      <c r="H454" s="15"/>
      <c r="I454" s="14"/>
      <c r="J454" s="14"/>
      <c r="O454" s="14"/>
    </row>
    <row r="455" ht="18.75" customHeight="1">
      <c r="A455" s="7" t="s">
        <v>3306</v>
      </c>
      <c r="B455" s="7">
        <v>55.0</v>
      </c>
      <c r="C455" s="7">
        <v>55.0</v>
      </c>
      <c r="D455" s="7">
        <v>13.0</v>
      </c>
      <c r="E455" s="7">
        <v>13.0</v>
      </c>
      <c r="F455" s="14"/>
      <c r="G455" s="15"/>
      <c r="H455" s="15"/>
      <c r="I455" s="14"/>
      <c r="J455" s="14"/>
      <c r="O455" s="14"/>
    </row>
    <row r="456" ht="18.75" customHeight="1">
      <c r="A456" s="7" t="s">
        <v>3439</v>
      </c>
      <c r="B456" s="7">
        <v>47.0</v>
      </c>
      <c r="C456" s="7">
        <v>47.0</v>
      </c>
      <c r="D456" s="7">
        <v>15.0</v>
      </c>
      <c r="E456" s="7">
        <v>14.0</v>
      </c>
      <c r="F456" s="14"/>
      <c r="G456" s="15"/>
      <c r="H456" s="15"/>
      <c r="I456" s="14"/>
      <c r="J456" s="14"/>
      <c r="O456" s="14"/>
    </row>
    <row r="457" ht="18.75" customHeight="1">
      <c r="A457" s="7" t="s">
        <v>2816</v>
      </c>
      <c r="B457" s="7">
        <v>3561.0</v>
      </c>
      <c r="C457" s="7">
        <v>2578.0</v>
      </c>
      <c r="D457" s="7">
        <v>662.0</v>
      </c>
      <c r="E457" s="7">
        <v>544.0</v>
      </c>
      <c r="F457" s="14"/>
      <c r="G457" s="15"/>
      <c r="H457" s="15"/>
      <c r="I457" s="14"/>
      <c r="J457" s="14"/>
      <c r="O457" s="14"/>
    </row>
    <row r="458" ht="18.75" customHeight="1">
      <c r="A458" s="7" t="s">
        <v>2816</v>
      </c>
      <c r="B458" s="7">
        <v>312.0</v>
      </c>
      <c r="C458" s="7">
        <v>156.0</v>
      </c>
      <c r="D458" s="7">
        <v>110.0</v>
      </c>
      <c r="E458" s="7">
        <v>107.0</v>
      </c>
      <c r="F458" s="14"/>
      <c r="G458" s="15"/>
      <c r="H458" s="15"/>
      <c r="I458" s="14"/>
      <c r="J458" s="14"/>
      <c r="O458" s="14"/>
    </row>
    <row r="459" ht="18.75" customHeight="1">
      <c r="A459" s="7" t="s">
        <v>3310</v>
      </c>
      <c r="B459" s="7">
        <v>50.0</v>
      </c>
      <c r="C459" s="7">
        <v>25.0</v>
      </c>
      <c r="D459" s="7">
        <v>15.0</v>
      </c>
      <c r="E459" s="7">
        <v>15.0</v>
      </c>
      <c r="F459" s="14"/>
      <c r="G459" s="15"/>
      <c r="H459" s="15"/>
      <c r="I459" s="14"/>
      <c r="J459" s="14"/>
      <c r="O459" s="14"/>
    </row>
    <row r="460" ht="18.75" customHeight="1">
      <c r="A460" s="7" t="s">
        <v>3310</v>
      </c>
      <c r="B460" s="7">
        <v>35.0</v>
      </c>
      <c r="C460" s="7">
        <v>35.0</v>
      </c>
      <c r="D460" s="7">
        <v>12.0</v>
      </c>
      <c r="E460" s="7">
        <v>11.0</v>
      </c>
      <c r="F460" s="14"/>
      <c r="G460" s="15"/>
      <c r="H460" s="15"/>
      <c r="I460" s="14"/>
      <c r="J460" s="14"/>
      <c r="O460" s="14"/>
    </row>
    <row r="461" ht="18.75" customHeight="1">
      <c r="A461" s="7" t="s">
        <v>3311</v>
      </c>
      <c r="B461" s="7">
        <v>25.0</v>
      </c>
      <c r="C461" s="7">
        <v>25.0</v>
      </c>
      <c r="D461" s="7">
        <v>10.0</v>
      </c>
      <c r="E461" s="7">
        <v>10.0</v>
      </c>
      <c r="F461" s="14"/>
      <c r="G461" s="15"/>
      <c r="H461" s="15"/>
      <c r="I461" s="14"/>
      <c r="J461" s="14"/>
      <c r="O461" s="14"/>
    </row>
    <row r="462" ht="18.75" customHeight="1">
      <c r="A462" s="7" t="s">
        <v>3296</v>
      </c>
      <c r="B462" s="7">
        <v>13.0</v>
      </c>
      <c r="C462" s="7">
        <v>13.0</v>
      </c>
      <c r="D462" s="7">
        <v>7.0</v>
      </c>
      <c r="E462" s="7">
        <v>7.0</v>
      </c>
      <c r="F462" s="14"/>
      <c r="G462" s="15"/>
      <c r="H462" s="15"/>
      <c r="I462" s="14"/>
      <c r="J462" s="14"/>
      <c r="O462" s="14"/>
    </row>
    <row r="463" ht="18.75" customHeight="1">
      <c r="A463" s="7" t="s">
        <v>2815</v>
      </c>
      <c r="B463" s="7">
        <v>6332.0</v>
      </c>
      <c r="C463" s="7">
        <v>4596.0</v>
      </c>
      <c r="D463" s="7">
        <v>855.0</v>
      </c>
      <c r="E463" s="7">
        <v>688.0</v>
      </c>
      <c r="F463" s="14"/>
      <c r="G463" s="15"/>
      <c r="H463" s="15"/>
      <c r="I463" s="14"/>
      <c r="J463" s="14"/>
      <c r="O463" s="14"/>
    </row>
    <row r="464" ht="18.75" customHeight="1">
      <c r="A464" s="7" t="s">
        <v>2815</v>
      </c>
      <c r="B464" s="7">
        <v>279.0</v>
      </c>
      <c r="C464" s="7">
        <v>279.0</v>
      </c>
      <c r="D464" s="7">
        <v>180.0</v>
      </c>
      <c r="E464" s="7">
        <v>179.0</v>
      </c>
      <c r="F464" s="14"/>
      <c r="G464" s="15"/>
      <c r="H464" s="15"/>
      <c r="I464" s="14"/>
      <c r="J464" s="14"/>
      <c r="O464" s="14"/>
    </row>
    <row r="465" ht="18.75" customHeight="1">
      <c r="A465" s="7" t="s">
        <v>3307</v>
      </c>
      <c r="B465" s="7">
        <v>50.0</v>
      </c>
      <c r="C465" s="7">
        <v>50.0</v>
      </c>
      <c r="D465" s="7">
        <v>22.0</v>
      </c>
      <c r="E465" s="7">
        <v>21.0</v>
      </c>
      <c r="F465" s="14"/>
      <c r="G465" s="15"/>
      <c r="H465" s="15"/>
      <c r="I465" s="14"/>
      <c r="J465" s="14"/>
      <c r="O465" s="14"/>
    </row>
    <row r="466" ht="18.75" customHeight="1">
      <c r="A466" s="7" t="s">
        <v>3308</v>
      </c>
      <c r="B466" s="7">
        <v>51.0</v>
      </c>
      <c r="C466" s="7">
        <v>51.0</v>
      </c>
      <c r="D466" s="7">
        <v>27.0</v>
      </c>
      <c r="E466" s="7">
        <v>26.0</v>
      </c>
      <c r="F466" s="14"/>
      <c r="G466" s="15"/>
      <c r="H466" s="15"/>
      <c r="I466" s="14"/>
      <c r="J466" s="14"/>
      <c r="O466" s="14"/>
    </row>
    <row r="467" ht="18.75" customHeight="1">
      <c r="A467" s="7" t="s">
        <v>3194</v>
      </c>
      <c r="B467" s="7">
        <v>29.0</v>
      </c>
      <c r="C467" s="7">
        <v>29.0</v>
      </c>
      <c r="D467" s="7">
        <v>9.0</v>
      </c>
      <c r="E467" s="7">
        <v>9.0</v>
      </c>
      <c r="F467" s="14"/>
      <c r="G467" s="15"/>
      <c r="H467" s="15"/>
      <c r="I467" s="14"/>
      <c r="J467" s="14"/>
      <c r="O467" s="14"/>
    </row>
    <row r="468" ht="18.75" customHeight="1">
      <c r="A468" s="7" t="s">
        <v>2848</v>
      </c>
      <c r="B468" s="7">
        <v>3000.0</v>
      </c>
      <c r="C468" s="7">
        <v>2999.0</v>
      </c>
      <c r="D468" s="7">
        <v>646.0</v>
      </c>
      <c r="E468" s="7">
        <v>541.0</v>
      </c>
      <c r="F468" s="14"/>
      <c r="G468" s="15"/>
      <c r="H468" s="15"/>
      <c r="I468" s="14"/>
      <c r="J468" s="14"/>
      <c r="O468" s="14"/>
    </row>
    <row r="469" ht="18.75" customHeight="1">
      <c r="A469" s="7" t="s">
        <v>2841</v>
      </c>
      <c r="B469" s="7">
        <v>4000.0</v>
      </c>
      <c r="C469" s="7">
        <v>2693.0</v>
      </c>
      <c r="D469" s="7">
        <v>665.0</v>
      </c>
      <c r="E469" s="7">
        <v>522.0</v>
      </c>
      <c r="F469" s="14"/>
      <c r="G469" s="15"/>
      <c r="H469" s="15"/>
      <c r="I469" s="14"/>
      <c r="J469" s="14"/>
      <c r="O469" s="14"/>
    </row>
    <row r="470" ht="18.75" customHeight="1">
      <c r="A470" s="7" t="s">
        <v>2848</v>
      </c>
      <c r="B470" s="7">
        <v>357.0</v>
      </c>
      <c r="C470" s="7">
        <v>357.0</v>
      </c>
      <c r="D470" s="7">
        <v>243.0</v>
      </c>
      <c r="E470" s="7">
        <v>240.0</v>
      </c>
      <c r="F470" s="14"/>
      <c r="G470" s="15"/>
      <c r="H470" s="15"/>
      <c r="I470" s="14"/>
      <c r="J470" s="14"/>
      <c r="O470" s="14"/>
    </row>
    <row r="471" ht="18.75" customHeight="1">
      <c r="A471" s="7" t="s">
        <v>3195</v>
      </c>
      <c r="B471" s="7">
        <v>45.0</v>
      </c>
      <c r="C471" s="7">
        <v>45.0</v>
      </c>
      <c r="D471" s="7">
        <v>18.0</v>
      </c>
      <c r="E471" s="7">
        <v>17.0</v>
      </c>
      <c r="F471" s="14"/>
      <c r="G471" s="15"/>
      <c r="H471" s="15"/>
      <c r="I471" s="14"/>
      <c r="J471" s="14"/>
      <c r="O471" s="14"/>
    </row>
    <row r="472" ht="18.75" customHeight="1">
      <c r="A472" s="7" t="s">
        <v>2873</v>
      </c>
      <c r="B472" s="7">
        <v>48.0</v>
      </c>
      <c r="C472" s="7">
        <v>48.0</v>
      </c>
      <c r="D472" s="7">
        <v>26.0</v>
      </c>
      <c r="E472" s="7">
        <v>25.0</v>
      </c>
      <c r="F472" s="14"/>
      <c r="G472" s="15"/>
      <c r="H472" s="15"/>
      <c r="I472" s="14"/>
      <c r="J472" s="14"/>
      <c r="O472" s="14"/>
    </row>
    <row r="473" ht="18.75" customHeight="1">
      <c r="A473" s="7" t="s">
        <v>2841</v>
      </c>
      <c r="B473" s="7">
        <v>493.0</v>
      </c>
      <c r="C473" s="7">
        <v>493.0</v>
      </c>
      <c r="D473" s="7">
        <v>314.0</v>
      </c>
      <c r="E473" s="7">
        <v>313.0</v>
      </c>
      <c r="F473" s="14"/>
      <c r="G473" s="15"/>
      <c r="H473" s="15"/>
      <c r="I473" s="14"/>
      <c r="J473" s="14"/>
      <c r="O473" s="14"/>
    </row>
    <row r="474" ht="18.75" customHeight="1">
      <c r="A474" s="7" t="s">
        <v>3856</v>
      </c>
      <c r="B474" s="7">
        <v>6.0</v>
      </c>
      <c r="C474" s="7">
        <v>6.0</v>
      </c>
      <c r="D474" s="7">
        <v>6.0</v>
      </c>
      <c r="E474" s="7">
        <v>6.0</v>
      </c>
      <c r="F474" s="14"/>
      <c r="G474" s="15"/>
      <c r="H474" s="15"/>
      <c r="I474" s="14"/>
      <c r="J474" s="14"/>
      <c r="O474" s="14"/>
    </row>
    <row r="475" ht="18.75" customHeight="1">
      <c r="A475" s="7" t="s">
        <v>3857</v>
      </c>
      <c r="B475" s="7">
        <v>2.0</v>
      </c>
      <c r="C475" s="7">
        <v>2.0</v>
      </c>
      <c r="D475" s="7">
        <v>2.0</v>
      </c>
      <c r="E475" s="7">
        <v>2.0</v>
      </c>
      <c r="F475" s="14"/>
      <c r="G475" s="15"/>
      <c r="H475" s="15"/>
      <c r="I475" s="14"/>
      <c r="J475" s="14"/>
      <c r="O475" s="14"/>
    </row>
    <row r="476" ht="18.75" customHeight="1">
      <c r="A476" s="7" t="s">
        <v>3314</v>
      </c>
      <c r="B476" s="7">
        <v>170.0</v>
      </c>
      <c r="C476" s="7">
        <v>170.0</v>
      </c>
      <c r="D476" s="7">
        <v>80.0</v>
      </c>
      <c r="E476" s="7">
        <v>78.0</v>
      </c>
      <c r="F476" s="14"/>
      <c r="G476" s="15"/>
      <c r="H476" s="15"/>
      <c r="I476" s="14"/>
      <c r="J476" s="14"/>
      <c r="O476" s="14"/>
    </row>
    <row r="477" ht="18.75" customHeight="1">
      <c r="A477" s="7" t="s">
        <v>2872</v>
      </c>
      <c r="B477" s="7">
        <v>80.0</v>
      </c>
      <c r="C477" s="7">
        <v>80.0</v>
      </c>
      <c r="D477" s="7">
        <v>31.0</v>
      </c>
      <c r="E477" s="7">
        <v>29.0</v>
      </c>
      <c r="F477" s="14"/>
      <c r="G477" s="15"/>
      <c r="H477" s="15"/>
      <c r="I477" s="14"/>
      <c r="J477" s="14"/>
      <c r="O477" s="14"/>
    </row>
    <row r="478" ht="18.75" customHeight="1">
      <c r="A478" s="7" t="s">
        <v>3457</v>
      </c>
      <c r="B478" s="7">
        <v>39.0</v>
      </c>
      <c r="C478" s="7">
        <v>39.0</v>
      </c>
      <c r="D478" s="7">
        <v>17.0</v>
      </c>
      <c r="E478" s="7">
        <v>17.0</v>
      </c>
      <c r="F478" s="14"/>
      <c r="G478" s="15"/>
      <c r="H478" s="15"/>
      <c r="I478" s="14"/>
      <c r="J478" s="14"/>
      <c r="O478" s="14"/>
    </row>
    <row r="479" ht="18.75" customHeight="1">
      <c r="A479" s="7" t="s">
        <v>2808</v>
      </c>
      <c r="B479" s="7">
        <v>5000.0</v>
      </c>
      <c r="C479" s="7">
        <v>3833.0</v>
      </c>
      <c r="D479" s="7">
        <v>1065.0</v>
      </c>
      <c r="E479" s="7">
        <v>885.0</v>
      </c>
      <c r="F479" s="14"/>
      <c r="G479" s="15"/>
      <c r="H479" s="15"/>
      <c r="I479" s="14"/>
      <c r="J479" s="14"/>
      <c r="O479" s="14"/>
    </row>
    <row r="480" ht="18.75" customHeight="1">
      <c r="A480" s="7" t="s">
        <v>2808</v>
      </c>
      <c r="B480" s="7">
        <v>272.0</v>
      </c>
      <c r="C480" s="7">
        <v>272.0</v>
      </c>
      <c r="D480" s="7">
        <v>108.0</v>
      </c>
      <c r="E480" s="7">
        <v>101.0</v>
      </c>
      <c r="F480" s="14"/>
      <c r="G480" s="15"/>
      <c r="H480" s="15"/>
      <c r="I480" s="14"/>
      <c r="J480" s="14"/>
      <c r="O480" s="14"/>
    </row>
    <row r="481" ht="18.75" customHeight="1">
      <c r="A481" s="7" t="s">
        <v>2808</v>
      </c>
      <c r="B481" s="7">
        <v>500.0</v>
      </c>
      <c r="C481" s="7">
        <v>500.0</v>
      </c>
      <c r="D481" s="7">
        <v>166.0</v>
      </c>
      <c r="E481" s="7">
        <v>157.0</v>
      </c>
      <c r="F481" s="14"/>
      <c r="G481" s="15"/>
      <c r="H481" s="15"/>
      <c r="I481" s="14"/>
      <c r="J481" s="14"/>
      <c r="O481" s="14"/>
    </row>
    <row r="482" ht="18.75" customHeight="1">
      <c r="A482" s="7" t="s">
        <v>2808</v>
      </c>
      <c r="B482" s="7">
        <v>500.0</v>
      </c>
      <c r="C482" s="7">
        <v>500.0</v>
      </c>
      <c r="D482" s="7">
        <v>142.0</v>
      </c>
      <c r="E482" s="7">
        <v>77.0</v>
      </c>
      <c r="F482" s="14"/>
      <c r="G482" s="15"/>
      <c r="H482" s="15"/>
      <c r="I482" s="14"/>
      <c r="J482" s="14"/>
      <c r="O482" s="14"/>
    </row>
    <row r="483" ht="18.75" customHeight="1">
      <c r="A483" s="7" t="s">
        <v>3193</v>
      </c>
      <c r="B483" s="7">
        <v>77.0</v>
      </c>
      <c r="C483" s="7">
        <v>77.0</v>
      </c>
      <c r="D483" s="7">
        <v>27.0</v>
      </c>
      <c r="E483" s="7">
        <v>27.0</v>
      </c>
      <c r="F483" s="14"/>
      <c r="G483" s="15"/>
      <c r="H483" s="15"/>
      <c r="I483" s="14"/>
      <c r="J483" s="14"/>
      <c r="O483" s="14"/>
    </row>
    <row r="484" ht="18.75" customHeight="1">
      <c r="A484" s="7" t="s">
        <v>3315</v>
      </c>
      <c r="B484" s="7">
        <v>131.0</v>
      </c>
      <c r="C484" s="7">
        <v>131.0</v>
      </c>
      <c r="D484" s="7">
        <v>50.0</v>
      </c>
      <c r="E484" s="7">
        <v>50.0</v>
      </c>
      <c r="F484" s="14"/>
      <c r="G484" s="15"/>
      <c r="H484" s="15"/>
      <c r="I484" s="14"/>
      <c r="J484" s="14"/>
      <c r="O484" s="14"/>
    </row>
    <row r="485" ht="18.75" customHeight="1">
      <c r="A485" s="7" t="s">
        <v>3407</v>
      </c>
      <c r="B485" s="7">
        <v>100.0</v>
      </c>
      <c r="C485" s="7">
        <v>100.0</v>
      </c>
      <c r="D485" s="7">
        <v>33.0</v>
      </c>
      <c r="E485" s="7">
        <v>33.0</v>
      </c>
      <c r="F485" s="14"/>
      <c r="G485" s="15"/>
      <c r="H485" s="15"/>
      <c r="I485" s="14"/>
      <c r="J485" s="14"/>
      <c r="O485" s="14"/>
    </row>
    <row r="486" ht="18.75" customHeight="1">
      <c r="A486" s="7" t="s">
        <v>2831</v>
      </c>
      <c r="B486" s="7">
        <v>4000.0</v>
      </c>
      <c r="C486" s="7">
        <v>2336.0</v>
      </c>
      <c r="D486" s="7">
        <v>463.0</v>
      </c>
      <c r="E486" s="7">
        <v>383.0</v>
      </c>
      <c r="F486" s="14"/>
      <c r="G486" s="15"/>
      <c r="H486" s="15"/>
      <c r="I486" s="14"/>
      <c r="J486" s="14"/>
      <c r="O486" s="14"/>
    </row>
    <row r="487" ht="18.75" customHeight="1">
      <c r="A487" s="7" t="s">
        <v>2831</v>
      </c>
      <c r="B487" s="7">
        <v>367.0</v>
      </c>
      <c r="C487" s="7">
        <v>367.0</v>
      </c>
      <c r="D487" s="7">
        <v>176.0</v>
      </c>
      <c r="E487" s="7">
        <v>171.0</v>
      </c>
      <c r="F487" s="14"/>
      <c r="G487" s="15"/>
      <c r="H487" s="15"/>
      <c r="I487" s="14"/>
      <c r="J487" s="14"/>
      <c r="O487" s="14"/>
    </row>
    <row r="488" ht="18.75" customHeight="1">
      <c r="A488" s="7" t="s">
        <v>3489</v>
      </c>
      <c r="B488" s="7">
        <v>157.0</v>
      </c>
      <c r="C488" s="7">
        <v>157.0</v>
      </c>
      <c r="D488" s="7">
        <v>54.0</v>
      </c>
      <c r="E488" s="7">
        <v>52.0</v>
      </c>
      <c r="F488" s="14"/>
      <c r="G488" s="15"/>
      <c r="H488" s="15"/>
      <c r="I488" s="14"/>
      <c r="J488" s="14"/>
      <c r="O488" s="14"/>
    </row>
    <row r="489" ht="18.75" customHeight="1">
      <c r="A489" s="7" t="s">
        <v>3316</v>
      </c>
      <c r="B489" s="7">
        <v>123.0</v>
      </c>
      <c r="C489" s="7">
        <v>123.0</v>
      </c>
      <c r="D489" s="7">
        <v>57.0</v>
      </c>
      <c r="E489" s="7">
        <v>55.0</v>
      </c>
      <c r="F489" s="14"/>
      <c r="G489" s="15"/>
      <c r="H489" s="15"/>
      <c r="I489" s="14"/>
      <c r="J489" s="14"/>
      <c r="O489" s="14"/>
    </row>
    <row r="490" ht="18.75" customHeight="1">
      <c r="A490" s="7" t="s">
        <v>3171</v>
      </c>
      <c r="B490" s="7">
        <v>207.0</v>
      </c>
      <c r="C490" s="7">
        <v>207.0</v>
      </c>
      <c r="D490" s="7">
        <v>64.0</v>
      </c>
      <c r="E490" s="7">
        <v>60.0</v>
      </c>
      <c r="F490" s="14"/>
      <c r="G490" s="15"/>
      <c r="H490" s="15"/>
      <c r="I490" s="14"/>
      <c r="J490" s="14"/>
      <c r="O490" s="14"/>
    </row>
    <row r="491" ht="18.75" customHeight="1">
      <c r="A491" s="7" t="s">
        <v>3484</v>
      </c>
      <c r="B491" s="7">
        <v>73.0</v>
      </c>
      <c r="C491" s="7">
        <v>73.0</v>
      </c>
      <c r="D491" s="7">
        <v>30.0</v>
      </c>
      <c r="E491" s="7">
        <v>29.0</v>
      </c>
      <c r="F491" s="14"/>
      <c r="G491" s="15"/>
      <c r="H491" s="15"/>
      <c r="I491" s="14"/>
      <c r="J491" s="14"/>
      <c r="O491" s="14"/>
    </row>
    <row r="492" ht="18.75" customHeight="1">
      <c r="A492" s="7" t="s">
        <v>2839</v>
      </c>
      <c r="B492" s="7">
        <v>4500.0</v>
      </c>
      <c r="C492" s="7">
        <v>3158.0</v>
      </c>
      <c r="D492" s="7">
        <v>780.0</v>
      </c>
      <c r="E492" s="7">
        <v>643.0</v>
      </c>
      <c r="F492" s="14"/>
      <c r="G492" s="15"/>
      <c r="H492" s="15"/>
      <c r="I492" s="14"/>
      <c r="J492" s="14"/>
      <c r="O492" s="14"/>
    </row>
    <row r="493" ht="18.75" customHeight="1">
      <c r="A493" s="7" t="s">
        <v>2839</v>
      </c>
      <c r="B493" s="7">
        <v>341.0</v>
      </c>
      <c r="C493" s="7">
        <v>341.0</v>
      </c>
      <c r="D493" s="7">
        <v>195.0</v>
      </c>
      <c r="E493" s="7">
        <v>190.0</v>
      </c>
      <c r="F493" s="14"/>
      <c r="G493" s="15"/>
      <c r="H493" s="15"/>
      <c r="I493" s="14"/>
      <c r="J493" s="14"/>
      <c r="O493" s="14"/>
    </row>
    <row r="494" ht="18.75" customHeight="1">
      <c r="A494" s="7" t="s">
        <v>3317</v>
      </c>
      <c r="B494" s="7">
        <v>27.0</v>
      </c>
      <c r="C494" s="7">
        <v>27.0</v>
      </c>
      <c r="D494" s="7">
        <v>12.0</v>
      </c>
      <c r="E494" s="7">
        <v>11.0</v>
      </c>
      <c r="F494" s="14"/>
      <c r="G494" s="15"/>
      <c r="H494" s="15"/>
      <c r="I494" s="14"/>
      <c r="J494" s="14"/>
      <c r="O494" s="14"/>
    </row>
    <row r="495" ht="18.75" customHeight="1">
      <c r="A495" s="7" t="s">
        <v>3319</v>
      </c>
      <c r="B495" s="7">
        <v>77.0</v>
      </c>
      <c r="C495" s="7">
        <v>77.0</v>
      </c>
      <c r="D495" s="7">
        <v>29.0</v>
      </c>
      <c r="E495" s="7">
        <v>29.0</v>
      </c>
      <c r="F495" s="14"/>
      <c r="G495" s="15"/>
      <c r="H495" s="15"/>
      <c r="I495" s="14"/>
      <c r="J495" s="14"/>
      <c r="O495" s="14"/>
    </row>
    <row r="496" ht="18.75" customHeight="1">
      <c r="A496" s="7" t="s">
        <v>2829</v>
      </c>
      <c r="B496" s="7">
        <v>3300.0</v>
      </c>
      <c r="C496" s="7">
        <v>3072.0</v>
      </c>
      <c r="D496" s="7">
        <v>678.0</v>
      </c>
      <c r="E496" s="7">
        <v>534.0</v>
      </c>
      <c r="F496" s="14"/>
      <c r="G496" s="15"/>
      <c r="H496" s="15"/>
      <c r="I496" s="14"/>
      <c r="J496" s="14"/>
      <c r="O496" s="14"/>
    </row>
    <row r="497" ht="18.75" customHeight="1">
      <c r="A497" s="7" t="s">
        <v>2829</v>
      </c>
      <c r="B497" s="7">
        <v>267.0</v>
      </c>
      <c r="C497" s="7">
        <v>267.0</v>
      </c>
      <c r="D497" s="7">
        <v>160.0</v>
      </c>
      <c r="E497" s="7">
        <v>158.0</v>
      </c>
      <c r="F497" s="14"/>
      <c r="G497" s="15"/>
      <c r="H497" s="15"/>
      <c r="I497" s="14"/>
      <c r="J497" s="14"/>
      <c r="O497" s="14"/>
    </row>
    <row r="498" ht="18.75" customHeight="1">
      <c r="A498" s="7" t="s">
        <v>3295</v>
      </c>
      <c r="B498" s="7">
        <v>45.0</v>
      </c>
      <c r="C498" s="7">
        <v>45.0</v>
      </c>
      <c r="D498" s="7">
        <v>21.0</v>
      </c>
      <c r="E498" s="7">
        <v>17.0</v>
      </c>
      <c r="F498" s="14"/>
      <c r="G498" s="15"/>
      <c r="H498" s="15"/>
      <c r="I498" s="14"/>
      <c r="J498" s="14"/>
      <c r="O498" s="14"/>
    </row>
    <row r="499" ht="18.75" customHeight="1">
      <c r="A499" s="7" t="s">
        <v>3196</v>
      </c>
      <c r="B499" s="7">
        <v>13.0</v>
      </c>
      <c r="C499" s="7">
        <v>13.0</v>
      </c>
      <c r="D499" s="7">
        <v>4.0</v>
      </c>
      <c r="E499" s="7">
        <v>4.0</v>
      </c>
      <c r="F499" s="14"/>
      <c r="G499" s="15"/>
      <c r="H499" s="15"/>
      <c r="I499" s="14"/>
      <c r="J499" s="14"/>
      <c r="O499" s="14"/>
    </row>
    <row r="500" ht="18.75" customHeight="1">
      <c r="A500" s="7" t="s">
        <v>2824</v>
      </c>
      <c r="B500" s="7">
        <v>2000.0</v>
      </c>
      <c r="C500" s="7">
        <v>2000.0</v>
      </c>
      <c r="D500" s="7">
        <v>417.0</v>
      </c>
      <c r="E500" s="7">
        <v>346.0</v>
      </c>
      <c r="F500" s="14"/>
      <c r="G500" s="15"/>
      <c r="H500" s="15"/>
      <c r="I500" s="14"/>
      <c r="J500" s="14"/>
      <c r="O500" s="14"/>
    </row>
    <row r="501" ht="18.75" customHeight="1">
      <c r="A501" s="7" t="s">
        <v>2824</v>
      </c>
      <c r="B501" s="7">
        <v>169.0</v>
      </c>
      <c r="C501" s="7">
        <v>169.0</v>
      </c>
      <c r="D501" s="7">
        <v>110.0</v>
      </c>
      <c r="E501" s="7">
        <v>109.0</v>
      </c>
      <c r="F501" s="14"/>
      <c r="G501" s="15"/>
      <c r="H501" s="15"/>
      <c r="I501" s="14"/>
      <c r="J501" s="14"/>
      <c r="O501" s="14"/>
    </row>
    <row r="502" ht="18.75" customHeight="1">
      <c r="A502" s="7" t="s">
        <v>3507</v>
      </c>
      <c r="B502" s="7">
        <v>64.0</v>
      </c>
      <c r="C502" s="7">
        <v>64.0</v>
      </c>
      <c r="D502" s="7">
        <v>29.0</v>
      </c>
      <c r="E502" s="7">
        <v>29.0</v>
      </c>
      <c r="F502" s="14"/>
      <c r="G502" s="15"/>
      <c r="H502" s="15"/>
      <c r="I502" s="14"/>
      <c r="J502" s="14"/>
      <c r="O502" s="14"/>
    </row>
    <row r="503" ht="18.75" customHeight="1">
      <c r="A503" s="7" t="s">
        <v>3298</v>
      </c>
      <c r="B503" s="7">
        <v>36.0</v>
      </c>
      <c r="C503" s="7">
        <v>36.0</v>
      </c>
      <c r="D503" s="7">
        <v>13.0</v>
      </c>
      <c r="E503" s="7">
        <v>13.0</v>
      </c>
      <c r="F503" s="14"/>
      <c r="G503" s="15"/>
      <c r="H503" s="15"/>
      <c r="I503" s="14"/>
      <c r="J503" s="14"/>
      <c r="O503" s="14"/>
    </row>
    <row r="504" ht="18.75" customHeight="1">
      <c r="A504" s="7" t="s">
        <v>3502</v>
      </c>
      <c r="B504" s="7">
        <v>55.0</v>
      </c>
      <c r="C504" s="7">
        <v>55.0</v>
      </c>
      <c r="D504" s="7">
        <v>37.0</v>
      </c>
      <c r="E504" s="7">
        <v>37.0</v>
      </c>
      <c r="F504" s="14"/>
      <c r="G504" s="15"/>
      <c r="H504" s="15"/>
      <c r="I504" s="14"/>
      <c r="J504" s="14"/>
      <c r="O504" s="14"/>
    </row>
    <row r="505" ht="18.75" customHeight="1">
      <c r="A505" s="7" t="s">
        <v>2885</v>
      </c>
      <c r="B505" s="7">
        <v>92.0</v>
      </c>
      <c r="C505" s="7">
        <v>92.0</v>
      </c>
      <c r="D505" s="7">
        <v>36.0</v>
      </c>
      <c r="E505" s="7">
        <v>35.0</v>
      </c>
      <c r="F505" s="14"/>
      <c r="G505" s="15"/>
      <c r="H505" s="15"/>
      <c r="I505" s="14"/>
      <c r="J505" s="14"/>
      <c r="O505" s="14"/>
    </row>
    <row r="506" ht="18.75" customHeight="1">
      <c r="A506" s="7" t="s">
        <v>2840</v>
      </c>
      <c r="B506" s="7">
        <v>3200.0</v>
      </c>
      <c r="C506" s="7">
        <v>2788.0</v>
      </c>
      <c r="D506" s="7">
        <v>587.0</v>
      </c>
      <c r="E506" s="7">
        <v>481.0</v>
      </c>
      <c r="F506" s="14"/>
      <c r="G506" s="15"/>
      <c r="H506" s="15"/>
      <c r="I506" s="14"/>
      <c r="J506" s="14"/>
      <c r="O506" s="14"/>
    </row>
    <row r="507" ht="18.75" customHeight="1">
      <c r="A507" s="7" t="s">
        <v>2840</v>
      </c>
      <c r="B507" s="7">
        <v>121.0</v>
      </c>
      <c r="C507" s="7">
        <v>121.0</v>
      </c>
      <c r="D507" s="7">
        <v>77.0</v>
      </c>
      <c r="E507" s="7">
        <v>76.0</v>
      </c>
      <c r="F507" s="14"/>
      <c r="G507" s="15"/>
      <c r="H507" s="15"/>
      <c r="I507" s="14"/>
      <c r="J507" s="14"/>
      <c r="O507" s="14"/>
    </row>
    <row r="508" ht="18.75" customHeight="1">
      <c r="A508" s="7" t="s">
        <v>3320</v>
      </c>
      <c r="B508" s="7">
        <v>161.0</v>
      </c>
      <c r="C508" s="7">
        <v>161.0</v>
      </c>
      <c r="D508" s="7">
        <v>69.0</v>
      </c>
      <c r="E508" s="7">
        <v>62.0</v>
      </c>
      <c r="F508" s="14"/>
      <c r="G508" s="15"/>
      <c r="H508" s="15"/>
      <c r="I508" s="14"/>
      <c r="J508" s="14"/>
      <c r="O508" s="14"/>
    </row>
    <row r="509" ht="18.75" customHeight="1">
      <c r="A509" s="7" t="s">
        <v>3299</v>
      </c>
      <c r="B509" s="7">
        <v>100.0</v>
      </c>
      <c r="C509" s="7">
        <v>100.0</v>
      </c>
      <c r="D509" s="7">
        <v>26.0</v>
      </c>
      <c r="E509" s="7">
        <v>26.0</v>
      </c>
      <c r="F509" s="14"/>
      <c r="G509" s="15"/>
      <c r="H509" s="15"/>
      <c r="I509" s="14"/>
      <c r="J509" s="14"/>
      <c r="O509" s="14"/>
    </row>
    <row r="510" ht="18.75" customHeight="1">
      <c r="A510" s="7" t="s">
        <v>3198</v>
      </c>
      <c r="B510" s="7">
        <v>95.0</v>
      </c>
      <c r="C510" s="7">
        <v>95.0</v>
      </c>
      <c r="D510" s="7">
        <v>39.0</v>
      </c>
      <c r="E510" s="7">
        <v>39.0</v>
      </c>
      <c r="F510" s="14"/>
      <c r="G510" s="15"/>
      <c r="H510" s="15"/>
      <c r="I510" s="14"/>
      <c r="J510" s="14"/>
      <c r="O510" s="14"/>
    </row>
    <row r="511" ht="18.75" customHeight="1">
      <c r="A511" s="7" t="s">
        <v>2785</v>
      </c>
      <c r="B511" s="7">
        <v>5000.0</v>
      </c>
      <c r="C511" s="7">
        <v>5000.0</v>
      </c>
      <c r="D511" s="7">
        <v>1257.0</v>
      </c>
      <c r="E511" s="7">
        <v>1028.0</v>
      </c>
      <c r="F511" s="14"/>
      <c r="G511" s="15"/>
      <c r="H511" s="15"/>
      <c r="I511" s="14"/>
      <c r="J511" s="14"/>
      <c r="O511" s="14"/>
    </row>
    <row r="512" ht="18.75" customHeight="1">
      <c r="A512" s="7" t="s">
        <v>2785</v>
      </c>
      <c r="B512" s="7">
        <v>191.0</v>
      </c>
      <c r="C512" s="7">
        <v>191.0</v>
      </c>
      <c r="D512" s="7">
        <v>124.0</v>
      </c>
      <c r="E512" s="7">
        <v>124.0</v>
      </c>
      <c r="F512" s="14"/>
      <c r="G512" s="15"/>
      <c r="H512" s="15"/>
      <c r="I512" s="14"/>
      <c r="J512" s="14"/>
      <c r="O512" s="14"/>
    </row>
    <row r="513" ht="18.75" customHeight="1">
      <c r="A513" s="7" t="s">
        <v>3322</v>
      </c>
      <c r="B513" s="7">
        <v>44.0</v>
      </c>
      <c r="C513" s="7">
        <v>44.0</v>
      </c>
      <c r="D513" s="7">
        <v>21.0</v>
      </c>
      <c r="E513" s="7">
        <v>21.0</v>
      </c>
      <c r="F513" s="14"/>
      <c r="G513" s="15"/>
      <c r="H513" s="15"/>
      <c r="I513" s="14"/>
      <c r="J513" s="14"/>
      <c r="O513" s="14"/>
    </row>
    <row r="514" ht="18.75" customHeight="1">
      <c r="A514" s="7" t="s">
        <v>3321</v>
      </c>
      <c r="B514" s="7">
        <v>53.0</v>
      </c>
      <c r="C514" s="7">
        <v>53.0</v>
      </c>
      <c r="D514" s="7">
        <v>19.0</v>
      </c>
      <c r="E514" s="7">
        <v>19.0</v>
      </c>
      <c r="F514" s="14"/>
      <c r="G514" s="15"/>
      <c r="H514" s="15"/>
      <c r="I514" s="14"/>
      <c r="J514" s="14"/>
      <c r="O514" s="14"/>
    </row>
    <row r="515" ht="18.75" customHeight="1">
      <c r="A515" s="7" t="s">
        <v>3297</v>
      </c>
      <c r="B515" s="7">
        <v>192.0</v>
      </c>
      <c r="C515" s="7">
        <v>192.0</v>
      </c>
      <c r="D515" s="7">
        <v>62.0</v>
      </c>
      <c r="E515" s="7">
        <v>55.0</v>
      </c>
      <c r="F515" s="14"/>
      <c r="G515" s="15"/>
      <c r="H515" s="15"/>
      <c r="I515" s="14"/>
      <c r="J515" s="14"/>
      <c r="O515" s="14"/>
    </row>
    <row r="516" ht="18.75" customHeight="1">
      <c r="A516" s="7" t="s">
        <v>2832</v>
      </c>
      <c r="B516" s="7">
        <v>3000.0</v>
      </c>
      <c r="C516" s="7">
        <v>3000.0</v>
      </c>
      <c r="D516" s="7">
        <v>728.0</v>
      </c>
      <c r="E516" s="7">
        <v>613.0</v>
      </c>
      <c r="F516" s="14"/>
      <c r="G516" s="15"/>
      <c r="H516" s="15"/>
      <c r="I516" s="14"/>
      <c r="J516" s="14"/>
      <c r="O516" s="14"/>
    </row>
    <row r="517" ht="18.75" customHeight="1">
      <c r="A517" s="7" t="s">
        <v>2832</v>
      </c>
      <c r="B517" s="7">
        <v>267.0</v>
      </c>
      <c r="C517" s="7">
        <v>267.0</v>
      </c>
      <c r="D517" s="7">
        <v>164.0</v>
      </c>
      <c r="E517" s="7">
        <v>163.0</v>
      </c>
      <c r="F517" s="14"/>
      <c r="G517" s="15"/>
      <c r="H517" s="15"/>
      <c r="I517" s="14"/>
      <c r="J517" s="14"/>
      <c r="O517" s="14"/>
    </row>
    <row r="518" ht="18.75" customHeight="1">
      <c r="A518" s="7" t="s">
        <v>2833</v>
      </c>
      <c r="B518" s="7">
        <v>2000.0</v>
      </c>
      <c r="C518" s="7">
        <v>2000.0</v>
      </c>
      <c r="D518" s="7">
        <v>344.0</v>
      </c>
      <c r="E518" s="7">
        <v>276.0</v>
      </c>
      <c r="F518" s="14"/>
      <c r="G518" s="15"/>
      <c r="H518" s="15"/>
      <c r="I518" s="14"/>
      <c r="J518" s="14"/>
      <c r="O518" s="14"/>
    </row>
    <row r="519" ht="18.75" customHeight="1">
      <c r="A519" s="7" t="s">
        <v>2833</v>
      </c>
      <c r="B519" s="7">
        <v>361.0</v>
      </c>
      <c r="C519" s="7">
        <v>361.0</v>
      </c>
      <c r="D519" s="7">
        <v>213.0</v>
      </c>
      <c r="E519" s="7">
        <v>212.0</v>
      </c>
      <c r="F519" s="14"/>
      <c r="G519" s="15"/>
      <c r="H519" s="15"/>
      <c r="I519" s="14"/>
      <c r="J519" s="14"/>
      <c r="O519" s="14"/>
    </row>
    <row r="520" ht="18.75" customHeight="1">
      <c r="A520" s="7" t="s">
        <v>3323</v>
      </c>
      <c r="B520" s="7">
        <v>82.0</v>
      </c>
      <c r="C520" s="7">
        <v>82.0</v>
      </c>
      <c r="D520" s="7">
        <v>34.0</v>
      </c>
      <c r="E520" s="7">
        <v>34.0</v>
      </c>
      <c r="F520" s="14"/>
      <c r="G520" s="15"/>
      <c r="H520" s="15"/>
      <c r="I520" s="14"/>
      <c r="J520" s="14"/>
      <c r="O520" s="14"/>
    </row>
    <row r="521" ht="18.75" customHeight="1">
      <c r="A521" s="7" t="s">
        <v>3300</v>
      </c>
      <c r="B521" s="7">
        <v>31.0</v>
      </c>
      <c r="C521" s="7">
        <v>31.0</v>
      </c>
      <c r="D521" s="7">
        <v>8.0</v>
      </c>
      <c r="E521" s="7">
        <v>8.0</v>
      </c>
      <c r="F521" s="14"/>
      <c r="G521" s="15"/>
      <c r="H521" s="15"/>
      <c r="I521" s="14"/>
      <c r="J521" s="14"/>
    </row>
    <row r="522" ht="18.75" customHeight="1">
      <c r="A522" s="7" t="s">
        <v>2832</v>
      </c>
      <c r="B522" s="7">
        <v>75.0</v>
      </c>
      <c r="C522" s="7">
        <v>75.0</v>
      </c>
      <c r="D522" s="7">
        <v>44.0</v>
      </c>
      <c r="E522" s="7">
        <v>38.0</v>
      </c>
      <c r="F522" s="14"/>
      <c r="G522" s="15"/>
      <c r="H522" s="15"/>
      <c r="I522" s="14"/>
      <c r="J522" s="14"/>
      <c r="O522" s="14"/>
    </row>
    <row r="523" ht="18.75" customHeight="1">
      <c r="A523" s="7" t="s">
        <v>2817</v>
      </c>
      <c r="B523" s="7">
        <v>4000.0</v>
      </c>
      <c r="C523" s="7">
        <v>3996.0</v>
      </c>
      <c r="D523" s="7">
        <v>845.0</v>
      </c>
      <c r="E523" s="7">
        <v>675.0</v>
      </c>
      <c r="F523" s="14"/>
      <c r="G523" s="15"/>
      <c r="H523" s="15"/>
      <c r="I523" s="14"/>
      <c r="J523" s="14"/>
      <c r="O523" s="14"/>
    </row>
    <row r="524" ht="18.75" customHeight="1">
      <c r="A524" s="7" t="s">
        <v>2817</v>
      </c>
      <c r="B524" s="7">
        <v>233.0</v>
      </c>
      <c r="C524" s="7">
        <v>233.0</v>
      </c>
      <c r="D524" s="7">
        <v>143.0</v>
      </c>
      <c r="E524" s="7">
        <v>142.0</v>
      </c>
      <c r="F524" s="14"/>
      <c r="G524" s="15"/>
      <c r="H524" s="15"/>
      <c r="I524" s="14"/>
      <c r="J524" s="14"/>
      <c r="O524" s="14"/>
    </row>
    <row r="525" ht="18.75" customHeight="1">
      <c r="A525" s="7" t="s">
        <v>2833</v>
      </c>
      <c r="B525" s="7">
        <v>30.0</v>
      </c>
      <c r="C525" s="7">
        <v>30.0</v>
      </c>
      <c r="D525" s="7">
        <v>21.0</v>
      </c>
      <c r="E525" s="7">
        <v>21.0</v>
      </c>
      <c r="F525" s="14"/>
      <c r="G525" s="15"/>
      <c r="H525" s="15"/>
      <c r="I525" s="14"/>
      <c r="J525" s="14"/>
      <c r="O525" s="14"/>
    </row>
    <row r="526" ht="18.75" customHeight="1">
      <c r="A526" s="7" t="s">
        <v>3324</v>
      </c>
      <c r="B526" s="7">
        <v>42.0</v>
      </c>
      <c r="C526" s="7">
        <v>42.0</v>
      </c>
      <c r="D526" s="7">
        <v>16.0</v>
      </c>
      <c r="E526" s="7">
        <v>15.0</v>
      </c>
      <c r="F526" s="14"/>
      <c r="G526" s="15"/>
      <c r="H526" s="15"/>
      <c r="I526" s="14"/>
      <c r="J526" s="14"/>
      <c r="O526" s="14"/>
    </row>
    <row r="527" ht="18.75" customHeight="1">
      <c r="A527" s="7" t="s">
        <v>2834</v>
      </c>
      <c r="B527" s="7">
        <v>3000.0</v>
      </c>
      <c r="C527" s="7">
        <v>3000.0</v>
      </c>
      <c r="D527" s="7">
        <v>895.0</v>
      </c>
      <c r="E527" s="7">
        <v>723.0</v>
      </c>
      <c r="F527" s="14"/>
      <c r="G527" s="15"/>
      <c r="H527" s="15"/>
      <c r="I527" s="14"/>
      <c r="J527" s="14"/>
      <c r="O527" s="14"/>
    </row>
    <row r="528" ht="18.75" customHeight="1">
      <c r="A528" s="7" t="s">
        <v>2834</v>
      </c>
      <c r="B528" s="7">
        <v>197.0</v>
      </c>
      <c r="C528" s="7">
        <v>197.0</v>
      </c>
      <c r="D528" s="7">
        <v>127.0</v>
      </c>
      <c r="E528" s="7">
        <v>125.0</v>
      </c>
      <c r="F528" s="14"/>
      <c r="G528" s="15"/>
      <c r="H528" s="15"/>
      <c r="I528" s="14"/>
      <c r="J528" s="14"/>
      <c r="O528" s="14"/>
    </row>
    <row r="529" ht="18.75" customHeight="1">
      <c r="A529" s="7" t="s">
        <v>3326</v>
      </c>
      <c r="B529" s="7">
        <v>45.0</v>
      </c>
      <c r="C529" s="7">
        <v>45.0</v>
      </c>
      <c r="D529" s="7">
        <v>17.0</v>
      </c>
      <c r="E529" s="7">
        <v>17.0</v>
      </c>
      <c r="F529" s="14"/>
      <c r="G529" s="15"/>
      <c r="H529" s="15"/>
      <c r="I529" s="14"/>
      <c r="J529" s="14"/>
      <c r="O529" s="14"/>
    </row>
    <row r="530" ht="18.75" customHeight="1">
      <c r="A530" s="7" t="s">
        <v>3327</v>
      </c>
      <c r="B530" s="7">
        <v>38.0</v>
      </c>
      <c r="C530" s="7">
        <v>38.0</v>
      </c>
      <c r="D530" s="7">
        <v>17.0</v>
      </c>
      <c r="E530" s="7">
        <v>16.0</v>
      </c>
      <c r="F530" s="14"/>
      <c r="G530" s="15"/>
      <c r="H530" s="15"/>
      <c r="I530" s="14"/>
      <c r="J530" s="14"/>
      <c r="O530" s="14"/>
    </row>
    <row r="531" ht="18.75" customHeight="1">
      <c r="A531" s="7" t="s">
        <v>3199</v>
      </c>
      <c r="B531" s="7">
        <v>34.0</v>
      </c>
      <c r="C531" s="7">
        <v>34.0</v>
      </c>
      <c r="D531" s="7">
        <v>14.0</v>
      </c>
      <c r="E531" s="7">
        <v>14.0</v>
      </c>
      <c r="F531" s="14"/>
      <c r="G531" s="15"/>
      <c r="H531" s="15"/>
      <c r="I531" s="14"/>
      <c r="J531" s="14"/>
      <c r="O531" s="14"/>
    </row>
    <row r="532" ht="18.75" customHeight="1">
      <c r="A532" s="7" t="s">
        <v>2835</v>
      </c>
      <c r="B532" s="7">
        <v>3812.0</v>
      </c>
      <c r="C532" s="7">
        <v>2959.0</v>
      </c>
      <c r="D532" s="7">
        <v>859.0</v>
      </c>
      <c r="E532" s="7">
        <v>694.0</v>
      </c>
      <c r="F532" s="14"/>
      <c r="G532" s="15"/>
      <c r="H532" s="15"/>
      <c r="I532" s="14"/>
      <c r="J532" s="14"/>
      <c r="O532" s="14"/>
    </row>
    <row r="533" ht="18.75" customHeight="1">
      <c r="A533" s="7" t="s">
        <v>2835</v>
      </c>
      <c r="B533" s="7">
        <v>193.0</v>
      </c>
      <c r="C533" s="7">
        <v>193.0</v>
      </c>
      <c r="D533" s="7">
        <v>112.0</v>
      </c>
      <c r="E533" s="7">
        <v>112.0</v>
      </c>
      <c r="F533" s="14"/>
      <c r="G533" s="15"/>
      <c r="H533" s="15"/>
      <c r="I533" s="14"/>
      <c r="J533" s="14"/>
      <c r="O533" s="14"/>
    </row>
    <row r="534" ht="18.75" customHeight="1">
      <c r="A534" s="7" t="s">
        <v>3201</v>
      </c>
      <c r="B534" s="7">
        <v>33.0</v>
      </c>
      <c r="C534" s="7">
        <v>33.0</v>
      </c>
      <c r="D534" s="7">
        <v>12.0</v>
      </c>
      <c r="E534" s="7">
        <v>12.0</v>
      </c>
      <c r="F534" s="14"/>
      <c r="G534" s="15"/>
      <c r="H534" s="15"/>
      <c r="I534" s="14"/>
      <c r="J534" s="14"/>
      <c r="O534" s="14"/>
    </row>
    <row r="535" ht="18.75" customHeight="1">
      <c r="A535" s="7" t="s">
        <v>2877</v>
      </c>
      <c r="B535" s="7">
        <v>33.0</v>
      </c>
      <c r="C535" s="7">
        <v>33.0</v>
      </c>
      <c r="D535" s="7">
        <v>12.0</v>
      </c>
      <c r="E535" s="7">
        <v>12.0</v>
      </c>
      <c r="F535" s="14"/>
      <c r="G535" s="15"/>
      <c r="H535" s="15"/>
      <c r="I535" s="14"/>
      <c r="J535" s="14"/>
      <c r="O535" s="14"/>
    </row>
    <row r="536" ht="18.75" customHeight="1">
      <c r="A536" s="7" t="s">
        <v>3329</v>
      </c>
      <c r="B536" s="7">
        <v>33.0</v>
      </c>
      <c r="C536" s="7">
        <v>33.0</v>
      </c>
      <c r="D536" s="7">
        <v>12.0</v>
      </c>
      <c r="E536" s="7">
        <v>10.0</v>
      </c>
      <c r="F536" s="14"/>
      <c r="G536" s="15"/>
      <c r="H536" s="15"/>
      <c r="I536" s="14"/>
      <c r="J536" s="14"/>
      <c r="O536" s="14"/>
    </row>
    <row r="537" ht="18.75" customHeight="1">
      <c r="A537" s="7" t="s">
        <v>2817</v>
      </c>
      <c r="B537" s="7">
        <v>17.0</v>
      </c>
      <c r="C537" s="7">
        <v>17.0</v>
      </c>
      <c r="D537" s="7">
        <v>14.0</v>
      </c>
      <c r="E537" s="7">
        <v>11.0</v>
      </c>
      <c r="F537" s="14"/>
      <c r="G537" s="15"/>
      <c r="H537" s="15"/>
      <c r="I537" s="14"/>
      <c r="J537" s="14"/>
      <c r="O537" s="14"/>
    </row>
    <row r="538" ht="18.75" customHeight="1">
      <c r="A538" s="7" t="s">
        <v>2834</v>
      </c>
      <c r="B538" s="7">
        <v>23.0</v>
      </c>
      <c r="C538" s="7">
        <v>23.0</v>
      </c>
      <c r="D538" s="7">
        <v>13.0</v>
      </c>
      <c r="E538" s="7">
        <v>13.0</v>
      </c>
      <c r="F538" s="14"/>
      <c r="G538" s="15"/>
      <c r="H538" s="15"/>
      <c r="I538" s="14"/>
      <c r="J538" s="14"/>
    </row>
    <row r="539" ht="18.75" customHeight="1">
      <c r="A539" s="7" t="s">
        <v>2835</v>
      </c>
      <c r="B539" s="7">
        <v>34.0</v>
      </c>
      <c r="C539" s="7">
        <v>34.0</v>
      </c>
      <c r="D539" s="7">
        <v>19.0</v>
      </c>
      <c r="E539" s="7">
        <v>17.0</v>
      </c>
      <c r="F539" s="14"/>
      <c r="G539" s="15"/>
      <c r="H539" s="15"/>
      <c r="I539" s="14"/>
      <c r="J539" s="14"/>
      <c r="O539" s="14"/>
    </row>
    <row r="540" ht="18.75" customHeight="1">
      <c r="A540" s="7" t="s">
        <v>2837</v>
      </c>
      <c r="B540" s="7">
        <v>5062.0</v>
      </c>
      <c r="C540" s="7">
        <v>5062.0</v>
      </c>
      <c r="D540" s="7">
        <v>1490.0</v>
      </c>
      <c r="E540" s="7">
        <v>1177.0</v>
      </c>
      <c r="F540" s="14"/>
      <c r="G540" s="15"/>
      <c r="H540" s="15"/>
      <c r="I540" s="14"/>
      <c r="J540" s="14"/>
      <c r="O540" s="14"/>
    </row>
    <row r="541" ht="18.75" customHeight="1">
      <c r="A541" s="7" t="s">
        <v>2837</v>
      </c>
      <c r="B541" s="7">
        <v>0.0</v>
      </c>
      <c r="C541" s="7">
        <v>0.0</v>
      </c>
      <c r="D541" s="7">
        <v>0.0</v>
      </c>
      <c r="E541" s="7">
        <v>0.0</v>
      </c>
      <c r="F541" s="14"/>
      <c r="G541" s="15"/>
      <c r="H541" s="15"/>
      <c r="I541" s="14"/>
      <c r="J541" s="14"/>
      <c r="O541" s="14"/>
    </row>
    <row r="542" ht="18.75" customHeight="1">
      <c r="A542" s="7" t="s">
        <v>2837</v>
      </c>
      <c r="B542" s="7">
        <v>357.0</v>
      </c>
      <c r="C542" s="7">
        <v>357.0</v>
      </c>
      <c r="D542" s="7">
        <v>219.0</v>
      </c>
      <c r="E542" s="7">
        <v>217.0</v>
      </c>
      <c r="F542" s="14"/>
      <c r="G542" s="15"/>
      <c r="H542" s="15"/>
      <c r="I542" s="14"/>
      <c r="J542" s="14"/>
      <c r="O542" s="14"/>
    </row>
    <row r="543" ht="18.75" customHeight="1">
      <c r="A543" s="7" t="s">
        <v>3330</v>
      </c>
      <c r="B543" s="7">
        <v>45.0</v>
      </c>
      <c r="C543" s="7">
        <v>45.0</v>
      </c>
      <c r="D543" s="7">
        <v>12.0</v>
      </c>
      <c r="E543" s="7">
        <v>11.0</v>
      </c>
      <c r="F543" s="14"/>
      <c r="G543" s="15"/>
      <c r="H543" s="15"/>
      <c r="I543" s="14"/>
      <c r="J543" s="14"/>
      <c r="O543" s="14"/>
    </row>
    <row r="544" ht="18.75" customHeight="1">
      <c r="A544" s="7" t="s">
        <v>3200</v>
      </c>
      <c r="B544" s="7">
        <v>136.0</v>
      </c>
      <c r="C544" s="7">
        <v>136.0</v>
      </c>
      <c r="D544" s="7">
        <v>52.0</v>
      </c>
      <c r="E544" s="7">
        <v>48.0</v>
      </c>
      <c r="F544" s="14"/>
      <c r="G544" s="15"/>
      <c r="H544" s="15"/>
      <c r="I544" s="14"/>
      <c r="J544" s="14"/>
      <c r="O544" s="14"/>
    </row>
    <row r="545" ht="18.75" customHeight="1">
      <c r="A545" s="7" t="s">
        <v>3331</v>
      </c>
      <c r="B545" s="7">
        <v>53.0</v>
      </c>
      <c r="C545" s="7">
        <v>53.0</v>
      </c>
      <c r="D545" s="7">
        <v>22.0</v>
      </c>
      <c r="E545" s="7">
        <v>21.0</v>
      </c>
      <c r="F545" s="14"/>
      <c r="G545" s="15"/>
      <c r="H545" s="15"/>
      <c r="I545" s="14"/>
      <c r="J545" s="14"/>
      <c r="O545" s="14"/>
    </row>
    <row r="546" ht="18.75" customHeight="1">
      <c r="A546" s="7" t="s">
        <v>2836</v>
      </c>
      <c r="B546" s="7">
        <v>4413.0</v>
      </c>
      <c r="C546" s="7">
        <v>4038.0</v>
      </c>
      <c r="D546" s="7">
        <v>1130.0</v>
      </c>
      <c r="E546" s="7">
        <v>873.0</v>
      </c>
      <c r="F546" s="14"/>
      <c r="G546" s="15"/>
      <c r="H546" s="15"/>
      <c r="I546" s="14"/>
      <c r="J546" s="14"/>
      <c r="O546" s="14"/>
    </row>
    <row r="547" ht="18.75" customHeight="1">
      <c r="A547" s="7" t="s">
        <v>2836</v>
      </c>
      <c r="B547" s="7">
        <v>23.0</v>
      </c>
      <c r="C547" s="7">
        <v>23.0</v>
      </c>
      <c r="D547" s="7">
        <v>17.0</v>
      </c>
      <c r="E547" s="7">
        <v>17.0</v>
      </c>
      <c r="F547" s="14"/>
      <c r="G547" s="15"/>
      <c r="H547" s="15"/>
      <c r="I547" s="14"/>
      <c r="J547" s="14"/>
      <c r="O547" s="14"/>
    </row>
    <row r="548" ht="18.75" customHeight="1">
      <c r="A548" s="7" t="s">
        <v>2836</v>
      </c>
      <c r="B548" s="7">
        <v>256.0</v>
      </c>
      <c r="C548" s="7">
        <v>256.0</v>
      </c>
      <c r="D548" s="7">
        <v>164.0</v>
      </c>
      <c r="E548" s="7">
        <v>164.0</v>
      </c>
      <c r="F548" s="14"/>
      <c r="G548" s="15"/>
      <c r="H548" s="15"/>
      <c r="I548" s="14"/>
      <c r="J548" s="14"/>
      <c r="O548" s="14"/>
    </row>
    <row r="549" ht="18.75" customHeight="1">
      <c r="A549" s="7" t="s">
        <v>3332</v>
      </c>
      <c r="B549" s="7">
        <v>25.0</v>
      </c>
      <c r="C549" s="7">
        <v>25.0</v>
      </c>
      <c r="D549" s="7">
        <v>6.0</v>
      </c>
      <c r="E549" s="7">
        <v>5.0</v>
      </c>
      <c r="F549" s="14"/>
      <c r="G549" s="15"/>
      <c r="H549" s="15"/>
      <c r="I549" s="14"/>
      <c r="J549" s="14"/>
      <c r="O549" s="14"/>
    </row>
    <row r="550" ht="18.75" customHeight="1">
      <c r="A550" s="7" t="s">
        <v>2786</v>
      </c>
      <c r="B550" s="7">
        <v>1374.0</v>
      </c>
      <c r="C550" s="7">
        <v>1374.0</v>
      </c>
      <c r="D550" s="7">
        <v>391.0</v>
      </c>
      <c r="E550" s="7">
        <v>292.0</v>
      </c>
      <c r="F550" s="14"/>
      <c r="G550" s="15"/>
      <c r="H550" s="15"/>
      <c r="I550" s="14"/>
      <c r="J550" s="14"/>
      <c r="O550" s="14"/>
    </row>
    <row r="551" ht="18.75" customHeight="1">
      <c r="A551" s="7" t="s">
        <v>2786</v>
      </c>
      <c r="B551" s="7">
        <v>11.0</v>
      </c>
      <c r="C551" s="7">
        <v>11.0</v>
      </c>
      <c r="D551" s="7">
        <v>9.0</v>
      </c>
      <c r="E551" s="7">
        <v>9.0</v>
      </c>
      <c r="F551" s="14"/>
      <c r="G551" s="15"/>
      <c r="H551" s="15"/>
      <c r="I551" s="14"/>
      <c r="J551" s="14"/>
      <c r="O551" s="14"/>
    </row>
    <row r="552" ht="18.75" customHeight="1">
      <c r="A552" s="7" t="s">
        <v>2786</v>
      </c>
      <c r="B552" s="7">
        <v>132.0</v>
      </c>
      <c r="C552" s="7">
        <v>132.0</v>
      </c>
      <c r="D552" s="7">
        <v>86.0</v>
      </c>
      <c r="E552" s="7">
        <v>86.0</v>
      </c>
      <c r="F552" s="14"/>
      <c r="G552" s="15"/>
      <c r="H552" s="15"/>
      <c r="I552" s="14"/>
      <c r="J552" s="14"/>
      <c r="O552" s="14"/>
    </row>
    <row r="553" ht="18.75" customHeight="1">
      <c r="A553" s="7" t="s">
        <v>3202</v>
      </c>
      <c r="B553" s="7">
        <v>4800.0</v>
      </c>
      <c r="C553" s="7">
        <v>4771.0</v>
      </c>
      <c r="D553" s="7">
        <v>1294.0</v>
      </c>
      <c r="E553" s="7">
        <v>1040.0</v>
      </c>
      <c r="F553" s="14"/>
      <c r="G553" s="15"/>
      <c r="H553" s="15"/>
      <c r="I553" s="14"/>
      <c r="J553" s="14"/>
      <c r="O553" s="14"/>
    </row>
    <row r="554" ht="18.75" customHeight="1">
      <c r="A554" s="7" t="s">
        <v>3202</v>
      </c>
      <c r="B554" s="7">
        <v>21.0</v>
      </c>
      <c r="C554" s="7">
        <v>21.0</v>
      </c>
      <c r="D554" s="7">
        <v>18.0</v>
      </c>
      <c r="E554" s="7">
        <v>18.0</v>
      </c>
      <c r="F554" s="14"/>
      <c r="G554" s="15"/>
      <c r="H554" s="15"/>
      <c r="I554" s="14"/>
      <c r="J554" s="14"/>
      <c r="O554" s="14"/>
    </row>
    <row r="555" ht="18.75" customHeight="1">
      <c r="A555" s="7" t="s">
        <v>3202</v>
      </c>
      <c r="B555" s="7">
        <v>153.0</v>
      </c>
      <c r="C555" s="7">
        <v>153.0</v>
      </c>
      <c r="D555" s="7">
        <v>88.0</v>
      </c>
      <c r="E555" s="7">
        <v>88.0</v>
      </c>
      <c r="F555" s="14"/>
      <c r="G555" s="15"/>
      <c r="H555" s="15"/>
      <c r="I555" s="14"/>
      <c r="J555" s="14"/>
      <c r="O555" s="14"/>
    </row>
    <row r="556" ht="18.75" customHeight="1">
      <c r="A556" s="7" t="s">
        <v>3289</v>
      </c>
      <c r="B556" s="7">
        <v>87.0</v>
      </c>
      <c r="C556" s="7">
        <v>87.0</v>
      </c>
      <c r="D556" s="7">
        <v>31.0</v>
      </c>
      <c r="E556" s="7">
        <v>31.0</v>
      </c>
      <c r="F556" s="14"/>
      <c r="G556" s="15"/>
      <c r="H556" s="15"/>
      <c r="I556" s="14"/>
      <c r="J556" s="14"/>
      <c r="O556" s="14"/>
    </row>
    <row r="557" ht="18.75" customHeight="1">
      <c r="A557" s="7" t="s">
        <v>3333</v>
      </c>
      <c r="B557" s="7">
        <v>60.0</v>
      </c>
      <c r="C557" s="7">
        <v>60.0</v>
      </c>
      <c r="D557" s="7">
        <v>22.0</v>
      </c>
      <c r="E557" s="7">
        <v>22.0</v>
      </c>
      <c r="F557" s="14"/>
      <c r="G557" s="15"/>
      <c r="H557" s="15"/>
      <c r="I557" s="14"/>
      <c r="J557" s="14"/>
      <c r="O557" s="14"/>
    </row>
    <row r="558" ht="18.75" customHeight="1">
      <c r="A558" s="7" t="s">
        <v>3335</v>
      </c>
      <c r="B558" s="7">
        <v>40.0</v>
      </c>
      <c r="C558" s="7">
        <v>40.0</v>
      </c>
      <c r="D558" s="7">
        <v>10.0</v>
      </c>
      <c r="E558" s="7">
        <v>10.0</v>
      </c>
      <c r="F558" s="14"/>
      <c r="G558" s="15"/>
      <c r="H558" s="15"/>
      <c r="I558" s="14"/>
      <c r="J558" s="14"/>
      <c r="O558" s="14"/>
    </row>
    <row r="559" ht="18.75" customHeight="1">
      <c r="A559" s="7" t="s">
        <v>2818</v>
      </c>
      <c r="B559" s="7">
        <v>4000.0</v>
      </c>
      <c r="C559" s="7">
        <v>3979.0</v>
      </c>
      <c r="D559" s="7">
        <v>1014.0</v>
      </c>
      <c r="E559" s="7">
        <v>833.0</v>
      </c>
      <c r="F559" s="14"/>
      <c r="G559" s="15"/>
      <c r="H559" s="15"/>
      <c r="I559" s="14"/>
      <c r="J559" s="14"/>
      <c r="O559" s="14"/>
    </row>
    <row r="560" ht="18.75" customHeight="1">
      <c r="A560" s="7" t="s">
        <v>2818</v>
      </c>
      <c r="B560" s="7">
        <v>16.0</v>
      </c>
      <c r="C560" s="7">
        <v>16.0</v>
      </c>
      <c r="D560" s="7">
        <v>13.0</v>
      </c>
      <c r="E560" s="7">
        <v>13.0</v>
      </c>
      <c r="F560" s="14"/>
      <c r="G560" s="15"/>
      <c r="H560" s="15"/>
      <c r="I560" s="14"/>
      <c r="J560" s="14"/>
      <c r="O560" s="14"/>
    </row>
    <row r="561" ht="18.75" customHeight="1">
      <c r="A561" s="7" t="s">
        <v>2818</v>
      </c>
      <c r="B561" s="7">
        <v>106.0</v>
      </c>
      <c r="C561" s="7">
        <v>106.0</v>
      </c>
      <c r="D561" s="7">
        <v>75.0</v>
      </c>
      <c r="E561" s="7">
        <v>75.0</v>
      </c>
      <c r="F561" s="14"/>
      <c r="G561" s="15"/>
      <c r="H561" s="15"/>
      <c r="I561" s="14"/>
      <c r="J561" s="14"/>
      <c r="O561" s="14"/>
    </row>
    <row r="562" ht="18.75" customHeight="1">
      <c r="A562" s="7" t="s">
        <v>3205</v>
      </c>
      <c r="B562" s="7">
        <v>129.0</v>
      </c>
      <c r="C562" s="7">
        <v>129.0</v>
      </c>
      <c r="D562" s="7">
        <v>39.0</v>
      </c>
      <c r="E562" s="7">
        <v>37.0</v>
      </c>
      <c r="F562" s="14"/>
      <c r="G562" s="15"/>
      <c r="H562" s="15"/>
      <c r="I562" s="14"/>
      <c r="J562" s="14"/>
      <c r="O562" s="14"/>
    </row>
    <row r="563" ht="18.75" customHeight="1">
      <c r="A563" s="7" t="s">
        <v>3204</v>
      </c>
      <c r="B563" s="7">
        <v>59.0</v>
      </c>
      <c r="C563" s="7">
        <v>59.0</v>
      </c>
      <c r="D563" s="7">
        <v>25.0</v>
      </c>
      <c r="E563" s="7">
        <v>22.0</v>
      </c>
      <c r="F563" s="14"/>
      <c r="G563" s="15"/>
      <c r="H563" s="15"/>
      <c r="I563" s="14"/>
      <c r="J563" s="14"/>
      <c r="O563" s="14"/>
    </row>
    <row r="564" ht="18.75" customHeight="1">
      <c r="A564" s="7" t="s">
        <v>3203</v>
      </c>
      <c r="B564" s="7">
        <v>132.0</v>
      </c>
      <c r="C564" s="7">
        <v>132.0</v>
      </c>
      <c r="D564" s="7">
        <v>39.0</v>
      </c>
      <c r="E564" s="7">
        <v>36.0</v>
      </c>
      <c r="F564" s="14"/>
      <c r="G564" s="15"/>
      <c r="H564" s="15"/>
      <c r="I564" s="14"/>
      <c r="J564" s="14"/>
      <c r="O564" s="14"/>
    </row>
    <row r="565" ht="18.75" customHeight="1">
      <c r="A565" s="7" t="s">
        <v>2869</v>
      </c>
      <c r="B565" s="7">
        <v>3500.0</v>
      </c>
      <c r="C565" s="7">
        <v>2888.0</v>
      </c>
      <c r="D565" s="7">
        <v>926.0</v>
      </c>
      <c r="E565" s="7">
        <v>757.0</v>
      </c>
      <c r="F565" s="14"/>
      <c r="G565" s="15"/>
      <c r="H565" s="15"/>
      <c r="I565" s="14"/>
      <c r="J565" s="14"/>
      <c r="O565" s="14"/>
    </row>
    <row r="566" ht="18.75" customHeight="1">
      <c r="A566" s="7" t="s">
        <v>2869</v>
      </c>
      <c r="B566" s="7">
        <v>10.0</v>
      </c>
      <c r="C566" s="7">
        <v>10.0</v>
      </c>
      <c r="D566" s="7">
        <v>7.0</v>
      </c>
      <c r="E566" s="7">
        <v>6.0</v>
      </c>
      <c r="F566" s="14"/>
      <c r="G566" s="15"/>
      <c r="H566" s="15"/>
      <c r="I566" s="14"/>
      <c r="J566" s="14"/>
      <c r="O566" s="14"/>
    </row>
    <row r="567" ht="18.75" customHeight="1">
      <c r="A567" s="7" t="s">
        <v>2869</v>
      </c>
      <c r="B567" s="7">
        <v>105.0</v>
      </c>
      <c r="C567" s="7">
        <v>105.0</v>
      </c>
      <c r="D567" s="7">
        <v>73.0</v>
      </c>
      <c r="E567" s="7">
        <v>73.0</v>
      </c>
      <c r="F567" s="14"/>
      <c r="G567" s="15"/>
      <c r="H567" s="15"/>
      <c r="I567" s="14"/>
      <c r="J567" s="14"/>
      <c r="O567" s="14"/>
    </row>
    <row r="568" ht="18.75" customHeight="1">
      <c r="A568" s="7" t="s">
        <v>3206</v>
      </c>
      <c r="B568" s="7">
        <v>29.0</v>
      </c>
      <c r="C568" s="7">
        <v>29.0</v>
      </c>
      <c r="D568" s="7">
        <v>14.0</v>
      </c>
      <c r="E568" s="7">
        <v>14.0</v>
      </c>
      <c r="F568" s="14"/>
      <c r="G568" s="15"/>
      <c r="H568" s="15"/>
      <c r="I568" s="14"/>
      <c r="J568" s="14"/>
      <c r="O568" s="14"/>
    </row>
    <row r="569" ht="18.75" customHeight="1">
      <c r="A569" s="7" t="s">
        <v>3209</v>
      </c>
      <c r="B569" s="7">
        <v>25.0</v>
      </c>
      <c r="C569" s="7">
        <v>25.0</v>
      </c>
      <c r="D569" s="7">
        <v>10.0</v>
      </c>
      <c r="E569" s="7">
        <v>10.0</v>
      </c>
      <c r="F569" s="14"/>
      <c r="G569" s="15"/>
      <c r="H569" s="15"/>
      <c r="I569" s="14"/>
      <c r="J569" s="14"/>
      <c r="O569" s="14"/>
    </row>
    <row r="570" ht="18.75" customHeight="1">
      <c r="A570" s="7" t="s">
        <v>3336</v>
      </c>
      <c r="B570" s="7">
        <v>92.0</v>
      </c>
      <c r="C570" s="7">
        <v>92.0</v>
      </c>
      <c r="D570" s="7">
        <v>35.0</v>
      </c>
      <c r="E570" s="7">
        <v>35.0</v>
      </c>
      <c r="F570" s="14"/>
      <c r="G570" s="15"/>
      <c r="H570" s="15"/>
      <c r="I570" s="14"/>
      <c r="J570" s="14"/>
      <c r="O570" s="14"/>
    </row>
    <row r="571" ht="18.75" customHeight="1">
      <c r="A571" s="7" t="s">
        <v>3303</v>
      </c>
      <c r="B571" s="7">
        <v>102.0</v>
      </c>
      <c r="C571" s="7">
        <v>102.0</v>
      </c>
      <c r="D571" s="7">
        <v>44.0</v>
      </c>
      <c r="E571" s="7">
        <v>43.0</v>
      </c>
      <c r="F571" s="14"/>
      <c r="G571" s="15"/>
      <c r="H571" s="15"/>
      <c r="I571" s="14"/>
      <c r="J571" s="14"/>
      <c r="O571" s="14"/>
    </row>
    <row r="572" ht="18.75" customHeight="1">
      <c r="A572" s="7" t="s">
        <v>2819</v>
      </c>
      <c r="B572" s="7">
        <v>3827.0</v>
      </c>
      <c r="C572" s="7">
        <v>3826.0</v>
      </c>
      <c r="D572" s="7">
        <v>1041.0</v>
      </c>
      <c r="E572" s="7">
        <v>797.0</v>
      </c>
      <c r="F572" s="14"/>
      <c r="G572" s="15"/>
      <c r="H572" s="15"/>
      <c r="I572" s="14"/>
      <c r="J572" s="14"/>
      <c r="O572" s="14"/>
    </row>
    <row r="573" ht="18.75" customHeight="1">
      <c r="A573" s="7" t="s">
        <v>2819</v>
      </c>
      <c r="B573" s="7">
        <v>46.0</v>
      </c>
      <c r="C573" s="7">
        <v>46.0</v>
      </c>
      <c r="D573" s="7">
        <v>35.0</v>
      </c>
      <c r="E573" s="7">
        <v>34.0</v>
      </c>
      <c r="F573" s="14"/>
      <c r="G573" s="15"/>
      <c r="H573" s="15"/>
      <c r="I573" s="14"/>
      <c r="J573" s="14"/>
      <c r="O573" s="14"/>
    </row>
    <row r="574" ht="18.75" customHeight="1">
      <c r="A574" s="7" t="s">
        <v>2819</v>
      </c>
      <c r="B574" s="7">
        <v>223.0</v>
      </c>
      <c r="C574" s="7">
        <v>223.0</v>
      </c>
      <c r="D574" s="7">
        <v>143.0</v>
      </c>
      <c r="E574" s="7">
        <v>143.0</v>
      </c>
      <c r="F574" s="14"/>
      <c r="G574" s="15"/>
      <c r="H574" s="15"/>
      <c r="I574" s="14"/>
      <c r="J574" s="14"/>
      <c r="O574" s="14"/>
    </row>
    <row r="575" ht="18.75" customHeight="1">
      <c r="A575" s="7" t="s">
        <v>3337</v>
      </c>
      <c r="B575" s="7">
        <v>90.0</v>
      </c>
      <c r="C575" s="7">
        <v>90.0</v>
      </c>
      <c r="D575" s="7">
        <v>30.0</v>
      </c>
      <c r="E575" s="7">
        <v>30.0</v>
      </c>
      <c r="F575" s="14"/>
      <c r="G575" s="15"/>
      <c r="H575" s="15"/>
      <c r="I575" s="14"/>
      <c r="J575" s="14"/>
      <c r="O575" s="14"/>
    </row>
    <row r="576" ht="18.75" customHeight="1">
      <c r="A576" s="7" t="s">
        <v>3207</v>
      </c>
      <c r="B576" s="7">
        <v>73.0</v>
      </c>
      <c r="C576" s="7">
        <v>73.0</v>
      </c>
      <c r="D576" s="7">
        <v>19.0</v>
      </c>
      <c r="E576" s="7">
        <v>18.0</v>
      </c>
      <c r="F576" s="14"/>
      <c r="G576" s="15"/>
      <c r="H576" s="15"/>
      <c r="I576" s="14"/>
      <c r="J576" s="14"/>
      <c r="O576" s="14"/>
    </row>
    <row r="577" ht="18.75" customHeight="1">
      <c r="A577" s="7" t="s">
        <v>3208</v>
      </c>
      <c r="B577" s="7">
        <v>33.0</v>
      </c>
      <c r="C577" s="7">
        <v>33.0</v>
      </c>
      <c r="D577" s="7">
        <v>13.0</v>
      </c>
      <c r="E577" s="7">
        <v>13.0</v>
      </c>
      <c r="F577" s="14"/>
      <c r="G577" s="15"/>
      <c r="H577" s="15"/>
      <c r="I577" s="14"/>
      <c r="J577" s="14"/>
      <c r="O577" s="14"/>
    </row>
    <row r="578" ht="18.75" customHeight="1">
      <c r="A578" s="7" t="s">
        <v>2820</v>
      </c>
      <c r="B578" s="7">
        <v>5000.0</v>
      </c>
      <c r="C578" s="7">
        <v>5000.0</v>
      </c>
      <c r="D578" s="7">
        <v>1363.0</v>
      </c>
      <c r="E578" s="7">
        <v>1065.0</v>
      </c>
      <c r="F578" s="14"/>
      <c r="G578" s="15"/>
      <c r="H578" s="15"/>
      <c r="I578" s="14"/>
      <c r="J578" s="14"/>
      <c r="O578" s="14"/>
    </row>
    <row r="579" ht="18.75" customHeight="1">
      <c r="A579" s="7" t="s">
        <v>2820</v>
      </c>
      <c r="B579" s="7">
        <v>67.0</v>
      </c>
      <c r="C579" s="7">
        <v>67.0</v>
      </c>
      <c r="D579" s="7">
        <v>49.0</v>
      </c>
      <c r="E579" s="7">
        <v>47.0</v>
      </c>
      <c r="F579" s="14"/>
      <c r="G579" s="15"/>
      <c r="H579" s="15"/>
      <c r="I579" s="14"/>
      <c r="J579" s="14"/>
      <c r="O579" s="14"/>
    </row>
    <row r="580" ht="18.75" customHeight="1">
      <c r="A580" s="7" t="s">
        <v>2820</v>
      </c>
      <c r="B580" s="7">
        <v>223.0</v>
      </c>
      <c r="C580" s="7">
        <v>223.0</v>
      </c>
      <c r="D580" s="7">
        <v>123.0</v>
      </c>
      <c r="E580" s="7">
        <v>123.0</v>
      </c>
      <c r="F580" s="14"/>
      <c r="G580" s="15"/>
      <c r="H580" s="15"/>
      <c r="I580" s="14"/>
      <c r="J580" s="14"/>
      <c r="O580" s="14"/>
    </row>
    <row r="581" ht="18.75" customHeight="1">
      <c r="A581" s="7" t="s">
        <v>3290</v>
      </c>
      <c r="B581" s="7">
        <v>28.0</v>
      </c>
      <c r="C581" s="7">
        <v>28.0</v>
      </c>
      <c r="D581" s="7">
        <v>15.0</v>
      </c>
      <c r="E581" s="7">
        <v>15.0</v>
      </c>
      <c r="F581" s="14"/>
      <c r="G581" s="15"/>
      <c r="H581" s="15"/>
      <c r="I581" s="14"/>
      <c r="J581" s="14"/>
      <c r="O581" s="14"/>
    </row>
    <row r="582" ht="18.75" customHeight="1">
      <c r="A582" s="7" t="s">
        <v>3858</v>
      </c>
      <c r="B582" s="7">
        <v>62.0</v>
      </c>
      <c r="C582" s="7">
        <v>62.0</v>
      </c>
      <c r="D582" s="7">
        <v>24.0</v>
      </c>
      <c r="E582" s="7">
        <v>24.0</v>
      </c>
      <c r="F582" s="14"/>
      <c r="G582" s="15"/>
      <c r="H582" s="15"/>
      <c r="I582" s="14"/>
      <c r="J582" s="14"/>
      <c r="O582" s="14"/>
    </row>
    <row r="583" ht="18.75" customHeight="1">
      <c r="A583" s="7" t="s">
        <v>3859</v>
      </c>
      <c r="B583" s="7">
        <v>58.0</v>
      </c>
      <c r="C583" s="7">
        <v>58.0</v>
      </c>
      <c r="D583" s="7">
        <v>16.0</v>
      </c>
      <c r="E583" s="7">
        <v>15.0</v>
      </c>
      <c r="F583" s="14"/>
      <c r="G583" s="15"/>
      <c r="H583" s="15"/>
      <c r="I583" s="14"/>
      <c r="J583" s="14"/>
      <c r="O583" s="14"/>
    </row>
    <row r="584" ht="18.75" customHeight="1">
      <c r="A584" s="7" t="s">
        <v>2778</v>
      </c>
      <c r="B584" s="7">
        <v>3496.0</v>
      </c>
      <c r="C584" s="7">
        <v>3421.0</v>
      </c>
      <c r="D584" s="7">
        <v>1044.0</v>
      </c>
      <c r="E584" s="7">
        <v>822.0</v>
      </c>
      <c r="F584" s="14"/>
      <c r="G584" s="15"/>
      <c r="H584" s="15"/>
      <c r="I584" s="14"/>
      <c r="J584" s="14"/>
      <c r="O584" s="14"/>
    </row>
    <row r="585" ht="18.75" customHeight="1">
      <c r="A585" s="7" t="s">
        <v>2778</v>
      </c>
      <c r="B585" s="7">
        <v>64.0</v>
      </c>
      <c r="C585" s="7">
        <v>64.0</v>
      </c>
      <c r="D585" s="7">
        <v>41.0</v>
      </c>
      <c r="E585" s="7">
        <v>37.0</v>
      </c>
      <c r="F585" s="14"/>
      <c r="G585" s="15"/>
      <c r="H585" s="15"/>
      <c r="I585" s="14"/>
      <c r="J585" s="14"/>
      <c r="O585" s="14"/>
    </row>
    <row r="586" ht="18.75" customHeight="1">
      <c r="A586" s="7" t="s">
        <v>2778</v>
      </c>
      <c r="B586" s="7">
        <v>355.0</v>
      </c>
      <c r="C586" s="7">
        <v>355.0</v>
      </c>
      <c r="D586" s="7">
        <v>227.0</v>
      </c>
      <c r="E586" s="7">
        <v>226.0</v>
      </c>
      <c r="F586" s="14"/>
      <c r="G586" s="15"/>
      <c r="H586" s="15"/>
      <c r="I586" s="14"/>
      <c r="J586" s="14"/>
      <c r="O586" s="14"/>
    </row>
    <row r="587" ht="18.75" customHeight="1">
      <c r="A587" s="7" t="s">
        <v>3210</v>
      </c>
      <c r="B587" s="7">
        <v>118.0</v>
      </c>
      <c r="C587" s="7">
        <v>118.0</v>
      </c>
      <c r="D587" s="7">
        <v>40.0</v>
      </c>
      <c r="E587" s="7">
        <v>40.0</v>
      </c>
      <c r="F587" s="14"/>
      <c r="G587" s="15"/>
      <c r="H587" s="15"/>
      <c r="I587" s="14"/>
      <c r="J587" s="14"/>
      <c r="O587" s="14"/>
    </row>
    <row r="588" ht="18.75" customHeight="1">
      <c r="A588" s="7" t="s">
        <v>3177</v>
      </c>
      <c r="B588" s="7">
        <v>15.0</v>
      </c>
      <c r="C588" s="7">
        <v>15.0</v>
      </c>
      <c r="D588" s="7">
        <v>3.0</v>
      </c>
      <c r="E588" s="7">
        <v>3.0</v>
      </c>
      <c r="F588" s="14"/>
      <c r="G588" s="15"/>
      <c r="H588" s="15"/>
      <c r="I588" s="14"/>
      <c r="J588" s="14"/>
      <c r="O588" s="14"/>
    </row>
    <row r="589" ht="18.75" customHeight="1">
      <c r="A589" s="7" t="s">
        <v>3497</v>
      </c>
      <c r="B589" s="7">
        <v>32.0</v>
      </c>
      <c r="C589" s="7">
        <v>31.0</v>
      </c>
      <c r="D589" s="7">
        <v>10.0</v>
      </c>
      <c r="E589" s="7">
        <v>9.0</v>
      </c>
      <c r="F589" s="14"/>
      <c r="G589" s="15"/>
      <c r="H589" s="15"/>
      <c r="I589" s="14"/>
      <c r="J589" s="14"/>
      <c r="O589" s="14"/>
    </row>
    <row r="590" ht="18.75" customHeight="1">
      <c r="A590" s="7" t="s">
        <v>2838</v>
      </c>
      <c r="B590" s="7">
        <v>4500.0</v>
      </c>
      <c r="C590" s="7">
        <v>3993.0</v>
      </c>
      <c r="D590" s="7">
        <v>883.0</v>
      </c>
      <c r="E590" s="7">
        <v>729.0</v>
      </c>
      <c r="F590" s="14"/>
      <c r="G590" s="15"/>
      <c r="H590" s="15"/>
      <c r="I590" s="14"/>
      <c r="J590" s="14"/>
      <c r="O590" s="14"/>
    </row>
    <row r="591" ht="18.75" customHeight="1">
      <c r="A591" s="7" t="s">
        <v>2838</v>
      </c>
      <c r="B591" s="7">
        <v>41.0</v>
      </c>
      <c r="C591" s="7">
        <v>41.0</v>
      </c>
      <c r="D591" s="7">
        <v>21.0</v>
      </c>
      <c r="E591" s="7">
        <v>18.0</v>
      </c>
      <c r="F591" s="14"/>
      <c r="G591" s="15"/>
      <c r="H591" s="15"/>
      <c r="I591" s="14"/>
      <c r="J591" s="14"/>
      <c r="O591" s="14"/>
    </row>
    <row r="592" ht="18.75" customHeight="1">
      <c r="A592" s="7" t="s">
        <v>2838</v>
      </c>
      <c r="B592" s="7">
        <v>145.0</v>
      </c>
      <c r="C592" s="7">
        <v>145.0</v>
      </c>
      <c r="D592" s="7">
        <v>82.0</v>
      </c>
      <c r="E592" s="7">
        <v>79.0</v>
      </c>
      <c r="F592" s="14"/>
      <c r="G592" s="15"/>
      <c r="H592" s="15"/>
      <c r="I592" s="14"/>
      <c r="J592" s="14"/>
      <c r="O592" s="14"/>
    </row>
    <row r="593" ht="18.75" customHeight="1">
      <c r="A593" s="7" t="s">
        <v>3178</v>
      </c>
      <c r="B593" s="7">
        <v>46.0</v>
      </c>
      <c r="C593" s="7">
        <v>46.0</v>
      </c>
      <c r="D593" s="7">
        <v>13.0</v>
      </c>
      <c r="E593" s="7">
        <v>13.0</v>
      </c>
      <c r="F593" s="14"/>
      <c r="G593" s="15"/>
      <c r="H593" s="15"/>
      <c r="I593" s="14"/>
      <c r="J593" s="14"/>
      <c r="O593" s="14"/>
    </row>
    <row r="594" ht="18.75" customHeight="1">
      <c r="A594" s="7" t="s">
        <v>3338</v>
      </c>
      <c r="B594" s="7">
        <v>121.0</v>
      </c>
      <c r="C594" s="7">
        <v>121.0</v>
      </c>
      <c r="D594" s="7">
        <v>37.0</v>
      </c>
      <c r="E594" s="7">
        <v>33.0</v>
      </c>
      <c r="F594" s="14"/>
      <c r="G594" s="15"/>
      <c r="H594" s="15"/>
      <c r="I594" s="14"/>
      <c r="J594" s="14"/>
      <c r="O594" s="14"/>
    </row>
    <row r="595" ht="18.75" customHeight="1">
      <c r="A595" s="7" t="s">
        <v>3211</v>
      </c>
      <c r="B595" s="7">
        <v>21.0</v>
      </c>
      <c r="C595" s="7">
        <v>21.0</v>
      </c>
      <c r="D595" s="7">
        <v>8.0</v>
      </c>
      <c r="E595" s="7">
        <v>6.0</v>
      </c>
      <c r="F595" s="14"/>
      <c r="G595" s="15"/>
      <c r="H595" s="15"/>
      <c r="I595" s="14"/>
      <c r="J595" s="14"/>
      <c r="O595" s="14"/>
    </row>
    <row r="596" ht="18.75" customHeight="1">
      <c r="A596" s="7" t="s">
        <v>3338</v>
      </c>
      <c r="B596" s="7">
        <v>103.0</v>
      </c>
      <c r="C596" s="7">
        <v>103.0</v>
      </c>
      <c r="D596" s="7">
        <v>46.0</v>
      </c>
      <c r="E596" s="7">
        <v>44.0</v>
      </c>
      <c r="F596" s="14"/>
      <c r="G596" s="15"/>
      <c r="H596" s="15"/>
      <c r="I596" s="14"/>
      <c r="J596" s="14"/>
      <c r="O596" s="14"/>
    </row>
    <row r="597" ht="18.75" customHeight="1">
      <c r="A597" s="7" t="s">
        <v>2809</v>
      </c>
      <c r="B597" s="7">
        <v>3700.0</v>
      </c>
      <c r="C597" s="7">
        <v>3140.0</v>
      </c>
      <c r="D597" s="7">
        <v>917.0</v>
      </c>
      <c r="E597" s="7">
        <v>742.0</v>
      </c>
      <c r="F597" s="14"/>
      <c r="G597" s="15"/>
      <c r="H597" s="15"/>
      <c r="I597" s="14"/>
      <c r="J597" s="14"/>
      <c r="O597" s="14"/>
    </row>
    <row r="598" ht="18.75" customHeight="1">
      <c r="A598" s="7" t="s">
        <v>2809</v>
      </c>
      <c r="B598" s="7">
        <v>74.0</v>
      </c>
      <c r="C598" s="7">
        <v>74.0</v>
      </c>
      <c r="D598" s="7">
        <v>47.0</v>
      </c>
      <c r="E598" s="7">
        <v>46.0</v>
      </c>
      <c r="F598" s="14"/>
      <c r="G598" s="15"/>
      <c r="H598" s="15"/>
      <c r="I598" s="14"/>
      <c r="J598" s="14"/>
      <c r="O598" s="14"/>
    </row>
    <row r="599" ht="18.75" customHeight="1">
      <c r="A599" s="7" t="s">
        <v>2809</v>
      </c>
      <c r="B599" s="7">
        <v>671.0</v>
      </c>
      <c r="C599" s="7">
        <v>671.0</v>
      </c>
      <c r="D599" s="7">
        <v>338.0</v>
      </c>
      <c r="E599" s="7">
        <v>332.0</v>
      </c>
      <c r="F599" s="14"/>
      <c r="G599" s="15"/>
      <c r="H599" s="15"/>
      <c r="I599" s="14"/>
      <c r="J599" s="14"/>
      <c r="O599" s="14"/>
    </row>
    <row r="600" ht="18.75" customHeight="1">
      <c r="A600" s="7" t="s">
        <v>3179</v>
      </c>
      <c r="B600" s="7">
        <v>54.0</v>
      </c>
      <c r="C600" s="7">
        <v>54.0</v>
      </c>
      <c r="D600" s="7">
        <v>16.0</v>
      </c>
      <c r="E600" s="7">
        <v>16.0</v>
      </c>
      <c r="F600" s="14"/>
      <c r="G600" s="15"/>
      <c r="H600" s="15"/>
      <c r="I600" s="14"/>
      <c r="J600" s="14"/>
      <c r="O600" s="14"/>
    </row>
    <row r="601" ht="18.75" customHeight="1">
      <c r="A601" s="7" t="s">
        <v>3176</v>
      </c>
      <c r="B601" s="7">
        <v>89.0</v>
      </c>
      <c r="C601" s="7">
        <v>89.0</v>
      </c>
      <c r="D601" s="7">
        <v>37.0</v>
      </c>
      <c r="E601" s="7">
        <v>35.0</v>
      </c>
      <c r="F601" s="14"/>
      <c r="G601" s="15"/>
      <c r="H601" s="15"/>
      <c r="I601" s="14"/>
      <c r="J601" s="14"/>
      <c r="O601" s="14"/>
    </row>
    <row r="602" ht="18.75" customHeight="1">
      <c r="A602" s="7" t="s">
        <v>2779</v>
      </c>
      <c r="B602" s="7">
        <v>4230.0</v>
      </c>
      <c r="C602" s="7">
        <v>4078.0</v>
      </c>
      <c r="D602" s="7">
        <v>1001.0</v>
      </c>
      <c r="E602" s="7">
        <v>812.0</v>
      </c>
      <c r="F602" s="14"/>
      <c r="G602" s="15"/>
      <c r="H602" s="15"/>
      <c r="I602" s="14"/>
      <c r="J602" s="14"/>
      <c r="O602" s="14"/>
    </row>
    <row r="603" ht="18.75" customHeight="1">
      <c r="A603" s="7" t="s">
        <v>2779</v>
      </c>
      <c r="B603" s="7">
        <v>37.0</v>
      </c>
      <c r="C603" s="7">
        <v>37.0</v>
      </c>
      <c r="D603" s="7">
        <v>22.0</v>
      </c>
      <c r="E603" s="7">
        <v>22.0</v>
      </c>
      <c r="F603" s="14"/>
      <c r="G603" s="15"/>
      <c r="H603" s="15"/>
      <c r="I603" s="14"/>
      <c r="J603" s="14"/>
      <c r="O603" s="14"/>
    </row>
    <row r="604" ht="18.75" customHeight="1">
      <c r="A604" s="7" t="s">
        <v>2779</v>
      </c>
      <c r="B604" s="7">
        <v>169.0</v>
      </c>
      <c r="C604" s="7">
        <v>169.0</v>
      </c>
      <c r="D604" s="7">
        <v>108.0</v>
      </c>
      <c r="E604" s="7">
        <v>107.0</v>
      </c>
      <c r="F604" s="14"/>
      <c r="G604" s="15"/>
      <c r="H604" s="15"/>
      <c r="I604" s="14"/>
      <c r="J604" s="14"/>
      <c r="O604" s="14"/>
    </row>
    <row r="605" ht="18.75" customHeight="1">
      <c r="A605" s="7" t="s">
        <v>3214</v>
      </c>
      <c r="B605" s="7">
        <v>13.0</v>
      </c>
      <c r="C605" s="7">
        <v>13.0</v>
      </c>
      <c r="D605" s="7">
        <v>4.0</v>
      </c>
      <c r="E605" s="7">
        <v>4.0</v>
      </c>
      <c r="F605" s="14"/>
      <c r="G605" s="15"/>
      <c r="H605" s="15"/>
      <c r="I605" s="14"/>
      <c r="J605" s="14"/>
      <c r="O605" s="14"/>
    </row>
    <row r="606" ht="18.75" customHeight="1">
      <c r="A606" s="7" t="s">
        <v>3213</v>
      </c>
      <c r="B606" s="7">
        <v>42.0</v>
      </c>
      <c r="C606" s="7">
        <v>42.0</v>
      </c>
      <c r="D606" s="7">
        <v>23.0</v>
      </c>
      <c r="E606" s="7">
        <v>22.0</v>
      </c>
      <c r="F606" s="14"/>
      <c r="G606" s="15"/>
      <c r="H606" s="15"/>
      <c r="I606" s="14"/>
      <c r="J606" s="14"/>
      <c r="O606" s="14"/>
    </row>
    <row r="607" ht="18.75" customHeight="1">
      <c r="A607" s="7" t="s">
        <v>3212</v>
      </c>
      <c r="B607" s="7">
        <v>42.0</v>
      </c>
      <c r="C607" s="7">
        <v>42.0</v>
      </c>
      <c r="D607" s="7">
        <v>18.0</v>
      </c>
      <c r="E607" s="7">
        <v>18.0</v>
      </c>
      <c r="F607" s="14"/>
      <c r="G607" s="15"/>
      <c r="H607" s="15"/>
      <c r="I607" s="14"/>
      <c r="J607" s="14"/>
      <c r="O607" s="14"/>
    </row>
    <row r="608" ht="18.75" customHeight="1">
      <c r="A608" s="7" t="s">
        <v>3354</v>
      </c>
      <c r="B608" s="7">
        <v>50.0</v>
      </c>
      <c r="C608" s="7">
        <v>50.0</v>
      </c>
      <c r="D608" s="7">
        <v>13.0</v>
      </c>
      <c r="E608" s="7">
        <v>13.0</v>
      </c>
      <c r="F608" s="14"/>
      <c r="G608" s="15"/>
      <c r="H608" s="15"/>
      <c r="I608" s="14"/>
      <c r="J608" s="14"/>
      <c r="O608" s="14"/>
    </row>
    <row r="609" ht="18.75" customHeight="1">
      <c r="A609" s="7" t="s">
        <v>2828</v>
      </c>
      <c r="B609" s="7">
        <v>3532.0</v>
      </c>
      <c r="C609" s="7">
        <v>3435.0</v>
      </c>
      <c r="D609" s="7">
        <v>944.0</v>
      </c>
      <c r="E609" s="7">
        <v>753.0</v>
      </c>
      <c r="F609" s="14"/>
      <c r="G609" s="15"/>
      <c r="H609" s="15"/>
      <c r="I609" s="14"/>
      <c r="J609" s="14"/>
      <c r="O609" s="14"/>
    </row>
    <row r="610" ht="18.75" customHeight="1">
      <c r="A610" s="7" t="s">
        <v>2828</v>
      </c>
      <c r="B610" s="7">
        <v>21.0</v>
      </c>
      <c r="C610" s="7">
        <v>21.0</v>
      </c>
      <c r="D610" s="7">
        <v>15.0</v>
      </c>
      <c r="E610" s="7">
        <v>13.0</v>
      </c>
      <c r="F610" s="14"/>
      <c r="G610" s="15"/>
      <c r="H610" s="15"/>
      <c r="I610" s="14"/>
      <c r="J610" s="14"/>
      <c r="O610" s="14"/>
    </row>
    <row r="611" ht="18.75" customHeight="1">
      <c r="A611" s="7" t="s">
        <v>2828</v>
      </c>
      <c r="B611" s="7">
        <v>190.0</v>
      </c>
      <c r="C611" s="7">
        <v>190.0</v>
      </c>
      <c r="D611" s="7">
        <v>118.0</v>
      </c>
      <c r="E611" s="7">
        <v>118.0</v>
      </c>
      <c r="F611" s="14"/>
      <c r="G611" s="15"/>
      <c r="H611" s="15"/>
      <c r="I611" s="14"/>
      <c r="J611" s="14"/>
      <c r="O611" s="14"/>
    </row>
    <row r="612" ht="18.75" customHeight="1">
      <c r="A612" s="7" t="s">
        <v>3505</v>
      </c>
      <c r="B612" s="7">
        <v>62.0</v>
      </c>
      <c r="C612" s="7">
        <v>62.0</v>
      </c>
      <c r="D612" s="7">
        <v>21.0</v>
      </c>
      <c r="E612" s="7">
        <v>21.0</v>
      </c>
      <c r="F612" s="14"/>
      <c r="G612" s="15"/>
      <c r="H612" s="15"/>
      <c r="I612" s="14"/>
      <c r="J612" s="14"/>
      <c r="O612" s="14"/>
    </row>
    <row r="613" ht="18.75" customHeight="1">
      <c r="A613" s="7" t="s">
        <v>3180</v>
      </c>
      <c r="B613" s="7">
        <v>0.0</v>
      </c>
      <c r="C613" s="7">
        <v>0.0</v>
      </c>
      <c r="D613" s="7">
        <v>0.0</v>
      </c>
      <c r="E613" s="7">
        <v>0.0</v>
      </c>
      <c r="F613" s="14"/>
      <c r="G613" s="15"/>
      <c r="H613" s="15"/>
      <c r="I613" s="14"/>
      <c r="J613" s="14"/>
      <c r="O613" s="14"/>
    </row>
    <row r="614" ht="18.75" customHeight="1">
      <c r="A614" s="7" t="s">
        <v>2780</v>
      </c>
      <c r="B614" s="7">
        <v>4800.0</v>
      </c>
      <c r="C614" s="7">
        <v>4348.0</v>
      </c>
      <c r="D614" s="7">
        <v>953.0</v>
      </c>
      <c r="E614" s="7">
        <v>773.0</v>
      </c>
      <c r="F614" s="14"/>
      <c r="G614" s="15"/>
      <c r="H614" s="15"/>
      <c r="I614" s="14"/>
      <c r="J614" s="14"/>
      <c r="O614" s="14"/>
    </row>
    <row r="615" ht="18.75" customHeight="1">
      <c r="A615" s="7" t="s">
        <v>2780</v>
      </c>
      <c r="B615" s="7">
        <v>49.0</v>
      </c>
      <c r="C615" s="7">
        <v>49.0</v>
      </c>
      <c r="D615" s="7">
        <v>35.0</v>
      </c>
      <c r="E615" s="7">
        <v>33.0</v>
      </c>
      <c r="F615" s="14"/>
      <c r="G615" s="15"/>
      <c r="H615" s="15"/>
      <c r="I615" s="14"/>
      <c r="J615" s="14"/>
      <c r="O615" s="14"/>
    </row>
    <row r="616" ht="18.75" customHeight="1">
      <c r="A616" s="7" t="s">
        <v>2780</v>
      </c>
      <c r="B616" s="7">
        <v>266.0</v>
      </c>
      <c r="C616" s="7">
        <v>266.0</v>
      </c>
      <c r="D616" s="7">
        <v>117.0</v>
      </c>
      <c r="E616" s="7">
        <v>114.0</v>
      </c>
      <c r="F616" s="14"/>
      <c r="G616" s="15"/>
      <c r="H616" s="15"/>
      <c r="I616" s="14"/>
      <c r="J616" s="14"/>
      <c r="O616" s="14"/>
    </row>
    <row r="617" ht="18.75" customHeight="1">
      <c r="A617" s="7" t="s">
        <v>3215</v>
      </c>
      <c r="B617" s="7">
        <v>28.0</v>
      </c>
      <c r="C617" s="7">
        <v>28.0</v>
      </c>
      <c r="D617" s="7">
        <v>9.0</v>
      </c>
      <c r="E617" s="7">
        <v>8.0</v>
      </c>
      <c r="F617" s="14"/>
      <c r="G617" s="15"/>
      <c r="H617" s="15"/>
      <c r="I617" s="14"/>
      <c r="J617" s="14"/>
      <c r="O617" s="14"/>
    </row>
    <row r="618" ht="18.75" customHeight="1">
      <c r="A618" s="7" t="s">
        <v>3219</v>
      </c>
      <c r="B618" s="7">
        <v>46.0</v>
      </c>
      <c r="C618" s="7">
        <v>46.0</v>
      </c>
      <c r="D618" s="7">
        <v>20.0</v>
      </c>
      <c r="E618" s="7">
        <v>19.0</v>
      </c>
      <c r="F618" s="14"/>
      <c r="G618" s="15"/>
      <c r="H618" s="15"/>
      <c r="I618" s="14"/>
      <c r="J618" s="14"/>
      <c r="O618" s="14"/>
    </row>
    <row r="619" ht="18.75" customHeight="1">
      <c r="A619" s="7" t="s">
        <v>3860</v>
      </c>
      <c r="B619" s="7">
        <v>0.0</v>
      </c>
      <c r="C619" s="7">
        <v>0.0</v>
      </c>
      <c r="D619" s="7">
        <v>0.0</v>
      </c>
      <c r="E619" s="7">
        <v>0.0</v>
      </c>
      <c r="F619" s="14"/>
      <c r="G619" s="15"/>
      <c r="H619" s="15"/>
      <c r="I619" s="14"/>
      <c r="J619" s="14"/>
      <c r="O619" s="14"/>
    </row>
    <row r="620" ht="18.75" customHeight="1">
      <c r="A620" s="7" t="s">
        <v>3216</v>
      </c>
      <c r="B620" s="7">
        <v>29.0</v>
      </c>
      <c r="C620" s="7">
        <v>29.0</v>
      </c>
      <c r="D620" s="7">
        <v>13.0</v>
      </c>
      <c r="E620" s="7">
        <v>13.0</v>
      </c>
      <c r="F620" s="14"/>
      <c r="G620" s="15"/>
      <c r="H620" s="15"/>
      <c r="I620" s="14"/>
      <c r="J620" s="14"/>
      <c r="O620" s="14"/>
    </row>
    <row r="621" ht="18.75" customHeight="1">
      <c r="A621" s="7" t="s">
        <v>2810</v>
      </c>
      <c r="B621" s="7">
        <v>4000.0</v>
      </c>
      <c r="C621" s="7">
        <v>3998.0</v>
      </c>
      <c r="D621" s="7">
        <v>984.0</v>
      </c>
      <c r="E621" s="7">
        <v>806.0</v>
      </c>
      <c r="F621" s="14"/>
      <c r="G621" s="15"/>
      <c r="H621" s="15"/>
      <c r="I621" s="14"/>
      <c r="J621" s="14"/>
      <c r="O621" s="14"/>
    </row>
    <row r="622" ht="18.75" customHeight="1">
      <c r="A622" s="7" t="s">
        <v>2810</v>
      </c>
      <c r="B622" s="7">
        <v>41.0</v>
      </c>
      <c r="C622" s="7">
        <v>41.0</v>
      </c>
      <c r="D622" s="7">
        <v>29.0</v>
      </c>
      <c r="E622" s="7">
        <v>29.0</v>
      </c>
      <c r="F622" s="14"/>
      <c r="G622" s="15"/>
      <c r="H622" s="15"/>
      <c r="I622" s="14"/>
      <c r="J622" s="14"/>
      <c r="O622" s="14"/>
    </row>
    <row r="623" ht="18.75" customHeight="1">
      <c r="A623" s="7" t="s">
        <v>2810</v>
      </c>
      <c r="B623" s="7">
        <v>211.0</v>
      </c>
      <c r="C623" s="7">
        <v>211.0</v>
      </c>
      <c r="D623" s="7">
        <v>126.0</v>
      </c>
      <c r="E623" s="7">
        <v>125.0</v>
      </c>
      <c r="F623" s="14"/>
      <c r="G623" s="15"/>
      <c r="H623" s="15"/>
      <c r="I623" s="14"/>
      <c r="J623" s="14"/>
      <c r="O623" s="14"/>
    </row>
    <row r="624" ht="18.75" customHeight="1">
      <c r="A624" s="7" t="s">
        <v>3218</v>
      </c>
      <c r="B624" s="7">
        <v>29.0</v>
      </c>
      <c r="C624" s="7">
        <v>29.0</v>
      </c>
      <c r="D624" s="7">
        <v>14.0</v>
      </c>
      <c r="E624" s="7">
        <v>14.0</v>
      </c>
      <c r="F624" s="14"/>
      <c r="G624" s="15"/>
      <c r="H624" s="15"/>
      <c r="I624" s="14"/>
      <c r="J624" s="14"/>
      <c r="O624" s="14"/>
    </row>
    <row r="625" ht="18.75" customHeight="1">
      <c r="A625" s="7" t="s">
        <v>3217</v>
      </c>
      <c r="B625" s="7">
        <v>78.0</v>
      </c>
      <c r="C625" s="7">
        <v>78.0</v>
      </c>
      <c r="D625" s="7">
        <v>21.0</v>
      </c>
      <c r="E625" s="7">
        <v>19.0</v>
      </c>
      <c r="F625" s="14"/>
      <c r="G625" s="15"/>
      <c r="H625" s="15"/>
      <c r="I625" s="14"/>
      <c r="J625" s="14"/>
      <c r="O625" s="14"/>
    </row>
    <row r="626" ht="18.75" customHeight="1">
      <c r="A626" s="7" t="s">
        <v>3220</v>
      </c>
      <c r="B626" s="7">
        <v>3000.0</v>
      </c>
      <c r="C626" s="7">
        <v>2740.0</v>
      </c>
      <c r="D626" s="7">
        <v>1064.0</v>
      </c>
      <c r="E626" s="7">
        <v>849.0</v>
      </c>
      <c r="F626" s="14"/>
      <c r="G626" s="15"/>
      <c r="H626" s="15"/>
      <c r="I626" s="14"/>
      <c r="J626" s="14"/>
      <c r="O626" s="14"/>
    </row>
    <row r="627" ht="18.75" customHeight="1">
      <c r="A627" s="7" t="s">
        <v>3220</v>
      </c>
      <c r="B627" s="7">
        <v>89.0</v>
      </c>
      <c r="C627" s="7">
        <v>89.0</v>
      </c>
      <c r="D627" s="7">
        <v>52.0</v>
      </c>
      <c r="E627" s="7">
        <v>50.0</v>
      </c>
      <c r="F627" s="14"/>
      <c r="G627" s="15"/>
      <c r="H627" s="15"/>
      <c r="I627" s="14"/>
      <c r="J627" s="14"/>
      <c r="O627" s="14"/>
    </row>
    <row r="628" ht="18.75" customHeight="1">
      <c r="A628" s="7" t="s">
        <v>3220</v>
      </c>
      <c r="B628" s="7">
        <v>500.0</v>
      </c>
      <c r="C628" s="7">
        <v>500.0</v>
      </c>
      <c r="D628" s="7">
        <v>253.0</v>
      </c>
      <c r="E628" s="7">
        <v>235.0</v>
      </c>
      <c r="F628" s="14"/>
      <c r="G628" s="15"/>
      <c r="H628" s="15"/>
      <c r="I628" s="14"/>
      <c r="J628" s="14"/>
      <c r="O628" s="14"/>
    </row>
    <row r="629" ht="18.75" customHeight="1">
      <c r="A629" s="7" t="s">
        <v>3210</v>
      </c>
      <c r="B629" s="7">
        <v>124.0</v>
      </c>
      <c r="C629" s="7">
        <v>124.0</v>
      </c>
      <c r="D629" s="7">
        <v>46.0</v>
      </c>
      <c r="E629" s="7">
        <v>45.0</v>
      </c>
      <c r="F629" s="14"/>
      <c r="G629" s="15"/>
      <c r="H629" s="15"/>
      <c r="I629" s="14"/>
      <c r="J629" s="14"/>
      <c r="O629" s="14"/>
    </row>
    <row r="630" ht="18.75" customHeight="1">
      <c r="A630" s="7" t="s">
        <v>3222</v>
      </c>
      <c r="B630" s="7">
        <v>48.0</v>
      </c>
      <c r="C630" s="7">
        <v>48.0</v>
      </c>
      <c r="D630" s="7">
        <v>13.0</v>
      </c>
      <c r="E630" s="7">
        <v>13.0</v>
      </c>
      <c r="F630" s="14"/>
      <c r="G630" s="15"/>
      <c r="H630" s="15"/>
      <c r="I630" s="14"/>
      <c r="J630" s="14"/>
      <c r="O630" s="14"/>
    </row>
    <row r="631" ht="18.75" customHeight="1">
      <c r="A631" s="7" t="s">
        <v>3221</v>
      </c>
      <c r="B631" s="7">
        <v>61.0</v>
      </c>
      <c r="C631" s="7">
        <v>61.0</v>
      </c>
      <c r="D631" s="7">
        <v>20.0</v>
      </c>
      <c r="E631" s="7">
        <v>20.0</v>
      </c>
      <c r="F631" s="14"/>
      <c r="G631" s="15"/>
      <c r="H631" s="15"/>
      <c r="I631" s="14"/>
      <c r="J631" s="14"/>
      <c r="O631" s="14"/>
    </row>
    <row r="632" ht="18.75" customHeight="1">
      <c r="A632" s="7" t="s">
        <v>3179</v>
      </c>
      <c r="B632" s="7">
        <v>50.0</v>
      </c>
      <c r="C632" s="7">
        <v>50.0</v>
      </c>
      <c r="D632" s="7">
        <v>23.0</v>
      </c>
      <c r="E632" s="7">
        <v>23.0</v>
      </c>
      <c r="F632" s="14"/>
      <c r="G632" s="15"/>
      <c r="H632" s="15"/>
      <c r="I632" s="14"/>
      <c r="J632" s="14"/>
      <c r="O632" s="14"/>
    </row>
    <row r="633" ht="18.75" customHeight="1">
      <c r="A633" s="7" t="s">
        <v>3505</v>
      </c>
      <c r="B633" s="7">
        <v>55.0</v>
      </c>
      <c r="C633" s="7">
        <v>55.0</v>
      </c>
      <c r="D633" s="7">
        <v>21.0</v>
      </c>
      <c r="E633" s="7">
        <v>21.0</v>
      </c>
      <c r="F633" s="14"/>
      <c r="G633" s="15"/>
      <c r="H633" s="15"/>
      <c r="I633" s="14"/>
      <c r="J633" s="14"/>
    </row>
    <row r="634" ht="18.75" customHeight="1">
      <c r="A634" s="7" t="s">
        <v>3223</v>
      </c>
      <c r="B634" s="7">
        <v>3500.0</v>
      </c>
      <c r="C634" s="7">
        <v>2590.0</v>
      </c>
      <c r="D634" s="7">
        <v>661.0</v>
      </c>
      <c r="E634" s="7">
        <v>557.0</v>
      </c>
      <c r="F634" s="14"/>
      <c r="G634" s="15"/>
      <c r="H634" s="15"/>
      <c r="I634" s="14"/>
      <c r="J634" s="14"/>
      <c r="O634" s="14"/>
    </row>
    <row r="635" ht="18.75" customHeight="1">
      <c r="A635" s="7" t="s">
        <v>3223</v>
      </c>
      <c r="B635" s="7">
        <v>13.0</v>
      </c>
      <c r="C635" s="7">
        <v>13.0</v>
      </c>
      <c r="D635" s="7">
        <v>12.0</v>
      </c>
      <c r="E635" s="7">
        <v>12.0</v>
      </c>
      <c r="F635" s="14"/>
      <c r="G635" s="15"/>
      <c r="H635" s="15"/>
      <c r="I635" s="14"/>
      <c r="J635" s="14"/>
      <c r="O635" s="14"/>
    </row>
    <row r="636" ht="18.75" customHeight="1">
      <c r="A636" s="7" t="s">
        <v>3223</v>
      </c>
      <c r="B636" s="7">
        <v>74.0</v>
      </c>
      <c r="C636" s="7">
        <v>74.0</v>
      </c>
      <c r="D636" s="7">
        <v>51.0</v>
      </c>
      <c r="E636" s="7">
        <v>51.0</v>
      </c>
      <c r="F636" s="14"/>
      <c r="G636" s="15"/>
      <c r="H636" s="15"/>
      <c r="I636" s="14"/>
      <c r="J636" s="14"/>
      <c r="O636" s="14"/>
    </row>
    <row r="637" ht="18.75" customHeight="1">
      <c r="A637" s="7" t="s">
        <v>3225</v>
      </c>
      <c r="B637" s="7">
        <v>107.0</v>
      </c>
      <c r="C637" s="7">
        <v>107.0</v>
      </c>
      <c r="D637" s="7">
        <v>33.0</v>
      </c>
      <c r="E637" s="7">
        <v>31.0</v>
      </c>
      <c r="F637" s="14"/>
      <c r="G637" s="15"/>
      <c r="H637" s="15"/>
      <c r="I637" s="14"/>
      <c r="J637" s="14"/>
      <c r="O637" s="14"/>
    </row>
    <row r="638" ht="18.75" customHeight="1">
      <c r="A638" s="7" t="s">
        <v>3224</v>
      </c>
      <c r="B638" s="7">
        <v>58.0</v>
      </c>
      <c r="C638" s="7">
        <v>58.0</v>
      </c>
      <c r="D638" s="7">
        <v>19.0</v>
      </c>
      <c r="E638" s="7">
        <v>19.0</v>
      </c>
      <c r="F638" s="14"/>
      <c r="G638" s="15"/>
      <c r="H638" s="15"/>
      <c r="I638" s="14"/>
      <c r="J638" s="14"/>
      <c r="O638" s="14"/>
    </row>
    <row r="639" ht="18.75" customHeight="1">
      <c r="A639" s="7" t="s">
        <v>3226</v>
      </c>
      <c r="B639" s="7">
        <v>57.0</v>
      </c>
      <c r="C639" s="7">
        <v>57.0</v>
      </c>
      <c r="D639" s="7">
        <v>22.0</v>
      </c>
      <c r="E639" s="7">
        <v>22.0</v>
      </c>
      <c r="F639" s="14"/>
      <c r="G639" s="15"/>
      <c r="H639" s="15"/>
      <c r="I639" s="14"/>
      <c r="J639" s="14"/>
      <c r="O639" s="14"/>
    </row>
    <row r="640" ht="18.75" customHeight="1">
      <c r="A640" s="7" t="s">
        <v>2821</v>
      </c>
      <c r="B640" s="7">
        <v>3500.0</v>
      </c>
      <c r="C640" s="7">
        <v>2780.0</v>
      </c>
      <c r="D640" s="7">
        <v>848.0</v>
      </c>
      <c r="E640" s="7">
        <v>702.0</v>
      </c>
      <c r="F640" s="14"/>
      <c r="G640" s="15"/>
      <c r="H640" s="15"/>
      <c r="I640" s="14"/>
      <c r="J640" s="14"/>
      <c r="O640" s="14"/>
    </row>
    <row r="641" ht="18.75" customHeight="1">
      <c r="A641" s="7" t="s">
        <v>2821</v>
      </c>
      <c r="B641" s="7">
        <v>43.0</v>
      </c>
      <c r="C641" s="7">
        <v>43.0</v>
      </c>
      <c r="D641" s="7">
        <v>31.0</v>
      </c>
      <c r="E641" s="7">
        <v>30.0</v>
      </c>
      <c r="F641" s="14"/>
      <c r="G641" s="15"/>
      <c r="H641" s="15"/>
      <c r="I641" s="14"/>
      <c r="J641" s="14"/>
      <c r="O641" s="14"/>
    </row>
    <row r="642" ht="18.75" customHeight="1">
      <c r="A642" s="7" t="s">
        <v>2821</v>
      </c>
      <c r="B642" s="7">
        <v>174.0</v>
      </c>
      <c r="C642" s="7">
        <v>174.0</v>
      </c>
      <c r="D642" s="7">
        <v>105.0</v>
      </c>
      <c r="E642" s="7">
        <v>103.0</v>
      </c>
      <c r="F642" s="14"/>
      <c r="G642" s="15"/>
      <c r="H642" s="15"/>
      <c r="I642" s="14"/>
      <c r="J642" s="14"/>
      <c r="O642" s="14"/>
    </row>
    <row r="643" ht="18.75" customHeight="1">
      <c r="A643" s="7" t="s">
        <v>3228</v>
      </c>
      <c r="B643" s="7">
        <v>79.0</v>
      </c>
      <c r="C643" s="7">
        <v>79.0</v>
      </c>
      <c r="D643" s="7">
        <v>34.0</v>
      </c>
      <c r="E643" s="7">
        <v>34.0</v>
      </c>
      <c r="F643" s="14"/>
      <c r="G643" s="15"/>
      <c r="H643" s="15"/>
      <c r="I643" s="14"/>
      <c r="J643" s="14"/>
      <c r="O643" s="14"/>
    </row>
    <row r="644" ht="18.75" customHeight="1">
      <c r="A644" s="7" t="s">
        <v>3227</v>
      </c>
      <c r="B644" s="7">
        <v>78.0</v>
      </c>
      <c r="C644" s="7">
        <v>78.0</v>
      </c>
      <c r="D644" s="7">
        <v>29.0</v>
      </c>
      <c r="E644" s="7">
        <v>28.0</v>
      </c>
      <c r="F644" s="14"/>
      <c r="G644" s="15"/>
      <c r="H644" s="15"/>
      <c r="I644" s="14"/>
      <c r="J644" s="14"/>
      <c r="O644" s="14"/>
    </row>
    <row r="645" ht="18.75" customHeight="1">
      <c r="A645" s="7" t="s">
        <v>2787</v>
      </c>
      <c r="B645" s="7">
        <v>4000.0</v>
      </c>
      <c r="C645" s="7">
        <v>3914.0</v>
      </c>
      <c r="D645" s="7">
        <v>1100.0</v>
      </c>
      <c r="E645" s="7">
        <v>936.0</v>
      </c>
      <c r="F645" s="14"/>
      <c r="G645" s="15"/>
      <c r="H645" s="15"/>
      <c r="I645" s="14"/>
      <c r="J645" s="14"/>
      <c r="O645" s="14"/>
    </row>
    <row r="646" ht="18.75" customHeight="1">
      <c r="A646" s="7" t="s">
        <v>2787</v>
      </c>
      <c r="B646" s="7">
        <v>103.0</v>
      </c>
      <c r="C646" s="7">
        <v>103.0</v>
      </c>
      <c r="D646" s="7">
        <v>42.0</v>
      </c>
      <c r="E646" s="7">
        <v>40.0</v>
      </c>
      <c r="F646" s="14"/>
      <c r="G646" s="15"/>
      <c r="H646" s="15"/>
      <c r="I646" s="14"/>
      <c r="J646" s="14"/>
      <c r="O646" s="14"/>
    </row>
    <row r="647" ht="18.75" customHeight="1">
      <c r="A647" s="7" t="s">
        <v>2787</v>
      </c>
      <c r="B647" s="7">
        <v>526.0</v>
      </c>
      <c r="C647" s="7">
        <v>526.0</v>
      </c>
      <c r="D647" s="7">
        <v>228.0</v>
      </c>
      <c r="E647" s="7">
        <v>221.0</v>
      </c>
      <c r="F647" s="14"/>
      <c r="G647" s="15"/>
      <c r="H647" s="15"/>
      <c r="I647" s="14"/>
      <c r="J647" s="14"/>
      <c r="O647" s="14"/>
    </row>
    <row r="648" ht="18.75" customHeight="1">
      <c r="A648" s="7" t="s">
        <v>3230</v>
      </c>
      <c r="B648" s="7">
        <v>187.0</v>
      </c>
      <c r="C648" s="7">
        <v>187.0</v>
      </c>
      <c r="D648" s="7">
        <v>65.0</v>
      </c>
      <c r="E648" s="7">
        <v>62.0</v>
      </c>
      <c r="F648" s="14"/>
      <c r="G648" s="15"/>
      <c r="H648" s="15"/>
      <c r="I648" s="14"/>
      <c r="J648" s="14"/>
      <c r="O648" s="14"/>
    </row>
    <row r="649" ht="18.75" customHeight="1">
      <c r="A649" s="7" t="s">
        <v>3232</v>
      </c>
      <c r="B649" s="7">
        <v>22.0</v>
      </c>
      <c r="C649" s="7">
        <v>22.0</v>
      </c>
      <c r="D649" s="7">
        <v>15.0</v>
      </c>
      <c r="E649" s="7">
        <v>15.0</v>
      </c>
      <c r="F649" s="14"/>
      <c r="G649" s="15"/>
      <c r="H649" s="15"/>
      <c r="I649" s="14"/>
      <c r="J649" s="14"/>
      <c r="O649" s="14"/>
    </row>
    <row r="650" ht="18.75" customHeight="1">
      <c r="A650" s="7" t="s">
        <v>2761</v>
      </c>
      <c r="B650" s="7">
        <v>4000.0</v>
      </c>
      <c r="C650" s="7">
        <v>3710.0</v>
      </c>
      <c r="D650" s="7">
        <v>941.0</v>
      </c>
      <c r="E650" s="7">
        <v>750.0</v>
      </c>
      <c r="F650" s="14"/>
      <c r="G650" s="15"/>
      <c r="H650" s="15"/>
      <c r="I650" s="14"/>
      <c r="J650" s="14"/>
      <c r="O650" s="14"/>
    </row>
    <row r="651" ht="18.75" customHeight="1">
      <c r="A651" s="7" t="s">
        <v>2761</v>
      </c>
      <c r="B651" s="7">
        <v>42.0</v>
      </c>
      <c r="C651" s="7">
        <v>42.0</v>
      </c>
      <c r="D651" s="7">
        <v>32.0</v>
      </c>
      <c r="E651" s="7">
        <v>30.0</v>
      </c>
      <c r="F651" s="14"/>
      <c r="G651" s="15"/>
      <c r="H651" s="15"/>
      <c r="I651" s="14"/>
      <c r="J651" s="14"/>
      <c r="O651" s="14"/>
    </row>
    <row r="652" ht="18.75" customHeight="1">
      <c r="A652" s="7" t="s">
        <v>2761</v>
      </c>
      <c r="B652" s="7">
        <v>154.0</v>
      </c>
      <c r="C652" s="7">
        <v>154.0</v>
      </c>
      <c r="D652" s="7">
        <v>75.0</v>
      </c>
      <c r="E652" s="7">
        <v>71.0</v>
      </c>
      <c r="F652" s="14"/>
      <c r="G652" s="15"/>
      <c r="H652" s="15"/>
      <c r="I652" s="14"/>
      <c r="J652" s="14"/>
      <c r="O652" s="14"/>
    </row>
    <row r="653" ht="18.75" customHeight="1">
      <c r="A653" s="7" t="s">
        <v>2825</v>
      </c>
      <c r="B653" s="7">
        <v>4572.0</v>
      </c>
      <c r="C653" s="7">
        <v>4048.0</v>
      </c>
      <c r="D653" s="7">
        <v>1089.0</v>
      </c>
      <c r="E653" s="7">
        <v>892.0</v>
      </c>
      <c r="F653" s="14"/>
      <c r="G653" s="15"/>
      <c r="H653" s="15"/>
      <c r="I653" s="14"/>
      <c r="J653" s="14"/>
      <c r="O653" s="14"/>
    </row>
    <row r="654" ht="18.75" customHeight="1">
      <c r="A654" s="7" t="s">
        <v>2825</v>
      </c>
      <c r="B654" s="7">
        <v>33.0</v>
      </c>
      <c r="C654" s="7">
        <v>33.0</v>
      </c>
      <c r="D654" s="7">
        <v>25.0</v>
      </c>
      <c r="E654" s="7">
        <v>24.0</v>
      </c>
      <c r="F654" s="14"/>
      <c r="G654" s="15"/>
      <c r="H654" s="15"/>
      <c r="I654" s="14"/>
      <c r="J654" s="14"/>
      <c r="O654" s="14"/>
    </row>
    <row r="655" ht="18.75" customHeight="1">
      <c r="A655" s="7" t="s">
        <v>2825</v>
      </c>
      <c r="B655" s="7">
        <v>430.0</v>
      </c>
      <c r="C655" s="7">
        <v>430.0</v>
      </c>
      <c r="D655" s="7">
        <v>176.0</v>
      </c>
      <c r="E655" s="7">
        <v>173.0</v>
      </c>
      <c r="F655" s="14"/>
      <c r="G655" s="15"/>
      <c r="H655" s="15"/>
      <c r="I655" s="14"/>
      <c r="J655" s="14"/>
      <c r="O655" s="14"/>
    </row>
    <row r="656" ht="18.75" customHeight="1">
      <c r="A656" s="7" t="s">
        <v>3861</v>
      </c>
      <c r="B656" s="7">
        <v>0.0</v>
      </c>
      <c r="C656" s="7">
        <v>0.0</v>
      </c>
      <c r="D656" s="7">
        <v>0.0</v>
      </c>
      <c r="E656" s="7">
        <v>0.0</v>
      </c>
      <c r="F656" s="14"/>
      <c r="G656" s="15"/>
      <c r="H656" s="15"/>
      <c r="I656" s="14"/>
      <c r="J656" s="14"/>
      <c r="O656" s="14"/>
    </row>
    <row r="657" ht="18.75" customHeight="1">
      <c r="A657" s="7" t="s">
        <v>3235</v>
      </c>
      <c r="B657" s="7">
        <v>30.0</v>
      </c>
      <c r="C657" s="7">
        <v>30.0</v>
      </c>
      <c r="D657" s="7">
        <v>15.0</v>
      </c>
      <c r="E657" s="7">
        <v>15.0</v>
      </c>
      <c r="F657" s="14"/>
      <c r="G657" s="15"/>
      <c r="H657" s="15"/>
      <c r="I657" s="14"/>
      <c r="J657" s="14"/>
      <c r="O657" s="14"/>
    </row>
    <row r="658" ht="18.75" customHeight="1">
      <c r="A658" s="7" t="s">
        <v>3234</v>
      </c>
      <c r="B658" s="7">
        <v>35.0</v>
      </c>
      <c r="C658" s="7">
        <v>35.0</v>
      </c>
      <c r="D658" s="7">
        <v>8.0</v>
      </c>
      <c r="E658" s="7">
        <v>8.0</v>
      </c>
      <c r="F658" s="14"/>
      <c r="G658" s="15"/>
      <c r="H658" s="15"/>
      <c r="I658" s="14"/>
      <c r="J658" s="14"/>
      <c r="O658" s="14"/>
    </row>
    <row r="659" ht="18.75" customHeight="1">
      <c r="A659" s="7" t="s">
        <v>3233</v>
      </c>
      <c r="B659" s="7">
        <v>38.0</v>
      </c>
      <c r="C659" s="7">
        <v>38.0</v>
      </c>
      <c r="D659" s="7">
        <v>16.0</v>
      </c>
      <c r="E659" s="7">
        <v>16.0</v>
      </c>
      <c r="F659" s="14"/>
      <c r="G659" s="15"/>
      <c r="I659" s="14"/>
      <c r="J659" s="14"/>
    </row>
    <row r="660" ht="18.75" customHeight="1">
      <c r="A660" s="7" t="s">
        <v>2853</v>
      </c>
      <c r="B660" s="7">
        <v>4500.0</v>
      </c>
      <c r="C660" s="7">
        <v>4500.0</v>
      </c>
      <c r="D660" s="7">
        <v>984.0</v>
      </c>
      <c r="E660" s="7">
        <v>772.0</v>
      </c>
      <c r="F660" s="14"/>
      <c r="G660" s="15"/>
      <c r="H660" s="15"/>
      <c r="I660" s="14"/>
      <c r="J660" s="14"/>
      <c r="O660" s="14"/>
    </row>
    <row r="661" ht="18.75" customHeight="1">
      <c r="A661" s="7" t="s">
        <v>2853</v>
      </c>
      <c r="B661" s="7">
        <v>89.0</v>
      </c>
      <c r="C661" s="7">
        <v>73.0</v>
      </c>
      <c r="D661" s="7">
        <v>29.0</v>
      </c>
      <c r="E661" s="7">
        <v>27.0</v>
      </c>
      <c r="F661" s="14"/>
      <c r="G661" s="15"/>
      <c r="H661" s="15"/>
      <c r="I661" s="14"/>
      <c r="J661" s="14"/>
      <c r="O661" s="14"/>
    </row>
    <row r="662" ht="18.75" customHeight="1">
      <c r="A662" s="7" t="s">
        <v>2853</v>
      </c>
      <c r="B662" s="7">
        <v>356.0</v>
      </c>
      <c r="C662" s="7">
        <v>356.0</v>
      </c>
      <c r="D662" s="7">
        <v>203.0</v>
      </c>
      <c r="E662" s="7">
        <v>203.0</v>
      </c>
      <c r="F662" s="14"/>
      <c r="G662" s="15"/>
      <c r="H662" s="15"/>
      <c r="I662" s="14"/>
      <c r="J662" s="14"/>
      <c r="O662" s="14"/>
    </row>
    <row r="663" ht="18.75" customHeight="1">
      <c r="A663" s="7" t="s">
        <v>3241</v>
      </c>
      <c r="B663" s="7">
        <v>96.0</v>
      </c>
      <c r="C663" s="7">
        <v>96.0</v>
      </c>
      <c r="D663" s="7">
        <v>40.0</v>
      </c>
      <c r="E663" s="7">
        <v>40.0</v>
      </c>
      <c r="F663" s="14"/>
      <c r="G663" s="15"/>
      <c r="H663" s="15"/>
      <c r="I663" s="14"/>
      <c r="J663" s="14"/>
      <c r="O663" s="14"/>
    </row>
    <row r="664" ht="18.75" customHeight="1">
      <c r="A664" s="7" t="s">
        <v>3237</v>
      </c>
      <c r="B664" s="7">
        <v>26.0</v>
      </c>
      <c r="C664" s="7">
        <v>26.0</v>
      </c>
      <c r="D664" s="7">
        <v>8.0</v>
      </c>
      <c r="E664" s="7">
        <v>8.0</v>
      </c>
      <c r="F664" s="14"/>
      <c r="G664" s="15"/>
      <c r="H664" s="15"/>
      <c r="I664" s="14"/>
      <c r="J664" s="14"/>
      <c r="O664" s="14"/>
    </row>
    <row r="665" ht="18.75" customHeight="1">
      <c r="A665" s="7" t="s">
        <v>3236</v>
      </c>
      <c r="B665" s="7">
        <v>10.0</v>
      </c>
      <c r="C665" s="7">
        <v>10.0</v>
      </c>
      <c r="D665" s="7">
        <v>3.0</v>
      </c>
      <c r="E665" s="7">
        <v>2.0</v>
      </c>
      <c r="F665" s="14"/>
      <c r="G665" s="15"/>
      <c r="H665" s="15"/>
      <c r="I665" s="14"/>
      <c r="J665" s="14"/>
      <c r="O665" s="14"/>
    </row>
    <row r="666" ht="18.75" customHeight="1">
      <c r="A666" s="7" t="s">
        <v>3229</v>
      </c>
      <c r="B666" s="7">
        <v>25.0</v>
      </c>
      <c r="C666" s="7">
        <v>25.0</v>
      </c>
      <c r="D666" s="7">
        <v>13.0</v>
      </c>
      <c r="E666" s="7">
        <v>12.0</v>
      </c>
      <c r="F666" s="14"/>
      <c r="G666" s="15"/>
      <c r="H666" s="15"/>
      <c r="I666" s="14"/>
      <c r="J666" s="14"/>
      <c r="O666" s="14"/>
    </row>
    <row r="667" ht="18.75" customHeight="1">
      <c r="A667" s="7" t="s">
        <v>3240</v>
      </c>
      <c r="B667" s="7">
        <v>46.0</v>
      </c>
      <c r="C667" s="7">
        <v>46.0</v>
      </c>
      <c r="D667" s="7">
        <v>14.0</v>
      </c>
      <c r="E667" s="7">
        <v>14.0</v>
      </c>
      <c r="F667" s="14"/>
      <c r="G667" s="15"/>
      <c r="H667" s="15"/>
      <c r="I667" s="14"/>
      <c r="J667" s="14"/>
    </row>
    <row r="668" ht="18.75" customHeight="1">
      <c r="A668" s="7" t="s">
        <v>3181</v>
      </c>
      <c r="B668" s="7">
        <v>27.0</v>
      </c>
      <c r="C668" s="7">
        <v>27.0</v>
      </c>
      <c r="D668" s="7">
        <v>7.0</v>
      </c>
      <c r="E668" s="7">
        <v>7.0</v>
      </c>
      <c r="F668" s="14"/>
      <c r="G668" s="15"/>
      <c r="H668" s="15"/>
      <c r="I668" s="14"/>
      <c r="J668" s="14"/>
    </row>
    <row r="669" ht="18.75" customHeight="1">
      <c r="A669" s="7" t="s">
        <v>3358</v>
      </c>
      <c r="B669" s="7">
        <v>27.0</v>
      </c>
      <c r="C669" s="7">
        <v>27.0</v>
      </c>
      <c r="D669" s="7">
        <v>12.0</v>
      </c>
      <c r="E669" s="7">
        <v>11.0</v>
      </c>
      <c r="F669" s="14"/>
      <c r="G669" s="15"/>
      <c r="H669" s="15"/>
      <c r="I669" s="14"/>
      <c r="J669" s="14"/>
      <c r="O669" s="14"/>
    </row>
    <row r="670" ht="18.75" customHeight="1">
      <c r="A670" s="7" t="s">
        <v>3238</v>
      </c>
      <c r="B670" s="7">
        <v>20.0</v>
      </c>
      <c r="C670" s="7">
        <v>20.0</v>
      </c>
      <c r="D670" s="7">
        <v>8.0</v>
      </c>
      <c r="E670" s="7">
        <v>8.0</v>
      </c>
      <c r="F670" s="14"/>
      <c r="G670" s="15"/>
      <c r="H670" s="15"/>
      <c r="I670" s="14"/>
      <c r="J670" s="14"/>
      <c r="O670" s="14"/>
    </row>
    <row r="671" ht="18.75" customHeight="1">
      <c r="A671" s="7" t="s">
        <v>3239</v>
      </c>
      <c r="B671" s="7">
        <v>33.0</v>
      </c>
      <c r="C671" s="7">
        <v>33.0</v>
      </c>
      <c r="D671" s="7">
        <v>17.0</v>
      </c>
      <c r="E671" s="7">
        <v>14.0</v>
      </c>
      <c r="F671" s="14"/>
      <c r="G671" s="15"/>
      <c r="H671" s="15"/>
      <c r="I671" s="14"/>
      <c r="J671" s="14"/>
      <c r="O671" s="14"/>
    </row>
    <row r="672" ht="18.75" customHeight="1">
      <c r="A672" s="7" t="s">
        <v>2826</v>
      </c>
      <c r="B672" s="7">
        <v>4966.0</v>
      </c>
      <c r="C672" s="7">
        <v>4966.0</v>
      </c>
      <c r="D672" s="7">
        <v>1184.0</v>
      </c>
      <c r="E672" s="7">
        <v>952.0</v>
      </c>
      <c r="F672" s="14"/>
      <c r="G672" s="15"/>
      <c r="H672" s="15"/>
      <c r="I672" s="14"/>
      <c r="J672" s="14"/>
      <c r="O672" s="14"/>
    </row>
    <row r="673" ht="18.75" customHeight="1">
      <c r="A673" s="7" t="s">
        <v>2826</v>
      </c>
      <c r="B673" s="7">
        <v>15.0</v>
      </c>
      <c r="C673" s="7">
        <v>15.0</v>
      </c>
      <c r="D673" s="7">
        <v>6.0</v>
      </c>
      <c r="E673" s="7">
        <v>6.0</v>
      </c>
      <c r="F673" s="14"/>
      <c r="G673" s="15"/>
      <c r="H673" s="15"/>
      <c r="I673" s="14"/>
      <c r="J673" s="14"/>
      <c r="O673" s="14"/>
    </row>
    <row r="674" ht="18.75" customHeight="1">
      <c r="A674" s="7" t="s">
        <v>2826</v>
      </c>
      <c r="B674" s="7">
        <v>84.0</v>
      </c>
      <c r="C674" s="7">
        <v>84.0</v>
      </c>
      <c r="D674" s="7">
        <v>56.0</v>
      </c>
      <c r="E674" s="7">
        <v>56.0</v>
      </c>
      <c r="F674" s="14"/>
      <c r="G674" s="15"/>
      <c r="H674" s="15"/>
      <c r="I674" s="14"/>
      <c r="J674" s="14"/>
      <c r="O674" s="14"/>
    </row>
    <row r="675" ht="18.75" customHeight="1">
      <c r="A675" s="7" t="s">
        <v>3242</v>
      </c>
      <c r="B675" s="7">
        <v>40.0</v>
      </c>
      <c r="C675" s="7">
        <v>40.0</v>
      </c>
      <c r="D675" s="7">
        <v>13.0</v>
      </c>
      <c r="E675" s="7">
        <v>13.0</v>
      </c>
      <c r="F675" s="14"/>
      <c r="G675" s="15"/>
      <c r="H675" s="15"/>
      <c r="I675" s="14"/>
      <c r="J675" s="14"/>
      <c r="O675" s="14"/>
    </row>
    <row r="676" ht="18.75" customHeight="1">
      <c r="A676" s="7" t="s">
        <v>3186</v>
      </c>
      <c r="B676" s="7">
        <v>91.0</v>
      </c>
      <c r="C676" s="7">
        <v>91.0</v>
      </c>
      <c r="D676" s="7">
        <v>32.0</v>
      </c>
      <c r="E676" s="7">
        <v>32.0</v>
      </c>
      <c r="F676" s="14"/>
      <c r="G676" s="15"/>
      <c r="H676" s="15"/>
      <c r="I676" s="14"/>
      <c r="J676" s="14"/>
      <c r="O676" s="14"/>
    </row>
    <row r="677" ht="18.75" customHeight="1">
      <c r="A677" s="7" t="s">
        <v>3183</v>
      </c>
      <c r="B677" s="7">
        <v>24.0</v>
      </c>
      <c r="C677" s="7">
        <v>24.0</v>
      </c>
      <c r="D677" s="7">
        <v>10.0</v>
      </c>
      <c r="E677" s="7">
        <v>10.0</v>
      </c>
      <c r="F677" s="14"/>
      <c r="G677" s="15"/>
      <c r="H677" s="15"/>
      <c r="I677" s="14"/>
      <c r="J677" s="14"/>
      <c r="O677" s="14"/>
    </row>
    <row r="678" ht="18.75" customHeight="1">
      <c r="A678" s="7" t="s">
        <v>3246</v>
      </c>
      <c r="B678" s="7">
        <v>50.0</v>
      </c>
      <c r="C678" s="7">
        <v>50.0</v>
      </c>
      <c r="D678" s="7">
        <v>15.0</v>
      </c>
      <c r="E678" s="7">
        <v>15.0</v>
      </c>
      <c r="F678" s="14"/>
      <c r="G678" s="15"/>
      <c r="H678" s="15"/>
      <c r="I678" s="14"/>
      <c r="J678" s="14"/>
      <c r="O678" s="14"/>
    </row>
    <row r="679" ht="18.75" customHeight="1">
      <c r="A679" s="7" t="s">
        <v>3182</v>
      </c>
      <c r="B679" s="7">
        <v>11.0</v>
      </c>
      <c r="C679" s="7">
        <v>11.0</v>
      </c>
      <c r="D679" s="7">
        <v>6.0</v>
      </c>
      <c r="E679" s="7">
        <v>6.0</v>
      </c>
      <c r="F679" s="14"/>
      <c r="G679" s="15"/>
      <c r="H679" s="15"/>
      <c r="I679" s="14"/>
      <c r="J679" s="14"/>
      <c r="O679" s="14"/>
    </row>
    <row r="680" ht="18.75" customHeight="1">
      <c r="A680" s="7" t="s">
        <v>3245</v>
      </c>
      <c r="B680" s="7">
        <v>14.0</v>
      </c>
      <c r="C680" s="7">
        <v>14.0</v>
      </c>
      <c r="D680" s="7">
        <v>8.0</v>
      </c>
      <c r="E680" s="7">
        <v>8.0</v>
      </c>
      <c r="F680" s="14"/>
      <c r="G680" s="15"/>
      <c r="H680" s="15"/>
      <c r="I680" s="14"/>
      <c r="J680" s="14"/>
      <c r="O680" s="14"/>
    </row>
    <row r="681" ht="18.75" customHeight="1">
      <c r="A681" s="7" t="s">
        <v>3244</v>
      </c>
      <c r="B681" s="7">
        <v>32.0</v>
      </c>
      <c r="C681" s="7">
        <v>32.0</v>
      </c>
      <c r="D681" s="7">
        <v>9.0</v>
      </c>
      <c r="E681" s="7">
        <v>9.0</v>
      </c>
      <c r="F681" s="14"/>
      <c r="G681" s="15"/>
      <c r="H681" s="15"/>
      <c r="I681" s="14"/>
      <c r="J681" s="14"/>
      <c r="O681" s="14"/>
    </row>
    <row r="682" ht="18.75" customHeight="1">
      <c r="A682" s="7" t="s">
        <v>3248</v>
      </c>
      <c r="B682" s="7">
        <v>17.0</v>
      </c>
      <c r="C682" s="7">
        <v>17.0</v>
      </c>
      <c r="D682" s="7">
        <v>4.0</v>
      </c>
      <c r="E682" s="7">
        <v>4.0</v>
      </c>
      <c r="F682" s="14"/>
      <c r="G682" s="15"/>
      <c r="H682" s="15"/>
      <c r="I682" s="14"/>
      <c r="J682" s="14"/>
      <c r="O682" s="14"/>
    </row>
    <row r="683" ht="18.75" customHeight="1">
      <c r="A683" s="7" t="s">
        <v>3249</v>
      </c>
      <c r="B683" s="7">
        <v>139.0</v>
      </c>
      <c r="C683" s="7">
        <v>139.0</v>
      </c>
      <c r="D683" s="7">
        <v>47.0</v>
      </c>
      <c r="E683" s="7">
        <v>46.0</v>
      </c>
      <c r="F683" s="14"/>
      <c r="G683" s="15"/>
      <c r="H683" s="15"/>
      <c r="I683" s="14"/>
      <c r="J683" s="14"/>
      <c r="O683" s="14"/>
    </row>
    <row r="684" ht="18.75" customHeight="1">
      <c r="A684" s="7" t="s">
        <v>3247</v>
      </c>
      <c r="B684" s="7">
        <v>43.0</v>
      </c>
      <c r="C684" s="7">
        <v>43.0</v>
      </c>
      <c r="D684" s="7">
        <v>14.0</v>
      </c>
      <c r="E684" s="7">
        <v>14.0</v>
      </c>
      <c r="F684" s="14"/>
      <c r="G684" s="15"/>
      <c r="H684" s="15"/>
      <c r="I684" s="14"/>
      <c r="J684" s="14"/>
      <c r="O684" s="14"/>
    </row>
    <row r="685" ht="18.75" customHeight="1">
      <c r="A685" s="7" t="s">
        <v>3185</v>
      </c>
      <c r="B685" s="7">
        <v>60.0</v>
      </c>
      <c r="C685" s="7">
        <v>60.0</v>
      </c>
      <c r="D685" s="7">
        <v>33.0</v>
      </c>
      <c r="E685" s="7">
        <v>31.0</v>
      </c>
      <c r="F685" s="14"/>
      <c r="G685" s="15"/>
      <c r="H685" s="15"/>
      <c r="I685" s="14"/>
      <c r="J685" s="14"/>
      <c r="O685" s="14"/>
    </row>
    <row r="686" ht="18.75" customHeight="1">
      <c r="A686" s="7" t="s">
        <v>3188</v>
      </c>
      <c r="B686" s="7">
        <v>52.0</v>
      </c>
      <c r="C686" s="7">
        <v>52.0</v>
      </c>
      <c r="D686" s="7">
        <v>15.0</v>
      </c>
      <c r="E686" s="7">
        <v>15.0</v>
      </c>
      <c r="F686" s="14"/>
      <c r="G686" s="15"/>
      <c r="H686" s="15"/>
      <c r="I686" s="14"/>
      <c r="J686" s="14"/>
      <c r="O686" s="14"/>
    </row>
    <row r="687" ht="18.75" customHeight="1">
      <c r="A687" s="7" t="s">
        <v>3184</v>
      </c>
      <c r="B687" s="7">
        <v>57.0</v>
      </c>
      <c r="C687" s="7">
        <v>57.0</v>
      </c>
      <c r="D687" s="7">
        <v>18.0</v>
      </c>
      <c r="E687" s="7">
        <v>17.0</v>
      </c>
      <c r="F687" s="14"/>
      <c r="G687" s="15"/>
      <c r="H687" s="15"/>
      <c r="I687" s="14"/>
      <c r="J687" s="14"/>
      <c r="O687" s="14"/>
    </row>
    <row r="688" ht="18.75" customHeight="1">
      <c r="A688" s="7" t="s">
        <v>3187</v>
      </c>
      <c r="B688" s="7">
        <v>124.0</v>
      </c>
      <c r="C688" s="7">
        <v>124.0</v>
      </c>
      <c r="D688" s="7">
        <v>46.0</v>
      </c>
      <c r="E688" s="7">
        <v>45.0</v>
      </c>
      <c r="F688" s="14"/>
      <c r="G688" s="15"/>
      <c r="H688" s="15"/>
      <c r="I688" s="14"/>
      <c r="J688" s="14"/>
      <c r="O688" s="14"/>
    </row>
    <row r="689" ht="18.75" customHeight="1">
      <c r="A689" s="7" t="s">
        <v>3170</v>
      </c>
      <c r="B689" s="7">
        <v>332.0</v>
      </c>
      <c r="C689" s="7">
        <v>332.0</v>
      </c>
      <c r="D689" s="7">
        <v>223.0</v>
      </c>
      <c r="E689" s="7">
        <v>152.0</v>
      </c>
      <c r="F689" s="14"/>
      <c r="G689" s="15"/>
      <c r="H689" s="15"/>
      <c r="I689" s="14"/>
      <c r="J689" s="14"/>
      <c r="O689" s="14"/>
    </row>
    <row r="690" ht="18.75" customHeight="1">
      <c r="A690" s="7" t="s">
        <v>2781</v>
      </c>
      <c r="B690" s="7">
        <v>7222.0</v>
      </c>
      <c r="C690" s="7">
        <v>7222.0</v>
      </c>
      <c r="D690" s="7">
        <v>1978.0</v>
      </c>
      <c r="E690" s="7">
        <v>1201.0</v>
      </c>
      <c r="F690" s="14"/>
      <c r="G690" s="15"/>
      <c r="H690" s="15"/>
      <c r="I690" s="14"/>
      <c r="J690" s="14"/>
      <c r="O690" s="14"/>
    </row>
    <row r="691" ht="18.75" customHeight="1">
      <c r="A691" s="7" t="s">
        <v>2781</v>
      </c>
      <c r="B691" s="7">
        <v>31.0</v>
      </c>
      <c r="C691" s="7">
        <v>31.0</v>
      </c>
      <c r="D691" s="7">
        <v>25.0</v>
      </c>
      <c r="E691" s="7">
        <v>22.0</v>
      </c>
      <c r="F691" s="14"/>
      <c r="G691" s="15"/>
      <c r="H691" s="15"/>
      <c r="I691" s="14"/>
      <c r="J691" s="14"/>
      <c r="O691" s="14"/>
    </row>
    <row r="692" ht="18.75" customHeight="1">
      <c r="A692" s="7" t="s">
        <v>2781</v>
      </c>
      <c r="B692" s="7">
        <v>95.0</v>
      </c>
      <c r="C692" s="7">
        <v>95.0</v>
      </c>
      <c r="D692" s="7">
        <v>60.0</v>
      </c>
      <c r="E692" s="7">
        <v>59.0</v>
      </c>
      <c r="F692" s="14"/>
      <c r="G692" s="15"/>
      <c r="H692" s="15"/>
      <c r="I692" s="14"/>
      <c r="J692" s="14"/>
      <c r="O692" s="14"/>
    </row>
    <row r="693" ht="18.75" customHeight="1">
      <c r="A693" s="7" t="s">
        <v>2827</v>
      </c>
      <c r="B693" s="7">
        <v>5500.0</v>
      </c>
      <c r="C693" s="7">
        <v>5500.0</v>
      </c>
      <c r="D693" s="7">
        <v>1465.0</v>
      </c>
      <c r="E693" s="7">
        <v>781.0</v>
      </c>
      <c r="F693" s="14"/>
      <c r="G693" s="15"/>
      <c r="H693" s="15"/>
      <c r="I693" s="14"/>
      <c r="J693" s="14"/>
      <c r="O693" s="14"/>
    </row>
    <row r="694" ht="18.75" customHeight="1">
      <c r="A694" s="7" t="s">
        <v>2827</v>
      </c>
      <c r="B694" s="7">
        <v>32.0</v>
      </c>
      <c r="C694" s="7">
        <v>32.0</v>
      </c>
      <c r="D694" s="7">
        <v>24.0</v>
      </c>
      <c r="E694" s="7">
        <v>23.0</v>
      </c>
      <c r="F694" s="14"/>
      <c r="G694" s="15"/>
      <c r="H694" s="15"/>
      <c r="I694" s="14"/>
      <c r="J694" s="14"/>
      <c r="O694" s="14"/>
    </row>
    <row r="695" ht="18.75" customHeight="1">
      <c r="A695" s="7" t="s">
        <v>2827</v>
      </c>
      <c r="B695" s="7">
        <v>128.0</v>
      </c>
      <c r="C695" s="7">
        <v>128.0</v>
      </c>
      <c r="D695" s="7">
        <v>65.0</v>
      </c>
      <c r="E695" s="7">
        <v>60.0</v>
      </c>
      <c r="F695" s="14"/>
      <c r="G695" s="15"/>
      <c r="H695" s="15"/>
      <c r="I695" s="14"/>
      <c r="J695" s="14"/>
      <c r="O695" s="14"/>
    </row>
    <row r="696" ht="18.75" customHeight="1">
      <c r="A696" s="7" t="s">
        <v>2822</v>
      </c>
      <c r="B696" s="7">
        <v>8263.0</v>
      </c>
      <c r="C696" s="7">
        <v>8063.0</v>
      </c>
      <c r="D696" s="7">
        <v>1996.0</v>
      </c>
      <c r="E696" s="7">
        <v>1042.0</v>
      </c>
      <c r="F696" s="14"/>
      <c r="G696" s="15"/>
      <c r="H696" s="15"/>
      <c r="I696" s="14"/>
      <c r="J696" s="14"/>
      <c r="O696" s="14"/>
    </row>
    <row r="697" ht="18.75" customHeight="1">
      <c r="A697" s="7" t="s">
        <v>2822</v>
      </c>
      <c r="B697" s="7">
        <v>9.0</v>
      </c>
      <c r="C697" s="7">
        <v>9.0</v>
      </c>
      <c r="D697" s="7">
        <v>7.0</v>
      </c>
      <c r="E697" s="7">
        <v>7.0</v>
      </c>
      <c r="F697" s="14"/>
      <c r="G697" s="15"/>
      <c r="H697" s="15"/>
      <c r="I697" s="14"/>
      <c r="J697" s="14"/>
      <c r="O697" s="14"/>
    </row>
    <row r="698" ht="18.75" customHeight="1">
      <c r="A698" s="7" t="s">
        <v>2822</v>
      </c>
      <c r="B698" s="7">
        <v>104.0</v>
      </c>
      <c r="C698" s="7">
        <v>104.0</v>
      </c>
      <c r="D698" s="7">
        <v>68.0</v>
      </c>
      <c r="E698" s="7">
        <v>67.0</v>
      </c>
      <c r="F698" s="14"/>
      <c r="G698" s="15"/>
      <c r="H698" s="15"/>
      <c r="I698" s="14"/>
      <c r="J698" s="14"/>
      <c r="O698" s="14"/>
    </row>
    <row r="699" ht="18.75" customHeight="1">
      <c r="A699" s="7" t="s">
        <v>2971</v>
      </c>
      <c r="B699" s="7">
        <v>135.0</v>
      </c>
      <c r="C699" s="7">
        <v>135.0</v>
      </c>
      <c r="D699" s="7">
        <v>37.0</v>
      </c>
      <c r="E699" s="7">
        <v>36.0</v>
      </c>
      <c r="F699" s="14"/>
      <c r="G699" s="15"/>
      <c r="I699" s="14"/>
      <c r="J699" s="14"/>
      <c r="O699" s="14"/>
    </row>
    <row r="700" ht="18.75" customHeight="1">
      <c r="A700" s="7" t="s">
        <v>2830</v>
      </c>
      <c r="B700" s="7">
        <v>9132.0</v>
      </c>
      <c r="C700" s="7">
        <v>7603.0</v>
      </c>
      <c r="D700" s="7">
        <v>1726.0</v>
      </c>
      <c r="E700" s="7">
        <v>944.0</v>
      </c>
      <c r="F700" s="14"/>
      <c r="G700" s="15"/>
      <c r="H700" s="15"/>
      <c r="I700" s="14"/>
      <c r="J700" s="14"/>
      <c r="O700" s="14"/>
    </row>
    <row r="701" ht="18.75" customHeight="1">
      <c r="A701" s="7" t="s">
        <v>2830</v>
      </c>
      <c r="B701" s="7">
        <v>24.0</v>
      </c>
      <c r="C701" s="7">
        <v>24.0</v>
      </c>
      <c r="D701" s="7">
        <v>15.0</v>
      </c>
      <c r="E701" s="7">
        <v>15.0</v>
      </c>
      <c r="F701" s="14"/>
      <c r="G701" s="15"/>
      <c r="H701" s="15"/>
      <c r="I701" s="14"/>
      <c r="J701" s="14"/>
      <c r="O701" s="14"/>
    </row>
    <row r="702" ht="18.75" customHeight="1">
      <c r="A702" s="7" t="s">
        <v>2830</v>
      </c>
      <c r="B702" s="7">
        <v>155.0</v>
      </c>
      <c r="C702" s="7">
        <v>155.0</v>
      </c>
      <c r="D702" s="7">
        <v>78.0</v>
      </c>
      <c r="E702" s="7">
        <v>77.0</v>
      </c>
      <c r="F702" s="14"/>
      <c r="G702" s="15"/>
      <c r="H702" s="15"/>
      <c r="I702" s="14"/>
      <c r="J702" s="14"/>
      <c r="O702" s="14"/>
    </row>
    <row r="703" ht="18.75" customHeight="1">
      <c r="A703" s="7" t="s">
        <v>3251</v>
      </c>
      <c r="B703" s="7">
        <v>163.0</v>
      </c>
      <c r="C703" s="7">
        <v>163.0</v>
      </c>
      <c r="D703" s="7">
        <v>42.0</v>
      </c>
      <c r="E703" s="7">
        <v>40.0</v>
      </c>
      <c r="F703" s="14"/>
      <c r="G703" s="15"/>
      <c r="I703" s="14"/>
      <c r="J703" s="14"/>
      <c r="O703" s="14"/>
    </row>
    <row r="704" ht="18.75" customHeight="1">
      <c r="A704" s="7" t="s">
        <v>3250</v>
      </c>
      <c r="B704" s="7">
        <v>136.0</v>
      </c>
      <c r="C704" s="7">
        <v>136.0</v>
      </c>
      <c r="D704" s="7">
        <v>38.0</v>
      </c>
      <c r="E704" s="7">
        <v>37.0</v>
      </c>
      <c r="F704" s="14"/>
      <c r="G704" s="15"/>
      <c r="I704" s="14"/>
      <c r="J704" s="14"/>
      <c r="O704" s="14"/>
    </row>
    <row r="705" ht="18.75" customHeight="1">
      <c r="A705" s="7" t="s">
        <v>2788</v>
      </c>
      <c r="B705" s="7">
        <v>10000.0</v>
      </c>
      <c r="C705" s="7">
        <v>10000.0</v>
      </c>
      <c r="D705" s="7">
        <v>1886.0</v>
      </c>
      <c r="E705" s="7">
        <v>952.0</v>
      </c>
      <c r="F705" s="14"/>
      <c r="G705" s="15"/>
      <c r="H705" s="15"/>
      <c r="I705" s="14"/>
      <c r="J705" s="14"/>
      <c r="O705" s="14"/>
    </row>
    <row r="706" ht="18.75" customHeight="1">
      <c r="A706" s="7" t="s">
        <v>2788</v>
      </c>
      <c r="B706" s="7">
        <v>47.0</v>
      </c>
      <c r="C706" s="7">
        <v>47.0</v>
      </c>
      <c r="D706" s="7">
        <v>30.0</v>
      </c>
      <c r="E706" s="7">
        <v>30.0</v>
      </c>
      <c r="F706" s="14"/>
      <c r="G706" s="15"/>
      <c r="H706" s="15"/>
      <c r="I706" s="14"/>
      <c r="J706" s="14"/>
      <c r="O706" s="14"/>
    </row>
    <row r="707" ht="18.75" customHeight="1">
      <c r="A707" s="7" t="s">
        <v>2788</v>
      </c>
      <c r="B707" s="7">
        <v>209.0</v>
      </c>
      <c r="C707" s="7">
        <v>209.0</v>
      </c>
      <c r="D707" s="7">
        <v>120.0</v>
      </c>
      <c r="E707" s="7">
        <v>118.0</v>
      </c>
      <c r="F707" s="14"/>
      <c r="G707" s="15"/>
      <c r="H707" s="15"/>
      <c r="I707" s="14"/>
      <c r="J707" s="14"/>
      <c r="O707" s="14"/>
    </row>
    <row r="708" ht="18.75" customHeight="1">
      <c r="A708" s="7" t="s">
        <v>3252</v>
      </c>
      <c r="B708" s="7">
        <v>69.0</v>
      </c>
      <c r="C708" s="7">
        <v>69.0</v>
      </c>
      <c r="D708" s="7">
        <v>24.0</v>
      </c>
      <c r="E708" s="7">
        <v>21.0</v>
      </c>
      <c r="F708" s="14"/>
      <c r="G708" s="15"/>
      <c r="H708" s="15"/>
      <c r="I708" s="14"/>
      <c r="J708" s="14"/>
      <c r="O708" s="14"/>
    </row>
    <row r="709" ht="18.75" customHeight="1">
      <c r="A709" s="7" t="s">
        <v>2811</v>
      </c>
      <c r="B709" s="7">
        <v>5390.0</v>
      </c>
      <c r="C709" s="7">
        <v>5390.0</v>
      </c>
      <c r="D709" s="7">
        <v>1226.0</v>
      </c>
      <c r="E709" s="7">
        <v>947.0</v>
      </c>
      <c r="F709" s="14"/>
      <c r="G709" s="15"/>
      <c r="H709" s="15"/>
      <c r="I709" s="14"/>
      <c r="J709" s="14"/>
      <c r="O709" s="14"/>
    </row>
    <row r="710" ht="18.75" customHeight="1">
      <c r="A710" s="7" t="s">
        <v>2811</v>
      </c>
      <c r="B710" s="7">
        <v>29.0</v>
      </c>
      <c r="C710" s="7">
        <v>29.0</v>
      </c>
      <c r="D710" s="7">
        <v>17.0</v>
      </c>
      <c r="E710" s="7">
        <v>17.0</v>
      </c>
      <c r="F710" s="14"/>
      <c r="G710" s="15"/>
      <c r="H710" s="15"/>
      <c r="I710" s="14"/>
      <c r="J710" s="14"/>
      <c r="O710" s="14"/>
    </row>
    <row r="711" ht="18.75" customHeight="1">
      <c r="A711" s="7" t="s">
        <v>2811</v>
      </c>
      <c r="B711" s="7">
        <v>228.0</v>
      </c>
      <c r="C711" s="7">
        <v>228.0</v>
      </c>
      <c r="D711" s="7">
        <v>115.0</v>
      </c>
      <c r="E711" s="7">
        <v>111.0</v>
      </c>
      <c r="F711" s="14"/>
      <c r="G711" s="15"/>
      <c r="H711" s="15"/>
      <c r="I711" s="14"/>
      <c r="J711" s="14"/>
      <c r="O711" s="14"/>
    </row>
    <row r="712" ht="18.75" customHeight="1">
      <c r="A712" s="7" t="s">
        <v>3253</v>
      </c>
      <c r="B712" s="7">
        <v>311.0</v>
      </c>
      <c r="C712" s="7">
        <v>311.0</v>
      </c>
      <c r="D712" s="7">
        <v>114.0</v>
      </c>
      <c r="E712" s="7">
        <v>110.0</v>
      </c>
      <c r="F712" s="14"/>
      <c r="G712" s="15"/>
      <c r="H712" s="15"/>
      <c r="I712" s="14"/>
      <c r="J712" s="14"/>
      <c r="O712" s="14"/>
    </row>
    <row r="713" ht="18.75" customHeight="1">
      <c r="A713" s="7" t="s">
        <v>3254</v>
      </c>
      <c r="B713" s="7">
        <v>68.0</v>
      </c>
      <c r="C713" s="7">
        <v>68.0</v>
      </c>
      <c r="D713" s="7">
        <v>18.0</v>
      </c>
      <c r="E713" s="7">
        <v>16.0</v>
      </c>
      <c r="F713" s="14"/>
      <c r="G713" s="15"/>
      <c r="H713" s="15"/>
      <c r="I713" s="14"/>
      <c r="J713" s="14"/>
      <c r="O713" s="14"/>
    </row>
    <row r="714" ht="18.75" customHeight="1">
      <c r="A714" s="7" t="s">
        <v>3255</v>
      </c>
      <c r="B714" s="7">
        <v>44.0</v>
      </c>
      <c r="C714" s="7">
        <v>44.0</v>
      </c>
      <c r="D714" s="7">
        <v>14.0</v>
      </c>
      <c r="E714" s="7">
        <v>14.0</v>
      </c>
      <c r="F714" s="14"/>
      <c r="G714" s="15"/>
      <c r="H714" s="15"/>
      <c r="I714" s="14"/>
      <c r="J714" s="14"/>
      <c r="O714" s="14"/>
    </row>
    <row r="715" ht="18.75" customHeight="1">
      <c r="A715" s="7" t="s">
        <v>3259</v>
      </c>
      <c r="B715" s="7">
        <v>281.0</v>
      </c>
      <c r="C715" s="7">
        <v>281.0</v>
      </c>
      <c r="D715" s="7">
        <v>91.0</v>
      </c>
      <c r="E715" s="7">
        <v>82.0</v>
      </c>
      <c r="F715" s="14"/>
      <c r="G715" s="15"/>
      <c r="H715" s="15"/>
      <c r="I715" s="14"/>
      <c r="J715" s="14"/>
      <c r="O715" s="14"/>
    </row>
    <row r="716" ht="18.75" customHeight="1">
      <c r="A716" s="7" t="s">
        <v>3257</v>
      </c>
      <c r="B716" s="7">
        <v>97.0</v>
      </c>
      <c r="C716" s="7">
        <v>97.0</v>
      </c>
      <c r="D716" s="7">
        <v>23.0</v>
      </c>
      <c r="E716" s="7">
        <v>19.0</v>
      </c>
      <c r="F716" s="14"/>
      <c r="G716" s="15"/>
      <c r="H716" s="15"/>
      <c r="I716" s="14"/>
      <c r="J716" s="14"/>
      <c r="O716" s="14"/>
    </row>
    <row r="717" ht="18.75" customHeight="1">
      <c r="A717" s="7" t="s">
        <v>3258</v>
      </c>
      <c r="B717" s="7">
        <v>86.0</v>
      </c>
      <c r="C717" s="7">
        <v>86.0</v>
      </c>
      <c r="D717" s="7">
        <v>32.0</v>
      </c>
      <c r="E717" s="7">
        <v>30.0</v>
      </c>
      <c r="F717" s="14"/>
      <c r="G717" s="15"/>
      <c r="H717" s="15"/>
      <c r="I717" s="14"/>
      <c r="J717" s="14"/>
      <c r="O717" s="14"/>
    </row>
    <row r="718" ht="18.75" customHeight="1">
      <c r="A718" s="7" t="s">
        <v>3256</v>
      </c>
      <c r="B718" s="7">
        <v>75.0</v>
      </c>
      <c r="C718" s="7">
        <v>75.0</v>
      </c>
      <c r="D718" s="7">
        <v>18.0</v>
      </c>
      <c r="E718" s="7">
        <v>15.0</v>
      </c>
      <c r="F718" s="14"/>
      <c r="G718" s="15"/>
      <c r="H718" s="15"/>
      <c r="I718" s="14"/>
      <c r="J718" s="14"/>
      <c r="O718" s="14"/>
    </row>
    <row r="719" ht="18.75" customHeight="1">
      <c r="A719" s="7" t="s">
        <v>3341</v>
      </c>
      <c r="B719" s="7">
        <v>96.0</v>
      </c>
      <c r="C719" s="7">
        <v>96.0</v>
      </c>
      <c r="D719" s="7">
        <v>30.0</v>
      </c>
      <c r="E719" s="7">
        <v>30.0</v>
      </c>
      <c r="F719" s="14"/>
      <c r="G719" s="15"/>
      <c r="H719" s="15"/>
      <c r="I719" s="14"/>
      <c r="J719" s="14"/>
      <c r="O719" s="14"/>
    </row>
    <row r="720" ht="18.75" customHeight="1">
      <c r="A720" s="7" t="s">
        <v>2812</v>
      </c>
      <c r="B720" s="7">
        <v>9304.0</v>
      </c>
      <c r="C720" s="7">
        <v>9304.0</v>
      </c>
      <c r="D720" s="7">
        <v>1636.0</v>
      </c>
      <c r="E720" s="7">
        <v>1265.0</v>
      </c>
      <c r="F720" s="14"/>
      <c r="G720" s="15"/>
      <c r="H720" s="15"/>
      <c r="I720" s="14"/>
      <c r="J720" s="14"/>
      <c r="O720" s="14"/>
    </row>
    <row r="721" ht="18.75" customHeight="1">
      <c r="A721" s="7" t="s">
        <v>2812</v>
      </c>
      <c r="B721" s="7">
        <v>28.0</v>
      </c>
      <c r="C721" s="7">
        <v>27.0</v>
      </c>
      <c r="D721" s="7">
        <v>16.0</v>
      </c>
      <c r="E721" s="7">
        <v>16.0</v>
      </c>
      <c r="F721" s="14"/>
      <c r="G721" s="15"/>
      <c r="H721" s="15"/>
      <c r="I721" s="14"/>
      <c r="J721" s="14"/>
      <c r="O721" s="14"/>
    </row>
    <row r="722" ht="18.75" customHeight="1">
      <c r="A722" s="7" t="s">
        <v>2812</v>
      </c>
      <c r="B722" s="7">
        <v>294.0</v>
      </c>
      <c r="C722" s="7">
        <v>294.0</v>
      </c>
      <c r="D722" s="7">
        <v>156.0</v>
      </c>
      <c r="E722" s="7">
        <v>153.0</v>
      </c>
      <c r="F722" s="14"/>
      <c r="G722" s="15"/>
      <c r="H722" s="15"/>
      <c r="I722" s="14"/>
      <c r="J722" s="14"/>
      <c r="O722" s="14"/>
    </row>
    <row r="723" ht="18.75" customHeight="1">
      <c r="A723" s="7" t="s">
        <v>3256</v>
      </c>
      <c r="B723" s="7">
        <v>5500.0</v>
      </c>
      <c r="C723" s="7">
        <v>5498.0</v>
      </c>
      <c r="D723" s="7">
        <v>1272.0</v>
      </c>
      <c r="E723" s="7">
        <v>974.0</v>
      </c>
      <c r="F723" s="14"/>
      <c r="G723" s="15"/>
      <c r="H723" s="15"/>
      <c r="I723" s="14"/>
      <c r="J723" s="14"/>
      <c r="O723" s="14"/>
    </row>
    <row r="724" ht="18.75" customHeight="1">
      <c r="A724" s="7" t="s">
        <v>3259</v>
      </c>
      <c r="B724" s="7">
        <v>4000.0</v>
      </c>
      <c r="C724" s="7">
        <v>3999.0</v>
      </c>
      <c r="D724" s="7">
        <v>970.0</v>
      </c>
      <c r="E724" s="7">
        <v>757.0</v>
      </c>
      <c r="F724" s="14"/>
      <c r="G724" s="15"/>
      <c r="H724" s="15"/>
      <c r="I724" s="14"/>
      <c r="J724" s="14"/>
      <c r="O724" s="14"/>
    </row>
    <row r="725" ht="18.75" customHeight="1">
      <c r="A725" s="7" t="s">
        <v>3260</v>
      </c>
      <c r="B725" s="7">
        <v>179.0</v>
      </c>
      <c r="C725" s="7">
        <v>179.0</v>
      </c>
      <c r="D725" s="7">
        <v>52.0</v>
      </c>
      <c r="E725" s="7">
        <v>50.0</v>
      </c>
      <c r="F725" s="14"/>
      <c r="G725" s="15"/>
      <c r="H725" s="15"/>
      <c r="I725" s="14"/>
      <c r="J725" s="14"/>
      <c r="O725" s="14"/>
    </row>
    <row r="726" ht="18.75" customHeight="1">
      <c r="A726" s="7" t="s">
        <v>3262</v>
      </c>
      <c r="B726" s="7">
        <v>173.0</v>
      </c>
      <c r="C726" s="7">
        <v>173.0</v>
      </c>
      <c r="D726" s="7">
        <v>40.0</v>
      </c>
      <c r="E726" s="7">
        <v>40.0</v>
      </c>
      <c r="F726" s="14"/>
      <c r="G726" s="15"/>
      <c r="H726" s="15"/>
      <c r="I726" s="14"/>
      <c r="J726" s="14"/>
      <c r="O726" s="14"/>
    </row>
    <row r="727" ht="18.75" customHeight="1">
      <c r="A727" s="7" t="s">
        <v>3339</v>
      </c>
      <c r="B727" s="7">
        <v>141.0</v>
      </c>
      <c r="C727" s="7">
        <v>141.0</v>
      </c>
      <c r="D727" s="7">
        <v>59.0</v>
      </c>
      <c r="E727" s="7">
        <v>54.0</v>
      </c>
      <c r="F727" s="14"/>
      <c r="G727" s="15"/>
      <c r="H727" s="15"/>
      <c r="I727" s="14"/>
      <c r="J727" s="14"/>
      <c r="O727" s="14"/>
    </row>
    <row r="728" ht="18.75" customHeight="1">
      <c r="A728" s="7" t="s">
        <v>2789</v>
      </c>
      <c r="B728" s="7">
        <v>6500.0</v>
      </c>
      <c r="C728" s="7">
        <v>5240.0</v>
      </c>
      <c r="D728" s="7">
        <v>1110.0</v>
      </c>
      <c r="E728" s="7">
        <v>762.0</v>
      </c>
      <c r="F728" s="14"/>
      <c r="G728" s="15"/>
      <c r="H728" s="15"/>
      <c r="I728" s="14"/>
      <c r="J728" s="14"/>
      <c r="O728" s="14"/>
    </row>
    <row r="729" ht="18.75" customHeight="1">
      <c r="A729" s="7" t="s">
        <v>2789</v>
      </c>
      <c r="B729" s="7">
        <v>33.0</v>
      </c>
      <c r="C729" s="7">
        <v>33.0</v>
      </c>
      <c r="D729" s="7">
        <v>23.0</v>
      </c>
      <c r="E729" s="7">
        <v>23.0</v>
      </c>
      <c r="F729" s="14"/>
      <c r="G729" s="15"/>
      <c r="H729" s="15"/>
      <c r="I729" s="14"/>
      <c r="J729" s="14"/>
      <c r="O729" s="14"/>
    </row>
    <row r="730" ht="18.75" customHeight="1">
      <c r="A730" s="7" t="s">
        <v>2789</v>
      </c>
      <c r="B730" s="7">
        <v>172.0</v>
      </c>
      <c r="C730" s="7">
        <v>172.0</v>
      </c>
      <c r="D730" s="7">
        <v>66.0</v>
      </c>
      <c r="E730" s="7">
        <v>66.0</v>
      </c>
      <c r="F730" s="14"/>
      <c r="G730" s="15"/>
      <c r="H730" s="15"/>
      <c r="I730" s="14"/>
      <c r="J730" s="14"/>
      <c r="O730" s="14"/>
    </row>
    <row r="731" ht="18.75" customHeight="1">
      <c r="A731" s="7" t="s">
        <v>3261</v>
      </c>
      <c r="B731" s="7">
        <v>135.0</v>
      </c>
      <c r="C731" s="7">
        <v>135.0</v>
      </c>
      <c r="D731" s="7">
        <v>47.0</v>
      </c>
      <c r="E731" s="7">
        <v>45.0</v>
      </c>
      <c r="F731" s="14"/>
      <c r="G731" s="15"/>
      <c r="I731" s="14"/>
      <c r="J731" s="14"/>
      <c r="O731" s="14"/>
    </row>
    <row r="732" ht="18.75" customHeight="1">
      <c r="A732" s="7" t="s">
        <v>2813</v>
      </c>
      <c r="B732" s="7">
        <v>4600.0</v>
      </c>
      <c r="C732" s="7">
        <v>4436.0</v>
      </c>
      <c r="D732" s="7">
        <v>1082.0</v>
      </c>
      <c r="E732" s="7">
        <v>887.0</v>
      </c>
      <c r="F732" s="14"/>
      <c r="G732" s="15"/>
      <c r="H732" s="15"/>
      <c r="I732" s="14"/>
      <c r="J732" s="14"/>
      <c r="O732" s="14"/>
    </row>
    <row r="733" ht="18.75" customHeight="1">
      <c r="A733" s="7" t="s">
        <v>2813</v>
      </c>
      <c r="B733" s="7">
        <v>26.0</v>
      </c>
      <c r="C733" s="7">
        <v>26.0</v>
      </c>
      <c r="D733" s="7">
        <v>16.0</v>
      </c>
      <c r="E733" s="7">
        <v>16.0</v>
      </c>
      <c r="F733" s="14"/>
      <c r="G733" s="15"/>
      <c r="H733" s="15"/>
      <c r="I733" s="14"/>
      <c r="J733" s="14"/>
      <c r="O733" s="14"/>
    </row>
    <row r="734" ht="18.75" customHeight="1">
      <c r="A734" s="7" t="s">
        <v>2813</v>
      </c>
      <c r="B734" s="7">
        <v>163.0</v>
      </c>
      <c r="C734" s="7">
        <v>163.0</v>
      </c>
      <c r="D734" s="7">
        <v>76.0</v>
      </c>
      <c r="E734" s="7">
        <v>70.0</v>
      </c>
      <c r="F734" s="14"/>
      <c r="G734" s="15"/>
      <c r="H734" s="15"/>
      <c r="I734" s="14"/>
      <c r="J734" s="14"/>
      <c r="O734" s="14"/>
    </row>
    <row r="735" ht="18.75" customHeight="1">
      <c r="A735" s="7" t="s">
        <v>3498</v>
      </c>
      <c r="B735" s="7">
        <v>126.0</v>
      </c>
      <c r="C735" s="7">
        <v>126.0</v>
      </c>
      <c r="D735" s="7">
        <v>45.0</v>
      </c>
      <c r="E735" s="7">
        <v>41.0</v>
      </c>
      <c r="F735" s="14"/>
      <c r="G735" s="15"/>
      <c r="I735" s="14"/>
      <c r="J735" s="14"/>
      <c r="O735" s="14"/>
    </row>
    <row r="736" ht="18.75" customHeight="1">
      <c r="A736" s="7" t="s">
        <v>2964</v>
      </c>
      <c r="B736" s="7">
        <v>74.0</v>
      </c>
      <c r="C736" s="7">
        <v>74.0</v>
      </c>
      <c r="D736" s="7">
        <v>19.0</v>
      </c>
      <c r="E736" s="7">
        <v>18.0</v>
      </c>
      <c r="F736" s="14"/>
      <c r="G736" s="15"/>
      <c r="I736" s="14"/>
      <c r="J736" s="14"/>
      <c r="O736" s="14"/>
    </row>
    <row r="737" ht="18.75" customHeight="1">
      <c r="A737" s="7" t="s">
        <v>2972</v>
      </c>
      <c r="B737" s="7">
        <v>87.0</v>
      </c>
      <c r="C737" s="7">
        <v>87.0</v>
      </c>
      <c r="D737" s="7">
        <v>21.0</v>
      </c>
      <c r="E737" s="7">
        <v>20.0</v>
      </c>
      <c r="F737" s="14"/>
      <c r="G737" s="15"/>
      <c r="I737" s="14"/>
      <c r="J737" s="14"/>
      <c r="O737" s="14"/>
    </row>
    <row r="738" ht="18.75" customHeight="1">
      <c r="A738" s="7" t="s">
        <v>3344</v>
      </c>
      <c r="B738" s="7">
        <v>138.0</v>
      </c>
      <c r="C738" s="7">
        <v>138.0</v>
      </c>
      <c r="D738" s="7">
        <v>49.0</v>
      </c>
      <c r="E738" s="7">
        <v>48.0</v>
      </c>
      <c r="F738" s="14"/>
      <c r="G738" s="15"/>
      <c r="I738" s="14"/>
      <c r="J738" s="14"/>
      <c r="O738" s="14"/>
    </row>
    <row r="739" ht="18.75" customHeight="1">
      <c r="A739" s="7" t="s">
        <v>2756</v>
      </c>
      <c r="B739" s="7">
        <v>6000.0</v>
      </c>
      <c r="C739" s="7">
        <v>6000.0</v>
      </c>
      <c r="D739" s="7">
        <v>1393.0</v>
      </c>
      <c r="E739" s="7">
        <v>1114.0</v>
      </c>
      <c r="F739" s="14"/>
      <c r="G739" s="15"/>
      <c r="H739" s="15"/>
      <c r="I739" s="14"/>
      <c r="J739" s="14"/>
      <c r="O739" s="14"/>
    </row>
    <row r="740" ht="18.75" customHeight="1">
      <c r="A740" s="7" t="s">
        <v>2756</v>
      </c>
      <c r="B740" s="7">
        <v>35.0</v>
      </c>
      <c r="C740" s="7">
        <v>35.0</v>
      </c>
      <c r="D740" s="7">
        <v>25.0</v>
      </c>
      <c r="E740" s="7">
        <v>24.0</v>
      </c>
      <c r="F740" s="14"/>
      <c r="G740" s="15"/>
      <c r="H740" s="15"/>
      <c r="I740" s="14"/>
      <c r="J740" s="14"/>
      <c r="O740" s="14"/>
    </row>
    <row r="741" ht="18.75" customHeight="1">
      <c r="A741" s="7" t="s">
        <v>2756</v>
      </c>
      <c r="B741" s="7">
        <v>171.0</v>
      </c>
      <c r="C741" s="7">
        <v>171.0</v>
      </c>
      <c r="D741" s="7">
        <v>92.0</v>
      </c>
      <c r="E741" s="7">
        <v>87.0</v>
      </c>
      <c r="F741" s="14"/>
      <c r="G741" s="15"/>
      <c r="H741" s="15"/>
      <c r="I741" s="14"/>
      <c r="J741" s="14"/>
      <c r="O741" s="14"/>
    </row>
    <row r="742" ht="18.75" customHeight="1">
      <c r="A742" s="7" t="s">
        <v>3340</v>
      </c>
      <c r="B742" s="7">
        <v>79.0</v>
      </c>
      <c r="C742" s="7">
        <v>79.0</v>
      </c>
      <c r="D742" s="7">
        <v>29.0</v>
      </c>
      <c r="E742" s="7">
        <v>28.0</v>
      </c>
      <c r="F742" s="14"/>
      <c r="G742" s="15"/>
      <c r="H742" s="15"/>
      <c r="I742" s="14"/>
      <c r="J742" s="14"/>
      <c r="O742" s="14"/>
    </row>
    <row r="743" ht="18.75" customHeight="1">
      <c r="A743" s="7" t="s">
        <v>3339</v>
      </c>
      <c r="B743" s="7">
        <v>6954.0</v>
      </c>
      <c r="C743" s="7">
        <v>6954.0</v>
      </c>
      <c r="D743" s="7">
        <v>1196.0</v>
      </c>
      <c r="E743" s="7">
        <v>917.0</v>
      </c>
      <c r="F743" s="14"/>
      <c r="G743" s="15"/>
      <c r="H743" s="15"/>
      <c r="I743" s="14"/>
      <c r="J743" s="14"/>
      <c r="O743" s="14"/>
    </row>
    <row r="744" ht="18.75" customHeight="1">
      <c r="A744" s="7" t="s">
        <v>3339</v>
      </c>
      <c r="B744" s="7">
        <v>22.0</v>
      </c>
      <c r="C744" s="7">
        <v>22.0</v>
      </c>
      <c r="D744" s="7">
        <v>22.0</v>
      </c>
      <c r="E744" s="7">
        <v>22.0</v>
      </c>
      <c r="F744" s="14"/>
      <c r="G744" s="15"/>
      <c r="H744" s="15"/>
      <c r="I744" s="14"/>
      <c r="J744" s="14"/>
      <c r="O744" s="14"/>
    </row>
    <row r="745" ht="18.75" customHeight="1">
      <c r="A745" s="7" t="s">
        <v>2976</v>
      </c>
      <c r="B745" s="7">
        <v>32.0</v>
      </c>
      <c r="C745" s="7">
        <v>32.0</v>
      </c>
      <c r="D745" s="7">
        <v>11.0</v>
      </c>
      <c r="E745" s="7">
        <v>11.0</v>
      </c>
      <c r="F745" s="14"/>
      <c r="G745" s="15"/>
      <c r="H745" s="15"/>
      <c r="I745" s="14"/>
      <c r="J745" s="14"/>
      <c r="O745" s="14"/>
    </row>
    <row r="746" ht="18.75" customHeight="1">
      <c r="A746" s="7" t="s">
        <v>3265</v>
      </c>
      <c r="B746" s="7">
        <v>80.0</v>
      </c>
      <c r="C746" s="7">
        <v>80.0</v>
      </c>
      <c r="D746" s="7">
        <v>26.0</v>
      </c>
      <c r="E746" s="7">
        <v>25.0</v>
      </c>
      <c r="F746" s="14"/>
      <c r="G746" s="15"/>
      <c r="H746" s="15"/>
      <c r="I746" s="14"/>
      <c r="J746" s="14"/>
      <c r="O746" s="14"/>
    </row>
    <row r="747" ht="18.75" customHeight="1">
      <c r="A747" s="7" t="s">
        <v>3264</v>
      </c>
      <c r="B747" s="7">
        <v>38.0</v>
      </c>
      <c r="C747" s="7">
        <v>38.0</v>
      </c>
      <c r="D747" s="7">
        <v>14.0</v>
      </c>
      <c r="E747" s="7">
        <v>14.0</v>
      </c>
      <c r="F747" s="14"/>
      <c r="G747" s="15"/>
      <c r="H747" s="15"/>
      <c r="I747" s="14"/>
      <c r="J747" s="14"/>
      <c r="O747" s="14"/>
    </row>
    <row r="748" ht="18.75" customHeight="1">
      <c r="A748" s="7" t="s">
        <v>2814</v>
      </c>
      <c r="B748" s="7">
        <v>6018.0</v>
      </c>
      <c r="C748" s="7">
        <v>6018.0</v>
      </c>
      <c r="D748" s="7">
        <v>1296.0</v>
      </c>
      <c r="E748" s="7">
        <v>1018.0</v>
      </c>
      <c r="F748" s="14"/>
      <c r="G748" s="15"/>
      <c r="H748" s="15"/>
      <c r="I748" s="14"/>
      <c r="J748" s="14"/>
      <c r="O748" s="14"/>
    </row>
    <row r="749" ht="18.75" customHeight="1">
      <c r="A749" s="7" t="s">
        <v>2814</v>
      </c>
      <c r="B749" s="7">
        <v>31.0</v>
      </c>
      <c r="C749" s="7">
        <v>31.0</v>
      </c>
      <c r="D749" s="7">
        <v>19.0</v>
      </c>
      <c r="E749" s="7">
        <v>19.0</v>
      </c>
      <c r="F749" s="14"/>
      <c r="G749" s="15"/>
      <c r="H749" s="15"/>
      <c r="I749" s="14"/>
      <c r="J749" s="14"/>
      <c r="O749" s="14"/>
    </row>
    <row r="750" ht="18.75" customHeight="1">
      <c r="A750" s="7" t="s">
        <v>2814</v>
      </c>
      <c r="B750" s="7">
        <v>217.0</v>
      </c>
      <c r="C750" s="7">
        <v>217.0</v>
      </c>
      <c r="D750" s="7">
        <v>117.0</v>
      </c>
      <c r="E750" s="7">
        <v>117.0</v>
      </c>
      <c r="F750" s="14"/>
      <c r="G750" s="15"/>
      <c r="H750" s="15"/>
      <c r="I750" s="14"/>
      <c r="J750" s="14"/>
      <c r="O750" s="14"/>
    </row>
    <row r="751" ht="18.75" customHeight="1">
      <c r="A751" s="7" t="s">
        <v>3267</v>
      </c>
      <c r="B751" s="7">
        <v>152.0</v>
      </c>
      <c r="C751" s="7">
        <v>152.0</v>
      </c>
      <c r="D751" s="7">
        <v>38.0</v>
      </c>
      <c r="E751" s="7">
        <v>35.0</v>
      </c>
      <c r="F751" s="14"/>
      <c r="G751" s="15"/>
      <c r="H751" s="15"/>
      <c r="I751" s="14"/>
      <c r="J751" s="14"/>
      <c r="O751" s="14"/>
    </row>
    <row r="752" ht="18.75" customHeight="1">
      <c r="A752" s="7" t="s">
        <v>3164</v>
      </c>
      <c r="B752" s="7">
        <v>89.0</v>
      </c>
      <c r="C752" s="7">
        <v>89.0</v>
      </c>
      <c r="D752" s="7">
        <v>27.0</v>
      </c>
      <c r="E752" s="7">
        <v>27.0</v>
      </c>
      <c r="F752" s="14"/>
      <c r="G752" s="15"/>
      <c r="H752" s="15"/>
      <c r="I752" s="14"/>
      <c r="J752" s="14"/>
      <c r="O752" s="14"/>
    </row>
    <row r="753" ht="18.75" customHeight="1">
      <c r="A753" s="7" t="s">
        <v>2823</v>
      </c>
      <c r="B753" s="7">
        <v>5307.0</v>
      </c>
      <c r="C753" s="7">
        <v>5307.0</v>
      </c>
      <c r="D753" s="7">
        <v>979.0</v>
      </c>
      <c r="E753" s="7">
        <v>789.0</v>
      </c>
      <c r="F753" s="14"/>
      <c r="G753" s="15"/>
      <c r="H753" s="15"/>
      <c r="I753" s="14"/>
      <c r="J753" s="14"/>
      <c r="O753" s="14"/>
    </row>
    <row r="754" ht="18.75" customHeight="1">
      <c r="A754" s="7" t="s">
        <v>2823</v>
      </c>
      <c r="B754" s="7">
        <v>27.0</v>
      </c>
      <c r="C754" s="7">
        <v>27.0</v>
      </c>
      <c r="D754" s="7">
        <v>14.0</v>
      </c>
      <c r="E754" s="7">
        <v>14.0</v>
      </c>
      <c r="F754" s="14"/>
      <c r="G754" s="15"/>
      <c r="H754" s="15"/>
      <c r="I754" s="14"/>
      <c r="J754" s="14"/>
      <c r="O754" s="14"/>
    </row>
    <row r="755" ht="18.75" customHeight="1">
      <c r="A755" s="7" t="s">
        <v>2823</v>
      </c>
      <c r="B755" s="7">
        <v>180.0</v>
      </c>
      <c r="C755" s="7">
        <v>179.0</v>
      </c>
      <c r="D755" s="7">
        <v>105.0</v>
      </c>
      <c r="E755" s="7">
        <v>102.0</v>
      </c>
      <c r="F755" s="14"/>
      <c r="G755" s="15"/>
      <c r="H755" s="15"/>
      <c r="I755" s="14"/>
      <c r="J755" s="14"/>
      <c r="O755" s="14"/>
    </row>
    <row r="756" ht="18.75" customHeight="1">
      <c r="A756" s="7" t="s">
        <v>3270</v>
      </c>
      <c r="B756" s="7">
        <v>152.0</v>
      </c>
      <c r="C756" s="7">
        <v>152.0</v>
      </c>
      <c r="D756" s="7">
        <v>49.0</v>
      </c>
      <c r="E756" s="7">
        <v>49.0</v>
      </c>
      <c r="F756" s="14"/>
      <c r="G756" s="15"/>
      <c r="H756" s="15"/>
      <c r="I756" s="14"/>
      <c r="J756" s="14"/>
      <c r="O756" s="14"/>
    </row>
    <row r="757" ht="18.75" customHeight="1">
      <c r="A757" s="7" t="s">
        <v>3345</v>
      </c>
      <c r="B757" s="7">
        <v>119.0</v>
      </c>
      <c r="C757" s="7">
        <v>119.0</v>
      </c>
      <c r="D757" s="7">
        <v>36.0</v>
      </c>
      <c r="E757" s="7">
        <v>35.0</v>
      </c>
      <c r="F757" s="14"/>
      <c r="G757" s="15"/>
      <c r="H757" s="15"/>
      <c r="I757" s="14"/>
      <c r="J757" s="14"/>
      <c r="O757" s="14"/>
    </row>
    <row r="758" ht="18.75" customHeight="1">
      <c r="A758" s="7" t="s">
        <v>3268</v>
      </c>
      <c r="B758" s="7">
        <v>73.0</v>
      </c>
      <c r="C758" s="7">
        <v>72.0</v>
      </c>
      <c r="D758" s="7">
        <v>20.0</v>
      </c>
      <c r="E758" s="7">
        <v>19.0</v>
      </c>
      <c r="F758" s="14"/>
      <c r="G758" s="15"/>
      <c r="H758" s="15"/>
      <c r="I758" s="14"/>
      <c r="J758" s="14"/>
      <c r="O758" s="14"/>
    </row>
    <row r="759" ht="18.75" customHeight="1">
      <c r="A759" s="7" t="s">
        <v>3346</v>
      </c>
      <c r="B759" s="7">
        <v>112.0</v>
      </c>
      <c r="C759" s="7">
        <v>112.0</v>
      </c>
      <c r="D759" s="7">
        <v>24.0</v>
      </c>
      <c r="E759" s="7">
        <v>22.0</v>
      </c>
      <c r="F759" s="14"/>
      <c r="G759" s="15"/>
      <c r="H759" s="15"/>
      <c r="I759" s="14"/>
      <c r="J759" s="14"/>
      <c r="O759" s="14"/>
    </row>
    <row r="760" ht="18.75" customHeight="1">
      <c r="A760" s="7" t="s">
        <v>3269</v>
      </c>
      <c r="B760" s="7">
        <v>121.0</v>
      </c>
      <c r="C760" s="7">
        <v>120.0</v>
      </c>
      <c r="D760" s="7">
        <v>35.0</v>
      </c>
      <c r="E760" s="7">
        <v>34.0</v>
      </c>
      <c r="F760" s="14"/>
      <c r="G760" s="15"/>
      <c r="H760" s="15"/>
      <c r="I760" s="14"/>
      <c r="J760" s="14"/>
      <c r="O760" s="14"/>
    </row>
    <row r="761" ht="18.75" customHeight="1">
      <c r="A761" s="7" t="s">
        <v>2757</v>
      </c>
      <c r="B761" s="7">
        <v>10500.0</v>
      </c>
      <c r="C761" s="7">
        <v>10036.0</v>
      </c>
      <c r="D761" s="7">
        <v>1834.0</v>
      </c>
      <c r="E761" s="7">
        <v>1395.0</v>
      </c>
      <c r="F761" s="14"/>
      <c r="G761" s="15"/>
      <c r="H761" s="15"/>
      <c r="I761" s="14"/>
      <c r="J761" s="14"/>
      <c r="O761" s="14"/>
    </row>
    <row r="762" ht="18.75" customHeight="1">
      <c r="A762" s="7" t="s">
        <v>2757</v>
      </c>
      <c r="B762" s="7">
        <v>148.0</v>
      </c>
      <c r="C762" s="7">
        <v>148.0</v>
      </c>
      <c r="D762" s="7">
        <v>40.0</v>
      </c>
      <c r="E762" s="7">
        <v>37.0</v>
      </c>
      <c r="F762" s="14"/>
      <c r="G762" s="15"/>
      <c r="H762" s="15"/>
      <c r="I762" s="14"/>
      <c r="J762" s="14"/>
      <c r="O762" s="14"/>
    </row>
    <row r="763" ht="18.75" customHeight="1">
      <c r="A763" s="7" t="s">
        <v>2757</v>
      </c>
      <c r="B763" s="7">
        <v>406.0</v>
      </c>
      <c r="C763" s="7">
        <v>406.0</v>
      </c>
      <c r="D763" s="7">
        <v>173.0</v>
      </c>
      <c r="E763" s="7">
        <v>169.0</v>
      </c>
      <c r="F763" s="14"/>
      <c r="G763" s="15"/>
      <c r="H763" s="15"/>
      <c r="I763" s="14"/>
      <c r="J763" s="14"/>
      <c r="O763" s="14"/>
    </row>
    <row r="764" ht="18.75" customHeight="1">
      <c r="A764" s="7" t="s">
        <v>3571</v>
      </c>
      <c r="B764" s="7">
        <v>52873.0</v>
      </c>
      <c r="C764" s="7">
        <v>52588.0</v>
      </c>
      <c r="D764" s="7">
        <v>11931.0</v>
      </c>
      <c r="E764" s="7">
        <v>7240.0</v>
      </c>
      <c r="F764" s="14"/>
      <c r="G764" s="15"/>
      <c r="H764" s="15"/>
      <c r="I764" s="14"/>
      <c r="J764" s="14"/>
      <c r="O764" s="14"/>
    </row>
    <row r="765" ht="18.75" customHeight="1">
      <c r="A765" s="7" t="s">
        <v>3351</v>
      </c>
      <c r="B765" s="7">
        <v>125.0</v>
      </c>
      <c r="C765" s="7">
        <v>125.0</v>
      </c>
      <c r="D765" s="7">
        <v>29.0</v>
      </c>
      <c r="E765" s="7">
        <v>28.0</v>
      </c>
      <c r="F765" s="14"/>
      <c r="G765" s="15"/>
      <c r="H765" s="15"/>
      <c r="I765" s="14"/>
      <c r="J765" s="14"/>
      <c r="O765" s="14"/>
    </row>
    <row r="766" ht="18.75" customHeight="1">
      <c r="A766" s="7" t="s">
        <v>3271</v>
      </c>
      <c r="B766" s="7">
        <v>113.0</v>
      </c>
      <c r="C766" s="7">
        <v>113.0</v>
      </c>
      <c r="D766" s="7">
        <v>24.0</v>
      </c>
      <c r="E766" s="7">
        <v>22.0</v>
      </c>
      <c r="F766" s="14"/>
      <c r="G766" s="15"/>
      <c r="H766" s="15"/>
      <c r="I766" s="14"/>
      <c r="J766" s="14"/>
      <c r="O766" s="14"/>
    </row>
    <row r="767" ht="18.75" customHeight="1">
      <c r="A767" s="7" t="s">
        <v>3347</v>
      </c>
      <c r="B767" s="7">
        <v>67.0</v>
      </c>
      <c r="C767" s="7">
        <v>67.0</v>
      </c>
      <c r="D767" s="7">
        <v>20.0</v>
      </c>
      <c r="E767" s="7">
        <v>20.0</v>
      </c>
      <c r="F767" s="14"/>
      <c r="G767" s="15"/>
      <c r="H767" s="15"/>
      <c r="I767" s="14"/>
      <c r="J767" s="14"/>
      <c r="O767" s="14"/>
    </row>
    <row r="768" ht="18.75" customHeight="1">
      <c r="A768" s="7" t="s">
        <v>3473</v>
      </c>
      <c r="B768" s="7">
        <v>108.0</v>
      </c>
      <c r="C768" s="7">
        <v>108.0</v>
      </c>
      <c r="D768" s="7">
        <v>36.0</v>
      </c>
      <c r="E768" s="7">
        <v>27.0</v>
      </c>
      <c r="F768" s="14"/>
      <c r="G768" s="15"/>
      <c r="H768" s="15"/>
      <c r="I768" s="14"/>
      <c r="J768" s="14"/>
      <c r="O768" s="14"/>
    </row>
    <row r="769" ht="18.75" customHeight="1">
      <c r="A769" s="7" t="s">
        <v>3272</v>
      </c>
      <c r="B769" s="7">
        <v>117.0</v>
      </c>
      <c r="C769" s="7">
        <v>117.0</v>
      </c>
      <c r="D769" s="7">
        <v>37.0</v>
      </c>
      <c r="E769" s="7">
        <v>34.0</v>
      </c>
      <c r="F769" s="14"/>
      <c r="G769" s="15"/>
      <c r="H769" s="15"/>
      <c r="I769" s="14"/>
      <c r="J769" s="14"/>
      <c r="O769" s="14"/>
    </row>
    <row r="770" ht="18.75" customHeight="1">
      <c r="A770" s="7" t="s">
        <v>3348</v>
      </c>
      <c r="B770" s="7">
        <v>154.0</v>
      </c>
      <c r="C770" s="7">
        <v>154.0</v>
      </c>
      <c r="D770" s="7">
        <v>60.0</v>
      </c>
      <c r="E770" s="7">
        <v>60.0</v>
      </c>
      <c r="F770" s="14"/>
      <c r="G770" s="15"/>
      <c r="H770" s="15"/>
      <c r="I770" s="14"/>
      <c r="J770" s="14"/>
      <c r="O770" s="14"/>
    </row>
    <row r="771" ht="18.75" customHeight="1">
      <c r="A771" s="7" t="s">
        <v>2975</v>
      </c>
      <c r="B771" s="7">
        <v>166.0</v>
      </c>
      <c r="C771" s="7">
        <v>166.0</v>
      </c>
      <c r="D771" s="7">
        <v>41.0</v>
      </c>
      <c r="E771" s="7">
        <v>39.0</v>
      </c>
      <c r="F771" s="14"/>
      <c r="G771" s="15"/>
      <c r="H771" s="15"/>
      <c r="I771" s="14"/>
      <c r="J771" s="14"/>
      <c r="O771" s="14"/>
    </row>
    <row r="772" ht="18.75" customHeight="1">
      <c r="A772" s="7" t="s">
        <v>3273</v>
      </c>
      <c r="B772" s="7">
        <v>56.0</v>
      </c>
      <c r="C772" s="7">
        <v>56.0</v>
      </c>
      <c r="D772" s="7">
        <v>23.0</v>
      </c>
      <c r="E772" s="7">
        <v>22.0</v>
      </c>
      <c r="F772" s="14"/>
      <c r="G772" s="15"/>
      <c r="H772" s="15"/>
      <c r="I772" s="14"/>
      <c r="J772" s="14"/>
      <c r="O772" s="14"/>
    </row>
    <row r="773" ht="18.75" customHeight="1">
      <c r="A773" s="7" t="s">
        <v>3271</v>
      </c>
      <c r="B773" s="7">
        <v>8316.0</v>
      </c>
      <c r="C773" s="7">
        <v>7781.0</v>
      </c>
      <c r="D773" s="7">
        <v>1526.0</v>
      </c>
      <c r="E773" s="7">
        <v>1154.0</v>
      </c>
      <c r="F773" s="14"/>
      <c r="G773" s="15"/>
      <c r="H773" s="15"/>
      <c r="I773" s="14"/>
      <c r="J773" s="14"/>
      <c r="O773" s="14"/>
    </row>
    <row r="774" ht="18.75" customHeight="1">
      <c r="A774" s="7" t="s">
        <v>3273</v>
      </c>
      <c r="B774" s="7">
        <v>6000.0</v>
      </c>
      <c r="C774" s="7">
        <v>5334.0</v>
      </c>
      <c r="D774" s="7">
        <v>1202.0</v>
      </c>
      <c r="E774" s="7">
        <v>911.0</v>
      </c>
      <c r="F774" s="14"/>
      <c r="G774" s="15"/>
      <c r="H774" s="15"/>
      <c r="I774" s="14"/>
      <c r="J774" s="14"/>
      <c r="O774" s="14"/>
    </row>
    <row r="775" ht="18.75" customHeight="1">
      <c r="A775" s="7" t="s">
        <v>2782</v>
      </c>
      <c r="B775" s="7">
        <v>5000.0</v>
      </c>
      <c r="C775" s="7">
        <v>5000.0</v>
      </c>
      <c r="D775" s="7">
        <v>864.0</v>
      </c>
      <c r="E775" s="7">
        <v>627.0</v>
      </c>
      <c r="F775" s="14"/>
      <c r="G775" s="15"/>
      <c r="H775" s="15"/>
      <c r="I775" s="14"/>
      <c r="J775" s="14"/>
      <c r="O775" s="14"/>
    </row>
    <row r="776" ht="18.75" customHeight="1">
      <c r="A776" s="7" t="s">
        <v>2782</v>
      </c>
      <c r="B776" s="7">
        <v>0.0</v>
      </c>
      <c r="C776" s="7">
        <v>0.0</v>
      </c>
      <c r="D776" s="7">
        <v>0.0</v>
      </c>
      <c r="E776" s="7">
        <v>0.0</v>
      </c>
      <c r="F776" s="14"/>
      <c r="G776" s="15"/>
      <c r="H776" s="15"/>
      <c r="I776" s="14"/>
      <c r="J776" s="14"/>
      <c r="O776" s="14"/>
    </row>
    <row r="777" ht="18.75" customHeight="1">
      <c r="A777" s="7" t="s">
        <v>2782</v>
      </c>
      <c r="B777" s="7">
        <v>260.0</v>
      </c>
      <c r="C777" s="7">
        <v>260.0</v>
      </c>
      <c r="D777" s="7">
        <v>117.0</v>
      </c>
      <c r="E777" s="7">
        <v>110.0</v>
      </c>
      <c r="F777" s="14"/>
      <c r="G777" s="15"/>
      <c r="H777" s="15"/>
      <c r="I777" s="14"/>
      <c r="J777" s="14"/>
      <c r="O777" s="14"/>
    </row>
    <row r="778" ht="18.75" customHeight="1">
      <c r="A778" s="7" t="s">
        <v>3466</v>
      </c>
      <c r="B778" s="7">
        <v>134.0</v>
      </c>
      <c r="C778" s="7">
        <v>134.0</v>
      </c>
      <c r="D778" s="7">
        <v>42.0</v>
      </c>
      <c r="E778" s="7">
        <v>39.0</v>
      </c>
      <c r="F778" s="14"/>
      <c r="G778" s="15"/>
      <c r="H778" s="15"/>
      <c r="I778" s="14"/>
      <c r="J778" s="14"/>
      <c r="O778" s="14"/>
    </row>
    <row r="779" ht="18.75" customHeight="1">
      <c r="A779" s="7" t="s">
        <v>3277</v>
      </c>
      <c r="B779" s="7">
        <v>41.0</v>
      </c>
      <c r="C779" s="7">
        <v>41.0</v>
      </c>
      <c r="D779" s="7">
        <v>12.0</v>
      </c>
      <c r="E779" s="7">
        <v>10.0</v>
      </c>
      <c r="F779" s="14"/>
      <c r="G779" s="15"/>
      <c r="H779" s="15"/>
      <c r="I779" s="14"/>
      <c r="J779" s="14"/>
      <c r="O779" s="14"/>
    </row>
    <row r="780" ht="18.75" customHeight="1">
      <c r="A780" s="7" t="s">
        <v>3276</v>
      </c>
      <c r="B780" s="7">
        <v>44.0</v>
      </c>
      <c r="C780" s="7">
        <v>44.0</v>
      </c>
      <c r="D780" s="7">
        <v>18.0</v>
      </c>
      <c r="E780" s="7">
        <v>17.0</v>
      </c>
      <c r="F780" s="14"/>
      <c r="G780" s="15"/>
      <c r="H780" s="15"/>
      <c r="I780" s="14"/>
      <c r="J780" s="14"/>
      <c r="O780" s="14"/>
    </row>
    <row r="781" ht="18.75" customHeight="1">
      <c r="A781" s="7" t="s">
        <v>2758</v>
      </c>
      <c r="B781" s="7">
        <v>4000.0</v>
      </c>
      <c r="C781" s="7">
        <v>4000.0</v>
      </c>
      <c r="D781" s="7">
        <v>946.0</v>
      </c>
      <c r="E781" s="7">
        <v>712.0</v>
      </c>
      <c r="F781" s="14"/>
      <c r="G781" s="15"/>
      <c r="H781" s="15"/>
      <c r="I781" s="14"/>
      <c r="J781" s="14"/>
      <c r="O781" s="14"/>
    </row>
    <row r="782" ht="18.75" customHeight="1">
      <c r="A782" s="7" t="s">
        <v>2758</v>
      </c>
      <c r="B782" s="7">
        <v>38.0</v>
      </c>
      <c r="C782" s="7">
        <v>38.0</v>
      </c>
      <c r="D782" s="7">
        <v>14.0</v>
      </c>
      <c r="E782" s="7">
        <v>14.0</v>
      </c>
      <c r="F782" s="14"/>
      <c r="G782" s="15"/>
      <c r="H782" s="15"/>
      <c r="I782" s="14"/>
      <c r="J782" s="14"/>
      <c r="O782" s="14"/>
    </row>
    <row r="783" ht="18.75" customHeight="1">
      <c r="A783" s="7" t="s">
        <v>2758</v>
      </c>
      <c r="B783" s="7">
        <v>238.0</v>
      </c>
      <c r="C783" s="7">
        <v>238.0</v>
      </c>
      <c r="D783" s="7">
        <v>121.0</v>
      </c>
      <c r="E783" s="7">
        <v>111.0</v>
      </c>
      <c r="F783" s="14"/>
      <c r="G783" s="15"/>
      <c r="H783" s="15"/>
      <c r="I783" s="14"/>
      <c r="J783" s="14"/>
      <c r="O783" s="14"/>
    </row>
    <row r="784" ht="18.75" customHeight="1">
      <c r="A784" s="7" t="s">
        <v>3349</v>
      </c>
      <c r="B784" s="7">
        <v>4000.0</v>
      </c>
      <c r="C784" s="7">
        <v>4000.0</v>
      </c>
      <c r="D784" s="7">
        <v>1019.0</v>
      </c>
      <c r="E784" s="7">
        <v>713.0</v>
      </c>
      <c r="F784" s="14"/>
      <c r="G784" s="15"/>
      <c r="H784" s="15"/>
      <c r="I784" s="14"/>
      <c r="J784" s="14"/>
      <c r="O784" s="14"/>
    </row>
    <row r="785" ht="18.75" customHeight="1">
      <c r="A785" s="7" t="s">
        <v>3349</v>
      </c>
      <c r="B785" s="7">
        <v>65.0</v>
      </c>
      <c r="C785" s="7">
        <v>65.0</v>
      </c>
      <c r="D785" s="7">
        <v>35.0</v>
      </c>
      <c r="E785" s="7">
        <v>34.0</v>
      </c>
      <c r="F785" s="14"/>
      <c r="G785" s="15"/>
      <c r="H785" s="15"/>
      <c r="I785" s="14"/>
      <c r="J785" s="14"/>
      <c r="O785" s="14"/>
    </row>
    <row r="786" ht="18.75" customHeight="1">
      <c r="A786" s="7" t="s">
        <v>3349</v>
      </c>
      <c r="B786" s="7">
        <v>298.0</v>
      </c>
      <c r="C786" s="7">
        <v>298.0</v>
      </c>
      <c r="D786" s="7">
        <v>157.0</v>
      </c>
      <c r="E786" s="7">
        <v>155.0</v>
      </c>
      <c r="F786" s="14"/>
      <c r="G786" s="15"/>
      <c r="H786" s="15"/>
      <c r="I786" s="14"/>
      <c r="J786" s="14"/>
      <c r="O786" s="14"/>
    </row>
    <row r="787" ht="18.75" customHeight="1">
      <c r="A787" s="7" t="s">
        <v>3280</v>
      </c>
      <c r="B787" s="7">
        <v>107.0</v>
      </c>
      <c r="C787" s="7">
        <v>107.0</v>
      </c>
      <c r="D787" s="7">
        <v>31.0</v>
      </c>
      <c r="E787" s="7">
        <v>31.0</v>
      </c>
      <c r="F787" s="14"/>
      <c r="G787" s="15"/>
      <c r="H787" s="15"/>
      <c r="I787" s="14"/>
      <c r="J787" s="14"/>
      <c r="O787" s="14"/>
    </row>
    <row r="788" ht="18.75" customHeight="1">
      <c r="A788" s="7" t="s">
        <v>3281</v>
      </c>
      <c r="B788" s="7">
        <v>68.0</v>
      </c>
      <c r="C788" s="7">
        <v>68.0</v>
      </c>
      <c r="D788" s="7">
        <v>16.0</v>
      </c>
      <c r="E788" s="7">
        <v>15.0</v>
      </c>
      <c r="F788" s="14"/>
      <c r="G788" s="15"/>
      <c r="H788" s="15"/>
      <c r="I788" s="14"/>
      <c r="J788" s="14"/>
      <c r="O788" s="14"/>
    </row>
    <row r="789" ht="18.75" customHeight="1">
      <c r="A789" s="7" t="s">
        <v>3461</v>
      </c>
      <c r="B789" s="7">
        <v>33.0</v>
      </c>
      <c r="C789" s="7">
        <v>33.0</v>
      </c>
      <c r="D789" s="7">
        <v>12.0</v>
      </c>
      <c r="E789" s="7">
        <v>12.0</v>
      </c>
      <c r="F789" s="14"/>
      <c r="G789" s="15"/>
      <c r="H789" s="15"/>
      <c r="I789" s="14"/>
      <c r="J789" s="14"/>
      <c r="O789" s="14"/>
    </row>
    <row r="790" ht="18.75" customHeight="1">
      <c r="A790" s="7" t="s">
        <v>3480</v>
      </c>
      <c r="B790" s="7">
        <v>59.0</v>
      </c>
      <c r="C790" s="7">
        <v>59.0</v>
      </c>
      <c r="D790" s="7">
        <v>16.0</v>
      </c>
      <c r="E790" s="7">
        <v>16.0</v>
      </c>
      <c r="F790" s="14"/>
      <c r="G790" s="15"/>
      <c r="H790" s="15"/>
      <c r="I790" s="14"/>
      <c r="J790" s="14"/>
      <c r="O790" s="14"/>
    </row>
    <row r="791" ht="18.75" customHeight="1">
      <c r="A791" s="7" t="s">
        <v>3352</v>
      </c>
      <c r="B791" s="7">
        <v>147.0</v>
      </c>
      <c r="C791" s="7">
        <v>147.0</v>
      </c>
      <c r="D791" s="7">
        <v>46.0</v>
      </c>
      <c r="E791" s="7">
        <v>45.0</v>
      </c>
      <c r="F791" s="14"/>
      <c r="G791" s="15"/>
      <c r="H791" s="15"/>
      <c r="I791" s="14"/>
      <c r="J791" s="14"/>
      <c r="O791" s="14"/>
    </row>
    <row r="792" ht="18.75" customHeight="1">
      <c r="A792" s="7" t="s">
        <v>3279</v>
      </c>
      <c r="B792" s="7">
        <v>192.0</v>
      </c>
      <c r="C792" s="7">
        <v>192.0</v>
      </c>
      <c r="D792" s="7">
        <v>53.0</v>
      </c>
      <c r="E792" s="7">
        <v>50.0</v>
      </c>
      <c r="F792" s="14"/>
      <c r="G792" s="15"/>
      <c r="H792" s="15"/>
      <c r="I792" s="14"/>
      <c r="J792" s="14"/>
      <c r="O792" s="14"/>
    </row>
    <row r="793" ht="18.75" customHeight="1">
      <c r="A793" s="7" t="s">
        <v>3283</v>
      </c>
      <c r="B793" s="7">
        <v>60.0</v>
      </c>
      <c r="C793" s="7">
        <v>59.0</v>
      </c>
      <c r="D793" s="7">
        <v>19.0</v>
      </c>
      <c r="E793" s="7">
        <v>19.0</v>
      </c>
      <c r="F793" s="14"/>
      <c r="G793" s="15"/>
      <c r="H793" s="15"/>
      <c r="I793" s="14"/>
      <c r="J793" s="14"/>
      <c r="O793" s="14"/>
    </row>
    <row r="794" ht="18.75" customHeight="1">
      <c r="A794" s="7" t="s">
        <v>3282</v>
      </c>
      <c r="B794" s="7">
        <v>137.0</v>
      </c>
      <c r="C794" s="7">
        <v>137.0</v>
      </c>
      <c r="D794" s="7">
        <v>44.0</v>
      </c>
      <c r="E794" s="7">
        <v>41.0</v>
      </c>
      <c r="F794" s="14"/>
      <c r="G794" s="15"/>
      <c r="H794" s="15"/>
      <c r="I794" s="14"/>
      <c r="J794" s="14"/>
      <c r="O794" s="14"/>
    </row>
    <row r="795" ht="18.75" customHeight="1">
      <c r="A795" s="7" t="s">
        <v>3274</v>
      </c>
      <c r="B795" s="7">
        <v>94.0</v>
      </c>
      <c r="C795" s="7">
        <v>94.0</v>
      </c>
      <c r="D795" s="7">
        <v>39.0</v>
      </c>
      <c r="E795" s="7">
        <v>38.0</v>
      </c>
      <c r="F795" s="14"/>
      <c r="G795" s="15"/>
      <c r="I795" s="14"/>
      <c r="J795" s="14"/>
      <c r="O795" s="14"/>
    </row>
    <row r="796" ht="18.75" customHeight="1">
      <c r="A796" s="7" t="s">
        <v>3189</v>
      </c>
      <c r="B796" s="7">
        <v>4000.0</v>
      </c>
      <c r="C796" s="7">
        <v>4000.0</v>
      </c>
      <c r="D796" s="7">
        <v>754.0</v>
      </c>
      <c r="E796" s="7">
        <v>544.0</v>
      </c>
      <c r="F796" s="14"/>
      <c r="G796" s="15"/>
      <c r="H796" s="15"/>
      <c r="I796" s="14"/>
      <c r="J796" s="14"/>
      <c r="O796" s="14"/>
    </row>
    <row r="797" ht="18.75" customHeight="1">
      <c r="A797" s="7" t="s">
        <v>3189</v>
      </c>
      <c r="B797" s="7">
        <v>0.0</v>
      </c>
      <c r="C797" s="7">
        <v>0.0</v>
      </c>
      <c r="D797" s="7">
        <v>0.0</v>
      </c>
      <c r="E797" s="7">
        <v>0.0</v>
      </c>
      <c r="F797" s="14"/>
      <c r="G797" s="15"/>
      <c r="H797" s="15"/>
      <c r="I797" s="14"/>
      <c r="J797" s="14"/>
      <c r="O797" s="14"/>
    </row>
    <row r="798" ht="18.75" customHeight="1">
      <c r="A798" s="7" t="s">
        <v>3189</v>
      </c>
      <c r="B798" s="7">
        <v>175.0</v>
      </c>
      <c r="C798" s="7">
        <v>175.0</v>
      </c>
      <c r="D798" s="7">
        <v>91.0</v>
      </c>
      <c r="E798" s="7">
        <v>89.0</v>
      </c>
      <c r="F798" s="14"/>
      <c r="G798" s="15"/>
      <c r="H798" s="15"/>
      <c r="I798" s="14"/>
      <c r="J798" s="14"/>
      <c r="O798" s="14"/>
    </row>
    <row r="799" ht="18.75" customHeight="1">
      <c r="A799" s="7" t="s">
        <v>3285</v>
      </c>
      <c r="B799" s="7">
        <v>56.0</v>
      </c>
      <c r="C799" s="7">
        <v>56.0</v>
      </c>
      <c r="D799" s="7">
        <v>17.0</v>
      </c>
      <c r="E799" s="7">
        <v>16.0</v>
      </c>
      <c r="F799" s="14"/>
      <c r="G799" s="15"/>
      <c r="I799" s="14"/>
      <c r="J799" s="14"/>
      <c r="O799" s="14"/>
    </row>
    <row r="800" ht="18.75" customHeight="1">
      <c r="A800" s="7" t="s">
        <v>2977</v>
      </c>
      <c r="B800" s="7">
        <v>160.0</v>
      </c>
      <c r="C800" s="7">
        <v>159.0</v>
      </c>
      <c r="D800" s="7">
        <v>48.0</v>
      </c>
      <c r="E800" s="7">
        <v>47.0</v>
      </c>
      <c r="F800" s="14"/>
      <c r="G800" s="15"/>
      <c r="I800" s="14"/>
      <c r="J800" s="14"/>
      <c r="O800" s="14"/>
    </row>
    <row r="801" ht="18.75" customHeight="1">
      <c r="A801" s="7" t="s">
        <v>3286</v>
      </c>
      <c r="B801" s="7">
        <v>4000.0</v>
      </c>
      <c r="C801" s="7">
        <v>4000.0</v>
      </c>
      <c r="D801" s="7">
        <v>973.0</v>
      </c>
      <c r="E801" s="7">
        <v>730.0</v>
      </c>
      <c r="F801" s="14"/>
      <c r="G801" s="15"/>
      <c r="H801" s="15"/>
      <c r="I801" s="14"/>
      <c r="J801" s="14"/>
      <c r="O801" s="14"/>
    </row>
    <row r="802" ht="18.75" customHeight="1">
      <c r="A802" s="7" t="s">
        <v>3286</v>
      </c>
      <c r="B802" s="7">
        <v>22.0</v>
      </c>
      <c r="C802" s="7">
        <v>8.0</v>
      </c>
      <c r="D802" s="7">
        <v>4.0</v>
      </c>
      <c r="E802" s="7">
        <v>3.0</v>
      </c>
      <c r="F802" s="14"/>
      <c r="G802" s="15"/>
      <c r="H802" s="15"/>
      <c r="I802" s="14"/>
      <c r="J802" s="14"/>
      <c r="O802" s="14"/>
    </row>
    <row r="803" ht="18.75" customHeight="1">
      <c r="A803" s="7" t="s">
        <v>3286</v>
      </c>
      <c r="B803" s="7">
        <v>162.0</v>
      </c>
      <c r="C803" s="7">
        <v>160.0</v>
      </c>
      <c r="D803" s="7">
        <v>51.0</v>
      </c>
      <c r="E803" s="7">
        <v>49.0</v>
      </c>
      <c r="F803" s="14"/>
      <c r="G803" s="15"/>
      <c r="H803" s="15"/>
      <c r="I803" s="14"/>
      <c r="J803" s="14"/>
      <c r="O803" s="14"/>
    </row>
    <row r="804" ht="18.75" customHeight="1">
      <c r="A804" s="7" t="s">
        <v>3287</v>
      </c>
      <c r="B804" s="7">
        <v>24.0</v>
      </c>
      <c r="C804" s="7">
        <v>24.0</v>
      </c>
      <c r="D804" s="7">
        <v>7.0</v>
      </c>
      <c r="E804" s="7">
        <v>7.0</v>
      </c>
      <c r="F804" s="14"/>
      <c r="G804" s="15"/>
      <c r="H804" s="15"/>
      <c r="I804" s="14"/>
      <c r="J804" s="14"/>
      <c r="O804" s="14"/>
    </row>
    <row r="805" ht="18.75" customHeight="1">
      <c r="A805" s="7" t="s">
        <v>3862</v>
      </c>
      <c r="B805" s="7">
        <v>0.0</v>
      </c>
      <c r="C805" s="7">
        <v>0.0</v>
      </c>
      <c r="D805" s="7">
        <v>0.0</v>
      </c>
      <c r="E805" s="7">
        <v>0.0</v>
      </c>
      <c r="F805" s="14"/>
      <c r="G805" s="15"/>
      <c r="I805" s="14"/>
      <c r="J805" s="14"/>
      <c r="O805" s="14"/>
    </row>
    <row r="806" ht="18.75" customHeight="1">
      <c r="A806" s="7" t="s">
        <v>3284</v>
      </c>
      <c r="B806" s="7">
        <v>170.0</v>
      </c>
      <c r="C806" s="7">
        <v>170.0</v>
      </c>
      <c r="D806" s="7">
        <v>52.0</v>
      </c>
      <c r="E806" s="7">
        <v>50.0</v>
      </c>
      <c r="F806" s="14"/>
      <c r="G806" s="15"/>
      <c r="I806" s="14"/>
      <c r="J806" s="14"/>
      <c r="O806" s="14"/>
    </row>
    <row r="807" ht="18.75" customHeight="1">
      <c r="A807" s="7" t="s">
        <v>3447</v>
      </c>
      <c r="B807" s="7">
        <v>4000.0</v>
      </c>
      <c r="C807" s="7">
        <v>4000.0</v>
      </c>
      <c r="D807" s="7">
        <v>1009.0</v>
      </c>
      <c r="E807" s="7">
        <v>744.0</v>
      </c>
      <c r="F807" s="14"/>
      <c r="G807" s="15"/>
      <c r="H807" s="15"/>
      <c r="I807" s="14"/>
      <c r="J807" s="14"/>
      <c r="O807" s="14"/>
    </row>
    <row r="808" ht="18.75" customHeight="1">
      <c r="A808" s="7" t="s">
        <v>3447</v>
      </c>
      <c r="B808" s="7">
        <v>20.0</v>
      </c>
      <c r="C808" s="7">
        <v>20.0</v>
      </c>
      <c r="D808" s="7">
        <v>16.0</v>
      </c>
      <c r="E808" s="7">
        <v>13.0</v>
      </c>
      <c r="F808" s="14"/>
      <c r="G808" s="15"/>
      <c r="H808" s="15"/>
      <c r="I808" s="14"/>
      <c r="J808" s="14"/>
      <c r="O808" s="14"/>
    </row>
    <row r="809" ht="18.75" customHeight="1">
      <c r="A809" s="7" t="s">
        <v>3447</v>
      </c>
      <c r="B809" s="7">
        <v>92.0</v>
      </c>
      <c r="C809" s="7">
        <v>91.0</v>
      </c>
      <c r="D809" s="7">
        <v>54.0</v>
      </c>
      <c r="E809" s="7">
        <v>53.0</v>
      </c>
      <c r="F809" s="14"/>
      <c r="G809" s="15"/>
      <c r="H809" s="15"/>
      <c r="I809" s="14"/>
      <c r="J809" s="14"/>
      <c r="O809" s="14"/>
    </row>
    <row r="810" ht="18.75" customHeight="1">
      <c r="A810" s="7" t="s">
        <v>3524</v>
      </c>
      <c r="B810" s="7">
        <v>22.0</v>
      </c>
      <c r="C810" s="7">
        <v>22.0</v>
      </c>
      <c r="D810" s="7">
        <v>10.0</v>
      </c>
      <c r="E810" s="7">
        <v>9.0</v>
      </c>
      <c r="F810" s="14"/>
      <c r="G810" s="15"/>
      <c r="H810" s="15"/>
      <c r="I810" s="14"/>
      <c r="J810" s="14"/>
      <c r="O810" s="14"/>
    </row>
    <row r="811" ht="18.75" customHeight="1">
      <c r="A811" s="7" t="s">
        <v>3527</v>
      </c>
      <c r="B811" s="7">
        <v>139.0</v>
      </c>
      <c r="C811" s="7">
        <v>139.0</v>
      </c>
      <c r="D811" s="7">
        <v>46.0</v>
      </c>
      <c r="E811" s="7">
        <v>44.0</v>
      </c>
      <c r="F811" s="14"/>
      <c r="G811" s="15"/>
      <c r="H811" s="15"/>
      <c r="I811" s="14"/>
      <c r="J811" s="14"/>
      <c r="O811" s="14"/>
    </row>
    <row r="812" ht="18.75" customHeight="1">
      <c r="A812" s="7" t="s">
        <v>3533</v>
      </c>
      <c r="B812" s="7">
        <v>68.0</v>
      </c>
      <c r="C812" s="7">
        <v>68.0</v>
      </c>
      <c r="D812" s="7">
        <v>24.0</v>
      </c>
      <c r="E812" s="7">
        <v>24.0</v>
      </c>
      <c r="F812" s="14"/>
      <c r="G812" s="15"/>
      <c r="H812" s="15"/>
      <c r="I812" s="14"/>
      <c r="J812" s="14"/>
      <c r="O812" s="14"/>
    </row>
    <row r="813" ht="18.75" customHeight="1">
      <c r="A813" s="7" t="s">
        <v>3531</v>
      </c>
      <c r="B813" s="7">
        <v>115.0</v>
      </c>
      <c r="C813" s="7">
        <v>115.0</v>
      </c>
      <c r="D813" s="7">
        <v>47.0</v>
      </c>
      <c r="E813" s="7">
        <v>44.0</v>
      </c>
      <c r="F813" s="14"/>
      <c r="G813" s="15"/>
      <c r="H813" s="15"/>
      <c r="I813" s="14"/>
      <c r="J813" s="14"/>
      <c r="O813" s="14"/>
    </row>
    <row r="814" ht="18.75" customHeight="1">
      <c r="A814" s="7" t="s">
        <v>3532</v>
      </c>
      <c r="B814" s="7">
        <v>59.0</v>
      </c>
      <c r="C814" s="7">
        <v>59.0</v>
      </c>
      <c r="D814" s="7">
        <v>21.0</v>
      </c>
      <c r="E814" s="7">
        <v>21.0</v>
      </c>
      <c r="F814" s="14"/>
      <c r="G814" s="15"/>
      <c r="H814" s="15"/>
      <c r="I814" s="14"/>
      <c r="J814" s="14"/>
      <c r="O814" s="14"/>
    </row>
    <row r="815" ht="18.75" customHeight="1">
      <c r="A815" s="7" t="s">
        <v>3536</v>
      </c>
      <c r="B815" s="7">
        <v>261.0</v>
      </c>
      <c r="C815" s="7">
        <v>261.0</v>
      </c>
      <c r="D815" s="7">
        <v>86.0</v>
      </c>
      <c r="E815" s="7">
        <v>79.0</v>
      </c>
      <c r="F815" s="14"/>
      <c r="G815" s="15"/>
      <c r="H815" s="15"/>
      <c r="I815" s="14"/>
      <c r="J815" s="14"/>
      <c r="O815" s="14"/>
    </row>
    <row r="816" ht="18.75" customHeight="1">
      <c r="A816" s="7" t="s">
        <v>3546</v>
      </c>
      <c r="B816" s="7">
        <v>54.0</v>
      </c>
      <c r="C816" s="7">
        <v>54.0</v>
      </c>
      <c r="D816" s="7">
        <v>9.0</v>
      </c>
      <c r="E816" s="7">
        <v>8.0</v>
      </c>
      <c r="F816" s="14"/>
      <c r="G816" s="15"/>
      <c r="H816" s="15"/>
      <c r="I816" s="14"/>
      <c r="J816" s="14"/>
      <c r="O816" s="14"/>
    </row>
    <row r="817" ht="18.75" customHeight="1">
      <c r="A817" s="7" t="s">
        <v>3538</v>
      </c>
      <c r="B817" s="7">
        <v>275.0</v>
      </c>
      <c r="C817" s="7">
        <v>275.0</v>
      </c>
      <c r="D817" s="7">
        <v>110.0</v>
      </c>
      <c r="E817" s="7">
        <v>105.0</v>
      </c>
      <c r="F817" s="14"/>
      <c r="G817" s="15"/>
      <c r="H817" s="15"/>
      <c r="I817" s="14"/>
      <c r="J817" s="14"/>
      <c r="O817" s="14"/>
    </row>
    <row r="818" ht="18.75" customHeight="1">
      <c r="A818" s="7" t="s">
        <v>3543</v>
      </c>
      <c r="B818" s="7">
        <v>141.0</v>
      </c>
      <c r="C818" s="7">
        <v>141.0</v>
      </c>
      <c r="D818" s="7">
        <v>40.0</v>
      </c>
      <c r="E818" s="7">
        <v>40.0</v>
      </c>
      <c r="F818" s="14"/>
      <c r="G818" s="15"/>
      <c r="H818" s="15"/>
      <c r="I818" s="14"/>
      <c r="J818" s="14"/>
      <c r="O818" s="14"/>
    </row>
    <row r="819" ht="18.75" customHeight="1">
      <c r="A819" s="7" t="s">
        <v>3555</v>
      </c>
      <c r="B819" s="7">
        <v>71.0</v>
      </c>
      <c r="C819" s="7">
        <v>71.0</v>
      </c>
      <c r="D819" s="7">
        <v>28.0</v>
      </c>
      <c r="E819" s="7">
        <v>28.0</v>
      </c>
      <c r="F819" s="14"/>
      <c r="G819" s="15"/>
      <c r="H819" s="15"/>
      <c r="I819" s="14"/>
      <c r="J819" s="14"/>
      <c r="O819" s="14"/>
    </row>
    <row r="820" ht="18.75" customHeight="1">
      <c r="A820" s="7" t="s">
        <v>3545</v>
      </c>
      <c r="B820" s="7">
        <v>109.0</v>
      </c>
      <c r="C820" s="7">
        <v>109.0</v>
      </c>
      <c r="D820" s="7">
        <v>40.0</v>
      </c>
      <c r="E820" s="7">
        <v>39.0</v>
      </c>
      <c r="F820" s="14"/>
      <c r="G820" s="15"/>
      <c r="H820" s="15"/>
      <c r="I820" s="14"/>
      <c r="J820" s="14"/>
      <c r="O820" s="14"/>
    </row>
    <row r="821" ht="18.75" customHeight="1">
      <c r="A821" s="7" t="s">
        <v>3556</v>
      </c>
      <c r="B821" s="7">
        <v>123.0</v>
      </c>
      <c r="C821" s="7">
        <v>123.0</v>
      </c>
      <c r="D821" s="7">
        <v>42.0</v>
      </c>
      <c r="E821" s="7">
        <v>40.0</v>
      </c>
      <c r="F821" s="14"/>
      <c r="G821" s="15"/>
      <c r="H821" s="15"/>
      <c r="I821" s="14"/>
      <c r="J821" s="14"/>
      <c r="O821" s="14"/>
    </row>
    <row r="822" ht="18.75" customHeight="1">
      <c r="A822" s="7" t="s">
        <v>3536</v>
      </c>
      <c r="B822" s="7">
        <v>5300.0</v>
      </c>
      <c r="C822" s="7">
        <v>4921.0</v>
      </c>
      <c r="D822" s="7">
        <v>1121.0</v>
      </c>
      <c r="E822" s="7">
        <v>855.0</v>
      </c>
      <c r="F822" s="14"/>
      <c r="G822" s="15"/>
      <c r="H822" s="15"/>
      <c r="I822" s="14"/>
      <c r="J822" s="14"/>
      <c r="O822" s="14"/>
    </row>
    <row r="823" ht="18.75" customHeight="1">
      <c r="A823" s="7" t="s">
        <v>3527</v>
      </c>
      <c r="B823" s="7">
        <v>126.0</v>
      </c>
      <c r="C823" s="7">
        <v>126.0</v>
      </c>
      <c r="D823" s="7">
        <v>36.0</v>
      </c>
      <c r="E823" s="7">
        <v>36.0</v>
      </c>
      <c r="F823" s="14"/>
      <c r="G823" s="15"/>
      <c r="H823" s="15"/>
      <c r="I823" s="14"/>
      <c r="J823" s="14"/>
      <c r="O823" s="14"/>
    </row>
    <row r="824" ht="18.75" customHeight="1">
      <c r="A824" s="7" t="s">
        <v>3556</v>
      </c>
      <c r="B824" s="7">
        <v>5980.0</v>
      </c>
      <c r="C824" s="7">
        <v>5980.0</v>
      </c>
      <c r="D824" s="7">
        <v>1439.0</v>
      </c>
      <c r="E824" s="7">
        <v>1092.0</v>
      </c>
      <c r="F824" s="14"/>
      <c r="G824" s="15"/>
      <c r="H824" s="15"/>
      <c r="I824" s="14"/>
      <c r="J824" s="14"/>
      <c r="O824" s="14"/>
    </row>
    <row r="825" ht="18.75" customHeight="1">
      <c r="A825" s="7" t="s">
        <v>3559</v>
      </c>
      <c r="B825" s="7">
        <v>6300.0</v>
      </c>
      <c r="C825" s="7">
        <v>6300.0</v>
      </c>
      <c r="D825" s="7">
        <v>1470.0</v>
      </c>
      <c r="E825" s="7">
        <v>1164.0</v>
      </c>
      <c r="F825" s="14"/>
      <c r="G825" s="15"/>
      <c r="H825" s="15"/>
      <c r="I825" s="14"/>
      <c r="J825" s="14"/>
      <c r="O825" s="14"/>
    </row>
    <row r="826" ht="18.75" customHeight="1">
      <c r="A826" s="7" t="s">
        <v>3559</v>
      </c>
      <c r="B826" s="7">
        <v>54.0</v>
      </c>
      <c r="C826" s="7">
        <v>54.0</v>
      </c>
      <c r="D826" s="7">
        <v>34.0</v>
      </c>
      <c r="E826" s="7">
        <v>32.0</v>
      </c>
      <c r="F826" s="14"/>
      <c r="G826" s="15"/>
      <c r="H826" s="15"/>
      <c r="I826" s="14"/>
      <c r="J826" s="14"/>
      <c r="O826" s="14"/>
    </row>
    <row r="827" ht="18.75" customHeight="1">
      <c r="A827" s="7" t="s">
        <v>3559</v>
      </c>
      <c r="B827" s="7">
        <v>251.0</v>
      </c>
      <c r="C827" s="7">
        <v>250.0</v>
      </c>
      <c r="D827" s="7">
        <v>127.0</v>
      </c>
      <c r="E827" s="7">
        <v>118.0</v>
      </c>
      <c r="F827" s="14"/>
      <c r="G827" s="15"/>
      <c r="H827" s="15"/>
      <c r="I827" s="14"/>
      <c r="J827" s="14"/>
      <c r="O827" s="14"/>
    </row>
    <row r="828" ht="18.75" customHeight="1">
      <c r="A828" s="7" t="s">
        <v>3561</v>
      </c>
      <c r="B828" s="7">
        <v>96.0</v>
      </c>
      <c r="C828" s="7">
        <v>96.0</v>
      </c>
      <c r="D828" s="7">
        <v>29.0</v>
      </c>
      <c r="E828" s="7">
        <v>28.0</v>
      </c>
      <c r="F828" s="14"/>
      <c r="G828" s="15"/>
      <c r="H828" s="15"/>
      <c r="I828" s="14"/>
      <c r="J828" s="14"/>
      <c r="O828" s="14"/>
    </row>
    <row r="829" ht="18.75" customHeight="1">
      <c r="A829" s="7" t="s">
        <v>3560</v>
      </c>
      <c r="B829" s="7">
        <v>64.0</v>
      </c>
      <c r="C829" s="7">
        <v>64.0</v>
      </c>
      <c r="D829" s="7">
        <v>28.0</v>
      </c>
      <c r="E829" s="7">
        <v>27.0</v>
      </c>
      <c r="F829" s="14"/>
      <c r="G829" s="15"/>
      <c r="H829" s="15"/>
      <c r="I829" s="14"/>
      <c r="J829" s="14"/>
      <c r="O829" s="14"/>
    </row>
    <row r="830" ht="18.75" customHeight="1">
      <c r="A830" s="7" t="s">
        <v>3562</v>
      </c>
      <c r="B830" s="7">
        <v>20.0</v>
      </c>
      <c r="C830" s="7">
        <v>20.0</v>
      </c>
      <c r="D830" s="7">
        <v>7.0</v>
      </c>
      <c r="E830" s="7">
        <v>7.0</v>
      </c>
      <c r="F830" s="14"/>
      <c r="G830" s="15"/>
      <c r="H830" s="15"/>
      <c r="I830" s="14"/>
      <c r="J830" s="14"/>
      <c r="O830" s="14"/>
    </row>
    <row r="831" ht="18.75" customHeight="1">
      <c r="A831" s="7" t="s">
        <v>3569</v>
      </c>
      <c r="B831" s="7">
        <v>5300.0</v>
      </c>
      <c r="C831" s="7">
        <v>5298.0</v>
      </c>
      <c r="D831" s="7">
        <v>1293.0</v>
      </c>
      <c r="E831" s="7">
        <v>1002.0</v>
      </c>
      <c r="F831" s="14"/>
      <c r="G831" s="15"/>
      <c r="H831" s="15"/>
      <c r="I831" s="14"/>
      <c r="J831" s="14"/>
      <c r="O831" s="14"/>
    </row>
    <row r="832" ht="18.75" customHeight="1">
      <c r="A832" s="7" t="s">
        <v>3569</v>
      </c>
      <c r="B832" s="7">
        <v>22.0</v>
      </c>
      <c r="C832" s="7">
        <v>22.0</v>
      </c>
      <c r="D832" s="7">
        <v>13.0</v>
      </c>
      <c r="E832" s="7">
        <v>12.0</v>
      </c>
      <c r="F832" s="14"/>
      <c r="G832" s="15"/>
      <c r="H832" s="15"/>
      <c r="I832" s="14"/>
      <c r="J832" s="14"/>
      <c r="O832" s="14"/>
    </row>
    <row r="833" ht="18.75" customHeight="1">
      <c r="A833" s="7" t="s">
        <v>3569</v>
      </c>
      <c r="B833" s="7">
        <v>144.0</v>
      </c>
      <c r="C833" s="7">
        <v>144.0</v>
      </c>
      <c r="D833" s="7">
        <v>66.0</v>
      </c>
      <c r="E833" s="7">
        <v>64.0</v>
      </c>
      <c r="F833" s="14"/>
      <c r="G833" s="15"/>
      <c r="H833" s="15"/>
      <c r="I833" s="14"/>
      <c r="J833" s="14"/>
      <c r="O833" s="14"/>
    </row>
    <row r="834" ht="18.75" customHeight="1">
      <c r="A834" s="7" t="s">
        <v>3570</v>
      </c>
      <c r="B834" s="7">
        <v>370.0</v>
      </c>
      <c r="C834" s="7">
        <v>370.0</v>
      </c>
      <c r="D834" s="7">
        <v>144.0</v>
      </c>
      <c r="E834" s="7">
        <v>137.0</v>
      </c>
      <c r="F834" s="14"/>
      <c r="G834" s="15"/>
      <c r="H834" s="15"/>
      <c r="I834" s="14"/>
      <c r="J834" s="14"/>
      <c r="O834" s="14"/>
    </row>
    <row r="835" ht="18.75" customHeight="1">
      <c r="A835" s="7" t="s">
        <v>3574</v>
      </c>
      <c r="B835" s="7">
        <v>149.0</v>
      </c>
      <c r="C835" s="7">
        <v>149.0</v>
      </c>
      <c r="D835" s="7">
        <v>55.0</v>
      </c>
      <c r="E835" s="7">
        <v>55.0</v>
      </c>
      <c r="F835" s="14"/>
      <c r="G835" s="15"/>
      <c r="H835" s="15"/>
      <c r="I835" s="14"/>
      <c r="J835" s="14"/>
      <c r="O835" s="14"/>
    </row>
    <row r="836" ht="18.75" customHeight="1">
      <c r="A836" s="7" t="s">
        <v>3575</v>
      </c>
      <c r="B836" s="7">
        <v>178.0</v>
      </c>
      <c r="C836" s="7">
        <v>178.0</v>
      </c>
      <c r="D836" s="7">
        <v>47.0</v>
      </c>
      <c r="E836" s="7">
        <v>43.0</v>
      </c>
      <c r="F836" s="14"/>
      <c r="G836" s="15"/>
      <c r="H836" s="15"/>
      <c r="I836" s="14"/>
      <c r="J836" s="14"/>
      <c r="O836" s="14"/>
    </row>
    <row r="837" ht="18.75" customHeight="1">
      <c r="A837" s="7" t="s">
        <v>3576</v>
      </c>
      <c r="B837" s="7">
        <v>5800.0</v>
      </c>
      <c r="C837" s="7">
        <v>5646.0</v>
      </c>
      <c r="D837" s="7">
        <v>1484.0</v>
      </c>
      <c r="E837" s="7">
        <v>1133.0</v>
      </c>
      <c r="F837" s="14"/>
      <c r="G837" s="15"/>
      <c r="H837" s="15"/>
      <c r="I837" s="14"/>
      <c r="J837" s="14"/>
      <c r="O837" s="14"/>
    </row>
    <row r="838" ht="18.75" customHeight="1">
      <c r="A838" s="7" t="s">
        <v>3576</v>
      </c>
      <c r="B838" s="7">
        <v>163.0</v>
      </c>
      <c r="C838" s="7">
        <v>163.0</v>
      </c>
      <c r="D838" s="7">
        <v>69.0</v>
      </c>
      <c r="E838" s="7">
        <v>61.0</v>
      </c>
      <c r="F838" s="14"/>
      <c r="G838" s="15"/>
      <c r="H838" s="15"/>
      <c r="I838" s="14"/>
      <c r="J838" s="14"/>
      <c r="O838" s="14"/>
    </row>
    <row r="839" ht="18.75" customHeight="1">
      <c r="A839" s="7" t="s">
        <v>3576</v>
      </c>
      <c r="B839" s="7">
        <v>443.0</v>
      </c>
      <c r="C839" s="7">
        <v>442.0</v>
      </c>
      <c r="D839" s="7">
        <v>136.0</v>
      </c>
      <c r="E839" s="7">
        <v>131.0</v>
      </c>
      <c r="F839" s="14"/>
      <c r="G839" s="15"/>
      <c r="H839" s="15"/>
      <c r="I839" s="14"/>
      <c r="J839" s="14"/>
      <c r="O839" s="14"/>
    </row>
    <row r="840" ht="18.75" customHeight="1">
      <c r="A840" s="7" t="s">
        <v>3578</v>
      </c>
      <c r="B840" s="7">
        <v>100.0</v>
      </c>
      <c r="C840" s="7">
        <v>100.0</v>
      </c>
      <c r="D840" s="7">
        <v>38.0</v>
      </c>
      <c r="E840" s="7">
        <v>37.0</v>
      </c>
      <c r="F840" s="14"/>
      <c r="G840" s="15"/>
      <c r="H840" s="15"/>
      <c r="I840" s="14"/>
      <c r="J840" s="14"/>
      <c r="O840" s="14"/>
    </row>
    <row r="841" ht="18.75" customHeight="1">
      <c r="A841" s="7" t="s">
        <v>3584</v>
      </c>
      <c r="B841" s="7">
        <v>109.0</v>
      </c>
      <c r="C841" s="7">
        <v>109.0</v>
      </c>
      <c r="D841" s="7">
        <v>31.0</v>
      </c>
      <c r="E841" s="7">
        <v>31.0</v>
      </c>
      <c r="F841" s="14"/>
      <c r="G841" s="15"/>
      <c r="H841" s="15"/>
      <c r="I841" s="14"/>
      <c r="J841" s="14"/>
      <c r="O841" s="14"/>
    </row>
    <row r="842" ht="18.75" customHeight="1">
      <c r="A842" s="7" t="s">
        <v>3583</v>
      </c>
      <c r="B842" s="7">
        <v>139.0</v>
      </c>
      <c r="C842" s="7">
        <v>139.0</v>
      </c>
      <c r="D842" s="7">
        <v>48.0</v>
      </c>
      <c r="E842" s="7">
        <v>46.0</v>
      </c>
      <c r="F842" s="14"/>
      <c r="G842" s="15"/>
      <c r="H842" s="15"/>
      <c r="I842" s="14"/>
      <c r="J842" s="14"/>
      <c r="O842" s="14"/>
    </row>
    <row r="843" ht="18.75" customHeight="1">
      <c r="A843" s="7" t="s">
        <v>3577</v>
      </c>
      <c r="B843" s="7">
        <v>127.0</v>
      </c>
      <c r="C843" s="7">
        <v>127.0</v>
      </c>
      <c r="D843" s="7">
        <v>47.0</v>
      </c>
      <c r="E843" s="7">
        <v>44.0</v>
      </c>
      <c r="F843" s="14"/>
      <c r="G843" s="15"/>
      <c r="H843" s="15"/>
      <c r="I843" s="14"/>
      <c r="J843" s="14"/>
      <c r="O843" s="14"/>
    </row>
    <row r="844" ht="18.75" customHeight="1">
      <c r="A844" s="7" t="s">
        <v>3590</v>
      </c>
      <c r="B844" s="7">
        <v>0.0</v>
      </c>
      <c r="C844" s="7">
        <v>0.0</v>
      </c>
      <c r="D844" s="7">
        <v>0.0</v>
      </c>
      <c r="E844" s="7">
        <v>0.0</v>
      </c>
      <c r="F844" s="14"/>
      <c r="G844" s="15"/>
      <c r="H844" s="15"/>
      <c r="I844" s="14"/>
      <c r="J844" s="14"/>
      <c r="O844" s="14"/>
    </row>
    <row r="845" ht="18.75" customHeight="1">
      <c r="A845" s="7" t="s">
        <v>3590</v>
      </c>
      <c r="B845" s="7">
        <v>4000.0</v>
      </c>
      <c r="C845" s="7">
        <v>2179.0</v>
      </c>
      <c r="D845" s="7">
        <v>524.0</v>
      </c>
      <c r="E845" s="7">
        <v>395.0</v>
      </c>
      <c r="F845" s="14"/>
      <c r="G845" s="15"/>
      <c r="H845" s="15"/>
      <c r="I845" s="14"/>
      <c r="J845" s="14"/>
      <c r="O845" s="14"/>
    </row>
    <row r="846" ht="18.75" customHeight="1">
      <c r="A846" s="7" t="s">
        <v>3601</v>
      </c>
      <c r="B846" s="7">
        <v>8599.0</v>
      </c>
      <c r="C846" s="7">
        <v>8595.0</v>
      </c>
      <c r="D846" s="7">
        <v>2158.0</v>
      </c>
      <c r="E846" s="7">
        <v>1687.0</v>
      </c>
      <c r="F846" s="14"/>
      <c r="G846" s="15"/>
      <c r="H846" s="15"/>
      <c r="I846" s="14"/>
      <c r="J846" s="14"/>
      <c r="O846" s="14"/>
    </row>
    <row r="847" ht="18.75" customHeight="1">
      <c r="A847" s="7" t="s">
        <v>3601</v>
      </c>
      <c r="B847" s="7">
        <v>14.0</v>
      </c>
      <c r="C847" s="7">
        <v>14.0</v>
      </c>
      <c r="D847" s="7">
        <v>11.0</v>
      </c>
      <c r="E847" s="7">
        <v>10.0</v>
      </c>
      <c r="F847" s="14"/>
      <c r="G847" s="15"/>
      <c r="H847" s="15"/>
      <c r="I847" s="14"/>
      <c r="J847" s="14"/>
      <c r="O847" s="14"/>
    </row>
    <row r="848" ht="18.75" customHeight="1">
      <c r="A848" s="7" t="s">
        <v>3601</v>
      </c>
      <c r="B848" s="7">
        <v>265.0</v>
      </c>
      <c r="C848" s="7">
        <v>265.0</v>
      </c>
      <c r="D848" s="7">
        <v>156.0</v>
      </c>
      <c r="E848" s="7">
        <v>151.0</v>
      </c>
      <c r="F848" s="14"/>
      <c r="G848" s="15"/>
      <c r="H848" s="15"/>
      <c r="I848" s="14"/>
      <c r="J848" s="14"/>
      <c r="O848" s="14"/>
    </row>
    <row r="849" ht="18.75" customHeight="1">
      <c r="A849" s="7" t="s">
        <v>3595</v>
      </c>
      <c r="B849" s="7">
        <v>154.0</v>
      </c>
      <c r="C849" s="7">
        <v>154.0</v>
      </c>
      <c r="D849" s="7">
        <v>45.0</v>
      </c>
      <c r="E849" s="7">
        <v>41.0</v>
      </c>
      <c r="F849" s="14"/>
      <c r="G849" s="15"/>
      <c r="H849" s="15"/>
      <c r="I849" s="14"/>
      <c r="J849" s="14"/>
      <c r="O849" s="14"/>
    </row>
    <row r="850" ht="18.75" customHeight="1">
      <c r="A850" s="7" t="s">
        <v>3594</v>
      </c>
      <c r="B850" s="7">
        <v>210.0</v>
      </c>
      <c r="C850" s="7">
        <v>209.0</v>
      </c>
      <c r="D850" s="7">
        <v>64.0</v>
      </c>
      <c r="E850" s="7">
        <v>57.0</v>
      </c>
      <c r="F850" s="14"/>
      <c r="G850" s="15"/>
      <c r="H850" s="15"/>
      <c r="I850" s="14"/>
      <c r="J850" s="14"/>
      <c r="O850" s="14"/>
    </row>
    <row r="851" ht="18.75" customHeight="1">
      <c r="A851" s="7" t="s">
        <v>3605</v>
      </c>
      <c r="B851" s="7">
        <v>179.0</v>
      </c>
      <c r="C851" s="7">
        <v>179.0</v>
      </c>
      <c r="D851" s="7">
        <v>57.0</v>
      </c>
      <c r="E851" s="7">
        <v>55.0</v>
      </c>
      <c r="F851" s="14"/>
      <c r="G851" s="15"/>
      <c r="H851" s="15"/>
      <c r="I851" s="14"/>
      <c r="J851" s="14"/>
      <c r="O851" s="14"/>
    </row>
    <row r="852" ht="18.75" customHeight="1">
      <c r="A852" s="7" t="s">
        <v>3604</v>
      </c>
      <c r="B852" s="7">
        <v>69.0</v>
      </c>
      <c r="C852" s="7">
        <v>69.0</v>
      </c>
      <c r="D852" s="7">
        <v>28.0</v>
      </c>
      <c r="E852" s="7">
        <v>26.0</v>
      </c>
      <c r="F852" s="14"/>
      <c r="G852" s="15"/>
      <c r="H852" s="15"/>
      <c r="I852" s="14"/>
      <c r="J852" s="14"/>
      <c r="O852" s="14"/>
    </row>
    <row r="853" ht="18.75" customHeight="1">
      <c r="A853" s="7" t="s">
        <v>3611</v>
      </c>
      <c r="B853" s="7">
        <v>8000.0</v>
      </c>
      <c r="C853" s="7">
        <v>7363.0</v>
      </c>
      <c r="D853" s="7">
        <v>1651.0</v>
      </c>
      <c r="E853" s="7">
        <v>1226.0</v>
      </c>
      <c r="F853" s="14"/>
      <c r="G853" s="15"/>
      <c r="H853" s="15"/>
      <c r="I853" s="14"/>
      <c r="J853" s="14"/>
      <c r="O853" s="14"/>
    </row>
    <row r="854" ht="18.75" customHeight="1">
      <c r="A854" s="7" t="s">
        <v>3611</v>
      </c>
      <c r="B854" s="7">
        <v>20.0</v>
      </c>
      <c r="C854" s="7">
        <v>20.0</v>
      </c>
      <c r="D854" s="7">
        <v>14.0</v>
      </c>
      <c r="E854" s="7">
        <v>12.0</v>
      </c>
      <c r="F854" s="14"/>
      <c r="G854" s="15"/>
      <c r="H854" s="15"/>
      <c r="I854" s="14"/>
      <c r="J854" s="14"/>
      <c r="O854" s="14"/>
    </row>
    <row r="855" ht="18.75" customHeight="1">
      <c r="A855" s="7" t="s">
        <v>3611</v>
      </c>
      <c r="B855" s="7">
        <v>251.0</v>
      </c>
      <c r="C855" s="7">
        <v>249.0</v>
      </c>
      <c r="D855" s="7">
        <v>101.0</v>
      </c>
      <c r="E855" s="7">
        <v>93.0</v>
      </c>
      <c r="F855" s="14"/>
      <c r="G855" s="15"/>
      <c r="H855" s="15"/>
      <c r="I855" s="14"/>
      <c r="J855" s="14"/>
      <c r="O855" s="14"/>
    </row>
    <row r="856" ht="18.75" customHeight="1">
      <c r="A856" s="7" t="s">
        <v>3618</v>
      </c>
      <c r="B856" s="7">
        <v>0.0</v>
      </c>
      <c r="C856" s="7">
        <v>0.0</v>
      </c>
      <c r="D856" s="7">
        <v>0.0</v>
      </c>
      <c r="E856" s="7">
        <v>0.0</v>
      </c>
      <c r="F856" s="14"/>
      <c r="G856" s="15"/>
      <c r="H856" s="15"/>
      <c r="I856" s="14"/>
      <c r="J856" s="14"/>
      <c r="O856" s="14"/>
    </row>
    <row r="857" ht="18.75" customHeight="1">
      <c r="A857" s="7" t="s">
        <v>3603</v>
      </c>
      <c r="B857" s="7">
        <v>117.0</v>
      </c>
      <c r="C857" s="7">
        <v>117.0</v>
      </c>
      <c r="D857" s="7">
        <v>23.0</v>
      </c>
      <c r="E857" s="7">
        <v>23.0</v>
      </c>
      <c r="F857" s="14"/>
      <c r="G857" s="15"/>
      <c r="H857" s="15"/>
      <c r="I857" s="14"/>
      <c r="J857" s="14"/>
      <c r="O857" s="14"/>
    </row>
    <row r="858" ht="18.75" customHeight="1">
      <c r="A858" s="7" t="s">
        <v>3610</v>
      </c>
      <c r="B858" s="7">
        <v>9000.0</v>
      </c>
      <c r="C858" s="7">
        <v>8166.0</v>
      </c>
      <c r="D858" s="7">
        <v>2128.0</v>
      </c>
      <c r="E858" s="7">
        <v>1613.0</v>
      </c>
      <c r="F858" s="14"/>
      <c r="G858" s="15"/>
      <c r="H858" s="15"/>
      <c r="I858" s="14"/>
      <c r="J858" s="14"/>
      <c r="O858" s="14"/>
    </row>
    <row r="859" ht="18.75" customHeight="1">
      <c r="A859" s="7" t="s">
        <v>3610</v>
      </c>
      <c r="B859" s="7">
        <v>100.0</v>
      </c>
      <c r="C859" s="7">
        <v>100.0</v>
      </c>
      <c r="D859" s="7">
        <v>64.0</v>
      </c>
      <c r="E859" s="7">
        <v>59.0</v>
      </c>
      <c r="F859" s="14"/>
      <c r="G859" s="15"/>
      <c r="H859" s="15"/>
      <c r="I859" s="14"/>
      <c r="J859" s="14"/>
      <c r="O859" s="14"/>
    </row>
    <row r="860" ht="18.75" customHeight="1">
      <c r="A860" s="7" t="s">
        <v>3610</v>
      </c>
      <c r="B860" s="7">
        <v>437.0</v>
      </c>
      <c r="C860" s="7">
        <v>437.0</v>
      </c>
      <c r="D860" s="7">
        <v>230.0</v>
      </c>
      <c r="E860" s="7">
        <v>217.0</v>
      </c>
      <c r="F860" s="14"/>
      <c r="G860" s="15"/>
      <c r="H860" s="15"/>
      <c r="I860" s="14"/>
      <c r="J860" s="14"/>
      <c r="O860" s="14"/>
    </row>
    <row r="861" ht="18.75" customHeight="1">
      <c r="A861" s="7" t="s">
        <v>3613</v>
      </c>
      <c r="B861" s="7">
        <v>45.0</v>
      </c>
      <c r="C861" s="7">
        <v>45.0</v>
      </c>
      <c r="D861" s="7">
        <v>17.0</v>
      </c>
      <c r="E861" s="7">
        <v>17.0</v>
      </c>
      <c r="F861" s="14"/>
      <c r="G861" s="15"/>
      <c r="H861" s="15"/>
      <c r="I861" s="14"/>
      <c r="J861" s="14"/>
      <c r="O861" s="14"/>
    </row>
    <row r="862" ht="18.75" customHeight="1">
      <c r="A862" s="7" t="s">
        <v>3616</v>
      </c>
      <c r="B862" s="7">
        <v>82.0</v>
      </c>
      <c r="C862" s="7">
        <v>82.0</v>
      </c>
      <c r="D862" s="7">
        <v>29.0</v>
      </c>
      <c r="E862" s="7">
        <v>29.0</v>
      </c>
      <c r="F862" s="14"/>
      <c r="G862" s="15"/>
      <c r="H862" s="15"/>
      <c r="I862" s="14"/>
      <c r="J862" s="14"/>
      <c r="O862" s="14"/>
    </row>
    <row r="863" ht="18.75" customHeight="1">
      <c r="A863" s="7" t="s">
        <v>3614</v>
      </c>
      <c r="B863" s="7">
        <v>99.0</v>
      </c>
      <c r="C863" s="7">
        <v>99.0</v>
      </c>
      <c r="D863" s="7">
        <v>39.0</v>
      </c>
      <c r="E863" s="7">
        <v>36.0</v>
      </c>
      <c r="F863" s="14"/>
      <c r="G863" s="15"/>
      <c r="H863" s="15"/>
      <c r="I863" s="14"/>
      <c r="J863" s="14"/>
      <c r="O863" s="14"/>
    </row>
    <row r="864" ht="18.75" customHeight="1">
      <c r="A864" s="7" t="s">
        <v>3612</v>
      </c>
      <c r="B864" s="7">
        <v>124.0</v>
      </c>
      <c r="C864" s="7">
        <v>120.0</v>
      </c>
      <c r="D864" s="7">
        <v>51.0</v>
      </c>
      <c r="E864" s="7">
        <v>48.0</v>
      </c>
      <c r="F864" s="14"/>
      <c r="G864" s="15"/>
      <c r="H864" s="15"/>
      <c r="I864" s="14"/>
      <c r="J864" s="14"/>
      <c r="O864" s="14"/>
    </row>
    <row r="865" ht="18.75" customHeight="1">
      <c r="A865" s="7" t="s">
        <v>3590</v>
      </c>
      <c r="B865" s="7">
        <v>25.0</v>
      </c>
      <c r="C865" s="7">
        <v>25.0</v>
      </c>
      <c r="D865" s="7">
        <v>17.0</v>
      </c>
      <c r="E865" s="7">
        <v>17.0</v>
      </c>
      <c r="F865" s="14"/>
      <c r="G865" s="15"/>
      <c r="H865" s="15"/>
      <c r="I865" s="14"/>
      <c r="J865" s="14"/>
      <c r="O865" s="14"/>
    </row>
    <row r="866" ht="18.75" customHeight="1">
      <c r="A866" s="7" t="s">
        <v>351</v>
      </c>
      <c r="B866" s="7">
        <v>4476.0</v>
      </c>
      <c r="C866" s="7">
        <v>4476.0</v>
      </c>
      <c r="D866" s="7">
        <v>1117.0</v>
      </c>
      <c r="E866" s="7">
        <v>854.0</v>
      </c>
      <c r="F866" s="14"/>
      <c r="G866" s="15"/>
      <c r="H866" s="15"/>
      <c r="I866" s="14"/>
      <c r="J866" s="14"/>
      <c r="O866" s="14"/>
    </row>
    <row r="867" ht="18.75" customHeight="1">
      <c r="A867" s="7" t="s">
        <v>3713</v>
      </c>
      <c r="B867" s="7">
        <v>0.0</v>
      </c>
      <c r="C867" s="7">
        <v>0.0</v>
      </c>
      <c r="D867" s="7">
        <v>0.0</v>
      </c>
      <c r="E867" s="7">
        <v>0.0</v>
      </c>
      <c r="F867" s="14"/>
      <c r="I867" s="14"/>
      <c r="J867" s="14"/>
      <c r="O867" s="14"/>
    </row>
    <row r="868" ht="18.75" customHeight="1">
      <c r="A868" s="7" t="s">
        <v>3631</v>
      </c>
      <c r="B868" s="7">
        <v>6700.0</v>
      </c>
      <c r="C868" s="7">
        <v>6697.0</v>
      </c>
      <c r="D868" s="7">
        <v>1482.0</v>
      </c>
      <c r="E868" s="7">
        <v>1073.0</v>
      </c>
      <c r="F868" s="14"/>
      <c r="G868" s="15"/>
      <c r="H868" s="15"/>
      <c r="I868" s="14"/>
      <c r="J868" s="14"/>
      <c r="O868" s="14"/>
    </row>
    <row r="869" ht="18.75" customHeight="1">
      <c r="A869" s="7" t="s">
        <v>3631</v>
      </c>
      <c r="B869" s="7">
        <v>0.0</v>
      </c>
      <c r="C869" s="7">
        <v>0.0</v>
      </c>
      <c r="D869" s="7">
        <v>0.0</v>
      </c>
      <c r="E869" s="7">
        <v>0.0</v>
      </c>
      <c r="F869" s="14"/>
      <c r="G869" s="15"/>
      <c r="H869" s="15"/>
      <c r="I869" s="14"/>
      <c r="J869" s="14"/>
      <c r="O869" s="14"/>
    </row>
    <row r="870" ht="18.75" customHeight="1">
      <c r="A870" s="7" t="s">
        <v>3631</v>
      </c>
      <c r="B870" s="7">
        <v>0.0</v>
      </c>
      <c r="C870" s="7">
        <v>0.0</v>
      </c>
      <c r="D870" s="7">
        <v>0.0</v>
      </c>
      <c r="E870" s="7">
        <v>0.0</v>
      </c>
      <c r="F870" s="14"/>
      <c r="G870" s="15"/>
      <c r="H870" s="15"/>
      <c r="I870" s="14"/>
      <c r="J870" s="14"/>
      <c r="O870" s="14"/>
    </row>
    <row r="871" ht="18.75" customHeight="1">
      <c r="A871" s="7" t="s">
        <v>3628</v>
      </c>
      <c r="B871" s="7">
        <v>124.0</v>
      </c>
      <c r="C871" s="7">
        <v>124.0</v>
      </c>
      <c r="D871" s="7">
        <v>40.0</v>
      </c>
      <c r="E871" s="7">
        <v>38.0</v>
      </c>
      <c r="F871" s="14"/>
      <c r="G871" s="15"/>
      <c r="H871" s="15"/>
      <c r="I871" s="14"/>
      <c r="J871" s="14"/>
      <c r="O871" s="14"/>
    </row>
    <row r="872" ht="18.75" customHeight="1">
      <c r="A872" s="7" t="s">
        <v>3632</v>
      </c>
      <c r="B872" s="7">
        <v>5500.0</v>
      </c>
      <c r="C872" s="7">
        <v>5500.0</v>
      </c>
      <c r="D872" s="7">
        <v>1452.0</v>
      </c>
      <c r="E872" s="7">
        <v>1104.0</v>
      </c>
      <c r="F872" s="14"/>
      <c r="G872" s="15"/>
      <c r="H872" s="15"/>
      <c r="I872" s="14"/>
      <c r="J872" s="14"/>
      <c r="O872" s="14"/>
    </row>
    <row r="873" ht="18.75" customHeight="1">
      <c r="A873" s="7" t="s">
        <v>3632</v>
      </c>
      <c r="B873" s="7">
        <v>120.0</v>
      </c>
      <c r="C873" s="7">
        <v>120.0</v>
      </c>
      <c r="D873" s="7">
        <v>98.0</v>
      </c>
      <c r="E873" s="7">
        <v>92.0</v>
      </c>
      <c r="F873" s="14"/>
      <c r="G873" s="15"/>
      <c r="H873" s="15"/>
      <c r="I873" s="14"/>
      <c r="J873" s="14"/>
      <c r="O873" s="14"/>
    </row>
    <row r="874" ht="18.75" customHeight="1">
      <c r="A874" s="7" t="s">
        <v>3632</v>
      </c>
      <c r="B874" s="7">
        <v>263.0</v>
      </c>
      <c r="C874" s="7">
        <v>263.0</v>
      </c>
      <c r="D874" s="7">
        <v>83.0</v>
      </c>
      <c r="E874" s="7">
        <v>81.0</v>
      </c>
      <c r="F874" s="14"/>
      <c r="G874" s="15"/>
      <c r="H874" s="15"/>
      <c r="I874" s="14"/>
      <c r="J874" s="14"/>
      <c r="O874" s="14"/>
    </row>
    <row r="875" ht="18.75" customHeight="1">
      <c r="A875" s="7" t="s">
        <v>3637</v>
      </c>
      <c r="B875" s="7">
        <v>67.0</v>
      </c>
      <c r="C875" s="7">
        <v>67.0</v>
      </c>
      <c r="D875" s="7">
        <v>19.0</v>
      </c>
      <c r="E875" s="7">
        <v>19.0</v>
      </c>
      <c r="F875" s="14"/>
      <c r="G875" s="15"/>
      <c r="H875" s="15"/>
      <c r="I875" s="14"/>
      <c r="J875" s="14"/>
      <c r="O875" s="14"/>
    </row>
    <row r="876" ht="18.75" customHeight="1">
      <c r="A876" s="7" t="s">
        <v>3636</v>
      </c>
      <c r="B876" s="7">
        <v>89.0</v>
      </c>
      <c r="C876" s="7">
        <v>89.0</v>
      </c>
      <c r="D876" s="7">
        <v>35.0</v>
      </c>
      <c r="E876" s="7">
        <v>34.0</v>
      </c>
      <c r="F876" s="14"/>
      <c r="G876" s="15"/>
      <c r="H876" s="15"/>
      <c r="I876" s="14"/>
      <c r="J876" s="14"/>
      <c r="O876" s="14"/>
    </row>
    <row r="877" ht="18.75" customHeight="1">
      <c r="A877" s="7" t="s">
        <v>3634</v>
      </c>
      <c r="B877" s="7">
        <v>88.0</v>
      </c>
      <c r="C877" s="7">
        <v>88.0</v>
      </c>
      <c r="D877" s="7">
        <v>30.0</v>
      </c>
      <c r="E877" s="7">
        <v>28.0</v>
      </c>
      <c r="F877" s="14"/>
      <c r="G877" s="15"/>
      <c r="H877" s="15"/>
      <c r="I877" s="14"/>
      <c r="J877" s="14"/>
      <c r="O877" s="14"/>
    </row>
    <row r="878" ht="18.75" customHeight="1">
      <c r="A878" s="7" t="s">
        <v>3635</v>
      </c>
      <c r="B878" s="7">
        <v>95.0</v>
      </c>
      <c r="C878" s="7">
        <v>95.0</v>
      </c>
      <c r="D878" s="7">
        <v>31.0</v>
      </c>
      <c r="E878" s="7">
        <v>28.0</v>
      </c>
      <c r="F878" s="14"/>
      <c r="G878" s="15"/>
      <c r="H878" s="15"/>
      <c r="I878" s="14"/>
      <c r="J878" s="14"/>
      <c r="O878" s="14"/>
    </row>
    <row r="879" ht="18.75" customHeight="1">
      <c r="A879" s="7" t="s">
        <v>3642</v>
      </c>
      <c r="B879" s="7">
        <v>161.0</v>
      </c>
      <c r="C879" s="7">
        <v>161.0</v>
      </c>
      <c r="D879" s="7">
        <v>55.0</v>
      </c>
      <c r="E879" s="7">
        <v>52.0</v>
      </c>
      <c r="F879" s="14"/>
      <c r="G879" s="15"/>
      <c r="H879" s="15"/>
      <c r="I879" s="14"/>
      <c r="J879" s="14"/>
      <c r="O879" s="14"/>
    </row>
    <row r="880" ht="18.75" customHeight="1">
      <c r="A880" s="7" t="s">
        <v>3627</v>
      </c>
      <c r="B880" s="7">
        <v>66.0</v>
      </c>
      <c r="C880" s="7">
        <v>66.0</v>
      </c>
      <c r="D880" s="7">
        <v>31.0</v>
      </c>
      <c r="E880" s="7">
        <v>30.0</v>
      </c>
      <c r="F880" s="14"/>
      <c r="G880" s="15"/>
      <c r="H880" s="15"/>
      <c r="I880" s="14"/>
      <c r="J880" s="14"/>
      <c r="O880" s="14"/>
    </row>
    <row r="881" ht="18.75" customHeight="1">
      <c r="A881" s="7" t="s">
        <v>3645</v>
      </c>
      <c r="B881" s="7">
        <v>5100.0</v>
      </c>
      <c r="C881" s="7">
        <v>4693.0</v>
      </c>
      <c r="D881" s="7">
        <v>1240.0</v>
      </c>
      <c r="E881" s="7">
        <v>968.0</v>
      </c>
      <c r="F881" s="14"/>
      <c r="G881" s="15"/>
      <c r="H881" s="15"/>
      <c r="I881" s="14"/>
      <c r="J881" s="14"/>
      <c r="O881" s="14"/>
    </row>
    <row r="882" ht="18.75" customHeight="1">
      <c r="A882" s="7" t="s">
        <v>3645</v>
      </c>
      <c r="B882" s="7">
        <v>40.0</v>
      </c>
      <c r="C882" s="7">
        <v>40.0</v>
      </c>
      <c r="D882" s="7">
        <v>28.0</v>
      </c>
      <c r="E882" s="7">
        <v>27.0</v>
      </c>
      <c r="F882" s="14"/>
      <c r="G882" s="15"/>
      <c r="H882" s="15"/>
      <c r="I882" s="14"/>
      <c r="J882" s="14"/>
      <c r="O882" s="14"/>
    </row>
    <row r="883" ht="18.75" customHeight="1">
      <c r="A883" s="7" t="s">
        <v>3645</v>
      </c>
      <c r="B883" s="7">
        <v>191.0</v>
      </c>
      <c r="C883" s="7">
        <v>191.0</v>
      </c>
      <c r="D883" s="7">
        <v>98.0</v>
      </c>
      <c r="E883" s="7">
        <v>95.0</v>
      </c>
      <c r="F883" s="14"/>
      <c r="G883" s="15"/>
      <c r="H883" s="15"/>
      <c r="I883" s="14"/>
      <c r="J883" s="14"/>
      <c r="O883" s="14"/>
    </row>
    <row r="884" ht="18.75" customHeight="1">
      <c r="A884" s="7" t="s">
        <v>3648</v>
      </c>
      <c r="B884" s="7">
        <v>124.0</v>
      </c>
      <c r="C884" s="7">
        <v>124.0</v>
      </c>
      <c r="D884" s="7">
        <v>44.0</v>
      </c>
      <c r="E884" s="7">
        <v>42.0</v>
      </c>
      <c r="F884" s="14"/>
      <c r="G884" s="15"/>
      <c r="H884" s="15"/>
      <c r="I884" s="14"/>
      <c r="J884" s="14"/>
      <c r="O884" s="14"/>
    </row>
    <row r="885" ht="18.75" customHeight="1">
      <c r="A885" s="7" t="s">
        <v>3652</v>
      </c>
      <c r="B885" s="7">
        <v>108.0</v>
      </c>
      <c r="C885" s="7">
        <v>108.0</v>
      </c>
      <c r="D885" s="7">
        <v>33.0</v>
      </c>
      <c r="E885" s="7">
        <v>31.0</v>
      </c>
      <c r="F885" s="14"/>
      <c r="G885" s="15"/>
      <c r="H885" s="15"/>
      <c r="I885" s="14"/>
      <c r="J885" s="14"/>
      <c r="O885" s="14"/>
    </row>
    <row r="886" ht="18.75" customHeight="1">
      <c r="A886" s="7" t="s">
        <v>3649</v>
      </c>
      <c r="B886" s="7">
        <v>36.0</v>
      </c>
      <c r="C886" s="7">
        <v>36.0</v>
      </c>
      <c r="D886" s="7">
        <v>13.0</v>
      </c>
      <c r="E886" s="7">
        <v>13.0</v>
      </c>
      <c r="F886" s="14"/>
      <c r="G886" s="15"/>
      <c r="H886" s="15"/>
      <c r="I886" s="14"/>
      <c r="J886" s="14"/>
      <c r="O886" s="14"/>
    </row>
    <row r="887" ht="18.75" customHeight="1">
      <c r="A887" s="7" t="s">
        <v>3655</v>
      </c>
      <c r="B887" s="7">
        <v>139.0</v>
      </c>
      <c r="C887" s="7">
        <v>139.0</v>
      </c>
      <c r="D887" s="7">
        <v>42.0</v>
      </c>
      <c r="E887" s="7">
        <v>40.0</v>
      </c>
      <c r="F887" s="14"/>
      <c r="G887" s="15"/>
      <c r="H887" s="15"/>
      <c r="I887" s="14"/>
      <c r="J887" s="14"/>
      <c r="O887" s="14"/>
    </row>
    <row r="888" ht="18.75" customHeight="1">
      <c r="A888" s="7" t="s">
        <v>3654</v>
      </c>
      <c r="B888" s="7">
        <v>5300.0</v>
      </c>
      <c r="C888" s="7">
        <v>4074.0</v>
      </c>
      <c r="D888" s="7">
        <v>995.0</v>
      </c>
      <c r="E888" s="7">
        <v>754.0</v>
      </c>
      <c r="F888" s="14"/>
      <c r="G888" s="15"/>
      <c r="H888" s="15"/>
      <c r="I888" s="14"/>
      <c r="J888" s="14"/>
      <c r="O888" s="14"/>
    </row>
    <row r="889" ht="18.75" customHeight="1">
      <c r="A889" s="7" t="s">
        <v>3654</v>
      </c>
      <c r="B889" s="7">
        <v>43.0</v>
      </c>
      <c r="C889" s="7">
        <v>43.0</v>
      </c>
      <c r="D889" s="7">
        <v>29.0</v>
      </c>
      <c r="E889" s="7">
        <v>29.0</v>
      </c>
      <c r="F889" s="14"/>
      <c r="G889" s="15"/>
      <c r="H889" s="15"/>
      <c r="I889" s="14"/>
      <c r="J889" s="14"/>
      <c r="O889" s="14"/>
    </row>
    <row r="890" ht="18.75" customHeight="1">
      <c r="A890" s="7" t="s">
        <v>3654</v>
      </c>
      <c r="B890" s="7">
        <v>169.0</v>
      </c>
      <c r="C890" s="7">
        <v>169.0</v>
      </c>
      <c r="D890" s="7">
        <v>79.0</v>
      </c>
      <c r="E890" s="7">
        <v>78.0</v>
      </c>
      <c r="F890" s="14"/>
      <c r="G890" s="15"/>
      <c r="H890" s="15"/>
      <c r="I890" s="14"/>
      <c r="J890" s="14"/>
      <c r="O890" s="14"/>
    </row>
    <row r="891" ht="18.75" customHeight="1">
      <c r="A891" s="7" t="s">
        <v>3661</v>
      </c>
      <c r="B891" s="7">
        <v>38.0</v>
      </c>
      <c r="C891" s="7">
        <v>38.0</v>
      </c>
      <c r="D891" s="7">
        <v>15.0</v>
      </c>
      <c r="E891" s="7">
        <v>14.0</v>
      </c>
      <c r="F891" s="14"/>
      <c r="G891" s="15"/>
      <c r="H891" s="15"/>
      <c r="I891" s="14"/>
      <c r="J891" s="14"/>
      <c r="O891" s="14"/>
    </row>
    <row r="892" ht="18.75" customHeight="1">
      <c r="A892" s="7" t="s">
        <v>3664</v>
      </c>
      <c r="B892" s="7">
        <v>209.0</v>
      </c>
      <c r="C892" s="7">
        <v>209.0</v>
      </c>
      <c r="D892" s="7">
        <v>60.0</v>
      </c>
      <c r="E892" s="7">
        <v>60.0</v>
      </c>
      <c r="F892" s="14"/>
      <c r="G892" s="15"/>
      <c r="H892" s="15"/>
      <c r="I892" s="14"/>
      <c r="J892" s="14"/>
      <c r="O892" s="14"/>
    </row>
    <row r="893" ht="18.75" customHeight="1">
      <c r="A893" s="7" t="s">
        <v>3658</v>
      </c>
      <c r="B893" s="7">
        <v>95.0</v>
      </c>
      <c r="C893" s="7">
        <v>95.0</v>
      </c>
      <c r="D893" s="7">
        <v>27.0</v>
      </c>
      <c r="E893" s="7">
        <v>26.0</v>
      </c>
      <c r="F893" s="14"/>
      <c r="G893" s="15"/>
      <c r="H893" s="15"/>
      <c r="I893" s="14"/>
      <c r="J893" s="14"/>
      <c r="O893" s="14"/>
    </row>
    <row r="894" ht="18.75" customHeight="1">
      <c r="A894" s="7" t="s">
        <v>3662</v>
      </c>
      <c r="B894" s="7">
        <v>5883.0</v>
      </c>
      <c r="C894" s="7">
        <v>5883.0</v>
      </c>
      <c r="D894" s="7">
        <v>1095.0</v>
      </c>
      <c r="E894" s="7">
        <v>842.0</v>
      </c>
      <c r="F894" s="14"/>
      <c r="G894" s="15"/>
      <c r="H894" s="15"/>
      <c r="I894" s="14"/>
      <c r="J894" s="14"/>
      <c r="O894" s="14"/>
    </row>
    <row r="895" ht="18.75" customHeight="1">
      <c r="A895" s="7" t="s">
        <v>3662</v>
      </c>
      <c r="B895" s="7">
        <v>40.0</v>
      </c>
      <c r="C895" s="7">
        <v>40.0</v>
      </c>
      <c r="D895" s="7">
        <v>24.0</v>
      </c>
      <c r="E895" s="7">
        <v>21.0</v>
      </c>
      <c r="F895" s="14"/>
      <c r="G895" s="15"/>
      <c r="H895" s="15"/>
      <c r="I895" s="14"/>
      <c r="J895" s="14"/>
      <c r="O895" s="14"/>
    </row>
    <row r="896" ht="18.75" customHeight="1">
      <c r="A896" s="7" t="s">
        <v>3662</v>
      </c>
      <c r="B896" s="7">
        <v>159.0</v>
      </c>
      <c r="C896" s="7">
        <v>159.0</v>
      </c>
      <c r="D896" s="7">
        <v>63.0</v>
      </c>
      <c r="E896" s="7">
        <v>60.0</v>
      </c>
      <c r="F896" s="14"/>
      <c r="G896" s="15"/>
      <c r="H896" s="15"/>
      <c r="I896" s="14"/>
      <c r="J896" s="14"/>
      <c r="O896" s="14"/>
    </row>
    <row r="897" ht="18.75" customHeight="1">
      <c r="A897" s="7" t="s">
        <v>3663</v>
      </c>
      <c r="B897" s="7">
        <v>89.0</v>
      </c>
      <c r="C897" s="7">
        <v>89.0</v>
      </c>
      <c r="D897" s="7">
        <v>23.0</v>
      </c>
      <c r="E897" s="7">
        <v>22.0</v>
      </c>
      <c r="F897" s="14"/>
      <c r="G897" s="15"/>
      <c r="H897" s="15"/>
      <c r="I897" s="14"/>
      <c r="J897" s="14"/>
      <c r="O897" s="14"/>
    </row>
    <row r="898" ht="18.75" customHeight="1">
      <c r="A898" s="7" t="s">
        <v>3671</v>
      </c>
      <c r="B898" s="7">
        <v>61.0</v>
      </c>
      <c r="C898" s="7">
        <v>61.0</v>
      </c>
      <c r="D898" s="7">
        <v>21.0</v>
      </c>
      <c r="E898" s="7">
        <v>20.0</v>
      </c>
      <c r="F898" s="14"/>
      <c r="G898" s="15"/>
      <c r="H898" s="15"/>
      <c r="I898" s="14"/>
      <c r="J898" s="14"/>
      <c r="O898" s="14"/>
    </row>
    <row r="899" ht="18.75" customHeight="1">
      <c r="A899" s="7" t="s">
        <v>3670</v>
      </c>
      <c r="B899" s="7">
        <v>106.0</v>
      </c>
      <c r="C899" s="7">
        <v>106.0</v>
      </c>
      <c r="D899" s="7">
        <v>25.0</v>
      </c>
      <c r="E899" s="7">
        <v>24.0</v>
      </c>
      <c r="F899" s="14"/>
      <c r="G899" s="15"/>
      <c r="H899" s="15"/>
      <c r="I899" s="14"/>
      <c r="J899" s="14"/>
      <c r="O899" s="14"/>
    </row>
    <row r="900" ht="18.75" customHeight="1">
      <c r="A900" s="7" t="s">
        <v>3675</v>
      </c>
      <c r="B900" s="7">
        <v>74.0</v>
      </c>
      <c r="C900" s="7">
        <v>74.0</v>
      </c>
      <c r="D900" s="7">
        <v>20.0</v>
      </c>
      <c r="E900" s="7">
        <v>18.0</v>
      </c>
      <c r="F900" s="14"/>
      <c r="G900" s="15"/>
      <c r="H900" s="15"/>
      <c r="I900" s="14"/>
      <c r="J900" s="14"/>
      <c r="O900" s="14"/>
    </row>
    <row r="901" ht="18.75" customHeight="1">
      <c r="A901" s="7" t="s">
        <v>3669</v>
      </c>
      <c r="B901" s="7">
        <v>139.0</v>
      </c>
      <c r="C901" s="7">
        <v>139.0</v>
      </c>
      <c r="D901" s="7">
        <v>40.0</v>
      </c>
      <c r="E901" s="7">
        <v>40.0</v>
      </c>
      <c r="F901" s="14"/>
      <c r="G901" s="15"/>
      <c r="H901" s="15"/>
      <c r="I901" s="14"/>
      <c r="J901" s="14"/>
      <c r="O901" s="14"/>
    </row>
    <row r="902" ht="18.75" customHeight="1">
      <c r="A902" s="7" t="s">
        <v>3863</v>
      </c>
      <c r="B902" s="7">
        <v>0.0</v>
      </c>
      <c r="C902" s="7">
        <v>0.0</v>
      </c>
      <c r="D902" s="7">
        <v>0.0</v>
      </c>
      <c r="E902" s="7">
        <v>0.0</v>
      </c>
      <c r="F902" s="14"/>
      <c r="G902" s="15"/>
      <c r="H902" s="15"/>
      <c r="I902" s="14"/>
      <c r="J902" s="14"/>
      <c r="O902" s="14"/>
    </row>
    <row r="903" ht="18.75" customHeight="1">
      <c r="A903" s="7" t="s">
        <v>3863</v>
      </c>
      <c r="B903" s="7">
        <v>0.0</v>
      </c>
      <c r="C903" s="7">
        <v>0.0</v>
      </c>
      <c r="D903" s="7">
        <v>0.0</v>
      </c>
      <c r="E903" s="7">
        <v>0.0</v>
      </c>
      <c r="F903" s="14"/>
      <c r="G903" s="15"/>
      <c r="H903" s="15"/>
      <c r="I903" s="14"/>
      <c r="J903" s="14"/>
      <c r="O903" s="14"/>
    </row>
    <row r="904" ht="18.75" customHeight="1">
      <c r="A904" s="7" t="s">
        <v>3863</v>
      </c>
      <c r="B904" s="7">
        <v>20.0</v>
      </c>
      <c r="C904" s="7">
        <v>20.0</v>
      </c>
      <c r="D904" s="7">
        <v>8.0</v>
      </c>
      <c r="E904" s="7">
        <v>8.0</v>
      </c>
      <c r="F904" s="14"/>
      <c r="G904" s="15"/>
      <c r="H904" s="15"/>
      <c r="I904" s="14"/>
      <c r="J904" s="14"/>
      <c r="O904" s="14"/>
    </row>
    <row r="905" ht="18.75" customHeight="1">
      <c r="A905" s="7" t="s">
        <v>3679</v>
      </c>
      <c r="B905" s="7">
        <v>67.0</v>
      </c>
      <c r="C905" s="7">
        <v>67.0</v>
      </c>
      <c r="D905" s="7">
        <v>26.0</v>
      </c>
      <c r="E905" s="7">
        <v>26.0</v>
      </c>
      <c r="F905" s="14"/>
      <c r="G905" s="15"/>
      <c r="H905" s="15"/>
      <c r="I905" s="14"/>
      <c r="J905" s="14"/>
      <c r="O905" s="14"/>
    </row>
    <row r="906" ht="18.75" customHeight="1">
      <c r="A906" s="7" t="s">
        <v>3694</v>
      </c>
      <c r="B906" s="7">
        <v>6000.0</v>
      </c>
      <c r="C906" s="7">
        <v>2708.0</v>
      </c>
      <c r="D906" s="7">
        <v>487.0</v>
      </c>
      <c r="E906" s="7">
        <v>360.0</v>
      </c>
      <c r="F906" s="14"/>
      <c r="G906" s="15"/>
      <c r="H906" s="15"/>
      <c r="I906" s="14"/>
      <c r="J906" s="14"/>
      <c r="O906" s="14"/>
    </row>
    <row r="907" ht="18.75" customHeight="1">
      <c r="A907" s="7" t="s">
        <v>3694</v>
      </c>
      <c r="B907" s="7">
        <v>0.0</v>
      </c>
      <c r="C907" s="7">
        <v>0.0</v>
      </c>
      <c r="D907" s="7">
        <v>0.0</v>
      </c>
      <c r="E907" s="7">
        <v>0.0</v>
      </c>
      <c r="F907" s="14"/>
      <c r="G907" s="15"/>
      <c r="H907" s="15"/>
      <c r="I907" s="14"/>
      <c r="J907" s="14"/>
      <c r="O907" s="14"/>
    </row>
    <row r="908" ht="18.75" customHeight="1">
      <c r="A908" s="7" t="s">
        <v>3694</v>
      </c>
      <c r="B908" s="7">
        <v>0.0</v>
      </c>
      <c r="C908" s="7">
        <v>0.0</v>
      </c>
      <c r="D908" s="7">
        <v>0.0</v>
      </c>
      <c r="E908" s="7">
        <v>0.0</v>
      </c>
      <c r="F908" s="14"/>
      <c r="G908" s="15"/>
      <c r="H908" s="15"/>
      <c r="I908" s="14"/>
      <c r="J908" s="14"/>
      <c r="O908" s="14"/>
    </row>
    <row r="909" ht="18.75" customHeight="1">
      <c r="A909" s="7" t="s">
        <v>3658</v>
      </c>
      <c r="B909" s="7">
        <v>123.0</v>
      </c>
      <c r="C909" s="7">
        <v>123.0</v>
      </c>
      <c r="D909" s="7">
        <v>34.0</v>
      </c>
      <c r="E909" s="7">
        <v>34.0</v>
      </c>
      <c r="F909" s="14"/>
      <c r="G909" s="15"/>
      <c r="H909" s="15"/>
      <c r="I909" s="14"/>
      <c r="J909" s="14"/>
      <c r="O909" s="14"/>
    </row>
    <row r="910" ht="18.75" customHeight="1">
      <c r="A910" s="7" t="s">
        <v>3693</v>
      </c>
      <c r="B910" s="7">
        <v>5300.0</v>
      </c>
      <c r="C910" s="7">
        <v>5002.0</v>
      </c>
      <c r="D910" s="7">
        <v>1165.0</v>
      </c>
      <c r="E910" s="7">
        <v>900.0</v>
      </c>
      <c r="F910" s="14"/>
      <c r="G910" s="15"/>
      <c r="H910" s="15"/>
      <c r="I910" s="14"/>
      <c r="J910" s="14"/>
      <c r="O910" s="14"/>
    </row>
    <row r="911" ht="18.75" customHeight="1">
      <c r="A911" s="7" t="s">
        <v>3693</v>
      </c>
      <c r="B911" s="7">
        <v>125.0</v>
      </c>
      <c r="C911" s="7">
        <v>125.0</v>
      </c>
      <c r="D911" s="7">
        <v>69.0</v>
      </c>
      <c r="E911" s="7">
        <v>62.0</v>
      </c>
      <c r="F911" s="14"/>
      <c r="G911" s="15"/>
      <c r="H911" s="15"/>
      <c r="I911" s="14"/>
      <c r="J911" s="14"/>
      <c r="O911" s="14"/>
    </row>
    <row r="912" ht="18.75" customHeight="1">
      <c r="A912" s="7" t="s">
        <v>3693</v>
      </c>
      <c r="B912" s="7">
        <v>179.0</v>
      </c>
      <c r="C912" s="7">
        <v>179.0</v>
      </c>
      <c r="D912" s="7">
        <v>90.0</v>
      </c>
      <c r="E912" s="7">
        <v>88.0</v>
      </c>
      <c r="F912" s="14"/>
      <c r="G912" s="15"/>
      <c r="H912" s="15"/>
      <c r="I912" s="14"/>
      <c r="J912" s="14"/>
      <c r="O912" s="14"/>
    </row>
    <row r="913" ht="18.75" customHeight="1">
      <c r="A913" s="7" t="s">
        <v>3695</v>
      </c>
      <c r="B913" s="7">
        <v>136.0</v>
      </c>
      <c r="C913" s="7">
        <v>136.0</v>
      </c>
      <c r="D913" s="7">
        <v>48.0</v>
      </c>
      <c r="E913" s="7">
        <v>45.0</v>
      </c>
      <c r="F913" s="14"/>
      <c r="G913" s="15"/>
      <c r="H913" s="15"/>
      <c r="I913" s="14"/>
      <c r="J913" s="14"/>
      <c r="O913" s="14"/>
    </row>
    <row r="914" ht="18.75" customHeight="1">
      <c r="A914" s="7" t="s">
        <v>3697</v>
      </c>
      <c r="B914" s="7">
        <v>76.0</v>
      </c>
      <c r="C914" s="7">
        <v>76.0</v>
      </c>
      <c r="D914" s="7">
        <v>23.0</v>
      </c>
      <c r="E914" s="7">
        <v>23.0</v>
      </c>
      <c r="F914" s="14"/>
      <c r="G914" s="15"/>
      <c r="H914" s="15"/>
      <c r="I914" s="14"/>
      <c r="J914" s="14"/>
      <c r="O914" s="14"/>
    </row>
    <row r="915" ht="18.75" customHeight="1">
      <c r="A915" s="7" t="s">
        <v>2905</v>
      </c>
      <c r="B915" s="7">
        <v>0.0</v>
      </c>
      <c r="C915" s="7">
        <v>0.0</v>
      </c>
      <c r="D915" s="7">
        <v>0.0</v>
      </c>
      <c r="E915" s="7">
        <v>0.0</v>
      </c>
      <c r="F915" s="14"/>
      <c r="G915" s="15"/>
      <c r="H915" s="15"/>
      <c r="I915" s="14"/>
      <c r="J915" s="14"/>
    </row>
    <row r="916" ht="18.75" customHeight="1">
      <c r="A916" s="7" t="s">
        <v>3703</v>
      </c>
      <c r="B916" s="7">
        <v>157.0</v>
      </c>
      <c r="C916" s="7">
        <v>157.0</v>
      </c>
      <c r="D916" s="7">
        <v>49.0</v>
      </c>
      <c r="E916" s="7">
        <v>46.0</v>
      </c>
      <c r="F916" s="14"/>
      <c r="G916" s="15"/>
      <c r="H916" s="15"/>
      <c r="I916" s="14"/>
      <c r="J916" s="14"/>
      <c r="O916" s="14"/>
    </row>
    <row r="917" ht="18.75" customHeight="1">
      <c r="A917" s="7" t="s">
        <v>3699</v>
      </c>
      <c r="B917" s="7">
        <v>92.0</v>
      </c>
      <c r="C917" s="7">
        <v>92.0</v>
      </c>
      <c r="D917" s="7">
        <v>18.0</v>
      </c>
      <c r="E917" s="7">
        <v>18.0</v>
      </c>
      <c r="F917" s="14"/>
      <c r="G917" s="15"/>
      <c r="H917" s="15"/>
      <c r="I917" s="14"/>
      <c r="J917" s="14"/>
      <c r="O917" s="14"/>
    </row>
    <row r="918" ht="18.75" customHeight="1">
      <c r="A918" s="7" t="s">
        <v>3696</v>
      </c>
      <c r="B918" s="7">
        <v>99.0</v>
      </c>
      <c r="C918" s="7">
        <v>99.0</v>
      </c>
      <c r="D918" s="7">
        <v>33.0</v>
      </c>
      <c r="E918" s="7">
        <v>31.0</v>
      </c>
      <c r="F918" s="14"/>
      <c r="G918" s="15"/>
      <c r="H918" s="15"/>
      <c r="I918" s="14"/>
      <c r="J918" s="14"/>
      <c r="O918" s="14"/>
    </row>
    <row r="919" ht="18.75" customHeight="1">
      <c r="A919" s="7" t="s">
        <v>3698</v>
      </c>
      <c r="B919" s="7">
        <v>150.0</v>
      </c>
      <c r="C919" s="7">
        <v>150.0</v>
      </c>
      <c r="D919" s="7">
        <v>46.0</v>
      </c>
      <c r="E919" s="7">
        <v>46.0</v>
      </c>
      <c r="F919" s="14"/>
      <c r="G919" s="15"/>
      <c r="H919" s="15"/>
      <c r="I919" s="14"/>
      <c r="J919" s="14"/>
      <c r="O919" s="14"/>
    </row>
    <row r="920" ht="18.75" customHeight="1">
      <c r="A920" s="7" t="s">
        <v>3714</v>
      </c>
      <c r="B920" s="7">
        <v>6416.0</v>
      </c>
      <c r="C920" s="7">
        <v>6416.0</v>
      </c>
      <c r="D920" s="7">
        <v>1459.0</v>
      </c>
      <c r="E920" s="7">
        <v>1139.0</v>
      </c>
      <c r="F920" s="14"/>
      <c r="G920" s="15"/>
      <c r="H920" s="15"/>
      <c r="I920" s="14"/>
      <c r="J920" s="14"/>
      <c r="O920" s="14"/>
    </row>
    <row r="921" ht="18.75" customHeight="1">
      <c r="A921" s="7" t="s">
        <v>3714</v>
      </c>
      <c r="B921" s="7">
        <v>28.0</v>
      </c>
      <c r="C921" s="7">
        <v>28.0</v>
      </c>
      <c r="D921" s="7">
        <v>19.0</v>
      </c>
      <c r="E921" s="7">
        <v>18.0</v>
      </c>
      <c r="F921" s="14"/>
      <c r="G921" s="15"/>
      <c r="H921" s="15"/>
      <c r="I921" s="14"/>
      <c r="J921" s="14"/>
      <c r="O921" s="14"/>
    </row>
    <row r="922" ht="18.75" customHeight="1">
      <c r="A922" s="7" t="s">
        <v>3714</v>
      </c>
      <c r="B922" s="7">
        <v>146.0</v>
      </c>
      <c r="C922" s="7">
        <v>146.0</v>
      </c>
      <c r="D922" s="7">
        <v>87.0</v>
      </c>
      <c r="E922" s="7">
        <v>87.0</v>
      </c>
      <c r="F922" s="14"/>
      <c r="G922" s="15"/>
      <c r="H922" s="15"/>
      <c r="I922" s="14"/>
      <c r="J922" s="14"/>
      <c r="O922" s="14"/>
    </row>
    <row r="923" ht="18.75" customHeight="1">
      <c r="A923" s="7" t="s">
        <v>3708</v>
      </c>
      <c r="B923" s="7">
        <v>31.0</v>
      </c>
      <c r="C923" s="7">
        <v>31.0</v>
      </c>
      <c r="D923" s="7">
        <v>12.0</v>
      </c>
      <c r="E923" s="7">
        <v>12.0</v>
      </c>
      <c r="F923" s="14"/>
      <c r="G923" s="15"/>
      <c r="H923" s="15"/>
      <c r="I923" s="14"/>
      <c r="J923" s="14"/>
      <c r="O923" s="14"/>
    </row>
    <row r="924" ht="18.75" customHeight="1">
      <c r="A924" s="7" t="s">
        <v>3675</v>
      </c>
      <c r="B924" s="7">
        <v>69.0</v>
      </c>
      <c r="C924" s="7">
        <v>69.0</v>
      </c>
      <c r="D924" s="7">
        <v>24.0</v>
      </c>
      <c r="E924" s="7">
        <v>22.0</v>
      </c>
      <c r="F924" s="14"/>
      <c r="G924" s="15"/>
      <c r="H924" s="15"/>
      <c r="I924" s="14"/>
      <c r="J924" s="14"/>
      <c r="O924" s="14"/>
    </row>
    <row r="925" ht="18.75" customHeight="1">
      <c r="A925" s="7" t="s">
        <v>414</v>
      </c>
      <c r="B925" s="7">
        <v>0.0</v>
      </c>
      <c r="C925" s="7">
        <v>0.0</v>
      </c>
      <c r="D925" s="7">
        <v>0.0</v>
      </c>
      <c r="E925" s="7">
        <v>0.0</v>
      </c>
      <c r="F925" s="14"/>
      <c r="G925" s="15"/>
      <c r="H925" s="15"/>
      <c r="I925" s="14"/>
      <c r="J925" s="14"/>
    </row>
    <row r="926" ht="18.75" customHeight="1">
      <c r="A926" s="7" t="s">
        <v>414</v>
      </c>
      <c r="B926" s="7">
        <v>0.0</v>
      </c>
      <c r="C926" s="7">
        <v>0.0</v>
      </c>
      <c r="D926" s="7">
        <v>0.0</v>
      </c>
      <c r="E926" s="7">
        <v>0.0</v>
      </c>
      <c r="F926" s="14"/>
      <c r="G926" s="15"/>
      <c r="H926" s="15"/>
      <c r="I926" s="14"/>
      <c r="J926" s="14"/>
    </row>
    <row r="927" ht="18.75" customHeight="1">
      <c r="A927" s="7" t="s">
        <v>414</v>
      </c>
      <c r="B927" s="7">
        <v>0.0</v>
      </c>
      <c r="C927" s="7">
        <v>0.0</v>
      </c>
      <c r="D927" s="7">
        <v>0.0</v>
      </c>
      <c r="E927" s="7">
        <v>0.0</v>
      </c>
      <c r="F927" s="14"/>
      <c r="G927" s="15"/>
      <c r="H927" s="15"/>
      <c r="I927" s="14"/>
      <c r="J927" s="14"/>
    </row>
    <row r="928" ht="18.75" customHeight="1">
      <c r="A928" s="7" t="s">
        <v>3715</v>
      </c>
      <c r="B928" s="7">
        <v>0.0</v>
      </c>
      <c r="C928" s="7">
        <v>0.0</v>
      </c>
      <c r="D928" s="7">
        <v>0.0</v>
      </c>
      <c r="E928" s="7">
        <v>0.0</v>
      </c>
      <c r="F928" s="14"/>
      <c r="G928" s="15"/>
      <c r="H928" s="15"/>
      <c r="I928" s="14"/>
      <c r="J928" s="14"/>
    </row>
    <row r="929" ht="18.75" customHeight="1">
      <c r="A929" s="7" t="s">
        <v>3722</v>
      </c>
      <c r="B929" s="7">
        <v>137.0</v>
      </c>
      <c r="C929" s="7">
        <v>137.0</v>
      </c>
      <c r="D929" s="7">
        <v>32.0</v>
      </c>
      <c r="E929" s="7">
        <v>28.0</v>
      </c>
      <c r="F929" s="14"/>
      <c r="G929" s="15"/>
      <c r="H929" s="15"/>
      <c r="I929" s="14"/>
      <c r="J929" s="14"/>
      <c r="O929" s="14"/>
    </row>
    <row r="930" ht="18.75" customHeight="1">
      <c r="A930" s="7" t="s">
        <v>3720</v>
      </c>
      <c r="B930" s="7">
        <v>5000.0</v>
      </c>
      <c r="C930" s="7">
        <v>5000.0</v>
      </c>
      <c r="D930" s="7">
        <v>1305.0</v>
      </c>
      <c r="E930" s="7">
        <v>1029.0</v>
      </c>
      <c r="F930" s="14"/>
      <c r="G930" s="15"/>
      <c r="H930" s="15"/>
      <c r="I930" s="14"/>
      <c r="J930" s="14"/>
      <c r="O930" s="14"/>
    </row>
    <row r="931" ht="18.75" customHeight="1">
      <c r="A931" s="7" t="s">
        <v>3720</v>
      </c>
      <c r="B931" s="7">
        <v>160.0</v>
      </c>
      <c r="C931" s="7">
        <v>160.0</v>
      </c>
      <c r="D931" s="7">
        <v>63.0</v>
      </c>
      <c r="E931" s="7">
        <v>58.0</v>
      </c>
      <c r="F931" s="14"/>
      <c r="G931" s="15"/>
      <c r="H931" s="15"/>
      <c r="I931" s="14"/>
      <c r="J931" s="14"/>
      <c r="O931" s="14"/>
    </row>
    <row r="932" ht="18.75" customHeight="1">
      <c r="A932" s="7" t="s">
        <v>3720</v>
      </c>
      <c r="B932" s="7">
        <v>519.0</v>
      </c>
      <c r="C932" s="7">
        <v>519.0</v>
      </c>
      <c r="D932" s="7">
        <v>225.0</v>
      </c>
      <c r="E932" s="7">
        <v>219.0</v>
      </c>
      <c r="F932" s="14"/>
      <c r="G932" s="15"/>
      <c r="H932" s="15"/>
      <c r="I932" s="14"/>
      <c r="J932" s="14"/>
      <c r="O932" s="14"/>
    </row>
    <row r="933" ht="18.75" customHeight="1">
      <c r="A933" s="7" t="s">
        <v>3725</v>
      </c>
      <c r="B933" s="7">
        <v>24.0</v>
      </c>
      <c r="C933" s="7">
        <v>24.0</v>
      </c>
      <c r="D933" s="7">
        <v>6.0</v>
      </c>
      <c r="E933" s="7">
        <v>5.0</v>
      </c>
      <c r="F933" s="14"/>
      <c r="G933" s="15"/>
      <c r="H933" s="15"/>
      <c r="I933" s="14"/>
      <c r="J933" s="14"/>
      <c r="O933" s="14"/>
    </row>
    <row r="934" ht="18.75" customHeight="1">
      <c r="A934" s="7" t="s">
        <v>3724</v>
      </c>
      <c r="B934" s="7">
        <v>121.0</v>
      </c>
      <c r="C934" s="7">
        <v>121.0</v>
      </c>
      <c r="D934" s="7">
        <v>38.0</v>
      </c>
      <c r="E934" s="7">
        <v>33.0</v>
      </c>
      <c r="F934" s="14"/>
      <c r="G934" s="15"/>
      <c r="H934" s="15"/>
      <c r="I934" s="14"/>
      <c r="J934" s="14"/>
      <c r="O934" s="14"/>
    </row>
    <row r="935" ht="18.75" customHeight="1">
      <c r="A935" s="7" t="s">
        <v>3729</v>
      </c>
      <c r="B935" s="7">
        <v>56.0</v>
      </c>
      <c r="C935" s="7">
        <v>55.0</v>
      </c>
      <c r="D935" s="7">
        <v>13.0</v>
      </c>
      <c r="E935" s="7">
        <v>11.0</v>
      </c>
      <c r="F935" s="14"/>
      <c r="G935" s="15"/>
      <c r="H935" s="15"/>
      <c r="I935" s="14"/>
      <c r="J935" s="14"/>
      <c r="O935" s="14"/>
    </row>
    <row r="936" ht="18.75" customHeight="1">
      <c r="A936" s="7" t="s">
        <v>3733</v>
      </c>
      <c r="B936" s="7">
        <v>80.0</v>
      </c>
      <c r="C936" s="7">
        <v>80.0</v>
      </c>
      <c r="D936" s="7">
        <v>24.0</v>
      </c>
      <c r="E936" s="7">
        <v>24.0</v>
      </c>
      <c r="F936" s="14"/>
      <c r="G936" s="15"/>
      <c r="H936" s="15"/>
      <c r="I936" s="14"/>
      <c r="J936" s="14"/>
      <c r="O936" s="14"/>
    </row>
    <row r="937" ht="18.75" customHeight="1">
      <c r="A937" s="7" t="s">
        <v>3732</v>
      </c>
      <c r="B937" s="7">
        <v>120.0</v>
      </c>
      <c r="C937" s="7">
        <v>120.0</v>
      </c>
      <c r="D937" s="7">
        <v>37.0</v>
      </c>
      <c r="E937" s="7">
        <v>34.0</v>
      </c>
      <c r="F937" s="14"/>
      <c r="G937" s="15"/>
      <c r="H937" s="15"/>
      <c r="I937" s="14"/>
      <c r="J937" s="14"/>
      <c r="O937" s="14"/>
    </row>
    <row r="938" ht="18.75" customHeight="1">
      <c r="A938" s="7" t="s">
        <v>3730</v>
      </c>
      <c r="B938" s="7">
        <v>118.0</v>
      </c>
      <c r="C938" s="7">
        <v>118.0</v>
      </c>
      <c r="D938" s="7">
        <v>27.0</v>
      </c>
      <c r="E938" s="7">
        <v>27.0</v>
      </c>
      <c r="F938" s="14"/>
      <c r="G938" s="15"/>
      <c r="H938" s="15"/>
      <c r="I938" s="14"/>
      <c r="J938" s="14"/>
      <c r="O938" s="14"/>
    </row>
    <row r="939" ht="18.75" customHeight="1">
      <c r="A939" s="7" t="s">
        <v>3723</v>
      </c>
      <c r="B939" s="7">
        <v>129.0</v>
      </c>
      <c r="C939" s="7">
        <v>129.0</v>
      </c>
      <c r="D939" s="7">
        <v>46.0</v>
      </c>
      <c r="E939" s="7">
        <v>44.0</v>
      </c>
      <c r="F939" s="14"/>
      <c r="G939" s="15"/>
      <c r="H939" s="15"/>
      <c r="I939" s="14"/>
      <c r="J939" s="14"/>
      <c r="O939" s="14"/>
    </row>
    <row r="940" ht="18.75" customHeight="1">
      <c r="A940" s="7" t="s">
        <v>418</v>
      </c>
      <c r="B940" s="7">
        <v>6500.0</v>
      </c>
      <c r="C940" s="7">
        <v>6499.0</v>
      </c>
      <c r="D940" s="7">
        <v>1609.0</v>
      </c>
      <c r="E940" s="7">
        <v>1162.0</v>
      </c>
      <c r="F940" s="14"/>
      <c r="G940" s="15"/>
      <c r="H940" s="15"/>
      <c r="I940" s="14"/>
      <c r="J940" s="14"/>
      <c r="O940" s="14"/>
    </row>
    <row r="941" ht="18.75" customHeight="1">
      <c r="A941" s="7" t="s">
        <v>418</v>
      </c>
      <c r="B941" s="7">
        <v>63.0</v>
      </c>
      <c r="C941" s="7">
        <v>63.0</v>
      </c>
      <c r="D941" s="7">
        <v>43.0</v>
      </c>
      <c r="E941" s="7">
        <v>41.0</v>
      </c>
      <c r="F941" s="14"/>
      <c r="G941" s="15"/>
      <c r="H941" s="15"/>
      <c r="I941" s="14"/>
      <c r="J941" s="14"/>
      <c r="O941" s="14"/>
    </row>
    <row r="942" ht="18.75" customHeight="1">
      <c r="A942" s="7" t="s">
        <v>418</v>
      </c>
      <c r="B942" s="7">
        <v>207.0</v>
      </c>
      <c r="C942" s="7">
        <v>207.0</v>
      </c>
      <c r="D942" s="7">
        <v>99.0</v>
      </c>
      <c r="E942" s="7">
        <v>92.0</v>
      </c>
      <c r="F942" s="14"/>
      <c r="G942" s="15"/>
      <c r="H942" s="15"/>
      <c r="I942" s="14"/>
      <c r="J942" s="14"/>
      <c r="O942" s="14"/>
    </row>
    <row r="943" ht="18.75" customHeight="1">
      <c r="A943" s="7" t="s">
        <v>3738</v>
      </c>
      <c r="B943" s="7">
        <v>96.0</v>
      </c>
      <c r="C943" s="7">
        <v>96.0</v>
      </c>
      <c r="D943" s="7">
        <v>28.0</v>
      </c>
      <c r="E943" s="7">
        <v>25.0</v>
      </c>
      <c r="F943" s="14"/>
      <c r="G943" s="15"/>
      <c r="H943" s="15"/>
      <c r="I943" s="14"/>
      <c r="J943" s="14"/>
      <c r="O943" s="14"/>
    </row>
    <row r="944" ht="18.75" customHeight="1">
      <c r="A944" s="7" t="s">
        <v>3737</v>
      </c>
      <c r="B944" s="7">
        <v>100.0</v>
      </c>
      <c r="C944" s="7">
        <v>100.0</v>
      </c>
      <c r="D944" s="7">
        <v>28.0</v>
      </c>
      <c r="E944" s="7">
        <v>27.0</v>
      </c>
      <c r="F944" s="14"/>
      <c r="G944" s="15"/>
      <c r="H944" s="15"/>
      <c r="I944" s="14"/>
      <c r="J944" s="14"/>
      <c r="O944" s="14"/>
    </row>
    <row r="945" ht="18.75" customHeight="1">
      <c r="A945" s="7" t="s">
        <v>3736</v>
      </c>
      <c r="B945" s="7">
        <v>63.0</v>
      </c>
      <c r="C945" s="7">
        <v>63.0</v>
      </c>
      <c r="D945" s="7">
        <v>15.0</v>
      </c>
      <c r="E945" s="7">
        <v>13.0</v>
      </c>
      <c r="F945" s="14"/>
      <c r="G945" s="15"/>
      <c r="H945" s="15"/>
      <c r="I945" s="14"/>
      <c r="J945" s="14"/>
      <c r="O945" s="14"/>
    </row>
    <row r="946" ht="18.75" customHeight="1">
      <c r="A946" s="7" t="s">
        <v>3731</v>
      </c>
      <c r="B946" s="7">
        <v>79.0</v>
      </c>
      <c r="C946" s="7">
        <v>79.0</v>
      </c>
      <c r="D946" s="7">
        <v>26.0</v>
      </c>
      <c r="E946" s="7">
        <v>24.0</v>
      </c>
      <c r="F946" s="14"/>
      <c r="G946" s="15"/>
      <c r="H946" s="15"/>
      <c r="I946" s="14"/>
      <c r="J946" s="14"/>
      <c r="O946" s="14"/>
    </row>
    <row r="947" ht="18.75" customHeight="1">
      <c r="A947" s="7" t="s">
        <v>3735</v>
      </c>
      <c r="B947" s="7">
        <v>0.0</v>
      </c>
      <c r="C947" s="7">
        <v>0.0</v>
      </c>
      <c r="D947" s="7">
        <v>0.0</v>
      </c>
      <c r="E947" s="7">
        <v>0.0</v>
      </c>
      <c r="F947" s="14"/>
      <c r="G947" s="15"/>
      <c r="H947" s="15"/>
      <c r="I947" s="14"/>
      <c r="J947" s="14"/>
      <c r="O947" s="14"/>
    </row>
    <row r="948" ht="18.75" customHeight="1">
      <c r="A948" s="7" t="s">
        <v>3715</v>
      </c>
      <c r="B948" s="7">
        <v>3000.0</v>
      </c>
      <c r="C948" s="7">
        <v>3000.0</v>
      </c>
      <c r="D948" s="7">
        <v>677.0</v>
      </c>
      <c r="E948" s="7">
        <v>526.0</v>
      </c>
      <c r="F948" s="14"/>
      <c r="G948" s="15"/>
      <c r="H948" s="15"/>
      <c r="I948" s="14"/>
      <c r="J948" s="14"/>
      <c r="O948" s="14"/>
    </row>
    <row r="949" ht="18.75" customHeight="1">
      <c r="A949" s="7" t="s">
        <v>3735</v>
      </c>
      <c r="B949" s="7">
        <v>63.0</v>
      </c>
      <c r="C949" s="7">
        <v>63.0</v>
      </c>
      <c r="D949" s="7">
        <v>17.0</v>
      </c>
      <c r="E949" s="7">
        <v>17.0</v>
      </c>
      <c r="F949" s="14"/>
      <c r="G949" s="15"/>
      <c r="H949" s="15"/>
      <c r="I949" s="14"/>
      <c r="J949" s="14"/>
      <c r="O949" s="14"/>
    </row>
    <row r="950" ht="18.75" customHeight="1">
      <c r="A950" s="7" t="s">
        <v>411</v>
      </c>
      <c r="B950" s="7">
        <v>41000.0</v>
      </c>
      <c r="C950" s="7">
        <v>38657.0</v>
      </c>
      <c r="D950" s="7">
        <v>7137.0</v>
      </c>
      <c r="E950" s="7">
        <v>4305.0</v>
      </c>
      <c r="F950" s="14"/>
      <c r="G950" s="15"/>
      <c r="H950" s="15"/>
      <c r="I950" s="14"/>
      <c r="J950" s="14"/>
      <c r="O950" s="14"/>
    </row>
    <row r="951" ht="18.75" customHeight="1">
      <c r="A951" s="7" t="s">
        <v>420</v>
      </c>
      <c r="B951" s="7">
        <v>12000.0</v>
      </c>
      <c r="C951" s="7">
        <v>11037.0</v>
      </c>
      <c r="D951" s="7">
        <v>2752.0</v>
      </c>
      <c r="E951" s="7">
        <v>2052.0</v>
      </c>
      <c r="F951" s="14"/>
      <c r="G951" s="15"/>
      <c r="H951" s="15"/>
      <c r="I951" s="14"/>
      <c r="J951" s="14"/>
      <c r="O951" s="14"/>
    </row>
    <row r="952" ht="18.75" customHeight="1">
      <c r="A952" s="7" t="s">
        <v>408</v>
      </c>
      <c r="B952" s="7">
        <v>2471.0</v>
      </c>
      <c r="C952" s="7">
        <v>2471.0</v>
      </c>
      <c r="D952" s="7">
        <v>938.0</v>
      </c>
      <c r="E952" s="7">
        <v>695.0</v>
      </c>
      <c r="F952" s="14"/>
      <c r="G952" s="15"/>
      <c r="H952" s="15"/>
      <c r="I952" s="14"/>
      <c r="J952" s="14"/>
      <c r="O952" s="14"/>
    </row>
    <row r="953" ht="18.75" customHeight="1">
      <c r="A953" s="7" t="s">
        <v>3864</v>
      </c>
      <c r="B953" s="7">
        <v>89365.0</v>
      </c>
      <c r="C953" s="7">
        <v>85763.0</v>
      </c>
      <c r="D953" s="7">
        <v>20475.0</v>
      </c>
      <c r="E953" s="7">
        <v>13243.0</v>
      </c>
      <c r="F953" s="14"/>
      <c r="G953" s="15"/>
      <c r="H953" s="15"/>
      <c r="I953" s="14"/>
      <c r="J953" s="14"/>
      <c r="O953" s="14"/>
    </row>
    <row r="954" ht="18.75" customHeight="1">
      <c r="A954" s="7" t="s">
        <v>428</v>
      </c>
      <c r="B954" s="7">
        <v>0.0</v>
      </c>
      <c r="C954" s="7">
        <v>0.0</v>
      </c>
      <c r="D954" s="7">
        <v>0.0</v>
      </c>
      <c r="E954" s="7">
        <v>0.0</v>
      </c>
      <c r="F954" s="14"/>
      <c r="G954" s="15"/>
      <c r="H954" s="15"/>
      <c r="I954" s="14"/>
      <c r="J954" s="14"/>
      <c r="O954" s="14"/>
    </row>
    <row r="955" ht="18.75" customHeight="1">
      <c r="A955" s="7" t="s">
        <v>452</v>
      </c>
      <c r="B955" s="7">
        <v>10000.0</v>
      </c>
      <c r="C955" s="7">
        <v>9486.0</v>
      </c>
      <c r="D955" s="7">
        <v>2079.0</v>
      </c>
      <c r="E955" s="7">
        <v>1511.0</v>
      </c>
      <c r="F955" s="14"/>
      <c r="G955" s="15"/>
      <c r="H955" s="15"/>
      <c r="I955" s="14"/>
      <c r="J955" s="14"/>
      <c r="O955" s="14"/>
    </row>
    <row r="956" ht="18.75" customHeight="1">
      <c r="A956" s="7" t="s">
        <v>452</v>
      </c>
      <c r="B956" s="7">
        <v>49.0</v>
      </c>
      <c r="C956" s="7">
        <v>49.0</v>
      </c>
      <c r="D956" s="7">
        <v>29.0</v>
      </c>
      <c r="E956" s="7">
        <v>26.0</v>
      </c>
      <c r="F956" s="14"/>
      <c r="G956" s="15"/>
      <c r="H956" s="15"/>
      <c r="I956" s="14"/>
      <c r="J956" s="14"/>
      <c r="O956" s="14"/>
    </row>
    <row r="957" ht="18.75" customHeight="1">
      <c r="A957" s="7" t="s">
        <v>452</v>
      </c>
      <c r="B957" s="7">
        <v>270.0</v>
      </c>
      <c r="C957" s="7">
        <v>270.0</v>
      </c>
      <c r="D957" s="7">
        <v>116.0</v>
      </c>
      <c r="E957" s="7">
        <v>111.0</v>
      </c>
      <c r="F957" s="14"/>
      <c r="G957" s="15"/>
      <c r="H957" s="15"/>
      <c r="I957" s="14"/>
      <c r="J957" s="14"/>
      <c r="O957" s="14"/>
    </row>
    <row r="958" ht="18.75" customHeight="1">
      <c r="A958" s="7" t="s">
        <v>539</v>
      </c>
      <c r="B958" s="7">
        <v>9000.0</v>
      </c>
      <c r="C958" s="7">
        <v>7116.0</v>
      </c>
      <c r="D958" s="7">
        <v>1543.0</v>
      </c>
      <c r="E958" s="7">
        <v>1129.0</v>
      </c>
      <c r="F958" s="14"/>
      <c r="G958" s="15"/>
      <c r="H958" s="15"/>
      <c r="I958" s="14"/>
      <c r="J958" s="14"/>
      <c r="O958" s="14"/>
    </row>
    <row r="959" ht="18.75" customHeight="1">
      <c r="A959" s="7" t="s">
        <v>539</v>
      </c>
      <c r="B959" s="7">
        <v>108.0</v>
      </c>
      <c r="C959" s="7">
        <v>108.0</v>
      </c>
      <c r="D959" s="7">
        <v>43.0</v>
      </c>
      <c r="E959" s="7">
        <v>42.0</v>
      </c>
      <c r="F959" s="14"/>
      <c r="G959" s="15"/>
      <c r="H959" s="15"/>
      <c r="I959" s="14"/>
      <c r="J959" s="14"/>
      <c r="O959" s="14"/>
    </row>
    <row r="960" ht="18.75" customHeight="1">
      <c r="A960" s="7" t="s">
        <v>539</v>
      </c>
      <c r="B960" s="7">
        <v>297.0</v>
      </c>
      <c r="C960" s="7">
        <v>297.0</v>
      </c>
      <c r="D960" s="7">
        <v>149.0</v>
      </c>
      <c r="E960" s="7">
        <v>141.0</v>
      </c>
      <c r="F960" s="14"/>
      <c r="G960" s="15"/>
      <c r="H960" s="15"/>
      <c r="I960" s="14"/>
      <c r="J960" s="14"/>
      <c r="O960" s="14"/>
    </row>
    <row r="961" ht="18.75" customHeight="1">
      <c r="A961" s="7" t="s">
        <v>597</v>
      </c>
      <c r="B961" s="7">
        <v>11000.0</v>
      </c>
      <c r="C961" s="7">
        <v>10750.0</v>
      </c>
      <c r="D961" s="7">
        <v>2528.0</v>
      </c>
      <c r="E961" s="7">
        <v>1844.0</v>
      </c>
      <c r="F961" s="14"/>
      <c r="G961" s="15"/>
      <c r="H961" s="15"/>
      <c r="I961" s="14"/>
      <c r="J961" s="14"/>
      <c r="O961" s="14"/>
    </row>
    <row r="962" ht="18.75" customHeight="1">
      <c r="A962" s="7" t="s">
        <v>597</v>
      </c>
      <c r="B962" s="7">
        <v>79.0</v>
      </c>
      <c r="C962" s="7">
        <v>79.0</v>
      </c>
      <c r="D962" s="7">
        <v>64.0</v>
      </c>
      <c r="E962" s="7">
        <v>40.0</v>
      </c>
      <c r="F962" s="14"/>
      <c r="G962" s="15"/>
      <c r="H962" s="15"/>
      <c r="I962" s="14"/>
      <c r="J962" s="14"/>
      <c r="O962" s="14"/>
    </row>
    <row r="963" ht="18.75" customHeight="1">
      <c r="A963" s="7" t="s">
        <v>597</v>
      </c>
      <c r="B963" s="7">
        <v>259.0</v>
      </c>
      <c r="C963" s="7">
        <v>257.0</v>
      </c>
      <c r="D963" s="7">
        <v>125.0</v>
      </c>
      <c r="E963" s="7">
        <v>121.0</v>
      </c>
      <c r="F963" s="14"/>
      <c r="G963" s="15"/>
      <c r="H963" s="15"/>
      <c r="I963" s="14"/>
      <c r="J963" s="14"/>
      <c r="O963" s="14"/>
    </row>
    <row r="964" ht="18.75" customHeight="1">
      <c r="A964" s="7" t="s">
        <v>603</v>
      </c>
      <c r="B964" s="7">
        <v>311.0</v>
      </c>
      <c r="C964" s="7">
        <v>311.0</v>
      </c>
      <c r="D964" s="7">
        <v>86.0</v>
      </c>
      <c r="E964" s="7">
        <v>81.0</v>
      </c>
      <c r="F964" s="14"/>
      <c r="G964" s="15"/>
      <c r="H964" s="15"/>
      <c r="I964" s="14"/>
      <c r="J964" s="14"/>
      <c r="O964" s="14"/>
    </row>
    <row r="965" ht="18.75" customHeight="1">
      <c r="A965" s="7" t="s">
        <v>599</v>
      </c>
      <c r="B965" s="7">
        <v>8000.0</v>
      </c>
      <c r="C965" s="7">
        <v>7994.0</v>
      </c>
      <c r="D965" s="7">
        <v>1314.0</v>
      </c>
      <c r="E965" s="7">
        <v>989.0</v>
      </c>
      <c r="F965" s="14"/>
      <c r="G965" s="15"/>
      <c r="H965" s="15"/>
      <c r="I965" s="14"/>
      <c r="J965" s="14"/>
      <c r="O965" s="14"/>
    </row>
    <row r="966" ht="18.75" customHeight="1">
      <c r="A966" s="7" t="s">
        <v>599</v>
      </c>
      <c r="B966" s="7">
        <v>99.0</v>
      </c>
      <c r="C966" s="7">
        <v>99.0</v>
      </c>
      <c r="D966" s="7">
        <v>40.0</v>
      </c>
      <c r="E966" s="7">
        <v>34.0</v>
      </c>
      <c r="F966" s="14"/>
      <c r="G966" s="15"/>
      <c r="H966" s="15"/>
      <c r="I966" s="14"/>
      <c r="J966" s="14"/>
      <c r="O966" s="14"/>
    </row>
    <row r="967" ht="18.75" customHeight="1">
      <c r="A967" s="7" t="s">
        <v>599</v>
      </c>
      <c r="B967" s="7">
        <v>306.0</v>
      </c>
      <c r="C967" s="7">
        <v>306.0</v>
      </c>
      <c r="D967" s="7">
        <v>132.0</v>
      </c>
      <c r="E967" s="7">
        <v>126.0</v>
      </c>
      <c r="F967" s="14"/>
      <c r="G967" s="15"/>
      <c r="H967" s="15"/>
      <c r="I967" s="14"/>
      <c r="J967" s="14"/>
      <c r="O967" s="14"/>
    </row>
    <row r="968" ht="18.75" customHeight="1">
      <c r="A968" s="7" t="s">
        <v>592</v>
      </c>
      <c r="B968" s="7">
        <v>56.0</v>
      </c>
      <c r="C968" s="7">
        <v>56.0</v>
      </c>
      <c r="D968" s="7">
        <v>17.0</v>
      </c>
      <c r="E968" s="7">
        <v>16.0</v>
      </c>
      <c r="F968" s="14"/>
      <c r="G968" s="15"/>
      <c r="H968" s="15"/>
      <c r="I968" s="14"/>
      <c r="J968" s="14"/>
      <c r="O968" s="14"/>
    </row>
    <row r="969" ht="18.75" customHeight="1">
      <c r="A969" s="7" t="s">
        <v>615</v>
      </c>
      <c r="B969" s="7">
        <v>108.0</v>
      </c>
      <c r="C969" s="7">
        <v>108.0</v>
      </c>
      <c r="D969" s="7">
        <v>43.0</v>
      </c>
      <c r="E969" s="7">
        <v>40.0</v>
      </c>
      <c r="F969" s="14"/>
      <c r="G969" s="15"/>
      <c r="H969" s="15"/>
      <c r="I969" s="14"/>
      <c r="J969" s="14"/>
      <c r="O969" s="14"/>
    </row>
    <row r="970" ht="18.75" customHeight="1">
      <c r="A970" s="7" t="s">
        <v>613</v>
      </c>
      <c r="B970" s="7">
        <v>170.0</v>
      </c>
      <c r="C970" s="7">
        <v>167.0</v>
      </c>
      <c r="D970" s="7">
        <v>48.0</v>
      </c>
      <c r="E970" s="7">
        <v>48.0</v>
      </c>
      <c r="F970" s="14"/>
      <c r="G970" s="15"/>
      <c r="H970" s="15"/>
      <c r="I970" s="14"/>
      <c r="J970" s="14"/>
      <c r="O970" s="14"/>
    </row>
    <row r="971" ht="18.75" customHeight="1">
      <c r="A971" s="7" t="s">
        <v>617</v>
      </c>
      <c r="B971" s="7">
        <v>128.0</v>
      </c>
      <c r="C971" s="7">
        <v>128.0</v>
      </c>
      <c r="D971" s="7">
        <v>28.0</v>
      </c>
      <c r="E971" s="7">
        <v>27.0</v>
      </c>
      <c r="F971" s="14"/>
      <c r="G971" s="15"/>
      <c r="H971" s="15"/>
      <c r="I971" s="14"/>
      <c r="J971" s="14"/>
      <c r="O971" s="14"/>
    </row>
    <row r="972" ht="18.75" customHeight="1">
      <c r="A972" s="7" t="s">
        <v>619</v>
      </c>
      <c r="B972" s="7">
        <v>176.0</v>
      </c>
      <c r="C972" s="7">
        <v>176.0</v>
      </c>
      <c r="D972" s="7">
        <v>45.0</v>
      </c>
      <c r="E972" s="7">
        <v>42.0</v>
      </c>
      <c r="F972" s="14"/>
      <c r="G972" s="15"/>
      <c r="H972" s="15"/>
      <c r="I972" s="14"/>
      <c r="J972" s="14"/>
      <c r="O972" s="14"/>
    </row>
    <row r="973" ht="18.75" customHeight="1">
      <c r="A973" s="7" t="s">
        <v>631</v>
      </c>
      <c r="B973" s="7">
        <v>123.0</v>
      </c>
      <c r="C973" s="7">
        <v>122.0</v>
      </c>
      <c r="D973" s="7">
        <v>35.0</v>
      </c>
      <c r="E973" s="7">
        <v>33.0</v>
      </c>
      <c r="F973" s="14"/>
      <c r="G973" s="15"/>
      <c r="H973" s="15"/>
      <c r="I973" s="14"/>
      <c r="J973" s="14"/>
      <c r="O973" s="14"/>
    </row>
    <row r="974" ht="18.75" customHeight="1">
      <c r="A974" s="7" t="s">
        <v>595</v>
      </c>
      <c r="B974" s="7">
        <v>51.0</v>
      </c>
      <c r="C974" s="7">
        <v>51.0</v>
      </c>
      <c r="D974" s="7">
        <v>20.0</v>
      </c>
      <c r="E974" s="7">
        <v>19.0</v>
      </c>
      <c r="F974" s="14"/>
      <c r="G974" s="15"/>
      <c r="H974" s="15"/>
      <c r="I974" s="14"/>
      <c r="J974" s="14"/>
      <c r="O974" s="14"/>
    </row>
    <row r="975" ht="18.75" customHeight="1">
      <c r="A975" s="7" t="s">
        <v>435</v>
      </c>
      <c r="B975" s="7">
        <v>6925.0</v>
      </c>
      <c r="C975" s="7">
        <v>6908.0</v>
      </c>
      <c r="D975" s="7">
        <v>1374.0</v>
      </c>
      <c r="E975" s="7">
        <v>1022.0</v>
      </c>
      <c r="F975" s="14"/>
      <c r="G975" s="15"/>
      <c r="H975" s="15"/>
      <c r="I975" s="14"/>
      <c r="J975" s="14"/>
      <c r="O975" s="14"/>
    </row>
    <row r="976" ht="18.75" customHeight="1">
      <c r="A976" s="7" t="s">
        <v>672</v>
      </c>
      <c r="B976" s="7">
        <v>193.0</v>
      </c>
      <c r="C976" s="7">
        <v>193.0</v>
      </c>
      <c r="D976" s="7">
        <v>52.0</v>
      </c>
      <c r="E976" s="7">
        <v>50.0</v>
      </c>
      <c r="F976" s="14"/>
      <c r="G976" s="15"/>
      <c r="H976" s="15"/>
      <c r="I976" s="14"/>
      <c r="J976" s="14"/>
      <c r="O976" s="14"/>
    </row>
    <row r="977" ht="18.75" customHeight="1">
      <c r="A977" s="7" t="s">
        <v>655</v>
      </c>
      <c r="B977" s="7">
        <v>132.0</v>
      </c>
      <c r="C977" s="7">
        <v>132.0</v>
      </c>
      <c r="D977" s="7">
        <v>31.0</v>
      </c>
      <c r="E977" s="7">
        <v>23.0</v>
      </c>
      <c r="F977" s="14"/>
      <c r="G977" s="15"/>
      <c r="H977" s="15"/>
      <c r="I977" s="14"/>
      <c r="J977" s="14"/>
      <c r="O977" s="14"/>
    </row>
    <row r="978" ht="18.75" customHeight="1">
      <c r="A978" s="7" t="s">
        <v>678</v>
      </c>
      <c r="B978" s="7">
        <v>63.0</v>
      </c>
      <c r="C978" s="7">
        <v>63.0</v>
      </c>
      <c r="D978" s="7">
        <v>19.0</v>
      </c>
      <c r="E978" s="7">
        <v>19.0</v>
      </c>
      <c r="F978" s="14"/>
      <c r="G978" s="15"/>
      <c r="H978" s="15"/>
      <c r="I978" s="14"/>
      <c r="J978" s="14"/>
      <c r="O978" s="14"/>
    </row>
    <row r="979" ht="18.75" customHeight="1">
      <c r="A979" s="7" t="s">
        <v>674</v>
      </c>
      <c r="B979" s="7">
        <v>48.0</v>
      </c>
      <c r="C979" s="7">
        <v>48.0</v>
      </c>
      <c r="D979" s="7">
        <v>18.0</v>
      </c>
      <c r="E979" s="7">
        <v>17.0</v>
      </c>
      <c r="F979" s="14"/>
      <c r="G979" s="15"/>
      <c r="H979" s="15"/>
      <c r="I979" s="14"/>
      <c r="J979" s="14"/>
    </row>
    <row r="980" ht="18.75" customHeight="1">
      <c r="A980" s="7" t="s">
        <v>668</v>
      </c>
      <c r="B980" s="7">
        <v>7613.0</v>
      </c>
      <c r="C980" s="7">
        <v>7613.0</v>
      </c>
      <c r="D980" s="7">
        <v>1642.0</v>
      </c>
      <c r="E980" s="7">
        <v>1192.0</v>
      </c>
      <c r="F980" s="14"/>
      <c r="G980" s="15"/>
      <c r="H980" s="15"/>
      <c r="I980" s="14"/>
      <c r="J980" s="14"/>
      <c r="O980" s="14"/>
    </row>
    <row r="981" ht="18.75" customHeight="1">
      <c r="A981" s="7" t="s">
        <v>668</v>
      </c>
      <c r="B981" s="7">
        <v>81.0</v>
      </c>
      <c r="C981" s="7">
        <v>81.0</v>
      </c>
      <c r="D981" s="7">
        <v>46.0</v>
      </c>
      <c r="E981" s="7">
        <v>43.0</v>
      </c>
      <c r="F981" s="14"/>
      <c r="G981" s="15"/>
      <c r="H981" s="15"/>
      <c r="I981" s="14"/>
      <c r="J981" s="14"/>
      <c r="O981" s="14"/>
    </row>
    <row r="982" ht="18.75" customHeight="1">
      <c r="A982" s="7" t="s">
        <v>668</v>
      </c>
      <c r="B982" s="7">
        <v>252.0</v>
      </c>
      <c r="C982" s="7">
        <v>251.0</v>
      </c>
      <c r="D982" s="7">
        <v>81.0</v>
      </c>
      <c r="E982" s="7">
        <v>79.0</v>
      </c>
      <c r="F982" s="14"/>
      <c r="G982" s="15"/>
      <c r="H982" s="15"/>
      <c r="I982" s="14"/>
      <c r="J982" s="14"/>
      <c r="O982" s="14"/>
    </row>
    <row r="983" ht="18.75" customHeight="1">
      <c r="A983" s="7" t="s">
        <v>665</v>
      </c>
      <c r="B983" s="7">
        <v>100.0</v>
      </c>
      <c r="C983" s="7">
        <v>100.0</v>
      </c>
      <c r="D983" s="7">
        <v>19.0</v>
      </c>
      <c r="E983" s="7">
        <v>18.0</v>
      </c>
      <c r="F983" s="14"/>
      <c r="G983" s="15"/>
      <c r="H983" s="15"/>
      <c r="I983" s="14"/>
      <c r="J983" s="14"/>
      <c r="O983" s="14"/>
    </row>
    <row r="984" ht="18.75" customHeight="1">
      <c r="A984" s="7" t="s">
        <v>676</v>
      </c>
      <c r="B984" s="7">
        <v>79.0</v>
      </c>
      <c r="C984" s="7">
        <v>79.0</v>
      </c>
      <c r="D984" s="7">
        <v>18.0</v>
      </c>
      <c r="E984" s="7">
        <v>17.0</v>
      </c>
      <c r="F984" s="14"/>
      <c r="G984" s="15"/>
      <c r="H984" s="15"/>
      <c r="I984" s="14"/>
      <c r="J984" s="14"/>
      <c r="O984" s="14"/>
    </row>
    <row r="985" ht="18.75" customHeight="1">
      <c r="A985" s="7" t="s">
        <v>670</v>
      </c>
      <c r="B985" s="7">
        <v>7626.0</v>
      </c>
      <c r="C985" s="7">
        <v>6718.0</v>
      </c>
      <c r="D985" s="7">
        <v>1012.0</v>
      </c>
      <c r="E985" s="7">
        <v>719.0</v>
      </c>
      <c r="F985" s="14"/>
      <c r="G985" s="15"/>
      <c r="H985" s="15"/>
      <c r="I985" s="14"/>
      <c r="J985" s="14"/>
      <c r="O985" s="14"/>
    </row>
    <row r="986" ht="18.75" customHeight="1">
      <c r="A986" s="7" t="s">
        <v>670</v>
      </c>
      <c r="B986" s="7">
        <v>20.0</v>
      </c>
      <c r="C986" s="7">
        <v>20.0</v>
      </c>
      <c r="D986" s="7">
        <v>11.0</v>
      </c>
      <c r="E986" s="7">
        <v>11.0</v>
      </c>
      <c r="F986" s="14"/>
      <c r="G986" s="15"/>
      <c r="H986" s="15"/>
      <c r="I986" s="14"/>
      <c r="J986" s="14"/>
      <c r="O986" s="14"/>
    </row>
    <row r="987" ht="18.75" customHeight="1">
      <c r="A987" s="7" t="s">
        <v>670</v>
      </c>
      <c r="B987" s="7">
        <v>133.0</v>
      </c>
      <c r="C987" s="7">
        <v>133.0</v>
      </c>
      <c r="D987" s="7">
        <v>66.0</v>
      </c>
      <c r="E987" s="7">
        <v>63.0</v>
      </c>
      <c r="F987" s="14"/>
      <c r="G987" s="15"/>
      <c r="H987" s="15"/>
      <c r="I987" s="14"/>
      <c r="J987" s="14"/>
      <c r="O987" s="14"/>
    </row>
    <row r="988" ht="18.75" customHeight="1">
      <c r="A988" s="7" t="s">
        <v>663</v>
      </c>
      <c r="B988" s="7">
        <v>160.0</v>
      </c>
      <c r="C988" s="7">
        <v>160.0</v>
      </c>
      <c r="D988" s="7">
        <v>35.0</v>
      </c>
      <c r="E988" s="7">
        <v>33.0</v>
      </c>
      <c r="F988" s="14"/>
      <c r="G988" s="15"/>
      <c r="H988" s="15"/>
      <c r="I988" s="14"/>
      <c r="J988" s="14"/>
      <c r="O988" s="14"/>
    </row>
    <row r="989" ht="18.75" customHeight="1">
      <c r="A989" s="7" t="s">
        <v>659</v>
      </c>
      <c r="B989" s="7">
        <v>98.0</v>
      </c>
      <c r="C989" s="7">
        <v>98.0</v>
      </c>
      <c r="D989" s="7">
        <v>29.0</v>
      </c>
      <c r="E989" s="7">
        <v>27.0</v>
      </c>
      <c r="F989" s="14"/>
      <c r="G989" s="15"/>
      <c r="H989" s="15"/>
      <c r="I989" s="14"/>
      <c r="J989" s="14"/>
      <c r="O989" s="14"/>
    </row>
    <row r="990" ht="18.75" customHeight="1">
      <c r="A990" s="7" t="s">
        <v>657</v>
      </c>
      <c r="B990" s="7">
        <v>111.0</v>
      </c>
      <c r="C990" s="7">
        <v>111.0</v>
      </c>
      <c r="D990" s="7">
        <v>27.0</v>
      </c>
      <c r="E990" s="7">
        <v>26.0</v>
      </c>
      <c r="F990" s="14"/>
      <c r="G990" s="15"/>
      <c r="H990" s="15"/>
      <c r="I990" s="14"/>
      <c r="J990" s="14"/>
      <c r="O990" s="14"/>
    </row>
    <row r="991" ht="18.75" customHeight="1">
      <c r="A991" s="7" t="s">
        <v>661</v>
      </c>
      <c r="B991" s="7">
        <v>163.0</v>
      </c>
      <c r="C991" s="7">
        <v>163.0</v>
      </c>
      <c r="D991" s="7">
        <v>52.0</v>
      </c>
      <c r="E991" s="7">
        <v>49.0</v>
      </c>
      <c r="F991" s="14"/>
      <c r="G991" s="15"/>
      <c r="H991" s="15"/>
      <c r="I991" s="14"/>
      <c r="J991" s="14"/>
      <c r="O991" s="14"/>
    </row>
    <row r="992" ht="18.75" customHeight="1">
      <c r="A992" s="7" t="s">
        <v>691</v>
      </c>
      <c r="B992" s="7">
        <v>149.0</v>
      </c>
      <c r="C992" s="7">
        <v>149.0</v>
      </c>
      <c r="D992" s="7">
        <v>37.0</v>
      </c>
      <c r="E992" s="7">
        <v>36.0</v>
      </c>
      <c r="F992" s="14"/>
      <c r="G992" s="15"/>
      <c r="H992" s="15"/>
      <c r="I992" s="14"/>
      <c r="J992" s="14"/>
    </row>
    <row r="993" ht="18.75" customHeight="1">
      <c r="A993" s="7" t="s">
        <v>732</v>
      </c>
      <c r="B993" s="19">
        <v>0.0</v>
      </c>
      <c r="C993" s="18">
        <v>0.0</v>
      </c>
      <c r="D993" s="18">
        <v>0.0</v>
      </c>
      <c r="E993" s="18">
        <v>0.0</v>
      </c>
    </row>
    <row r="994" ht="18.75" customHeight="1">
      <c r="A994" s="7" t="s">
        <v>744</v>
      </c>
      <c r="B994" s="19">
        <v>271.0</v>
      </c>
      <c r="C994" s="18">
        <v>270.0</v>
      </c>
      <c r="D994" s="18">
        <v>87.0</v>
      </c>
      <c r="E994" s="18">
        <v>84.0</v>
      </c>
    </row>
    <row r="995" ht="18.75" customHeight="1">
      <c r="A995" s="7" t="s">
        <v>726</v>
      </c>
      <c r="B995" s="19">
        <v>6000.0</v>
      </c>
      <c r="C995" s="18">
        <v>2396.0</v>
      </c>
      <c r="D995" s="18">
        <v>455.0</v>
      </c>
      <c r="E995" s="18">
        <v>339.0</v>
      </c>
    </row>
    <row r="996" ht="18.75" customHeight="1">
      <c r="A996" s="7" t="s">
        <v>726</v>
      </c>
      <c r="B996" s="19">
        <v>114.0</v>
      </c>
      <c r="C996" s="18">
        <v>114.0</v>
      </c>
      <c r="D996" s="18">
        <v>53.0</v>
      </c>
      <c r="E996" s="18">
        <v>49.0</v>
      </c>
    </row>
    <row r="997" ht="18.75" customHeight="1">
      <c r="A997" s="7" t="s">
        <v>726</v>
      </c>
      <c r="B997" s="19">
        <v>271.0</v>
      </c>
      <c r="C997" s="18">
        <v>270.0</v>
      </c>
      <c r="D997" s="18">
        <v>102.0</v>
      </c>
      <c r="E997" s="18">
        <v>92.0</v>
      </c>
    </row>
    <row r="998" ht="18.75" customHeight="1">
      <c r="A998" s="7" t="s">
        <v>740</v>
      </c>
      <c r="B998" s="19">
        <v>100.0</v>
      </c>
      <c r="C998" s="18">
        <v>100.0</v>
      </c>
      <c r="D998" s="18">
        <v>32.0</v>
      </c>
      <c r="E998" s="18">
        <v>30.0</v>
      </c>
    </row>
    <row r="999" ht="18.75" customHeight="1">
      <c r="A999" s="7" t="s">
        <v>738</v>
      </c>
      <c r="B999" s="19">
        <v>134.0</v>
      </c>
      <c r="C999" s="18">
        <v>134.0</v>
      </c>
      <c r="D999" s="18">
        <v>51.0</v>
      </c>
      <c r="E999" s="18">
        <v>50.0</v>
      </c>
    </row>
    <row r="1000" ht="18.75" customHeight="1">
      <c r="A1000" s="7" t="s">
        <v>742</v>
      </c>
      <c r="B1000" s="19">
        <v>149.0</v>
      </c>
      <c r="C1000" s="18">
        <v>149.0</v>
      </c>
      <c r="D1000" s="18">
        <v>44.0</v>
      </c>
      <c r="E1000" s="18">
        <v>42.0</v>
      </c>
    </row>
    <row r="1001" ht="18.75" customHeight="1">
      <c r="A1001" s="7" t="s">
        <v>736</v>
      </c>
      <c r="B1001" s="19">
        <v>178.0</v>
      </c>
      <c r="C1001" s="18">
        <v>178.0</v>
      </c>
      <c r="D1001" s="18">
        <v>59.0</v>
      </c>
      <c r="E1001" s="18">
        <v>57.0</v>
      </c>
    </row>
    <row r="1002" ht="18.75" customHeight="1">
      <c r="A1002" s="7" t="s">
        <v>728</v>
      </c>
      <c r="B1002" s="19">
        <v>6000.0</v>
      </c>
      <c r="C1002" s="18">
        <v>4395.0</v>
      </c>
      <c r="D1002" s="18">
        <v>952.0</v>
      </c>
      <c r="E1002" s="18">
        <v>711.0</v>
      </c>
    </row>
    <row r="1003" ht="18.75" customHeight="1">
      <c r="A1003" s="7" t="s">
        <v>728</v>
      </c>
      <c r="B1003" s="19">
        <v>25.0</v>
      </c>
      <c r="C1003" s="18">
        <v>25.0</v>
      </c>
      <c r="D1003" s="18">
        <v>19.0</v>
      </c>
      <c r="E1003" s="18">
        <v>19.0</v>
      </c>
    </row>
    <row r="1004" ht="18.75" customHeight="1">
      <c r="A1004" s="7" t="s">
        <v>728</v>
      </c>
      <c r="B1004" s="19">
        <v>261.0</v>
      </c>
      <c r="C1004" s="18">
        <v>261.0</v>
      </c>
      <c r="D1004" s="18">
        <v>115.0</v>
      </c>
      <c r="E1004" s="18">
        <v>112.0</v>
      </c>
    </row>
    <row r="1005" ht="18.75" customHeight="1">
      <c r="A1005" s="7" t="s">
        <v>734</v>
      </c>
      <c r="B1005" s="19">
        <v>0.0</v>
      </c>
      <c r="C1005" s="18">
        <v>0.0</v>
      </c>
      <c r="D1005" s="18">
        <v>0.0</v>
      </c>
      <c r="E1005" s="18">
        <v>0.0</v>
      </c>
    </row>
    <row r="1006" ht="18.75" customHeight="1">
      <c r="A1006" s="7" t="s">
        <v>746</v>
      </c>
      <c r="B1006" s="19">
        <v>50.0</v>
      </c>
      <c r="C1006" s="18">
        <v>50.0</v>
      </c>
      <c r="D1006" s="18">
        <v>21.0</v>
      </c>
      <c r="E1006" s="18">
        <v>19.0</v>
      </c>
    </row>
    <row r="1007" ht="18.75" customHeight="1">
      <c r="A1007" s="7" t="s">
        <v>730</v>
      </c>
      <c r="B1007" s="19">
        <v>4500.0</v>
      </c>
      <c r="C1007" s="18">
        <v>1912.0</v>
      </c>
      <c r="D1007" s="18">
        <v>398.0</v>
      </c>
      <c r="E1007" s="18">
        <v>303.0</v>
      </c>
    </row>
    <row r="1008" ht="18.75" customHeight="1">
      <c r="A1008" s="7" t="s">
        <v>730</v>
      </c>
      <c r="B1008" s="19">
        <v>68.0</v>
      </c>
      <c r="C1008" s="18">
        <v>68.0</v>
      </c>
      <c r="D1008" s="18">
        <v>34.0</v>
      </c>
      <c r="E1008" s="18">
        <v>33.0</v>
      </c>
    </row>
    <row r="1009" ht="18.75" customHeight="1">
      <c r="A1009" s="7" t="s">
        <v>730</v>
      </c>
      <c r="B1009" s="19">
        <v>151.0</v>
      </c>
      <c r="C1009" s="18">
        <v>2.0</v>
      </c>
      <c r="D1009" s="18">
        <v>0.0</v>
      </c>
      <c r="E1009" s="18">
        <v>0.0</v>
      </c>
    </row>
    <row r="1010" ht="18.75" customHeight="1">
      <c r="A1010" s="7" t="s">
        <v>651</v>
      </c>
      <c r="B1010" s="19">
        <v>33627.0</v>
      </c>
      <c r="C1010" s="18">
        <v>29173.0</v>
      </c>
      <c r="D1010" s="18">
        <v>10753.0</v>
      </c>
      <c r="E1010" s="18">
        <v>8191.0</v>
      </c>
    </row>
    <row r="1011" ht="18.75" customHeight="1">
      <c r="A1011" s="7" t="s">
        <v>779</v>
      </c>
      <c r="B1011" s="19">
        <v>5500.0</v>
      </c>
      <c r="C1011" s="18">
        <v>2625.0</v>
      </c>
      <c r="D1011" s="18">
        <v>705.0</v>
      </c>
      <c r="E1011" s="18">
        <v>529.0</v>
      </c>
    </row>
    <row r="1012" ht="18.75" customHeight="1">
      <c r="A1012" s="7" t="s">
        <v>788</v>
      </c>
      <c r="B1012" s="19">
        <v>7524.0</v>
      </c>
      <c r="C1012" s="18">
        <v>5198.0</v>
      </c>
      <c r="D1012" s="18">
        <v>1054.0</v>
      </c>
      <c r="E1012" s="18">
        <v>732.0</v>
      </c>
    </row>
    <row r="1013" ht="18.75" customHeight="1">
      <c r="A1013" s="7" t="s">
        <v>786</v>
      </c>
      <c r="B1013" s="19">
        <v>89.0</v>
      </c>
      <c r="C1013" s="18">
        <v>89.0</v>
      </c>
      <c r="D1013" s="18">
        <v>26.0</v>
      </c>
      <c r="E1013" s="18">
        <v>25.0</v>
      </c>
    </row>
    <row r="1014" ht="18.75" customHeight="1">
      <c r="A1014" s="7" t="s">
        <v>781</v>
      </c>
      <c r="B1014" s="19">
        <v>44.0</v>
      </c>
      <c r="C1014" s="18">
        <v>44.0</v>
      </c>
      <c r="D1014" s="18">
        <v>13.0</v>
      </c>
      <c r="E1014" s="18">
        <v>13.0</v>
      </c>
    </row>
    <row r="1015" ht="18.75" customHeight="1">
      <c r="A1015" s="7" t="s">
        <v>788</v>
      </c>
      <c r="B1015" s="19">
        <v>183.0</v>
      </c>
      <c r="C1015" s="18">
        <v>183.0</v>
      </c>
      <c r="D1015" s="18">
        <v>52.0</v>
      </c>
      <c r="E1015" s="18">
        <v>51.0</v>
      </c>
    </row>
    <row r="1016" ht="18.75" customHeight="1">
      <c r="A1016" s="7" t="s">
        <v>794</v>
      </c>
      <c r="B1016" s="19">
        <v>167.0</v>
      </c>
      <c r="C1016" s="18">
        <v>167.0</v>
      </c>
      <c r="D1016" s="18">
        <v>44.0</v>
      </c>
      <c r="E1016" s="18">
        <v>44.0</v>
      </c>
    </row>
    <row r="1017" ht="18.75" customHeight="1">
      <c r="A1017" s="7" t="s">
        <v>796</v>
      </c>
      <c r="B1017" s="19">
        <v>251.0</v>
      </c>
      <c r="C1017" s="18">
        <v>251.0</v>
      </c>
      <c r="D1017" s="18">
        <v>76.0</v>
      </c>
      <c r="E1017" s="18">
        <v>75.0</v>
      </c>
    </row>
    <row r="1018" ht="18.75" customHeight="1">
      <c r="A1018" s="7" t="s">
        <v>798</v>
      </c>
      <c r="B1018" s="19">
        <v>119.0</v>
      </c>
      <c r="C1018" s="18">
        <v>119.0</v>
      </c>
      <c r="D1018" s="18">
        <v>28.0</v>
      </c>
      <c r="E1018" s="18">
        <v>28.0</v>
      </c>
    </row>
    <row r="1019" ht="18.75" customHeight="1">
      <c r="A1019" s="7" t="s">
        <v>800</v>
      </c>
      <c r="B1019" s="19">
        <v>189.0</v>
      </c>
      <c r="C1019" s="18">
        <v>189.0</v>
      </c>
      <c r="D1019" s="18">
        <v>59.0</v>
      </c>
      <c r="E1019" s="18">
        <v>57.0</v>
      </c>
    </row>
    <row r="1020" ht="18.75" customHeight="1">
      <c r="A1020" s="7" t="s">
        <v>784</v>
      </c>
      <c r="B1020" s="19">
        <v>161.0</v>
      </c>
      <c r="C1020" s="18">
        <v>161.0</v>
      </c>
      <c r="D1020" s="18">
        <v>37.0</v>
      </c>
      <c r="E1020" s="18">
        <v>35.0</v>
      </c>
    </row>
    <row r="1021" ht="18.75" customHeight="1">
      <c r="A1021" s="7" t="s">
        <v>804</v>
      </c>
      <c r="B1021" s="19">
        <v>53.0</v>
      </c>
      <c r="C1021" s="18">
        <v>53.0</v>
      </c>
      <c r="D1021" s="18">
        <v>21.0</v>
      </c>
      <c r="E1021" s="18">
        <v>20.0</v>
      </c>
    </row>
    <row r="1022" ht="18.75" customHeight="1">
      <c r="A1022" s="7" t="s">
        <v>802</v>
      </c>
      <c r="B1022" s="19">
        <v>0.0</v>
      </c>
      <c r="C1022" s="18">
        <v>0.0</v>
      </c>
      <c r="D1022" s="18">
        <v>0.0</v>
      </c>
      <c r="E1022" s="18">
        <v>0.0</v>
      </c>
    </row>
    <row r="1023" ht="18.75" customHeight="1">
      <c r="A1023" s="7" t="s">
        <v>802</v>
      </c>
      <c r="B1023" s="19">
        <v>20.0</v>
      </c>
      <c r="C1023" s="18">
        <v>20.0</v>
      </c>
      <c r="D1023" s="18">
        <v>10.0</v>
      </c>
      <c r="E1023" s="18">
        <v>8.0</v>
      </c>
    </row>
    <row r="1024" ht="18.75" customHeight="1">
      <c r="A1024" s="7" t="s">
        <v>802</v>
      </c>
      <c r="B1024" s="19">
        <v>0.0</v>
      </c>
      <c r="C1024" s="18">
        <v>0.0</v>
      </c>
      <c r="D1024" s="18">
        <v>0.0</v>
      </c>
      <c r="E1024" s="18">
        <v>0.0</v>
      </c>
    </row>
    <row r="1025" ht="18.75" customHeight="1">
      <c r="A1025" s="7" t="s">
        <v>838</v>
      </c>
      <c r="B1025" s="19">
        <v>133.0</v>
      </c>
      <c r="C1025" s="18">
        <v>133.0</v>
      </c>
      <c r="D1025" s="18">
        <v>40.0</v>
      </c>
      <c r="E1025" s="18">
        <v>37.0</v>
      </c>
    </row>
    <row r="1026" ht="18.75" customHeight="1">
      <c r="A1026" s="7" t="s">
        <v>840</v>
      </c>
      <c r="B1026" s="19">
        <v>145.0</v>
      </c>
      <c r="C1026" s="18">
        <v>145.0</v>
      </c>
      <c r="D1026" s="18">
        <v>42.0</v>
      </c>
      <c r="E1026" s="18">
        <v>41.0</v>
      </c>
    </row>
    <row r="1027" ht="18.75" customHeight="1">
      <c r="A1027" s="7" t="s">
        <v>842</v>
      </c>
      <c r="B1027" s="19">
        <v>149.0</v>
      </c>
      <c r="C1027" s="18">
        <v>149.0</v>
      </c>
      <c r="D1027" s="18">
        <v>52.0</v>
      </c>
      <c r="E1027" s="18">
        <v>51.0</v>
      </c>
    </row>
    <row r="1028" ht="18.75" customHeight="1">
      <c r="A1028" s="7" t="s">
        <v>844</v>
      </c>
      <c r="B1028" s="19">
        <v>148.0</v>
      </c>
      <c r="C1028" s="18">
        <v>148.0</v>
      </c>
      <c r="D1028" s="18">
        <v>46.0</v>
      </c>
      <c r="E1028" s="18">
        <v>44.0</v>
      </c>
    </row>
    <row r="1029" ht="18.75" customHeight="1">
      <c r="A1029" s="7" t="s">
        <v>836</v>
      </c>
      <c r="B1029" s="19">
        <v>54.0</v>
      </c>
      <c r="C1029" s="18">
        <v>54.0</v>
      </c>
      <c r="D1029" s="18">
        <v>31.0</v>
      </c>
      <c r="E1029" s="18">
        <v>28.0</v>
      </c>
    </row>
    <row r="1030" ht="18.75" customHeight="1">
      <c r="A1030" s="7" t="s">
        <v>3865</v>
      </c>
      <c r="B1030" s="19">
        <v>0.0</v>
      </c>
      <c r="C1030" s="18">
        <v>0.0</v>
      </c>
      <c r="D1030" s="18">
        <v>0.0</v>
      </c>
      <c r="E1030" s="18">
        <v>0.0</v>
      </c>
    </row>
    <row r="1031" ht="18.75" customHeight="1">
      <c r="A1031" s="7" t="s">
        <v>848</v>
      </c>
      <c r="B1031" s="19">
        <v>153.0</v>
      </c>
      <c r="C1031" s="18">
        <v>153.0</v>
      </c>
      <c r="D1031" s="18">
        <v>56.0</v>
      </c>
      <c r="E1031" s="18">
        <v>54.0</v>
      </c>
    </row>
    <row r="1032" ht="18.75" customHeight="1">
      <c r="A1032" s="7" t="s">
        <v>850</v>
      </c>
      <c r="B1032" s="19">
        <v>110.0</v>
      </c>
      <c r="C1032" s="18">
        <v>110.0</v>
      </c>
      <c r="D1032" s="18">
        <v>39.0</v>
      </c>
      <c r="E1032" s="18">
        <v>35.0</v>
      </c>
    </row>
    <row r="1033" ht="18.75" customHeight="1">
      <c r="A1033" s="7" t="s">
        <v>852</v>
      </c>
      <c r="B1033" s="19">
        <v>86.0</v>
      </c>
      <c r="C1033" s="18">
        <v>86.0</v>
      </c>
      <c r="D1033" s="18">
        <v>17.0</v>
      </c>
      <c r="E1033" s="18">
        <v>17.0</v>
      </c>
    </row>
    <row r="1034" ht="18.75" customHeight="1">
      <c r="A1034" s="7" t="s">
        <v>854</v>
      </c>
      <c r="B1034" s="19">
        <v>173.0</v>
      </c>
      <c r="C1034" s="18">
        <v>173.0</v>
      </c>
      <c r="D1034" s="18">
        <v>51.0</v>
      </c>
      <c r="E1034" s="18">
        <v>49.0</v>
      </c>
    </row>
    <row r="1035" ht="18.75" customHeight="1">
      <c r="A1035" s="7" t="s">
        <v>858</v>
      </c>
      <c r="B1035" s="19">
        <v>44.0</v>
      </c>
      <c r="C1035" s="18">
        <v>44.0</v>
      </c>
      <c r="D1035" s="18">
        <v>16.0</v>
      </c>
      <c r="E1035" s="18">
        <v>15.0</v>
      </c>
    </row>
    <row r="1036" ht="18.75" customHeight="1">
      <c r="A1036" s="7" t="s">
        <v>866</v>
      </c>
      <c r="B1036" s="19">
        <v>57.0</v>
      </c>
      <c r="C1036" s="18">
        <v>57.0</v>
      </c>
      <c r="D1036" s="18">
        <v>12.0</v>
      </c>
      <c r="E1036" s="18">
        <v>12.0</v>
      </c>
    </row>
    <row r="1037" ht="18.75" customHeight="1">
      <c r="A1037" s="7" t="s">
        <v>888</v>
      </c>
      <c r="B1037" s="19">
        <v>11.0</v>
      </c>
      <c r="C1037" s="18">
        <v>11.0</v>
      </c>
      <c r="D1037" s="18">
        <v>6.0</v>
      </c>
      <c r="E1037" s="18">
        <v>6.0</v>
      </c>
    </row>
    <row r="1038" ht="18.75" customHeight="1">
      <c r="A1038" s="7" t="s">
        <v>3866</v>
      </c>
      <c r="B1038" s="19">
        <v>0.0</v>
      </c>
      <c r="C1038" s="18">
        <v>0.0</v>
      </c>
      <c r="D1038" s="18">
        <v>0.0</v>
      </c>
      <c r="E1038" s="18">
        <v>0.0</v>
      </c>
    </row>
    <row r="1039" ht="18.75" customHeight="1">
      <c r="A1039" s="7" t="s">
        <v>918</v>
      </c>
      <c r="B1039" s="19">
        <v>28.0</v>
      </c>
      <c r="C1039" s="18">
        <v>28.0</v>
      </c>
      <c r="D1039" s="18">
        <v>5.0</v>
      </c>
      <c r="E1039" s="18">
        <v>5.0</v>
      </c>
    </row>
    <row r="1040" ht="18.75" customHeight="1">
      <c r="A1040" s="7" t="s">
        <v>902</v>
      </c>
      <c r="B1040" s="19">
        <v>56.0</v>
      </c>
      <c r="C1040" s="18">
        <v>56.0</v>
      </c>
      <c r="D1040" s="18">
        <v>26.0</v>
      </c>
      <c r="E1040" s="18">
        <v>23.0</v>
      </c>
    </row>
    <row r="1041" ht="18.75" customHeight="1">
      <c r="A1041" s="7" t="s">
        <v>890</v>
      </c>
      <c r="B1041" s="19">
        <v>140.0</v>
      </c>
      <c r="C1041" s="18">
        <v>140.0</v>
      </c>
      <c r="D1041" s="18">
        <v>42.0</v>
      </c>
      <c r="E1041" s="18">
        <v>42.0</v>
      </c>
    </row>
    <row r="1042" ht="18.75" customHeight="1">
      <c r="A1042" s="7" t="s">
        <v>892</v>
      </c>
      <c r="B1042" s="19">
        <v>93.0</v>
      </c>
      <c r="C1042" s="18">
        <v>93.0</v>
      </c>
      <c r="D1042" s="18">
        <v>24.0</v>
      </c>
      <c r="E1042" s="18">
        <v>22.0</v>
      </c>
    </row>
    <row r="1043" ht="18.75" customHeight="1">
      <c r="A1043" s="7" t="s">
        <v>894</v>
      </c>
      <c r="B1043" s="19">
        <v>128.0</v>
      </c>
      <c r="C1043" s="18">
        <v>128.0</v>
      </c>
      <c r="D1043" s="18">
        <v>34.0</v>
      </c>
      <c r="E1043" s="18">
        <v>32.0</v>
      </c>
    </row>
    <row r="1044" ht="18.75" customHeight="1">
      <c r="A1044" s="7" t="s">
        <v>896</v>
      </c>
      <c r="B1044" s="19">
        <v>146.0</v>
      </c>
      <c r="C1044" s="18">
        <v>146.0</v>
      </c>
      <c r="D1044" s="18">
        <v>49.0</v>
      </c>
      <c r="E1044" s="18">
        <v>46.0</v>
      </c>
    </row>
    <row r="1045" ht="18.75" customHeight="1">
      <c r="A1045" s="7" t="s">
        <v>3751</v>
      </c>
      <c r="B1045" s="19">
        <v>102.0</v>
      </c>
      <c r="C1045" s="18">
        <v>102.0</v>
      </c>
      <c r="D1045" s="18">
        <v>43.0</v>
      </c>
      <c r="E1045" s="18">
        <v>42.0</v>
      </c>
    </row>
    <row r="1046" ht="18.75" customHeight="1">
      <c r="A1046" s="7" t="s">
        <v>898</v>
      </c>
      <c r="B1046" s="19">
        <v>176.0</v>
      </c>
      <c r="C1046" s="18">
        <v>176.0</v>
      </c>
      <c r="D1046" s="18">
        <v>44.0</v>
      </c>
      <c r="E1046" s="18">
        <v>43.0</v>
      </c>
    </row>
    <row r="1047" ht="18.75" customHeight="1">
      <c r="A1047" s="7" t="s">
        <v>910</v>
      </c>
      <c r="B1047" s="19">
        <v>12404.0</v>
      </c>
      <c r="C1047" s="18">
        <v>10687.0</v>
      </c>
      <c r="D1047" s="18">
        <v>2303.0</v>
      </c>
      <c r="E1047" s="18">
        <v>1746.0</v>
      </c>
    </row>
    <row r="1048" ht="18.75" customHeight="1">
      <c r="A1048" s="7" t="s">
        <v>910</v>
      </c>
      <c r="B1048" s="19">
        <v>59.0</v>
      </c>
      <c r="C1048" s="18">
        <v>59.0</v>
      </c>
      <c r="D1048" s="18">
        <v>28.0</v>
      </c>
      <c r="E1048" s="18">
        <v>24.0</v>
      </c>
    </row>
    <row r="1049" ht="18.75" customHeight="1">
      <c r="A1049" s="7" t="s">
        <v>910</v>
      </c>
      <c r="B1049" s="19">
        <v>419.0</v>
      </c>
      <c r="C1049" s="18">
        <v>419.0</v>
      </c>
      <c r="D1049" s="18">
        <v>210.0</v>
      </c>
      <c r="E1049" s="18">
        <v>204.0</v>
      </c>
    </row>
    <row r="1050" ht="18.75" customHeight="1">
      <c r="A1050" s="7" t="s">
        <v>920</v>
      </c>
      <c r="B1050" s="19">
        <v>51.0</v>
      </c>
      <c r="C1050" s="18">
        <v>51.0</v>
      </c>
      <c r="D1050" s="18">
        <v>21.0</v>
      </c>
      <c r="E1050" s="18">
        <v>20.0</v>
      </c>
    </row>
    <row r="1051" ht="18.75" customHeight="1">
      <c r="A1051" s="7" t="s">
        <v>922</v>
      </c>
      <c r="B1051" s="19">
        <v>77.0</v>
      </c>
      <c r="C1051" s="18">
        <v>77.0</v>
      </c>
      <c r="D1051" s="18">
        <v>26.0</v>
      </c>
      <c r="E1051" s="18">
        <v>25.0</v>
      </c>
    </row>
    <row r="1052" ht="18.75" customHeight="1">
      <c r="A1052" s="7" t="s">
        <v>945</v>
      </c>
      <c r="B1052" s="19">
        <v>44.0</v>
      </c>
      <c r="C1052" s="18">
        <v>44.0</v>
      </c>
      <c r="D1052" s="18">
        <v>14.0</v>
      </c>
      <c r="E1052" s="18">
        <v>14.0</v>
      </c>
    </row>
    <row r="1053" ht="18.75" customHeight="1">
      <c r="A1053" s="7" t="s">
        <v>947</v>
      </c>
      <c r="B1053" s="19">
        <v>149.0</v>
      </c>
      <c r="C1053" s="18">
        <v>149.0</v>
      </c>
      <c r="D1053" s="18">
        <v>34.0</v>
      </c>
      <c r="E1053" s="18">
        <v>31.0</v>
      </c>
    </row>
    <row r="1054" ht="18.75" customHeight="1">
      <c r="A1054" s="7" t="s">
        <v>963</v>
      </c>
      <c r="B1054" s="19">
        <v>0.0</v>
      </c>
      <c r="C1054" s="18">
        <v>0.0</v>
      </c>
      <c r="D1054" s="18">
        <v>0.0</v>
      </c>
      <c r="E1054" s="18">
        <v>0.0</v>
      </c>
    </row>
    <row r="1055" ht="18.75" customHeight="1">
      <c r="A1055" s="7" t="s">
        <v>967</v>
      </c>
      <c r="B1055" s="19">
        <v>79.0</v>
      </c>
      <c r="C1055" s="18">
        <v>79.0</v>
      </c>
      <c r="D1055" s="18">
        <v>29.0</v>
      </c>
      <c r="E1055" s="18">
        <v>29.0</v>
      </c>
    </row>
    <row r="1056" ht="18.75" customHeight="1">
      <c r="A1056" s="7" t="s">
        <v>969</v>
      </c>
      <c r="B1056" s="19">
        <v>105.0</v>
      </c>
      <c r="C1056" s="18">
        <v>105.0</v>
      </c>
      <c r="D1056" s="18">
        <v>36.0</v>
      </c>
      <c r="E1056" s="18">
        <v>36.0</v>
      </c>
    </row>
    <row r="1057" ht="18.75" customHeight="1">
      <c r="A1057" s="7" t="s">
        <v>971</v>
      </c>
      <c r="B1057" s="19">
        <v>108.0</v>
      </c>
      <c r="C1057" s="18">
        <v>108.0</v>
      </c>
      <c r="D1057" s="18">
        <v>34.0</v>
      </c>
      <c r="E1057" s="18">
        <v>34.0</v>
      </c>
    </row>
    <row r="1058" ht="18.75" customHeight="1">
      <c r="A1058" s="7" t="s">
        <v>973</v>
      </c>
      <c r="B1058" s="19">
        <v>171.0</v>
      </c>
      <c r="C1058" s="18">
        <v>171.0</v>
      </c>
      <c r="D1058" s="18">
        <v>49.0</v>
      </c>
      <c r="E1058" s="18">
        <v>47.0</v>
      </c>
    </row>
    <row r="1059" ht="18.75" customHeight="1">
      <c r="A1059" s="7" t="s">
        <v>955</v>
      </c>
      <c r="B1059" s="19">
        <v>105.0</v>
      </c>
      <c r="C1059" s="18">
        <v>105.0</v>
      </c>
      <c r="D1059" s="18">
        <v>37.0</v>
      </c>
      <c r="E1059" s="18">
        <v>34.0</v>
      </c>
    </row>
    <row r="1060" ht="18.75" customHeight="1">
      <c r="A1060" s="7" t="s">
        <v>951</v>
      </c>
      <c r="B1060" s="19">
        <v>0.0</v>
      </c>
      <c r="C1060" s="18">
        <v>0.0</v>
      </c>
      <c r="D1060" s="18">
        <v>0.0</v>
      </c>
      <c r="E1060" s="18">
        <v>0.0</v>
      </c>
    </row>
    <row r="1061" ht="18.75" customHeight="1">
      <c r="A1061" s="7" t="s">
        <v>987</v>
      </c>
      <c r="B1061" s="19">
        <v>23.0</v>
      </c>
      <c r="C1061" s="18">
        <v>23.0</v>
      </c>
      <c r="D1061" s="18">
        <v>10.0</v>
      </c>
      <c r="E1061" s="18">
        <v>10.0</v>
      </c>
    </row>
    <row r="1062" ht="18.75" customHeight="1">
      <c r="A1062" s="7" t="s">
        <v>1037</v>
      </c>
      <c r="B1062" s="19">
        <v>17182.0</v>
      </c>
      <c r="C1062" s="18">
        <v>14995.0</v>
      </c>
      <c r="D1062" s="18">
        <v>2415.0</v>
      </c>
      <c r="E1062" s="18">
        <v>1825.0</v>
      </c>
    </row>
    <row r="1063" ht="18.75" customHeight="1">
      <c r="A1063" s="7" t="s">
        <v>1037</v>
      </c>
      <c r="B1063" s="19">
        <v>41.0</v>
      </c>
      <c r="C1063" s="18">
        <v>41.0</v>
      </c>
      <c r="D1063" s="18">
        <v>32.0</v>
      </c>
      <c r="E1063" s="18">
        <v>32.0</v>
      </c>
    </row>
    <row r="1064" ht="18.75" customHeight="1">
      <c r="A1064" s="7" t="s">
        <v>955</v>
      </c>
      <c r="B1064" s="19">
        <v>7000.0</v>
      </c>
      <c r="C1064" s="18">
        <v>7000.0</v>
      </c>
      <c r="D1064" s="18">
        <v>1748.0</v>
      </c>
      <c r="E1064" s="18">
        <v>1327.0</v>
      </c>
    </row>
    <row r="1065" ht="18.75" customHeight="1">
      <c r="A1065" s="7" t="s">
        <v>951</v>
      </c>
      <c r="B1065" s="19">
        <v>7163.0</v>
      </c>
      <c r="C1065" s="18">
        <v>6961.0</v>
      </c>
      <c r="D1065" s="18">
        <v>1750.0</v>
      </c>
      <c r="E1065" s="18">
        <v>1327.0</v>
      </c>
    </row>
    <row r="1066" ht="18.75" customHeight="1">
      <c r="A1066" s="7" t="s">
        <v>1035</v>
      </c>
      <c r="B1066" s="19">
        <v>0.0</v>
      </c>
      <c r="C1066" s="18">
        <v>0.0</v>
      </c>
      <c r="D1066" s="18">
        <v>0.0</v>
      </c>
      <c r="E1066" s="18">
        <v>0.0</v>
      </c>
    </row>
    <row r="1067" ht="18.75" customHeight="1">
      <c r="A1067" s="7" t="s">
        <v>1035</v>
      </c>
      <c r="B1067" s="19">
        <v>25.0</v>
      </c>
      <c r="C1067" s="18">
        <v>25.0</v>
      </c>
      <c r="D1067" s="18">
        <v>16.0</v>
      </c>
      <c r="E1067" s="18">
        <v>14.0</v>
      </c>
    </row>
    <row r="1068" ht="18.75" customHeight="1">
      <c r="A1068" s="7" t="s">
        <v>1035</v>
      </c>
      <c r="B1068" s="19">
        <v>0.0</v>
      </c>
      <c r="C1068" s="18">
        <v>0.0</v>
      </c>
      <c r="D1068" s="18">
        <v>0.0</v>
      </c>
      <c r="E1068" s="18">
        <v>0.0</v>
      </c>
    </row>
    <row r="1069" ht="18.75" customHeight="1">
      <c r="A1069" s="7" t="s">
        <v>1011</v>
      </c>
      <c r="B1069" s="19">
        <v>113.0</v>
      </c>
      <c r="C1069" s="18">
        <v>112.0</v>
      </c>
      <c r="D1069" s="18">
        <v>32.0</v>
      </c>
      <c r="E1069" s="18">
        <v>29.0</v>
      </c>
    </row>
    <row r="1070" ht="18.75" customHeight="1">
      <c r="A1070" s="7" t="s">
        <v>1015</v>
      </c>
      <c r="B1070" s="19">
        <v>102.0</v>
      </c>
      <c r="C1070" s="18">
        <v>102.0</v>
      </c>
      <c r="D1070" s="18">
        <v>24.0</v>
      </c>
      <c r="E1070" s="18">
        <v>23.0</v>
      </c>
    </row>
    <row r="1071" ht="18.75" customHeight="1">
      <c r="A1071" s="7" t="s">
        <v>1025</v>
      </c>
      <c r="B1071" s="19">
        <v>237.0</v>
      </c>
      <c r="C1071" s="18">
        <v>236.0</v>
      </c>
      <c r="D1071" s="18">
        <v>64.0</v>
      </c>
      <c r="E1071" s="18">
        <v>59.0</v>
      </c>
    </row>
    <row r="1072" ht="18.75" customHeight="1">
      <c r="A1072" s="7" t="s">
        <v>1037</v>
      </c>
      <c r="B1072" s="19">
        <v>0.0</v>
      </c>
      <c r="C1072" s="18">
        <v>0.0</v>
      </c>
      <c r="D1072" s="18">
        <v>0.0</v>
      </c>
      <c r="E1072" s="18">
        <v>0.0</v>
      </c>
    </row>
    <row r="1073" ht="18.75" customHeight="1">
      <c r="A1073" s="7" t="s">
        <v>1037</v>
      </c>
      <c r="B1073" s="19">
        <v>187.0</v>
      </c>
      <c r="C1073" s="18">
        <v>187.0</v>
      </c>
      <c r="D1073" s="18">
        <v>73.0</v>
      </c>
      <c r="E1073" s="18">
        <v>68.0</v>
      </c>
    </row>
    <row r="1074" ht="18.75" customHeight="1">
      <c r="A1074" s="7" t="s">
        <v>1037</v>
      </c>
      <c r="B1074" s="19">
        <v>649.0</v>
      </c>
      <c r="C1074" s="18">
        <v>649.0</v>
      </c>
      <c r="D1074" s="18">
        <v>284.0</v>
      </c>
      <c r="E1074" s="18">
        <v>274.0</v>
      </c>
    </row>
    <row r="1075" ht="18.75" customHeight="1">
      <c r="A1075" s="7" t="s">
        <v>1017</v>
      </c>
      <c r="B1075" s="19">
        <v>142.0</v>
      </c>
      <c r="C1075" s="18">
        <v>142.0</v>
      </c>
      <c r="D1075" s="18">
        <v>43.0</v>
      </c>
      <c r="E1075" s="18">
        <v>41.0</v>
      </c>
    </row>
    <row r="1076" ht="18.75" customHeight="1">
      <c r="A1076" s="7" t="s">
        <v>1019</v>
      </c>
      <c r="B1076" s="19">
        <v>207.0</v>
      </c>
      <c r="C1076" s="18">
        <v>207.0</v>
      </c>
      <c r="D1076" s="18">
        <v>55.0</v>
      </c>
      <c r="E1076" s="18">
        <v>53.0</v>
      </c>
    </row>
    <row r="1077" ht="18.75" customHeight="1">
      <c r="A1077" s="7" t="s">
        <v>1021</v>
      </c>
      <c r="B1077" s="19">
        <v>129.0</v>
      </c>
      <c r="C1077" s="18">
        <v>129.0</v>
      </c>
      <c r="D1077" s="18">
        <v>32.0</v>
      </c>
      <c r="E1077" s="18">
        <v>32.0</v>
      </c>
    </row>
    <row r="1078" ht="18.75" customHeight="1">
      <c r="A1078" s="7" t="s">
        <v>1023</v>
      </c>
      <c r="B1078" s="19">
        <v>122.0</v>
      </c>
      <c r="C1078" s="18">
        <v>122.0</v>
      </c>
      <c r="D1078" s="18">
        <v>34.0</v>
      </c>
      <c r="E1078" s="18">
        <v>33.0</v>
      </c>
    </row>
    <row r="1079" ht="18.75" customHeight="1">
      <c r="A1079" s="7" t="s">
        <v>3752</v>
      </c>
      <c r="B1079" s="19">
        <v>0.0</v>
      </c>
      <c r="C1079" s="18">
        <v>0.0</v>
      </c>
      <c r="D1079" s="18">
        <v>0.0</v>
      </c>
      <c r="E1079" s="18">
        <v>0.0</v>
      </c>
    </row>
    <row r="1080" ht="18.75" customHeight="1">
      <c r="A1080" s="7" t="s">
        <v>1033</v>
      </c>
      <c r="B1080" s="19">
        <v>49.0</v>
      </c>
      <c r="C1080" s="18">
        <v>49.0</v>
      </c>
      <c r="D1080" s="18">
        <v>28.0</v>
      </c>
      <c r="E1080" s="18">
        <v>28.0</v>
      </c>
    </row>
    <row r="1081" ht="18.75" customHeight="1">
      <c r="A1081" s="7" t="s">
        <v>1029</v>
      </c>
      <c r="B1081" s="19">
        <v>666.0</v>
      </c>
      <c r="C1081" s="18">
        <v>666.0</v>
      </c>
      <c r="D1081" s="18">
        <v>247.0</v>
      </c>
      <c r="E1081" s="18">
        <v>137.0</v>
      </c>
    </row>
    <row r="1082" ht="18.75" customHeight="1">
      <c r="A1082" s="7" t="s">
        <v>1071</v>
      </c>
      <c r="B1082" s="19">
        <v>0.0</v>
      </c>
      <c r="C1082" s="18">
        <v>0.0</v>
      </c>
      <c r="D1082" s="18">
        <v>0.0</v>
      </c>
      <c r="E1082" s="18">
        <v>0.0</v>
      </c>
    </row>
    <row r="1083" ht="18.75" customHeight="1">
      <c r="A1083" s="7" t="s">
        <v>1071</v>
      </c>
      <c r="B1083" s="19">
        <v>25.0</v>
      </c>
      <c r="C1083" s="18">
        <v>25.0</v>
      </c>
      <c r="D1083" s="18">
        <v>22.0</v>
      </c>
      <c r="E1083" s="18">
        <v>20.0</v>
      </c>
    </row>
    <row r="1084" ht="18.75" customHeight="1">
      <c r="A1084" s="7" t="s">
        <v>1071</v>
      </c>
      <c r="B1084" s="19">
        <v>0.0</v>
      </c>
      <c r="C1084" s="18">
        <v>0.0</v>
      </c>
      <c r="D1084" s="18">
        <v>0.0</v>
      </c>
      <c r="E1084" s="18">
        <v>0.0</v>
      </c>
    </row>
    <row r="1085" ht="18.75" customHeight="1">
      <c r="A1085" s="7" t="s">
        <v>1073</v>
      </c>
      <c r="B1085" s="19">
        <v>13.0</v>
      </c>
      <c r="C1085" s="18">
        <v>13.0</v>
      </c>
      <c r="D1085" s="18">
        <v>4.0</v>
      </c>
      <c r="E1085" s="18">
        <v>4.0</v>
      </c>
    </row>
    <row r="1086" ht="18.75" customHeight="1">
      <c r="A1086" s="7" t="s">
        <v>1075</v>
      </c>
      <c r="B1086" s="19">
        <v>23.0</v>
      </c>
      <c r="C1086" s="18">
        <v>23.0</v>
      </c>
      <c r="D1086" s="18">
        <v>10.0</v>
      </c>
      <c r="E1086" s="18">
        <v>9.0</v>
      </c>
    </row>
    <row r="1087" ht="18.75" customHeight="1">
      <c r="A1087" s="7" t="s">
        <v>1061</v>
      </c>
      <c r="B1087" s="19">
        <v>183.0</v>
      </c>
      <c r="C1087" s="18">
        <v>183.0</v>
      </c>
      <c r="D1087" s="18">
        <v>50.0</v>
      </c>
      <c r="E1087" s="18">
        <v>47.0</v>
      </c>
    </row>
    <row r="1088" ht="18.75" customHeight="1">
      <c r="A1088" s="7" t="s">
        <v>1063</v>
      </c>
      <c r="B1088" s="19">
        <v>118.0</v>
      </c>
      <c r="C1088" s="18">
        <v>118.0</v>
      </c>
      <c r="D1088" s="18">
        <v>50.0</v>
      </c>
      <c r="E1088" s="18">
        <v>45.0</v>
      </c>
    </row>
    <row r="1089" ht="18.75" customHeight="1">
      <c r="A1089" s="7" t="s">
        <v>3867</v>
      </c>
      <c r="B1089" s="19">
        <v>0.0</v>
      </c>
      <c r="C1089" s="18">
        <v>0.0</v>
      </c>
      <c r="D1089" s="18">
        <v>0.0</v>
      </c>
      <c r="E1089" s="18">
        <v>0.0</v>
      </c>
    </row>
    <row r="1090" ht="18.75" customHeight="1">
      <c r="A1090" s="7" t="s">
        <v>1065</v>
      </c>
      <c r="B1090" s="19">
        <v>120.0</v>
      </c>
      <c r="C1090" s="18">
        <v>120.0</v>
      </c>
      <c r="D1090" s="18">
        <v>30.0</v>
      </c>
      <c r="E1090" s="18">
        <v>27.0</v>
      </c>
    </row>
    <row r="1091" ht="18.75" customHeight="1">
      <c r="A1091" s="7" t="s">
        <v>1067</v>
      </c>
      <c r="B1091" s="19">
        <v>173.0</v>
      </c>
      <c r="C1091" s="18">
        <v>173.0</v>
      </c>
      <c r="D1091" s="18">
        <v>51.0</v>
      </c>
      <c r="E1091" s="18">
        <v>49.0</v>
      </c>
    </row>
    <row r="1092" ht="18.75" customHeight="1">
      <c r="A1092" s="7" t="s">
        <v>1069</v>
      </c>
      <c r="B1092" s="19">
        <v>65.0</v>
      </c>
      <c r="C1092" s="18">
        <v>65.0</v>
      </c>
      <c r="D1092" s="18">
        <v>17.0</v>
      </c>
      <c r="E1092" s="18">
        <v>16.0</v>
      </c>
    </row>
    <row r="1093" ht="18.75" customHeight="1">
      <c r="A1093" s="7" t="s">
        <v>2905</v>
      </c>
      <c r="B1093" s="19">
        <v>0.0</v>
      </c>
      <c r="C1093" s="18">
        <v>0.0</v>
      </c>
      <c r="D1093" s="18">
        <v>0.0</v>
      </c>
      <c r="E1093" s="18">
        <v>0.0</v>
      </c>
    </row>
    <row r="1094" ht="18.75" customHeight="1">
      <c r="A1094" s="7" t="s">
        <v>1063</v>
      </c>
      <c r="B1094" s="19">
        <v>12000.0</v>
      </c>
      <c r="C1094" s="18">
        <v>6984.0</v>
      </c>
      <c r="D1094" s="18">
        <v>1528.0</v>
      </c>
      <c r="E1094" s="18">
        <v>1161.0</v>
      </c>
    </row>
    <row r="1095" ht="18.75" customHeight="1">
      <c r="A1095" s="7" t="s">
        <v>1069</v>
      </c>
      <c r="B1095" s="19">
        <v>6000.0</v>
      </c>
      <c r="C1095" s="18">
        <v>6000.0</v>
      </c>
      <c r="D1095" s="18">
        <v>1422.0</v>
      </c>
      <c r="E1095" s="18">
        <v>1079.0</v>
      </c>
    </row>
    <row r="1096" ht="18.75" customHeight="1">
      <c r="A1096" s="7" t="s">
        <v>1107</v>
      </c>
      <c r="B1096" s="19">
        <v>82.0</v>
      </c>
      <c r="C1096" s="18">
        <v>82.0</v>
      </c>
      <c r="D1096" s="18">
        <v>24.0</v>
      </c>
      <c r="E1096" s="18">
        <v>22.0</v>
      </c>
    </row>
    <row r="1097" ht="18.75" customHeight="1">
      <c r="A1097" s="7" t="s">
        <v>1113</v>
      </c>
      <c r="B1097" s="19">
        <v>71.0</v>
      </c>
      <c r="C1097" s="18">
        <v>71.0</v>
      </c>
      <c r="D1097" s="18">
        <v>14.0</v>
      </c>
      <c r="E1097" s="18">
        <v>12.0</v>
      </c>
    </row>
    <row r="1098" ht="18.75" customHeight="1">
      <c r="A1098" s="7" t="s">
        <v>1113</v>
      </c>
      <c r="B1098" s="19">
        <v>168.0</v>
      </c>
      <c r="C1098" s="18">
        <v>168.0</v>
      </c>
      <c r="D1098" s="18">
        <v>67.0</v>
      </c>
      <c r="E1098" s="18">
        <v>63.0</v>
      </c>
    </row>
    <row r="1099" ht="18.75" customHeight="1">
      <c r="A1099" s="7" t="s">
        <v>1111</v>
      </c>
      <c r="B1099" s="19">
        <v>0.0</v>
      </c>
      <c r="C1099" s="18">
        <v>0.0</v>
      </c>
      <c r="D1099" s="18">
        <v>0.0</v>
      </c>
      <c r="E1099" s="18">
        <v>0.0</v>
      </c>
    </row>
    <row r="1100" ht="18.75" customHeight="1">
      <c r="A1100" s="7" t="s">
        <v>1111</v>
      </c>
      <c r="B1100" s="19">
        <v>0.0</v>
      </c>
      <c r="C1100" s="18">
        <v>0.0</v>
      </c>
      <c r="D1100" s="18">
        <v>0.0</v>
      </c>
      <c r="E1100" s="18">
        <v>0.0</v>
      </c>
    </row>
    <row r="1101" ht="18.75" customHeight="1">
      <c r="A1101" s="7" t="s">
        <v>1111</v>
      </c>
      <c r="B1101" s="19">
        <v>46.0</v>
      </c>
      <c r="C1101" s="18">
        <v>46.0</v>
      </c>
      <c r="D1101" s="18">
        <v>28.0</v>
      </c>
      <c r="E1101" s="18">
        <v>27.0</v>
      </c>
    </row>
    <row r="1102" ht="18.75" customHeight="1">
      <c r="A1102" s="7" t="s">
        <v>1103</v>
      </c>
      <c r="B1102" s="19">
        <v>18115.0</v>
      </c>
      <c r="C1102" s="18">
        <v>16169.0</v>
      </c>
      <c r="D1102" s="18">
        <v>3481.0</v>
      </c>
      <c r="E1102" s="18">
        <v>2460.0</v>
      </c>
    </row>
    <row r="1103" ht="18.75" customHeight="1">
      <c r="A1103" s="7" t="s">
        <v>1103</v>
      </c>
      <c r="B1103" s="19">
        <v>698.0</v>
      </c>
      <c r="C1103" s="18">
        <v>698.0</v>
      </c>
      <c r="D1103" s="18">
        <v>240.0</v>
      </c>
      <c r="E1103" s="18">
        <v>228.0</v>
      </c>
    </row>
    <row r="1104" ht="18.75" customHeight="1">
      <c r="A1104" s="7" t="s">
        <v>1103</v>
      </c>
      <c r="B1104" s="19">
        <v>192.0</v>
      </c>
      <c r="C1104" s="18">
        <v>192.0</v>
      </c>
      <c r="D1104" s="18">
        <v>82.0</v>
      </c>
      <c r="E1104" s="18">
        <v>72.0</v>
      </c>
    </row>
    <row r="1105" ht="18.75" customHeight="1">
      <c r="A1105" s="7" t="s">
        <v>1119</v>
      </c>
      <c r="B1105" s="19">
        <v>0.0</v>
      </c>
      <c r="C1105" s="18">
        <v>0.0</v>
      </c>
      <c r="D1105" s="18">
        <v>0.0</v>
      </c>
      <c r="E1105" s="18">
        <v>0.0</v>
      </c>
    </row>
    <row r="1106" ht="18.75" customHeight="1">
      <c r="A1106" s="7" t="s">
        <v>1117</v>
      </c>
      <c r="B1106" s="19">
        <v>127.0</v>
      </c>
      <c r="C1106" s="18">
        <v>127.0</v>
      </c>
      <c r="D1106" s="18">
        <v>39.0</v>
      </c>
      <c r="E1106" s="18">
        <v>35.0</v>
      </c>
    </row>
    <row r="1107" ht="18.75" customHeight="1">
      <c r="A1107" s="7" t="s">
        <v>1121</v>
      </c>
      <c r="B1107" s="19">
        <v>67.0</v>
      </c>
      <c r="C1107" s="18">
        <v>67.0</v>
      </c>
      <c r="D1107" s="18">
        <v>21.0</v>
      </c>
      <c r="E1107" s="18">
        <v>19.0</v>
      </c>
    </row>
    <row r="1108" ht="18.75" customHeight="1">
      <c r="A1108" s="7" t="s">
        <v>1125</v>
      </c>
      <c r="B1108" s="19">
        <v>164.0</v>
      </c>
      <c r="C1108" s="18">
        <v>164.0</v>
      </c>
      <c r="D1108" s="18">
        <v>37.0</v>
      </c>
      <c r="E1108" s="18">
        <v>35.0</v>
      </c>
    </row>
    <row r="1109" ht="18.75" customHeight="1">
      <c r="A1109" s="7" t="s">
        <v>3868</v>
      </c>
      <c r="B1109" s="19">
        <v>0.0</v>
      </c>
      <c r="C1109" s="18">
        <v>0.0</v>
      </c>
      <c r="D1109" s="18">
        <v>0.0</v>
      </c>
      <c r="E1109" s="18">
        <v>0.0</v>
      </c>
    </row>
    <row r="1110" ht="18.75" customHeight="1">
      <c r="A1110" s="7" t="s">
        <v>3868</v>
      </c>
      <c r="B1110" s="19">
        <v>0.0</v>
      </c>
      <c r="C1110" s="18">
        <v>0.0</v>
      </c>
      <c r="D1110" s="18">
        <v>0.0</v>
      </c>
      <c r="E1110" s="18">
        <v>0.0</v>
      </c>
    </row>
    <row r="1111" ht="18.75" customHeight="1">
      <c r="A1111" s="7" t="s">
        <v>3868</v>
      </c>
      <c r="B1111" s="19">
        <v>0.0</v>
      </c>
      <c r="C1111" s="18">
        <v>0.0</v>
      </c>
      <c r="D1111" s="18">
        <v>0.0</v>
      </c>
      <c r="E1111" s="18">
        <v>0.0</v>
      </c>
    </row>
    <row r="1112" ht="18.75" customHeight="1">
      <c r="A1112" s="7" t="s">
        <v>1113</v>
      </c>
      <c r="B1112" s="19">
        <v>5500.0</v>
      </c>
      <c r="C1112" s="18">
        <v>4758.0</v>
      </c>
      <c r="D1112" s="18">
        <v>763.0</v>
      </c>
      <c r="E1112" s="18">
        <v>553.0</v>
      </c>
    </row>
    <row r="1113" ht="18.75" customHeight="1">
      <c r="A1113" s="7" t="s">
        <v>1159</v>
      </c>
      <c r="B1113" s="19">
        <v>125.0</v>
      </c>
      <c r="C1113" s="18">
        <v>125.0</v>
      </c>
      <c r="D1113" s="18">
        <v>32.0</v>
      </c>
      <c r="E1113" s="18">
        <v>30.0</v>
      </c>
    </row>
    <row r="1114" ht="18.75" customHeight="1">
      <c r="A1114" s="7" t="s">
        <v>1157</v>
      </c>
      <c r="B1114" s="19">
        <v>71.0</v>
      </c>
      <c r="C1114" s="18">
        <v>71.0</v>
      </c>
      <c r="D1114" s="18">
        <v>19.0</v>
      </c>
      <c r="E1114" s="18">
        <v>18.0</v>
      </c>
    </row>
    <row r="1115" ht="18.75" customHeight="1">
      <c r="A1115" s="7" t="s">
        <v>1161</v>
      </c>
      <c r="B1115" s="19">
        <v>11500.0</v>
      </c>
      <c r="C1115" s="18">
        <v>8444.0</v>
      </c>
      <c r="D1115" s="18">
        <v>2167.0</v>
      </c>
      <c r="E1115" s="18">
        <v>1606.0</v>
      </c>
    </row>
    <row r="1116" ht="18.75" customHeight="1">
      <c r="A1116" s="7" t="s">
        <v>1185</v>
      </c>
      <c r="B1116" s="19">
        <v>12773.0</v>
      </c>
      <c r="C1116" s="18">
        <v>5691.0</v>
      </c>
      <c r="D1116" s="18">
        <v>1535.0</v>
      </c>
      <c r="E1116" s="18">
        <v>1146.0</v>
      </c>
    </row>
    <row r="1117" ht="18.75" customHeight="1">
      <c r="A1117" s="7" t="s">
        <v>1185</v>
      </c>
      <c r="B1117" s="19">
        <v>727.0</v>
      </c>
      <c r="C1117" s="18">
        <v>727.0</v>
      </c>
      <c r="D1117" s="18">
        <v>208.0</v>
      </c>
      <c r="E1117" s="18">
        <v>198.0</v>
      </c>
    </row>
    <row r="1118" ht="18.75" customHeight="1">
      <c r="A1118" s="7" t="s">
        <v>1185</v>
      </c>
      <c r="B1118" s="19">
        <v>96.0</v>
      </c>
      <c r="C1118" s="18">
        <v>95.0</v>
      </c>
      <c r="D1118" s="18">
        <v>40.0</v>
      </c>
      <c r="E1118" s="18">
        <v>37.0</v>
      </c>
    </row>
    <row r="1119" ht="18.75" customHeight="1">
      <c r="A1119" s="7" t="s">
        <v>1199</v>
      </c>
      <c r="B1119" s="19">
        <v>271.0</v>
      </c>
      <c r="C1119" s="18">
        <v>270.0</v>
      </c>
      <c r="D1119" s="18">
        <v>74.0</v>
      </c>
      <c r="E1119" s="18">
        <v>70.0</v>
      </c>
    </row>
    <row r="1120" ht="18.75" customHeight="1">
      <c r="A1120" s="7" t="s">
        <v>1161</v>
      </c>
      <c r="B1120" s="19">
        <v>141.0</v>
      </c>
      <c r="C1120" s="18">
        <v>141.0</v>
      </c>
      <c r="D1120" s="18">
        <v>52.0</v>
      </c>
      <c r="E1120" s="18">
        <v>47.0</v>
      </c>
    </row>
    <row r="1121" ht="18.75" customHeight="1">
      <c r="A1121" s="7" t="s">
        <v>1271</v>
      </c>
      <c r="B1121" s="19">
        <v>2000.0</v>
      </c>
      <c r="C1121" s="18">
        <v>875.0</v>
      </c>
      <c r="D1121" s="18">
        <v>174.0</v>
      </c>
      <c r="E1121" s="18">
        <v>134.0</v>
      </c>
    </row>
    <row r="1122" ht="18.75" customHeight="1">
      <c r="A1122" s="7" t="s">
        <v>1245</v>
      </c>
      <c r="B1122" s="19">
        <v>0.0</v>
      </c>
      <c r="C1122" s="18">
        <v>0.0</v>
      </c>
      <c r="D1122" s="18">
        <v>0.0</v>
      </c>
      <c r="E1122" s="18">
        <v>0.0</v>
      </c>
    </row>
    <row r="1123" ht="18.75" customHeight="1">
      <c r="A1123" s="7" t="s">
        <v>1247</v>
      </c>
      <c r="B1123" s="19">
        <v>0.0</v>
      </c>
      <c r="C1123" s="18">
        <v>0.0</v>
      </c>
      <c r="D1123" s="18">
        <v>0.0</v>
      </c>
      <c r="E1123" s="18">
        <v>0.0</v>
      </c>
    </row>
    <row r="1124" ht="18.75" customHeight="1">
      <c r="A1124" s="7" t="s">
        <v>1249</v>
      </c>
      <c r="B1124" s="19">
        <v>0.0</v>
      </c>
      <c r="C1124" s="18">
        <v>0.0</v>
      </c>
      <c r="D1124" s="18">
        <v>0.0</v>
      </c>
      <c r="E1124" s="18">
        <v>0.0</v>
      </c>
    </row>
    <row r="1125" ht="18.75" customHeight="1">
      <c r="A1125" s="7" t="s">
        <v>1271</v>
      </c>
      <c r="B1125" s="19">
        <v>159.0</v>
      </c>
      <c r="C1125" s="18">
        <v>159.0</v>
      </c>
      <c r="D1125" s="18">
        <v>43.0</v>
      </c>
      <c r="E1125" s="18">
        <v>38.0</v>
      </c>
    </row>
    <row r="1126" ht="18.75" customHeight="1">
      <c r="A1126" s="7" t="s">
        <v>1251</v>
      </c>
      <c r="B1126" s="19">
        <v>57.0</v>
      </c>
      <c r="C1126" s="18">
        <v>57.0</v>
      </c>
      <c r="D1126" s="18">
        <v>14.0</v>
      </c>
      <c r="E1126" s="18">
        <v>14.0</v>
      </c>
    </row>
    <row r="1127" ht="18.75" customHeight="1">
      <c r="A1127" s="7" t="s">
        <v>3753</v>
      </c>
      <c r="B1127" s="19">
        <v>0.0</v>
      </c>
      <c r="C1127" s="18">
        <v>0.0</v>
      </c>
      <c r="D1127" s="18">
        <v>0.0</v>
      </c>
      <c r="E1127" s="18">
        <v>0.0</v>
      </c>
    </row>
    <row r="1128" ht="18.75" customHeight="1">
      <c r="A1128" s="7" t="s">
        <v>1255</v>
      </c>
      <c r="B1128" s="19">
        <v>54.0</v>
      </c>
      <c r="C1128" s="18">
        <v>54.0</v>
      </c>
      <c r="D1128" s="18">
        <v>14.0</v>
      </c>
      <c r="E1128" s="18">
        <v>14.0</v>
      </c>
    </row>
    <row r="1129" ht="18.75" customHeight="1">
      <c r="A1129" s="7" t="s">
        <v>1257</v>
      </c>
      <c r="B1129" s="19">
        <v>85.0</v>
      </c>
      <c r="C1129" s="18">
        <v>85.0</v>
      </c>
      <c r="D1129" s="18">
        <v>39.0</v>
      </c>
      <c r="E1129" s="18">
        <v>34.0</v>
      </c>
    </row>
    <row r="1130" ht="18.75" customHeight="1">
      <c r="A1130" s="7" t="s">
        <v>1259</v>
      </c>
      <c r="B1130" s="19">
        <v>83.0</v>
      </c>
      <c r="C1130" s="18">
        <v>83.0</v>
      </c>
      <c r="D1130" s="18">
        <v>19.0</v>
      </c>
      <c r="E1130" s="18">
        <v>19.0</v>
      </c>
    </row>
    <row r="1131" ht="18.75" customHeight="1">
      <c r="A1131" s="7" t="s">
        <v>1261</v>
      </c>
      <c r="B1131" s="19">
        <v>136.0</v>
      </c>
      <c r="C1131" s="18">
        <v>136.0</v>
      </c>
      <c r="D1131" s="18">
        <v>44.0</v>
      </c>
      <c r="E1131" s="18">
        <v>41.0</v>
      </c>
    </row>
    <row r="1132" ht="18.75" customHeight="1">
      <c r="A1132" s="7" t="s">
        <v>1263</v>
      </c>
      <c r="B1132" s="19">
        <v>125.0</v>
      </c>
      <c r="C1132" s="18">
        <v>125.0</v>
      </c>
      <c r="D1132" s="18">
        <v>40.0</v>
      </c>
      <c r="E1132" s="18">
        <v>40.0</v>
      </c>
    </row>
    <row r="1133" ht="18.75" customHeight="1">
      <c r="A1133" s="7" t="s">
        <v>3754</v>
      </c>
      <c r="B1133" s="19">
        <v>0.0</v>
      </c>
      <c r="C1133" s="18">
        <v>0.0</v>
      </c>
      <c r="D1133" s="18">
        <v>0.0</v>
      </c>
      <c r="E1133" s="18">
        <v>0.0</v>
      </c>
    </row>
    <row r="1134" ht="18.75" customHeight="1">
      <c r="A1134" s="7" t="s">
        <v>1155</v>
      </c>
      <c r="B1134" s="19">
        <v>10894.0</v>
      </c>
      <c r="C1134" s="18">
        <v>9240.0</v>
      </c>
      <c r="D1134" s="18">
        <v>2758.0</v>
      </c>
      <c r="E1134" s="18">
        <v>2247.0</v>
      </c>
    </row>
    <row r="1135" ht="18.75" customHeight="1">
      <c r="A1135" s="7" t="s">
        <v>1253</v>
      </c>
      <c r="B1135" s="19">
        <v>402.0</v>
      </c>
      <c r="C1135" s="18">
        <v>277.0</v>
      </c>
      <c r="D1135" s="18">
        <v>78.0</v>
      </c>
      <c r="E1135" s="18">
        <v>74.0</v>
      </c>
    </row>
    <row r="1136" ht="18.75" customHeight="1">
      <c r="A1136" s="7" t="s">
        <v>1001</v>
      </c>
      <c r="B1136" s="19">
        <v>48000.0</v>
      </c>
      <c r="C1136" s="18">
        <v>43821.0</v>
      </c>
      <c r="D1136" s="18">
        <v>7242.0</v>
      </c>
      <c r="E1136" s="18">
        <v>5739.0</v>
      </c>
    </row>
    <row r="1137" ht="18.75" customHeight="1">
      <c r="A1137" s="7" t="s">
        <v>3754</v>
      </c>
      <c r="B1137" s="19">
        <v>193.0</v>
      </c>
      <c r="C1137" s="18">
        <v>193.0</v>
      </c>
      <c r="D1137" s="18">
        <v>86.0</v>
      </c>
      <c r="E1137" s="18">
        <v>85.0</v>
      </c>
    </row>
    <row r="1138" ht="18.75" customHeight="1">
      <c r="A1138" s="7" t="s">
        <v>1307</v>
      </c>
      <c r="B1138" s="19">
        <v>8500.0</v>
      </c>
      <c r="C1138" s="18">
        <v>8319.0</v>
      </c>
      <c r="D1138" s="18">
        <v>1740.0</v>
      </c>
      <c r="E1138" s="18">
        <v>1423.0</v>
      </c>
    </row>
    <row r="1139" ht="18.75" customHeight="1">
      <c r="A1139" s="7" t="s">
        <v>1307</v>
      </c>
      <c r="B1139" s="19">
        <v>695.0</v>
      </c>
      <c r="C1139" s="18">
        <v>695.0</v>
      </c>
      <c r="D1139" s="18">
        <v>275.0</v>
      </c>
      <c r="E1139" s="18">
        <v>268.0</v>
      </c>
    </row>
    <row r="1140" ht="18.75" customHeight="1">
      <c r="A1140" s="7" t="s">
        <v>1307</v>
      </c>
      <c r="B1140" s="19">
        <v>110.0</v>
      </c>
      <c r="C1140" s="18">
        <v>110.0</v>
      </c>
      <c r="D1140" s="18">
        <v>72.0</v>
      </c>
      <c r="E1140" s="18">
        <v>71.0</v>
      </c>
    </row>
    <row r="1141" ht="18.75" customHeight="1">
      <c r="A1141" s="7" t="s">
        <v>1331</v>
      </c>
      <c r="B1141" s="19">
        <v>169.0</v>
      </c>
      <c r="C1141" s="18">
        <v>169.0</v>
      </c>
      <c r="D1141" s="18">
        <v>54.0</v>
      </c>
      <c r="E1141" s="18">
        <v>51.0</v>
      </c>
    </row>
    <row r="1142" ht="18.75" customHeight="1">
      <c r="A1142" s="7" t="s">
        <v>1333</v>
      </c>
      <c r="B1142" s="19">
        <v>96.0</v>
      </c>
      <c r="C1142" s="18">
        <v>96.0</v>
      </c>
      <c r="D1142" s="18">
        <v>28.0</v>
      </c>
      <c r="E1142" s="18">
        <v>28.0</v>
      </c>
    </row>
    <row r="1143" ht="18.75" customHeight="1">
      <c r="A1143" s="7" t="s">
        <v>1351</v>
      </c>
      <c r="B1143" s="19">
        <v>66.0</v>
      </c>
      <c r="C1143" s="18">
        <v>66.0</v>
      </c>
      <c r="D1143" s="18">
        <v>39.0</v>
      </c>
      <c r="E1143" s="18">
        <v>38.0</v>
      </c>
    </row>
    <row r="1144" ht="18.75" customHeight="1">
      <c r="A1144" s="7" t="s">
        <v>1335</v>
      </c>
      <c r="B1144" s="19">
        <v>98.0</v>
      </c>
      <c r="C1144" s="18">
        <v>98.0</v>
      </c>
      <c r="D1144" s="18">
        <v>26.0</v>
      </c>
      <c r="E1144" s="18">
        <v>25.0</v>
      </c>
    </row>
    <row r="1145" ht="18.75" customHeight="1">
      <c r="A1145" s="7" t="s">
        <v>1337</v>
      </c>
      <c r="B1145" s="19">
        <v>105.0</v>
      </c>
      <c r="C1145" s="18">
        <v>105.0</v>
      </c>
      <c r="D1145" s="18">
        <v>27.0</v>
      </c>
      <c r="E1145" s="18">
        <v>26.0</v>
      </c>
    </row>
    <row r="1146" ht="18.75" customHeight="1">
      <c r="A1146" s="7" t="s">
        <v>1339</v>
      </c>
      <c r="B1146" s="19">
        <v>32.0</v>
      </c>
      <c r="C1146" s="18">
        <v>32.0</v>
      </c>
      <c r="D1146" s="18">
        <v>12.0</v>
      </c>
      <c r="E1146" s="18">
        <v>12.0</v>
      </c>
    </row>
    <row r="1147" ht="18.75" customHeight="1">
      <c r="A1147" s="7" t="s">
        <v>1353</v>
      </c>
      <c r="B1147" s="19">
        <v>111.0</v>
      </c>
      <c r="C1147" s="18">
        <v>111.0</v>
      </c>
      <c r="D1147" s="18">
        <v>29.0</v>
      </c>
      <c r="E1147" s="18">
        <v>27.0</v>
      </c>
    </row>
    <row r="1148" ht="18.75" customHeight="1">
      <c r="A1148" s="7" t="s">
        <v>1355</v>
      </c>
      <c r="B1148" s="19">
        <v>139.0</v>
      </c>
      <c r="C1148" s="18">
        <v>139.0</v>
      </c>
      <c r="D1148" s="18">
        <v>32.0</v>
      </c>
      <c r="E1148" s="18">
        <v>28.0</v>
      </c>
    </row>
    <row r="1149" ht="18.75" customHeight="1">
      <c r="A1149" s="7" t="s">
        <v>1357</v>
      </c>
      <c r="B1149" s="19">
        <v>133.0</v>
      </c>
      <c r="C1149" s="18">
        <v>133.0</v>
      </c>
      <c r="D1149" s="18">
        <v>32.0</v>
      </c>
      <c r="E1149" s="18">
        <v>30.0</v>
      </c>
    </row>
    <row r="1150" ht="18.75" customHeight="1">
      <c r="A1150" s="7" t="s">
        <v>1359</v>
      </c>
      <c r="B1150" s="19">
        <v>109.0</v>
      </c>
      <c r="C1150" s="18">
        <v>109.0</v>
      </c>
      <c r="D1150" s="18">
        <v>26.0</v>
      </c>
      <c r="E1150" s="18">
        <v>26.0</v>
      </c>
    </row>
    <row r="1151" ht="18.75" customHeight="1">
      <c r="A1151" s="7" t="s">
        <v>1403</v>
      </c>
      <c r="B1151" s="19">
        <v>8.0</v>
      </c>
      <c r="C1151" s="18">
        <v>8.0</v>
      </c>
      <c r="D1151" s="18">
        <v>3.0</v>
      </c>
      <c r="E1151" s="18">
        <v>3.0</v>
      </c>
    </row>
    <row r="1152" ht="18.75" customHeight="1">
      <c r="A1152" s="7" t="s">
        <v>1409</v>
      </c>
      <c r="B1152" s="19">
        <v>152.0</v>
      </c>
      <c r="C1152" s="18">
        <v>152.0</v>
      </c>
      <c r="D1152" s="18">
        <v>45.0</v>
      </c>
      <c r="E1152" s="18">
        <v>42.0</v>
      </c>
    </row>
    <row r="1153" ht="18.75" customHeight="1">
      <c r="A1153" s="7" t="s">
        <v>1407</v>
      </c>
      <c r="B1153" s="19">
        <v>51.0</v>
      </c>
      <c r="C1153" s="18">
        <v>51.0</v>
      </c>
      <c r="D1153" s="18">
        <v>17.0</v>
      </c>
      <c r="E1153" s="18">
        <v>17.0</v>
      </c>
    </row>
    <row r="1154" ht="18.75" customHeight="1">
      <c r="A1154" s="7" t="s">
        <v>1397</v>
      </c>
      <c r="B1154" s="19">
        <v>152.0</v>
      </c>
      <c r="C1154" s="18">
        <v>76.0</v>
      </c>
      <c r="D1154" s="18">
        <v>29.0</v>
      </c>
      <c r="E1154" s="18">
        <v>24.0</v>
      </c>
    </row>
    <row r="1155" ht="18.75" customHeight="1">
      <c r="A1155" s="7" t="s">
        <v>1411</v>
      </c>
      <c r="B1155" s="19">
        <v>190.0</v>
      </c>
      <c r="C1155" s="18">
        <v>190.0</v>
      </c>
      <c r="D1155" s="18">
        <v>56.0</v>
      </c>
      <c r="E1155" s="18">
        <v>53.0</v>
      </c>
    </row>
    <row r="1156" ht="18.75" customHeight="1">
      <c r="A1156" s="7" t="s">
        <v>1405</v>
      </c>
      <c r="B1156" s="19">
        <v>67.0</v>
      </c>
      <c r="C1156" s="18">
        <v>67.0</v>
      </c>
      <c r="D1156" s="18">
        <v>17.0</v>
      </c>
      <c r="E1156" s="18">
        <v>17.0</v>
      </c>
    </row>
    <row r="1157" ht="18.75" customHeight="1">
      <c r="A1157" s="7" t="s">
        <v>1433</v>
      </c>
      <c r="B1157" s="19">
        <v>20.0</v>
      </c>
      <c r="C1157" s="18">
        <v>20.0</v>
      </c>
      <c r="D1157" s="18">
        <v>8.0</v>
      </c>
      <c r="E1157" s="18">
        <v>7.0</v>
      </c>
    </row>
    <row r="1158" ht="18.75" customHeight="1">
      <c r="A1158" s="7" t="s">
        <v>1421</v>
      </c>
      <c r="B1158" s="19">
        <v>111.0</v>
      </c>
      <c r="C1158" s="18">
        <v>111.0</v>
      </c>
      <c r="D1158" s="18">
        <v>28.0</v>
      </c>
      <c r="E1158" s="18">
        <v>26.0</v>
      </c>
    </row>
    <row r="1159" ht="18.75" customHeight="1">
      <c r="A1159" s="7" t="s">
        <v>1419</v>
      </c>
      <c r="B1159" s="19">
        <v>73.0</v>
      </c>
      <c r="C1159" s="18">
        <v>73.0</v>
      </c>
      <c r="D1159" s="18">
        <v>30.0</v>
      </c>
      <c r="E1159" s="18">
        <v>29.0</v>
      </c>
    </row>
    <row r="1160" ht="18.75" customHeight="1">
      <c r="A1160" s="7" t="s">
        <v>1417</v>
      </c>
      <c r="B1160" s="19">
        <v>66.0</v>
      </c>
      <c r="C1160" s="18">
        <v>66.0</v>
      </c>
      <c r="D1160" s="18">
        <v>13.0</v>
      </c>
      <c r="E1160" s="18">
        <v>13.0</v>
      </c>
    </row>
    <row r="1161" ht="18.75" customHeight="1">
      <c r="A1161" s="7" t="s">
        <v>1415</v>
      </c>
      <c r="B1161" s="19">
        <v>125.0</v>
      </c>
      <c r="C1161" s="18">
        <v>125.0</v>
      </c>
      <c r="D1161" s="18">
        <v>27.0</v>
      </c>
      <c r="E1161" s="18">
        <v>25.0</v>
      </c>
    </row>
    <row r="1162" ht="18.75" customHeight="1">
      <c r="A1162" s="7" t="s">
        <v>1449</v>
      </c>
      <c r="B1162" s="19">
        <v>71.0</v>
      </c>
      <c r="C1162" s="18">
        <v>70.0</v>
      </c>
      <c r="D1162" s="18">
        <v>19.0</v>
      </c>
      <c r="E1162" s="18">
        <v>19.0</v>
      </c>
    </row>
    <row r="1163" ht="18.75" customHeight="1">
      <c r="A1163" s="7" t="s">
        <v>1485</v>
      </c>
      <c r="B1163" s="19">
        <v>149.0</v>
      </c>
      <c r="C1163" s="18">
        <v>149.0</v>
      </c>
      <c r="D1163" s="18">
        <v>46.0</v>
      </c>
      <c r="E1163" s="18">
        <v>41.0</v>
      </c>
    </row>
    <row r="1164" ht="18.75" customHeight="1">
      <c r="A1164" s="7" t="s">
        <v>1487</v>
      </c>
      <c r="B1164" s="19">
        <v>235.0</v>
      </c>
      <c r="C1164" s="18">
        <v>235.0</v>
      </c>
      <c r="D1164" s="18">
        <v>78.0</v>
      </c>
      <c r="E1164" s="18">
        <v>76.0</v>
      </c>
    </row>
    <row r="1165" ht="18.75" customHeight="1">
      <c r="A1165" s="7" t="s">
        <v>1489</v>
      </c>
      <c r="B1165" s="19">
        <v>110.0</v>
      </c>
      <c r="C1165" s="18">
        <v>110.0</v>
      </c>
      <c r="D1165" s="18">
        <v>24.0</v>
      </c>
      <c r="E1165" s="18">
        <v>22.0</v>
      </c>
    </row>
    <row r="1166" ht="18.75" customHeight="1">
      <c r="A1166" s="7" t="s">
        <v>3755</v>
      </c>
      <c r="B1166" s="19">
        <v>16712.0</v>
      </c>
      <c r="C1166" s="18">
        <v>10017.0</v>
      </c>
      <c r="D1166" s="18">
        <v>2067.0</v>
      </c>
      <c r="E1166" s="18">
        <v>1571.0</v>
      </c>
    </row>
    <row r="1167" ht="18.75" customHeight="1">
      <c r="A1167" s="7" t="s">
        <v>3755</v>
      </c>
      <c r="B1167" s="19">
        <v>0.0</v>
      </c>
      <c r="C1167" s="18">
        <v>0.0</v>
      </c>
      <c r="D1167" s="18">
        <v>0.0</v>
      </c>
      <c r="E1167" s="18">
        <v>0.0</v>
      </c>
    </row>
    <row r="1168" ht="18.75" customHeight="1">
      <c r="A1168" s="7" t="s">
        <v>3755</v>
      </c>
      <c r="B1168" s="19">
        <v>0.0</v>
      </c>
      <c r="C1168" s="18">
        <v>0.0</v>
      </c>
      <c r="D1168" s="18">
        <v>0.0</v>
      </c>
      <c r="E1168" s="18">
        <v>0.0</v>
      </c>
    </row>
    <row r="1169" ht="18.75" customHeight="1">
      <c r="A1169" s="7" t="s">
        <v>1473</v>
      </c>
      <c r="B1169" s="19">
        <v>0.0</v>
      </c>
      <c r="C1169" s="18">
        <v>0.0</v>
      </c>
      <c r="D1169" s="18">
        <v>0.0</v>
      </c>
      <c r="E1169" s="18">
        <v>0.0</v>
      </c>
    </row>
    <row r="1170" ht="18.75" customHeight="1">
      <c r="A1170" s="7" t="s">
        <v>1475</v>
      </c>
      <c r="B1170" s="19">
        <v>88.0</v>
      </c>
      <c r="C1170" s="18">
        <v>88.0</v>
      </c>
      <c r="D1170" s="18">
        <v>17.0</v>
      </c>
      <c r="E1170" s="18">
        <v>17.0</v>
      </c>
    </row>
    <row r="1171" ht="18.75" customHeight="1">
      <c r="A1171" s="7" t="s">
        <v>1477</v>
      </c>
      <c r="B1171" s="19">
        <v>114.0</v>
      </c>
      <c r="C1171" s="18">
        <v>114.0</v>
      </c>
      <c r="D1171" s="18">
        <v>33.0</v>
      </c>
      <c r="E1171" s="18">
        <v>32.0</v>
      </c>
    </row>
    <row r="1172" ht="18.75" customHeight="1">
      <c r="A1172" s="7" t="s">
        <v>1479</v>
      </c>
      <c r="B1172" s="19">
        <v>94.0</v>
      </c>
      <c r="C1172" s="18">
        <v>94.0</v>
      </c>
      <c r="D1172" s="18">
        <v>24.0</v>
      </c>
      <c r="E1172" s="18">
        <v>23.0</v>
      </c>
    </row>
    <row r="1173" ht="18.75" customHeight="1">
      <c r="A1173" s="7" t="s">
        <v>1499</v>
      </c>
      <c r="B1173" s="19">
        <v>108.0</v>
      </c>
      <c r="C1173" s="18">
        <v>108.0</v>
      </c>
      <c r="D1173" s="18">
        <v>28.0</v>
      </c>
      <c r="E1173" s="18">
        <v>24.0</v>
      </c>
    </row>
    <row r="1174" ht="18.75" customHeight="1">
      <c r="A1174" s="7" t="s">
        <v>1501</v>
      </c>
      <c r="B1174" s="19">
        <v>106.0</v>
      </c>
      <c r="C1174" s="18">
        <v>106.0</v>
      </c>
      <c r="D1174" s="18">
        <v>36.0</v>
      </c>
      <c r="E1174" s="18">
        <v>34.0</v>
      </c>
    </row>
    <row r="1175" ht="18.75" customHeight="1">
      <c r="A1175" s="7" t="s">
        <v>3755</v>
      </c>
      <c r="B1175" s="19">
        <v>557.0</v>
      </c>
      <c r="C1175" s="18">
        <v>557.0</v>
      </c>
      <c r="D1175" s="18">
        <v>246.0</v>
      </c>
      <c r="E1175" s="18">
        <v>237.0</v>
      </c>
    </row>
    <row r="1176" ht="18.75" customHeight="1">
      <c r="A1176" s="7" t="s">
        <v>1541</v>
      </c>
      <c r="B1176" s="19">
        <v>177.0</v>
      </c>
      <c r="C1176" s="18">
        <v>177.0</v>
      </c>
      <c r="D1176" s="18">
        <v>37.0</v>
      </c>
      <c r="E1176" s="18">
        <v>35.0</v>
      </c>
    </row>
    <row r="1177" ht="18.75" customHeight="1">
      <c r="A1177" s="7" t="s">
        <v>1543</v>
      </c>
      <c r="B1177" s="19">
        <v>159.0</v>
      </c>
      <c r="C1177" s="18">
        <v>158.0</v>
      </c>
      <c r="D1177" s="18">
        <v>38.0</v>
      </c>
      <c r="E1177" s="18">
        <v>37.0</v>
      </c>
    </row>
    <row r="1178" ht="18.75" customHeight="1">
      <c r="A1178" s="7" t="s">
        <v>3756</v>
      </c>
      <c r="B1178" s="19">
        <v>0.0</v>
      </c>
      <c r="C1178" s="18">
        <v>0.0</v>
      </c>
      <c r="D1178" s="18">
        <v>0.0</v>
      </c>
      <c r="E1178" s="18">
        <v>0.0</v>
      </c>
    </row>
    <row r="1179" ht="18.75" customHeight="1">
      <c r="A1179" s="7" t="s">
        <v>1537</v>
      </c>
      <c r="B1179" s="19">
        <v>10510.0</v>
      </c>
      <c r="C1179" s="18">
        <v>10510.0</v>
      </c>
      <c r="D1179" s="18">
        <v>2980.0</v>
      </c>
      <c r="E1179" s="18">
        <v>2237.0</v>
      </c>
    </row>
    <row r="1180" ht="18.75" customHeight="1">
      <c r="A1180" s="7" t="s">
        <v>1537</v>
      </c>
      <c r="B1180" s="19">
        <v>729.0</v>
      </c>
      <c r="C1180" s="18">
        <v>729.0</v>
      </c>
      <c r="D1180" s="18">
        <v>237.0</v>
      </c>
      <c r="E1180" s="18">
        <v>218.0</v>
      </c>
    </row>
    <row r="1181" ht="18.75" customHeight="1">
      <c r="A1181" s="7" t="s">
        <v>1537</v>
      </c>
      <c r="B1181" s="19">
        <v>287.0</v>
      </c>
      <c r="C1181" s="18">
        <v>287.0</v>
      </c>
      <c r="D1181" s="18">
        <v>114.0</v>
      </c>
      <c r="E1181" s="18">
        <v>102.0</v>
      </c>
    </row>
    <row r="1182" ht="18.75" customHeight="1">
      <c r="A1182" s="7" t="s">
        <v>1563</v>
      </c>
      <c r="B1182" s="19">
        <v>138.0</v>
      </c>
      <c r="C1182" s="18">
        <v>138.0</v>
      </c>
      <c r="D1182" s="18">
        <v>39.0</v>
      </c>
      <c r="E1182" s="18">
        <v>39.0</v>
      </c>
    </row>
    <row r="1183" ht="18.75" customHeight="1">
      <c r="A1183" s="7" t="s">
        <v>1565</v>
      </c>
      <c r="B1183" s="19">
        <v>71.0</v>
      </c>
      <c r="C1183" s="18">
        <v>71.0</v>
      </c>
      <c r="D1183" s="18">
        <v>24.0</v>
      </c>
      <c r="E1183" s="18">
        <v>24.0</v>
      </c>
    </row>
    <row r="1184" ht="18.75" customHeight="1">
      <c r="A1184" s="7" t="s">
        <v>1557</v>
      </c>
      <c r="B1184" s="19">
        <v>78.0</v>
      </c>
      <c r="C1184" s="18">
        <v>78.0</v>
      </c>
      <c r="D1184" s="18">
        <v>29.0</v>
      </c>
      <c r="E1184" s="18">
        <v>28.0</v>
      </c>
    </row>
    <row r="1185" ht="18.75" customHeight="1">
      <c r="A1185" s="7" t="s">
        <v>1559</v>
      </c>
      <c r="B1185" s="19">
        <v>127.0</v>
      </c>
      <c r="C1185" s="18">
        <v>127.0</v>
      </c>
      <c r="D1185" s="18">
        <v>42.0</v>
      </c>
      <c r="E1185" s="18">
        <v>42.0</v>
      </c>
    </row>
    <row r="1186" ht="18.75" customHeight="1">
      <c r="A1186" s="7" t="s">
        <v>3756</v>
      </c>
      <c r="B1186" s="19">
        <v>60.0</v>
      </c>
      <c r="C1186" s="18">
        <v>60.0</v>
      </c>
      <c r="D1186" s="18">
        <v>14.0</v>
      </c>
      <c r="E1186" s="18">
        <v>13.0</v>
      </c>
    </row>
    <row r="1187" ht="18.75" customHeight="1">
      <c r="A1187" s="7" t="s">
        <v>1545</v>
      </c>
      <c r="B1187" s="19">
        <v>109.0</v>
      </c>
      <c r="C1187" s="18">
        <v>109.0</v>
      </c>
      <c r="D1187" s="18">
        <v>37.0</v>
      </c>
      <c r="E1187" s="18">
        <v>37.0</v>
      </c>
    </row>
    <row r="1188" ht="18.75" customHeight="1">
      <c r="A1188" s="7" t="s">
        <v>1603</v>
      </c>
      <c r="B1188" s="19">
        <v>0.0</v>
      </c>
      <c r="C1188" s="18">
        <v>0.0</v>
      </c>
      <c r="D1188" s="18">
        <v>0.0</v>
      </c>
      <c r="E1188" s="18">
        <v>0.0</v>
      </c>
    </row>
    <row r="1189" ht="18.75" customHeight="1">
      <c r="A1189" s="7" t="s">
        <v>1609</v>
      </c>
      <c r="B1189" s="19">
        <v>166.0</v>
      </c>
      <c r="C1189" s="18">
        <v>166.0</v>
      </c>
      <c r="D1189" s="18">
        <v>36.0</v>
      </c>
      <c r="E1189" s="18">
        <v>35.0</v>
      </c>
    </row>
    <row r="1190" ht="18.75" customHeight="1">
      <c r="A1190" s="7" t="s">
        <v>1613</v>
      </c>
      <c r="B1190" s="19">
        <v>166.0</v>
      </c>
      <c r="C1190" s="18">
        <v>166.0</v>
      </c>
      <c r="D1190" s="18">
        <v>53.0</v>
      </c>
      <c r="E1190" s="18">
        <v>49.0</v>
      </c>
    </row>
    <row r="1191" ht="18.75" customHeight="1">
      <c r="A1191" s="7" t="s">
        <v>1617</v>
      </c>
      <c r="B1191" s="19">
        <v>0.0</v>
      </c>
      <c r="C1191" s="18">
        <v>0.0</v>
      </c>
      <c r="D1191" s="18">
        <v>0.0</v>
      </c>
      <c r="E1191" s="18">
        <v>0.0</v>
      </c>
    </row>
    <row r="1192" ht="18.75" customHeight="1">
      <c r="A1192" s="7" t="s">
        <v>1607</v>
      </c>
      <c r="B1192" s="19">
        <v>11000.0</v>
      </c>
      <c r="C1192" s="18">
        <v>11000.0</v>
      </c>
      <c r="D1192" s="18">
        <v>2459.0</v>
      </c>
      <c r="E1192" s="18">
        <v>1814.0</v>
      </c>
    </row>
    <row r="1193" ht="18.75" customHeight="1">
      <c r="A1193" s="7" t="s">
        <v>1607</v>
      </c>
      <c r="B1193" s="19">
        <v>895.0</v>
      </c>
      <c r="C1193" s="18">
        <v>894.0</v>
      </c>
      <c r="D1193" s="18">
        <v>260.0</v>
      </c>
      <c r="E1193" s="18">
        <v>238.0</v>
      </c>
    </row>
    <row r="1194" ht="18.75" customHeight="1">
      <c r="A1194" s="7" t="s">
        <v>1607</v>
      </c>
      <c r="B1194" s="19">
        <v>236.0</v>
      </c>
      <c r="C1194" s="18">
        <v>214.0</v>
      </c>
      <c r="D1194" s="18">
        <v>77.0</v>
      </c>
      <c r="E1194" s="18">
        <v>76.0</v>
      </c>
    </row>
    <row r="1195" ht="18.75" customHeight="1">
      <c r="A1195" s="7" t="s">
        <v>1623</v>
      </c>
      <c r="B1195" s="19">
        <v>151.0</v>
      </c>
      <c r="C1195" s="18">
        <v>151.0</v>
      </c>
      <c r="D1195" s="18">
        <v>37.0</v>
      </c>
      <c r="E1195" s="18">
        <v>35.0</v>
      </c>
    </row>
    <row r="1196" ht="18.75" customHeight="1">
      <c r="A1196" s="7" t="s">
        <v>1629</v>
      </c>
      <c r="B1196" s="19">
        <v>88.0</v>
      </c>
      <c r="C1196" s="18">
        <v>88.0</v>
      </c>
      <c r="D1196" s="18">
        <v>22.0</v>
      </c>
      <c r="E1196" s="18">
        <v>22.0</v>
      </c>
    </row>
    <row r="1197" ht="18.75" customHeight="1">
      <c r="A1197" s="7" t="s">
        <v>1627</v>
      </c>
      <c r="B1197" s="19">
        <v>77.0</v>
      </c>
      <c r="C1197" s="18">
        <v>77.0</v>
      </c>
      <c r="D1197" s="18">
        <v>8.0</v>
      </c>
      <c r="E1197" s="18">
        <v>8.0</v>
      </c>
    </row>
    <row r="1198" ht="18.75" customHeight="1">
      <c r="A1198" s="7" t="s">
        <v>1625</v>
      </c>
      <c r="B1198" s="19">
        <v>106.0</v>
      </c>
      <c r="C1198" s="18">
        <v>106.0</v>
      </c>
      <c r="D1198" s="18">
        <v>31.0</v>
      </c>
      <c r="E1198" s="18">
        <v>29.0</v>
      </c>
    </row>
    <row r="1199" ht="18.75" customHeight="1">
      <c r="A1199" s="7" t="s">
        <v>1541</v>
      </c>
      <c r="B1199" s="19">
        <v>47.0</v>
      </c>
      <c r="C1199" s="18">
        <v>47.0</v>
      </c>
      <c r="D1199" s="18">
        <v>21.0</v>
      </c>
      <c r="E1199" s="18">
        <v>21.0</v>
      </c>
    </row>
    <row r="1200" ht="18.75" customHeight="1">
      <c r="A1200" s="7" t="s">
        <v>1611</v>
      </c>
      <c r="B1200" s="19">
        <v>48.0</v>
      </c>
      <c r="C1200" s="18">
        <v>48.0</v>
      </c>
      <c r="D1200" s="18">
        <v>18.0</v>
      </c>
      <c r="E1200" s="18">
        <v>18.0</v>
      </c>
    </row>
    <row r="1201" ht="18.75" customHeight="1">
      <c r="A1201" s="7" t="s">
        <v>1661</v>
      </c>
      <c r="B1201" s="19">
        <v>16000.0</v>
      </c>
      <c r="C1201" s="18">
        <v>5243.0</v>
      </c>
      <c r="D1201" s="18">
        <v>824.0</v>
      </c>
      <c r="E1201" s="18">
        <v>632.0</v>
      </c>
    </row>
    <row r="1202" ht="18.75" customHeight="1">
      <c r="A1202" s="7" t="s">
        <v>1661</v>
      </c>
      <c r="B1202" s="19">
        <v>1927.0</v>
      </c>
      <c r="C1202" s="18">
        <v>1926.0</v>
      </c>
      <c r="D1202" s="18">
        <v>823.0</v>
      </c>
      <c r="E1202" s="18">
        <v>757.0</v>
      </c>
    </row>
    <row r="1203" ht="18.75" customHeight="1">
      <c r="A1203" s="7" t="s">
        <v>1661</v>
      </c>
      <c r="B1203" s="19">
        <v>19.0</v>
      </c>
      <c r="C1203" s="18">
        <v>19.0</v>
      </c>
      <c r="D1203" s="18">
        <v>6.0</v>
      </c>
      <c r="E1203" s="18">
        <v>6.0</v>
      </c>
    </row>
    <row r="1204" ht="18.75" customHeight="1">
      <c r="A1204" s="7" t="s">
        <v>1676</v>
      </c>
      <c r="B1204" s="19">
        <v>11001.0</v>
      </c>
      <c r="C1204" s="18">
        <v>8915.0</v>
      </c>
      <c r="D1204" s="18">
        <v>1496.0</v>
      </c>
      <c r="E1204" s="18">
        <v>1217.0</v>
      </c>
    </row>
    <row r="1205" ht="18.75" customHeight="1">
      <c r="A1205" s="7" t="s">
        <v>1676</v>
      </c>
      <c r="B1205" s="19">
        <v>709.0</v>
      </c>
      <c r="C1205" s="18">
        <v>709.0</v>
      </c>
      <c r="D1205" s="18">
        <v>284.0</v>
      </c>
      <c r="E1205" s="18">
        <v>278.0</v>
      </c>
    </row>
    <row r="1206" ht="18.75" customHeight="1">
      <c r="A1206" s="7" t="s">
        <v>1676</v>
      </c>
      <c r="B1206" s="19">
        <v>201.0</v>
      </c>
      <c r="C1206" s="18">
        <v>200.0</v>
      </c>
      <c r="D1206" s="18">
        <v>78.0</v>
      </c>
      <c r="E1206" s="18">
        <v>68.0</v>
      </c>
    </row>
    <row r="1207" ht="18.75" customHeight="1">
      <c r="A1207" s="7" t="s">
        <v>3757</v>
      </c>
      <c r="B1207" s="19">
        <v>0.0</v>
      </c>
      <c r="C1207" s="18">
        <v>0.0</v>
      </c>
      <c r="D1207" s="18">
        <v>0.0</v>
      </c>
      <c r="E1207" s="18">
        <v>0.0</v>
      </c>
    </row>
    <row r="1208" ht="18.75" customHeight="1">
      <c r="A1208" s="7" t="s">
        <v>1682</v>
      </c>
      <c r="B1208" s="19">
        <v>0.0</v>
      </c>
      <c r="C1208" s="18">
        <v>0.0</v>
      </c>
      <c r="D1208" s="18">
        <v>0.0</v>
      </c>
      <c r="E1208" s="18">
        <v>0.0</v>
      </c>
    </row>
    <row r="1209" ht="18.75" customHeight="1">
      <c r="A1209" s="7" t="s">
        <v>1670</v>
      </c>
      <c r="B1209" s="19">
        <v>63.0</v>
      </c>
      <c r="C1209" s="18">
        <v>63.0</v>
      </c>
      <c r="D1209" s="18">
        <v>27.0</v>
      </c>
      <c r="E1209" s="18">
        <v>27.0</v>
      </c>
    </row>
    <row r="1210" ht="18.75" customHeight="1">
      <c r="A1210" s="7" t="s">
        <v>1672</v>
      </c>
      <c r="B1210" s="19">
        <v>100.0</v>
      </c>
      <c r="C1210" s="18">
        <v>100.0</v>
      </c>
      <c r="D1210" s="18">
        <v>26.0</v>
      </c>
      <c r="E1210" s="18">
        <v>26.0</v>
      </c>
    </row>
    <row r="1211" ht="18.75" customHeight="1">
      <c r="A1211" s="7" t="s">
        <v>1684</v>
      </c>
      <c r="B1211" s="19">
        <v>106.0</v>
      </c>
      <c r="C1211" s="18">
        <v>106.0</v>
      </c>
      <c r="D1211" s="18">
        <v>27.0</v>
      </c>
      <c r="E1211" s="18">
        <v>26.0</v>
      </c>
    </row>
    <row r="1212" ht="18.75" customHeight="1">
      <c r="A1212" s="7" t="s">
        <v>1693</v>
      </c>
      <c r="B1212" s="19">
        <v>115.0</v>
      </c>
      <c r="C1212" s="18">
        <v>115.0</v>
      </c>
      <c r="D1212" s="18">
        <v>32.0</v>
      </c>
      <c r="E1212" s="18">
        <v>30.0</v>
      </c>
    </row>
    <row r="1213" ht="18.75" customHeight="1">
      <c r="A1213" s="7" t="s">
        <v>1695</v>
      </c>
      <c r="B1213" s="19">
        <v>49.0</v>
      </c>
      <c r="C1213" s="18">
        <v>49.0</v>
      </c>
      <c r="D1213" s="18">
        <v>14.0</v>
      </c>
      <c r="E1213" s="18">
        <v>14.0</v>
      </c>
    </row>
    <row r="1214" ht="18.75" customHeight="1">
      <c r="A1214" s="7" t="s">
        <v>1699</v>
      </c>
      <c r="B1214" s="19">
        <v>116.0</v>
      </c>
      <c r="C1214" s="18">
        <v>115.0</v>
      </c>
      <c r="D1214" s="18">
        <v>28.0</v>
      </c>
      <c r="E1214" s="18">
        <v>27.0</v>
      </c>
    </row>
    <row r="1215" ht="18.75" customHeight="1">
      <c r="A1215" s="7" t="s">
        <v>1697</v>
      </c>
      <c r="B1215" s="19">
        <v>138.0</v>
      </c>
      <c r="C1215" s="18">
        <v>138.0</v>
      </c>
      <c r="D1215" s="18">
        <v>32.0</v>
      </c>
      <c r="E1215" s="18">
        <v>30.0</v>
      </c>
    </row>
    <row r="1216" ht="18.75" customHeight="1">
      <c r="A1216" s="7" t="s">
        <v>1401</v>
      </c>
      <c r="B1216" s="19">
        <v>43388.0</v>
      </c>
      <c r="C1216" s="18">
        <v>41000.0</v>
      </c>
      <c r="D1216" s="18">
        <v>11931.0</v>
      </c>
      <c r="E1216" s="18">
        <v>8866.0</v>
      </c>
    </row>
    <row r="1217" ht="18.75" customHeight="1">
      <c r="A1217" s="7" t="s">
        <v>1755</v>
      </c>
      <c r="B1217" s="19">
        <v>100.0</v>
      </c>
      <c r="C1217" s="18">
        <v>100.0</v>
      </c>
      <c r="D1217" s="18">
        <v>26.0</v>
      </c>
      <c r="E1217" s="18">
        <v>25.0</v>
      </c>
    </row>
    <row r="1218" ht="18.75" customHeight="1">
      <c r="A1218" s="7" t="s">
        <v>1761</v>
      </c>
      <c r="B1218" s="19">
        <v>120.0</v>
      </c>
      <c r="C1218" s="18">
        <v>120.0</v>
      </c>
      <c r="D1218" s="18">
        <v>35.0</v>
      </c>
      <c r="E1218" s="18">
        <v>34.0</v>
      </c>
    </row>
    <row r="1219" ht="18.75" customHeight="1">
      <c r="A1219" s="7" t="s">
        <v>1759</v>
      </c>
      <c r="B1219" s="19">
        <v>0.0</v>
      </c>
      <c r="C1219" s="18">
        <v>0.0</v>
      </c>
      <c r="D1219" s="18">
        <v>0.0</v>
      </c>
      <c r="E1219" s="18">
        <v>0.0</v>
      </c>
    </row>
    <row r="1220" ht="18.75" customHeight="1">
      <c r="A1220" s="7" t="s">
        <v>1731</v>
      </c>
      <c r="B1220" s="19">
        <v>7000.0</v>
      </c>
      <c r="C1220" s="18">
        <v>7000.0</v>
      </c>
      <c r="D1220" s="18">
        <v>1414.0</v>
      </c>
      <c r="E1220" s="18">
        <v>1109.0</v>
      </c>
    </row>
    <row r="1221" ht="18.75" customHeight="1">
      <c r="A1221" s="7" t="s">
        <v>1731</v>
      </c>
      <c r="B1221" s="19">
        <v>537.0</v>
      </c>
      <c r="C1221" s="18">
        <v>526.0</v>
      </c>
      <c r="D1221" s="18">
        <v>168.0</v>
      </c>
      <c r="E1221" s="18">
        <v>159.0</v>
      </c>
    </row>
    <row r="1222" ht="18.75" customHeight="1">
      <c r="A1222" s="7" t="s">
        <v>1731</v>
      </c>
      <c r="B1222" s="19">
        <v>38.0</v>
      </c>
      <c r="C1222" s="18">
        <v>38.0</v>
      </c>
      <c r="D1222" s="18">
        <v>15.0</v>
      </c>
      <c r="E1222" s="18">
        <v>14.0</v>
      </c>
    </row>
    <row r="1223" ht="18.75" customHeight="1">
      <c r="A1223" s="7" t="s">
        <v>1769</v>
      </c>
      <c r="B1223" s="19">
        <v>115.0</v>
      </c>
      <c r="C1223" s="18">
        <v>115.0</v>
      </c>
      <c r="D1223" s="18">
        <v>34.0</v>
      </c>
      <c r="E1223" s="18">
        <v>33.0</v>
      </c>
    </row>
    <row r="1224" ht="18.75" customHeight="1">
      <c r="A1224" s="7" t="s">
        <v>1771</v>
      </c>
      <c r="B1224" s="19">
        <v>75.0</v>
      </c>
      <c r="C1224" s="18">
        <v>75.0</v>
      </c>
      <c r="D1224" s="18">
        <v>21.0</v>
      </c>
      <c r="E1224" s="18">
        <v>19.0</v>
      </c>
    </row>
    <row r="1225" ht="18.75" customHeight="1">
      <c r="A1225" s="7" t="s">
        <v>1773</v>
      </c>
      <c r="B1225" s="19">
        <v>82.0</v>
      </c>
      <c r="C1225" s="18">
        <v>82.0</v>
      </c>
      <c r="D1225" s="18">
        <v>20.0</v>
      </c>
      <c r="E1225" s="18">
        <v>19.0</v>
      </c>
    </row>
    <row r="1226" ht="18.75" customHeight="1">
      <c r="A1226" s="7" t="s">
        <v>1775</v>
      </c>
      <c r="B1226" s="19">
        <v>82.0</v>
      </c>
      <c r="C1226" s="18">
        <v>82.0</v>
      </c>
      <c r="D1226" s="18">
        <v>21.0</v>
      </c>
      <c r="E1226" s="18">
        <v>21.0</v>
      </c>
    </row>
    <row r="1227" ht="18.75" customHeight="1">
      <c r="A1227" s="7" t="s">
        <v>1757</v>
      </c>
      <c r="B1227" s="19">
        <v>57.0</v>
      </c>
      <c r="C1227" s="18">
        <v>57.0</v>
      </c>
      <c r="D1227" s="18">
        <v>22.0</v>
      </c>
      <c r="E1227" s="18">
        <v>19.0</v>
      </c>
    </row>
    <row r="1228" ht="18.75" customHeight="1">
      <c r="A1228" s="7" t="s">
        <v>1785</v>
      </c>
      <c r="B1228" s="19">
        <v>38.0</v>
      </c>
      <c r="C1228" s="18">
        <v>38.0</v>
      </c>
      <c r="D1228" s="18">
        <v>10.0</v>
      </c>
      <c r="E1228" s="18">
        <v>9.0</v>
      </c>
    </row>
    <row r="1229" ht="18.75" customHeight="1">
      <c r="A1229" s="7" t="s">
        <v>1757</v>
      </c>
      <c r="B1229" s="19">
        <v>157.0</v>
      </c>
      <c r="C1229" s="18">
        <v>157.0</v>
      </c>
      <c r="D1229" s="18">
        <v>48.0</v>
      </c>
      <c r="E1229" s="18">
        <v>45.0</v>
      </c>
    </row>
    <row r="1230" ht="18.75" customHeight="1">
      <c r="A1230" s="7" t="s">
        <v>1801</v>
      </c>
      <c r="B1230" s="19">
        <v>8000.0</v>
      </c>
      <c r="C1230" s="18">
        <v>6667.0</v>
      </c>
      <c r="D1230" s="18">
        <v>1051.0</v>
      </c>
      <c r="E1230" s="18">
        <v>821.0</v>
      </c>
    </row>
    <row r="1231" ht="18.75" customHeight="1">
      <c r="A1231" s="7" t="s">
        <v>1801</v>
      </c>
      <c r="B1231" s="19">
        <v>476.0</v>
      </c>
      <c r="C1231" s="18">
        <v>476.0</v>
      </c>
      <c r="D1231" s="18">
        <v>142.0</v>
      </c>
      <c r="E1231" s="18">
        <v>138.0</v>
      </c>
    </row>
    <row r="1232" ht="18.75" customHeight="1">
      <c r="A1232" s="7" t="s">
        <v>1801</v>
      </c>
      <c r="B1232" s="19">
        <v>126.0</v>
      </c>
      <c r="C1232" s="18">
        <v>126.0</v>
      </c>
      <c r="D1232" s="18">
        <v>51.0</v>
      </c>
      <c r="E1232" s="18">
        <v>48.0</v>
      </c>
    </row>
    <row r="1233" ht="18.75" customHeight="1">
      <c r="A1233" s="7" t="s">
        <v>1817</v>
      </c>
      <c r="B1233" s="19">
        <v>110.0</v>
      </c>
      <c r="C1233" s="18">
        <v>110.0</v>
      </c>
      <c r="D1233" s="18">
        <v>39.0</v>
      </c>
      <c r="E1233" s="18">
        <v>36.0</v>
      </c>
    </row>
    <row r="1234" ht="18.75" customHeight="1">
      <c r="A1234" s="7" t="s">
        <v>1829</v>
      </c>
      <c r="B1234" s="19">
        <v>139.0</v>
      </c>
      <c r="C1234" s="18">
        <v>139.0</v>
      </c>
      <c r="D1234" s="18">
        <v>50.0</v>
      </c>
      <c r="E1234" s="18">
        <v>47.0</v>
      </c>
    </row>
    <row r="1235" ht="18.75" customHeight="1">
      <c r="A1235" s="7" t="s">
        <v>1821</v>
      </c>
      <c r="B1235" s="19">
        <v>86.0</v>
      </c>
      <c r="C1235" s="18">
        <v>86.0</v>
      </c>
      <c r="D1235" s="18">
        <v>26.0</v>
      </c>
      <c r="E1235" s="18">
        <v>26.0</v>
      </c>
    </row>
    <row r="1236" ht="18.75" customHeight="1">
      <c r="A1236" s="7" t="s">
        <v>1823</v>
      </c>
      <c r="B1236" s="19">
        <v>106.0</v>
      </c>
      <c r="C1236" s="18">
        <v>106.0</v>
      </c>
      <c r="D1236" s="18">
        <v>38.0</v>
      </c>
      <c r="E1236" s="18">
        <v>36.0</v>
      </c>
    </row>
    <row r="1237" ht="18.75" customHeight="1">
      <c r="A1237" s="7" t="s">
        <v>1825</v>
      </c>
      <c r="B1237" s="19">
        <v>94.0</v>
      </c>
      <c r="C1237" s="18">
        <v>94.0</v>
      </c>
      <c r="D1237" s="18">
        <v>35.0</v>
      </c>
      <c r="E1237" s="18">
        <v>33.0</v>
      </c>
    </row>
    <row r="1238" ht="18.75" customHeight="1">
      <c r="A1238" s="7" t="s">
        <v>1827</v>
      </c>
      <c r="B1238" s="19">
        <v>130.0</v>
      </c>
      <c r="C1238" s="18">
        <v>130.0</v>
      </c>
      <c r="D1238" s="18">
        <v>43.0</v>
      </c>
      <c r="E1238" s="18">
        <v>43.0</v>
      </c>
    </row>
    <row r="1239" ht="18.75" customHeight="1">
      <c r="A1239" s="7" t="s">
        <v>3869</v>
      </c>
      <c r="B1239" s="19">
        <v>0.0</v>
      </c>
      <c r="C1239" s="18">
        <v>0.0</v>
      </c>
      <c r="D1239" s="18">
        <v>0.0</v>
      </c>
      <c r="E1239" s="18">
        <v>0.0</v>
      </c>
    </row>
    <row r="1240" ht="18.75" customHeight="1">
      <c r="A1240" s="7" t="s">
        <v>1837</v>
      </c>
      <c r="B1240" s="19">
        <v>0.0</v>
      </c>
      <c r="C1240" s="18">
        <v>0.0</v>
      </c>
      <c r="D1240" s="18">
        <v>0.0</v>
      </c>
      <c r="E1240" s="18">
        <v>0.0</v>
      </c>
    </row>
    <row r="1241" ht="18.75" customHeight="1">
      <c r="A1241" s="7" t="s">
        <v>1837</v>
      </c>
      <c r="B1241" s="19">
        <v>0.0</v>
      </c>
      <c r="C1241" s="18">
        <v>0.0</v>
      </c>
      <c r="D1241" s="18">
        <v>0.0</v>
      </c>
      <c r="E1241" s="18">
        <v>0.0</v>
      </c>
    </row>
    <row r="1242" ht="18.75" customHeight="1">
      <c r="A1242" s="7" t="s">
        <v>1869</v>
      </c>
      <c r="B1242" s="19">
        <v>54.0</v>
      </c>
      <c r="C1242" s="18">
        <v>54.0</v>
      </c>
      <c r="D1242" s="18">
        <v>21.0</v>
      </c>
      <c r="E1242" s="18">
        <v>20.0</v>
      </c>
    </row>
    <row r="1243" ht="18.75" customHeight="1">
      <c r="A1243" s="7" t="s">
        <v>1871</v>
      </c>
      <c r="B1243" s="19">
        <v>47.0</v>
      </c>
      <c r="C1243" s="18">
        <v>47.0</v>
      </c>
      <c r="D1243" s="18">
        <v>16.0</v>
      </c>
      <c r="E1243" s="18">
        <v>15.0</v>
      </c>
    </row>
    <row r="1244" ht="18.75" customHeight="1">
      <c r="A1244" s="7" t="s">
        <v>1873</v>
      </c>
      <c r="B1244" s="19">
        <v>18.0</v>
      </c>
      <c r="C1244" s="18">
        <v>18.0</v>
      </c>
      <c r="D1244" s="18">
        <v>6.0</v>
      </c>
      <c r="E1244" s="18">
        <v>6.0</v>
      </c>
    </row>
    <row r="1245" ht="18.75" customHeight="1">
      <c r="A1245" s="7" t="s">
        <v>1884</v>
      </c>
      <c r="B1245" s="19">
        <v>178.0</v>
      </c>
      <c r="C1245" s="18">
        <v>178.0</v>
      </c>
      <c r="D1245" s="18">
        <v>43.0</v>
      </c>
      <c r="E1245" s="18">
        <v>43.0</v>
      </c>
    </row>
    <row r="1246" ht="18.75" customHeight="1">
      <c r="A1246" s="7" t="s">
        <v>1865</v>
      </c>
      <c r="B1246" s="19">
        <v>8000.0</v>
      </c>
      <c r="C1246" s="18">
        <v>7668.0</v>
      </c>
      <c r="D1246" s="18">
        <v>2251.0</v>
      </c>
      <c r="E1246" s="18">
        <v>1876.0</v>
      </c>
    </row>
    <row r="1247" ht="18.75" customHeight="1">
      <c r="A1247" s="7" t="s">
        <v>1865</v>
      </c>
      <c r="B1247" s="19">
        <v>815.0</v>
      </c>
      <c r="C1247" s="18">
        <v>815.0</v>
      </c>
      <c r="D1247" s="18">
        <v>413.0</v>
      </c>
      <c r="E1247" s="18">
        <v>403.0</v>
      </c>
    </row>
    <row r="1248" ht="18.75" customHeight="1">
      <c r="A1248" s="7" t="s">
        <v>1865</v>
      </c>
      <c r="B1248" s="19">
        <v>223.0</v>
      </c>
      <c r="C1248" s="18">
        <v>223.0</v>
      </c>
      <c r="D1248" s="18">
        <v>96.0</v>
      </c>
      <c r="E1248" s="18">
        <v>87.0</v>
      </c>
    </row>
    <row r="1249" ht="18.75" customHeight="1">
      <c r="A1249" s="7" t="s">
        <v>1898</v>
      </c>
      <c r="B1249" s="19">
        <v>84.0</v>
      </c>
      <c r="C1249" s="18">
        <v>84.0</v>
      </c>
      <c r="D1249" s="18">
        <v>21.0</v>
      </c>
      <c r="E1249" s="18">
        <v>20.0</v>
      </c>
    </row>
    <row r="1250" ht="18.75" customHeight="1">
      <c r="A1250" s="7" t="s">
        <v>1900</v>
      </c>
      <c r="B1250" s="19">
        <v>155.0</v>
      </c>
      <c r="C1250" s="18">
        <v>155.0</v>
      </c>
      <c r="D1250" s="18">
        <v>43.0</v>
      </c>
      <c r="E1250" s="18">
        <v>43.0</v>
      </c>
    </row>
    <row r="1251" ht="18.75" customHeight="1">
      <c r="A1251" s="7" t="s">
        <v>1902</v>
      </c>
      <c r="B1251" s="19">
        <v>81.0</v>
      </c>
      <c r="C1251" s="18">
        <v>81.0</v>
      </c>
      <c r="D1251" s="18">
        <v>26.0</v>
      </c>
      <c r="E1251" s="18">
        <v>26.0</v>
      </c>
    </row>
    <row r="1252" ht="18.75" customHeight="1">
      <c r="A1252" s="7" t="s">
        <v>1904</v>
      </c>
      <c r="B1252" s="19">
        <v>73.0</v>
      </c>
      <c r="C1252" s="18">
        <v>73.0</v>
      </c>
      <c r="D1252" s="18">
        <v>19.0</v>
      </c>
      <c r="E1252" s="18">
        <v>19.0</v>
      </c>
    </row>
    <row r="1253" ht="18.75" customHeight="1">
      <c r="A1253" s="7" t="s">
        <v>3870</v>
      </c>
      <c r="B1253" s="19">
        <v>0.0</v>
      </c>
      <c r="C1253" s="18">
        <v>0.0</v>
      </c>
      <c r="D1253" s="18">
        <v>0.0</v>
      </c>
      <c r="E1253" s="18">
        <v>0.0</v>
      </c>
    </row>
    <row r="1254" ht="18.75" customHeight="1">
      <c r="A1254" s="7" t="s">
        <v>3870</v>
      </c>
      <c r="B1254" s="19">
        <v>0.0</v>
      </c>
      <c r="C1254" s="18">
        <v>0.0</v>
      </c>
      <c r="D1254" s="18">
        <v>0.0</v>
      </c>
      <c r="E1254" s="18">
        <v>0.0</v>
      </c>
    </row>
    <row r="1255" ht="18.75" customHeight="1">
      <c r="A1255" s="7" t="s">
        <v>1912</v>
      </c>
      <c r="B1255" s="19">
        <v>114.0</v>
      </c>
      <c r="C1255" s="18">
        <v>114.0</v>
      </c>
      <c r="D1255" s="18">
        <v>31.0</v>
      </c>
      <c r="E1255" s="18">
        <v>31.0</v>
      </c>
    </row>
    <row r="1256" ht="18.75" customHeight="1">
      <c r="A1256" s="7" t="s">
        <v>1914</v>
      </c>
      <c r="B1256" s="19">
        <v>144.0</v>
      </c>
      <c r="C1256" s="18">
        <v>144.0</v>
      </c>
      <c r="D1256" s="18">
        <v>47.0</v>
      </c>
      <c r="E1256" s="18">
        <v>46.0</v>
      </c>
    </row>
    <row r="1257" ht="18.75" customHeight="1">
      <c r="A1257" s="7" t="s">
        <v>1942</v>
      </c>
      <c r="B1257" s="19">
        <v>32.0</v>
      </c>
      <c r="C1257" s="18">
        <v>32.0</v>
      </c>
      <c r="D1257" s="18">
        <v>8.0</v>
      </c>
      <c r="E1257" s="18">
        <v>7.0</v>
      </c>
    </row>
    <row r="1258" ht="18.75" customHeight="1">
      <c r="A1258" s="7" t="s">
        <v>1944</v>
      </c>
      <c r="B1258" s="19">
        <v>148.0</v>
      </c>
      <c r="C1258" s="18">
        <v>148.0</v>
      </c>
      <c r="D1258" s="18">
        <v>40.0</v>
      </c>
      <c r="E1258" s="18">
        <v>37.0</v>
      </c>
    </row>
    <row r="1259" ht="18.75" customHeight="1">
      <c r="A1259" s="7" t="s">
        <v>1938</v>
      </c>
      <c r="B1259" s="19">
        <v>145.0</v>
      </c>
      <c r="C1259" s="18">
        <v>145.0</v>
      </c>
      <c r="D1259" s="18">
        <v>48.0</v>
      </c>
      <c r="E1259" s="18">
        <v>45.0</v>
      </c>
    </row>
    <row r="1260" ht="18.75" customHeight="1">
      <c r="A1260" s="7" t="s">
        <v>1956</v>
      </c>
      <c r="B1260" s="19">
        <v>86.0</v>
      </c>
      <c r="C1260" s="18">
        <v>86.0</v>
      </c>
      <c r="D1260" s="18">
        <v>28.0</v>
      </c>
      <c r="E1260" s="18">
        <v>28.0</v>
      </c>
    </row>
    <row r="1261" ht="18.75" customHeight="1">
      <c r="A1261" s="7" t="s">
        <v>1958</v>
      </c>
      <c r="B1261" s="19">
        <v>56.0</v>
      </c>
      <c r="C1261" s="18">
        <v>56.0</v>
      </c>
      <c r="D1261" s="18">
        <v>16.0</v>
      </c>
      <c r="E1261" s="18">
        <v>15.0</v>
      </c>
    </row>
    <row r="1262" ht="18.75" customHeight="1">
      <c r="A1262" s="7" t="s">
        <v>1962</v>
      </c>
      <c r="B1262" s="19">
        <v>79.0</v>
      </c>
      <c r="C1262" s="18">
        <v>79.0</v>
      </c>
      <c r="D1262" s="18">
        <v>27.0</v>
      </c>
      <c r="E1262" s="18">
        <v>24.0</v>
      </c>
    </row>
    <row r="1263" ht="18.75" customHeight="1">
      <c r="A1263" s="7" t="s">
        <v>1960</v>
      </c>
      <c r="B1263" s="19">
        <v>125.0</v>
      </c>
      <c r="C1263" s="18">
        <v>125.0</v>
      </c>
      <c r="D1263" s="18">
        <v>39.0</v>
      </c>
      <c r="E1263" s="18">
        <v>39.0</v>
      </c>
    </row>
    <row r="1264" ht="18.75" customHeight="1">
      <c r="A1264" s="7" t="s">
        <v>1940</v>
      </c>
      <c r="B1264" s="19">
        <v>207.0</v>
      </c>
      <c r="C1264" s="18">
        <v>207.0</v>
      </c>
      <c r="D1264" s="18">
        <v>73.0</v>
      </c>
      <c r="E1264" s="18">
        <v>64.0</v>
      </c>
    </row>
    <row r="1265" ht="18.75" customHeight="1">
      <c r="A1265" s="7" t="s">
        <v>1733</v>
      </c>
      <c r="B1265" s="19">
        <v>32976.0</v>
      </c>
      <c r="C1265" s="18">
        <v>30092.0</v>
      </c>
      <c r="D1265" s="18">
        <v>7294.0</v>
      </c>
      <c r="E1265" s="18">
        <v>5780.0</v>
      </c>
    </row>
    <row r="1266" ht="18.75" customHeight="1">
      <c r="A1266" s="7" t="s">
        <v>1994</v>
      </c>
      <c r="B1266" s="19">
        <v>195.0</v>
      </c>
      <c r="C1266" s="18">
        <v>195.0</v>
      </c>
      <c r="D1266" s="18">
        <v>71.0</v>
      </c>
      <c r="E1266" s="18">
        <v>68.0</v>
      </c>
    </row>
    <row r="1267" ht="18.75" customHeight="1">
      <c r="A1267" s="7" t="s">
        <v>1992</v>
      </c>
      <c r="B1267" s="19">
        <v>52.0</v>
      </c>
      <c r="C1267" s="18">
        <v>52.0</v>
      </c>
      <c r="D1267" s="18">
        <v>12.0</v>
      </c>
      <c r="E1267" s="18">
        <v>12.0</v>
      </c>
    </row>
    <row r="1268" ht="18.75" customHeight="1">
      <c r="A1268" s="7" t="s">
        <v>1998</v>
      </c>
      <c r="B1268" s="19">
        <v>27.0</v>
      </c>
      <c r="C1268" s="18">
        <v>27.0</v>
      </c>
      <c r="D1268" s="18">
        <v>8.0</v>
      </c>
      <c r="E1268" s="18">
        <v>8.0</v>
      </c>
    </row>
    <row r="1269" ht="18.75" customHeight="1">
      <c r="A1269" s="7" t="s">
        <v>1996</v>
      </c>
      <c r="B1269" s="19">
        <v>160.0</v>
      </c>
      <c r="C1269" s="18">
        <v>80.0</v>
      </c>
      <c r="D1269" s="18">
        <v>35.0</v>
      </c>
      <c r="E1269" s="18">
        <v>34.0</v>
      </c>
    </row>
    <row r="1270" ht="18.75" customHeight="1">
      <c r="A1270" s="7" t="s">
        <v>2028</v>
      </c>
      <c r="B1270" s="19">
        <v>9.0</v>
      </c>
      <c r="C1270" s="18">
        <v>9.0</v>
      </c>
      <c r="D1270" s="18">
        <v>2.0</v>
      </c>
      <c r="E1270" s="18">
        <v>2.0</v>
      </c>
    </row>
    <row r="1271" ht="18.75" customHeight="1">
      <c r="A1271" s="7" t="s">
        <v>2042</v>
      </c>
      <c r="B1271" s="19">
        <v>142.0</v>
      </c>
      <c r="C1271" s="18">
        <v>141.0</v>
      </c>
      <c r="D1271" s="18">
        <v>45.0</v>
      </c>
      <c r="E1271" s="18">
        <v>42.0</v>
      </c>
    </row>
    <row r="1272" ht="18.75" customHeight="1">
      <c r="A1272" s="7" t="s">
        <v>2048</v>
      </c>
      <c r="B1272" s="19">
        <v>404.0</v>
      </c>
      <c r="C1272" s="18">
        <v>201.0</v>
      </c>
      <c r="D1272" s="18">
        <v>61.0</v>
      </c>
      <c r="E1272" s="18">
        <v>59.0</v>
      </c>
    </row>
    <row r="1273" ht="18.75" customHeight="1">
      <c r="A1273" s="7" t="s">
        <v>2020</v>
      </c>
      <c r="B1273" s="19">
        <v>70.0</v>
      </c>
      <c r="C1273" s="18">
        <v>70.0</v>
      </c>
      <c r="D1273" s="18">
        <v>17.0</v>
      </c>
      <c r="E1273" s="18">
        <v>16.0</v>
      </c>
    </row>
    <row r="1274" ht="18.75" customHeight="1">
      <c r="A1274" s="7" t="s">
        <v>2022</v>
      </c>
      <c r="B1274" s="19">
        <v>57.0</v>
      </c>
      <c r="C1274" s="18">
        <v>57.0</v>
      </c>
      <c r="D1274" s="18">
        <v>19.0</v>
      </c>
      <c r="E1274" s="18">
        <v>18.0</v>
      </c>
    </row>
    <row r="1275" ht="18.75" customHeight="1">
      <c r="A1275" s="7" t="s">
        <v>2024</v>
      </c>
      <c r="B1275" s="19">
        <v>166.0</v>
      </c>
      <c r="C1275" s="18">
        <v>166.0</v>
      </c>
      <c r="D1275" s="18">
        <v>42.0</v>
      </c>
      <c r="E1275" s="18">
        <v>37.0</v>
      </c>
    </row>
    <row r="1276" ht="18.75" customHeight="1">
      <c r="A1276" s="7" t="s">
        <v>2026</v>
      </c>
      <c r="B1276" s="19">
        <v>79.0</v>
      </c>
      <c r="C1276" s="18">
        <v>79.0</v>
      </c>
      <c r="D1276" s="18">
        <v>16.0</v>
      </c>
      <c r="E1276" s="18">
        <v>16.0</v>
      </c>
    </row>
    <row r="1277" ht="18.75" customHeight="1">
      <c r="A1277" s="7" t="s">
        <v>2010</v>
      </c>
      <c r="B1277" s="19">
        <v>1270.0</v>
      </c>
      <c r="C1277" s="18">
        <v>788.0</v>
      </c>
      <c r="D1277" s="18">
        <v>206.0</v>
      </c>
      <c r="E1277" s="18">
        <v>159.0</v>
      </c>
    </row>
    <row r="1278" ht="18.75" customHeight="1">
      <c r="A1278" s="7" t="s">
        <v>3763</v>
      </c>
      <c r="B1278" s="19">
        <v>71.0</v>
      </c>
      <c r="C1278" s="18">
        <v>71.0</v>
      </c>
      <c r="D1278" s="18">
        <v>44.0</v>
      </c>
      <c r="E1278" s="18">
        <v>43.0</v>
      </c>
    </row>
    <row r="1279" ht="18.75" customHeight="1">
      <c r="A1279" s="7" t="s">
        <v>3762</v>
      </c>
      <c r="B1279" s="19">
        <v>20.0</v>
      </c>
      <c r="C1279" s="18">
        <v>20.0</v>
      </c>
      <c r="D1279" s="18">
        <v>6.0</v>
      </c>
      <c r="E1279" s="18">
        <v>6.0</v>
      </c>
    </row>
    <row r="1280" ht="18.75" customHeight="1">
      <c r="A1280" s="7" t="s">
        <v>2086</v>
      </c>
      <c r="B1280" s="19">
        <v>99.0</v>
      </c>
      <c r="C1280" s="18">
        <v>98.0</v>
      </c>
      <c r="D1280" s="18">
        <v>25.0</v>
      </c>
      <c r="E1280" s="18">
        <v>21.0</v>
      </c>
    </row>
    <row r="1281" ht="18.75" customHeight="1">
      <c r="A1281" s="7" t="s">
        <v>3764</v>
      </c>
      <c r="B1281" s="19">
        <v>194.0</v>
      </c>
      <c r="C1281" s="18">
        <v>194.0</v>
      </c>
      <c r="D1281" s="18">
        <v>68.0</v>
      </c>
      <c r="E1281" s="18">
        <v>66.0</v>
      </c>
    </row>
    <row r="1282" ht="18.75" customHeight="1">
      <c r="A1282" s="7" t="s">
        <v>2100</v>
      </c>
      <c r="B1282" s="19">
        <v>0.0</v>
      </c>
      <c r="C1282" s="18">
        <v>0.0</v>
      </c>
      <c r="D1282" s="18">
        <v>0.0</v>
      </c>
      <c r="E1282" s="18">
        <v>0.0</v>
      </c>
    </row>
    <row r="1283" ht="18.75" customHeight="1">
      <c r="A1283" s="7" t="s">
        <v>2102</v>
      </c>
      <c r="B1283" s="19">
        <v>0.0</v>
      </c>
      <c r="C1283" s="18">
        <v>0.0</v>
      </c>
      <c r="D1283" s="18">
        <v>0.0</v>
      </c>
      <c r="E1283" s="18">
        <v>0.0</v>
      </c>
    </row>
    <row r="1284" ht="18.75" customHeight="1">
      <c r="A1284" s="7" t="s">
        <v>2104</v>
      </c>
      <c r="B1284" s="19">
        <v>0.0</v>
      </c>
      <c r="C1284" s="18">
        <v>0.0</v>
      </c>
      <c r="D1284" s="18">
        <v>0.0</v>
      </c>
      <c r="E1284" s="18">
        <v>0.0</v>
      </c>
    </row>
    <row r="1285" ht="18.75" customHeight="1">
      <c r="A1285" s="7" t="s">
        <v>2106</v>
      </c>
      <c r="B1285" s="19">
        <v>0.0</v>
      </c>
      <c r="C1285" s="18">
        <v>0.0</v>
      </c>
      <c r="D1285" s="18">
        <v>0.0</v>
      </c>
      <c r="E1285" s="18">
        <v>0.0</v>
      </c>
    </row>
    <row r="1286" ht="18.75" customHeight="1">
      <c r="B1286" s="20"/>
    </row>
    <row r="1287" ht="18.75" customHeight="1">
      <c r="B1287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88"/>
    <col customWidth="1" min="3" max="25" width="15.13"/>
  </cols>
  <sheetData>
    <row r="1" ht="30.0" customHeight="1">
      <c r="A1" s="7" t="s">
        <v>3871</v>
      </c>
      <c r="B1" s="7" t="s">
        <v>3872</v>
      </c>
      <c r="C1" s="7" t="s">
        <v>3873</v>
      </c>
      <c r="D1" s="7" t="s">
        <v>3874</v>
      </c>
      <c r="E1" s="7" t="s">
        <v>2234</v>
      </c>
      <c r="F1" s="7" t="s">
        <v>1</v>
      </c>
      <c r="G1" s="7" t="s">
        <v>4</v>
      </c>
      <c r="H1" s="7" t="s">
        <v>5</v>
      </c>
      <c r="I1" s="7" t="s">
        <v>6</v>
      </c>
      <c r="J1" s="14"/>
      <c r="K1" s="14"/>
      <c r="L1" s="14"/>
      <c r="M1" s="14"/>
      <c r="N1" s="21"/>
      <c r="O1" s="14"/>
      <c r="P1" s="14"/>
      <c r="Q1" s="14"/>
      <c r="R1" s="14"/>
      <c r="S1" s="14"/>
    </row>
    <row r="2" ht="18.75" customHeight="1">
      <c r="A2" s="7" t="s">
        <v>362</v>
      </c>
      <c r="B2" s="7" t="s">
        <v>3875</v>
      </c>
      <c r="C2" s="9">
        <v>1170879.0</v>
      </c>
      <c r="D2" s="9">
        <v>16592.0</v>
      </c>
      <c r="E2" s="9">
        <v>1347.0</v>
      </c>
      <c r="F2" s="7" t="s">
        <v>363</v>
      </c>
      <c r="G2" s="7" t="s">
        <v>364</v>
      </c>
      <c r="H2" s="7" t="s">
        <v>365</v>
      </c>
      <c r="I2" s="7" t="s">
        <v>355</v>
      </c>
      <c r="J2" s="14"/>
      <c r="K2" s="14"/>
      <c r="O2" s="22"/>
      <c r="P2" s="22"/>
      <c r="Q2" s="23"/>
      <c r="R2" s="23"/>
      <c r="S2" s="14"/>
    </row>
    <row r="3" ht="18.75" customHeight="1">
      <c r="A3" s="7" t="s">
        <v>362</v>
      </c>
      <c r="B3" s="7" t="s">
        <v>3875</v>
      </c>
      <c r="C3" s="9">
        <v>1010417.0</v>
      </c>
      <c r="D3" s="9">
        <v>8603.0</v>
      </c>
      <c r="E3" s="9">
        <v>1529.0</v>
      </c>
      <c r="F3" s="7" t="s">
        <v>363</v>
      </c>
      <c r="G3" s="7" t="s">
        <v>364</v>
      </c>
      <c r="H3" s="7" t="s">
        <v>365</v>
      </c>
      <c r="I3" s="7" t="s">
        <v>355</v>
      </c>
      <c r="J3" s="14"/>
      <c r="K3" s="14"/>
      <c r="O3" s="22"/>
      <c r="P3" s="22"/>
      <c r="Q3" s="23"/>
      <c r="R3" s="23"/>
      <c r="S3" s="14"/>
    </row>
    <row r="4" ht="18.75" customHeight="1">
      <c r="A4" s="7" t="s">
        <v>362</v>
      </c>
      <c r="B4" s="7" t="s">
        <v>3875</v>
      </c>
      <c r="C4" s="9">
        <v>869942.0</v>
      </c>
      <c r="D4" s="9">
        <v>4525.0</v>
      </c>
      <c r="E4" s="9">
        <v>790.0</v>
      </c>
      <c r="F4" s="7" t="s">
        <v>363</v>
      </c>
      <c r="G4" s="7" t="s">
        <v>364</v>
      </c>
      <c r="H4" s="7" t="s">
        <v>365</v>
      </c>
      <c r="I4" s="7" t="s">
        <v>355</v>
      </c>
      <c r="J4" s="14"/>
      <c r="K4" s="14"/>
      <c r="O4" s="22"/>
      <c r="P4" s="22"/>
      <c r="Q4" s="23"/>
      <c r="R4" s="23"/>
      <c r="S4" s="14"/>
    </row>
    <row r="5" ht="18.75" customHeight="1">
      <c r="A5" s="7" t="s">
        <v>362</v>
      </c>
      <c r="B5" s="7" t="s">
        <v>3875</v>
      </c>
      <c r="C5" s="9">
        <v>1327029.0</v>
      </c>
      <c r="D5" s="9">
        <v>0.0</v>
      </c>
      <c r="E5" s="9">
        <v>1584.0</v>
      </c>
      <c r="F5" s="7" t="s">
        <v>363</v>
      </c>
      <c r="G5" s="7" t="s">
        <v>364</v>
      </c>
      <c r="H5" s="7" t="s">
        <v>365</v>
      </c>
      <c r="I5" s="7" t="s">
        <v>355</v>
      </c>
      <c r="J5" s="14"/>
      <c r="K5" s="14"/>
      <c r="O5" s="22"/>
      <c r="P5" s="22"/>
      <c r="Q5" s="23"/>
      <c r="R5" s="23"/>
      <c r="S5" s="14"/>
    </row>
    <row r="6" ht="18.75" customHeight="1">
      <c r="A6" s="7" t="s">
        <v>362</v>
      </c>
      <c r="B6" s="7" t="s">
        <v>3875</v>
      </c>
      <c r="C6" s="9">
        <v>972190.0</v>
      </c>
      <c r="D6" s="9">
        <v>49700.0</v>
      </c>
      <c r="E6" s="9">
        <v>909.0</v>
      </c>
      <c r="F6" s="7" t="s">
        <v>363</v>
      </c>
      <c r="G6" s="7" t="s">
        <v>364</v>
      </c>
      <c r="H6" s="7" t="s">
        <v>365</v>
      </c>
      <c r="I6" s="7" t="s">
        <v>355</v>
      </c>
      <c r="J6" s="14"/>
      <c r="K6" s="14"/>
      <c r="O6" s="22"/>
      <c r="P6" s="22"/>
      <c r="Q6" s="23"/>
      <c r="R6" s="23"/>
      <c r="S6" s="14"/>
    </row>
    <row r="7" ht="18.75" customHeight="1">
      <c r="A7" s="7" t="s">
        <v>362</v>
      </c>
      <c r="B7" s="7" t="s">
        <v>3875</v>
      </c>
      <c r="C7" s="9">
        <v>440836.0</v>
      </c>
      <c r="D7" s="9">
        <v>0.0</v>
      </c>
      <c r="E7" s="9">
        <v>796.0</v>
      </c>
      <c r="F7" s="7" t="s">
        <v>363</v>
      </c>
      <c r="G7" s="7" t="s">
        <v>364</v>
      </c>
      <c r="H7" s="7" t="s">
        <v>365</v>
      </c>
      <c r="I7" s="7" t="s">
        <v>355</v>
      </c>
      <c r="J7" s="14"/>
      <c r="K7" s="14"/>
      <c r="O7" s="22"/>
      <c r="P7" s="22"/>
      <c r="Q7" s="23"/>
      <c r="R7" s="23"/>
      <c r="S7" s="14"/>
    </row>
    <row r="8" ht="18.75" customHeight="1">
      <c r="A8" s="7" t="s">
        <v>362</v>
      </c>
      <c r="B8" s="7" t="s">
        <v>3875</v>
      </c>
      <c r="C8" s="9">
        <v>517507.0</v>
      </c>
      <c r="D8" s="9">
        <v>0.0</v>
      </c>
      <c r="E8" s="9">
        <v>669.0</v>
      </c>
      <c r="F8" s="7" t="s">
        <v>363</v>
      </c>
      <c r="G8" s="7" t="s">
        <v>364</v>
      </c>
      <c r="H8" s="7" t="s">
        <v>365</v>
      </c>
      <c r="I8" s="7" t="s">
        <v>355</v>
      </c>
      <c r="J8" s="14"/>
      <c r="K8" s="14"/>
      <c r="O8" s="22"/>
      <c r="P8" s="22"/>
      <c r="Q8" s="23"/>
      <c r="R8" s="23"/>
      <c r="S8" s="14"/>
    </row>
    <row r="9" ht="18.75" customHeight="1">
      <c r="A9" s="7" t="s">
        <v>362</v>
      </c>
      <c r="B9" s="7" t="s">
        <v>3875</v>
      </c>
      <c r="C9" s="9">
        <v>696900.0</v>
      </c>
      <c r="D9" s="9">
        <v>52396.0</v>
      </c>
      <c r="E9" s="9">
        <v>459.0</v>
      </c>
      <c r="F9" s="7" t="s">
        <v>363</v>
      </c>
      <c r="G9" s="7" t="s">
        <v>364</v>
      </c>
      <c r="H9" s="7" t="s">
        <v>365</v>
      </c>
      <c r="I9" s="7" t="s">
        <v>355</v>
      </c>
      <c r="J9" s="14"/>
      <c r="K9" s="14"/>
      <c r="O9" s="22"/>
      <c r="P9" s="22"/>
      <c r="Q9" s="23"/>
      <c r="R9" s="23"/>
      <c r="S9" s="14"/>
    </row>
    <row r="10" ht="18.75" customHeight="1">
      <c r="A10" s="7" t="s">
        <v>362</v>
      </c>
      <c r="B10" s="7" t="s">
        <v>3875</v>
      </c>
      <c r="C10" s="9">
        <v>437010.0</v>
      </c>
      <c r="D10" s="9">
        <v>31477.0</v>
      </c>
      <c r="E10" s="9">
        <v>253.0</v>
      </c>
      <c r="F10" s="7" t="s">
        <v>363</v>
      </c>
      <c r="G10" s="7" t="s">
        <v>364</v>
      </c>
      <c r="H10" s="7" t="s">
        <v>365</v>
      </c>
      <c r="I10" s="7" t="s">
        <v>355</v>
      </c>
      <c r="J10" s="14"/>
      <c r="K10" s="14"/>
      <c r="O10" s="22"/>
      <c r="P10" s="22"/>
      <c r="Q10" s="23"/>
      <c r="R10" s="23"/>
      <c r="S10" s="14"/>
    </row>
    <row r="11" ht="18.75" customHeight="1">
      <c r="A11" s="7" t="s">
        <v>362</v>
      </c>
      <c r="B11" s="7" t="s">
        <v>3875</v>
      </c>
      <c r="C11" s="9">
        <v>382512.0</v>
      </c>
      <c r="D11" s="9">
        <v>40213.0</v>
      </c>
      <c r="E11" s="9">
        <v>384.0</v>
      </c>
      <c r="F11" s="7" t="s">
        <v>363</v>
      </c>
      <c r="G11" s="7" t="s">
        <v>364</v>
      </c>
      <c r="H11" s="7" t="s">
        <v>365</v>
      </c>
      <c r="I11" s="7" t="s">
        <v>355</v>
      </c>
      <c r="J11" s="14"/>
      <c r="K11" s="14"/>
      <c r="O11" s="22"/>
      <c r="P11" s="22"/>
      <c r="Q11" s="23"/>
      <c r="R11" s="23"/>
      <c r="S11" s="14"/>
    </row>
    <row r="12" ht="18.75" customHeight="1">
      <c r="A12" s="7" t="s">
        <v>362</v>
      </c>
      <c r="B12" s="7" t="s">
        <v>3875</v>
      </c>
      <c r="C12" s="9">
        <v>537616.0</v>
      </c>
      <c r="D12" s="9">
        <v>56507.0</v>
      </c>
      <c r="E12" s="9">
        <v>864.0</v>
      </c>
      <c r="F12" s="7" t="s">
        <v>363</v>
      </c>
      <c r="G12" s="7" t="s">
        <v>364</v>
      </c>
      <c r="H12" s="7" t="s">
        <v>365</v>
      </c>
      <c r="I12" s="7" t="s">
        <v>355</v>
      </c>
      <c r="J12" s="14"/>
      <c r="K12" s="14"/>
      <c r="O12" s="22"/>
      <c r="P12" s="22"/>
      <c r="Q12" s="23"/>
      <c r="R12" s="23"/>
      <c r="S12" s="14"/>
    </row>
    <row r="13" ht="18.75" customHeight="1">
      <c r="A13" s="7" t="s">
        <v>362</v>
      </c>
      <c r="B13" s="7" t="s">
        <v>3875</v>
      </c>
      <c r="C13" s="9">
        <v>529325.0</v>
      </c>
      <c r="D13" s="9">
        <v>76554.0</v>
      </c>
      <c r="E13" s="9">
        <v>259.0</v>
      </c>
      <c r="F13" s="7" t="s">
        <v>363</v>
      </c>
      <c r="G13" s="7" t="s">
        <v>364</v>
      </c>
      <c r="H13" s="7" t="s">
        <v>365</v>
      </c>
      <c r="I13" s="7" t="s">
        <v>355</v>
      </c>
      <c r="J13" s="14"/>
      <c r="K13" s="14"/>
      <c r="O13" s="22"/>
      <c r="P13" s="22"/>
      <c r="Q13" s="23"/>
      <c r="R13" s="23"/>
      <c r="S13" s="14"/>
    </row>
    <row r="14" ht="18.75" customHeight="1">
      <c r="A14" s="7" t="s">
        <v>362</v>
      </c>
      <c r="B14" s="7" t="s">
        <v>3875</v>
      </c>
      <c r="C14" s="9">
        <v>1178785.0</v>
      </c>
      <c r="D14" s="9">
        <v>41823.0</v>
      </c>
      <c r="E14" s="9">
        <v>1265.0</v>
      </c>
      <c r="F14" s="7" t="s">
        <v>363</v>
      </c>
      <c r="G14" s="7" t="s">
        <v>364</v>
      </c>
      <c r="H14" s="7" t="s">
        <v>365</v>
      </c>
      <c r="I14" s="7" t="s">
        <v>355</v>
      </c>
      <c r="J14" s="14"/>
      <c r="K14" s="14"/>
      <c r="O14" s="22"/>
      <c r="P14" s="22"/>
      <c r="Q14" s="23"/>
      <c r="R14" s="23"/>
      <c r="S14" s="14"/>
    </row>
    <row r="15" ht="18.75" customHeight="1">
      <c r="A15" s="7" t="s">
        <v>362</v>
      </c>
      <c r="B15" s="7" t="s">
        <v>3875</v>
      </c>
      <c r="C15" s="9">
        <v>1391540.0</v>
      </c>
      <c r="D15" s="9">
        <v>41403.0</v>
      </c>
      <c r="E15" s="9">
        <v>1125.0</v>
      </c>
      <c r="F15" s="7" t="s">
        <v>363</v>
      </c>
      <c r="G15" s="7" t="s">
        <v>364</v>
      </c>
      <c r="H15" s="7" t="s">
        <v>365</v>
      </c>
      <c r="I15" s="7" t="s">
        <v>355</v>
      </c>
      <c r="J15" s="14"/>
      <c r="K15" s="14"/>
      <c r="O15" s="22"/>
      <c r="P15" s="22"/>
      <c r="Q15" s="23"/>
      <c r="R15" s="23"/>
      <c r="S15" s="14"/>
    </row>
    <row r="16" ht="18.75" customHeight="1">
      <c r="A16" s="7" t="s">
        <v>3571</v>
      </c>
      <c r="B16" s="7" t="s">
        <v>3875</v>
      </c>
      <c r="C16" s="9">
        <v>361637.0</v>
      </c>
      <c r="D16" s="9">
        <v>54.0</v>
      </c>
      <c r="E16" s="9">
        <v>428.0</v>
      </c>
      <c r="F16" s="7" t="s">
        <v>3876</v>
      </c>
      <c r="G16" s="7" t="s">
        <v>353</v>
      </c>
      <c r="H16" s="7" t="s">
        <v>413</v>
      </c>
      <c r="I16" s="7" t="s">
        <v>355</v>
      </c>
      <c r="J16" s="14"/>
      <c r="K16" s="14"/>
      <c r="O16" s="22"/>
      <c r="P16" s="22"/>
      <c r="Q16" s="23"/>
      <c r="R16" s="23"/>
      <c r="S16" s="14"/>
    </row>
    <row r="17" ht="18.75" customHeight="1">
      <c r="A17" s="7" t="s">
        <v>3571</v>
      </c>
      <c r="B17" s="7" t="s">
        <v>3875</v>
      </c>
      <c r="C17" s="9">
        <v>45428.0</v>
      </c>
      <c r="D17" s="9">
        <v>2994.0</v>
      </c>
      <c r="E17" s="9">
        <v>1436.0</v>
      </c>
      <c r="F17" s="7" t="s">
        <v>3876</v>
      </c>
      <c r="G17" s="7" t="s">
        <v>353</v>
      </c>
      <c r="H17" s="7" t="s">
        <v>413</v>
      </c>
      <c r="I17" s="7" t="s">
        <v>355</v>
      </c>
      <c r="J17" s="14"/>
      <c r="K17" s="14"/>
      <c r="O17" s="22"/>
      <c r="P17" s="22"/>
      <c r="Q17" s="23"/>
      <c r="R17" s="23"/>
      <c r="S17" s="14"/>
    </row>
    <row r="18" ht="18.75" customHeight="1">
      <c r="A18" s="7" t="s">
        <v>3010</v>
      </c>
      <c r="B18" s="7" t="s">
        <v>3875</v>
      </c>
      <c r="C18" s="9">
        <v>324584.0</v>
      </c>
      <c r="D18" s="9">
        <v>0.0</v>
      </c>
      <c r="E18" s="9">
        <v>635.0</v>
      </c>
      <c r="F18" s="7" t="s">
        <v>3877</v>
      </c>
      <c r="G18" s="7" t="s">
        <v>358</v>
      </c>
      <c r="H18" s="7" t="s">
        <v>365</v>
      </c>
      <c r="I18" s="7" t="s">
        <v>355</v>
      </c>
      <c r="J18" s="14"/>
      <c r="K18" s="14"/>
      <c r="O18" s="22"/>
      <c r="P18" s="22"/>
      <c r="Q18" s="23"/>
      <c r="R18" s="23"/>
      <c r="S18" s="14"/>
    </row>
    <row r="19" ht="18.75" customHeight="1">
      <c r="A19" s="7" t="s">
        <v>3010</v>
      </c>
      <c r="B19" s="7" t="s">
        <v>3875</v>
      </c>
      <c r="C19" s="9">
        <v>250382.0</v>
      </c>
      <c r="D19" s="9">
        <v>0.0</v>
      </c>
      <c r="E19" s="9">
        <v>507.0</v>
      </c>
      <c r="F19" s="7" t="s">
        <v>3877</v>
      </c>
      <c r="G19" s="7" t="s">
        <v>358</v>
      </c>
      <c r="H19" s="7" t="s">
        <v>365</v>
      </c>
      <c r="I19" s="7" t="s">
        <v>355</v>
      </c>
      <c r="J19" s="14"/>
      <c r="K19" s="14"/>
      <c r="O19" s="22"/>
      <c r="P19" s="22"/>
      <c r="Q19" s="23"/>
      <c r="R19" s="23"/>
      <c r="S19" s="14"/>
    </row>
    <row r="20" ht="18.75" customHeight="1">
      <c r="A20" s="7" t="s">
        <v>379</v>
      </c>
      <c r="B20" s="7" t="s">
        <v>3875</v>
      </c>
      <c r="C20" s="9">
        <v>144489.0</v>
      </c>
      <c r="D20" s="9">
        <v>0.0</v>
      </c>
      <c r="E20" s="9">
        <v>324.0</v>
      </c>
      <c r="F20" s="7" t="s">
        <v>380</v>
      </c>
      <c r="G20" s="7" t="s">
        <v>353</v>
      </c>
      <c r="H20" s="7" t="s">
        <v>354</v>
      </c>
      <c r="I20" s="7" t="s">
        <v>355</v>
      </c>
      <c r="J20" s="14"/>
      <c r="K20" s="14"/>
      <c r="O20" s="22"/>
      <c r="P20" s="22"/>
      <c r="Q20" s="23"/>
      <c r="R20" s="23"/>
      <c r="S20" s="14"/>
    </row>
    <row r="21" ht="18.75" customHeight="1">
      <c r="A21" s="7" t="s">
        <v>362</v>
      </c>
      <c r="B21" s="7" t="s">
        <v>3875</v>
      </c>
      <c r="C21" s="9">
        <v>686015.0</v>
      </c>
      <c r="D21" s="9">
        <v>11642.0</v>
      </c>
      <c r="E21" s="9">
        <v>1061.0</v>
      </c>
      <c r="F21" s="7" t="s">
        <v>363</v>
      </c>
      <c r="G21" s="7" t="s">
        <v>364</v>
      </c>
      <c r="H21" s="7" t="s">
        <v>365</v>
      </c>
      <c r="I21" s="7" t="s">
        <v>355</v>
      </c>
      <c r="J21" s="14"/>
      <c r="K21" s="14"/>
      <c r="O21" s="22"/>
      <c r="P21" s="22"/>
      <c r="Q21" s="23"/>
      <c r="R21" s="23"/>
      <c r="S21" s="14"/>
    </row>
    <row r="22" ht="18.75" customHeight="1">
      <c r="A22" s="7" t="s">
        <v>362</v>
      </c>
      <c r="B22" s="7" t="s">
        <v>3875</v>
      </c>
      <c r="C22" s="9">
        <v>384996.0</v>
      </c>
      <c r="D22" s="9">
        <v>5711.0</v>
      </c>
      <c r="E22" s="9">
        <v>517.0</v>
      </c>
      <c r="F22" s="7" t="s">
        <v>363</v>
      </c>
      <c r="G22" s="7" t="s">
        <v>364</v>
      </c>
      <c r="H22" s="7" t="s">
        <v>365</v>
      </c>
      <c r="I22" s="7" t="s">
        <v>355</v>
      </c>
      <c r="J22" s="14"/>
      <c r="K22" s="14"/>
      <c r="O22" s="22"/>
      <c r="P22" s="22"/>
      <c r="Q22" s="23"/>
      <c r="R22" s="23"/>
      <c r="S22" s="14"/>
    </row>
    <row r="23" ht="18.75" customHeight="1">
      <c r="A23" s="7" t="s">
        <v>362</v>
      </c>
      <c r="B23" s="7" t="s">
        <v>3875</v>
      </c>
      <c r="C23" s="9">
        <v>1350099.0</v>
      </c>
      <c r="D23" s="9">
        <v>38100.0</v>
      </c>
      <c r="E23" s="9">
        <v>1252.0</v>
      </c>
      <c r="F23" s="7" t="s">
        <v>363</v>
      </c>
      <c r="G23" s="7" t="s">
        <v>364</v>
      </c>
      <c r="H23" s="7" t="s">
        <v>365</v>
      </c>
      <c r="I23" s="7" t="s">
        <v>355</v>
      </c>
      <c r="J23" s="14"/>
      <c r="K23" s="14"/>
      <c r="O23" s="22"/>
      <c r="P23" s="22"/>
      <c r="Q23" s="23"/>
      <c r="R23" s="23"/>
      <c r="S23" s="14"/>
    </row>
    <row r="24" ht="18.75" customHeight="1">
      <c r="A24" s="7" t="s">
        <v>362</v>
      </c>
      <c r="B24" s="7" t="s">
        <v>3875</v>
      </c>
      <c r="C24" s="9">
        <v>899336.0</v>
      </c>
      <c r="D24" s="9">
        <v>0.0</v>
      </c>
      <c r="E24" s="9">
        <v>1056.0</v>
      </c>
      <c r="F24" s="7" t="s">
        <v>363</v>
      </c>
      <c r="G24" s="7" t="s">
        <v>364</v>
      </c>
      <c r="H24" s="7" t="s">
        <v>365</v>
      </c>
      <c r="I24" s="7" t="s">
        <v>355</v>
      </c>
      <c r="J24" s="14"/>
      <c r="K24" s="14"/>
      <c r="O24" s="22"/>
      <c r="P24" s="22"/>
      <c r="Q24" s="23"/>
      <c r="R24" s="23"/>
      <c r="S24" s="14"/>
    </row>
    <row r="25" ht="18.75" customHeight="1">
      <c r="A25" s="7" t="s">
        <v>362</v>
      </c>
      <c r="B25" s="7" t="s">
        <v>3875</v>
      </c>
      <c r="C25" s="9">
        <v>311046.0</v>
      </c>
      <c r="D25" s="9">
        <v>11806.0</v>
      </c>
      <c r="E25" s="9">
        <v>298.0</v>
      </c>
      <c r="F25" s="7" t="s">
        <v>363</v>
      </c>
      <c r="G25" s="7" t="s">
        <v>364</v>
      </c>
      <c r="H25" s="7" t="s">
        <v>365</v>
      </c>
      <c r="I25" s="7" t="s">
        <v>355</v>
      </c>
      <c r="J25" s="14"/>
      <c r="K25" s="14"/>
      <c r="O25" s="22"/>
      <c r="P25" s="22"/>
      <c r="Q25" s="23"/>
      <c r="R25" s="23"/>
      <c r="S25" s="14"/>
    </row>
    <row r="26" ht="18.75" customHeight="1">
      <c r="A26" s="7" t="s">
        <v>362</v>
      </c>
      <c r="B26" s="7" t="s">
        <v>3875</v>
      </c>
      <c r="C26" s="9">
        <v>358874.0</v>
      </c>
      <c r="D26" s="9">
        <v>0.0</v>
      </c>
      <c r="E26" s="9">
        <v>503.0</v>
      </c>
      <c r="F26" s="7" t="s">
        <v>363</v>
      </c>
      <c r="G26" s="7" t="s">
        <v>364</v>
      </c>
      <c r="H26" s="7" t="s">
        <v>365</v>
      </c>
      <c r="I26" s="7" t="s">
        <v>355</v>
      </c>
      <c r="J26" s="14"/>
      <c r="K26" s="14"/>
      <c r="O26" s="22"/>
      <c r="P26" s="22"/>
      <c r="Q26" s="23"/>
      <c r="R26" s="23"/>
      <c r="S26" s="14"/>
    </row>
    <row r="27" ht="18.75" customHeight="1">
      <c r="A27" s="7" t="s">
        <v>362</v>
      </c>
      <c r="B27" s="7" t="s">
        <v>3875</v>
      </c>
      <c r="C27" s="9">
        <v>708451.0</v>
      </c>
      <c r="D27" s="9">
        <v>0.0</v>
      </c>
      <c r="E27" s="9">
        <v>846.0</v>
      </c>
      <c r="F27" s="7" t="s">
        <v>363</v>
      </c>
      <c r="G27" s="7" t="s">
        <v>364</v>
      </c>
      <c r="H27" s="7" t="s">
        <v>365</v>
      </c>
      <c r="I27" s="7" t="s">
        <v>355</v>
      </c>
      <c r="J27" s="14"/>
      <c r="K27" s="14"/>
      <c r="O27" s="22"/>
      <c r="P27" s="22"/>
      <c r="Q27" s="23"/>
      <c r="R27" s="23"/>
      <c r="S27" s="14"/>
    </row>
    <row r="28" ht="18.75" customHeight="1">
      <c r="A28" s="7" t="s">
        <v>362</v>
      </c>
      <c r="B28" s="7" t="s">
        <v>3875</v>
      </c>
      <c r="C28" s="9">
        <v>453343.0</v>
      </c>
      <c r="D28" s="9">
        <v>5940.0</v>
      </c>
      <c r="E28" s="9">
        <v>316.0</v>
      </c>
      <c r="F28" s="7" t="s">
        <v>363</v>
      </c>
      <c r="G28" s="7" t="s">
        <v>364</v>
      </c>
      <c r="H28" s="7" t="s">
        <v>365</v>
      </c>
      <c r="I28" s="7" t="s">
        <v>355</v>
      </c>
      <c r="J28" s="14"/>
      <c r="K28" s="14"/>
      <c r="O28" s="22"/>
      <c r="P28" s="22"/>
      <c r="Q28" s="23"/>
      <c r="R28" s="23"/>
      <c r="S28" s="14"/>
    </row>
    <row r="29" ht="18.75" customHeight="1">
      <c r="A29" s="7" t="s">
        <v>362</v>
      </c>
      <c r="B29" s="7" t="s">
        <v>3875</v>
      </c>
      <c r="C29" s="9">
        <v>490254.0</v>
      </c>
      <c r="D29" s="9">
        <v>37314.0</v>
      </c>
      <c r="E29" s="9">
        <v>489.0</v>
      </c>
      <c r="F29" s="7" t="s">
        <v>363</v>
      </c>
      <c r="G29" s="7" t="s">
        <v>364</v>
      </c>
      <c r="H29" s="7" t="s">
        <v>365</v>
      </c>
      <c r="I29" s="7" t="s">
        <v>355</v>
      </c>
      <c r="J29" s="14"/>
      <c r="K29" s="14"/>
      <c r="O29" s="22"/>
      <c r="P29" s="22"/>
      <c r="Q29" s="23"/>
      <c r="R29" s="23"/>
      <c r="S29" s="14"/>
    </row>
    <row r="30" ht="18.75" customHeight="1">
      <c r="A30" s="7" t="s">
        <v>362</v>
      </c>
      <c r="B30" s="7" t="s">
        <v>3875</v>
      </c>
      <c r="C30" s="9">
        <v>308732.0</v>
      </c>
      <c r="D30" s="9">
        <v>31653.0</v>
      </c>
      <c r="E30" s="9">
        <v>375.0</v>
      </c>
      <c r="F30" s="7" t="s">
        <v>363</v>
      </c>
      <c r="G30" s="7" t="s">
        <v>364</v>
      </c>
      <c r="H30" s="7" t="s">
        <v>365</v>
      </c>
      <c r="I30" s="7" t="s">
        <v>355</v>
      </c>
      <c r="J30" s="14"/>
      <c r="K30" s="14"/>
      <c r="O30" s="22"/>
      <c r="P30" s="22"/>
      <c r="Q30" s="23"/>
      <c r="R30" s="23"/>
      <c r="S30" s="14"/>
    </row>
    <row r="31" ht="18.75" customHeight="1">
      <c r="A31" s="7" t="s">
        <v>362</v>
      </c>
      <c r="B31" s="7" t="s">
        <v>3875</v>
      </c>
      <c r="C31" s="9">
        <v>585643.0</v>
      </c>
      <c r="D31" s="9">
        <v>52803.0</v>
      </c>
      <c r="E31" s="9">
        <v>1028.0</v>
      </c>
      <c r="F31" s="7" t="s">
        <v>363</v>
      </c>
      <c r="G31" s="7" t="s">
        <v>364</v>
      </c>
      <c r="H31" s="7" t="s">
        <v>365</v>
      </c>
      <c r="I31" s="7" t="s">
        <v>355</v>
      </c>
      <c r="J31" s="14"/>
      <c r="K31" s="14"/>
      <c r="O31" s="22"/>
      <c r="P31" s="22"/>
      <c r="Q31" s="23"/>
      <c r="R31" s="23"/>
      <c r="S31" s="14"/>
    </row>
    <row r="32" ht="18.75" customHeight="1">
      <c r="A32" s="7" t="s">
        <v>362</v>
      </c>
      <c r="B32" s="7" t="s">
        <v>3875</v>
      </c>
      <c r="C32" s="9">
        <v>676992.0</v>
      </c>
      <c r="D32" s="9">
        <v>127936.0</v>
      </c>
      <c r="E32" s="9">
        <v>282.0</v>
      </c>
      <c r="F32" s="7" t="s">
        <v>363</v>
      </c>
      <c r="G32" s="7" t="s">
        <v>364</v>
      </c>
      <c r="H32" s="7" t="s">
        <v>365</v>
      </c>
      <c r="I32" s="7" t="s">
        <v>355</v>
      </c>
      <c r="J32" s="14"/>
      <c r="K32" s="14"/>
      <c r="O32" s="22"/>
      <c r="P32" s="22"/>
      <c r="Q32" s="23"/>
      <c r="R32" s="23"/>
      <c r="S32" s="14"/>
    </row>
    <row r="33" ht="18.75" customHeight="1">
      <c r="A33" s="7" t="s">
        <v>362</v>
      </c>
      <c r="B33" s="7" t="s">
        <v>3875</v>
      </c>
      <c r="C33" s="9">
        <v>621759.0</v>
      </c>
      <c r="D33" s="9">
        <v>31604.0</v>
      </c>
      <c r="E33" s="9">
        <v>627.0</v>
      </c>
      <c r="F33" s="7" t="s">
        <v>363</v>
      </c>
      <c r="G33" s="7" t="s">
        <v>364</v>
      </c>
      <c r="H33" s="7" t="s">
        <v>365</v>
      </c>
      <c r="I33" s="7" t="s">
        <v>355</v>
      </c>
      <c r="J33" s="14"/>
      <c r="K33" s="14"/>
      <c r="O33" s="22"/>
      <c r="P33" s="22"/>
      <c r="Q33" s="23"/>
      <c r="R33" s="23"/>
      <c r="S33" s="14"/>
    </row>
    <row r="34" ht="18.75" customHeight="1">
      <c r="A34" s="7" t="s">
        <v>362</v>
      </c>
      <c r="B34" s="7" t="s">
        <v>3875</v>
      </c>
      <c r="C34" s="9">
        <v>1800302.0</v>
      </c>
      <c r="D34" s="9">
        <v>57793.0</v>
      </c>
      <c r="E34" s="9">
        <v>1614.0</v>
      </c>
      <c r="F34" s="7" t="s">
        <v>363</v>
      </c>
      <c r="G34" s="7" t="s">
        <v>364</v>
      </c>
      <c r="H34" s="7" t="s">
        <v>365</v>
      </c>
      <c r="I34" s="7" t="s">
        <v>355</v>
      </c>
      <c r="J34" s="14"/>
      <c r="K34" s="14"/>
      <c r="O34" s="22"/>
      <c r="P34" s="22"/>
      <c r="Q34" s="23"/>
      <c r="R34" s="23"/>
      <c r="S34" s="14"/>
    </row>
    <row r="35" ht="18.75" customHeight="1">
      <c r="A35" s="7" t="s">
        <v>3571</v>
      </c>
      <c r="B35" s="7" t="s">
        <v>3875</v>
      </c>
      <c r="C35" s="9">
        <v>658592.0</v>
      </c>
      <c r="D35" s="9">
        <v>14401.0</v>
      </c>
      <c r="E35" s="9">
        <v>682.0</v>
      </c>
      <c r="F35" s="7" t="s">
        <v>3876</v>
      </c>
      <c r="G35" s="7" t="s">
        <v>353</v>
      </c>
      <c r="H35" s="7" t="s">
        <v>413</v>
      </c>
      <c r="I35" s="7" t="s">
        <v>355</v>
      </c>
      <c r="J35" s="14"/>
      <c r="K35" s="14"/>
      <c r="O35" s="22"/>
      <c r="P35" s="22"/>
      <c r="Q35" s="23"/>
      <c r="R35" s="23"/>
      <c r="S35" s="14"/>
    </row>
    <row r="36" ht="18.75" customHeight="1">
      <c r="A36" s="7" t="s">
        <v>3571</v>
      </c>
      <c r="B36" s="7" t="s">
        <v>3875</v>
      </c>
      <c r="C36" s="9">
        <v>132601.0</v>
      </c>
      <c r="D36" s="9">
        <v>50494.0</v>
      </c>
      <c r="E36" s="9">
        <v>4047.0</v>
      </c>
      <c r="F36" s="7" t="s">
        <v>3876</v>
      </c>
      <c r="G36" s="7" t="s">
        <v>353</v>
      </c>
      <c r="H36" s="7" t="s">
        <v>413</v>
      </c>
      <c r="I36" s="7" t="s">
        <v>355</v>
      </c>
      <c r="J36" s="14"/>
      <c r="K36" s="14"/>
      <c r="O36" s="22"/>
      <c r="P36" s="22"/>
      <c r="Q36" s="23"/>
      <c r="R36" s="23"/>
      <c r="S36" s="14"/>
    </row>
    <row r="37" ht="18.75" customHeight="1">
      <c r="A37" s="7" t="s">
        <v>3571</v>
      </c>
      <c r="B37" s="7" t="s">
        <v>3875</v>
      </c>
      <c r="C37" s="9">
        <v>247220.0</v>
      </c>
      <c r="D37" s="9">
        <v>9146.0</v>
      </c>
      <c r="E37" s="9">
        <v>422.0</v>
      </c>
      <c r="F37" s="7" t="s">
        <v>3876</v>
      </c>
      <c r="G37" s="7" t="s">
        <v>353</v>
      </c>
      <c r="H37" s="7" t="s">
        <v>413</v>
      </c>
      <c r="I37" s="7" t="s">
        <v>355</v>
      </c>
      <c r="J37" s="14"/>
      <c r="K37" s="14"/>
      <c r="O37" s="22"/>
      <c r="P37" s="22"/>
      <c r="Q37" s="23"/>
      <c r="R37" s="23"/>
      <c r="S37" s="14"/>
    </row>
    <row r="38" ht="18.75" customHeight="1">
      <c r="A38" s="7" t="s">
        <v>351</v>
      </c>
      <c r="B38" s="7" t="s">
        <v>3875</v>
      </c>
      <c r="C38" s="9">
        <v>2088119.0</v>
      </c>
      <c r="D38" s="9">
        <v>77319.0</v>
      </c>
      <c r="E38" s="9">
        <v>1542.0</v>
      </c>
      <c r="F38" s="7" t="s">
        <v>352</v>
      </c>
      <c r="G38" s="7" t="s">
        <v>353</v>
      </c>
      <c r="H38" s="7" t="s">
        <v>354</v>
      </c>
      <c r="I38" s="7" t="s">
        <v>410</v>
      </c>
      <c r="J38" s="14"/>
      <c r="K38" s="14"/>
      <c r="O38" s="22"/>
      <c r="P38" s="22"/>
      <c r="Q38" s="23"/>
      <c r="R38" s="23"/>
      <c r="S38" s="14"/>
    </row>
    <row r="39" ht="18.75" customHeight="1">
      <c r="A39" s="7" t="s">
        <v>351</v>
      </c>
      <c r="B39" s="7" t="s">
        <v>3875</v>
      </c>
      <c r="C39" s="9">
        <v>882156.0</v>
      </c>
      <c r="D39" s="9">
        <v>21663.0</v>
      </c>
      <c r="E39" s="9">
        <v>1051.0</v>
      </c>
      <c r="F39" s="7" t="s">
        <v>352</v>
      </c>
      <c r="G39" s="7" t="s">
        <v>353</v>
      </c>
      <c r="H39" s="7" t="s">
        <v>354</v>
      </c>
      <c r="I39" s="7" t="s">
        <v>410</v>
      </c>
      <c r="J39" s="14"/>
      <c r="K39" s="14"/>
      <c r="O39" s="22"/>
      <c r="P39" s="22"/>
      <c r="Q39" s="23"/>
      <c r="R39" s="23"/>
      <c r="S39" s="14"/>
    </row>
    <row r="40" ht="18.75" customHeight="1">
      <c r="A40" s="7" t="s">
        <v>351</v>
      </c>
      <c r="B40" s="7" t="s">
        <v>3875</v>
      </c>
      <c r="C40" s="9">
        <v>993271.0</v>
      </c>
      <c r="D40" s="9">
        <v>14343.0</v>
      </c>
      <c r="E40" s="9">
        <v>957.0</v>
      </c>
      <c r="F40" s="7" t="s">
        <v>352</v>
      </c>
      <c r="G40" s="7" t="s">
        <v>353</v>
      </c>
      <c r="H40" s="7" t="s">
        <v>354</v>
      </c>
      <c r="I40" s="7" t="s">
        <v>410</v>
      </c>
      <c r="J40" s="14"/>
      <c r="K40" s="14"/>
      <c r="O40" s="22"/>
      <c r="P40" s="22"/>
      <c r="Q40" s="23"/>
      <c r="R40" s="23"/>
      <c r="S40" s="14"/>
    </row>
    <row r="41" ht="18.75" customHeight="1">
      <c r="A41" s="7" t="s">
        <v>351</v>
      </c>
      <c r="B41" s="7" t="s">
        <v>3875</v>
      </c>
      <c r="C41" s="9">
        <v>294917.0</v>
      </c>
      <c r="D41" s="9">
        <v>1046.0</v>
      </c>
      <c r="E41" s="9">
        <v>8652.0</v>
      </c>
      <c r="F41" s="7" t="s">
        <v>352</v>
      </c>
      <c r="G41" s="7" t="s">
        <v>353</v>
      </c>
      <c r="H41" s="7" t="s">
        <v>354</v>
      </c>
      <c r="I41" s="7" t="s">
        <v>410</v>
      </c>
      <c r="J41" s="14"/>
      <c r="K41" s="14"/>
      <c r="O41" s="22"/>
      <c r="P41" s="22"/>
      <c r="Q41" s="23"/>
      <c r="R41" s="23"/>
      <c r="S41" s="14"/>
    </row>
    <row r="42" ht="18.75" customHeight="1">
      <c r="A42" s="7" t="s">
        <v>351</v>
      </c>
      <c r="B42" s="7" t="s">
        <v>3875</v>
      </c>
      <c r="C42" s="9">
        <v>243968.0</v>
      </c>
      <c r="D42" s="9">
        <v>10158.0</v>
      </c>
      <c r="E42" s="9">
        <v>6305.0</v>
      </c>
      <c r="F42" s="7" t="s">
        <v>352</v>
      </c>
      <c r="G42" s="7" t="s">
        <v>353</v>
      </c>
      <c r="H42" s="7" t="s">
        <v>354</v>
      </c>
      <c r="I42" s="7" t="s">
        <v>410</v>
      </c>
      <c r="J42" s="14"/>
      <c r="K42" s="14"/>
      <c r="O42" s="22"/>
      <c r="P42" s="22"/>
      <c r="Q42" s="23"/>
      <c r="R42" s="23"/>
      <c r="S42" s="14"/>
    </row>
    <row r="43" ht="18.75" customHeight="1">
      <c r="A43" s="7" t="s">
        <v>351</v>
      </c>
      <c r="B43" s="7" t="s">
        <v>3875</v>
      </c>
      <c r="C43" s="9">
        <v>112599.0</v>
      </c>
      <c r="D43" s="9">
        <v>12674.0</v>
      </c>
      <c r="E43" s="9">
        <v>2953.0</v>
      </c>
      <c r="F43" s="7" t="s">
        <v>352</v>
      </c>
      <c r="G43" s="7" t="s">
        <v>353</v>
      </c>
      <c r="H43" s="7" t="s">
        <v>354</v>
      </c>
      <c r="I43" s="7" t="s">
        <v>410</v>
      </c>
      <c r="J43" s="14"/>
      <c r="K43" s="14"/>
      <c r="O43" s="22"/>
      <c r="P43" s="22"/>
      <c r="Q43" s="23"/>
      <c r="R43" s="23"/>
      <c r="S43" s="14"/>
    </row>
    <row r="44" ht="18.75" customHeight="1">
      <c r="A44" s="7" t="s">
        <v>379</v>
      </c>
      <c r="B44" s="7" t="s">
        <v>3875</v>
      </c>
      <c r="C44" s="9">
        <v>345035.0</v>
      </c>
      <c r="D44" s="9">
        <v>0.0</v>
      </c>
      <c r="E44" s="9">
        <v>639.0</v>
      </c>
      <c r="F44" s="7" t="s">
        <v>380</v>
      </c>
      <c r="G44" s="7" t="s">
        <v>353</v>
      </c>
      <c r="H44" s="7" t="s">
        <v>354</v>
      </c>
      <c r="I44" s="7" t="s">
        <v>355</v>
      </c>
      <c r="J44" s="14"/>
      <c r="K44" s="14"/>
      <c r="O44" s="22"/>
      <c r="P44" s="22"/>
      <c r="Q44" s="23"/>
      <c r="R44" s="23"/>
      <c r="S44" s="14"/>
    </row>
    <row r="45" ht="18.75" customHeight="1">
      <c r="A45" s="7" t="s">
        <v>379</v>
      </c>
      <c r="B45" s="7" t="s">
        <v>3875</v>
      </c>
      <c r="C45" s="9">
        <v>277352.0</v>
      </c>
      <c r="D45" s="9">
        <v>0.0</v>
      </c>
      <c r="E45" s="9">
        <v>10197.0</v>
      </c>
      <c r="F45" s="7" t="s">
        <v>380</v>
      </c>
      <c r="G45" s="7" t="s">
        <v>353</v>
      </c>
      <c r="H45" s="7" t="s">
        <v>354</v>
      </c>
      <c r="I45" s="7" t="s">
        <v>355</v>
      </c>
      <c r="J45" s="14"/>
      <c r="K45" s="14"/>
      <c r="O45" s="22"/>
      <c r="P45" s="22"/>
      <c r="Q45" s="23"/>
      <c r="R45" s="23"/>
      <c r="S45" s="14"/>
    </row>
    <row r="46" ht="18.75" customHeight="1">
      <c r="A46" s="7" t="s">
        <v>351</v>
      </c>
      <c r="B46" s="7" t="s">
        <v>3875</v>
      </c>
      <c r="C46" s="9">
        <v>175096.0</v>
      </c>
      <c r="D46" s="9">
        <v>60673.0</v>
      </c>
      <c r="E46" s="9">
        <v>644.0</v>
      </c>
      <c r="F46" s="7" t="s">
        <v>352</v>
      </c>
      <c r="G46" s="7" t="s">
        <v>353</v>
      </c>
      <c r="H46" s="7" t="s">
        <v>354</v>
      </c>
      <c r="I46" s="7" t="s">
        <v>410</v>
      </c>
      <c r="J46" s="14"/>
      <c r="K46" s="14"/>
      <c r="O46" s="22"/>
      <c r="P46" s="22"/>
      <c r="Q46" s="23"/>
      <c r="R46" s="23"/>
      <c r="S46" s="14"/>
    </row>
    <row r="47" ht="18.75" customHeight="1">
      <c r="A47" s="7" t="s">
        <v>3010</v>
      </c>
      <c r="B47" s="7" t="s">
        <v>3875</v>
      </c>
      <c r="C47" s="9">
        <v>524584.0</v>
      </c>
      <c r="D47" s="9">
        <v>13679.0</v>
      </c>
      <c r="E47" s="9">
        <v>490.0</v>
      </c>
      <c r="F47" s="7" t="s">
        <v>3877</v>
      </c>
      <c r="G47" s="7" t="s">
        <v>358</v>
      </c>
      <c r="H47" s="7" t="s">
        <v>365</v>
      </c>
      <c r="I47" s="7" t="s">
        <v>355</v>
      </c>
      <c r="J47" s="14"/>
      <c r="K47" s="14"/>
      <c r="O47" s="22"/>
      <c r="P47" s="22"/>
      <c r="Q47" s="23"/>
      <c r="R47" s="23"/>
      <c r="S47" s="14"/>
    </row>
    <row r="48" ht="18.75" customHeight="1">
      <c r="A48" s="7" t="s">
        <v>3010</v>
      </c>
      <c r="B48" s="7" t="s">
        <v>3875</v>
      </c>
      <c r="C48" s="9">
        <v>525925.0</v>
      </c>
      <c r="D48" s="9">
        <v>9776.0</v>
      </c>
      <c r="E48" s="9">
        <v>715.0</v>
      </c>
      <c r="F48" s="7" t="s">
        <v>3877</v>
      </c>
      <c r="G48" s="7" t="s">
        <v>358</v>
      </c>
      <c r="H48" s="7" t="s">
        <v>365</v>
      </c>
      <c r="I48" s="7" t="s">
        <v>355</v>
      </c>
      <c r="J48" s="14"/>
      <c r="K48" s="14"/>
      <c r="O48" s="22"/>
      <c r="P48" s="22"/>
      <c r="Q48" s="23"/>
      <c r="R48" s="23"/>
      <c r="S48" s="14"/>
    </row>
    <row r="49" ht="18.75" customHeight="1">
      <c r="A49" s="7" t="s">
        <v>351</v>
      </c>
      <c r="B49" s="7" t="s">
        <v>3875</v>
      </c>
      <c r="C49" s="9">
        <v>163842.0</v>
      </c>
      <c r="D49" s="9">
        <v>8146.0</v>
      </c>
      <c r="E49" s="9">
        <v>4805.0</v>
      </c>
      <c r="F49" s="7" t="s">
        <v>352</v>
      </c>
      <c r="G49" s="7" t="s">
        <v>353</v>
      </c>
      <c r="H49" s="7" t="s">
        <v>354</v>
      </c>
      <c r="I49" s="7" t="s">
        <v>410</v>
      </c>
      <c r="J49" s="14"/>
      <c r="K49" s="14"/>
      <c r="O49" s="22"/>
      <c r="P49" s="22"/>
      <c r="Q49" s="23"/>
      <c r="R49" s="23"/>
      <c r="S49" s="14"/>
    </row>
    <row r="50" ht="18.75" customHeight="1">
      <c r="A50" s="7" t="s">
        <v>390</v>
      </c>
      <c r="B50" s="7" t="s">
        <v>3875</v>
      </c>
      <c r="C50" s="9">
        <v>330723.0</v>
      </c>
      <c r="D50" s="9">
        <v>3422.0</v>
      </c>
      <c r="E50" s="9">
        <v>293.0</v>
      </c>
      <c r="F50" s="7" t="s">
        <v>391</v>
      </c>
      <c r="G50" s="7" t="s">
        <v>364</v>
      </c>
      <c r="H50" s="7" t="s">
        <v>365</v>
      </c>
      <c r="I50" s="7" t="s">
        <v>355</v>
      </c>
      <c r="J50" s="14"/>
      <c r="K50" s="14"/>
      <c r="O50" s="22"/>
      <c r="P50" s="22"/>
      <c r="Q50" s="23"/>
      <c r="R50" s="23"/>
      <c r="S50" s="14"/>
    </row>
    <row r="51" ht="18.75" customHeight="1">
      <c r="A51" s="7" t="s">
        <v>390</v>
      </c>
      <c r="B51" s="7" t="s">
        <v>3875</v>
      </c>
      <c r="C51" s="9">
        <v>327996.0</v>
      </c>
      <c r="D51" s="9">
        <v>15966.0</v>
      </c>
      <c r="E51" s="9">
        <v>257.0</v>
      </c>
      <c r="F51" s="7" t="s">
        <v>391</v>
      </c>
      <c r="G51" s="7" t="s">
        <v>364</v>
      </c>
      <c r="H51" s="7" t="s">
        <v>365</v>
      </c>
      <c r="I51" s="7" t="s">
        <v>355</v>
      </c>
      <c r="J51" s="14"/>
      <c r="K51" s="14"/>
      <c r="O51" s="22"/>
      <c r="P51" s="22"/>
      <c r="Q51" s="23"/>
      <c r="R51" s="23"/>
      <c r="S51" s="14"/>
    </row>
    <row r="52" ht="18.75" customHeight="1">
      <c r="A52" s="7" t="s">
        <v>390</v>
      </c>
      <c r="B52" s="7" t="s">
        <v>3875</v>
      </c>
      <c r="C52" s="9">
        <v>326098.0</v>
      </c>
      <c r="D52" s="9">
        <v>2235.0</v>
      </c>
      <c r="E52" s="9">
        <v>261.0</v>
      </c>
      <c r="F52" s="7" t="s">
        <v>391</v>
      </c>
      <c r="G52" s="7" t="s">
        <v>364</v>
      </c>
      <c r="H52" s="7" t="s">
        <v>365</v>
      </c>
      <c r="I52" s="7" t="s">
        <v>355</v>
      </c>
      <c r="J52" s="14"/>
      <c r="K52" s="14"/>
      <c r="O52" s="22"/>
      <c r="P52" s="22"/>
      <c r="Q52" s="23"/>
      <c r="R52" s="23"/>
      <c r="S52" s="14"/>
    </row>
    <row r="53" ht="18.75" customHeight="1">
      <c r="A53" s="7" t="s">
        <v>3878</v>
      </c>
      <c r="B53" s="7" t="s">
        <v>3875</v>
      </c>
      <c r="C53" s="9">
        <v>1740799.0</v>
      </c>
      <c r="D53" s="9">
        <v>57301.0</v>
      </c>
      <c r="E53" s="9">
        <v>1418.0</v>
      </c>
      <c r="F53" s="7" t="s">
        <v>3879</v>
      </c>
      <c r="G53" s="7" t="s">
        <v>364</v>
      </c>
      <c r="H53" s="7" t="s">
        <v>365</v>
      </c>
      <c r="I53" s="7" t="s">
        <v>355</v>
      </c>
      <c r="J53" s="14"/>
      <c r="K53" s="14"/>
      <c r="O53" s="22"/>
      <c r="P53" s="22"/>
      <c r="Q53" s="23"/>
      <c r="R53" s="23"/>
      <c r="S53" s="14"/>
    </row>
    <row r="54" ht="18.75" customHeight="1">
      <c r="A54" s="7" t="s">
        <v>351</v>
      </c>
      <c r="B54" s="7" t="s">
        <v>3875</v>
      </c>
      <c r="C54" s="9">
        <v>965389.0</v>
      </c>
      <c r="D54" s="9">
        <v>58644.0</v>
      </c>
      <c r="E54" s="9">
        <v>872.0</v>
      </c>
      <c r="F54" s="7" t="s">
        <v>352</v>
      </c>
      <c r="G54" s="7" t="s">
        <v>353</v>
      </c>
      <c r="H54" s="7" t="s">
        <v>354</v>
      </c>
      <c r="I54" s="7" t="s">
        <v>410</v>
      </c>
      <c r="J54" s="14"/>
      <c r="K54" s="14"/>
      <c r="O54" s="22"/>
      <c r="P54" s="22"/>
      <c r="Q54" s="23"/>
      <c r="R54" s="23"/>
      <c r="S54" s="14"/>
    </row>
    <row r="55" ht="18.75" customHeight="1">
      <c r="A55" s="7" t="s">
        <v>351</v>
      </c>
      <c r="B55" s="7" t="s">
        <v>3875</v>
      </c>
      <c r="C55" s="9">
        <v>1025210.0</v>
      </c>
      <c r="D55" s="9">
        <v>36885.0</v>
      </c>
      <c r="E55" s="9">
        <v>922.0</v>
      </c>
      <c r="F55" s="7" t="s">
        <v>352</v>
      </c>
      <c r="G55" s="7" t="s">
        <v>353</v>
      </c>
      <c r="H55" s="7" t="s">
        <v>354</v>
      </c>
      <c r="I55" s="7" t="s">
        <v>410</v>
      </c>
      <c r="J55" s="14"/>
      <c r="K55" s="14"/>
      <c r="O55" s="22"/>
      <c r="P55" s="22"/>
      <c r="Q55" s="23"/>
      <c r="R55" s="23"/>
      <c r="S55" s="14"/>
    </row>
    <row r="56" ht="18.75" customHeight="1">
      <c r="A56" s="7" t="s">
        <v>351</v>
      </c>
      <c r="B56" s="7" t="s">
        <v>3875</v>
      </c>
      <c r="C56" s="9">
        <v>225653.0</v>
      </c>
      <c r="D56" s="9">
        <v>354.0</v>
      </c>
      <c r="E56" s="9">
        <v>5792.0</v>
      </c>
      <c r="F56" s="7" t="s">
        <v>352</v>
      </c>
      <c r="G56" s="7" t="s">
        <v>353</v>
      </c>
      <c r="H56" s="7" t="s">
        <v>354</v>
      </c>
      <c r="I56" s="7" t="s">
        <v>410</v>
      </c>
      <c r="J56" s="14"/>
      <c r="K56" s="14"/>
      <c r="O56" s="22"/>
      <c r="P56" s="22"/>
      <c r="Q56" s="23"/>
      <c r="R56" s="23"/>
      <c r="S56" s="14"/>
    </row>
    <row r="57" ht="18.75" customHeight="1">
      <c r="A57" s="7" t="s">
        <v>351</v>
      </c>
      <c r="B57" s="7" t="s">
        <v>3875</v>
      </c>
      <c r="C57" s="9">
        <v>104879.0</v>
      </c>
      <c r="D57" s="9">
        <v>5873.0</v>
      </c>
      <c r="E57" s="9">
        <v>3102.0</v>
      </c>
      <c r="F57" s="7" t="s">
        <v>352</v>
      </c>
      <c r="G57" s="7" t="s">
        <v>353</v>
      </c>
      <c r="H57" s="7" t="s">
        <v>354</v>
      </c>
      <c r="I57" s="7" t="s">
        <v>410</v>
      </c>
      <c r="J57" s="14"/>
      <c r="K57" s="14"/>
      <c r="O57" s="22"/>
      <c r="P57" s="22"/>
      <c r="Q57" s="23"/>
      <c r="R57" s="23"/>
      <c r="S57" s="14"/>
    </row>
    <row r="58" ht="18.75" customHeight="1">
      <c r="A58" s="7" t="s">
        <v>351</v>
      </c>
      <c r="B58" s="7" t="s">
        <v>3875</v>
      </c>
      <c r="C58" s="9">
        <v>68621.0</v>
      </c>
      <c r="D58" s="9">
        <v>4788.0</v>
      </c>
      <c r="E58" s="9">
        <v>1734.0</v>
      </c>
      <c r="F58" s="7" t="s">
        <v>352</v>
      </c>
      <c r="G58" s="7" t="s">
        <v>353</v>
      </c>
      <c r="H58" s="7" t="s">
        <v>354</v>
      </c>
      <c r="I58" s="7" t="s">
        <v>410</v>
      </c>
      <c r="J58" s="14"/>
      <c r="K58" s="14"/>
      <c r="O58" s="22"/>
      <c r="P58" s="22"/>
      <c r="Q58" s="23"/>
      <c r="R58" s="23"/>
      <c r="S58" s="14"/>
    </row>
    <row r="59" ht="18.75" customHeight="1">
      <c r="A59" s="7" t="s">
        <v>351</v>
      </c>
      <c r="B59" s="7" t="s">
        <v>3875</v>
      </c>
      <c r="C59" s="9">
        <v>135139.0</v>
      </c>
      <c r="D59" s="9">
        <v>10700.0</v>
      </c>
      <c r="E59" s="9">
        <v>4936.0</v>
      </c>
      <c r="F59" s="7" t="s">
        <v>352</v>
      </c>
      <c r="G59" s="7" t="s">
        <v>353</v>
      </c>
      <c r="H59" s="7" t="s">
        <v>354</v>
      </c>
      <c r="I59" s="7" t="s">
        <v>410</v>
      </c>
      <c r="J59" s="14"/>
      <c r="K59" s="14"/>
      <c r="O59" s="22"/>
      <c r="P59" s="22"/>
      <c r="Q59" s="23"/>
      <c r="R59" s="23"/>
      <c r="S59" s="14"/>
    </row>
    <row r="60" ht="18.75" customHeight="1">
      <c r="A60" s="7" t="s">
        <v>351</v>
      </c>
      <c r="B60" s="7" t="s">
        <v>3875</v>
      </c>
      <c r="C60" s="9">
        <v>72507.0</v>
      </c>
      <c r="D60" s="9">
        <v>29920.0</v>
      </c>
      <c r="E60" s="9">
        <v>349.0</v>
      </c>
      <c r="F60" s="7" t="s">
        <v>352</v>
      </c>
      <c r="G60" s="7" t="s">
        <v>353</v>
      </c>
      <c r="H60" s="7" t="s">
        <v>354</v>
      </c>
      <c r="I60" s="7" t="s">
        <v>410</v>
      </c>
      <c r="J60" s="14"/>
      <c r="K60" s="14"/>
      <c r="O60" s="22"/>
      <c r="P60" s="22"/>
      <c r="Q60" s="23"/>
      <c r="R60" s="23"/>
      <c r="S60" s="14"/>
    </row>
    <row r="61" ht="18.75" customHeight="1">
      <c r="A61" s="7" t="s">
        <v>3571</v>
      </c>
      <c r="B61" s="7" t="s">
        <v>3875</v>
      </c>
      <c r="C61" s="9">
        <v>216021.0</v>
      </c>
      <c r="D61" s="9">
        <v>6626.0</v>
      </c>
      <c r="E61" s="9">
        <v>202.0</v>
      </c>
      <c r="F61" s="7" t="s">
        <v>3876</v>
      </c>
      <c r="G61" s="7" t="s">
        <v>353</v>
      </c>
      <c r="H61" s="7" t="s">
        <v>413</v>
      </c>
      <c r="I61" s="7" t="s">
        <v>355</v>
      </c>
      <c r="J61" s="14"/>
      <c r="K61" s="14"/>
      <c r="O61" s="22"/>
      <c r="P61" s="22"/>
      <c r="Q61" s="23"/>
      <c r="R61" s="23"/>
      <c r="S61" s="14"/>
    </row>
    <row r="62" ht="18.75" customHeight="1">
      <c r="A62" s="7" t="s">
        <v>3571</v>
      </c>
      <c r="B62" s="7" t="s">
        <v>3875</v>
      </c>
      <c r="C62" s="9">
        <v>59077.0</v>
      </c>
      <c r="D62" s="9">
        <v>19234.0</v>
      </c>
      <c r="E62" s="9">
        <v>1628.0</v>
      </c>
      <c r="F62" s="7" t="s">
        <v>3876</v>
      </c>
      <c r="G62" s="7" t="s">
        <v>353</v>
      </c>
      <c r="H62" s="7" t="s">
        <v>413</v>
      </c>
      <c r="I62" s="7" t="s">
        <v>355</v>
      </c>
      <c r="J62" s="14"/>
      <c r="K62" s="14"/>
      <c r="O62" s="22"/>
      <c r="P62" s="22"/>
      <c r="Q62" s="23"/>
      <c r="R62" s="23"/>
      <c r="S62" s="14"/>
    </row>
    <row r="63" ht="18.75" customHeight="1">
      <c r="A63" s="7" t="s">
        <v>362</v>
      </c>
      <c r="B63" s="7" t="s">
        <v>3875</v>
      </c>
      <c r="C63" s="9">
        <v>1401096.0</v>
      </c>
      <c r="D63" s="9">
        <v>37233.0</v>
      </c>
      <c r="E63" s="9">
        <v>2616.0</v>
      </c>
      <c r="F63" s="7" t="s">
        <v>363</v>
      </c>
      <c r="G63" s="7" t="s">
        <v>364</v>
      </c>
      <c r="H63" s="7" t="s">
        <v>365</v>
      </c>
      <c r="I63" s="7" t="s">
        <v>355</v>
      </c>
      <c r="J63" s="14"/>
      <c r="K63" s="14"/>
      <c r="O63" s="22"/>
      <c r="P63" s="22"/>
      <c r="Q63" s="23"/>
      <c r="R63" s="23"/>
      <c r="S63" s="14"/>
    </row>
    <row r="64" ht="18.75" customHeight="1">
      <c r="A64" s="7" t="s">
        <v>362</v>
      </c>
      <c r="B64" s="7" t="s">
        <v>3875</v>
      </c>
      <c r="C64" s="9">
        <v>775787.0</v>
      </c>
      <c r="D64" s="9">
        <v>7644.0</v>
      </c>
      <c r="E64" s="9">
        <v>2445.0</v>
      </c>
      <c r="F64" s="7" t="s">
        <v>363</v>
      </c>
      <c r="G64" s="7" t="s">
        <v>364</v>
      </c>
      <c r="H64" s="7" t="s">
        <v>365</v>
      </c>
      <c r="I64" s="7" t="s">
        <v>355</v>
      </c>
      <c r="J64" s="14"/>
      <c r="K64" s="14"/>
      <c r="O64" s="22"/>
      <c r="P64" s="22"/>
      <c r="Q64" s="23"/>
      <c r="R64" s="23"/>
      <c r="S64" s="14"/>
    </row>
    <row r="65" ht="18.75" customHeight="1">
      <c r="A65" s="7" t="s">
        <v>362</v>
      </c>
      <c r="B65" s="7" t="s">
        <v>3875</v>
      </c>
      <c r="C65" s="9">
        <v>638506.0</v>
      </c>
      <c r="D65" s="9">
        <v>31444.0</v>
      </c>
      <c r="E65" s="9">
        <v>528.0</v>
      </c>
      <c r="F65" s="7" t="s">
        <v>363</v>
      </c>
      <c r="G65" s="7" t="s">
        <v>364</v>
      </c>
      <c r="H65" s="7" t="s">
        <v>365</v>
      </c>
      <c r="I65" s="7" t="s">
        <v>355</v>
      </c>
      <c r="J65" s="14"/>
      <c r="K65" s="14"/>
      <c r="O65" s="22"/>
      <c r="P65" s="22"/>
      <c r="Q65" s="23"/>
      <c r="R65" s="23"/>
      <c r="S65" s="14"/>
    </row>
    <row r="66" ht="18.75" customHeight="1">
      <c r="A66" s="7" t="s">
        <v>362</v>
      </c>
      <c r="B66" s="7" t="s">
        <v>3875</v>
      </c>
      <c r="C66" s="9">
        <v>606803.0</v>
      </c>
      <c r="D66" s="9">
        <v>0.0</v>
      </c>
      <c r="E66" s="9">
        <v>629.0</v>
      </c>
      <c r="F66" s="7" t="s">
        <v>363</v>
      </c>
      <c r="G66" s="7" t="s">
        <v>364</v>
      </c>
      <c r="H66" s="7" t="s">
        <v>365</v>
      </c>
      <c r="I66" s="7" t="s">
        <v>355</v>
      </c>
      <c r="J66" s="14"/>
      <c r="K66" s="14"/>
      <c r="O66" s="22"/>
      <c r="P66" s="22"/>
      <c r="Q66" s="23"/>
      <c r="R66" s="23"/>
      <c r="S66" s="14"/>
    </row>
    <row r="67" ht="18.75" customHeight="1">
      <c r="A67" s="7" t="s">
        <v>362</v>
      </c>
      <c r="B67" s="7" t="s">
        <v>3875</v>
      </c>
      <c r="C67" s="9">
        <v>547984.0</v>
      </c>
      <c r="D67" s="9">
        <v>6091.0</v>
      </c>
      <c r="E67" s="9">
        <v>673.0</v>
      </c>
      <c r="F67" s="7" t="s">
        <v>363</v>
      </c>
      <c r="G67" s="7" t="s">
        <v>364</v>
      </c>
      <c r="H67" s="7" t="s">
        <v>365</v>
      </c>
      <c r="I67" s="7" t="s">
        <v>355</v>
      </c>
      <c r="J67" s="14"/>
      <c r="K67" s="14"/>
      <c r="O67" s="22"/>
      <c r="P67" s="22"/>
      <c r="Q67" s="23"/>
      <c r="R67" s="23"/>
      <c r="S67" s="14"/>
    </row>
    <row r="68" ht="18.75" customHeight="1">
      <c r="A68" s="7" t="s">
        <v>362</v>
      </c>
      <c r="B68" s="7" t="s">
        <v>3875</v>
      </c>
      <c r="C68" s="9">
        <v>239928.0</v>
      </c>
      <c r="D68" s="9">
        <v>0.0</v>
      </c>
      <c r="E68" s="9">
        <v>281.0</v>
      </c>
      <c r="F68" s="7" t="s">
        <v>363</v>
      </c>
      <c r="G68" s="7" t="s">
        <v>364</v>
      </c>
      <c r="H68" s="7" t="s">
        <v>365</v>
      </c>
      <c r="I68" s="7" t="s">
        <v>355</v>
      </c>
      <c r="J68" s="14"/>
      <c r="K68" s="14"/>
      <c r="O68" s="22"/>
      <c r="P68" s="22"/>
      <c r="Q68" s="23"/>
      <c r="R68" s="23"/>
      <c r="S68" s="14"/>
    </row>
    <row r="69" ht="18.75" customHeight="1">
      <c r="A69" s="7" t="s">
        <v>362</v>
      </c>
      <c r="B69" s="7" t="s">
        <v>3875</v>
      </c>
      <c r="C69" s="9">
        <v>788154.0</v>
      </c>
      <c r="D69" s="9">
        <v>0.0</v>
      </c>
      <c r="E69" s="9">
        <v>765.0</v>
      </c>
      <c r="F69" s="7" t="s">
        <v>363</v>
      </c>
      <c r="G69" s="7" t="s">
        <v>364</v>
      </c>
      <c r="H69" s="7" t="s">
        <v>365</v>
      </c>
      <c r="I69" s="7" t="s">
        <v>355</v>
      </c>
      <c r="J69" s="14"/>
      <c r="K69" s="14"/>
      <c r="O69" s="22"/>
      <c r="P69" s="22"/>
      <c r="Q69" s="23"/>
      <c r="R69" s="23"/>
      <c r="S69" s="14"/>
    </row>
    <row r="70" ht="18.75" customHeight="1">
      <c r="A70" s="7" t="s">
        <v>362</v>
      </c>
      <c r="B70" s="7" t="s">
        <v>3875</v>
      </c>
      <c r="C70" s="9">
        <v>275267.0</v>
      </c>
      <c r="D70" s="9">
        <v>963.0</v>
      </c>
      <c r="E70" s="9">
        <v>229.0</v>
      </c>
      <c r="F70" s="7" t="s">
        <v>363</v>
      </c>
      <c r="G70" s="7" t="s">
        <v>364</v>
      </c>
      <c r="H70" s="7" t="s">
        <v>365</v>
      </c>
      <c r="I70" s="7" t="s">
        <v>355</v>
      </c>
      <c r="J70" s="14"/>
      <c r="K70" s="14"/>
      <c r="O70" s="22"/>
      <c r="P70" s="22"/>
      <c r="Q70" s="23"/>
      <c r="R70" s="23"/>
      <c r="S70" s="14"/>
    </row>
    <row r="71" ht="18.75" customHeight="1">
      <c r="A71" s="7" t="s">
        <v>362</v>
      </c>
      <c r="B71" s="7" t="s">
        <v>3875</v>
      </c>
      <c r="C71" s="9">
        <v>260168.0</v>
      </c>
      <c r="D71" s="9">
        <v>25504.0</v>
      </c>
      <c r="E71" s="9">
        <v>258.0</v>
      </c>
      <c r="F71" s="7" t="s">
        <v>363</v>
      </c>
      <c r="G71" s="7" t="s">
        <v>364</v>
      </c>
      <c r="H71" s="7" t="s">
        <v>365</v>
      </c>
      <c r="I71" s="7" t="s">
        <v>355</v>
      </c>
      <c r="J71" s="14"/>
      <c r="K71" s="14"/>
      <c r="O71" s="22"/>
      <c r="P71" s="22"/>
      <c r="Q71" s="23"/>
      <c r="R71" s="23"/>
      <c r="S71" s="14"/>
    </row>
    <row r="72" ht="18.75" customHeight="1">
      <c r="A72" s="7" t="s">
        <v>362</v>
      </c>
      <c r="B72" s="7" t="s">
        <v>3875</v>
      </c>
      <c r="C72" s="9">
        <v>274411.0</v>
      </c>
      <c r="D72" s="9">
        <v>34249.0</v>
      </c>
      <c r="E72" s="9">
        <v>257.0</v>
      </c>
      <c r="F72" s="7" t="s">
        <v>363</v>
      </c>
      <c r="G72" s="7" t="s">
        <v>364</v>
      </c>
      <c r="H72" s="7" t="s">
        <v>365</v>
      </c>
      <c r="I72" s="7" t="s">
        <v>355</v>
      </c>
      <c r="J72" s="14"/>
      <c r="K72" s="14"/>
      <c r="O72" s="22"/>
      <c r="P72" s="22"/>
      <c r="Q72" s="23"/>
      <c r="R72" s="23"/>
      <c r="S72" s="14"/>
    </row>
    <row r="73" ht="18.75" customHeight="1">
      <c r="A73" s="7" t="s">
        <v>362</v>
      </c>
      <c r="B73" s="7" t="s">
        <v>3875</v>
      </c>
      <c r="C73" s="9">
        <v>461916.0</v>
      </c>
      <c r="D73" s="9">
        <v>51370.0</v>
      </c>
      <c r="E73" s="9">
        <v>748.0</v>
      </c>
      <c r="F73" s="7" t="s">
        <v>363</v>
      </c>
      <c r="G73" s="7" t="s">
        <v>364</v>
      </c>
      <c r="H73" s="7" t="s">
        <v>365</v>
      </c>
      <c r="I73" s="7" t="s">
        <v>355</v>
      </c>
      <c r="J73" s="14"/>
      <c r="K73" s="14"/>
      <c r="O73" s="22"/>
      <c r="P73" s="22"/>
      <c r="Q73" s="23"/>
      <c r="R73" s="23"/>
      <c r="S73" s="14"/>
    </row>
    <row r="74" ht="18.75" customHeight="1">
      <c r="A74" s="7" t="s">
        <v>362</v>
      </c>
      <c r="B74" s="7" t="s">
        <v>3875</v>
      </c>
      <c r="C74" s="9">
        <v>684107.0</v>
      </c>
      <c r="D74" s="9">
        <v>120983.0</v>
      </c>
      <c r="E74" s="9">
        <v>288.0</v>
      </c>
      <c r="F74" s="7" t="s">
        <v>363</v>
      </c>
      <c r="G74" s="7" t="s">
        <v>364</v>
      </c>
      <c r="H74" s="7" t="s">
        <v>365</v>
      </c>
      <c r="I74" s="7" t="s">
        <v>355</v>
      </c>
      <c r="J74" s="14"/>
      <c r="K74" s="14"/>
      <c r="O74" s="22"/>
      <c r="P74" s="22"/>
      <c r="Q74" s="23"/>
      <c r="R74" s="23"/>
      <c r="S74" s="14"/>
    </row>
    <row r="75" ht="18.75" customHeight="1">
      <c r="A75" s="7" t="s">
        <v>362</v>
      </c>
      <c r="B75" s="7" t="s">
        <v>3875</v>
      </c>
      <c r="C75" s="9">
        <v>1202690.0</v>
      </c>
      <c r="D75" s="9">
        <v>88144.0</v>
      </c>
      <c r="E75" s="9">
        <v>1064.0</v>
      </c>
      <c r="F75" s="7" t="s">
        <v>363</v>
      </c>
      <c r="G75" s="7" t="s">
        <v>364</v>
      </c>
      <c r="H75" s="7" t="s">
        <v>365</v>
      </c>
      <c r="I75" s="7" t="s">
        <v>355</v>
      </c>
      <c r="J75" s="14"/>
      <c r="K75" s="14"/>
      <c r="O75" s="22"/>
      <c r="P75" s="22"/>
      <c r="Q75" s="23"/>
      <c r="R75" s="23"/>
      <c r="S75" s="14"/>
    </row>
    <row r="76" ht="18.75" customHeight="1">
      <c r="A76" s="7" t="s">
        <v>390</v>
      </c>
      <c r="B76" s="7" t="s">
        <v>3875</v>
      </c>
      <c r="C76" s="9">
        <v>979937.0</v>
      </c>
      <c r="D76" s="9">
        <v>8451.0</v>
      </c>
      <c r="E76" s="9">
        <v>803.0</v>
      </c>
      <c r="F76" s="7" t="s">
        <v>391</v>
      </c>
      <c r="G76" s="7" t="s">
        <v>364</v>
      </c>
      <c r="H76" s="7" t="s">
        <v>365</v>
      </c>
      <c r="I76" s="7" t="s">
        <v>355</v>
      </c>
      <c r="J76" s="14"/>
      <c r="K76" s="14"/>
      <c r="O76" s="22"/>
      <c r="P76" s="22"/>
      <c r="Q76" s="23"/>
      <c r="R76" s="23"/>
      <c r="S76" s="14"/>
    </row>
    <row r="77" ht="18.75" customHeight="1">
      <c r="A77" s="7" t="s">
        <v>390</v>
      </c>
      <c r="B77" s="7" t="s">
        <v>3875</v>
      </c>
      <c r="C77" s="9">
        <v>665783.0</v>
      </c>
      <c r="D77" s="9">
        <v>29583.0</v>
      </c>
      <c r="E77" s="9">
        <v>580.0</v>
      </c>
      <c r="F77" s="7" t="s">
        <v>391</v>
      </c>
      <c r="G77" s="7" t="s">
        <v>364</v>
      </c>
      <c r="H77" s="7" t="s">
        <v>365</v>
      </c>
      <c r="I77" s="7" t="s">
        <v>355</v>
      </c>
      <c r="J77" s="14"/>
      <c r="K77" s="14"/>
      <c r="O77" s="22"/>
      <c r="P77" s="22"/>
      <c r="Q77" s="23"/>
      <c r="R77" s="23"/>
      <c r="S77" s="14"/>
    </row>
    <row r="78" ht="18.75" customHeight="1">
      <c r="A78" s="7" t="s">
        <v>390</v>
      </c>
      <c r="B78" s="7" t="s">
        <v>3875</v>
      </c>
      <c r="C78" s="9">
        <v>641997.0</v>
      </c>
      <c r="D78" s="9">
        <v>1378.0</v>
      </c>
      <c r="E78" s="9">
        <v>494.0</v>
      </c>
      <c r="F78" s="7" t="s">
        <v>391</v>
      </c>
      <c r="G78" s="7" t="s">
        <v>364</v>
      </c>
      <c r="H78" s="7" t="s">
        <v>365</v>
      </c>
      <c r="I78" s="7" t="s">
        <v>355</v>
      </c>
      <c r="J78" s="14"/>
      <c r="K78" s="14"/>
      <c r="O78" s="22"/>
      <c r="P78" s="22"/>
      <c r="Q78" s="23"/>
      <c r="R78" s="23"/>
      <c r="S78" s="14"/>
    </row>
    <row r="79" ht="18.75" customHeight="1">
      <c r="A79" s="7" t="s">
        <v>390</v>
      </c>
      <c r="B79" s="7" t="s">
        <v>3875</v>
      </c>
      <c r="C79" s="9">
        <v>0.0</v>
      </c>
      <c r="D79" s="9">
        <v>0.0</v>
      </c>
      <c r="E79" s="9">
        <v>0.0</v>
      </c>
      <c r="F79" s="7" t="s">
        <v>391</v>
      </c>
      <c r="G79" s="7" t="s">
        <v>364</v>
      </c>
      <c r="H79" s="7" t="s">
        <v>365</v>
      </c>
      <c r="I79" s="7" t="s">
        <v>355</v>
      </c>
      <c r="J79" s="14"/>
      <c r="K79" s="14"/>
      <c r="O79" s="22"/>
      <c r="P79" s="22"/>
      <c r="Q79" s="23"/>
      <c r="R79" s="23"/>
      <c r="S79" s="14"/>
    </row>
    <row r="80" ht="18.75" customHeight="1">
      <c r="A80" s="7" t="s">
        <v>388</v>
      </c>
      <c r="B80" s="7" t="s">
        <v>3875</v>
      </c>
      <c r="C80" s="9">
        <v>1350621.0</v>
      </c>
      <c r="D80" s="9">
        <v>4629.0</v>
      </c>
      <c r="E80" s="9">
        <v>1220.0</v>
      </c>
      <c r="F80" s="7" t="s">
        <v>389</v>
      </c>
      <c r="G80" s="7" t="s">
        <v>353</v>
      </c>
      <c r="H80" s="7" t="s">
        <v>378</v>
      </c>
      <c r="I80" s="7" t="s">
        <v>355</v>
      </c>
      <c r="J80" s="14"/>
      <c r="K80" s="14"/>
      <c r="O80" s="22"/>
      <c r="P80" s="22"/>
      <c r="Q80" s="23"/>
      <c r="R80" s="23"/>
      <c r="S80" s="14"/>
    </row>
    <row r="81" ht="18.75" customHeight="1">
      <c r="A81" s="7" t="s">
        <v>402</v>
      </c>
      <c r="B81" s="7" t="s">
        <v>3875</v>
      </c>
      <c r="C81" s="9">
        <v>4700034.0</v>
      </c>
      <c r="D81" s="9">
        <v>201292.0</v>
      </c>
      <c r="E81" s="9">
        <v>3458.0</v>
      </c>
      <c r="F81" s="7" t="s">
        <v>403</v>
      </c>
      <c r="G81" s="7" t="s">
        <v>404</v>
      </c>
      <c r="H81" s="7" t="s">
        <v>405</v>
      </c>
      <c r="I81" s="7" t="s">
        <v>355</v>
      </c>
      <c r="J81" s="14"/>
      <c r="K81" s="14"/>
      <c r="O81" s="22"/>
      <c r="P81" s="22"/>
      <c r="Q81" s="23"/>
      <c r="R81" s="23"/>
      <c r="S81" s="14"/>
    </row>
    <row r="82" ht="18.75" customHeight="1">
      <c r="A82" s="7" t="s">
        <v>402</v>
      </c>
      <c r="B82" s="7" t="s">
        <v>3875</v>
      </c>
      <c r="C82" s="9">
        <v>3695501.0</v>
      </c>
      <c r="D82" s="9">
        <v>125138.0</v>
      </c>
      <c r="E82" s="9">
        <v>6064.0</v>
      </c>
      <c r="F82" s="7" t="s">
        <v>403</v>
      </c>
      <c r="G82" s="7" t="s">
        <v>404</v>
      </c>
      <c r="H82" s="7" t="s">
        <v>405</v>
      </c>
      <c r="I82" s="7" t="s">
        <v>355</v>
      </c>
      <c r="J82" s="14"/>
      <c r="K82" s="14"/>
      <c r="O82" s="22"/>
      <c r="P82" s="22"/>
      <c r="Q82" s="23"/>
      <c r="R82" s="23"/>
      <c r="S82" s="14"/>
    </row>
    <row r="83" ht="18.75" customHeight="1">
      <c r="A83" s="7" t="s">
        <v>402</v>
      </c>
      <c r="B83" s="7" t="s">
        <v>3875</v>
      </c>
      <c r="C83" s="9">
        <v>1597438.0</v>
      </c>
      <c r="D83" s="9">
        <v>672298.0</v>
      </c>
      <c r="E83" s="9">
        <v>2675.0</v>
      </c>
      <c r="F83" s="7" t="s">
        <v>403</v>
      </c>
      <c r="G83" s="7" t="s">
        <v>404</v>
      </c>
      <c r="H83" s="7" t="s">
        <v>405</v>
      </c>
      <c r="I83" s="7" t="s">
        <v>355</v>
      </c>
      <c r="J83" s="14"/>
      <c r="K83" s="14"/>
      <c r="O83" s="22"/>
      <c r="P83" s="22"/>
      <c r="Q83" s="23"/>
      <c r="R83" s="23"/>
      <c r="S83" s="14"/>
    </row>
    <row r="84" ht="18.75" customHeight="1">
      <c r="A84" s="7" t="s">
        <v>392</v>
      </c>
      <c r="B84" s="7" t="s">
        <v>3875</v>
      </c>
      <c r="C84" s="9">
        <v>2111789.0</v>
      </c>
      <c r="D84" s="9">
        <v>71125.0</v>
      </c>
      <c r="E84" s="9">
        <v>2046.0</v>
      </c>
      <c r="F84" s="7" t="s">
        <v>393</v>
      </c>
      <c r="G84" s="7" t="s">
        <v>353</v>
      </c>
      <c r="H84" s="7" t="s">
        <v>378</v>
      </c>
      <c r="I84" s="7" t="s">
        <v>355</v>
      </c>
      <c r="J84" s="14"/>
      <c r="K84" s="14"/>
      <c r="O84" s="22"/>
      <c r="P84" s="22"/>
      <c r="Q84" s="23"/>
      <c r="R84" s="23"/>
      <c r="S84" s="14"/>
    </row>
    <row r="85" ht="18.75" customHeight="1">
      <c r="A85" s="7" t="s">
        <v>402</v>
      </c>
      <c r="B85" s="7" t="s">
        <v>3875</v>
      </c>
      <c r="C85" s="9">
        <v>1817930.0</v>
      </c>
      <c r="D85" s="9">
        <v>93313.0</v>
      </c>
      <c r="E85" s="9">
        <v>345.0</v>
      </c>
      <c r="F85" s="7" t="s">
        <v>403</v>
      </c>
      <c r="G85" s="7" t="s">
        <v>404</v>
      </c>
      <c r="H85" s="7" t="s">
        <v>405</v>
      </c>
      <c r="I85" s="7" t="s">
        <v>355</v>
      </c>
      <c r="J85" s="14"/>
      <c r="K85" s="14"/>
      <c r="O85" s="22"/>
      <c r="P85" s="22"/>
      <c r="Q85" s="23"/>
      <c r="R85" s="23"/>
      <c r="S85" s="14"/>
    </row>
    <row r="86" ht="18.75" customHeight="1">
      <c r="A86" s="7" t="s">
        <v>402</v>
      </c>
      <c r="B86" s="7" t="s">
        <v>3875</v>
      </c>
      <c r="C86" s="9">
        <v>644798.0</v>
      </c>
      <c r="D86" s="9">
        <v>211305.0</v>
      </c>
      <c r="E86" s="9">
        <v>597.0</v>
      </c>
      <c r="F86" s="7" t="s">
        <v>403</v>
      </c>
      <c r="G86" s="7" t="s">
        <v>404</v>
      </c>
      <c r="H86" s="7" t="s">
        <v>405</v>
      </c>
      <c r="I86" s="7" t="s">
        <v>355</v>
      </c>
      <c r="J86" s="14"/>
      <c r="K86" s="14"/>
      <c r="O86" s="22"/>
      <c r="P86" s="22"/>
      <c r="Q86" s="23"/>
      <c r="R86" s="23"/>
      <c r="S86" s="14"/>
    </row>
    <row r="87" ht="18.75" customHeight="1">
      <c r="A87" s="7" t="s">
        <v>379</v>
      </c>
      <c r="B87" s="7" t="s">
        <v>3875</v>
      </c>
      <c r="C87" s="9">
        <v>345035.0</v>
      </c>
      <c r="D87" s="9">
        <v>0.0</v>
      </c>
      <c r="E87" s="9">
        <v>639.0</v>
      </c>
      <c r="F87" s="7" t="s">
        <v>380</v>
      </c>
      <c r="G87" s="7" t="s">
        <v>353</v>
      </c>
      <c r="H87" s="7" t="s">
        <v>354</v>
      </c>
      <c r="I87" s="7" t="s">
        <v>355</v>
      </c>
      <c r="J87" s="14"/>
      <c r="K87" s="14"/>
      <c r="O87" s="22"/>
      <c r="P87" s="22"/>
      <c r="Q87" s="23"/>
      <c r="R87" s="23"/>
      <c r="S87" s="14"/>
    </row>
    <row r="88" ht="18.75" customHeight="1">
      <c r="A88" s="7" t="s">
        <v>379</v>
      </c>
      <c r="B88" s="7" t="s">
        <v>3875</v>
      </c>
      <c r="C88" s="9">
        <v>277352.0</v>
      </c>
      <c r="D88" s="9">
        <v>0.0</v>
      </c>
      <c r="E88" s="9">
        <v>10197.0</v>
      </c>
      <c r="F88" s="7" t="s">
        <v>380</v>
      </c>
      <c r="G88" s="7" t="s">
        <v>353</v>
      </c>
      <c r="H88" s="7" t="s">
        <v>354</v>
      </c>
      <c r="I88" s="7" t="s">
        <v>355</v>
      </c>
      <c r="J88" s="14"/>
      <c r="K88" s="14"/>
      <c r="O88" s="22"/>
      <c r="P88" s="22"/>
      <c r="Q88" s="23"/>
      <c r="R88" s="23"/>
      <c r="S88" s="14"/>
    </row>
    <row r="89" ht="18.75" customHeight="1">
      <c r="A89" s="7" t="s">
        <v>3878</v>
      </c>
      <c r="B89" s="7" t="s">
        <v>3875</v>
      </c>
      <c r="C89" s="9">
        <v>79713.0</v>
      </c>
      <c r="D89" s="9">
        <v>0.0</v>
      </c>
      <c r="E89" s="9">
        <v>1310.0</v>
      </c>
      <c r="F89" s="7" t="s">
        <v>3879</v>
      </c>
      <c r="G89" s="7" t="s">
        <v>364</v>
      </c>
      <c r="H89" s="7" t="s">
        <v>365</v>
      </c>
      <c r="I89" s="7" t="s">
        <v>355</v>
      </c>
      <c r="J89" s="14"/>
      <c r="K89" s="14"/>
      <c r="O89" s="22"/>
      <c r="P89" s="22"/>
      <c r="Q89" s="23"/>
      <c r="R89" s="23"/>
      <c r="S89" s="14"/>
    </row>
    <row r="90" ht="18.75" customHeight="1">
      <c r="A90" s="7" t="s">
        <v>3878</v>
      </c>
      <c r="B90" s="7" t="s">
        <v>3875</v>
      </c>
      <c r="C90" s="9">
        <v>1276997.0</v>
      </c>
      <c r="D90" s="9">
        <v>0.0</v>
      </c>
      <c r="E90" s="9">
        <v>1379.0</v>
      </c>
      <c r="F90" s="7" t="s">
        <v>3879</v>
      </c>
      <c r="G90" s="7" t="s">
        <v>364</v>
      </c>
      <c r="H90" s="7" t="s">
        <v>365</v>
      </c>
      <c r="I90" s="7" t="s">
        <v>355</v>
      </c>
      <c r="J90" s="14"/>
      <c r="K90" s="14"/>
      <c r="O90" s="22"/>
      <c r="P90" s="22"/>
      <c r="Q90" s="23"/>
      <c r="R90" s="23"/>
      <c r="S90" s="14"/>
    </row>
    <row r="91" ht="18.75" customHeight="1">
      <c r="A91" s="7" t="s">
        <v>414</v>
      </c>
      <c r="B91" s="7" t="s">
        <v>3875</v>
      </c>
      <c r="C91" s="9">
        <v>124359.0</v>
      </c>
      <c r="D91" s="9">
        <v>20683.0</v>
      </c>
      <c r="E91" s="9">
        <v>188.0</v>
      </c>
      <c r="F91" s="7" t="s">
        <v>415</v>
      </c>
      <c r="G91" s="7" t="s">
        <v>416</v>
      </c>
      <c r="H91" s="7" t="s">
        <v>417</v>
      </c>
      <c r="I91" s="7" t="s">
        <v>355</v>
      </c>
      <c r="J91" s="14"/>
      <c r="K91" s="14"/>
      <c r="O91" s="22"/>
      <c r="P91" s="22"/>
      <c r="Q91" s="23"/>
      <c r="R91" s="23"/>
      <c r="S91" s="14"/>
    </row>
    <row r="92" ht="18.75" customHeight="1">
      <c r="A92" s="7" t="s">
        <v>414</v>
      </c>
      <c r="B92" s="7" t="s">
        <v>3875</v>
      </c>
      <c r="C92" s="9">
        <v>14623.0</v>
      </c>
      <c r="D92" s="9">
        <v>4632.0</v>
      </c>
      <c r="E92" s="9">
        <v>776.0</v>
      </c>
      <c r="F92" s="7" t="s">
        <v>415</v>
      </c>
      <c r="G92" s="7" t="s">
        <v>416</v>
      </c>
      <c r="H92" s="7" t="s">
        <v>417</v>
      </c>
      <c r="I92" s="7" t="s">
        <v>355</v>
      </c>
      <c r="J92" s="14"/>
      <c r="K92" s="14"/>
      <c r="O92" s="22"/>
      <c r="P92" s="22"/>
      <c r="Q92" s="23"/>
      <c r="R92" s="23"/>
      <c r="S92" s="14"/>
    </row>
    <row r="93" ht="18.75" customHeight="1">
      <c r="A93" s="7" t="s">
        <v>3720</v>
      </c>
      <c r="B93" s="7" t="s">
        <v>3875</v>
      </c>
      <c r="C93" s="9">
        <v>198513.0</v>
      </c>
      <c r="D93" s="9">
        <v>5817.0</v>
      </c>
      <c r="E93" s="9">
        <v>200.0</v>
      </c>
      <c r="F93" s="7" t="s">
        <v>3880</v>
      </c>
      <c r="G93" s="7" t="s">
        <v>416</v>
      </c>
      <c r="H93" s="7" t="s">
        <v>417</v>
      </c>
      <c r="I93" s="7" t="s">
        <v>355</v>
      </c>
      <c r="J93" s="14"/>
      <c r="K93" s="14"/>
      <c r="O93" s="22"/>
      <c r="P93" s="22"/>
      <c r="Q93" s="23"/>
      <c r="R93" s="23"/>
      <c r="S93" s="14"/>
    </row>
    <row r="94" ht="18.75" customHeight="1">
      <c r="A94" s="7" t="s">
        <v>3720</v>
      </c>
      <c r="B94" s="7" t="s">
        <v>3875</v>
      </c>
      <c r="C94" s="9">
        <v>33704.0</v>
      </c>
      <c r="D94" s="9">
        <v>13711.0</v>
      </c>
      <c r="E94" s="9">
        <v>1309.0</v>
      </c>
      <c r="F94" s="7" t="s">
        <v>3880</v>
      </c>
      <c r="G94" s="7" t="s">
        <v>416</v>
      </c>
      <c r="H94" s="7" t="s">
        <v>417</v>
      </c>
      <c r="I94" s="7" t="s">
        <v>355</v>
      </c>
      <c r="J94" s="14"/>
      <c r="K94" s="14"/>
      <c r="O94" s="22"/>
      <c r="P94" s="22"/>
      <c r="Q94" s="23"/>
      <c r="R94" s="23"/>
      <c r="S94" s="14"/>
    </row>
    <row r="95" ht="18.75" customHeight="1">
      <c r="A95" s="7" t="s">
        <v>418</v>
      </c>
      <c r="B95" s="7" t="s">
        <v>3875</v>
      </c>
      <c r="C95" s="9">
        <v>71180.0</v>
      </c>
      <c r="D95" s="9">
        <v>11946.0</v>
      </c>
      <c r="E95" s="9">
        <v>77.0</v>
      </c>
      <c r="F95" s="7" t="s">
        <v>419</v>
      </c>
      <c r="G95" s="7" t="s">
        <v>416</v>
      </c>
      <c r="H95" s="7" t="s">
        <v>417</v>
      </c>
      <c r="I95" s="7" t="s">
        <v>355</v>
      </c>
      <c r="J95" s="14"/>
      <c r="K95" s="14"/>
      <c r="O95" s="22"/>
      <c r="P95" s="22"/>
      <c r="Q95" s="23"/>
      <c r="R95" s="23"/>
      <c r="S95" s="14"/>
    </row>
    <row r="96" ht="18.75" customHeight="1">
      <c r="A96" s="7" t="s">
        <v>418</v>
      </c>
      <c r="B96" s="7" t="s">
        <v>3875</v>
      </c>
      <c r="C96" s="9">
        <v>10753.0</v>
      </c>
      <c r="D96" s="9">
        <v>2652.0</v>
      </c>
      <c r="E96" s="9">
        <v>311.0</v>
      </c>
      <c r="F96" s="7" t="s">
        <v>419</v>
      </c>
      <c r="G96" s="7" t="s">
        <v>416</v>
      </c>
      <c r="H96" s="7" t="s">
        <v>417</v>
      </c>
      <c r="I96" s="7" t="s">
        <v>355</v>
      </c>
      <c r="J96" s="14"/>
      <c r="K96" s="14"/>
      <c r="O96" s="22"/>
      <c r="P96" s="22"/>
      <c r="Q96" s="23"/>
      <c r="R96" s="23"/>
      <c r="S96" s="14"/>
    </row>
    <row r="97" ht="18.75" customHeight="1">
      <c r="A97" s="7" t="s">
        <v>408</v>
      </c>
      <c r="B97" s="7" t="s">
        <v>3875</v>
      </c>
      <c r="C97" s="9">
        <v>289402.0</v>
      </c>
      <c r="D97" s="9">
        <v>7240.0</v>
      </c>
      <c r="E97" s="9">
        <v>6850.0</v>
      </c>
      <c r="F97" s="7" t="s">
        <v>409</v>
      </c>
      <c r="G97" s="7" t="s">
        <v>353</v>
      </c>
      <c r="H97" s="7" t="s">
        <v>354</v>
      </c>
      <c r="I97" s="7" t="s">
        <v>410</v>
      </c>
      <c r="J97" s="14"/>
      <c r="K97" s="14"/>
      <c r="O97" s="22"/>
      <c r="P97" s="22"/>
      <c r="Q97" s="23"/>
      <c r="R97" s="23"/>
      <c r="S97" s="14"/>
    </row>
    <row r="98" ht="18.75" customHeight="1">
      <c r="A98" s="7" t="s">
        <v>388</v>
      </c>
      <c r="B98" s="7" t="s">
        <v>3875</v>
      </c>
      <c r="C98" s="9">
        <v>1337184.0</v>
      </c>
      <c r="D98" s="9">
        <v>36981.0</v>
      </c>
      <c r="E98" s="9">
        <v>1424.0</v>
      </c>
      <c r="F98" s="7" t="s">
        <v>389</v>
      </c>
      <c r="G98" s="7" t="s">
        <v>353</v>
      </c>
      <c r="H98" s="7" t="s">
        <v>378</v>
      </c>
      <c r="I98" s="7" t="s">
        <v>355</v>
      </c>
      <c r="J98" s="14"/>
      <c r="K98" s="14"/>
      <c r="O98" s="22"/>
      <c r="P98" s="22"/>
      <c r="Q98" s="23"/>
      <c r="R98" s="23"/>
      <c r="S98" s="14"/>
    </row>
    <row r="99" ht="18.75" customHeight="1">
      <c r="A99" s="7" t="s">
        <v>411</v>
      </c>
      <c r="B99" s="7" t="s">
        <v>3875</v>
      </c>
      <c r="C99" s="9">
        <v>1172589.0</v>
      </c>
      <c r="D99" s="9">
        <v>24144.0</v>
      </c>
      <c r="E99" s="9">
        <v>1448.0</v>
      </c>
      <c r="F99" s="7" t="s">
        <v>412</v>
      </c>
      <c r="G99" s="7" t="s">
        <v>353</v>
      </c>
      <c r="H99" s="7" t="s">
        <v>413</v>
      </c>
      <c r="I99" s="7" t="s">
        <v>355</v>
      </c>
      <c r="J99" s="14"/>
      <c r="K99" s="14"/>
      <c r="O99" s="22"/>
      <c r="P99" s="22"/>
      <c r="Q99" s="23"/>
      <c r="R99" s="23"/>
      <c r="S99" s="14"/>
    </row>
    <row r="100" ht="18.75" customHeight="1">
      <c r="A100" s="7" t="s">
        <v>394</v>
      </c>
      <c r="B100" s="7" t="s">
        <v>3875</v>
      </c>
      <c r="C100" s="9">
        <v>1741280.0</v>
      </c>
      <c r="D100" s="9">
        <v>31441.0</v>
      </c>
      <c r="E100" s="9">
        <v>1995.0</v>
      </c>
      <c r="F100" s="7" t="s">
        <v>395</v>
      </c>
      <c r="G100" s="7" t="s">
        <v>353</v>
      </c>
      <c r="H100" s="7" t="s">
        <v>378</v>
      </c>
      <c r="I100" s="7" t="s">
        <v>355</v>
      </c>
      <c r="J100" s="14"/>
      <c r="K100" s="14"/>
      <c r="O100" s="22"/>
      <c r="P100" s="22"/>
      <c r="Q100" s="23"/>
      <c r="R100" s="23"/>
      <c r="S100" s="14"/>
    </row>
    <row r="101" ht="18.75" customHeight="1">
      <c r="A101" s="7" t="s">
        <v>408</v>
      </c>
      <c r="B101" s="7" t="s">
        <v>3875</v>
      </c>
      <c r="C101" s="9">
        <v>721311.0</v>
      </c>
      <c r="D101" s="9">
        <v>65352.0</v>
      </c>
      <c r="E101" s="9">
        <v>10048.0</v>
      </c>
      <c r="F101" s="7" t="s">
        <v>409</v>
      </c>
      <c r="G101" s="7" t="s">
        <v>353</v>
      </c>
      <c r="H101" s="7" t="s">
        <v>354</v>
      </c>
      <c r="I101" s="7" t="s">
        <v>410</v>
      </c>
      <c r="J101" s="14"/>
      <c r="K101" s="14"/>
      <c r="O101" s="22"/>
      <c r="P101" s="22"/>
      <c r="Q101" s="23"/>
      <c r="R101" s="23"/>
      <c r="S101" s="14"/>
    </row>
    <row r="102" ht="18.75" customHeight="1">
      <c r="A102" s="7" t="s">
        <v>390</v>
      </c>
      <c r="B102" s="7" t="s">
        <v>3875</v>
      </c>
      <c r="C102" s="9">
        <v>201061.0</v>
      </c>
      <c r="D102" s="9">
        <v>0.0</v>
      </c>
      <c r="E102" s="9">
        <v>394.0</v>
      </c>
      <c r="F102" s="7" t="s">
        <v>391</v>
      </c>
      <c r="G102" s="7" t="s">
        <v>364</v>
      </c>
      <c r="H102" s="7" t="s">
        <v>365</v>
      </c>
      <c r="I102" s="7" t="s">
        <v>355</v>
      </c>
      <c r="J102" s="14"/>
      <c r="K102" s="14"/>
      <c r="O102" s="22"/>
      <c r="P102" s="22"/>
      <c r="Q102" s="23"/>
      <c r="R102" s="23"/>
      <c r="S102" s="14"/>
    </row>
    <row r="103" ht="18.75" customHeight="1">
      <c r="A103" s="7" t="s">
        <v>390</v>
      </c>
      <c r="B103" s="7" t="s">
        <v>3875</v>
      </c>
      <c r="C103" s="9">
        <v>217695.0</v>
      </c>
      <c r="D103" s="9">
        <v>0.0</v>
      </c>
      <c r="E103" s="9">
        <v>476.0</v>
      </c>
      <c r="F103" s="7" t="s">
        <v>391</v>
      </c>
      <c r="G103" s="7" t="s">
        <v>364</v>
      </c>
      <c r="H103" s="7" t="s">
        <v>365</v>
      </c>
      <c r="I103" s="7" t="s">
        <v>355</v>
      </c>
      <c r="J103" s="14"/>
      <c r="K103" s="14"/>
      <c r="O103" s="22"/>
      <c r="P103" s="22"/>
      <c r="Q103" s="23"/>
      <c r="R103" s="23"/>
      <c r="S103" s="14"/>
    </row>
    <row r="104" ht="18.75" customHeight="1">
      <c r="A104" s="7" t="s">
        <v>390</v>
      </c>
      <c r="B104" s="7" t="s">
        <v>3875</v>
      </c>
      <c r="C104" s="9">
        <v>188544.0</v>
      </c>
      <c r="D104" s="9">
        <v>0.0</v>
      </c>
      <c r="E104" s="9">
        <v>477.0</v>
      </c>
      <c r="F104" s="7" t="s">
        <v>391</v>
      </c>
      <c r="G104" s="7" t="s">
        <v>364</v>
      </c>
      <c r="H104" s="7" t="s">
        <v>365</v>
      </c>
      <c r="I104" s="7" t="s">
        <v>355</v>
      </c>
      <c r="J104" s="14"/>
      <c r="K104" s="14"/>
      <c r="O104" s="22"/>
      <c r="P104" s="22"/>
      <c r="Q104" s="23"/>
      <c r="R104" s="23"/>
      <c r="S104" s="14"/>
    </row>
    <row r="105" ht="18.75" customHeight="1">
      <c r="A105" s="7" t="s">
        <v>390</v>
      </c>
      <c r="B105" s="7" t="s">
        <v>3875</v>
      </c>
      <c r="C105" s="9">
        <v>235694.0</v>
      </c>
      <c r="D105" s="9">
        <v>0.0</v>
      </c>
      <c r="E105" s="9">
        <v>420.0</v>
      </c>
      <c r="F105" s="7" t="s">
        <v>391</v>
      </c>
      <c r="G105" s="7" t="s">
        <v>364</v>
      </c>
      <c r="H105" s="7" t="s">
        <v>365</v>
      </c>
      <c r="I105" s="7" t="s">
        <v>355</v>
      </c>
      <c r="J105" s="14"/>
      <c r="K105" s="14"/>
      <c r="O105" s="22"/>
      <c r="P105" s="22"/>
      <c r="Q105" s="23"/>
      <c r="R105" s="23"/>
      <c r="S105" s="14"/>
    </row>
    <row r="106" ht="18.75" customHeight="1">
      <c r="A106" s="7" t="s">
        <v>390</v>
      </c>
      <c r="B106" s="7" t="s">
        <v>3875</v>
      </c>
      <c r="C106" s="9">
        <v>20684.0</v>
      </c>
      <c r="D106" s="9">
        <v>0.0</v>
      </c>
      <c r="E106" s="9">
        <v>66.0</v>
      </c>
      <c r="F106" s="7" t="s">
        <v>391</v>
      </c>
      <c r="G106" s="7" t="s">
        <v>364</v>
      </c>
      <c r="H106" s="7" t="s">
        <v>365</v>
      </c>
      <c r="I106" s="7" t="s">
        <v>355</v>
      </c>
      <c r="J106" s="14"/>
      <c r="K106" s="14"/>
      <c r="O106" s="22"/>
      <c r="P106" s="22"/>
      <c r="Q106" s="23"/>
      <c r="R106" s="23"/>
      <c r="S106" s="14"/>
    </row>
    <row r="107" ht="18.75" customHeight="1">
      <c r="A107" s="7" t="s">
        <v>414</v>
      </c>
      <c r="B107" s="7" t="s">
        <v>3875</v>
      </c>
      <c r="C107" s="9">
        <v>114373.0</v>
      </c>
      <c r="D107" s="9">
        <v>20137.0</v>
      </c>
      <c r="E107" s="9">
        <v>130.0</v>
      </c>
      <c r="F107" s="7" t="s">
        <v>415</v>
      </c>
      <c r="G107" s="7" t="s">
        <v>416</v>
      </c>
      <c r="H107" s="7" t="s">
        <v>417</v>
      </c>
      <c r="I107" s="7" t="s">
        <v>355</v>
      </c>
      <c r="J107" s="14"/>
      <c r="K107" s="14"/>
      <c r="O107" s="22"/>
      <c r="P107" s="22"/>
      <c r="Q107" s="23"/>
      <c r="R107" s="23"/>
      <c r="S107" s="14"/>
    </row>
    <row r="108" ht="18.75" customHeight="1">
      <c r="A108" s="7" t="s">
        <v>414</v>
      </c>
      <c r="B108" s="7" t="s">
        <v>3875</v>
      </c>
      <c r="C108" s="9">
        <v>29203.0</v>
      </c>
      <c r="D108" s="9">
        <v>9764.0</v>
      </c>
      <c r="E108" s="9">
        <v>238.0</v>
      </c>
      <c r="F108" s="7" t="s">
        <v>415</v>
      </c>
      <c r="G108" s="7" t="s">
        <v>416</v>
      </c>
      <c r="H108" s="7" t="s">
        <v>417</v>
      </c>
      <c r="I108" s="7" t="s">
        <v>355</v>
      </c>
      <c r="J108" s="14"/>
      <c r="K108" s="14"/>
      <c r="O108" s="22"/>
      <c r="P108" s="22"/>
      <c r="Q108" s="23"/>
      <c r="R108" s="23"/>
      <c r="S108" s="14"/>
    </row>
    <row r="109" ht="18.75" customHeight="1">
      <c r="A109" s="7" t="s">
        <v>390</v>
      </c>
      <c r="B109" s="7" t="s">
        <v>3875</v>
      </c>
      <c r="C109" s="9">
        <v>726257.0</v>
      </c>
      <c r="D109" s="9">
        <v>0.0</v>
      </c>
      <c r="E109" s="9">
        <v>726.0</v>
      </c>
      <c r="F109" s="7" t="s">
        <v>391</v>
      </c>
      <c r="G109" s="7" t="s">
        <v>364</v>
      </c>
      <c r="H109" s="7" t="s">
        <v>365</v>
      </c>
      <c r="I109" s="7" t="s">
        <v>355</v>
      </c>
      <c r="J109" s="14"/>
      <c r="K109" s="14"/>
      <c r="O109" s="22"/>
      <c r="P109" s="22"/>
      <c r="Q109" s="23"/>
      <c r="R109" s="23"/>
      <c r="S109" s="14"/>
    </row>
    <row r="110" ht="18.75" customHeight="1">
      <c r="A110" s="7" t="s">
        <v>390</v>
      </c>
      <c r="B110" s="7" t="s">
        <v>3875</v>
      </c>
      <c r="C110" s="9">
        <v>723447.0</v>
      </c>
      <c r="D110" s="9">
        <v>0.0</v>
      </c>
      <c r="E110" s="9">
        <v>626.0</v>
      </c>
      <c r="F110" s="7" t="s">
        <v>391</v>
      </c>
      <c r="G110" s="7" t="s">
        <v>364</v>
      </c>
      <c r="H110" s="7" t="s">
        <v>365</v>
      </c>
      <c r="I110" s="7" t="s">
        <v>355</v>
      </c>
      <c r="J110" s="14"/>
      <c r="K110" s="14"/>
      <c r="O110" s="22"/>
      <c r="P110" s="22"/>
      <c r="Q110" s="23"/>
      <c r="R110" s="23"/>
      <c r="S110" s="14"/>
    </row>
    <row r="111" ht="18.75" customHeight="1">
      <c r="A111" s="7" t="s">
        <v>390</v>
      </c>
      <c r="B111" s="7" t="s">
        <v>3875</v>
      </c>
      <c r="C111" s="9">
        <v>520885.0</v>
      </c>
      <c r="D111" s="9">
        <v>0.0</v>
      </c>
      <c r="E111" s="9">
        <v>521.0</v>
      </c>
      <c r="F111" s="7" t="s">
        <v>391</v>
      </c>
      <c r="G111" s="7" t="s">
        <v>364</v>
      </c>
      <c r="H111" s="7" t="s">
        <v>365</v>
      </c>
      <c r="I111" s="7" t="s">
        <v>355</v>
      </c>
      <c r="J111" s="14"/>
      <c r="K111" s="14"/>
      <c r="O111" s="22"/>
      <c r="P111" s="22"/>
      <c r="Q111" s="23"/>
      <c r="R111" s="23"/>
      <c r="S111" s="14"/>
    </row>
    <row r="112" ht="18.75" customHeight="1">
      <c r="A112" s="7" t="s">
        <v>390</v>
      </c>
      <c r="B112" s="7" t="s">
        <v>3875</v>
      </c>
      <c r="C112" s="9">
        <v>721051.0</v>
      </c>
      <c r="D112" s="9">
        <v>0.0</v>
      </c>
      <c r="E112" s="9">
        <v>724.0</v>
      </c>
      <c r="F112" s="7" t="s">
        <v>391</v>
      </c>
      <c r="G112" s="7" t="s">
        <v>364</v>
      </c>
      <c r="H112" s="7" t="s">
        <v>365</v>
      </c>
      <c r="I112" s="7" t="s">
        <v>355</v>
      </c>
      <c r="J112" s="14"/>
      <c r="K112" s="14"/>
      <c r="O112" s="22"/>
      <c r="P112" s="22"/>
      <c r="Q112" s="23"/>
      <c r="R112" s="23"/>
      <c r="S112" s="14"/>
    </row>
    <row r="113" ht="18.75" customHeight="1">
      <c r="A113" s="7" t="s">
        <v>390</v>
      </c>
      <c r="B113" s="7" t="s">
        <v>3875</v>
      </c>
      <c r="C113" s="9">
        <v>361847.0</v>
      </c>
      <c r="D113" s="9">
        <v>0.0</v>
      </c>
      <c r="E113" s="9">
        <v>325.0</v>
      </c>
      <c r="F113" s="7" t="s">
        <v>391</v>
      </c>
      <c r="G113" s="7" t="s">
        <v>364</v>
      </c>
      <c r="H113" s="7" t="s">
        <v>365</v>
      </c>
      <c r="I113" s="7" t="s">
        <v>355</v>
      </c>
      <c r="J113" s="14"/>
      <c r="K113" s="14"/>
      <c r="O113" s="22"/>
      <c r="P113" s="22"/>
      <c r="Q113" s="23"/>
      <c r="R113" s="23"/>
      <c r="S113" s="14"/>
    </row>
    <row r="114" ht="18.75" customHeight="1">
      <c r="A114" s="7" t="s">
        <v>392</v>
      </c>
      <c r="B114" s="7" t="s">
        <v>3875</v>
      </c>
      <c r="C114" s="9">
        <v>598596.0</v>
      </c>
      <c r="D114" s="9">
        <v>0.0</v>
      </c>
      <c r="E114" s="9">
        <v>4548.0</v>
      </c>
      <c r="F114" s="7" t="s">
        <v>393</v>
      </c>
      <c r="G114" s="7" t="s">
        <v>353</v>
      </c>
      <c r="H114" s="7" t="s">
        <v>378</v>
      </c>
      <c r="I114" s="7" t="s">
        <v>355</v>
      </c>
      <c r="J114" s="14"/>
      <c r="K114" s="14"/>
      <c r="O114" s="22"/>
      <c r="P114" s="22"/>
      <c r="Q114" s="23"/>
      <c r="R114" s="23"/>
      <c r="S114" s="14"/>
    </row>
    <row r="115" ht="18.75" customHeight="1">
      <c r="A115" s="7" t="s">
        <v>392</v>
      </c>
      <c r="B115" s="7" t="s">
        <v>3875</v>
      </c>
      <c r="C115" s="9">
        <v>1292292.0</v>
      </c>
      <c r="D115" s="9">
        <v>0.0</v>
      </c>
      <c r="E115" s="9">
        <v>2655.0</v>
      </c>
      <c r="F115" s="7" t="s">
        <v>393</v>
      </c>
      <c r="G115" s="7" t="s">
        <v>353</v>
      </c>
      <c r="H115" s="7" t="s">
        <v>378</v>
      </c>
      <c r="I115" s="7" t="s">
        <v>355</v>
      </c>
      <c r="J115" s="14"/>
      <c r="K115" s="14"/>
      <c r="O115" s="22"/>
      <c r="P115" s="22"/>
      <c r="Q115" s="23"/>
      <c r="R115" s="23"/>
      <c r="S115" s="14"/>
    </row>
    <row r="116" ht="18.75" customHeight="1">
      <c r="A116" s="7" t="s">
        <v>376</v>
      </c>
      <c r="B116" s="7" t="s">
        <v>3875</v>
      </c>
      <c r="C116" s="9">
        <v>174431.0</v>
      </c>
      <c r="D116" s="9">
        <v>0.0</v>
      </c>
      <c r="E116" s="9">
        <v>799.0</v>
      </c>
      <c r="F116" s="7" t="s">
        <v>377</v>
      </c>
      <c r="G116" s="7" t="s">
        <v>353</v>
      </c>
      <c r="H116" s="7" t="s">
        <v>378</v>
      </c>
      <c r="I116" s="7" t="s">
        <v>355</v>
      </c>
      <c r="J116" s="14"/>
      <c r="K116" s="14"/>
      <c r="O116" s="22"/>
      <c r="P116" s="22"/>
      <c r="Q116" s="23"/>
      <c r="R116" s="23"/>
      <c r="S116" s="14"/>
    </row>
    <row r="117" ht="18.75" customHeight="1">
      <c r="A117" s="7" t="s">
        <v>376</v>
      </c>
      <c r="B117" s="7" t="s">
        <v>3875</v>
      </c>
      <c r="C117" s="9">
        <v>728701.0</v>
      </c>
      <c r="D117" s="9">
        <v>0.0</v>
      </c>
      <c r="E117" s="9">
        <v>824.0</v>
      </c>
      <c r="F117" s="7" t="s">
        <v>377</v>
      </c>
      <c r="G117" s="7" t="s">
        <v>353</v>
      </c>
      <c r="H117" s="7" t="s">
        <v>378</v>
      </c>
      <c r="I117" s="7" t="s">
        <v>355</v>
      </c>
      <c r="J117" s="14"/>
      <c r="K117" s="14"/>
      <c r="O117" s="22"/>
      <c r="P117" s="22"/>
      <c r="Q117" s="23"/>
      <c r="R117" s="23"/>
      <c r="S117" s="14"/>
    </row>
    <row r="118" ht="18.75" customHeight="1">
      <c r="A118" s="7" t="s">
        <v>418</v>
      </c>
      <c r="B118" s="7" t="s">
        <v>3875</v>
      </c>
      <c r="C118" s="9">
        <v>51146.0</v>
      </c>
      <c r="D118" s="9">
        <v>8714.0</v>
      </c>
      <c r="E118" s="9">
        <v>56.0</v>
      </c>
      <c r="F118" s="7" t="s">
        <v>419</v>
      </c>
      <c r="G118" s="7" t="s">
        <v>416</v>
      </c>
      <c r="H118" s="7" t="s">
        <v>417</v>
      </c>
      <c r="I118" s="7" t="s">
        <v>355</v>
      </c>
      <c r="J118" s="14"/>
      <c r="K118" s="14"/>
      <c r="O118" s="22"/>
      <c r="P118" s="22"/>
      <c r="Q118" s="23"/>
      <c r="R118" s="23"/>
      <c r="S118" s="14"/>
    </row>
    <row r="119" ht="18.75" customHeight="1">
      <c r="A119" s="7" t="s">
        <v>418</v>
      </c>
      <c r="B119" s="7" t="s">
        <v>3875</v>
      </c>
      <c r="C119" s="9">
        <v>4887.0</v>
      </c>
      <c r="D119" s="9">
        <v>975.0</v>
      </c>
      <c r="E119" s="9">
        <v>72.0</v>
      </c>
      <c r="F119" s="7" t="s">
        <v>419</v>
      </c>
      <c r="G119" s="7" t="s">
        <v>416</v>
      </c>
      <c r="H119" s="7" t="s">
        <v>417</v>
      </c>
      <c r="I119" s="7" t="s">
        <v>355</v>
      </c>
      <c r="J119" s="14"/>
      <c r="K119" s="14"/>
      <c r="O119" s="22"/>
      <c r="P119" s="22"/>
      <c r="Q119" s="23"/>
      <c r="R119" s="23"/>
      <c r="S119" s="14"/>
    </row>
    <row r="120" ht="18.75" customHeight="1">
      <c r="A120" s="7" t="s">
        <v>394</v>
      </c>
      <c r="B120" s="7" t="s">
        <v>3875</v>
      </c>
      <c r="C120" s="9">
        <v>391823.0</v>
      </c>
      <c r="D120" s="9">
        <v>68356.0</v>
      </c>
      <c r="E120" s="9">
        <v>2753.0</v>
      </c>
      <c r="F120" s="7" t="s">
        <v>395</v>
      </c>
      <c r="G120" s="7" t="s">
        <v>353</v>
      </c>
      <c r="H120" s="7" t="s">
        <v>378</v>
      </c>
      <c r="I120" s="7" t="s">
        <v>355</v>
      </c>
      <c r="J120" s="14"/>
      <c r="K120" s="14"/>
      <c r="O120" s="22"/>
      <c r="P120" s="22"/>
      <c r="Q120" s="23"/>
      <c r="R120" s="23"/>
      <c r="S120" s="14"/>
    </row>
    <row r="121" ht="18.75" customHeight="1">
      <c r="A121" s="7" t="s">
        <v>385</v>
      </c>
      <c r="B121" s="7" t="s">
        <v>3875</v>
      </c>
      <c r="C121" s="9">
        <v>132167.0</v>
      </c>
      <c r="D121" s="9">
        <v>0.0</v>
      </c>
      <c r="E121" s="9">
        <v>391.0</v>
      </c>
      <c r="F121" s="7" t="s">
        <v>386</v>
      </c>
      <c r="G121" s="7" t="s">
        <v>358</v>
      </c>
      <c r="H121" s="7" t="s">
        <v>387</v>
      </c>
      <c r="I121" s="7" t="s">
        <v>355</v>
      </c>
      <c r="J121" s="14"/>
      <c r="K121" s="14"/>
      <c r="O121" s="22"/>
      <c r="P121" s="22"/>
      <c r="Q121" s="23"/>
      <c r="R121" s="23"/>
      <c r="S121" s="14"/>
    </row>
    <row r="122" ht="18.75" customHeight="1">
      <c r="A122" s="7" t="s">
        <v>385</v>
      </c>
      <c r="B122" s="7" t="s">
        <v>3875</v>
      </c>
      <c r="C122" s="9">
        <v>106197.0</v>
      </c>
      <c r="D122" s="9">
        <v>0.0</v>
      </c>
      <c r="E122" s="9">
        <v>642.0</v>
      </c>
      <c r="F122" s="7" t="s">
        <v>386</v>
      </c>
      <c r="G122" s="7" t="s">
        <v>358</v>
      </c>
      <c r="H122" s="7" t="s">
        <v>387</v>
      </c>
      <c r="I122" s="7" t="s">
        <v>355</v>
      </c>
      <c r="J122" s="14"/>
      <c r="K122" s="14"/>
      <c r="O122" s="22"/>
      <c r="P122" s="22"/>
      <c r="Q122" s="23"/>
      <c r="R122" s="23"/>
      <c r="S122" s="14"/>
    </row>
    <row r="123" ht="18.75" customHeight="1">
      <c r="A123" s="7" t="s">
        <v>396</v>
      </c>
      <c r="B123" s="7" t="s">
        <v>3875</v>
      </c>
      <c r="C123" s="9">
        <v>536150.0</v>
      </c>
      <c r="D123" s="9">
        <v>0.0</v>
      </c>
      <c r="E123" s="9">
        <v>1785.0</v>
      </c>
      <c r="F123" s="7" t="s">
        <v>397</v>
      </c>
      <c r="G123" s="7" t="s">
        <v>353</v>
      </c>
      <c r="H123" s="7" t="s">
        <v>378</v>
      </c>
      <c r="I123" s="7" t="s">
        <v>355</v>
      </c>
      <c r="J123" s="14"/>
      <c r="K123" s="14"/>
      <c r="O123" s="22"/>
      <c r="P123" s="22"/>
      <c r="Q123" s="23"/>
      <c r="R123" s="23"/>
      <c r="S123" s="14"/>
    </row>
    <row r="124" ht="18.75" customHeight="1">
      <c r="A124" s="7" t="s">
        <v>396</v>
      </c>
      <c r="B124" s="7" t="s">
        <v>3875</v>
      </c>
      <c r="C124" s="9">
        <v>959130.0</v>
      </c>
      <c r="D124" s="9">
        <v>0.0</v>
      </c>
      <c r="E124" s="9">
        <v>1536.0</v>
      </c>
      <c r="F124" s="7" t="s">
        <v>397</v>
      </c>
      <c r="G124" s="7" t="s">
        <v>353</v>
      </c>
      <c r="H124" s="7" t="s">
        <v>378</v>
      </c>
      <c r="I124" s="7" t="s">
        <v>355</v>
      </c>
      <c r="J124" s="14"/>
      <c r="K124" s="14"/>
      <c r="O124" s="22"/>
      <c r="P124" s="22"/>
      <c r="Q124" s="23"/>
      <c r="R124" s="23"/>
      <c r="S124" s="14"/>
    </row>
    <row r="125" ht="18.75" customHeight="1">
      <c r="A125" s="7" t="s">
        <v>396</v>
      </c>
      <c r="B125" s="7" t="s">
        <v>3875</v>
      </c>
      <c r="C125" s="9">
        <v>319235.0</v>
      </c>
      <c r="D125" s="9">
        <v>0.0</v>
      </c>
      <c r="E125" s="9">
        <v>2404.0</v>
      </c>
      <c r="F125" s="7" t="s">
        <v>397</v>
      </c>
      <c r="G125" s="7" t="s">
        <v>353</v>
      </c>
      <c r="H125" s="7" t="s">
        <v>378</v>
      </c>
      <c r="I125" s="7" t="s">
        <v>355</v>
      </c>
      <c r="J125" s="14"/>
      <c r="K125" s="14"/>
      <c r="O125" s="22"/>
      <c r="P125" s="22"/>
      <c r="Q125" s="23"/>
      <c r="R125" s="23"/>
      <c r="S125" s="14"/>
    </row>
    <row r="126" ht="18.75" customHeight="1">
      <c r="A126" s="7" t="s">
        <v>396</v>
      </c>
      <c r="B126" s="7" t="s">
        <v>3875</v>
      </c>
      <c r="C126" s="9">
        <v>71613.0</v>
      </c>
      <c r="D126" s="9">
        <v>0.0</v>
      </c>
      <c r="E126" s="9">
        <v>2243.0</v>
      </c>
      <c r="F126" s="7" t="s">
        <v>397</v>
      </c>
      <c r="G126" s="7" t="s">
        <v>353</v>
      </c>
      <c r="H126" s="7" t="s">
        <v>378</v>
      </c>
      <c r="I126" s="7" t="s">
        <v>355</v>
      </c>
      <c r="J126" s="14"/>
      <c r="K126" s="14"/>
      <c r="O126" s="22"/>
      <c r="P126" s="22"/>
      <c r="Q126" s="23"/>
      <c r="R126" s="23"/>
      <c r="S126" s="14"/>
    </row>
    <row r="127" ht="18.75" customHeight="1">
      <c r="A127" s="7" t="s">
        <v>396</v>
      </c>
      <c r="B127" s="7" t="s">
        <v>3875</v>
      </c>
      <c r="C127" s="9">
        <v>21235.0</v>
      </c>
      <c r="D127" s="9">
        <v>0.0</v>
      </c>
      <c r="E127" s="9">
        <v>1337.0</v>
      </c>
      <c r="F127" s="7" t="s">
        <v>397</v>
      </c>
      <c r="G127" s="7" t="s">
        <v>353</v>
      </c>
      <c r="H127" s="7" t="s">
        <v>378</v>
      </c>
      <c r="I127" s="7" t="s">
        <v>355</v>
      </c>
      <c r="J127" s="14"/>
      <c r="K127" s="14"/>
      <c r="O127" s="22"/>
      <c r="P127" s="22"/>
      <c r="Q127" s="23"/>
      <c r="R127" s="23"/>
      <c r="S127" s="14"/>
    </row>
    <row r="128" ht="18.75" customHeight="1">
      <c r="A128" s="7" t="s">
        <v>398</v>
      </c>
      <c r="B128" s="7" t="s">
        <v>3875</v>
      </c>
      <c r="C128" s="9">
        <v>83561.0</v>
      </c>
      <c r="D128" s="9">
        <v>0.0</v>
      </c>
      <c r="E128" s="9">
        <v>387.0</v>
      </c>
      <c r="F128" s="7" t="s">
        <v>399</v>
      </c>
      <c r="G128" s="7" t="s">
        <v>353</v>
      </c>
      <c r="H128" s="7" t="s">
        <v>378</v>
      </c>
      <c r="I128" s="7" t="s">
        <v>355</v>
      </c>
      <c r="J128" s="14"/>
      <c r="K128" s="14"/>
      <c r="O128" s="22"/>
      <c r="P128" s="22"/>
      <c r="Q128" s="23"/>
      <c r="R128" s="23"/>
      <c r="S128" s="14"/>
    </row>
    <row r="129" ht="18.75" customHeight="1">
      <c r="A129" s="7" t="s">
        <v>398</v>
      </c>
      <c r="B129" s="7" t="s">
        <v>3875</v>
      </c>
      <c r="C129" s="9">
        <v>160162.0</v>
      </c>
      <c r="D129" s="9">
        <v>0.0</v>
      </c>
      <c r="E129" s="9">
        <v>198.0</v>
      </c>
      <c r="F129" s="7" t="s">
        <v>399</v>
      </c>
      <c r="G129" s="7" t="s">
        <v>353</v>
      </c>
      <c r="H129" s="7" t="s">
        <v>378</v>
      </c>
      <c r="I129" s="7" t="s">
        <v>355</v>
      </c>
      <c r="J129" s="14"/>
      <c r="K129" s="14"/>
      <c r="O129" s="22"/>
      <c r="P129" s="22"/>
      <c r="Q129" s="23"/>
      <c r="R129" s="23"/>
      <c r="S129" s="14"/>
    </row>
    <row r="130" ht="18.75" customHeight="1">
      <c r="A130" s="7" t="s">
        <v>398</v>
      </c>
      <c r="B130" s="7" t="s">
        <v>3875</v>
      </c>
      <c r="C130" s="9">
        <v>91619.0</v>
      </c>
      <c r="D130" s="9">
        <v>0.0</v>
      </c>
      <c r="E130" s="9">
        <v>399.0</v>
      </c>
      <c r="F130" s="7" t="s">
        <v>399</v>
      </c>
      <c r="G130" s="7" t="s">
        <v>353</v>
      </c>
      <c r="H130" s="7" t="s">
        <v>378</v>
      </c>
      <c r="I130" s="7" t="s">
        <v>355</v>
      </c>
      <c r="J130" s="14"/>
      <c r="K130" s="14"/>
      <c r="O130" s="22"/>
      <c r="P130" s="22"/>
      <c r="Q130" s="23"/>
      <c r="R130" s="23"/>
      <c r="S130" s="14"/>
    </row>
    <row r="131" ht="18.75" customHeight="1">
      <c r="A131" s="7" t="s">
        <v>398</v>
      </c>
      <c r="B131" s="7" t="s">
        <v>3875</v>
      </c>
      <c r="C131" s="9">
        <v>164654.0</v>
      </c>
      <c r="D131" s="9">
        <v>0.0</v>
      </c>
      <c r="E131" s="9">
        <v>203.0</v>
      </c>
      <c r="F131" s="7" t="s">
        <v>399</v>
      </c>
      <c r="G131" s="7" t="s">
        <v>353</v>
      </c>
      <c r="H131" s="7" t="s">
        <v>378</v>
      </c>
      <c r="I131" s="7" t="s">
        <v>355</v>
      </c>
      <c r="J131" s="14"/>
      <c r="K131" s="14"/>
      <c r="O131" s="22"/>
      <c r="P131" s="22"/>
      <c r="Q131" s="23"/>
      <c r="R131" s="23"/>
      <c r="S131" s="14"/>
    </row>
    <row r="132" ht="18.75" customHeight="1">
      <c r="A132" s="7" t="s">
        <v>398</v>
      </c>
      <c r="B132" s="7" t="s">
        <v>3875</v>
      </c>
      <c r="C132" s="9">
        <v>76592.0</v>
      </c>
      <c r="D132" s="9">
        <v>0.0</v>
      </c>
      <c r="E132" s="9">
        <v>266.0</v>
      </c>
      <c r="F132" s="7" t="s">
        <v>399</v>
      </c>
      <c r="G132" s="7" t="s">
        <v>353</v>
      </c>
      <c r="H132" s="7" t="s">
        <v>378</v>
      </c>
      <c r="I132" s="7" t="s">
        <v>355</v>
      </c>
      <c r="J132" s="14"/>
      <c r="K132" s="14"/>
      <c r="O132" s="22"/>
      <c r="P132" s="22"/>
      <c r="Q132" s="23"/>
      <c r="R132" s="23"/>
      <c r="S132" s="14"/>
    </row>
    <row r="133" ht="18.75" customHeight="1">
      <c r="A133" s="7" t="s">
        <v>398</v>
      </c>
      <c r="B133" s="7" t="s">
        <v>3875</v>
      </c>
      <c r="C133" s="9">
        <v>0.0</v>
      </c>
      <c r="D133" s="9">
        <v>0.0</v>
      </c>
      <c r="E133" s="9">
        <v>0.0</v>
      </c>
      <c r="F133" s="7" t="s">
        <v>399</v>
      </c>
      <c r="G133" s="7" t="s">
        <v>353</v>
      </c>
      <c r="H133" s="7" t="s">
        <v>378</v>
      </c>
      <c r="I133" s="7" t="s">
        <v>355</v>
      </c>
      <c r="J133" s="14"/>
      <c r="K133" s="14"/>
      <c r="O133" s="22"/>
      <c r="P133" s="22"/>
      <c r="Q133" s="23"/>
      <c r="R133" s="23"/>
      <c r="S133" s="14"/>
    </row>
    <row r="134" ht="18.75" customHeight="1">
      <c r="A134" s="7" t="s">
        <v>398</v>
      </c>
      <c r="B134" s="7" t="s">
        <v>3875</v>
      </c>
      <c r="C134" s="12"/>
      <c r="D134" s="12"/>
      <c r="E134" s="12"/>
      <c r="F134" s="7" t="s">
        <v>399</v>
      </c>
      <c r="G134" s="7" t="s">
        <v>353</v>
      </c>
      <c r="H134" s="7" t="s">
        <v>378</v>
      </c>
      <c r="I134" s="7" t="s">
        <v>355</v>
      </c>
      <c r="J134" s="14"/>
      <c r="K134" s="14"/>
      <c r="O134" s="22"/>
      <c r="P134" s="22"/>
      <c r="Q134" s="23"/>
      <c r="R134" s="23"/>
      <c r="S134" s="14"/>
    </row>
    <row r="135" ht="18.75" customHeight="1">
      <c r="A135" s="7" t="s">
        <v>398</v>
      </c>
      <c r="B135" s="7" t="s">
        <v>3875</v>
      </c>
      <c r="C135" s="9">
        <v>68656.0</v>
      </c>
      <c r="D135" s="9">
        <v>0.0</v>
      </c>
      <c r="E135" s="9">
        <v>439.0</v>
      </c>
      <c r="F135" s="7" t="s">
        <v>399</v>
      </c>
      <c r="G135" s="7" t="s">
        <v>353</v>
      </c>
      <c r="H135" s="7" t="s">
        <v>378</v>
      </c>
      <c r="I135" s="7" t="s">
        <v>355</v>
      </c>
      <c r="J135" s="14"/>
      <c r="K135" s="14"/>
      <c r="O135" s="22"/>
      <c r="P135" s="22"/>
      <c r="Q135" s="23"/>
      <c r="R135" s="23"/>
      <c r="S135" s="14"/>
    </row>
    <row r="136" ht="18.75" customHeight="1">
      <c r="A136" s="7" t="s">
        <v>398</v>
      </c>
      <c r="B136" s="7" t="s">
        <v>3875</v>
      </c>
      <c r="C136" s="9">
        <v>154398.0</v>
      </c>
      <c r="D136" s="9">
        <v>0.0</v>
      </c>
      <c r="E136" s="9">
        <v>193.0</v>
      </c>
      <c r="F136" s="7" t="s">
        <v>399</v>
      </c>
      <c r="G136" s="7" t="s">
        <v>353</v>
      </c>
      <c r="H136" s="7" t="s">
        <v>378</v>
      </c>
      <c r="I136" s="7" t="s">
        <v>355</v>
      </c>
      <c r="J136" s="14"/>
      <c r="K136" s="14"/>
      <c r="O136" s="22"/>
      <c r="P136" s="22"/>
      <c r="Q136" s="23"/>
      <c r="R136" s="23"/>
      <c r="S136" s="14"/>
    </row>
    <row r="137" ht="18.75" customHeight="1">
      <c r="A137" s="7" t="s">
        <v>398</v>
      </c>
      <c r="B137" s="7" t="s">
        <v>3875</v>
      </c>
      <c r="C137" s="9">
        <v>63067.0</v>
      </c>
      <c r="D137" s="9">
        <v>0.0</v>
      </c>
      <c r="E137" s="9">
        <v>463.0</v>
      </c>
      <c r="F137" s="7" t="s">
        <v>399</v>
      </c>
      <c r="G137" s="7" t="s">
        <v>353</v>
      </c>
      <c r="H137" s="7" t="s">
        <v>378</v>
      </c>
      <c r="I137" s="7" t="s">
        <v>355</v>
      </c>
      <c r="J137" s="14"/>
      <c r="K137" s="14"/>
      <c r="O137" s="22"/>
      <c r="P137" s="22"/>
      <c r="Q137" s="23"/>
      <c r="R137" s="23"/>
      <c r="S137" s="14"/>
    </row>
    <row r="138" ht="18.75" customHeight="1">
      <c r="A138" s="7" t="s">
        <v>398</v>
      </c>
      <c r="B138" s="7" t="s">
        <v>3875</v>
      </c>
      <c r="C138" s="9">
        <v>80656.0</v>
      </c>
      <c r="D138" s="9">
        <v>0.0</v>
      </c>
      <c r="E138" s="9">
        <v>489.0</v>
      </c>
      <c r="F138" s="7" t="s">
        <v>399</v>
      </c>
      <c r="G138" s="7" t="s">
        <v>353</v>
      </c>
      <c r="H138" s="7" t="s">
        <v>378</v>
      </c>
      <c r="I138" s="7" t="s">
        <v>355</v>
      </c>
      <c r="J138" s="14"/>
      <c r="K138" s="14"/>
      <c r="O138" s="22"/>
      <c r="P138" s="22"/>
      <c r="Q138" s="23"/>
      <c r="R138" s="23"/>
      <c r="S138" s="14"/>
    </row>
    <row r="139" ht="18.75" customHeight="1">
      <c r="A139" s="7" t="s">
        <v>398</v>
      </c>
      <c r="B139" s="7" t="s">
        <v>3875</v>
      </c>
      <c r="C139" s="9">
        <v>86215.0</v>
      </c>
      <c r="D139" s="9">
        <v>0.0</v>
      </c>
      <c r="E139" s="9">
        <v>378.0</v>
      </c>
      <c r="F139" s="7" t="s">
        <v>399</v>
      </c>
      <c r="G139" s="7" t="s">
        <v>353</v>
      </c>
      <c r="H139" s="7" t="s">
        <v>378</v>
      </c>
      <c r="I139" s="7" t="s">
        <v>355</v>
      </c>
      <c r="J139" s="14"/>
      <c r="K139" s="14"/>
      <c r="O139" s="22"/>
      <c r="P139" s="22"/>
      <c r="Q139" s="23"/>
      <c r="R139" s="23"/>
      <c r="S139" s="14"/>
    </row>
    <row r="140" ht="18.75" customHeight="1">
      <c r="A140" s="7" t="s">
        <v>398</v>
      </c>
      <c r="B140" s="7" t="s">
        <v>3875</v>
      </c>
      <c r="C140" s="9">
        <v>86729.0</v>
      </c>
      <c r="D140" s="9">
        <v>0.0</v>
      </c>
      <c r="E140" s="9">
        <v>381.0</v>
      </c>
      <c r="F140" s="7" t="s">
        <v>399</v>
      </c>
      <c r="G140" s="7" t="s">
        <v>353</v>
      </c>
      <c r="H140" s="7" t="s">
        <v>378</v>
      </c>
      <c r="I140" s="7" t="s">
        <v>355</v>
      </c>
      <c r="J140" s="14"/>
      <c r="K140" s="14"/>
      <c r="O140" s="22"/>
      <c r="P140" s="22"/>
      <c r="Q140" s="23"/>
      <c r="R140" s="23"/>
      <c r="S140" s="14"/>
    </row>
    <row r="141" ht="18.75" customHeight="1">
      <c r="A141" s="7" t="s">
        <v>398</v>
      </c>
      <c r="B141" s="7" t="s">
        <v>3875</v>
      </c>
      <c r="C141" s="9">
        <v>69167.0</v>
      </c>
      <c r="D141" s="9">
        <v>0.0</v>
      </c>
      <c r="E141" s="9">
        <v>488.0</v>
      </c>
      <c r="F141" s="7" t="s">
        <v>399</v>
      </c>
      <c r="G141" s="7" t="s">
        <v>353</v>
      </c>
      <c r="H141" s="7" t="s">
        <v>378</v>
      </c>
      <c r="I141" s="7" t="s">
        <v>355</v>
      </c>
      <c r="J141" s="14"/>
      <c r="K141" s="14"/>
      <c r="O141" s="22"/>
      <c r="P141" s="22"/>
      <c r="Q141" s="23"/>
      <c r="R141" s="23"/>
      <c r="S141" s="14"/>
    </row>
    <row r="142" ht="18.75" customHeight="1">
      <c r="A142" s="7" t="s">
        <v>398</v>
      </c>
      <c r="B142" s="7" t="s">
        <v>3875</v>
      </c>
      <c r="C142" s="9">
        <v>143692.0</v>
      </c>
      <c r="D142" s="9">
        <v>0.0</v>
      </c>
      <c r="E142" s="9">
        <v>268.0</v>
      </c>
      <c r="F142" s="7" t="s">
        <v>399</v>
      </c>
      <c r="G142" s="7" t="s">
        <v>353</v>
      </c>
      <c r="H142" s="7" t="s">
        <v>378</v>
      </c>
      <c r="I142" s="7" t="s">
        <v>355</v>
      </c>
      <c r="J142" s="14"/>
      <c r="K142" s="14"/>
      <c r="O142" s="22"/>
      <c r="P142" s="22"/>
      <c r="Q142" s="23"/>
      <c r="R142" s="23"/>
      <c r="S142" s="14"/>
    </row>
    <row r="143" ht="18.75" customHeight="1">
      <c r="A143" s="7" t="s">
        <v>446</v>
      </c>
      <c r="B143" s="7" t="s">
        <v>3875</v>
      </c>
      <c r="C143" s="9">
        <v>51390.0</v>
      </c>
      <c r="D143" s="9">
        <v>0.0</v>
      </c>
      <c r="E143" s="9">
        <v>8.0</v>
      </c>
      <c r="F143" s="7" t="s">
        <v>447</v>
      </c>
      <c r="G143" s="7" t="s">
        <v>364</v>
      </c>
      <c r="H143" s="7" t="s">
        <v>365</v>
      </c>
      <c r="I143" s="7" t="s">
        <v>355</v>
      </c>
      <c r="J143" s="14"/>
      <c r="K143" s="14"/>
      <c r="O143" s="22"/>
      <c r="P143" s="22"/>
      <c r="Q143" s="23"/>
      <c r="R143" s="23"/>
      <c r="S143" s="14"/>
    </row>
    <row r="144" ht="18.75" customHeight="1">
      <c r="A144" s="7" t="s">
        <v>362</v>
      </c>
      <c r="B144" s="7" t="s">
        <v>3881</v>
      </c>
      <c r="C144" s="9">
        <v>414652.0</v>
      </c>
      <c r="D144" s="9">
        <v>4626.0</v>
      </c>
      <c r="E144" s="9">
        <v>564.0</v>
      </c>
      <c r="F144" s="7" t="s">
        <v>363</v>
      </c>
      <c r="G144" s="7" t="s">
        <v>364</v>
      </c>
      <c r="H144" s="7" t="s">
        <v>365</v>
      </c>
      <c r="I144" s="7" t="s">
        <v>355</v>
      </c>
      <c r="J144" s="14"/>
      <c r="K144" s="14"/>
      <c r="O144" s="22"/>
      <c r="P144" s="22"/>
      <c r="Q144" s="23"/>
      <c r="R144" s="23"/>
      <c r="S144" s="14"/>
    </row>
    <row r="145" ht="18.75" customHeight="1">
      <c r="A145" s="7" t="s">
        <v>362</v>
      </c>
      <c r="B145" s="7" t="s">
        <v>3881</v>
      </c>
      <c r="C145" s="9">
        <v>414652.0</v>
      </c>
      <c r="D145" s="9">
        <v>4626.0</v>
      </c>
      <c r="E145" s="9">
        <v>564.0</v>
      </c>
      <c r="F145" s="7" t="s">
        <v>363</v>
      </c>
      <c r="G145" s="7" t="s">
        <v>364</v>
      </c>
      <c r="H145" s="7" t="s">
        <v>365</v>
      </c>
      <c r="I145" s="7" t="s">
        <v>355</v>
      </c>
      <c r="J145" s="14"/>
      <c r="K145" s="14"/>
      <c r="O145" s="22"/>
      <c r="P145" s="22"/>
      <c r="Q145" s="23"/>
      <c r="R145" s="23"/>
      <c r="S145" s="14"/>
    </row>
    <row r="146" ht="18.75" customHeight="1">
      <c r="A146" s="7" t="s">
        <v>351</v>
      </c>
      <c r="B146" s="7" t="s">
        <v>3881</v>
      </c>
      <c r="C146" s="9">
        <v>717782.0</v>
      </c>
      <c r="D146" s="9">
        <v>7216.0</v>
      </c>
      <c r="E146" s="9">
        <v>1195.0</v>
      </c>
      <c r="F146" s="7" t="s">
        <v>352</v>
      </c>
      <c r="G146" s="7" t="s">
        <v>353</v>
      </c>
      <c r="H146" s="7" t="s">
        <v>354</v>
      </c>
      <c r="I146" s="7" t="s">
        <v>410</v>
      </c>
      <c r="J146" s="14"/>
      <c r="K146" s="14"/>
      <c r="O146" s="22"/>
      <c r="P146" s="22"/>
      <c r="Q146" s="23"/>
      <c r="R146" s="23"/>
      <c r="S146" s="14"/>
    </row>
    <row r="147" ht="18.75" customHeight="1">
      <c r="A147" s="7" t="s">
        <v>362</v>
      </c>
      <c r="B147" s="7" t="s">
        <v>3881</v>
      </c>
      <c r="C147" s="9">
        <v>269355.0</v>
      </c>
      <c r="D147" s="9">
        <v>2137.0</v>
      </c>
      <c r="E147" s="9">
        <v>389.0</v>
      </c>
      <c r="F147" s="7" t="s">
        <v>363</v>
      </c>
      <c r="G147" s="7" t="s">
        <v>364</v>
      </c>
      <c r="H147" s="7" t="s">
        <v>365</v>
      </c>
      <c r="I147" s="7" t="s">
        <v>355</v>
      </c>
      <c r="J147" s="14"/>
      <c r="K147" s="14"/>
      <c r="O147" s="22"/>
      <c r="P147" s="22"/>
      <c r="Q147" s="23"/>
      <c r="R147" s="23"/>
      <c r="S147" s="14"/>
    </row>
    <row r="148" ht="18.75" customHeight="1">
      <c r="A148" s="7" t="s">
        <v>351</v>
      </c>
      <c r="B148" s="7" t="s">
        <v>3881</v>
      </c>
      <c r="C148" s="9">
        <v>476886.0</v>
      </c>
      <c r="D148" s="9">
        <v>4339.0</v>
      </c>
      <c r="E148" s="9">
        <v>699.0</v>
      </c>
      <c r="F148" s="7" t="s">
        <v>352</v>
      </c>
      <c r="G148" s="7" t="s">
        <v>353</v>
      </c>
      <c r="H148" s="7" t="s">
        <v>354</v>
      </c>
      <c r="I148" s="7" t="s">
        <v>410</v>
      </c>
      <c r="J148" s="14"/>
      <c r="K148" s="14"/>
      <c r="O148" s="22"/>
      <c r="P148" s="22"/>
      <c r="Q148" s="23"/>
      <c r="R148" s="23"/>
      <c r="S148" s="14"/>
    </row>
    <row r="149" ht="18.75" customHeight="1">
      <c r="A149" s="7" t="s">
        <v>392</v>
      </c>
      <c r="B149" s="7" t="s">
        <v>3881</v>
      </c>
      <c r="C149" s="9">
        <v>593450.0</v>
      </c>
      <c r="D149" s="9">
        <v>10575.0</v>
      </c>
      <c r="E149" s="9">
        <v>927.0</v>
      </c>
      <c r="F149" s="7" t="s">
        <v>393</v>
      </c>
      <c r="G149" s="7" t="s">
        <v>353</v>
      </c>
      <c r="H149" s="7" t="s">
        <v>378</v>
      </c>
      <c r="I149" s="7" t="s">
        <v>355</v>
      </c>
      <c r="J149" s="14"/>
      <c r="K149" s="14"/>
      <c r="O149" s="22"/>
      <c r="P149" s="22"/>
      <c r="Q149" s="23"/>
      <c r="R149" s="23"/>
      <c r="S149" s="14"/>
    </row>
    <row r="150" ht="18.75" customHeight="1">
      <c r="A150" s="7" t="s">
        <v>402</v>
      </c>
      <c r="B150" s="7" t="s">
        <v>3881</v>
      </c>
      <c r="C150" s="9">
        <v>2532096.0</v>
      </c>
      <c r="D150" s="9">
        <v>36428.0</v>
      </c>
      <c r="E150" s="9">
        <v>4735.0</v>
      </c>
      <c r="F150" s="7" t="s">
        <v>403</v>
      </c>
      <c r="G150" s="7" t="s">
        <v>404</v>
      </c>
      <c r="H150" s="7" t="s">
        <v>405</v>
      </c>
      <c r="I150" s="7" t="s">
        <v>355</v>
      </c>
      <c r="J150" s="14"/>
      <c r="K150" s="14"/>
      <c r="O150" s="22"/>
      <c r="P150" s="22"/>
      <c r="Q150" s="23"/>
      <c r="R150" s="23"/>
      <c r="S150" s="14"/>
    </row>
    <row r="151" ht="18.75" customHeight="1">
      <c r="A151" s="7" t="s">
        <v>394</v>
      </c>
      <c r="B151" s="7" t="s">
        <v>3881</v>
      </c>
      <c r="C151" s="9">
        <v>500563.0</v>
      </c>
      <c r="D151" s="9">
        <v>8489.0</v>
      </c>
      <c r="E151" s="9">
        <v>846.0</v>
      </c>
      <c r="F151" s="7" t="s">
        <v>395</v>
      </c>
      <c r="G151" s="7" t="s">
        <v>353</v>
      </c>
      <c r="H151" s="7" t="s">
        <v>378</v>
      </c>
      <c r="I151" s="7" t="s">
        <v>355</v>
      </c>
      <c r="J151" s="14"/>
      <c r="K151" s="14"/>
      <c r="O151" s="22"/>
      <c r="P151" s="22"/>
      <c r="Q151" s="23"/>
      <c r="R151" s="23"/>
      <c r="S151" s="14"/>
    </row>
    <row r="152" ht="18.75" customHeight="1">
      <c r="A152" s="7" t="s">
        <v>362</v>
      </c>
      <c r="B152" s="7" t="s">
        <v>3882</v>
      </c>
      <c r="C152" s="9">
        <v>1005972.0</v>
      </c>
      <c r="D152" s="9">
        <v>246165.0</v>
      </c>
      <c r="E152" s="9">
        <v>3844.0</v>
      </c>
      <c r="F152" s="7" t="s">
        <v>363</v>
      </c>
      <c r="G152" s="7" t="s">
        <v>364</v>
      </c>
      <c r="H152" s="7" t="s">
        <v>365</v>
      </c>
      <c r="I152" s="7" t="s">
        <v>355</v>
      </c>
      <c r="J152" s="14"/>
      <c r="K152" s="14"/>
      <c r="O152" s="22"/>
      <c r="P152" s="22"/>
      <c r="Q152" s="23"/>
      <c r="R152" s="23"/>
      <c r="S152" s="14"/>
    </row>
    <row r="153" ht="18.75" customHeight="1">
      <c r="A153" s="7" t="s">
        <v>362</v>
      </c>
      <c r="B153" s="7" t="s">
        <v>3882</v>
      </c>
      <c r="C153" s="9">
        <v>568097.0</v>
      </c>
      <c r="D153" s="9">
        <v>40904.0</v>
      </c>
      <c r="E153" s="9">
        <v>4978.0</v>
      </c>
      <c r="F153" s="7" t="s">
        <v>363</v>
      </c>
      <c r="G153" s="7" t="s">
        <v>364</v>
      </c>
      <c r="H153" s="7" t="s">
        <v>365</v>
      </c>
      <c r="I153" s="7" t="s">
        <v>355</v>
      </c>
      <c r="J153" s="14"/>
      <c r="K153" s="14"/>
      <c r="O153" s="22"/>
      <c r="P153" s="22"/>
      <c r="Q153" s="23"/>
      <c r="R153" s="23"/>
      <c r="S153" s="14"/>
    </row>
    <row r="154" ht="18.75" customHeight="1">
      <c r="A154" s="7" t="s">
        <v>392</v>
      </c>
      <c r="B154" s="7" t="s">
        <v>3882</v>
      </c>
      <c r="C154" s="9">
        <v>477454.0</v>
      </c>
      <c r="D154" s="9">
        <v>0.0</v>
      </c>
      <c r="E154" s="9">
        <v>2501.0</v>
      </c>
      <c r="F154" s="7" t="s">
        <v>393</v>
      </c>
      <c r="G154" s="7" t="s">
        <v>353</v>
      </c>
      <c r="H154" s="7" t="s">
        <v>378</v>
      </c>
      <c r="I154" s="7" t="s">
        <v>355</v>
      </c>
      <c r="J154" s="14"/>
      <c r="K154" s="14"/>
      <c r="O154" s="22"/>
      <c r="P154" s="22"/>
      <c r="Q154" s="23"/>
      <c r="R154" s="23"/>
      <c r="S154" s="14"/>
    </row>
    <row r="155" ht="18.75" customHeight="1">
      <c r="A155" s="7" t="s">
        <v>362</v>
      </c>
      <c r="B155" s="7" t="s">
        <v>3882</v>
      </c>
      <c r="C155" s="9">
        <v>812338.0</v>
      </c>
      <c r="D155" s="9">
        <v>61243.0</v>
      </c>
      <c r="E155" s="9">
        <v>5400.0</v>
      </c>
      <c r="F155" s="7" t="s">
        <v>363</v>
      </c>
      <c r="G155" s="7" t="s">
        <v>364</v>
      </c>
      <c r="H155" s="7" t="s">
        <v>365</v>
      </c>
      <c r="I155" s="7" t="s">
        <v>355</v>
      </c>
      <c r="J155" s="14"/>
      <c r="K155" s="14"/>
      <c r="O155" s="22"/>
      <c r="P155" s="22"/>
      <c r="Q155" s="23"/>
      <c r="R155" s="23"/>
      <c r="S155" s="14"/>
    </row>
    <row r="156" ht="18.75" customHeight="1">
      <c r="A156" s="7" t="s">
        <v>402</v>
      </c>
      <c r="B156" s="7" t="s">
        <v>3882</v>
      </c>
      <c r="C156" s="9">
        <v>896109.0</v>
      </c>
      <c r="D156" s="9">
        <v>85591.0</v>
      </c>
      <c r="E156" s="9">
        <v>2962.0</v>
      </c>
      <c r="F156" s="7" t="s">
        <v>403</v>
      </c>
      <c r="G156" s="7" t="s">
        <v>404</v>
      </c>
      <c r="H156" s="7" t="s">
        <v>405</v>
      </c>
      <c r="I156" s="7" t="s">
        <v>355</v>
      </c>
      <c r="J156" s="14"/>
      <c r="K156" s="14"/>
      <c r="O156" s="22"/>
      <c r="P156" s="22"/>
      <c r="Q156" s="23"/>
      <c r="R156" s="23"/>
      <c r="S156" s="14"/>
    </row>
    <row r="157" ht="18.75" customHeight="1">
      <c r="A157" s="7" t="s">
        <v>394</v>
      </c>
      <c r="B157" s="7" t="s">
        <v>3882</v>
      </c>
      <c r="C157" s="9">
        <v>374160.0</v>
      </c>
      <c r="D157" s="9">
        <v>0.0</v>
      </c>
      <c r="E157" s="9">
        <v>2130.0</v>
      </c>
      <c r="F157" s="7" t="s">
        <v>395</v>
      </c>
      <c r="G157" s="7" t="s">
        <v>353</v>
      </c>
      <c r="H157" s="7" t="s">
        <v>378</v>
      </c>
      <c r="I157" s="7" t="s">
        <v>355</v>
      </c>
      <c r="J157" s="14"/>
      <c r="K157" s="14"/>
      <c r="O157" s="22"/>
      <c r="P157" s="22"/>
      <c r="Q157" s="23"/>
      <c r="R157" s="23"/>
      <c r="S157" s="14"/>
    </row>
    <row r="158" ht="18.75" customHeight="1">
      <c r="A158" s="7" t="s">
        <v>362</v>
      </c>
      <c r="B158" s="7" t="s">
        <v>3883</v>
      </c>
      <c r="C158" s="9">
        <v>824200.0</v>
      </c>
      <c r="D158" s="9">
        <v>42987.0</v>
      </c>
      <c r="E158" s="9">
        <v>141.0</v>
      </c>
      <c r="F158" s="7" t="s">
        <v>363</v>
      </c>
      <c r="G158" s="7" t="s">
        <v>364</v>
      </c>
      <c r="H158" s="7" t="s">
        <v>365</v>
      </c>
      <c r="I158" s="7" t="s">
        <v>355</v>
      </c>
      <c r="J158" s="14"/>
      <c r="K158" s="14"/>
      <c r="O158" s="22"/>
      <c r="P158" s="22"/>
      <c r="Q158" s="23"/>
      <c r="R158" s="23"/>
      <c r="S158" s="14"/>
    </row>
    <row r="159" ht="18.75" customHeight="1">
      <c r="A159" s="7" t="s">
        <v>362</v>
      </c>
      <c r="B159" s="7" t="s">
        <v>3883</v>
      </c>
      <c r="C159" s="9">
        <v>889290.0</v>
      </c>
      <c r="D159" s="9">
        <v>0.0</v>
      </c>
      <c r="E159" s="9">
        <v>27445.0</v>
      </c>
      <c r="F159" s="7" t="s">
        <v>363</v>
      </c>
      <c r="G159" s="7" t="s">
        <v>364</v>
      </c>
      <c r="H159" s="7" t="s">
        <v>365</v>
      </c>
      <c r="I159" s="7" t="s">
        <v>355</v>
      </c>
      <c r="J159" s="14"/>
      <c r="K159" s="14"/>
      <c r="O159" s="22"/>
      <c r="P159" s="22"/>
      <c r="Q159" s="23"/>
      <c r="R159" s="23"/>
      <c r="S159" s="14"/>
    </row>
    <row r="160" ht="18.75" customHeight="1">
      <c r="A160" s="7" t="s">
        <v>362</v>
      </c>
      <c r="B160" s="7" t="s">
        <v>3883</v>
      </c>
      <c r="C160" s="9">
        <v>40169.0</v>
      </c>
      <c r="D160" s="9">
        <v>0.0</v>
      </c>
      <c r="E160" s="9">
        <v>977.0</v>
      </c>
      <c r="F160" s="7" t="s">
        <v>363</v>
      </c>
      <c r="G160" s="7" t="s">
        <v>364</v>
      </c>
      <c r="H160" s="7" t="s">
        <v>365</v>
      </c>
      <c r="I160" s="7" t="s">
        <v>355</v>
      </c>
      <c r="J160" s="14"/>
      <c r="K160" s="14"/>
      <c r="O160" s="22"/>
      <c r="P160" s="22"/>
      <c r="Q160" s="23"/>
      <c r="R160" s="23"/>
      <c r="S160" s="14"/>
    </row>
    <row r="161" ht="18.75" customHeight="1">
      <c r="A161" s="7" t="s">
        <v>362</v>
      </c>
      <c r="B161" s="7" t="s">
        <v>3883</v>
      </c>
      <c r="C161" s="9">
        <v>29533.0</v>
      </c>
      <c r="D161" s="9">
        <v>0.0</v>
      </c>
      <c r="E161" s="9">
        <v>1045.0</v>
      </c>
      <c r="F161" s="7" t="s">
        <v>363</v>
      </c>
      <c r="G161" s="7" t="s">
        <v>364</v>
      </c>
      <c r="H161" s="7" t="s">
        <v>365</v>
      </c>
      <c r="I161" s="7" t="s">
        <v>355</v>
      </c>
      <c r="J161" s="14"/>
      <c r="K161" s="14"/>
      <c r="O161" s="22"/>
      <c r="P161" s="22"/>
      <c r="Q161" s="23"/>
      <c r="R161" s="23"/>
      <c r="S161" s="14"/>
    </row>
    <row r="162" ht="18.75" customHeight="1">
      <c r="A162" s="7" t="s">
        <v>362</v>
      </c>
      <c r="B162" s="7" t="s">
        <v>3883</v>
      </c>
      <c r="C162" s="9">
        <v>30624.0</v>
      </c>
      <c r="D162" s="9">
        <v>0.0</v>
      </c>
      <c r="E162" s="9">
        <v>962.0</v>
      </c>
      <c r="F162" s="7" t="s">
        <v>363</v>
      </c>
      <c r="G162" s="7" t="s">
        <v>364</v>
      </c>
      <c r="H162" s="7" t="s">
        <v>365</v>
      </c>
      <c r="I162" s="7" t="s">
        <v>355</v>
      </c>
      <c r="J162" s="14"/>
      <c r="K162" s="14"/>
      <c r="O162" s="22"/>
      <c r="P162" s="22"/>
      <c r="Q162" s="23"/>
      <c r="R162" s="23"/>
      <c r="S162" s="14"/>
    </row>
    <row r="163" ht="18.75" customHeight="1">
      <c r="A163" s="7" t="s">
        <v>362</v>
      </c>
      <c r="B163" s="7" t="s">
        <v>3883</v>
      </c>
      <c r="C163" s="9">
        <v>35332.0</v>
      </c>
      <c r="D163" s="9">
        <v>0.0</v>
      </c>
      <c r="E163" s="9">
        <v>842.0</v>
      </c>
      <c r="F163" s="7" t="s">
        <v>363</v>
      </c>
      <c r="G163" s="7" t="s">
        <v>364</v>
      </c>
      <c r="H163" s="7" t="s">
        <v>365</v>
      </c>
      <c r="I163" s="7" t="s">
        <v>355</v>
      </c>
      <c r="J163" s="14"/>
      <c r="K163" s="14"/>
      <c r="O163" s="22"/>
      <c r="P163" s="22"/>
      <c r="Q163" s="23"/>
      <c r="R163" s="23"/>
      <c r="S163" s="14"/>
    </row>
    <row r="164" ht="18.75" customHeight="1">
      <c r="A164" s="7" t="s">
        <v>362</v>
      </c>
      <c r="B164" s="7" t="s">
        <v>3883</v>
      </c>
      <c r="C164" s="9">
        <v>35834.0</v>
      </c>
      <c r="D164" s="9">
        <v>0.0</v>
      </c>
      <c r="E164" s="9">
        <v>943.0</v>
      </c>
      <c r="F164" s="7" t="s">
        <v>363</v>
      </c>
      <c r="G164" s="7" t="s">
        <v>364</v>
      </c>
      <c r="H164" s="7" t="s">
        <v>365</v>
      </c>
      <c r="I164" s="7" t="s">
        <v>355</v>
      </c>
      <c r="J164" s="14"/>
      <c r="K164" s="14"/>
      <c r="O164" s="22"/>
      <c r="P164" s="22"/>
      <c r="Q164" s="23"/>
      <c r="R164" s="23"/>
      <c r="S164" s="14"/>
    </row>
    <row r="165" ht="18.75" customHeight="1">
      <c r="A165" s="7" t="s">
        <v>362</v>
      </c>
      <c r="B165" s="7" t="s">
        <v>3883</v>
      </c>
      <c r="C165" s="9">
        <v>39525.0</v>
      </c>
      <c r="D165" s="9">
        <v>0.0</v>
      </c>
      <c r="E165" s="9">
        <v>877.0</v>
      </c>
      <c r="F165" s="7" t="s">
        <v>363</v>
      </c>
      <c r="G165" s="7" t="s">
        <v>364</v>
      </c>
      <c r="H165" s="7" t="s">
        <v>365</v>
      </c>
      <c r="I165" s="7" t="s">
        <v>355</v>
      </c>
      <c r="J165" s="14"/>
      <c r="K165" s="14"/>
      <c r="O165" s="22"/>
      <c r="P165" s="22"/>
      <c r="Q165" s="23"/>
      <c r="R165" s="23"/>
      <c r="S165" s="14"/>
    </row>
    <row r="166" ht="18.75" customHeight="1">
      <c r="A166" s="7" t="s">
        <v>362</v>
      </c>
      <c r="B166" s="7" t="s">
        <v>3883</v>
      </c>
      <c r="C166" s="9">
        <v>16982.0</v>
      </c>
      <c r="D166" s="9">
        <v>0.0</v>
      </c>
      <c r="E166" s="9">
        <v>544.0</v>
      </c>
      <c r="F166" s="7" t="s">
        <v>363</v>
      </c>
      <c r="G166" s="7" t="s">
        <v>364</v>
      </c>
      <c r="H166" s="7" t="s">
        <v>365</v>
      </c>
      <c r="I166" s="7" t="s">
        <v>355</v>
      </c>
      <c r="J166" s="14"/>
      <c r="K166" s="14"/>
      <c r="O166" s="22"/>
      <c r="P166" s="22"/>
      <c r="Q166" s="23"/>
      <c r="R166" s="23"/>
      <c r="S166" s="14"/>
    </row>
    <row r="167" ht="18.75" customHeight="1">
      <c r="A167" s="7" t="s">
        <v>362</v>
      </c>
      <c r="B167" s="7" t="s">
        <v>3883</v>
      </c>
      <c r="C167" s="9">
        <v>26774.0</v>
      </c>
      <c r="D167" s="9">
        <v>0.0</v>
      </c>
      <c r="E167" s="9">
        <v>661.0</v>
      </c>
      <c r="F167" s="7" t="s">
        <v>363</v>
      </c>
      <c r="G167" s="7" t="s">
        <v>364</v>
      </c>
      <c r="H167" s="7" t="s">
        <v>365</v>
      </c>
      <c r="I167" s="7" t="s">
        <v>355</v>
      </c>
      <c r="J167" s="14"/>
      <c r="K167" s="14"/>
      <c r="O167" s="22"/>
      <c r="P167" s="22"/>
      <c r="Q167" s="23"/>
      <c r="R167" s="23"/>
      <c r="S167" s="14"/>
    </row>
    <row r="168" ht="18.75" customHeight="1">
      <c r="A168" s="7" t="s">
        <v>362</v>
      </c>
      <c r="B168" s="7" t="s">
        <v>3883</v>
      </c>
      <c r="C168" s="9">
        <v>7125.0</v>
      </c>
      <c r="D168" s="9">
        <v>0.0</v>
      </c>
      <c r="E168" s="9">
        <v>139.0</v>
      </c>
      <c r="F168" s="7" t="s">
        <v>363</v>
      </c>
      <c r="G168" s="7" t="s">
        <v>364</v>
      </c>
      <c r="H168" s="7" t="s">
        <v>365</v>
      </c>
      <c r="I168" s="7" t="s">
        <v>355</v>
      </c>
      <c r="J168" s="14"/>
      <c r="K168" s="14"/>
      <c r="O168" s="22"/>
      <c r="P168" s="22"/>
      <c r="Q168" s="23"/>
      <c r="R168" s="23"/>
      <c r="S168" s="14"/>
    </row>
    <row r="169" ht="18.75" customHeight="1">
      <c r="A169" s="7" t="s">
        <v>362</v>
      </c>
      <c r="B169" s="7" t="s">
        <v>3883</v>
      </c>
      <c r="C169" s="9">
        <v>309.0</v>
      </c>
      <c r="D169" s="9">
        <v>8.0</v>
      </c>
      <c r="E169" s="9">
        <v>0.0</v>
      </c>
      <c r="F169" s="7" t="s">
        <v>363</v>
      </c>
      <c r="G169" s="7" t="s">
        <v>364</v>
      </c>
      <c r="H169" s="7" t="s">
        <v>365</v>
      </c>
      <c r="I169" s="7" t="s">
        <v>355</v>
      </c>
      <c r="J169" s="14"/>
      <c r="K169" s="14"/>
      <c r="O169" s="22"/>
      <c r="P169" s="22"/>
      <c r="Q169" s="23"/>
      <c r="R169" s="23"/>
      <c r="S169" s="14"/>
    </row>
    <row r="170" ht="18.75" customHeight="1">
      <c r="A170" s="7" t="s">
        <v>362</v>
      </c>
      <c r="B170" s="7" t="s">
        <v>3883</v>
      </c>
      <c r="C170" s="9">
        <v>264544.0</v>
      </c>
      <c r="D170" s="9">
        <v>3735.0</v>
      </c>
      <c r="E170" s="9">
        <v>279.0</v>
      </c>
      <c r="F170" s="7" t="s">
        <v>363</v>
      </c>
      <c r="G170" s="7" t="s">
        <v>364</v>
      </c>
      <c r="H170" s="7" t="s">
        <v>365</v>
      </c>
      <c r="I170" s="7" t="s">
        <v>355</v>
      </c>
      <c r="J170" s="14"/>
      <c r="K170" s="14"/>
      <c r="O170" s="22"/>
      <c r="P170" s="22"/>
      <c r="Q170" s="23"/>
      <c r="R170" s="23"/>
      <c r="S170" s="14"/>
    </row>
    <row r="171" ht="18.75" customHeight="1">
      <c r="A171" s="7" t="s">
        <v>362</v>
      </c>
      <c r="B171" s="7" t="s">
        <v>3883</v>
      </c>
      <c r="C171" s="9">
        <v>204343.0</v>
      </c>
      <c r="D171" s="9">
        <v>13524.0</v>
      </c>
      <c r="E171" s="9">
        <v>17.0</v>
      </c>
      <c r="F171" s="7" t="s">
        <v>363</v>
      </c>
      <c r="G171" s="7" t="s">
        <v>364</v>
      </c>
      <c r="H171" s="7" t="s">
        <v>365</v>
      </c>
      <c r="I171" s="7" t="s">
        <v>355</v>
      </c>
      <c r="J171" s="14"/>
      <c r="K171" s="14"/>
      <c r="O171" s="22"/>
      <c r="P171" s="22"/>
      <c r="Q171" s="23"/>
      <c r="R171" s="23"/>
      <c r="S171" s="14"/>
    </row>
    <row r="172" ht="18.75" customHeight="1">
      <c r="A172" s="7" t="s">
        <v>362</v>
      </c>
      <c r="B172" s="7" t="s">
        <v>3883</v>
      </c>
      <c r="C172" s="9">
        <v>162304.0</v>
      </c>
      <c r="D172" s="9">
        <v>3945.0</v>
      </c>
      <c r="E172" s="9">
        <v>239.0</v>
      </c>
      <c r="F172" s="7" t="s">
        <v>363</v>
      </c>
      <c r="G172" s="7" t="s">
        <v>364</v>
      </c>
      <c r="H172" s="7" t="s">
        <v>365</v>
      </c>
      <c r="I172" s="7" t="s">
        <v>355</v>
      </c>
      <c r="J172" s="14"/>
      <c r="K172" s="14"/>
      <c r="O172" s="22"/>
      <c r="P172" s="22"/>
      <c r="Q172" s="23"/>
      <c r="R172" s="23"/>
      <c r="S172" s="14"/>
    </row>
    <row r="173" ht="18.75" customHeight="1">
      <c r="A173" s="7" t="s">
        <v>362</v>
      </c>
      <c r="B173" s="7" t="s">
        <v>3883</v>
      </c>
      <c r="C173" s="9">
        <v>13524.0</v>
      </c>
      <c r="D173" s="9">
        <v>0.0</v>
      </c>
      <c r="E173" s="9">
        <v>532.0</v>
      </c>
      <c r="F173" s="7" t="s">
        <v>363</v>
      </c>
      <c r="G173" s="7" t="s">
        <v>364</v>
      </c>
      <c r="H173" s="7" t="s">
        <v>365</v>
      </c>
      <c r="I173" s="7" t="s">
        <v>355</v>
      </c>
      <c r="J173" s="14"/>
      <c r="K173" s="14"/>
      <c r="O173" s="22"/>
      <c r="P173" s="22"/>
      <c r="Q173" s="23"/>
      <c r="R173" s="23"/>
      <c r="S173" s="14"/>
    </row>
    <row r="174" ht="18.75" customHeight="1">
      <c r="A174" s="7" t="s">
        <v>362</v>
      </c>
      <c r="B174" s="7" t="s">
        <v>3883</v>
      </c>
      <c r="C174" s="9">
        <v>745.0</v>
      </c>
      <c r="D174" s="9">
        <v>0.0</v>
      </c>
      <c r="E174" s="9">
        <v>0.0</v>
      </c>
      <c r="F174" s="7" t="s">
        <v>363</v>
      </c>
      <c r="G174" s="7" t="s">
        <v>364</v>
      </c>
      <c r="H174" s="7" t="s">
        <v>365</v>
      </c>
      <c r="I174" s="7" t="s">
        <v>355</v>
      </c>
      <c r="J174" s="14"/>
      <c r="K174" s="14"/>
      <c r="O174" s="22"/>
      <c r="P174" s="22"/>
      <c r="Q174" s="23"/>
      <c r="R174" s="23"/>
      <c r="S174" s="14"/>
    </row>
    <row r="175" ht="18.75" customHeight="1">
      <c r="A175" s="7" t="s">
        <v>362</v>
      </c>
      <c r="B175" s="7" t="s">
        <v>3883</v>
      </c>
      <c r="C175" s="9">
        <v>3250.0</v>
      </c>
      <c r="D175" s="9">
        <v>0.0</v>
      </c>
      <c r="E175" s="9">
        <v>0.0</v>
      </c>
      <c r="F175" s="7" t="s">
        <v>363</v>
      </c>
      <c r="G175" s="7" t="s">
        <v>364</v>
      </c>
      <c r="H175" s="7" t="s">
        <v>365</v>
      </c>
      <c r="I175" s="7" t="s">
        <v>355</v>
      </c>
      <c r="J175" s="14"/>
      <c r="K175" s="14"/>
      <c r="O175" s="22"/>
      <c r="P175" s="22"/>
      <c r="Q175" s="23"/>
      <c r="R175" s="23"/>
      <c r="S175" s="14"/>
    </row>
    <row r="176" ht="18.75" customHeight="1">
      <c r="A176" s="7" t="s">
        <v>362</v>
      </c>
      <c r="B176" s="7" t="s">
        <v>3883</v>
      </c>
      <c r="C176" s="9">
        <v>15351.0</v>
      </c>
      <c r="D176" s="9">
        <v>355.0</v>
      </c>
      <c r="E176" s="9">
        <v>15.0</v>
      </c>
      <c r="F176" s="7" t="s">
        <v>363</v>
      </c>
      <c r="G176" s="7" t="s">
        <v>364</v>
      </c>
      <c r="H176" s="7" t="s">
        <v>365</v>
      </c>
      <c r="I176" s="7" t="s">
        <v>355</v>
      </c>
      <c r="J176" s="14"/>
      <c r="K176" s="14"/>
      <c r="O176" s="22"/>
      <c r="P176" s="22"/>
      <c r="Q176" s="23"/>
      <c r="R176" s="23"/>
      <c r="S176" s="14"/>
    </row>
    <row r="177" ht="18.75" customHeight="1">
      <c r="A177" s="7" t="s">
        <v>362</v>
      </c>
      <c r="B177" s="7" t="s">
        <v>3883</v>
      </c>
      <c r="C177" s="9">
        <v>17207.0</v>
      </c>
      <c r="D177" s="9">
        <v>532.0</v>
      </c>
      <c r="E177" s="9">
        <v>9.0</v>
      </c>
      <c r="F177" s="7" t="s">
        <v>363</v>
      </c>
      <c r="G177" s="7" t="s">
        <v>364</v>
      </c>
      <c r="H177" s="7" t="s">
        <v>365</v>
      </c>
      <c r="I177" s="7" t="s">
        <v>355</v>
      </c>
      <c r="J177" s="14"/>
      <c r="K177" s="14"/>
      <c r="O177" s="22"/>
      <c r="P177" s="22"/>
      <c r="Q177" s="23"/>
      <c r="R177" s="23"/>
      <c r="S177" s="14"/>
    </row>
    <row r="178" ht="18.75" customHeight="1">
      <c r="A178" s="7" t="s">
        <v>362</v>
      </c>
      <c r="B178" s="7" t="s">
        <v>3883</v>
      </c>
      <c r="C178" s="9">
        <v>18759.0</v>
      </c>
      <c r="D178" s="9">
        <v>262.0</v>
      </c>
      <c r="E178" s="9">
        <v>15.0</v>
      </c>
      <c r="F178" s="7" t="s">
        <v>363</v>
      </c>
      <c r="G178" s="7" t="s">
        <v>364</v>
      </c>
      <c r="H178" s="7" t="s">
        <v>365</v>
      </c>
      <c r="I178" s="7" t="s">
        <v>355</v>
      </c>
      <c r="J178" s="14"/>
      <c r="K178" s="14"/>
      <c r="O178" s="22"/>
      <c r="P178" s="22"/>
      <c r="Q178" s="23"/>
      <c r="R178" s="23"/>
      <c r="S178" s="14"/>
    </row>
    <row r="179" ht="18.75" customHeight="1">
      <c r="A179" s="7" t="s">
        <v>362</v>
      </c>
      <c r="B179" s="7" t="s">
        <v>3883</v>
      </c>
      <c r="C179" s="9">
        <v>18487.0</v>
      </c>
      <c r="D179" s="9">
        <v>708.0</v>
      </c>
      <c r="E179" s="9">
        <v>0.0</v>
      </c>
      <c r="F179" s="7" t="s">
        <v>363</v>
      </c>
      <c r="G179" s="7" t="s">
        <v>364</v>
      </c>
      <c r="H179" s="7" t="s">
        <v>365</v>
      </c>
      <c r="I179" s="7" t="s">
        <v>355</v>
      </c>
      <c r="J179" s="14"/>
      <c r="K179" s="14"/>
      <c r="O179" s="22"/>
      <c r="P179" s="22"/>
      <c r="Q179" s="23"/>
      <c r="R179" s="23"/>
      <c r="S179" s="14"/>
    </row>
    <row r="180" ht="18.75" customHeight="1">
      <c r="A180" s="7" t="s">
        <v>362</v>
      </c>
      <c r="B180" s="7" t="s">
        <v>3883</v>
      </c>
      <c r="C180" s="9">
        <v>584682.0</v>
      </c>
      <c r="D180" s="9">
        <v>30926.0</v>
      </c>
      <c r="E180" s="9">
        <v>471.0</v>
      </c>
      <c r="F180" s="7" t="s">
        <v>363</v>
      </c>
      <c r="G180" s="7" t="s">
        <v>364</v>
      </c>
      <c r="H180" s="7" t="s">
        <v>365</v>
      </c>
      <c r="I180" s="7" t="s">
        <v>355</v>
      </c>
      <c r="J180" s="14"/>
      <c r="K180" s="14"/>
      <c r="O180" s="22"/>
      <c r="P180" s="22"/>
      <c r="Q180" s="23"/>
      <c r="R180" s="23"/>
      <c r="S180" s="14"/>
    </row>
    <row r="181" ht="18.75" customHeight="1">
      <c r="A181" s="7" t="s">
        <v>362</v>
      </c>
      <c r="B181" s="7" t="s">
        <v>3883</v>
      </c>
      <c r="C181" s="9">
        <v>600851.0</v>
      </c>
      <c r="D181" s="9">
        <v>29791.0</v>
      </c>
      <c r="E181" s="9">
        <v>541.0</v>
      </c>
      <c r="F181" s="7" t="s">
        <v>363</v>
      </c>
      <c r="G181" s="7" t="s">
        <v>364</v>
      </c>
      <c r="H181" s="7" t="s">
        <v>365</v>
      </c>
      <c r="I181" s="7" t="s">
        <v>355</v>
      </c>
      <c r="J181" s="14"/>
      <c r="K181" s="14"/>
      <c r="O181" s="22"/>
      <c r="P181" s="22"/>
      <c r="Q181" s="23"/>
      <c r="R181" s="23"/>
      <c r="S181" s="14"/>
    </row>
    <row r="182" ht="18.75" customHeight="1">
      <c r="A182" s="7" t="s">
        <v>362</v>
      </c>
      <c r="B182" s="7" t="s">
        <v>3883</v>
      </c>
      <c r="C182" s="9">
        <v>593047.0</v>
      </c>
      <c r="D182" s="9">
        <v>30997.0</v>
      </c>
      <c r="E182" s="9">
        <v>844.0</v>
      </c>
      <c r="F182" s="7" t="s">
        <v>363</v>
      </c>
      <c r="G182" s="7" t="s">
        <v>364</v>
      </c>
      <c r="H182" s="7" t="s">
        <v>365</v>
      </c>
      <c r="I182" s="7" t="s">
        <v>355</v>
      </c>
      <c r="J182" s="14"/>
      <c r="K182" s="14"/>
      <c r="O182" s="22"/>
      <c r="P182" s="22"/>
      <c r="Q182" s="23"/>
      <c r="R182" s="23"/>
      <c r="S182" s="14"/>
    </row>
    <row r="183" ht="18.75" customHeight="1">
      <c r="A183" s="7" t="s">
        <v>362</v>
      </c>
      <c r="B183" s="7" t="s">
        <v>3883</v>
      </c>
      <c r="C183" s="9">
        <v>489354.0</v>
      </c>
      <c r="D183" s="9">
        <v>24401.0</v>
      </c>
      <c r="E183" s="9">
        <v>459.0</v>
      </c>
      <c r="F183" s="7" t="s">
        <v>363</v>
      </c>
      <c r="G183" s="7" t="s">
        <v>364</v>
      </c>
      <c r="H183" s="7" t="s">
        <v>365</v>
      </c>
      <c r="I183" s="7" t="s">
        <v>355</v>
      </c>
      <c r="J183" s="14"/>
      <c r="K183" s="14"/>
      <c r="O183" s="22"/>
      <c r="P183" s="22"/>
      <c r="Q183" s="23"/>
      <c r="R183" s="23"/>
      <c r="S183" s="14"/>
    </row>
    <row r="184" ht="18.75" customHeight="1">
      <c r="A184" s="7" t="s">
        <v>362</v>
      </c>
      <c r="B184" s="7" t="s">
        <v>3883</v>
      </c>
      <c r="C184" s="9">
        <v>621286.0</v>
      </c>
      <c r="D184" s="9">
        <v>23832.0</v>
      </c>
      <c r="E184" s="9">
        <v>589.0</v>
      </c>
      <c r="F184" s="7" t="s">
        <v>363</v>
      </c>
      <c r="G184" s="7" t="s">
        <v>364</v>
      </c>
      <c r="H184" s="7" t="s">
        <v>365</v>
      </c>
      <c r="I184" s="7" t="s">
        <v>355</v>
      </c>
      <c r="J184" s="14"/>
      <c r="K184" s="14"/>
      <c r="O184" s="22"/>
      <c r="P184" s="22"/>
      <c r="Q184" s="23"/>
      <c r="R184" s="23"/>
      <c r="S184" s="14"/>
    </row>
    <row r="185" ht="18.75" customHeight="1">
      <c r="A185" s="7" t="s">
        <v>3571</v>
      </c>
      <c r="B185" s="7" t="s">
        <v>3883</v>
      </c>
      <c r="C185" s="9">
        <v>931756.0</v>
      </c>
      <c r="D185" s="9">
        <v>0.0</v>
      </c>
      <c r="E185" s="9">
        <v>21992.0</v>
      </c>
      <c r="F185" s="7" t="s">
        <v>3876</v>
      </c>
      <c r="G185" s="7" t="s">
        <v>353</v>
      </c>
      <c r="H185" s="7" t="s">
        <v>413</v>
      </c>
      <c r="I185" s="7" t="s">
        <v>355</v>
      </c>
      <c r="J185" s="14"/>
      <c r="K185" s="14"/>
      <c r="O185" s="22"/>
      <c r="P185" s="22"/>
      <c r="Q185" s="23"/>
      <c r="R185" s="23"/>
      <c r="S185" s="14"/>
    </row>
    <row r="186" ht="18.75" customHeight="1">
      <c r="A186" s="7" t="s">
        <v>3571</v>
      </c>
      <c r="B186" s="7" t="s">
        <v>3883</v>
      </c>
      <c r="C186" s="9">
        <v>29796.0</v>
      </c>
      <c r="D186" s="9">
        <v>0.0</v>
      </c>
      <c r="E186" s="9">
        <v>2053.0</v>
      </c>
      <c r="F186" s="7" t="s">
        <v>3876</v>
      </c>
      <c r="G186" s="7" t="s">
        <v>353</v>
      </c>
      <c r="H186" s="7" t="s">
        <v>413</v>
      </c>
      <c r="I186" s="7" t="s">
        <v>355</v>
      </c>
      <c r="J186" s="14"/>
      <c r="K186" s="14"/>
      <c r="O186" s="22"/>
      <c r="P186" s="22"/>
      <c r="Q186" s="23"/>
      <c r="R186" s="23"/>
      <c r="S186" s="14"/>
    </row>
    <row r="187" ht="18.75" customHeight="1">
      <c r="A187" s="7" t="s">
        <v>3571</v>
      </c>
      <c r="B187" s="7" t="s">
        <v>3883</v>
      </c>
      <c r="C187" s="9">
        <v>404767.0</v>
      </c>
      <c r="D187" s="9">
        <v>2463.0</v>
      </c>
      <c r="E187" s="9">
        <v>89.0</v>
      </c>
      <c r="F187" s="7" t="s">
        <v>3876</v>
      </c>
      <c r="G187" s="7" t="s">
        <v>353</v>
      </c>
      <c r="H187" s="7" t="s">
        <v>413</v>
      </c>
      <c r="I187" s="7" t="s">
        <v>355</v>
      </c>
      <c r="J187" s="14"/>
      <c r="K187" s="14"/>
      <c r="O187" s="22"/>
      <c r="P187" s="22"/>
      <c r="Q187" s="23"/>
      <c r="R187" s="23"/>
      <c r="S187" s="14"/>
    </row>
    <row r="188" ht="18.75" customHeight="1">
      <c r="A188" s="7" t="s">
        <v>379</v>
      </c>
      <c r="B188" s="7" t="s">
        <v>3883</v>
      </c>
      <c r="C188" s="9">
        <v>192438.0</v>
      </c>
      <c r="D188" s="9">
        <v>0.0</v>
      </c>
      <c r="E188" s="9">
        <v>14351.0</v>
      </c>
      <c r="F188" s="7" t="s">
        <v>380</v>
      </c>
      <c r="G188" s="7" t="s">
        <v>353</v>
      </c>
      <c r="H188" s="7" t="s">
        <v>354</v>
      </c>
      <c r="I188" s="7" t="s">
        <v>355</v>
      </c>
      <c r="J188" s="14"/>
      <c r="K188" s="14"/>
      <c r="O188" s="22"/>
      <c r="P188" s="22"/>
      <c r="Q188" s="23"/>
      <c r="R188" s="23"/>
      <c r="S188" s="14"/>
    </row>
    <row r="189" ht="18.75" customHeight="1">
      <c r="A189" s="7" t="s">
        <v>379</v>
      </c>
      <c r="B189" s="7" t="s">
        <v>3883</v>
      </c>
      <c r="C189" s="9">
        <v>16601.0</v>
      </c>
      <c r="D189" s="9">
        <v>0.0</v>
      </c>
      <c r="E189" s="9">
        <v>1221.0</v>
      </c>
      <c r="F189" s="7" t="s">
        <v>380</v>
      </c>
      <c r="G189" s="7" t="s">
        <v>353</v>
      </c>
      <c r="H189" s="7" t="s">
        <v>354</v>
      </c>
      <c r="I189" s="7" t="s">
        <v>355</v>
      </c>
      <c r="J189" s="14"/>
      <c r="K189" s="14"/>
      <c r="O189" s="22"/>
      <c r="P189" s="22"/>
      <c r="Q189" s="23"/>
      <c r="R189" s="23"/>
      <c r="S189" s="14"/>
    </row>
    <row r="190" ht="18.75" customHeight="1">
      <c r="A190" s="7" t="s">
        <v>362</v>
      </c>
      <c r="B190" s="7" t="s">
        <v>3883</v>
      </c>
      <c r="C190" s="9">
        <v>77324.0</v>
      </c>
      <c r="D190" s="9">
        <v>0.0</v>
      </c>
      <c r="E190" s="9">
        <v>1787.0</v>
      </c>
      <c r="F190" s="7" t="s">
        <v>363</v>
      </c>
      <c r="G190" s="7" t="s">
        <v>364</v>
      </c>
      <c r="H190" s="7" t="s">
        <v>365</v>
      </c>
      <c r="I190" s="7" t="s">
        <v>355</v>
      </c>
      <c r="J190" s="14"/>
      <c r="K190" s="14"/>
      <c r="O190" s="22"/>
      <c r="P190" s="22"/>
      <c r="Q190" s="23"/>
      <c r="R190" s="23"/>
      <c r="S190" s="14"/>
    </row>
    <row r="191" ht="18.75" customHeight="1">
      <c r="A191" s="7" t="s">
        <v>362</v>
      </c>
      <c r="B191" s="7" t="s">
        <v>3883</v>
      </c>
      <c r="C191" s="9">
        <v>442731.0</v>
      </c>
      <c r="D191" s="9">
        <v>5183.0</v>
      </c>
      <c r="E191" s="9">
        <v>564.0</v>
      </c>
      <c r="F191" s="7" t="s">
        <v>363</v>
      </c>
      <c r="G191" s="7" t="s">
        <v>364</v>
      </c>
      <c r="H191" s="7" t="s">
        <v>365</v>
      </c>
      <c r="I191" s="7" t="s">
        <v>355</v>
      </c>
      <c r="J191" s="14"/>
      <c r="K191" s="14"/>
      <c r="O191" s="22"/>
      <c r="P191" s="22"/>
      <c r="Q191" s="23"/>
      <c r="R191" s="23"/>
      <c r="S191" s="14"/>
    </row>
    <row r="192" ht="18.75" customHeight="1">
      <c r="A192" s="7" t="s">
        <v>3010</v>
      </c>
      <c r="B192" s="7" t="s">
        <v>3883</v>
      </c>
      <c r="C192" s="9">
        <v>0.0</v>
      </c>
      <c r="D192" s="9">
        <v>0.0</v>
      </c>
      <c r="E192" s="9">
        <v>0.0</v>
      </c>
      <c r="F192" s="7" t="s">
        <v>3877</v>
      </c>
      <c r="G192" s="7" t="s">
        <v>358</v>
      </c>
      <c r="H192" s="7" t="s">
        <v>365</v>
      </c>
      <c r="I192" s="7" t="s">
        <v>355</v>
      </c>
      <c r="J192" s="14"/>
      <c r="K192" s="14"/>
      <c r="O192" s="22"/>
      <c r="P192" s="22"/>
      <c r="Q192" s="23"/>
      <c r="R192" s="23"/>
      <c r="S192" s="14"/>
    </row>
    <row r="193" ht="18.75" customHeight="1">
      <c r="A193" s="7" t="s">
        <v>351</v>
      </c>
      <c r="B193" s="7" t="s">
        <v>3883</v>
      </c>
      <c r="C193" s="9">
        <v>817.0</v>
      </c>
      <c r="D193" s="9">
        <v>0.0</v>
      </c>
      <c r="E193" s="9">
        <v>44.0</v>
      </c>
      <c r="F193" s="7" t="s">
        <v>352</v>
      </c>
      <c r="G193" s="7" t="s">
        <v>353</v>
      </c>
      <c r="H193" s="7" t="s">
        <v>354</v>
      </c>
      <c r="I193" s="7" t="s">
        <v>410</v>
      </c>
      <c r="J193" s="14"/>
      <c r="K193" s="14"/>
      <c r="O193" s="22"/>
      <c r="P193" s="22"/>
      <c r="Q193" s="23"/>
      <c r="R193" s="23"/>
      <c r="S193" s="14"/>
    </row>
    <row r="194" ht="18.75" customHeight="1">
      <c r="A194" s="7" t="s">
        <v>351</v>
      </c>
      <c r="B194" s="7" t="s">
        <v>3883</v>
      </c>
      <c r="C194" s="9">
        <v>36932.0</v>
      </c>
      <c r="D194" s="9">
        <v>0.0</v>
      </c>
      <c r="E194" s="9">
        <v>1031.0</v>
      </c>
      <c r="F194" s="7" t="s">
        <v>352</v>
      </c>
      <c r="G194" s="7" t="s">
        <v>353</v>
      </c>
      <c r="H194" s="7" t="s">
        <v>354</v>
      </c>
      <c r="I194" s="7" t="s">
        <v>410</v>
      </c>
      <c r="J194" s="14"/>
      <c r="K194" s="14"/>
      <c r="O194" s="22"/>
      <c r="P194" s="22"/>
      <c r="Q194" s="23"/>
      <c r="R194" s="23"/>
      <c r="S194" s="14"/>
    </row>
    <row r="195" ht="18.75" customHeight="1">
      <c r="A195" s="7" t="s">
        <v>351</v>
      </c>
      <c r="B195" s="7" t="s">
        <v>3883</v>
      </c>
      <c r="C195" s="9">
        <v>15917.0</v>
      </c>
      <c r="D195" s="9">
        <v>287.0</v>
      </c>
      <c r="E195" s="9">
        <v>20.0</v>
      </c>
      <c r="F195" s="7" t="s">
        <v>352</v>
      </c>
      <c r="G195" s="7" t="s">
        <v>353</v>
      </c>
      <c r="H195" s="7" t="s">
        <v>354</v>
      </c>
      <c r="I195" s="7" t="s">
        <v>410</v>
      </c>
      <c r="J195" s="14"/>
      <c r="K195" s="14"/>
      <c r="O195" s="22"/>
      <c r="P195" s="22"/>
      <c r="Q195" s="23"/>
      <c r="R195" s="23"/>
      <c r="S195" s="14"/>
    </row>
    <row r="196" ht="18.75" customHeight="1">
      <c r="A196" s="7" t="s">
        <v>362</v>
      </c>
      <c r="B196" s="7" t="s">
        <v>3883</v>
      </c>
      <c r="C196" s="9">
        <v>0.0</v>
      </c>
      <c r="D196" s="9">
        <v>0.0</v>
      </c>
      <c r="E196" s="9">
        <v>0.0</v>
      </c>
      <c r="F196" s="7" t="s">
        <v>363</v>
      </c>
      <c r="G196" s="7" t="s">
        <v>364</v>
      </c>
      <c r="H196" s="7" t="s">
        <v>365</v>
      </c>
      <c r="I196" s="7" t="s">
        <v>355</v>
      </c>
      <c r="J196" s="14"/>
      <c r="K196" s="14"/>
      <c r="O196" s="22"/>
      <c r="P196" s="22"/>
      <c r="Q196" s="23"/>
      <c r="R196" s="23"/>
      <c r="S196" s="14"/>
    </row>
    <row r="197" ht="18.75" customHeight="1">
      <c r="A197" s="7" t="s">
        <v>362</v>
      </c>
      <c r="B197" s="7" t="s">
        <v>3883</v>
      </c>
      <c r="C197" s="9">
        <v>734966.0</v>
      </c>
      <c r="D197" s="9">
        <v>0.0</v>
      </c>
      <c r="E197" s="9">
        <v>31152.0</v>
      </c>
      <c r="F197" s="7" t="s">
        <v>363</v>
      </c>
      <c r="G197" s="7" t="s">
        <v>364</v>
      </c>
      <c r="H197" s="7" t="s">
        <v>365</v>
      </c>
      <c r="I197" s="7" t="s">
        <v>355</v>
      </c>
      <c r="J197" s="14"/>
      <c r="K197" s="14"/>
      <c r="O197" s="22"/>
      <c r="P197" s="22"/>
      <c r="Q197" s="23"/>
      <c r="R197" s="23"/>
      <c r="S197" s="14"/>
    </row>
    <row r="198" ht="18.75" customHeight="1">
      <c r="A198" s="7" t="s">
        <v>362</v>
      </c>
      <c r="B198" s="7" t="s">
        <v>3883</v>
      </c>
      <c r="C198" s="9">
        <v>454371.0</v>
      </c>
      <c r="D198" s="9">
        <v>0.0</v>
      </c>
      <c r="E198" s="9">
        <v>16765.0</v>
      </c>
      <c r="F198" s="7" t="s">
        <v>363</v>
      </c>
      <c r="G198" s="7" t="s">
        <v>364</v>
      </c>
      <c r="H198" s="7" t="s">
        <v>365</v>
      </c>
      <c r="I198" s="7" t="s">
        <v>355</v>
      </c>
      <c r="J198" s="14"/>
      <c r="K198" s="14"/>
      <c r="O198" s="22"/>
      <c r="P198" s="22"/>
      <c r="Q198" s="23"/>
      <c r="R198" s="23"/>
      <c r="S198" s="14"/>
    </row>
    <row r="199" ht="18.75" customHeight="1">
      <c r="A199" s="7" t="s">
        <v>362</v>
      </c>
      <c r="B199" s="7" t="s">
        <v>3883</v>
      </c>
      <c r="C199" s="9">
        <v>602290.0</v>
      </c>
      <c r="D199" s="9">
        <v>0.0</v>
      </c>
      <c r="E199" s="9">
        <v>17969.0</v>
      </c>
      <c r="F199" s="7" t="s">
        <v>363</v>
      </c>
      <c r="G199" s="7" t="s">
        <v>364</v>
      </c>
      <c r="H199" s="7" t="s">
        <v>365</v>
      </c>
      <c r="I199" s="7" t="s">
        <v>355</v>
      </c>
      <c r="J199" s="14"/>
      <c r="K199" s="14"/>
      <c r="O199" s="22"/>
      <c r="P199" s="22"/>
      <c r="Q199" s="23"/>
      <c r="R199" s="23"/>
      <c r="S199" s="14"/>
    </row>
    <row r="200" ht="18.75" customHeight="1">
      <c r="A200" s="7" t="s">
        <v>362</v>
      </c>
      <c r="B200" s="7" t="s">
        <v>3883</v>
      </c>
      <c r="C200" s="9">
        <v>522559.0</v>
      </c>
      <c r="D200" s="9">
        <v>0.0</v>
      </c>
      <c r="E200" s="9">
        <v>15690.0</v>
      </c>
      <c r="F200" s="7" t="s">
        <v>363</v>
      </c>
      <c r="G200" s="7" t="s">
        <v>364</v>
      </c>
      <c r="H200" s="7" t="s">
        <v>365</v>
      </c>
      <c r="I200" s="7" t="s">
        <v>355</v>
      </c>
      <c r="J200" s="14"/>
      <c r="K200" s="14"/>
      <c r="O200" s="22"/>
      <c r="P200" s="22"/>
      <c r="Q200" s="23"/>
      <c r="R200" s="23"/>
      <c r="S200" s="14"/>
    </row>
    <row r="201" ht="18.75" customHeight="1">
      <c r="A201" s="7" t="s">
        <v>362</v>
      </c>
      <c r="B201" s="7" t="s">
        <v>3883</v>
      </c>
      <c r="C201" s="9">
        <v>471169.0</v>
      </c>
      <c r="D201" s="9">
        <v>0.0</v>
      </c>
      <c r="E201" s="9">
        <v>17384.0</v>
      </c>
      <c r="F201" s="7" t="s">
        <v>363</v>
      </c>
      <c r="G201" s="7" t="s">
        <v>364</v>
      </c>
      <c r="H201" s="7" t="s">
        <v>365</v>
      </c>
      <c r="I201" s="7" t="s">
        <v>355</v>
      </c>
      <c r="J201" s="14"/>
      <c r="K201" s="14"/>
      <c r="O201" s="22"/>
      <c r="P201" s="22"/>
      <c r="Q201" s="23"/>
      <c r="R201" s="23"/>
      <c r="S201" s="14"/>
    </row>
    <row r="202" ht="18.75" customHeight="1">
      <c r="A202" s="7" t="s">
        <v>362</v>
      </c>
      <c r="B202" s="7" t="s">
        <v>3883</v>
      </c>
      <c r="C202" s="9">
        <v>675579.0</v>
      </c>
      <c r="D202" s="9">
        <v>0.0</v>
      </c>
      <c r="E202" s="9">
        <v>17731.0</v>
      </c>
      <c r="F202" s="7" t="s">
        <v>363</v>
      </c>
      <c r="G202" s="7" t="s">
        <v>364</v>
      </c>
      <c r="H202" s="7" t="s">
        <v>365</v>
      </c>
      <c r="I202" s="7" t="s">
        <v>355</v>
      </c>
      <c r="J202" s="14"/>
      <c r="K202" s="14"/>
      <c r="O202" s="22"/>
      <c r="P202" s="22"/>
      <c r="Q202" s="23"/>
      <c r="R202" s="23"/>
      <c r="S202" s="14"/>
    </row>
    <row r="203" ht="18.75" customHeight="1">
      <c r="A203" s="7" t="s">
        <v>362</v>
      </c>
      <c r="B203" s="7" t="s">
        <v>3883</v>
      </c>
      <c r="C203" s="9">
        <v>608960.0</v>
      </c>
      <c r="D203" s="9">
        <v>0.0</v>
      </c>
      <c r="E203" s="9">
        <v>17554.0</v>
      </c>
      <c r="F203" s="7" t="s">
        <v>363</v>
      </c>
      <c r="G203" s="7" t="s">
        <v>364</v>
      </c>
      <c r="H203" s="7" t="s">
        <v>365</v>
      </c>
      <c r="I203" s="7" t="s">
        <v>355</v>
      </c>
      <c r="J203" s="14"/>
      <c r="K203" s="14"/>
      <c r="O203" s="22"/>
      <c r="P203" s="22"/>
      <c r="Q203" s="23"/>
      <c r="R203" s="23"/>
      <c r="S203" s="14"/>
    </row>
    <row r="204" ht="18.75" customHeight="1">
      <c r="A204" s="7" t="s">
        <v>362</v>
      </c>
      <c r="B204" s="7" t="s">
        <v>3883</v>
      </c>
      <c r="C204" s="9">
        <v>393343.0</v>
      </c>
      <c r="D204" s="9">
        <v>0.0</v>
      </c>
      <c r="E204" s="9">
        <v>12738.0</v>
      </c>
      <c r="F204" s="7" t="s">
        <v>363</v>
      </c>
      <c r="G204" s="7" t="s">
        <v>364</v>
      </c>
      <c r="H204" s="7" t="s">
        <v>365</v>
      </c>
      <c r="I204" s="7" t="s">
        <v>355</v>
      </c>
      <c r="J204" s="14"/>
      <c r="K204" s="14"/>
      <c r="O204" s="22"/>
      <c r="P204" s="22"/>
      <c r="Q204" s="23"/>
      <c r="R204" s="23"/>
      <c r="S204" s="14"/>
    </row>
    <row r="205" ht="18.75" customHeight="1">
      <c r="A205" s="7" t="s">
        <v>362</v>
      </c>
      <c r="B205" s="7" t="s">
        <v>3883</v>
      </c>
      <c r="C205" s="9">
        <v>490674.0</v>
      </c>
      <c r="D205" s="9">
        <v>0.0</v>
      </c>
      <c r="E205" s="9">
        <v>13509.0</v>
      </c>
      <c r="F205" s="7" t="s">
        <v>363</v>
      </c>
      <c r="G205" s="7" t="s">
        <v>364</v>
      </c>
      <c r="H205" s="7" t="s">
        <v>365</v>
      </c>
      <c r="I205" s="7" t="s">
        <v>355</v>
      </c>
      <c r="J205" s="14"/>
      <c r="K205" s="14"/>
      <c r="O205" s="22"/>
      <c r="P205" s="22"/>
      <c r="Q205" s="23"/>
      <c r="R205" s="23"/>
      <c r="S205" s="14"/>
    </row>
    <row r="206" ht="18.75" customHeight="1">
      <c r="A206" s="7" t="s">
        <v>362</v>
      </c>
      <c r="B206" s="7" t="s">
        <v>3883</v>
      </c>
      <c r="C206" s="9">
        <v>106726.0</v>
      </c>
      <c r="D206" s="9">
        <v>0.0</v>
      </c>
      <c r="E206" s="9">
        <v>2337.0</v>
      </c>
      <c r="F206" s="7" t="s">
        <v>363</v>
      </c>
      <c r="G206" s="7" t="s">
        <v>364</v>
      </c>
      <c r="H206" s="7" t="s">
        <v>365</v>
      </c>
      <c r="I206" s="7" t="s">
        <v>355</v>
      </c>
      <c r="J206" s="14"/>
      <c r="K206" s="14"/>
      <c r="O206" s="22"/>
      <c r="P206" s="22"/>
      <c r="Q206" s="23"/>
      <c r="R206" s="23"/>
      <c r="S206" s="14"/>
    </row>
    <row r="207" ht="18.75" customHeight="1">
      <c r="A207" s="7" t="s">
        <v>362</v>
      </c>
      <c r="B207" s="7" t="s">
        <v>3883</v>
      </c>
      <c r="C207" s="9">
        <v>9343.0</v>
      </c>
      <c r="D207" s="9">
        <v>254.0</v>
      </c>
      <c r="E207" s="9">
        <v>13.0</v>
      </c>
      <c r="F207" s="7" t="s">
        <v>363</v>
      </c>
      <c r="G207" s="7" t="s">
        <v>364</v>
      </c>
      <c r="H207" s="7" t="s">
        <v>365</v>
      </c>
      <c r="I207" s="7" t="s">
        <v>355</v>
      </c>
      <c r="J207" s="14"/>
      <c r="K207" s="14"/>
      <c r="O207" s="22"/>
      <c r="P207" s="22"/>
      <c r="Q207" s="23"/>
      <c r="R207" s="23"/>
      <c r="S207" s="14"/>
    </row>
    <row r="208" ht="18.75" customHeight="1">
      <c r="A208" s="7" t="s">
        <v>362</v>
      </c>
      <c r="B208" s="7" t="s">
        <v>3883</v>
      </c>
      <c r="C208" s="9">
        <v>732115.0</v>
      </c>
      <c r="D208" s="9">
        <v>6673.0</v>
      </c>
      <c r="E208" s="9">
        <v>854.0</v>
      </c>
      <c r="F208" s="7" t="s">
        <v>363</v>
      </c>
      <c r="G208" s="7" t="s">
        <v>364</v>
      </c>
      <c r="H208" s="7" t="s">
        <v>365</v>
      </c>
      <c r="I208" s="7" t="s">
        <v>355</v>
      </c>
      <c r="J208" s="14"/>
      <c r="K208" s="14"/>
      <c r="O208" s="22"/>
      <c r="P208" s="22"/>
      <c r="Q208" s="23"/>
      <c r="R208" s="23"/>
      <c r="S208" s="14"/>
    </row>
    <row r="209" ht="18.75" customHeight="1">
      <c r="A209" s="7" t="s">
        <v>362</v>
      </c>
      <c r="B209" s="7" t="s">
        <v>3883</v>
      </c>
      <c r="C209" s="9">
        <v>556428.0</v>
      </c>
      <c r="D209" s="9">
        <v>39397.0</v>
      </c>
      <c r="E209" s="9">
        <v>46.0</v>
      </c>
      <c r="F209" s="7" t="s">
        <v>363</v>
      </c>
      <c r="G209" s="7" t="s">
        <v>364</v>
      </c>
      <c r="H209" s="7" t="s">
        <v>365</v>
      </c>
      <c r="I209" s="7" t="s">
        <v>355</v>
      </c>
      <c r="J209" s="14"/>
      <c r="K209" s="14"/>
      <c r="O209" s="22"/>
      <c r="P209" s="22"/>
      <c r="Q209" s="23"/>
      <c r="R209" s="23"/>
      <c r="S209" s="14"/>
    </row>
    <row r="210" ht="18.75" customHeight="1">
      <c r="A210" s="7" t="s">
        <v>362</v>
      </c>
      <c r="B210" s="7" t="s">
        <v>3883</v>
      </c>
      <c r="C210" s="9">
        <v>484342.0</v>
      </c>
      <c r="D210" s="9">
        <v>10778.0</v>
      </c>
      <c r="E210" s="9">
        <v>614.0</v>
      </c>
      <c r="F210" s="7" t="s">
        <v>363</v>
      </c>
      <c r="G210" s="7" t="s">
        <v>364</v>
      </c>
      <c r="H210" s="7" t="s">
        <v>365</v>
      </c>
      <c r="I210" s="7" t="s">
        <v>355</v>
      </c>
      <c r="J210" s="14"/>
      <c r="K210" s="14"/>
      <c r="O210" s="22"/>
      <c r="P210" s="22"/>
      <c r="Q210" s="23"/>
      <c r="R210" s="23"/>
      <c r="S210" s="14"/>
    </row>
    <row r="211" ht="18.75" customHeight="1">
      <c r="A211" s="7" t="s">
        <v>362</v>
      </c>
      <c r="B211" s="7" t="s">
        <v>3883</v>
      </c>
      <c r="C211" s="9">
        <v>211695.0</v>
      </c>
      <c r="D211" s="9">
        <v>0.0</v>
      </c>
      <c r="E211" s="9">
        <v>9885.0</v>
      </c>
      <c r="F211" s="7" t="s">
        <v>363</v>
      </c>
      <c r="G211" s="7" t="s">
        <v>364</v>
      </c>
      <c r="H211" s="7" t="s">
        <v>365</v>
      </c>
      <c r="I211" s="7" t="s">
        <v>355</v>
      </c>
      <c r="J211" s="14"/>
      <c r="K211" s="14"/>
      <c r="O211" s="22"/>
      <c r="P211" s="22"/>
      <c r="Q211" s="23"/>
      <c r="R211" s="23"/>
      <c r="S211" s="14"/>
    </row>
    <row r="212" ht="18.75" customHeight="1">
      <c r="A212" s="7" t="s">
        <v>362</v>
      </c>
      <c r="B212" s="7" t="s">
        <v>3883</v>
      </c>
      <c r="C212" s="9">
        <v>636739.0</v>
      </c>
      <c r="D212" s="9">
        <v>0.0</v>
      </c>
      <c r="E212" s="9">
        <v>32.0</v>
      </c>
      <c r="F212" s="7" t="s">
        <v>363</v>
      </c>
      <c r="G212" s="7" t="s">
        <v>364</v>
      </c>
      <c r="H212" s="7" t="s">
        <v>365</v>
      </c>
      <c r="I212" s="7" t="s">
        <v>355</v>
      </c>
      <c r="J212" s="14"/>
      <c r="K212" s="14"/>
      <c r="O212" s="22"/>
      <c r="P212" s="22"/>
      <c r="Q212" s="23"/>
      <c r="R212" s="23"/>
      <c r="S212" s="14"/>
    </row>
    <row r="213" ht="18.75" customHeight="1">
      <c r="A213" s="7" t="s">
        <v>362</v>
      </c>
      <c r="B213" s="7" t="s">
        <v>3883</v>
      </c>
      <c r="C213" s="9">
        <v>0.0</v>
      </c>
      <c r="D213" s="9">
        <v>0.0</v>
      </c>
      <c r="E213" s="9">
        <v>0.0</v>
      </c>
      <c r="F213" s="7" t="s">
        <v>363</v>
      </c>
      <c r="G213" s="7" t="s">
        <v>364</v>
      </c>
      <c r="H213" s="7" t="s">
        <v>365</v>
      </c>
      <c r="I213" s="7" t="s">
        <v>355</v>
      </c>
      <c r="J213" s="14"/>
      <c r="K213" s="14"/>
      <c r="O213" s="22"/>
      <c r="P213" s="22"/>
      <c r="Q213" s="23"/>
      <c r="R213" s="23"/>
      <c r="S213" s="14"/>
    </row>
    <row r="214" ht="18.75" customHeight="1">
      <c r="A214" s="7" t="s">
        <v>362</v>
      </c>
      <c r="B214" s="7" t="s">
        <v>3883</v>
      </c>
      <c r="C214" s="9">
        <v>509565.0</v>
      </c>
      <c r="D214" s="9">
        <v>7978.0</v>
      </c>
      <c r="E214" s="9">
        <v>659.0</v>
      </c>
      <c r="F214" s="7" t="s">
        <v>363</v>
      </c>
      <c r="G214" s="7" t="s">
        <v>364</v>
      </c>
      <c r="H214" s="7" t="s">
        <v>365</v>
      </c>
      <c r="I214" s="7" t="s">
        <v>355</v>
      </c>
      <c r="J214" s="14"/>
      <c r="K214" s="14"/>
      <c r="O214" s="22"/>
      <c r="P214" s="22"/>
      <c r="Q214" s="23"/>
      <c r="R214" s="23"/>
      <c r="S214" s="14"/>
    </row>
    <row r="215" ht="18.75" customHeight="1">
      <c r="A215" s="7" t="s">
        <v>362</v>
      </c>
      <c r="B215" s="7" t="s">
        <v>3883</v>
      </c>
      <c r="C215" s="9">
        <v>793041.0</v>
      </c>
      <c r="D215" s="9">
        <v>23407.0</v>
      </c>
      <c r="E215" s="9">
        <v>388.0</v>
      </c>
      <c r="F215" s="7" t="s">
        <v>363</v>
      </c>
      <c r="G215" s="7" t="s">
        <v>364</v>
      </c>
      <c r="H215" s="7" t="s">
        <v>365</v>
      </c>
      <c r="I215" s="7" t="s">
        <v>355</v>
      </c>
      <c r="J215" s="14"/>
      <c r="K215" s="14"/>
      <c r="O215" s="22"/>
      <c r="P215" s="22"/>
      <c r="Q215" s="23"/>
      <c r="R215" s="23"/>
      <c r="S215" s="14"/>
    </row>
    <row r="216" ht="18.75" customHeight="1">
      <c r="A216" s="7" t="s">
        <v>362</v>
      </c>
      <c r="B216" s="7" t="s">
        <v>3883</v>
      </c>
      <c r="C216" s="9">
        <v>527524.0</v>
      </c>
      <c r="D216" s="9">
        <v>12422.0</v>
      </c>
      <c r="E216" s="9">
        <v>658.0</v>
      </c>
      <c r="F216" s="7" t="s">
        <v>363</v>
      </c>
      <c r="G216" s="7" t="s">
        <v>364</v>
      </c>
      <c r="H216" s="7" t="s">
        <v>365</v>
      </c>
      <c r="I216" s="7" t="s">
        <v>355</v>
      </c>
      <c r="J216" s="14"/>
      <c r="K216" s="14"/>
      <c r="O216" s="22"/>
      <c r="P216" s="22"/>
      <c r="Q216" s="23"/>
      <c r="R216" s="23"/>
      <c r="S216" s="14"/>
    </row>
    <row r="217" ht="18.75" customHeight="1">
      <c r="A217" s="7" t="s">
        <v>362</v>
      </c>
      <c r="B217" s="7" t="s">
        <v>3883</v>
      </c>
      <c r="C217" s="9">
        <v>595939.0</v>
      </c>
      <c r="D217" s="9">
        <v>16661.0</v>
      </c>
      <c r="E217" s="9">
        <v>183.0</v>
      </c>
      <c r="F217" s="7" t="s">
        <v>363</v>
      </c>
      <c r="G217" s="7" t="s">
        <v>364</v>
      </c>
      <c r="H217" s="7" t="s">
        <v>365</v>
      </c>
      <c r="I217" s="7" t="s">
        <v>355</v>
      </c>
      <c r="J217" s="14"/>
      <c r="K217" s="14"/>
      <c r="O217" s="22"/>
      <c r="P217" s="22"/>
      <c r="Q217" s="23"/>
      <c r="R217" s="23"/>
      <c r="S217" s="14"/>
    </row>
    <row r="218" ht="18.75" customHeight="1">
      <c r="A218" s="7" t="s">
        <v>362</v>
      </c>
      <c r="B218" s="7" t="s">
        <v>3883</v>
      </c>
      <c r="C218" s="9">
        <v>575372.0</v>
      </c>
      <c r="D218" s="9">
        <v>33758.0</v>
      </c>
      <c r="E218" s="9">
        <v>358.0</v>
      </c>
      <c r="F218" s="7" t="s">
        <v>363</v>
      </c>
      <c r="G218" s="7" t="s">
        <v>364</v>
      </c>
      <c r="H218" s="7" t="s">
        <v>365</v>
      </c>
      <c r="I218" s="7" t="s">
        <v>355</v>
      </c>
      <c r="J218" s="14"/>
      <c r="K218" s="14"/>
      <c r="O218" s="22"/>
      <c r="P218" s="22"/>
      <c r="Q218" s="23"/>
      <c r="R218" s="23"/>
      <c r="S218" s="14"/>
    </row>
    <row r="219" ht="18.75" customHeight="1">
      <c r="A219" s="7" t="s">
        <v>362</v>
      </c>
      <c r="B219" s="7" t="s">
        <v>3883</v>
      </c>
      <c r="C219" s="9">
        <v>646583.0</v>
      </c>
      <c r="D219" s="9">
        <v>34356.0</v>
      </c>
      <c r="E219" s="9">
        <v>523.0</v>
      </c>
      <c r="F219" s="7" t="s">
        <v>363</v>
      </c>
      <c r="G219" s="7" t="s">
        <v>364</v>
      </c>
      <c r="H219" s="7" t="s">
        <v>365</v>
      </c>
      <c r="I219" s="7" t="s">
        <v>355</v>
      </c>
      <c r="J219" s="14"/>
      <c r="K219" s="14"/>
      <c r="O219" s="22"/>
      <c r="P219" s="22"/>
      <c r="Q219" s="23"/>
      <c r="R219" s="23"/>
      <c r="S219" s="14"/>
    </row>
    <row r="220" ht="18.75" customHeight="1">
      <c r="A220" s="7" t="s">
        <v>362</v>
      </c>
      <c r="B220" s="7" t="s">
        <v>3883</v>
      </c>
      <c r="C220" s="9">
        <v>542402.0</v>
      </c>
      <c r="D220" s="9">
        <v>27382.0</v>
      </c>
      <c r="E220" s="9">
        <v>651.0</v>
      </c>
      <c r="F220" s="7" t="s">
        <v>363</v>
      </c>
      <c r="G220" s="7" t="s">
        <v>364</v>
      </c>
      <c r="H220" s="7" t="s">
        <v>365</v>
      </c>
      <c r="I220" s="7" t="s">
        <v>355</v>
      </c>
      <c r="J220" s="14"/>
      <c r="K220" s="14"/>
      <c r="O220" s="22"/>
      <c r="P220" s="22"/>
      <c r="Q220" s="23"/>
      <c r="R220" s="23"/>
      <c r="S220" s="14"/>
    </row>
    <row r="221" ht="18.75" customHeight="1">
      <c r="A221" s="7" t="s">
        <v>362</v>
      </c>
      <c r="B221" s="7" t="s">
        <v>3883</v>
      </c>
      <c r="C221" s="9">
        <v>583509.0</v>
      </c>
      <c r="D221" s="9">
        <v>28692.0</v>
      </c>
      <c r="E221" s="9">
        <v>485.0</v>
      </c>
      <c r="F221" s="7" t="s">
        <v>363</v>
      </c>
      <c r="G221" s="7" t="s">
        <v>364</v>
      </c>
      <c r="H221" s="7" t="s">
        <v>365</v>
      </c>
      <c r="I221" s="7" t="s">
        <v>355</v>
      </c>
      <c r="J221" s="14"/>
      <c r="K221" s="14"/>
      <c r="O221" s="22"/>
      <c r="P221" s="22"/>
      <c r="Q221" s="23"/>
      <c r="R221" s="23"/>
      <c r="S221" s="14"/>
    </row>
    <row r="222" ht="18.75" customHeight="1">
      <c r="A222" s="7" t="s">
        <v>362</v>
      </c>
      <c r="B222" s="7" t="s">
        <v>3883</v>
      </c>
      <c r="C222" s="9">
        <v>711249.0</v>
      </c>
      <c r="D222" s="9">
        <v>28570.0</v>
      </c>
      <c r="E222" s="9">
        <v>669.0</v>
      </c>
      <c r="F222" s="7" t="s">
        <v>363</v>
      </c>
      <c r="G222" s="7" t="s">
        <v>364</v>
      </c>
      <c r="H222" s="7" t="s">
        <v>365</v>
      </c>
      <c r="I222" s="7" t="s">
        <v>355</v>
      </c>
      <c r="J222" s="14"/>
      <c r="K222" s="14"/>
      <c r="O222" s="22"/>
      <c r="P222" s="22"/>
      <c r="Q222" s="23"/>
      <c r="R222" s="23"/>
      <c r="S222" s="14"/>
    </row>
    <row r="223" ht="18.75" customHeight="1">
      <c r="A223" s="7" t="s">
        <v>362</v>
      </c>
      <c r="B223" s="7" t="s">
        <v>3883</v>
      </c>
      <c r="C223" s="9">
        <v>636739.0</v>
      </c>
      <c r="D223" s="9">
        <v>0.0</v>
      </c>
      <c r="E223" s="9">
        <v>32.0</v>
      </c>
      <c r="F223" s="7" t="s">
        <v>363</v>
      </c>
      <c r="G223" s="7" t="s">
        <v>364</v>
      </c>
      <c r="H223" s="7" t="s">
        <v>365</v>
      </c>
      <c r="I223" s="7" t="s">
        <v>355</v>
      </c>
      <c r="J223" s="14"/>
      <c r="K223" s="14"/>
      <c r="O223" s="22"/>
      <c r="P223" s="22"/>
      <c r="Q223" s="23"/>
      <c r="R223" s="23"/>
      <c r="S223" s="14"/>
    </row>
    <row r="224" ht="18.75" customHeight="1">
      <c r="A224" s="7" t="s">
        <v>362</v>
      </c>
      <c r="B224" s="7" t="s">
        <v>3883</v>
      </c>
      <c r="C224" s="9">
        <v>714918.0</v>
      </c>
      <c r="D224" s="9">
        <v>8233.0</v>
      </c>
      <c r="E224" s="9">
        <v>923.0</v>
      </c>
      <c r="F224" s="7" t="s">
        <v>363</v>
      </c>
      <c r="G224" s="7" t="s">
        <v>364</v>
      </c>
      <c r="H224" s="7" t="s">
        <v>365</v>
      </c>
      <c r="I224" s="7" t="s">
        <v>355</v>
      </c>
      <c r="J224" s="14"/>
      <c r="K224" s="14"/>
      <c r="O224" s="22"/>
      <c r="P224" s="22"/>
      <c r="Q224" s="23"/>
      <c r="R224" s="23"/>
      <c r="S224" s="14"/>
    </row>
    <row r="225" ht="18.75" customHeight="1">
      <c r="A225" s="7" t="s">
        <v>3571</v>
      </c>
      <c r="B225" s="7" t="s">
        <v>3883</v>
      </c>
      <c r="C225" s="9">
        <v>35732.0</v>
      </c>
      <c r="D225" s="9">
        <v>0.0</v>
      </c>
      <c r="E225" s="9">
        <v>838.0</v>
      </c>
      <c r="F225" s="7" t="s">
        <v>3876</v>
      </c>
      <c r="G225" s="7" t="s">
        <v>353</v>
      </c>
      <c r="H225" s="7" t="s">
        <v>413</v>
      </c>
      <c r="I225" s="7" t="s">
        <v>355</v>
      </c>
      <c r="J225" s="14"/>
      <c r="K225" s="14"/>
      <c r="O225" s="22"/>
      <c r="P225" s="22"/>
      <c r="Q225" s="23"/>
      <c r="R225" s="23"/>
      <c r="S225" s="14"/>
    </row>
    <row r="226" ht="18.75" customHeight="1">
      <c r="A226" s="7" t="s">
        <v>3571</v>
      </c>
      <c r="B226" s="7" t="s">
        <v>3883</v>
      </c>
      <c r="C226" s="9">
        <v>3181.0</v>
      </c>
      <c r="D226" s="9">
        <v>0.0</v>
      </c>
      <c r="E226" s="9">
        <v>287.0</v>
      </c>
      <c r="F226" s="7" t="s">
        <v>3876</v>
      </c>
      <c r="G226" s="7" t="s">
        <v>353</v>
      </c>
      <c r="H226" s="7" t="s">
        <v>413</v>
      </c>
      <c r="I226" s="7" t="s">
        <v>355</v>
      </c>
      <c r="J226" s="14"/>
      <c r="K226" s="14"/>
      <c r="O226" s="22"/>
      <c r="P226" s="22"/>
      <c r="Q226" s="23"/>
      <c r="R226" s="23"/>
      <c r="S226" s="14"/>
    </row>
    <row r="227" ht="18.75" customHeight="1">
      <c r="A227" s="7" t="s">
        <v>3571</v>
      </c>
      <c r="B227" s="7" t="s">
        <v>3883</v>
      </c>
      <c r="C227" s="9">
        <v>53806.0</v>
      </c>
      <c r="D227" s="9">
        <v>248.0</v>
      </c>
      <c r="E227" s="9">
        <v>6.0</v>
      </c>
      <c r="F227" s="7" t="s">
        <v>3876</v>
      </c>
      <c r="G227" s="7" t="s">
        <v>353</v>
      </c>
      <c r="H227" s="7" t="s">
        <v>413</v>
      </c>
      <c r="I227" s="7" t="s">
        <v>355</v>
      </c>
      <c r="J227" s="14"/>
      <c r="K227" s="14"/>
      <c r="O227" s="22"/>
      <c r="P227" s="22"/>
      <c r="Q227" s="23"/>
      <c r="R227" s="23"/>
      <c r="S227" s="14"/>
    </row>
    <row r="228" ht="18.75" customHeight="1">
      <c r="A228" s="7" t="s">
        <v>3571</v>
      </c>
      <c r="B228" s="7" t="s">
        <v>3883</v>
      </c>
      <c r="C228" s="9">
        <v>597590.0</v>
      </c>
      <c r="D228" s="9">
        <v>136480.0</v>
      </c>
      <c r="E228" s="9">
        <v>636.0</v>
      </c>
      <c r="F228" s="7" t="s">
        <v>3876</v>
      </c>
      <c r="G228" s="7" t="s">
        <v>353</v>
      </c>
      <c r="H228" s="7" t="s">
        <v>413</v>
      </c>
      <c r="I228" s="7" t="s">
        <v>355</v>
      </c>
      <c r="J228" s="14"/>
      <c r="K228" s="14"/>
      <c r="O228" s="22"/>
      <c r="P228" s="22"/>
      <c r="Q228" s="23"/>
      <c r="R228" s="23"/>
      <c r="S228" s="14"/>
    </row>
    <row r="229" ht="18.75" customHeight="1">
      <c r="A229" s="7" t="s">
        <v>3571</v>
      </c>
      <c r="B229" s="7" t="s">
        <v>3883</v>
      </c>
      <c r="C229" s="9">
        <v>861561.0</v>
      </c>
      <c r="D229" s="9">
        <v>0.0</v>
      </c>
      <c r="E229" s="9">
        <v>24192.0</v>
      </c>
      <c r="F229" s="7" t="s">
        <v>3876</v>
      </c>
      <c r="G229" s="7" t="s">
        <v>353</v>
      </c>
      <c r="H229" s="7" t="s">
        <v>413</v>
      </c>
      <c r="I229" s="7" t="s">
        <v>355</v>
      </c>
      <c r="J229" s="14"/>
      <c r="K229" s="14"/>
      <c r="O229" s="22"/>
      <c r="P229" s="22"/>
      <c r="Q229" s="23"/>
      <c r="R229" s="23"/>
      <c r="S229" s="14"/>
    </row>
    <row r="230" ht="18.75" customHeight="1">
      <c r="A230" s="7" t="s">
        <v>3571</v>
      </c>
      <c r="B230" s="7" t="s">
        <v>3883</v>
      </c>
      <c r="C230" s="9">
        <v>386876.0</v>
      </c>
      <c r="D230" s="9">
        <v>10490.0</v>
      </c>
      <c r="E230" s="9">
        <v>786.0</v>
      </c>
      <c r="F230" s="7" t="s">
        <v>3876</v>
      </c>
      <c r="G230" s="7" t="s">
        <v>353</v>
      </c>
      <c r="H230" s="7" t="s">
        <v>413</v>
      </c>
      <c r="I230" s="7" t="s">
        <v>355</v>
      </c>
      <c r="J230" s="14"/>
      <c r="K230" s="14"/>
      <c r="O230" s="22"/>
      <c r="P230" s="22"/>
      <c r="Q230" s="23"/>
      <c r="R230" s="23"/>
      <c r="S230" s="14"/>
    </row>
    <row r="231" ht="18.75" customHeight="1">
      <c r="A231" s="7" t="s">
        <v>379</v>
      </c>
      <c r="B231" s="7" t="s">
        <v>3883</v>
      </c>
      <c r="C231" s="9">
        <v>4748875.0</v>
      </c>
      <c r="D231" s="9">
        <v>0.0</v>
      </c>
      <c r="E231" s="9">
        <v>163613.0</v>
      </c>
      <c r="F231" s="7" t="s">
        <v>380</v>
      </c>
      <c r="G231" s="7" t="s">
        <v>353</v>
      </c>
      <c r="H231" s="7" t="s">
        <v>354</v>
      </c>
      <c r="I231" s="7" t="s">
        <v>355</v>
      </c>
      <c r="J231" s="14"/>
      <c r="K231" s="14"/>
      <c r="O231" s="22"/>
      <c r="P231" s="22"/>
      <c r="Q231" s="23"/>
      <c r="R231" s="23"/>
      <c r="S231" s="14"/>
    </row>
    <row r="232" ht="18.75" customHeight="1">
      <c r="A232" s="7" t="s">
        <v>379</v>
      </c>
      <c r="B232" s="7" t="s">
        <v>3883</v>
      </c>
      <c r="C232" s="9">
        <v>178742.0</v>
      </c>
      <c r="D232" s="9">
        <v>0.0</v>
      </c>
      <c r="E232" s="9">
        <v>11801.0</v>
      </c>
      <c r="F232" s="7" t="s">
        <v>380</v>
      </c>
      <c r="G232" s="7" t="s">
        <v>353</v>
      </c>
      <c r="H232" s="7" t="s">
        <v>354</v>
      </c>
      <c r="I232" s="7" t="s">
        <v>355</v>
      </c>
      <c r="J232" s="14"/>
      <c r="K232" s="14"/>
      <c r="O232" s="22"/>
      <c r="P232" s="22"/>
      <c r="Q232" s="23"/>
      <c r="R232" s="23"/>
      <c r="S232" s="14"/>
    </row>
    <row r="233" ht="18.75" customHeight="1">
      <c r="A233" s="7" t="s">
        <v>3010</v>
      </c>
      <c r="B233" s="7" t="s">
        <v>3883</v>
      </c>
      <c r="C233" s="9">
        <v>148136.0</v>
      </c>
      <c r="D233" s="9">
        <v>4792.0</v>
      </c>
      <c r="E233" s="9">
        <v>147.0</v>
      </c>
      <c r="F233" s="7" t="s">
        <v>3877</v>
      </c>
      <c r="G233" s="7" t="s">
        <v>358</v>
      </c>
      <c r="H233" s="7" t="s">
        <v>365</v>
      </c>
      <c r="I233" s="7" t="s">
        <v>355</v>
      </c>
      <c r="J233" s="14"/>
      <c r="K233" s="14"/>
      <c r="O233" s="22"/>
      <c r="P233" s="22"/>
      <c r="Q233" s="23"/>
      <c r="R233" s="23"/>
      <c r="S233" s="14"/>
    </row>
    <row r="234" ht="18.75" customHeight="1">
      <c r="A234" s="7" t="s">
        <v>3010</v>
      </c>
      <c r="B234" s="7" t="s">
        <v>3883</v>
      </c>
      <c r="C234" s="9">
        <v>85201.0</v>
      </c>
      <c r="D234" s="9">
        <v>0.0</v>
      </c>
      <c r="E234" s="9">
        <v>2603.0</v>
      </c>
      <c r="F234" s="7" t="s">
        <v>3877</v>
      </c>
      <c r="G234" s="7" t="s">
        <v>358</v>
      </c>
      <c r="H234" s="7" t="s">
        <v>365</v>
      </c>
      <c r="I234" s="7" t="s">
        <v>355</v>
      </c>
      <c r="J234" s="14"/>
      <c r="K234" s="14"/>
      <c r="O234" s="22"/>
      <c r="P234" s="22"/>
      <c r="Q234" s="23"/>
      <c r="R234" s="23"/>
      <c r="S234" s="14"/>
    </row>
    <row r="235" ht="18.75" customHeight="1">
      <c r="A235" s="7" t="s">
        <v>351</v>
      </c>
      <c r="B235" s="7" t="s">
        <v>3883</v>
      </c>
      <c r="C235" s="9">
        <v>106057.0</v>
      </c>
      <c r="D235" s="9">
        <v>0.0</v>
      </c>
      <c r="E235" s="9">
        <v>6571.0</v>
      </c>
      <c r="F235" s="7" t="s">
        <v>352</v>
      </c>
      <c r="G235" s="7" t="s">
        <v>353</v>
      </c>
      <c r="H235" s="7" t="s">
        <v>354</v>
      </c>
      <c r="I235" s="7" t="s">
        <v>410</v>
      </c>
      <c r="J235" s="14"/>
      <c r="K235" s="14"/>
      <c r="O235" s="22"/>
      <c r="P235" s="22"/>
      <c r="Q235" s="23"/>
      <c r="R235" s="23"/>
      <c r="S235" s="14"/>
    </row>
    <row r="236" ht="18.75" customHeight="1">
      <c r="A236" s="7" t="s">
        <v>351</v>
      </c>
      <c r="B236" s="7" t="s">
        <v>3883</v>
      </c>
      <c r="C236" s="9">
        <v>4442299.0</v>
      </c>
      <c r="D236" s="9">
        <v>0.0</v>
      </c>
      <c r="E236" s="9">
        <v>105951.0</v>
      </c>
      <c r="F236" s="7" t="s">
        <v>352</v>
      </c>
      <c r="G236" s="7" t="s">
        <v>353</v>
      </c>
      <c r="H236" s="7" t="s">
        <v>354</v>
      </c>
      <c r="I236" s="7" t="s">
        <v>410</v>
      </c>
      <c r="J236" s="14"/>
      <c r="K236" s="14"/>
      <c r="O236" s="22"/>
      <c r="P236" s="22"/>
      <c r="Q236" s="23"/>
      <c r="R236" s="23"/>
      <c r="S236" s="14"/>
    </row>
    <row r="237" ht="18.75" customHeight="1">
      <c r="A237" s="7" t="s">
        <v>351</v>
      </c>
      <c r="B237" s="7" t="s">
        <v>3883</v>
      </c>
      <c r="C237" s="9">
        <v>1542817.0</v>
      </c>
      <c r="D237" s="9">
        <v>24143.0</v>
      </c>
      <c r="E237" s="9">
        <v>1912.0</v>
      </c>
      <c r="F237" s="7" t="s">
        <v>352</v>
      </c>
      <c r="G237" s="7" t="s">
        <v>353</v>
      </c>
      <c r="H237" s="7" t="s">
        <v>354</v>
      </c>
      <c r="I237" s="7" t="s">
        <v>410</v>
      </c>
      <c r="J237" s="14"/>
      <c r="K237" s="14"/>
      <c r="O237" s="22"/>
      <c r="P237" s="22"/>
      <c r="Q237" s="23"/>
      <c r="R237" s="23"/>
      <c r="S237" s="14"/>
    </row>
    <row r="238" ht="18.75" customHeight="1">
      <c r="A238" s="7" t="s">
        <v>351</v>
      </c>
      <c r="B238" s="7" t="s">
        <v>3883</v>
      </c>
      <c r="C238" s="9">
        <v>3047366.0</v>
      </c>
      <c r="D238" s="9">
        <v>30943.0</v>
      </c>
      <c r="E238" s="9">
        <v>6014.0</v>
      </c>
      <c r="F238" s="7" t="s">
        <v>352</v>
      </c>
      <c r="G238" s="7" t="s">
        <v>353</v>
      </c>
      <c r="H238" s="7" t="s">
        <v>354</v>
      </c>
      <c r="I238" s="7" t="s">
        <v>410</v>
      </c>
      <c r="J238" s="14"/>
      <c r="K238" s="14"/>
      <c r="O238" s="22"/>
      <c r="P238" s="22"/>
      <c r="Q238" s="23"/>
      <c r="R238" s="23"/>
      <c r="S238" s="14"/>
    </row>
    <row r="239" ht="18.75" customHeight="1">
      <c r="A239" s="7" t="s">
        <v>351</v>
      </c>
      <c r="B239" s="7" t="s">
        <v>3883</v>
      </c>
      <c r="C239" s="9">
        <v>1053759.0</v>
      </c>
      <c r="D239" s="9">
        <v>0.0</v>
      </c>
      <c r="E239" s="9">
        <v>106.0</v>
      </c>
      <c r="F239" s="7" t="s">
        <v>352</v>
      </c>
      <c r="G239" s="7" t="s">
        <v>353</v>
      </c>
      <c r="H239" s="7" t="s">
        <v>354</v>
      </c>
      <c r="I239" s="7" t="s">
        <v>410</v>
      </c>
      <c r="J239" s="14"/>
      <c r="K239" s="14"/>
      <c r="O239" s="22"/>
      <c r="P239" s="22"/>
      <c r="Q239" s="23"/>
      <c r="R239" s="23"/>
      <c r="S239" s="14"/>
    </row>
    <row r="240" ht="18.75" customHeight="1">
      <c r="A240" s="7" t="s">
        <v>351</v>
      </c>
      <c r="B240" s="7" t="s">
        <v>3883</v>
      </c>
      <c r="C240" s="9">
        <v>34811.0</v>
      </c>
      <c r="D240" s="9">
        <v>0.0</v>
      </c>
      <c r="E240" s="9">
        <v>0.0</v>
      </c>
      <c r="F240" s="7" t="s">
        <v>352</v>
      </c>
      <c r="G240" s="7" t="s">
        <v>353</v>
      </c>
      <c r="H240" s="7" t="s">
        <v>354</v>
      </c>
      <c r="I240" s="7" t="s">
        <v>410</v>
      </c>
      <c r="J240" s="14"/>
      <c r="K240" s="14"/>
      <c r="O240" s="22"/>
      <c r="P240" s="22"/>
      <c r="Q240" s="23"/>
      <c r="R240" s="23"/>
      <c r="S240" s="14"/>
    </row>
    <row r="241" ht="18.75" customHeight="1">
      <c r="A241" s="7" t="s">
        <v>351</v>
      </c>
      <c r="B241" s="7" t="s">
        <v>3883</v>
      </c>
      <c r="C241" s="9">
        <v>5242961.0</v>
      </c>
      <c r="D241" s="9">
        <v>0.0</v>
      </c>
      <c r="E241" s="9">
        <v>158981.0</v>
      </c>
      <c r="F241" s="7" t="s">
        <v>352</v>
      </c>
      <c r="G241" s="7" t="s">
        <v>353</v>
      </c>
      <c r="H241" s="7" t="s">
        <v>354</v>
      </c>
      <c r="I241" s="7" t="s">
        <v>410</v>
      </c>
      <c r="J241" s="14"/>
      <c r="K241" s="14"/>
      <c r="O241" s="22"/>
      <c r="P241" s="22"/>
      <c r="Q241" s="23"/>
      <c r="R241" s="23"/>
      <c r="S241" s="14"/>
    </row>
    <row r="242" ht="18.75" customHeight="1">
      <c r="A242" s="7" t="s">
        <v>351</v>
      </c>
      <c r="B242" s="7" t="s">
        <v>3883</v>
      </c>
      <c r="C242" s="9">
        <v>4510456.0</v>
      </c>
      <c r="D242" s="9">
        <v>171014.0</v>
      </c>
      <c r="E242" s="9">
        <v>3897.0</v>
      </c>
      <c r="F242" s="7" t="s">
        <v>352</v>
      </c>
      <c r="G242" s="7" t="s">
        <v>353</v>
      </c>
      <c r="H242" s="7" t="s">
        <v>354</v>
      </c>
      <c r="I242" s="7" t="s">
        <v>410</v>
      </c>
      <c r="J242" s="14"/>
      <c r="K242" s="14"/>
      <c r="O242" s="22"/>
      <c r="P242" s="22"/>
      <c r="Q242" s="23"/>
      <c r="R242" s="23"/>
      <c r="S242" s="14"/>
    </row>
    <row r="243" ht="18.75" customHeight="1">
      <c r="A243" s="7" t="s">
        <v>351</v>
      </c>
      <c r="B243" s="7" t="s">
        <v>3883</v>
      </c>
      <c r="C243" s="9">
        <v>2253805.0</v>
      </c>
      <c r="D243" s="9">
        <v>32790.0</v>
      </c>
      <c r="E243" s="9">
        <v>3985.0</v>
      </c>
      <c r="F243" s="7" t="s">
        <v>352</v>
      </c>
      <c r="G243" s="7" t="s">
        <v>353</v>
      </c>
      <c r="H243" s="7" t="s">
        <v>354</v>
      </c>
      <c r="I243" s="7" t="s">
        <v>410</v>
      </c>
      <c r="J243" s="14"/>
      <c r="K243" s="14"/>
      <c r="O243" s="22"/>
      <c r="P243" s="22"/>
      <c r="Q243" s="23"/>
      <c r="R243" s="23"/>
      <c r="S243" s="14"/>
    </row>
    <row r="244" ht="18.75" customHeight="1">
      <c r="A244" s="7" t="s">
        <v>351</v>
      </c>
      <c r="B244" s="7" t="s">
        <v>3883</v>
      </c>
      <c r="C244" s="9">
        <v>428417.0</v>
      </c>
      <c r="D244" s="9">
        <v>0.0</v>
      </c>
      <c r="E244" s="9">
        <v>116.0</v>
      </c>
      <c r="F244" s="7" t="s">
        <v>352</v>
      </c>
      <c r="G244" s="7" t="s">
        <v>353</v>
      </c>
      <c r="H244" s="7" t="s">
        <v>354</v>
      </c>
      <c r="I244" s="7" t="s">
        <v>410</v>
      </c>
      <c r="J244" s="14"/>
      <c r="K244" s="14"/>
      <c r="O244" s="22"/>
      <c r="P244" s="22"/>
      <c r="Q244" s="23"/>
      <c r="R244" s="23"/>
      <c r="S244" s="14"/>
    </row>
    <row r="245" ht="18.75" customHeight="1">
      <c r="A245" s="7" t="s">
        <v>351</v>
      </c>
      <c r="B245" s="7" t="s">
        <v>3883</v>
      </c>
      <c r="C245" s="9">
        <v>4251831.0</v>
      </c>
      <c r="D245" s="9">
        <v>205641.0</v>
      </c>
      <c r="E245" s="9">
        <v>121815.0</v>
      </c>
      <c r="F245" s="7" t="s">
        <v>352</v>
      </c>
      <c r="G245" s="7" t="s">
        <v>353</v>
      </c>
      <c r="H245" s="7" t="s">
        <v>354</v>
      </c>
      <c r="I245" s="7" t="s">
        <v>410</v>
      </c>
      <c r="J245" s="14"/>
      <c r="K245" s="14"/>
      <c r="O245" s="22"/>
      <c r="P245" s="22"/>
      <c r="Q245" s="23"/>
      <c r="R245" s="23"/>
      <c r="S245" s="14"/>
    </row>
    <row r="246" ht="18.75" customHeight="1">
      <c r="A246" s="7" t="s">
        <v>351</v>
      </c>
      <c r="B246" s="7" t="s">
        <v>3883</v>
      </c>
      <c r="C246" s="9">
        <v>406370.0</v>
      </c>
      <c r="D246" s="9">
        <v>0.0</v>
      </c>
      <c r="E246" s="9">
        <v>6316.0</v>
      </c>
      <c r="F246" s="7" t="s">
        <v>352</v>
      </c>
      <c r="G246" s="7" t="s">
        <v>353</v>
      </c>
      <c r="H246" s="7" t="s">
        <v>354</v>
      </c>
      <c r="I246" s="7" t="s">
        <v>410</v>
      </c>
      <c r="J246" s="14"/>
      <c r="K246" s="14"/>
      <c r="O246" s="22"/>
      <c r="P246" s="22"/>
      <c r="Q246" s="23"/>
      <c r="R246" s="23"/>
      <c r="S246" s="14"/>
    </row>
    <row r="247" ht="18.75" customHeight="1">
      <c r="A247" s="7" t="s">
        <v>351</v>
      </c>
      <c r="B247" s="7" t="s">
        <v>3883</v>
      </c>
      <c r="C247" s="9">
        <v>410627.0</v>
      </c>
      <c r="D247" s="9">
        <v>0.0</v>
      </c>
      <c r="E247" s="9">
        <v>6595.0</v>
      </c>
      <c r="F247" s="7" t="s">
        <v>352</v>
      </c>
      <c r="G247" s="7" t="s">
        <v>353</v>
      </c>
      <c r="H247" s="7" t="s">
        <v>354</v>
      </c>
      <c r="I247" s="7" t="s">
        <v>410</v>
      </c>
      <c r="J247" s="14"/>
      <c r="K247" s="14"/>
      <c r="O247" s="22"/>
      <c r="P247" s="22"/>
      <c r="Q247" s="23"/>
      <c r="R247" s="23"/>
      <c r="S247" s="14"/>
    </row>
    <row r="248" ht="18.75" customHeight="1">
      <c r="A248" s="7" t="s">
        <v>351</v>
      </c>
      <c r="B248" s="7" t="s">
        <v>3883</v>
      </c>
      <c r="C248" s="9">
        <v>539020.0</v>
      </c>
      <c r="D248" s="9">
        <v>0.0</v>
      </c>
      <c r="E248" s="9">
        <v>8670.0</v>
      </c>
      <c r="F248" s="7" t="s">
        <v>352</v>
      </c>
      <c r="G248" s="7" t="s">
        <v>353</v>
      </c>
      <c r="H248" s="7" t="s">
        <v>354</v>
      </c>
      <c r="I248" s="7" t="s">
        <v>410</v>
      </c>
      <c r="J248" s="14"/>
      <c r="K248" s="14"/>
      <c r="O248" s="22"/>
      <c r="P248" s="22"/>
      <c r="Q248" s="23"/>
      <c r="R248" s="23"/>
      <c r="S248" s="14"/>
    </row>
    <row r="249" ht="18.75" customHeight="1">
      <c r="A249" s="7" t="s">
        <v>351</v>
      </c>
      <c r="B249" s="7" t="s">
        <v>3883</v>
      </c>
      <c r="C249" s="9">
        <v>546860.0</v>
      </c>
      <c r="D249" s="9">
        <v>0.0</v>
      </c>
      <c r="E249" s="9">
        <v>7044.0</v>
      </c>
      <c r="F249" s="7" t="s">
        <v>352</v>
      </c>
      <c r="G249" s="7" t="s">
        <v>353</v>
      </c>
      <c r="H249" s="7" t="s">
        <v>354</v>
      </c>
      <c r="I249" s="7" t="s">
        <v>410</v>
      </c>
      <c r="J249" s="14"/>
      <c r="K249" s="14"/>
      <c r="O249" s="22"/>
      <c r="P249" s="22"/>
      <c r="Q249" s="23"/>
      <c r="R249" s="23"/>
      <c r="S249" s="14"/>
    </row>
    <row r="250" ht="18.75" customHeight="1">
      <c r="A250" s="7" t="s">
        <v>351</v>
      </c>
      <c r="B250" s="7" t="s">
        <v>3883</v>
      </c>
      <c r="C250" s="9">
        <v>546885.0</v>
      </c>
      <c r="D250" s="9">
        <v>0.0</v>
      </c>
      <c r="E250" s="9">
        <v>8800.0</v>
      </c>
      <c r="F250" s="7" t="s">
        <v>352</v>
      </c>
      <c r="G250" s="7" t="s">
        <v>353</v>
      </c>
      <c r="H250" s="7" t="s">
        <v>354</v>
      </c>
      <c r="I250" s="7" t="s">
        <v>410</v>
      </c>
      <c r="J250" s="14"/>
      <c r="K250" s="14"/>
      <c r="O250" s="22"/>
      <c r="P250" s="22"/>
      <c r="Q250" s="23"/>
      <c r="R250" s="23"/>
      <c r="S250" s="14"/>
    </row>
    <row r="251" ht="18.75" customHeight="1">
      <c r="A251" s="7" t="s">
        <v>351</v>
      </c>
      <c r="B251" s="7" t="s">
        <v>3883</v>
      </c>
      <c r="C251" s="9">
        <v>587169.0</v>
      </c>
      <c r="D251" s="9">
        <v>0.0</v>
      </c>
      <c r="E251" s="9">
        <v>8462.0</v>
      </c>
      <c r="F251" s="7" t="s">
        <v>352</v>
      </c>
      <c r="G251" s="7" t="s">
        <v>353</v>
      </c>
      <c r="H251" s="7" t="s">
        <v>354</v>
      </c>
      <c r="I251" s="7" t="s">
        <v>410</v>
      </c>
      <c r="J251" s="14"/>
      <c r="K251" s="14"/>
      <c r="O251" s="22"/>
      <c r="P251" s="22"/>
      <c r="Q251" s="23"/>
      <c r="R251" s="23"/>
      <c r="S251" s="14"/>
    </row>
    <row r="252" ht="18.75" customHeight="1">
      <c r="A252" s="7" t="s">
        <v>351</v>
      </c>
      <c r="B252" s="7" t="s">
        <v>3883</v>
      </c>
      <c r="C252" s="9">
        <v>432196.0</v>
      </c>
      <c r="D252" s="9">
        <v>0.0</v>
      </c>
      <c r="E252" s="9">
        <v>6475.0</v>
      </c>
      <c r="F252" s="7" t="s">
        <v>352</v>
      </c>
      <c r="G252" s="7" t="s">
        <v>353</v>
      </c>
      <c r="H252" s="7" t="s">
        <v>354</v>
      </c>
      <c r="I252" s="7" t="s">
        <v>410</v>
      </c>
      <c r="J252" s="14"/>
      <c r="K252" s="14"/>
      <c r="O252" s="22"/>
      <c r="P252" s="22"/>
      <c r="Q252" s="23"/>
      <c r="R252" s="23"/>
      <c r="S252" s="14"/>
    </row>
    <row r="253" ht="18.75" customHeight="1">
      <c r="A253" s="7" t="s">
        <v>351</v>
      </c>
      <c r="B253" s="7" t="s">
        <v>3883</v>
      </c>
      <c r="C253" s="9">
        <v>597367.0</v>
      </c>
      <c r="D253" s="9">
        <v>0.0</v>
      </c>
      <c r="E253" s="9">
        <v>8536.0</v>
      </c>
      <c r="F253" s="7" t="s">
        <v>352</v>
      </c>
      <c r="G253" s="7" t="s">
        <v>353</v>
      </c>
      <c r="H253" s="7" t="s">
        <v>354</v>
      </c>
      <c r="I253" s="7" t="s">
        <v>410</v>
      </c>
      <c r="J253" s="14"/>
      <c r="K253" s="14"/>
      <c r="O253" s="22"/>
      <c r="P253" s="22"/>
      <c r="Q253" s="23"/>
      <c r="R253" s="23"/>
      <c r="S253" s="14"/>
    </row>
    <row r="254" ht="18.75" customHeight="1">
      <c r="A254" s="7" t="s">
        <v>390</v>
      </c>
      <c r="B254" s="7" t="s">
        <v>3883</v>
      </c>
      <c r="C254" s="9">
        <v>218053.0</v>
      </c>
      <c r="D254" s="9">
        <v>0.0</v>
      </c>
      <c r="E254" s="9">
        <v>6559.0</v>
      </c>
      <c r="F254" s="7" t="s">
        <v>391</v>
      </c>
      <c r="G254" s="7" t="s">
        <v>364</v>
      </c>
      <c r="H254" s="7" t="s">
        <v>365</v>
      </c>
      <c r="I254" s="7" t="s">
        <v>355</v>
      </c>
      <c r="J254" s="14"/>
      <c r="K254" s="14"/>
      <c r="O254" s="22"/>
      <c r="P254" s="22"/>
      <c r="Q254" s="23"/>
      <c r="R254" s="23"/>
      <c r="S254" s="14"/>
    </row>
    <row r="255" ht="18.75" customHeight="1">
      <c r="A255" s="7" t="s">
        <v>390</v>
      </c>
      <c r="B255" s="7" t="s">
        <v>3883</v>
      </c>
      <c r="C255" s="9">
        <v>250481.0</v>
      </c>
      <c r="D255" s="9">
        <v>2568.0</v>
      </c>
      <c r="E255" s="9">
        <v>210.0</v>
      </c>
      <c r="F255" s="7" t="s">
        <v>391</v>
      </c>
      <c r="G255" s="7" t="s">
        <v>364</v>
      </c>
      <c r="H255" s="7" t="s">
        <v>365</v>
      </c>
      <c r="I255" s="7" t="s">
        <v>355</v>
      </c>
      <c r="J255" s="14"/>
      <c r="K255" s="14"/>
      <c r="O255" s="22"/>
      <c r="P255" s="22"/>
      <c r="Q255" s="23"/>
      <c r="R255" s="23"/>
      <c r="S255" s="14"/>
    </row>
    <row r="256" ht="18.75" customHeight="1">
      <c r="A256" s="7" t="s">
        <v>362</v>
      </c>
      <c r="B256" s="7" t="s">
        <v>3883</v>
      </c>
      <c r="C256" s="9">
        <v>7301.0</v>
      </c>
      <c r="D256" s="9">
        <v>0.0</v>
      </c>
      <c r="E256" s="9">
        <v>376.0</v>
      </c>
      <c r="F256" s="7" t="s">
        <v>363</v>
      </c>
      <c r="G256" s="7" t="s">
        <v>364</v>
      </c>
      <c r="H256" s="7" t="s">
        <v>365</v>
      </c>
      <c r="I256" s="7" t="s">
        <v>355</v>
      </c>
      <c r="J256" s="14"/>
      <c r="K256" s="14"/>
      <c r="O256" s="22"/>
      <c r="P256" s="22"/>
      <c r="Q256" s="23"/>
      <c r="R256" s="23"/>
      <c r="S256" s="14"/>
    </row>
    <row r="257" ht="18.75" customHeight="1">
      <c r="A257" s="7" t="s">
        <v>362</v>
      </c>
      <c r="B257" s="7" t="s">
        <v>3883</v>
      </c>
      <c r="C257" s="9">
        <v>591010.0</v>
      </c>
      <c r="D257" s="9">
        <v>0.0</v>
      </c>
      <c r="E257" s="9">
        <v>19307.0</v>
      </c>
      <c r="F257" s="7" t="s">
        <v>363</v>
      </c>
      <c r="G257" s="7" t="s">
        <v>364</v>
      </c>
      <c r="H257" s="7" t="s">
        <v>365</v>
      </c>
      <c r="I257" s="7" t="s">
        <v>355</v>
      </c>
      <c r="J257" s="14"/>
      <c r="K257" s="14"/>
      <c r="O257" s="22"/>
      <c r="P257" s="22"/>
      <c r="Q257" s="23"/>
      <c r="R257" s="23"/>
      <c r="S257" s="14"/>
    </row>
    <row r="258" ht="18.75" customHeight="1">
      <c r="A258" s="7" t="s">
        <v>362</v>
      </c>
      <c r="B258" s="7" t="s">
        <v>3883</v>
      </c>
      <c r="C258" s="9">
        <v>278082.0</v>
      </c>
      <c r="D258" s="9">
        <v>0.0</v>
      </c>
      <c r="E258" s="9">
        <v>8702.0</v>
      </c>
      <c r="F258" s="7" t="s">
        <v>363</v>
      </c>
      <c r="G258" s="7" t="s">
        <v>364</v>
      </c>
      <c r="H258" s="7" t="s">
        <v>365</v>
      </c>
      <c r="I258" s="7" t="s">
        <v>355</v>
      </c>
      <c r="J258" s="14"/>
      <c r="K258" s="14"/>
      <c r="O258" s="22"/>
      <c r="P258" s="22"/>
      <c r="Q258" s="23"/>
      <c r="R258" s="23"/>
      <c r="S258" s="14"/>
    </row>
    <row r="259" ht="18.75" customHeight="1">
      <c r="A259" s="7" t="s">
        <v>362</v>
      </c>
      <c r="B259" s="7" t="s">
        <v>3883</v>
      </c>
      <c r="C259" s="9">
        <v>255034.0</v>
      </c>
      <c r="D259" s="9">
        <v>0.0</v>
      </c>
      <c r="E259" s="9">
        <v>7894.0</v>
      </c>
      <c r="F259" s="7" t="s">
        <v>363</v>
      </c>
      <c r="G259" s="7" t="s">
        <v>364</v>
      </c>
      <c r="H259" s="7" t="s">
        <v>365</v>
      </c>
      <c r="I259" s="7" t="s">
        <v>355</v>
      </c>
      <c r="J259" s="14"/>
      <c r="K259" s="14"/>
      <c r="O259" s="22"/>
      <c r="P259" s="22"/>
      <c r="Q259" s="23"/>
      <c r="R259" s="23"/>
      <c r="S259" s="14"/>
    </row>
    <row r="260" ht="18.75" customHeight="1">
      <c r="A260" s="7" t="s">
        <v>362</v>
      </c>
      <c r="B260" s="7" t="s">
        <v>3883</v>
      </c>
      <c r="C260" s="9">
        <v>1105463.0</v>
      </c>
      <c r="D260" s="9">
        <v>0.0</v>
      </c>
      <c r="E260" s="9">
        <v>35882.0</v>
      </c>
      <c r="F260" s="7" t="s">
        <v>363</v>
      </c>
      <c r="G260" s="7" t="s">
        <v>364</v>
      </c>
      <c r="H260" s="7" t="s">
        <v>365</v>
      </c>
      <c r="I260" s="7" t="s">
        <v>355</v>
      </c>
      <c r="J260" s="14"/>
      <c r="K260" s="14"/>
      <c r="O260" s="22"/>
      <c r="P260" s="22"/>
      <c r="Q260" s="23"/>
      <c r="R260" s="23"/>
      <c r="S260" s="14"/>
    </row>
    <row r="261" ht="18.75" customHeight="1">
      <c r="A261" s="7" t="s">
        <v>362</v>
      </c>
      <c r="B261" s="7" t="s">
        <v>3883</v>
      </c>
      <c r="C261" s="9">
        <v>340780.0</v>
      </c>
      <c r="D261" s="9">
        <v>0.0</v>
      </c>
      <c r="E261" s="9">
        <v>8167.0</v>
      </c>
      <c r="F261" s="7" t="s">
        <v>363</v>
      </c>
      <c r="G261" s="7" t="s">
        <v>364</v>
      </c>
      <c r="H261" s="7" t="s">
        <v>365</v>
      </c>
      <c r="I261" s="7" t="s">
        <v>355</v>
      </c>
      <c r="J261" s="14"/>
      <c r="K261" s="14"/>
      <c r="O261" s="22"/>
      <c r="P261" s="22"/>
      <c r="Q261" s="23"/>
      <c r="R261" s="23"/>
      <c r="S261" s="14"/>
    </row>
    <row r="262" ht="18.75" customHeight="1">
      <c r="A262" s="7" t="s">
        <v>362</v>
      </c>
      <c r="B262" s="7" t="s">
        <v>3883</v>
      </c>
      <c r="C262" s="9">
        <v>294243.0</v>
      </c>
      <c r="D262" s="9">
        <v>0.0</v>
      </c>
      <c r="E262" s="9">
        <v>7980.0</v>
      </c>
      <c r="F262" s="7" t="s">
        <v>363</v>
      </c>
      <c r="G262" s="7" t="s">
        <v>364</v>
      </c>
      <c r="H262" s="7" t="s">
        <v>365</v>
      </c>
      <c r="I262" s="7" t="s">
        <v>355</v>
      </c>
      <c r="J262" s="14"/>
      <c r="K262" s="14"/>
      <c r="O262" s="22"/>
      <c r="P262" s="22"/>
      <c r="Q262" s="23"/>
      <c r="R262" s="23"/>
      <c r="S262" s="14"/>
    </row>
    <row r="263" ht="18.75" customHeight="1">
      <c r="A263" s="7" t="s">
        <v>362</v>
      </c>
      <c r="B263" s="7" t="s">
        <v>3883</v>
      </c>
      <c r="C263" s="9">
        <v>213651.0</v>
      </c>
      <c r="D263" s="9">
        <v>0.0</v>
      </c>
      <c r="E263" s="9">
        <v>7144.0</v>
      </c>
      <c r="F263" s="7" t="s">
        <v>363</v>
      </c>
      <c r="G263" s="7" t="s">
        <v>364</v>
      </c>
      <c r="H263" s="7" t="s">
        <v>365</v>
      </c>
      <c r="I263" s="7" t="s">
        <v>355</v>
      </c>
      <c r="J263" s="14"/>
      <c r="K263" s="14"/>
      <c r="O263" s="22"/>
      <c r="P263" s="22"/>
      <c r="Q263" s="23"/>
      <c r="R263" s="23"/>
      <c r="S263" s="14"/>
    </row>
    <row r="264" ht="18.75" customHeight="1">
      <c r="A264" s="7" t="s">
        <v>362</v>
      </c>
      <c r="B264" s="7" t="s">
        <v>3883</v>
      </c>
      <c r="C264" s="9">
        <v>282045.0</v>
      </c>
      <c r="D264" s="9">
        <v>0.0</v>
      </c>
      <c r="E264" s="9">
        <v>7180.0</v>
      </c>
      <c r="F264" s="7" t="s">
        <v>363</v>
      </c>
      <c r="G264" s="7" t="s">
        <v>364</v>
      </c>
      <c r="H264" s="7" t="s">
        <v>365</v>
      </c>
      <c r="I264" s="7" t="s">
        <v>355</v>
      </c>
      <c r="J264" s="14"/>
      <c r="K264" s="14"/>
      <c r="O264" s="22"/>
      <c r="P264" s="22"/>
      <c r="Q264" s="23"/>
      <c r="R264" s="23"/>
      <c r="S264" s="14"/>
    </row>
    <row r="265" ht="18.75" customHeight="1">
      <c r="A265" s="7" t="s">
        <v>362</v>
      </c>
      <c r="B265" s="7" t="s">
        <v>3883</v>
      </c>
      <c r="C265" s="9">
        <v>96934.0</v>
      </c>
      <c r="D265" s="9">
        <v>0.0</v>
      </c>
      <c r="E265" s="9">
        <v>2559.0</v>
      </c>
      <c r="F265" s="7" t="s">
        <v>363</v>
      </c>
      <c r="G265" s="7" t="s">
        <v>364</v>
      </c>
      <c r="H265" s="7" t="s">
        <v>365</v>
      </c>
      <c r="I265" s="7" t="s">
        <v>355</v>
      </c>
      <c r="J265" s="14"/>
      <c r="K265" s="14"/>
      <c r="O265" s="22"/>
      <c r="P265" s="22"/>
      <c r="Q265" s="23"/>
      <c r="R265" s="23"/>
      <c r="S265" s="14"/>
    </row>
    <row r="266" ht="18.75" customHeight="1">
      <c r="A266" s="7" t="s">
        <v>362</v>
      </c>
      <c r="B266" s="7" t="s">
        <v>3883</v>
      </c>
      <c r="C266" s="9">
        <v>29511.0</v>
      </c>
      <c r="D266" s="9">
        <v>835.0</v>
      </c>
      <c r="E266" s="9">
        <v>47.0</v>
      </c>
      <c r="F266" s="7" t="s">
        <v>363</v>
      </c>
      <c r="G266" s="7" t="s">
        <v>364</v>
      </c>
      <c r="H266" s="7" t="s">
        <v>365</v>
      </c>
      <c r="I266" s="7" t="s">
        <v>355</v>
      </c>
      <c r="J266" s="14"/>
      <c r="K266" s="14"/>
      <c r="O266" s="22"/>
      <c r="P266" s="22"/>
      <c r="Q266" s="23"/>
      <c r="R266" s="23"/>
      <c r="S266" s="14"/>
    </row>
    <row r="267" ht="18.75" customHeight="1">
      <c r="A267" s="7" t="s">
        <v>362</v>
      </c>
      <c r="B267" s="7" t="s">
        <v>3883</v>
      </c>
      <c r="C267" s="9">
        <v>5123.0</v>
      </c>
      <c r="D267" s="9">
        <v>190.0</v>
      </c>
      <c r="E267" s="9">
        <v>6.0</v>
      </c>
      <c r="F267" s="7" t="s">
        <v>363</v>
      </c>
      <c r="G267" s="7" t="s">
        <v>364</v>
      </c>
      <c r="H267" s="7" t="s">
        <v>365</v>
      </c>
      <c r="I267" s="7" t="s">
        <v>355</v>
      </c>
      <c r="J267" s="14"/>
      <c r="K267" s="14"/>
      <c r="O267" s="22"/>
      <c r="P267" s="22"/>
      <c r="Q267" s="23"/>
      <c r="R267" s="23"/>
      <c r="S267" s="14"/>
    </row>
    <row r="268" ht="18.75" customHeight="1">
      <c r="A268" s="7" t="s">
        <v>362</v>
      </c>
      <c r="B268" s="7" t="s">
        <v>3883</v>
      </c>
      <c r="C268" s="9">
        <v>6266.0</v>
      </c>
      <c r="D268" s="9">
        <v>427.0</v>
      </c>
      <c r="E268" s="9">
        <v>1.0</v>
      </c>
      <c r="F268" s="7" t="s">
        <v>363</v>
      </c>
      <c r="G268" s="7" t="s">
        <v>364</v>
      </c>
      <c r="H268" s="7" t="s">
        <v>365</v>
      </c>
      <c r="I268" s="7" t="s">
        <v>355</v>
      </c>
      <c r="J268" s="14"/>
      <c r="K268" s="14"/>
      <c r="O268" s="22"/>
      <c r="P268" s="22"/>
      <c r="Q268" s="23"/>
      <c r="R268" s="23"/>
      <c r="S268" s="14"/>
    </row>
    <row r="269" ht="18.75" customHeight="1">
      <c r="A269" s="7" t="s">
        <v>362</v>
      </c>
      <c r="B269" s="7" t="s">
        <v>3883</v>
      </c>
      <c r="C269" s="9">
        <v>3939.0</v>
      </c>
      <c r="D269" s="9">
        <v>103.0</v>
      </c>
      <c r="E269" s="9">
        <v>3.0</v>
      </c>
      <c r="F269" s="7" t="s">
        <v>363</v>
      </c>
      <c r="G269" s="7" t="s">
        <v>364</v>
      </c>
      <c r="H269" s="7" t="s">
        <v>365</v>
      </c>
      <c r="I269" s="7" t="s">
        <v>355</v>
      </c>
      <c r="J269" s="14"/>
      <c r="K269" s="14"/>
      <c r="O269" s="22"/>
      <c r="P269" s="22"/>
      <c r="Q269" s="23"/>
      <c r="R269" s="23"/>
      <c r="S269" s="14"/>
    </row>
    <row r="270" ht="18.75" customHeight="1">
      <c r="A270" s="7" t="s">
        <v>362</v>
      </c>
      <c r="B270" s="7" t="s">
        <v>3883</v>
      </c>
      <c r="C270" s="9">
        <v>3745.0</v>
      </c>
      <c r="D270" s="9">
        <v>0.0</v>
      </c>
      <c r="E270" s="9">
        <v>159.0</v>
      </c>
      <c r="F270" s="7" t="s">
        <v>363</v>
      </c>
      <c r="G270" s="7" t="s">
        <v>364</v>
      </c>
      <c r="H270" s="7" t="s">
        <v>365</v>
      </c>
      <c r="I270" s="7" t="s">
        <v>355</v>
      </c>
      <c r="J270" s="14"/>
      <c r="K270" s="14"/>
      <c r="O270" s="22"/>
      <c r="P270" s="22"/>
      <c r="Q270" s="23"/>
      <c r="R270" s="23"/>
      <c r="S270" s="14"/>
    </row>
    <row r="271" ht="18.75" customHeight="1">
      <c r="A271" s="7" t="s">
        <v>362</v>
      </c>
      <c r="B271" s="7" t="s">
        <v>3883</v>
      </c>
      <c r="C271" s="9">
        <v>7014.0</v>
      </c>
      <c r="D271" s="9">
        <v>0.0</v>
      </c>
      <c r="E271" s="9">
        <v>3.0</v>
      </c>
      <c r="F271" s="7" t="s">
        <v>363</v>
      </c>
      <c r="G271" s="7" t="s">
        <v>364</v>
      </c>
      <c r="H271" s="7" t="s">
        <v>365</v>
      </c>
      <c r="I271" s="7" t="s">
        <v>355</v>
      </c>
      <c r="J271" s="14"/>
      <c r="K271" s="14"/>
      <c r="O271" s="22"/>
      <c r="P271" s="22"/>
      <c r="Q271" s="23"/>
      <c r="R271" s="23"/>
      <c r="S271" s="14"/>
    </row>
    <row r="272" ht="18.75" customHeight="1">
      <c r="A272" s="7" t="s">
        <v>362</v>
      </c>
      <c r="B272" s="7" t="s">
        <v>3883</v>
      </c>
      <c r="C272" s="9">
        <v>167053.0</v>
      </c>
      <c r="D272" s="9">
        <v>2779.0</v>
      </c>
      <c r="E272" s="9">
        <v>277.0</v>
      </c>
      <c r="F272" s="7" t="s">
        <v>363</v>
      </c>
      <c r="G272" s="7" t="s">
        <v>364</v>
      </c>
      <c r="H272" s="7" t="s">
        <v>365</v>
      </c>
      <c r="I272" s="7" t="s">
        <v>355</v>
      </c>
      <c r="J272" s="14"/>
      <c r="K272" s="14"/>
      <c r="O272" s="22"/>
      <c r="P272" s="22"/>
      <c r="Q272" s="23"/>
      <c r="R272" s="23"/>
      <c r="S272" s="14"/>
    </row>
    <row r="273" ht="18.75" customHeight="1">
      <c r="A273" s="7" t="s">
        <v>362</v>
      </c>
      <c r="B273" s="7" t="s">
        <v>3883</v>
      </c>
      <c r="C273" s="9">
        <v>917947.0</v>
      </c>
      <c r="D273" s="9">
        <v>25143.0</v>
      </c>
      <c r="E273" s="9">
        <v>644.0</v>
      </c>
      <c r="F273" s="7" t="s">
        <v>363</v>
      </c>
      <c r="G273" s="7" t="s">
        <v>364</v>
      </c>
      <c r="H273" s="7" t="s">
        <v>365</v>
      </c>
      <c r="I273" s="7" t="s">
        <v>355</v>
      </c>
      <c r="J273" s="14"/>
      <c r="K273" s="14"/>
      <c r="O273" s="22"/>
      <c r="P273" s="22"/>
      <c r="Q273" s="23"/>
      <c r="R273" s="23"/>
      <c r="S273" s="14"/>
    </row>
    <row r="274" ht="18.75" customHeight="1">
      <c r="A274" s="7" t="s">
        <v>362</v>
      </c>
      <c r="B274" s="7" t="s">
        <v>3883</v>
      </c>
      <c r="C274" s="9">
        <v>165205.0</v>
      </c>
      <c r="D274" s="9">
        <v>3348.0</v>
      </c>
      <c r="E274" s="9">
        <v>265.0</v>
      </c>
      <c r="F274" s="7" t="s">
        <v>363</v>
      </c>
      <c r="G274" s="7" t="s">
        <v>364</v>
      </c>
      <c r="H274" s="7" t="s">
        <v>365</v>
      </c>
      <c r="I274" s="7" t="s">
        <v>355</v>
      </c>
      <c r="J274" s="14"/>
      <c r="K274" s="14"/>
      <c r="O274" s="22"/>
      <c r="P274" s="22"/>
      <c r="Q274" s="23"/>
      <c r="R274" s="23"/>
      <c r="S274" s="14"/>
    </row>
    <row r="275" ht="18.75" customHeight="1">
      <c r="A275" s="7" t="s">
        <v>362</v>
      </c>
      <c r="B275" s="7" t="s">
        <v>3883</v>
      </c>
      <c r="C275" s="9">
        <v>161150.0</v>
      </c>
      <c r="D275" s="9">
        <v>5255.0</v>
      </c>
      <c r="E275" s="9">
        <v>58.0</v>
      </c>
      <c r="F275" s="7" t="s">
        <v>363</v>
      </c>
      <c r="G275" s="7" t="s">
        <v>364</v>
      </c>
      <c r="H275" s="7" t="s">
        <v>365</v>
      </c>
      <c r="I275" s="7" t="s">
        <v>355</v>
      </c>
      <c r="J275" s="14"/>
      <c r="K275" s="14"/>
      <c r="O275" s="22"/>
      <c r="P275" s="22"/>
      <c r="Q275" s="23"/>
      <c r="R275" s="23"/>
      <c r="S275" s="14"/>
    </row>
    <row r="276" ht="18.75" customHeight="1">
      <c r="A276" s="7" t="s">
        <v>362</v>
      </c>
      <c r="B276" s="7" t="s">
        <v>3883</v>
      </c>
      <c r="C276" s="9">
        <v>694742.0</v>
      </c>
      <c r="D276" s="9">
        <v>40272.0</v>
      </c>
      <c r="E276" s="9">
        <v>508.0</v>
      </c>
      <c r="F276" s="7" t="s">
        <v>363</v>
      </c>
      <c r="G276" s="7" t="s">
        <v>364</v>
      </c>
      <c r="H276" s="7" t="s">
        <v>365</v>
      </c>
      <c r="I276" s="7" t="s">
        <v>355</v>
      </c>
      <c r="J276" s="14"/>
      <c r="K276" s="14"/>
      <c r="O276" s="22"/>
      <c r="P276" s="22"/>
      <c r="Q276" s="23"/>
      <c r="R276" s="23"/>
      <c r="S276" s="14"/>
    </row>
    <row r="277" ht="18.75" customHeight="1">
      <c r="A277" s="7" t="s">
        <v>362</v>
      </c>
      <c r="B277" s="7" t="s">
        <v>3883</v>
      </c>
      <c r="C277" s="9">
        <v>138904.0</v>
      </c>
      <c r="D277" s="9">
        <v>7794.0</v>
      </c>
      <c r="E277" s="9">
        <v>83.0</v>
      </c>
      <c r="F277" s="7" t="s">
        <v>363</v>
      </c>
      <c r="G277" s="7" t="s">
        <v>364</v>
      </c>
      <c r="H277" s="7" t="s">
        <v>365</v>
      </c>
      <c r="I277" s="7" t="s">
        <v>355</v>
      </c>
      <c r="J277" s="14"/>
      <c r="K277" s="14"/>
      <c r="O277" s="22"/>
      <c r="P277" s="22"/>
      <c r="Q277" s="23"/>
      <c r="R277" s="23"/>
      <c r="S277" s="14"/>
    </row>
    <row r="278" ht="18.75" customHeight="1">
      <c r="A278" s="7" t="s">
        <v>362</v>
      </c>
      <c r="B278" s="7" t="s">
        <v>3883</v>
      </c>
      <c r="C278" s="9">
        <v>143078.0</v>
      </c>
      <c r="D278" s="9">
        <v>7740.0</v>
      </c>
      <c r="E278" s="9">
        <v>139.0</v>
      </c>
      <c r="F278" s="7" t="s">
        <v>363</v>
      </c>
      <c r="G278" s="7" t="s">
        <v>364</v>
      </c>
      <c r="H278" s="7" t="s">
        <v>365</v>
      </c>
      <c r="I278" s="7" t="s">
        <v>355</v>
      </c>
      <c r="J278" s="14"/>
      <c r="K278" s="14"/>
      <c r="O278" s="22"/>
      <c r="P278" s="22"/>
      <c r="Q278" s="23"/>
      <c r="R278" s="23"/>
      <c r="S278" s="14"/>
    </row>
    <row r="279" ht="18.75" customHeight="1">
      <c r="A279" s="7" t="s">
        <v>362</v>
      </c>
      <c r="B279" s="7" t="s">
        <v>3883</v>
      </c>
      <c r="C279" s="9">
        <v>129648.0</v>
      </c>
      <c r="D279" s="9">
        <v>6347.0</v>
      </c>
      <c r="E279" s="9">
        <v>82.0</v>
      </c>
      <c r="F279" s="7" t="s">
        <v>363</v>
      </c>
      <c r="G279" s="7" t="s">
        <v>364</v>
      </c>
      <c r="H279" s="7" t="s">
        <v>365</v>
      </c>
      <c r="I279" s="7" t="s">
        <v>355</v>
      </c>
      <c r="J279" s="14"/>
      <c r="K279" s="14"/>
      <c r="O279" s="22"/>
      <c r="P279" s="22"/>
      <c r="Q279" s="23"/>
      <c r="R279" s="23"/>
      <c r="S279" s="14"/>
    </row>
    <row r="280" ht="18.75" customHeight="1">
      <c r="A280" s="7" t="s">
        <v>362</v>
      </c>
      <c r="B280" s="7" t="s">
        <v>3883</v>
      </c>
      <c r="C280" s="9">
        <v>146348.0</v>
      </c>
      <c r="D280" s="9">
        <v>6353.0</v>
      </c>
      <c r="E280" s="9">
        <v>82.0</v>
      </c>
      <c r="F280" s="7" t="s">
        <v>363</v>
      </c>
      <c r="G280" s="7" t="s">
        <v>364</v>
      </c>
      <c r="H280" s="7" t="s">
        <v>365</v>
      </c>
      <c r="I280" s="7" t="s">
        <v>355</v>
      </c>
      <c r="J280" s="14"/>
      <c r="K280" s="14"/>
      <c r="O280" s="22"/>
      <c r="P280" s="22"/>
      <c r="Q280" s="23"/>
      <c r="R280" s="23"/>
      <c r="S280" s="14"/>
    </row>
    <row r="281" ht="18.75" customHeight="1">
      <c r="A281" s="7" t="s">
        <v>362</v>
      </c>
      <c r="B281" s="7" t="s">
        <v>3883</v>
      </c>
      <c r="C281" s="9">
        <v>7014.0</v>
      </c>
      <c r="D281" s="9">
        <v>0.0</v>
      </c>
      <c r="E281" s="9">
        <v>3.0</v>
      </c>
      <c r="F281" s="7" t="s">
        <v>363</v>
      </c>
      <c r="G281" s="7" t="s">
        <v>364</v>
      </c>
      <c r="H281" s="7" t="s">
        <v>365</v>
      </c>
      <c r="I281" s="7" t="s">
        <v>355</v>
      </c>
      <c r="J281" s="14"/>
      <c r="K281" s="14"/>
      <c r="O281" s="22"/>
      <c r="P281" s="22"/>
      <c r="Q281" s="23"/>
      <c r="R281" s="23"/>
      <c r="S281" s="14"/>
    </row>
    <row r="282" ht="18.75" customHeight="1">
      <c r="A282" s="7" t="s">
        <v>362</v>
      </c>
      <c r="B282" s="7" t="s">
        <v>3883</v>
      </c>
      <c r="C282" s="9">
        <v>176727.0</v>
      </c>
      <c r="D282" s="9">
        <v>2825.0</v>
      </c>
      <c r="E282" s="9">
        <v>241.0</v>
      </c>
      <c r="F282" s="7" t="s">
        <v>363</v>
      </c>
      <c r="G282" s="7" t="s">
        <v>364</v>
      </c>
      <c r="H282" s="7" t="s">
        <v>365</v>
      </c>
      <c r="I282" s="7" t="s">
        <v>355</v>
      </c>
      <c r="J282" s="14"/>
      <c r="K282" s="14"/>
      <c r="O282" s="22"/>
      <c r="P282" s="22"/>
      <c r="Q282" s="23"/>
      <c r="R282" s="23"/>
      <c r="S282" s="14"/>
    </row>
    <row r="283" ht="18.75" customHeight="1">
      <c r="A283" s="7" t="s">
        <v>3571</v>
      </c>
      <c r="B283" s="7" t="s">
        <v>3883</v>
      </c>
      <c r="C283" s="9">
        <v>340056.0</v>
      </c>
      <c r="D283" s="9">
        <v>80159.0</v>
      </c>
      <c r="E283" s="9">
        <v>363.0</v>
      </c>
      <c r="F283" s="7" t="s">
        <v>3876</v>
      </c>
      <c r="G283" s="7" t="s">
        <v>353</v>
      </c>
      <c r="H283" s="7" t="s">
        <v>413</v>
      </c>
      <c r="I283" s="7" t="s">
        <v>355</v>
      </c>
      <c r="J283" s="14"/>
      <c r="K283" s="14"/>
      <c r="O283" s="22"/>
      <c r="P283" s="22"/>
      <c r="Q283" s="23"/>
      <c r="R283" s="23"/>
      <c r="S283" s="14"/>
    </row>
    <row r="284" ht="18.75" customHeight="1">
      <c r="A284" s="7" t="s">
        <v>3571</v>
      </c>
      <c r="B284" s="7" t="s">
        <v>3883</v>
      </c>
      <c r="C284" s="9">
        <v>422252.0</v>
      </c>
      <c r="D284" s="9">
        <v>0.0</v>
      </c>
      <c r="E284" s="9">
        <v>12427.0</v>
      </c>
      <c r="F284" s="7" t="s">
        <v>3876</v>
      </c>
      <c r="G284" s="7" t="s">
        <v>353</v>
      </c>
      <c r="H284" s="7" t="s">
        <v>413</v>
      </c>
      <c r="I284" s="7" t="s">
        <v>355</v>
      </c>
      <c r="J284" s="14"/>
      <c r="K284" s="14"/>
      <c r="O284" s="22"/>
      <c r="P284" s="22"/>
      <c r="Q284" s="23"/>
      <c r="R284" s="23"/>
      <c r="S284" s="14"/>
    </row>
    <row r="285" ht="18.75" customHeight="1">
      <c r="A285" s="7" t="s">
        <v>3571</v>
      </c>
      <c r="B285" s="7" t="s">
        <v>3883</v>
      </c>
      <c r="C285" s="9">
        <v>156342.0</v>
      </c>
      <c r="D285" s="9">
        <v>3350.0</v>
      </c>
      <c r="E285" s="9">
        <v>275.0</v>
      </c>
      <c r="F285" s="7" t="s">
        <v>3876</v>
      </c>
      <c r="G285" s="7" t="s">
        <v>353</v>
      </c>
      <c r="H285" s="7" t="s">
        <v>413</v>
      </c>
      <c r="I285" s="7" t="s">
        <v>355</v>
      </c>
      <c r="J285" s="14"/>
      <c r="K285" s="14"/>
      <c r="O285" s="22"/>
      <c r="P285" s="22"/>
      <c r="Q285" s="23"/>
      <c r="R285" s="23"/>
      <c r="S285" s="14"/>
    </row>
    <row r="286" ht="18.75" customHeight="1">
      <c r="A286" s="7" t="s">
        <v>379</v>
      </c>
      <c r="B286" s="7" t="s">
        <v>3883</v>
      </c>
      <c r="C286" s="9">
        <v>5674542.0</v>
      </c>
      <c r="D286" s="9">
        <v>0.0</v>
      </c>
      <c r="E286" s="9">
        <v>206068.0</v>
      </c>
      <c r="F286" s="7" t="s">
        <v>380</v>
      </c>
      <c r="G286" s="7" t="s">
        <v>353</v>
      </c>
      <c r="H286" s="7" t="s">
        <v>354</v>
      </c>
      <c r="I286" s="7" t="s">
        <v>355</v>
      </c>
      <c r="J286" s="14"/>
      <c r="K286" s="14"/>
      <c r="O286" s="22"/>
      <c r="P286" s="22"/>
      <c r="Q286" s="23"/>
      <c r="R286" s="23"/>
      <c r="S286" s="14"/>
    </row>
    <row r="287" ht="18.75" customHeight="1">
      <c r="A287" s="7" t="s">
        <v>379</v>
      </c>
      <c r="B287" s="7" t="s">
        <v>3883</v>
      </c>
      <c r="C287" s="9">
        <v>0.0</v>
      </c>
      <c r="D287" s="9">
        <v>0.0</v>
      </c>
      <c r="E287" s="9">
        <v>0.0</v>
      </c>
      <c r="F287" s="7" t="s">
        <v>380</v>
      </c>
      <c r="G287" s="7" t="s">
        <v>353</v>
      </c>
      <c r="H287" s="7" t="s">
        <v>354</v>
      </c>
      <c r="I287" s="7" t="s">
        <v>355</v>
      </c>
      <c r="J287" s="14"/>
      <c r="K287" s="14"/>
      <c r="O287" s="22"/>
      <c r="P287" s="22"/>
      <c r="Q287" s="23"/>
      <c r="R287" s="23"/>
      <c r="S287" s="14"/>
    </row>
    <row r="288" ht="18.75" customHeight="1">
      <c r="A288" s="7" t="s">
        <v>414</v>
      </c>
      <c r="B288" s="7" t="s">
        <v>3883</v>
      </c>
      <c r="C288" s="9">
        <v>665847.0</v>
      </c>
      <c r="D288" s="9">
        <v>0.0</v>
      </c>
      <c r="E288" s="9">
        <v>17515.0</v>
      </c>
      <c r="F288" s="7" t="s">
        <v>415</v>
      </c>
      <c r="G288" s="7" t="s">
        <v>416</v>
      </c>
      <c r="H288" s="7" t="s">
        <v>417</v>
      </c>
      <c r="I288" s="7" t="s">
        <v>355</v>
      </c>
      <c r="J288" s="14"/>
      <c r="K288" s="14"/>
      <c r="O288" s="22"/>
      <c r="P288" s="22"/>
      <c r="Q288" s="23"/>
      <c r="R288" s="23"/>
      <c r="S288" s="14"/>
    </row>
    <row r="289" ht="18.75" customHeight="1">
      <c r="A289" s="7" t="s">
        <v>3720</v>
      </c>
      <c r="B289" s="7" t="s">
        <v>3883</v>
      </c>
      <c r="C289" s="9">
        <v>442610.0</v>
      </c>
      <c r="D289" s="9">
        <v>0.0</v>
      </c>
      <c r="E289" s="9">
        <v>11320.0</v>
      </c>
      <c r="F289" s="7" t="s">
        <v>3880</v>
      </c>
      <c r="G289" s="7" t="s">
        <v>416</v>
      </c>
      <c r="H289" s="7" t="s">
        <v>417</v>
      </c>
      <c r="I289" s="7" t="s">
        <v>355</v>
      </c>
      <c r="J289" s="14"/>
      <c r="K289" s="14"/>
      <c r="O289" s="22"/>
      <c r="P289" s="22"/>
      <c r="Q289" s="23"/>
      <c r="R289" s="23"/>
      <c r="S289" s="14"/>
    </row>
    <row r="290" ht="18.75" customHeight="1">
      <c r="A290" s="7" t="s">
        <v>418</v>
      </c>
      <c r="B290" s="7" t="s">
        <v>3883</v>
      </c>
      <c r="C290" s="9">
        <v>114935.0</v>
      </c>
      <c r="D290" s="9">
        <v>0.0</v>
      </c>
      <c r="E290" s="9">
        <v>4041.0</v>
      </c>
      <c r="F290" s="7" t="s">
        <v>419</v>
      </c>
      <c r="G290" s="7" t="s">
        <v>416</v>
      </c>
      <c r="H290" s="7" t="s">
        <v>417</v>
      </c>
      <c r="I290" s="7" t="s">
        <v>355</v>
      </c>
      <c r="J290" s="14"/>
      <c r="K290" s="14"/>
      <c r="O290" s="22"/>
      <c r="P290" s="22"/>
      <c r="Q290" s="23"/>
      <c r="R290" s="23"/>
      <c r="S290" s="14"/>
    </row>
    <row r="291" ht="18.75" customHeight="1">
      <c r="A291" s="7" t="s">
        <v>411</v>
      </c>
      <c r="B291" s="7" t="s">
        <v>3883</v>
      </c>
      <c r="C291" s="9">
        <v>349374.0</v>
      </c>
      <c r="D291" s="9">
        <v>13631.0</v>
      </c>
      <c r="E291" s="9">
        <v>417.0</v>
      </c>
      <c r="F291" s="7" t="s">
        <v>412</v>
      </c>
      <c r="G291" s="7" t="s">
        <v>353</v>
      </c>
      <c r="H291" s="7" t="s">
        <v>413</v>
      </c>
      <c r="I291" s="7" t="s">
        <v>355</v>
      </c>
      <c r="J291" s="14"/>
      <c r="K291" s="14"/>
      <c r="O291" s="22"/>
      <c r="P291" s="22"/>
      <c r="Q291" s="23"/>
      <c r="R291" s="23"/>
      <c r="S291" s="14"/>
    </row>
    <row r="292" ht="18.75" customHeight="1">
      <c r="A292" s="7" t="s">
        <v>411</v>
      </c>
      <c r="B292" s="7" t="s">
        <v>3883</v>
      </c>
      <c r="C292" s="9">
        <v>431731.0</v>
      </c>
      <c r="D292" s="9">
        <v>0.0</v>
      </c>
      <c r="E292" s="9">
        <v>11720.0</v>
      </c>
      <c r="F292" s="7" t="s">
        <v>412</v>
      </c>
      <c r="G292" s="7" t="s">
        <v>353</v>
      </c>
      <c r="H292" s="7" t="s">
        <v>413</v>
      </c>
      <c r="I292" s="7" t="s">
        <v>355</v>
      </c>
      <c r="J292" s="14"/>
      <c r="K292" s="14"/>
      <c r="O292" s="22"/>
      <c r="P292" s="22"/>
      <c r="Q292" s="23"/>
      <c r="R292" s="23"/>
      <c r="S292" s="14"/>
    </row>
    <row r="293" ht="18.75" customHeight="1">
      <c r="A293" s="7" t="s">
        <v>411</v>
      </c>
      <c r="B293" s="7" t="s">
        <v>3883</v>
      </c>
      <c r="C293" s="9">
        <v>0.0</v>
      </c>
      <c r="D293" s="9">
        <v>0.0</v>
      </c>
      <c r="E293" s="9">
        <v>0.0</v>
      </c>
      <c r="F293" s="7" t="s">
        <v>412</v>
      </c>
      <c r="G293" s="7" t="s">
        <v>353</v>
      </c>
      <c r="H293" s="7" t="s">
        <v>413</v>
      </c>
      <c r="I293" s="7" t="s">
        <v>355</v>
      </c>
      <c r="J293" s="14"/>
      <c r="K293" s="14"/>
      <c r="O293" s="22"/>
      <c r="P293" s="22"/>
      <c r="Q293" s="23"/>
      <c r="R293" s="23"/>
      <c r="S293" s="14"/>
    </row>
    <row r="294" ht="18.75" customHeight="1">
      <c r="A294" s="7" t="s">
        <v>376</v>
      </c>
      <c r="B294" s="7" t="s">
        <v>3883</v>
      </c>
      <c r="C294" s="9">
        <v>46960.0</v>
      </c>
      <c r="D294" s="9">
        <v>1378.0</v>
      </c>
      <c r="E294" s="9">
        <v>87.0</v>
      </c>
      <c r="F294" s="7" t="s">
        <v>377</v>
      </c>
      <c r="G294" s="7" t="s">
        <v>353</v>
      </c>
      <c r="H294" s="7" t="s">
        <v>378</v>
      </c>
      <c r="I294" s="7" t="s">
        <v>355</v>
      </c>
      <c r="J294" s="14"/>
      <c r="K294" s="14"/>
      <c r="O294" s="22"/>
      <c r="P294" s="22"/>
      <c r="Q294" s="23"/>
      <c r="R294" s="23"/>
      <c r="S294" s="14"/>
    </row>
    <row r="295" ht="18.75" customHeight="1">
      <c r="A295" s="7" t="s">
        <v>376</v>
      </c>
      <c r="B295" s="7" t="s">
        <v>3883</v>
      </c>
      <c r="C295" s="9">
        <v>83280.0</v>
      </c>
      <c r="D295" s="9">
        <v>0.0</v>
      </c>
      <c r="E295" s="9">
        <v>4225.0</v>
      </c>
      <c r="F295" s="7" t="s">
        <v>377</v>
      </c>
      <c r="G295" s="7" t="s">
        <v>353</v>
      </c>
      <c r="H295" s="7" t="s">
        <v>378</v>
      </c>
      <c r="I295" s="7" t="s">
        <v>355</v>
      </c>
      <c r="J295" s="14"/>
      <c r="K295" s="14"/>
      <c r="O295" s="22"/>
      <c r="P295" s="22"/>
      <c r="Q295" s="23"/>
      <c r="R295" s="23"/>
      <c r="S295" s="14"/>
    </row>
    <row r="296" ht="18.75" customHeight="1">
      <c r="A296" s="7" t="s">
        <v>394</v>
      </c>
      <c r="B296" s="7" t="s">
        <v>3883</v>
      </c>
      <c r="C296" s="9">
        <v>63082.0</v>
      </c>
      <c r="D296" s="9">
        <v>5787.0</v>
      </c>
      <c r="E296" s="9">
        <v>11.0</v>
      </c>
      <c r="F296" s="7" t="s">
        <v>395</v>
      </c>
      <c r="G296" s="7" t="s">
        <v>353</v>
      </c>
      <c r="H296" s="7" t="s">
        <v>378</v>
      </c>
      <c r="I296" s="7" t="s">
        <v>355</v>
      </c>
      <c r="J296" s="14"/>
      <c r="K296" s="14"/>
      <c r="O296" s="22"/>
      <c r="P296" s="22"/>
      <c r="Q296" s="23"/>
      <c r="R296" s="23"/>
      <c r="S296" s="14"/>
    </row>
    <row r="297" ht="18.75" customHeight="1">
      <c r="A297" s="7" t="s">
        <v>394</v>
      </c>
      <c r="B297" s="7" t="s">
        <v>3883</v>
      </c>
      <c r="C297" s="9">
        <v>98545.0</v>
      </c>
      <c r="D297" s="9">
        <v>2599.0</v>
      </c>
      <c r="E297" s="9">
        <v>253.0</v>
      </c>
      <c r="F297" s="7" t="s">
        <v>395</v>
      </c>
      <c r="G297" s="7" t="s">
        <v>353</v>
      </c>
      <c r="H297" s="7" t="s">
        <v>378</v>
      </c>
      <c r="I297" s="7" t="s">
        <v>355</v>
      </c>
      <c r="J297" s="14"/>
      <c r="K297" s="14"/>
      <c r="O297" s="22"/>
      <c r="P297" s="22"/>
      <c r="Q297" s="23"/>
      <c r="R297" s="23"/>
      <c r="S297" s="14"/>
    </row>
    <row r="298" ht="18.75" customHeight="1">
      <c r="A298" s="7" t="s">
        <v>394</v>
      </c>
      <c r="B298" s="7" t="s">
        <v>3883</v>
      </c>
      <c r="C298" s="9">
        <v>176645.0</v>
      </c>
      <c r="D298" s="9">
        <v>0.0</v>
      </c>
      <c r="E298" s="9">
        <v>5278.0</v>
      </c>
      <c r="F298" s="7" t="s">
        <v>395</v>
      </c>
      <c r="G298" s="7" t="s">
        <v>353</v>
      </c>
      <c r="H298" s="7" t="s">
        <v>378</v>
      </c>
      <c r="I298" s="7" t="s">
        <v>355</v>
      </c>
      <c r="J298" s="14"/>
      <c r="K298" s="14"/>
      <c r="O298" s="22"/>
      <c r="P298" s="22"/>
      <c r="Q298" s="23"/>
      <c r="R298" s="23"/>
      <c r="S298" s="14"/>
    </row>
    <row r="299" ht="18.75" customHeight="1">
      <c r="A299" s="7" t="s">
        <v>396</v>
      </c>
      <c r="B299" s="7" t="s">
        <v>3883</v>
      </c>
      <c r="C299" s="9">
        <v>25578.0</v>
      </c>
      <c r="D299" s="9">
        <v>0.0</v>
      </c>
      <c r="E299" s="9">
        <v>1069.0</v>
      </c>
      <c r="F299" s="7" t="s">
        <v>397</v>
      </c>
      <c r="G299" s="7" t="s">
        <v>353</v>
      </c>
      <c r="H299" s="7" t="s">
        <v>378</v>
      </c>
      <c r="I299" s="7" t="s">
        <v>355</v>
      </c>
      <c r="J299" s="14"/>
      <c r="K299" s="14"/>
      <c r="O299" s="22"/>
      <c r="P299" s="22"/>
      <c r="Q299" s="23"/>
      <c r="R299" s="23"/>
      <c r="S299" s="14"/>
    </row>
    <row r="300" ht="18.75" customHeight="1">
      <c r="A300" s="7" t="s">
        <v>396</v>
      </c>
      <c r="B300" s="7" t="s">
        <v>3883</v>
      </c>
      <c r="C300" s="9">
        <v>30380.0</v>
      </c>
      <c r="D300" s="9">
        <v>0.0</v>
      </c>
      <c r="E300" s="9">
        <v>1324.0</v>
      </c>
      <c r="F300" s="7" t="s">
        <v>397</v>
      </c>
      <c r="G300" s="7" t="s">
        <v>353</v>
      </c>
      <c r="H300" s="7" t="s">
        <v>378</v>
      </c>
      <c r="I300" s="7" t="s">
        <v>355</v>
      </c>
      <c r="J300" s="14"/>
      <c r="K300" s="14"/>
      <c r="O300" s="22"/>
      <c r="P300" s="22"/>
      <c r="Q300" s="23"/>
      <c r="R300" s="23"/>
      <c r="S300" s="14"/>
    </row>
    <row r="301" ht="18.75" customHeight="1">
      <c r="A301" s="7" t="s">
        <v>414</v>
      </c>
      <c r="B301" s="7" t="s">
        <v>3883</v>
      </c>
      <c r="C301" s="9">
        <v>61118.0</v>
      </c>
      <c r="D301" s="9">
        <v>2527.0</v>
      </c>
      <c r="E301" s="9">
        <v>139.0</v>
      </c>
      <c r="F301" s="7" t="s">
        <v>415</v>
      </c>
      <c r="G301" s="7" t="s">
        <v>416</v>
      </c>
      <c r="H301" s="7" t="s">
        <v>417</v>
      </c>
      <c r="I301" s="7" t="s">
        <v>355</v>
      </c>
      <c r="J301" s="14"/>
      <c r="K301" s="14"/>
      <c r="O301" s="22"/>
      <c r="P301" s="22"/>
      <c r="Q301" s="23"/>
      <c r="R301" s="23"/>
      <c r="S301" s="14"/>
    </row>
    <row r="302" ht="18.75" customHeight="1">
      <c r="A302" s="7" t="s">
        <v>418</v>
      </c>
      <c r="B302" s="7" t="s">
        <v>3883</v>
      </c>
      <c r="C302" s="9">
        <v>0.0</v>
      </c>
      <c r="D302" s="9">
        <v>0.0</v>
      </c>
      <c r="E302" s="9">
        <v>0.0</v>
      </c>
      <c r="F302" s="7" t="s">
        <v>419</v>
      </c>
      <c r="G302" s="7" t="s">
        <v>416</v>
      </c>
      <c r="H302" s="7" t="s">
        <v>417</v>
      </c>
      <c r="I302" s="7" t="s">
        <v>355</v>
      </c>
      <c r="J302" s="14"/>
      <c r="K302" s="14"/>
      <c r="O302" s="22"/>
      <c r="P302" s="22"/>
      <c r="Q302" s="23"/>
      <c r="R302" s="23"/>
      <c r="S302" s="14"/>
    </row>
    <row r="303" ht="18.75" customHeight="1">
      <c r="A303" s="7" t="s">
        <v>351</v>
      </c>
      <c r="B303" s="7" t="s">
        <v>3883</v>
      </c>
      <c r="C303" s="9">
        <v>91164.0</v>
      </c>
      <c r="D303" s="9">
        <v>0.0</v>
      </c>
      <c r="E303" s="9">
        <v>4747.0</v>
      </c>
      <c r="F303" s="7" t="s">
        <v>352</v>
      </c>
      <c r="G303" s="7" t="s">
        <v>353</v>
      </c>
      <c r="H303" s="7" t="s">
        <v>354</v>
      </c>
      <c r="I303" s="7" t="s">
        <v>410</v>
      </c>
      <c r="J303" s="14"/>
      <c r="K303" s="14"/>
      <c r="O303" s="22"/>
      <c r="P303" s="22"/>
      <c r="Q303" s="23"/>
      <c r="R303" s="23"/>
      <c r="S303" s="14"/>
    </row>
    <row r="304" ht="18.75" customHeight="1">
      <c r="A304" s="7" t="s">
        <v>351</v>
      </c>
      <c r="B304" s="7" t="s">
        <v>3883</v>
      </c>
      <c r="C304" s="9">
        <v>1555728.0</v>
      </c>
      <c r="D304" s="9">
        <v>0.0</v>
      </c>
      <c r="E304" s="9">
        <v>44839.0</v>
      </c>
      <c r="F304" s="7" t="s">
        <v>352</v>
      </c>
      <c r="G304" s="7" t="s">
        <v>353</v>
      </c>
      <c r="H304" s="7" t="s">
        <v>354</v>
      </c>
      <c r="I304" s="7" t="s">
        <v>410</v>
      </c>
      <c r="J304" s="14"/>
      <c r="K304" s="14"/>
      <c r="O304" s="22"/>
      <c r="P304" s="22"/>
      <c r="Q304" s="23"/>
      <c r="R304" s="23"/>
      <c r="S304" s="14"/>
    </row>
    <row r="305" ht="18.75" customHeight="1">
      <c r="A305" s="7" t="s">
        <v>351</v>
      </c>
      <c r="B305" s="7" t="s">
        <v>3883</v>
      </c>
      <c r="C305" s="9">
        <v>687349.0</v>
      </c>
      <c r="D305" s="9">
        <v>10214.0</v>
      </c>
      <c r="E305" s="9">
        <v>454.0</v>
      </c>
      <c r="F305" s="7" t="s">
        <v>352</v>
      </c>
      <c r="G305" s="7" t="s">
        <v>353</v>
      </c>
      <c r="H305" s="7" t="s">
        <v>354</v>
      </c>
      <c r="I305" s="7" t="s">
        <v>410</v>
      </c>
      <c r="J305" s="14"/>
      <c r="K305" s="14"/>
      <c r="O305" s="22"/>
      <c r="P305" s="22"/>
      <c r="Q305" s="23"/>
      <c r="R305" s="23"/>
      <c r="S305" s="14"/>
    </row>
    <row r="306" ht="18.75" customHeight="1">
      <c r="A306" s="7" t="s">
        <v>351</v>
      </c>
      <c r="B306" s="7" t="s">
        <v>3883</v>
      </c>
      <c r="C306" s="9">
        <v>1192408.0</v>
      </c>
      <c r="D306" s="9">
        <v>17971.0</v>
      </c>
      <c r="E306" s="9">
        <v>1618.0</v>
      </c>
      <c r="F306" s="7" t="s">
        <v>352</v>
      </c>
      <c r="G306" s="7" t="s">
        <v>353</v>
      </c>
      <c r="H306" s="7" t="s">
        <v>354</v>
      </c>
      <c r="I306" s="7" t="s">
        <v>410</v>
      </c>
      <c r="J306" s="14"/>
      <c r="K306" s="14"/>
      <c r="O306" s="22"/>
      <c r="P306" s="22"/>
      <c r="Q306" s="23"/>
      <c r="R306" s="23"/>
      <c r="S306" s="14"/>
    </row>
    <row r="307" ht="18.75" customHeight="1">
      <c r="A307" s="7" t="s">
        <v>351</v>
      </c>
      <c r="B307" s="7" t="s">
        <v>3883</v>
      </c>
      <c r="C307" s="9">
        <v>1006558.0</v>
      </c>
      <c r="D307" s="9">
        <v>0.0</v>
      </c>
      <c r="E307" s="9">
        <v>54.0</v>
      </c>
      <c r="F307" s="7" t="s">
        <v>352</v>
      </c>
      <c r="G307" s="7" t="s">
        <v>353</v>
      </c>
      <c r="H307" s="7" t="s">
        <v>354</v>
      </c>
      <c r="I307" s="7" t="s">
        <v>410</v>
      </c>
      <c r="J307" s="14"/>
      <c r="K307" s="14"/>
      <c r="O307" s="22"/>
      <c r="P307" s="22"/>
      <c r="Q307" s="23"/>
      <c r="R307" s="23"/>
      <c r="S307" s="14"/>
    </row>
    <row r="308" ht="18.75" customHeight="1">
      <c r="A308" s="7" t="s">
        <v>351</v>
      </c>
      <c r="B308" s="7" t="s">
        <v>3883</v>
      </c>
      <c r="C308" s="9">
        <v>1387080.0</v>
      </c>
      <c r="D308" s="9">
        <v>0.0</v>
      </c>
      <c r="E308" s="9">
        <v>45091.0</v>
      </c>
      <c r="F308" s="7" t="s">
        <v>352</v>
      </c>
      <c r="G308" s="7" t="s">
        <v>353</v>
      </c>
      <c r="H308" s="7" t="s">
        <v>354</v>
      </c>
      <c r="I308" s="7" t="s">
        <v>410</v>
      </c>
      <c r="J308" s="14"/>
      <c r="K308" s="14"/>
      <c r="O308" s="22"/>
      <c r="P308" s="22"/>
      <c r="Q308" s="23"/>
      <c r="R308" s="23"/>
      <c r="S308" s="14"/>
    </row>
    <row r="309" ht="18.75" customHeight="1">
      <c r="A309" s="7" t="s">
        <v>351</v>
      </c>
      <c r="B309" s="7" t="s">
        <v>3883</v>
      </c>
      <c r="C309" s="9">
        <v>1486599.0</v>
      </c>
      <c r="D309" s="9">
        <v>68585.0</v>
      </c>
      <c r="E309" s="9">
        <v>875.0</v>
      </c>
      <c r="F309" s="7" t="s">
        <v>352</v>
      </c>
      <c r="G309" s="7" t="s">
        <v>353</v>
      </c>
      <c r="H309" s="7" t="s">
        <v>354</v>
      </c>
      <c r="I309" s="7" t="s">
        <v>410</v>
      </c>
      <c r="J309" s="14"/>
      <c r="K309" s="14"/>
      <c r="O309" s="22"/>
      <c r="P309" s="22"/>
      <c r="Q309" s="23"/>
      <c r="R309" s="23"/>
      <c r="S309" s="14"/>
    </row>
    <row r="310" ht="18.75" customHeight="1">
      <c r="A310" s="7" t="s">
        <v>351</v>
      </c>
      <c r="B310" s="7" t="s">
        <v>3883</v>
      </c>
      <c r="C310" s="9">
        <v>884129.0</v>
      </c>
      <c r="D310" s="9">
        <v>13118.0</v>
      </c>
      <c r="E310" s="9">
        <v>1130.0</v>
      </c>
      <c r="F310" s="7" t="s">
        <v>352</v>
      </c>
      <c r="G310" s="7" t="s">
        <v>353</v>
      </c>
      <c r="H310" s="7" t="s">
        <v>354</v>
      </c>
      <c r="I310" s="7" t="s">
        <v>410</v>
      </c>
      <c r="J310" s="14"/>
      <c r="K310" s="14"/>
      <c r="O310" s="22"/>
      <c r="P310" s="22"/>
      <c r="Q310" s="23"/>
      <c r="R310" s="23"/>
      <c r="S310" s="14"/>
    </row>
    <row r="311" ht="18.75" customHeight="1">
      <c r="A311" s="7" t="s">
        <v>351</v>
      </c>
      <c r="B311" s="7" t="s">
        <v>3883</v>
      </c>
      <c r="C311" s="9">
        <v>1057868.0</v>
      </c>
      <c r="D311" s="9">
        <v>0.0</v>
      </c>
      <c r="E311" s="9">
        <v>59.0</v>
      </c>
      <c r="F311" s="7" t="s">
        <v>352</v>
      </c>
      <c r="G311" s="7" t="s">
        <v>353</v>
      </c>
      <c r="H311" s="7" t="s">
        <v>354</v>
      </c>
      <c r="I311" s="7" t="s">
        <v>410</v>
      </c>
      <c r="J311" s="14"/>
      <c r="K311" s="14"/>
      <c r="O311" s="22"/>
      <c r="P311" s="22"/>
      <c r="Q311" s="23"/>
      <c r="R311" s="23"/>
      <c r="S311" s="14"/>
    </row>
    <row r="312" ht="18.75" customHeight="1">
      <c r="A312" s="7" t="s">
        <v>351</v>
      </c>
      <c r="B312" s="7" t="s">
        <v>3883</v>
      </c>
      <c r="C312" s="9">
        <v>2219329.0</v>
      </c>
      <c r="D312" s="9">
        <v>211900.0</v>
      </c>
      <c r="E312" s="9">
        <v>58722.0</v>
      </c>
      <c r="F312" s="7" t="s">
        <v>352</v>
      </c>
      <c r="G312" s="7" t="s">
        <v>353</v>
      </c>
      <c r="H312" s="7" t="s">
        <v>354</v>
      </c>
      <c r="I312" s="7" t="s">
        <v>410</v>
      </c>
      <c r="J312" s="14"/>
      <c r="K312" s="14"/>
      <c r="O312" s="22"/>
      <c r="P312" s="22"/>
      <c r="Q312" s="23"/>
      <c r="R312" s="23"/>
      <c r="S312" s="14"/>
    </row>
    <row r="313" ht="18.75" customHeight="1">
      <c r="A313" s="7" t="s">
        <v>351</v>
      </c>
      <c r="B313" s="7" t="s">
        <v>3883</v>
      </c>
      <c r="C313" s="9">
        <v>1708561.0</v>
      </c>
      <c r="D313" s="9">
        <v>0.0</v>
      </c>
      <c r="E313" s="9">
        <v>27504.0</v>
      </c>
      <c r="F313" s="7" t="s">
        <v>352</v>
      </c>
      <c r="G313" s="7" t="s">
        <v>353</v>
      </c>
      <c r="H313" s="7" t="s">
        <v>354</v>
      </c>
      <c r="I313" s="7" t="s">
        <v>410</v>
      </c>
      <c r="J313" s="14"/>
      <c r="K313" s="14"/>
      <c r="O313" s="22"/>
      <c r="P313" s="22"/>
      <c r="Q313" s="23"/>
      <c r="R313" s="23"/>
      <c r="S313" s="14"/>
    </row>
    <row r="314" ht="18.75" customHeight="1">
      <c r="A314" s="7" t="s">
        <v>351</v>
      </c>
      <c r="B314" s="7" t="s">
        <v>3883</v>
      </c>
      <c r="C314" s="9">
        <v>1630223.0</v>
      </c>
      <c r="D314" s="9">
        <v>0.0</v>
      </c>
      <c r="E314" s="9">
        <v>26872.0</v>
      </c>
      <c r="F314" s="7" t="s">
        <v>352</v>
      </c>
      <c r="G314" s="7" t="s">
        <v>353</v>
      </c>
      <c r="H314" s="7" t="s">
        <v>354</v>
      </c>
      <c r="I314" s="7" t="s">
        <v>410</v>
      </c>
      <c r="J314" s="14"/>
      <c r="K314" s="14"/>
      <c r="O314" s="22"/>
      <c r="P314" s="22"/>
      <c r="Q314" s="23"/>
      <c r="R314" s="23"/>
      <c r="S314" s="14"/>
    </row>
    <row r="315" ht="18.75" customHeight="1">
      <c r="A315" s="7" t="s">
        <v>351</v>
      </c>
      <c r="B315" s="7" t="s">
        <v>3883</v>
      </c>
      <c r="C315" s="9">
        <v>2042485.0</v>
      </c>
      <c r="D315" s="9">
        <v>0.0</v>
      </c>
      <c r="E315" s="9">
        <v>34325.0</v>
      </c>
      <c r="F315" s="7" t="s">
        <v>352</v>
      </c>
      <c r="G315" s="7" t="s">
        <v>353</v>
      </c>
      <c r="H315" s="7" t="s">
        <v>354</v>
      </c>
      <c r="I315" s="7" t="s">
        <v>410</v>
      </c>
      <c r="J315" s="14"/>
      <c r="K315" s="14"/>
      <c r="O315" s="22"/>
      <c r="P315" s="22"/>
      <c r="Q315" s="23"/>
      <c r="R315" s="23"/>
      <c r="S315" s="14"/>
    </row>
    <row r="316" ht="18.75" customHeight="1">
      <c r="A316" s="7" t="s">
        <v>351</v>
      </c>
      <c r="B316" s="7" t="s">
        <v>3883</v>
      </c>
      <c r="C316" s="9">
        <v>1919589.0</v>
      </c>
      <c r="D316" s="9">
        <v>0.0</v>
      </c>
      <c r="E316" s="9">
        <v>28745.0</v>
      </c>
      <c r="F316" s="7" t="s">
        <v>352</v>
      </c>
      <c r="G316" s="7" t="s">
        <v>353</v>
      </c>
      <c r="H316" s="7" t="s">
        <v>354</v>
      </c>
      <c r="I316" s="7" t="s">
        <v>410</v>
      </c>
      <c r="J316" s="14"/>
      <c r="K316" s="14"/>
      <c r="O316" s="22"/>
      <c r="P316" s="22"/>
      <c r="Q316" s="23"/>
      <c r="R316" s="23"/>
      <c r="S316" s="14"/>
    </row>
    <row r="317" ht="18.75" customHeight="1">
      <c r="A317" s="7" t="s">
        <v>351</v>
      </c>
      <c r="B317" s="7" t="s">
        <v>3883</v>
      </c>
      <c r="C317" s="9">
        <v>1494084.0</v>
      </c>
      <c r="D317" s="9">
        <v>0.0</v>
      </c>
      <c r="E317" s="9">
        <v>26942.0</v>
      </c>
      <c r="F317" s="7" t="s">
        <v>352</v>
      </c>
      <c r="G317" s="7" t="s">
        <v>353</v>
      </c>
      <c r="H317" s="7" t="s">
        <v>354</v>
      </c>
      <c r="I317" s="7" t="s">
        <v>410</v>
      </c>
      <c r="J317" s="14"/>
      <c r="K317" s="14"/>
      <c r="O317" s="22"/>
      <c r="P317" s="22"/>
      <c r="Q317" s="23"/>
      <c r="R317" s="23"/>
      <c r="S317" s="14"/>
    </row>
    <row r="318" ht="18.75" customHeight="1">
      <c r="A318" s="7" t="s">
        <v>351</v>
      </c>
      <c r="B318" s="7" t="s">
        <v>3883</v>
      </c>
      <c r="C318" s="9">
        <v>1807726.0</v>
      </c>
      <c r="D318" s="9">
        <v>0.0</v>
      </c>
      <c r="E318" s="9">
        <v>27359.0</v>
      </c>
      <c r="F318" s="7" t="s">
        <v>352</v>
      </c>
      <c r="G318" s="7" t="s">
        <v>353</v>
      </c>
      <c r="H318" s="7" t="s">
        <v>354</v>
      </c>
      <c r="I318" s="7" t="s">
        <v>410</v>
      </c>
      <c r="J318" s="14"/>
      <c r="K318" s="14"/>
      <c r="O318" s="22"/>
      <c r="P318" s="22"/>
      <c r="Q318" s="23"/>
      <c r="R318" s="23"/>
      <c r="S318" s="14"/>
    </row>
    <row r="319" ht="18.75" customHeight="1">
      <c r="A319" s="7" t="s">
        <v>351</v>
      </c>
      <c r="B319" s="7" t="s">
        <v>3883</v>
      </c>
      <c r="C319" s="9">
        <v>1959706.0</v>
      </c>
      <c r="D319" s="9">
        <v>0.0</v>
      </c>
      <c r="E319" s="9">
        <v>27633.0</v>
      </c>
      <c r="F319" s="7" t="s">
        <v>352</v>
      </c>
      <c r="G319" s="7" t="s">
        <v>353</v>
      </c>
      <c r="H319" s="7" t="s">
        <v>354</v>
      </c>
      <c r="I319" s="7" t="s">
        <v>410</v>
      </c>
      <c r="J319" s="14"/>
      <c r="K319" s="14"/>
      <c r="O319" s="22"/>
      <c r="P319" s="22"/>
      <c r="Q319" s="23"/>
      <c r="R319" s="23"/>
      <c r="S319" s="14"/>
    </row>
    <row r="320" ht="18.75" customHeight="1">
      <c r="A320" s="7" t="s">
        <v>351</v>
      </c>
      <c r="B320" s="7" t="s">
        <v>3883</v>
      </c>
      <c r="C320" s="9">
        <v>2413093.0</v>
      </c>
      <c r="D320" s="9">
        <v>0.0</v>
      </c>
      <c r="E320" s="9">
        <v>39279.0</v>
      </c>
      <c r="F320" s="7" t="s">
        <v>352</v>
      </c>
      <c r="G320" s="7" t="s">
        <v>353</v>
      </c>
      <c r="H320" s="7" t="s">
        <v>354</v>
      </c>
      <c r="I320" s="7" t="s">
        <v>410</v>
      </c>
      <c r="J320" s="14"/>
      <c r="K320" s="14"/>
      <c r="O320" s="22"/>
      <c r="P320" s="22"/>
      <c r="Q320" s="23"/>
      <c r="R320" s="23"/>
      <c r="S320" s="14"/>
    </row>
    <row r="321" ht="18.75" customHeight="1">
      <c r="A321" s="7" t="s">
        <v>408</v>
      </c>
      <c r="B321" s="7" t="s">
        <v>3883</v>
      </c>
      <c r="C321" s="9">
        <v>479567.0</v>
      </c>
      <c r="D321" s="9">
        <v>0.0</v>
      </c>
      <c r="E321" s="9">
        <v>8692.0</v>
      </c>
      <c r="F321" s="7" t="s">
        <v>409</v>
      </c>
      <c r="G321" s="7" t="s">
        <v>353</v>
      </c>
      <c r="H321" s="7" t="s">
        <v>354</v>
      </c>
      <c r="I321" s="7" t="s">
        <v>410</v>
      </c>
      <c r="J321" s="14"/>
      <c r="K321" s="14"/>
      <c r="O321" s="22"/>
      <c r="P321" s="22"/>
      <c r="Q321" s="23"/>
      <c r="R321" s="23"/>
      <c r="S321" s="14"/>
    </row>
    <row r="322" ht="18.75" customHeight="1">
      <c r="A322" s="7" t="s">
        <v>408</v>
      </c>
      <c r="B322" s="7" t="s">
        <v>3883</v>
      </c>
      <c r="C322" s="9">
        <v>478147.0</v>
      </c>
      <c r="D322" s="9">
        <v>110061.0</v>
      </c>
      <c r="E322" s="9">
        <v>401.0</v>
      </c>
      <c r="F322" s="7" t="s">
        <v>409</v>
      </c>
      <c r="G322" s="7" t="s">
        <v>353</v>
      </c>
      <c r="H322" s="7" t="s">
        <v>354</v>
      </c>
      <c r="I322" s="7" t="s">
        <v>410</v>
      </c>
      <c r="J322" s="14"/>
      <c r="K322" s="14"/>
      <c r="O322" s="22"/>
      <c r="P322" s="22"/>
      <c r="Q322" s="23"/>
      <c r="R322" s="23"/>
      <c r="S322" s="14"/>
    </row>
    <row r="323" ht="18.75" customHeight="1">
      <c r="A323" s="7" t="s">
        <v>408</v>
      </c>
      <c r="B323" s="7" t="s">
        <v>3883</v>
      </c>
      <c r="C323" s="9">
        <v>692912.0</v>
      </c>
      <c r="D323" s="9">
        <v>17094.0</v>
      </c>
      <c r="E323" s="9">
        <v>1338.0</v>
      </c>
      <c r="F323" s="7" t="s">
        <v>409</v>
      </c>
      <c r="G323" s="7" t="s">
        <v>353</v>
      </c>
      <c r="H323" s="7" t="s">
        <v>354</v>
      </c>
      <c r="I323" s="7" t="s">
        <v>410</v>
      </c>
      <c r="J323" s="14"/>
      <c r="K323" s="14"/>
      <c r="O323" s="22"/>
      <c r="P323" s="22"/>
      <c r="Q323" s="23"/>
      <c r="R323" s="23"/>
      <c r="S323" s="14"/>
    </row>
    <row r="324" ht="18.75" customHeight="1">
      <c r="A324" s="7" t="s">
        <v>390</v>
      </c>
      <c r="B324" s="7" t="s">
        <v>3883</v>
      </c>
      <c r="C324" s="9">
        <v>618932.0</v>
      </c>
      <c r="D324" s="9">
        <v>0.0</v>
      </c>
      <c r="E324" s="9">
        <v>17061.0</v>
      </c>
      <c r="F324" s="7" t="s">
        <v>391</v>
      </c>
      <c r="G324" s="7" t="s">
        <v>364</v>
      </c>
      <c r="H324" s="7" t="s">
        <v>365</v>
      </c>
      <c r="I324" s="7" t="s">
        <v>355</v>
      </c>
      <c r="J324" s="14"/>
      <c r="K324" s="14"/>
      <c r="O324" s="22"/>
      <c r="P324" s="22"/>
      <c r="Q324" s="23"/>
      <c r="R324" s="23"/>
      <c r="S324" s="14"/>
    </row>
    <row r="325" ht="18.75" customHeight="1">
      <c r="A325" s="7" t="s">
        <v>390</v>
      </c>
      <c r="B325" s="7" t="s">
        <v>3883</v>
      </c>
      <c r="C325" s="9">
        <v>565228.0</v>
      </c>
      <c r="D325" s="9">
        <v>6052.0</v>
      </c>
      <c r="E325" s="9">
        <v>659.0</v>
      </c>
      <c r="F325" s="7" t="s">
        <v>391</v>
      </c>
      <c r="G325" s="7" t="s">
        <v>364</v>
      </c>
      <c r="H325" s="7" t="s">
        <v>365</v>
      </c>
      <c r="I325" s="7" t="s">
        <v>355</v>
      </c>
      <c r="J325" s="14"/>
      <c r="K325" s="14"/>
      <c r="O325" s="22"/>
      <c r="P325" s="22"/>
      <c r="Q325" s="23"/>
      <c r="R325" s="23"/>
      <c r="S325" s="14"/>
    </row>
    <row r="326" ht="18.75" customHeight="1">
      <c r="A326" s="7" t="s">
        <v>390</v>
      </c>
      <c r="B326" s="7" t="s">
        <v>3883</v>
      </c>
      <c r="C326" s="9">
        <v>3292.0</v>
      </c>
      <c r="D326" s="9">
        <v>223.0</v>
      </c>
      <c r="E326" s="9">
        <v>0.0</v>
      </c>
      <c r="F326" s="7" t="s">
        <v>391</v>
      </c>
      <c r="G326" s="7" t="s">
        <v>364</v>
      </c>
      <c r="H326" s="7" t="s">
        <v>365</v>
      </c>
      <c r="I326" s="7" t="s">
        <v>355</v>
      </c>
      <c r="J326" s="14"/>
      <c r="K326" s="14"/>
      <c r="O326" s="22"/>
      <c r="P326" s="22"/>
      <c r="Q326" s="23"/>
      <c r="R326" s="23"/>
      <c r="S326" s="14"/>
    </row>
    <row r="327" ht="18.75" customHeight="1">
      <c r="A327" s="7" t="s">
        <v>390</v>
      </c>
      <c r="B327" s="7" t="s">
        <v>3883</v>
      </c>
      <c r="C327" s="9">
        <v>625316.0</v>
      </c>
      <c r="D327" s="9">
        <v>30219.0</v>
      </c>
      <c r="E327" s="9">
        <v>132.0</v>
      </c>
      <c r="F327" s="7" t="s">
        <v>391</v>
      </c>
      <c r="G327" s="7" t="s">
        <v>364</v>
      </c>
      <c r="H327" s="7" t="s">
        <v>365</v>
      </c>
      <c r="I327" s="7" t="s">
        <v>355</v>
      </c>
      <c r="J327" s="14"/>
      <c r="K327" s="14"/>
      <c r="O327" s="22"/>
      <c r="P327" s="22"/>
      <c r="Q327" s="23"/>
      <c r="R327" s="23"/>
      <c r="S327" s="14"/>
    </row>
    <row r="328" ht="18.75" customHeight="1">
      <c r="A328" s="7" t="s">
        <v>388</v>
      </c>
      <c r="B328" s="7" t="s">
        <v>3883</v>
      </c>
      <c r="C328" s="9">
        <v>1479266.0</v>
      </c>
      <c r="D328" s="9">
        <v>0.0</v>
      </c>
      <c r="E328" s="9">
        <v>42644.0</v>
      </c>
      <c r="F328" s="7" t="s">
        <v>389</v>
      </c>
      <c r="G328" s="7" t="s">
        <v>353</v>
      </c>
      <c r="H328" s="7" t="s">
        <v>378</v>
      </c>
      <c r="I328" s="7" t="s">
        <v>355</v>
      </c>
      <c r="J328" s="14"/>
      <c r="K328" s="14"/>
      <c r="O328" s="22"/>
      <c r="P328" s="22"/>
      <c r="Q328" s="23"/>
      <c r="R328" s="23"/>
      <c r="S328" s="14"/>
    </row>
    <row r="329" ht="18.75" customHeight="1">
      <c r="A329" s="7" t="s">
        <v>388</v>
      </c>
      <c r="B329" s="7" t="s">
        <v>3883</v>
      </c>
      <c r="C329" s="9">
        <v>121689.0</v>
      </c>
      <c r="D329" s="9">
        <v>0.0</v>
      </c>
      <c r="E329" s="9">
        <v>3622.0</v>
      </c>
      <c r="F329" s="7" t="s">
        <v>389</v>
      </c>
      <c r="G329" s="7" t="s">
        <v>353</v>
      </c>
      <c r="H329" s="7" t="s">
        <v>378</v>
      </c>
      <c r="I329" s="7" t="s">
        <v>355</v>
      </c>
      <c r="J329" s="14"/>
      <c r="K329" s="14"/>
      <c r="O329" s="22"/>
      <c r="P329" s="22"/>
      <c r="Q329" s="23"/>
      <c r="R329" s="23"/>
      <c r="S329" s="14"/>
    </row>
    <row r="330" ht="18.75" customHeight="1">
      <c r="A330" s="7" t="s">
        <v>388</v>
      </c>
      <c r="B330" s="7" t="s">
        <v>3883</v>
      </c>
      <c r="C330" s="9">
        <v>647009.0</v>
      </c>
      <c r="D330" s="9">
        <v>60721.0</v>
      </c>
      <c r="E330" s="9">
        <v>168.0</v>
      </c>
      <c r="F330" s="7" t="s">
        <v>389</v>
      </c>
      <c r="G330" s="7" t="s">
        <v>353</v>
      </c>
      <c r="H330" s="7" t="s">
        <v>378</v>
      </c>
      <c r="I330" s="7" t="s">
        <v>355</v>
      </c>
      <c r="J330" s="14"/>
      <c r="K330" s="14"/>
      <c r="O330" s="22"/>
      <c r="P330" s="22"/>
      <c r="Q330" s="23"/>
      <c r="R330" s="23"/>
      <c r="S330" s="14"/>
    </row>
    <row r="331" ht="18.75" customHeight="1">
      <c r="A331" s="7" t="s">
        <v>388</v>
      </c>
      <c r="B331" s="7" t="s">
        <v>3883</v>
      </c>
      <c r="C331" s="9">
        <v>648032.0</v>
      </c>
      <c r="D331" s="9">
        <v>9721.0</v>
      </c>
      <c r="E331" s="9">
        <v>1364.0</v>
      </c>
      <c r="F331" s="7" t="s">
        <v>389</v>
      </c>
      <c r="G331" s="7" t="s">
        <v>353</v>
      </c>
      <c r="H331" s="7" t="s">
        <v>378</v>
      </c>
      <c r="I331" s="7" t="s">
        <v>355</v>
      </c>
      <c r="J331" s="14"/>
      <c r="K331" s="14"/>
      <c r="O331" s="22"/>
      <c r="P331" s="22"/>
      <c r="Q331" s="23"/>
      <c r="R331" s="23"/>
      <c r="S331" s="14"/>
    </row>
    <row r="332" ht="18.75" customHeight="1">
      <c r="A332" s="7" t="s">
        <v>388</v>
      </c>
      <c r="B332" s="7" t="s">
        <v>3883</v>
      </c>
      <c r="C332" s="9">
        <v>874408.0</v>
      </c>
      <c r="D332" s="9">
        <v>58069.0</v>
      </c>
      <c r="E332" s="9">
        <v>1134.0</v>
      </c>
      <c r="F332" s="7" t="s">
        <v>389</v>
      </c>
      <c r="G332" s="7" t="s">
        <v>353</v>
      </c>
      <c r="H332" s="7" t="s">
        <v>378</v>
      </c>
      <c r="I332" s="7" t="s">
        <v>355</v>
      </c>
      <c r="J332" s="14"/>
      <c r="K332" s="14"/>
      <c r="O332" s="22"/>
      <c r="P332" s="22"/>
      <c r="Q332" s="23"/>
      <c r="R332" s="23"/>
      <c r="S332" s="14"/>
    </row>
    <row r="333" ht="18.75" customHeight="1">
      <c r="A333" s="7" t="s">
        <v>398</v>
      </c>
      <c r="B333" s="7" t="s">
        <v>3883</v>
      </c>
      <c r="C333" s="9">
        <v>97415.0</v>
      </c>
      <c r="D333" s="9">
        <v>0.0</v>
      </c>
      <c r="E333" s="9">
        <v>5081.0</v>
      </c>
      <c r="F333" s="7" t="s">
        <v>399</v>
      </c>
      <c r="G333" s="7" t="s">
        <v>353</v>
      </c>
      <c r="H333" s="7" t="s">
        <v>378</v>
      </c>
      <c r="I333" s="7" t="s">
        <v>355</v>
      </c>
      <c r="J333" s="14"/>
      <c r="K333" s="14"/>
      <c r="O333" s="22"/>
      <c r="P333" s="22"/>
      <c r="Q333" s="23"/>
      <c r="R333" s="23"/>
      <c r="S333" s="14"/>
    </row>
    <row r="334" ht="18.75" customHeight="1">
      <c r="A334" s="7" t="s">
        <v>398</v>
      </c>
      <c r="B334" s="7" t="s">
        <v>3883</v>
      </c>
      <c r="C334" s="9">
        <v>160728.0</v>
      </c>
      <c r="D334" s="9">
        <v>0.0</v>
      </c>
      <c r="E334" s="9">
        <v>5395.0</v>
      </c>
      <c r="F334" s="7" t="s">
        <v>399</v>
      </c>
      <c r="G334" s="7" t="s">
        <v>353</v>
      </c>
      <c r="H334" s="7" t="s">
        <v>378</v>
      </c>
      <c r="I334" s="7" t="s">
        <v>355</v>
      </c>
      <c r="J334" s="14"/>
      <c r="K334" s="14"/>
      <c r="O334" s="22"/>
      <c r="P334" s="22"/>
      <c r="Q334" s="23"/>
      <c r="R334" s="23"/>
      <c r="S334" s="14"/>
    </row>
    <row r="335" ht="18.75" customHeight="1">
      <c r="A335" s="7" t="s">
        <v>398</v>
      </c>
      <c r="B335" s="7" t="s">
        <v>3883</v>
      </c>
      <c r="C335" s="9">
        <v>169964.0</v>
      </c>
      <c r="D335" s="9">
        <v>0.0</v>
      </c>
      <c r="E335" s="9">
        <v>6479.0</v>
      </c>
      <c r="F335" s="7" t="s">
        <v>399</v>
      </c>
      <c r="G335" s="7" t="s">
        <v>353</v>
      </c>
      <c r="H335" s="7" t="s">
        <v>378</v>
      </c>
      <c r="I335" s="7" t="s">
        <v>355</v>
      </c>
      <c r="J335" s="14"/>
      <c r="K335" s="14"/>
      <c r="O335" s="22"/>
      <c r="P335" s="22"/>
      <c r="Q335" s="23"/>
      <c r="R335" s="23"/>
      <c r="S335" s="14"/>
    </row>
    <row r="336" ht="18.75" customHeight="1">
      <c r="A336" s="7" t="s">
        <v>398</v>
      </c>
      <c r="B336" s="7" t="s">
        <v>3883</v>
      </c>
      <c r="C336" s="9">
        <v>30565.0</v>
      </c>
      <c r="D336" s="9">
        <v>0.0</v>
      </c>
      <c r="E336" s="9">
        <v>1416.0</v>
      </c>
      <c r="F336" s="7" t="s">
        <v>399</v>
      </c>
      <c r="G336" s="7" t="s">
        <v>353</v>
      </c>
      <c r="H336" s="7" t="s">
        <v>378</v>
      </c>
      <c r="I336" s="7" t="s">
        <v>355</v>
      </c>
      <c r="J336" s="14"/>
      <c r="K336" s="14"/>
      <c r="O336" s="22"/>
      <c r="P336" s="22"/>
      <c r="Q336" s="23"/>
      <c r="R336" s="23"/>
      <c r="S336" s="14"/>
    </row>
    <row r="337" ht="18.75" customHeight="1">
      <c r="A337" s="7" t="s">
        <v>398</v>
      </c>
      <c r="B337" s="7" t="s">
        <v>3883</v>
      </c>
      <c r="C337" s="9">
        <v>170167.0</v>
      </c>
      <c r="D337" s="9">
        <v>0.0</v>
      </c>
      <c r="E337" s="9">
        <v>5515.0</v>
      </c>
      <c r="F337" s="7" t="s">
        <v>399</v>
      </c>
      <c r="G337" s="7" t="s">
        <v>353</v>
      </c>
      <c r="H337" s="7" t="s">
        <v>378</v>
      </c>
      <c r="I337" s="7" t="s">
        <v>355</v>
      </c>
      <c r="J337" s="14"/>
      <c r="K337" s="14"/>
      <c r="O337" s="22"/>
      <c r="P337" s="22"/>
      <c r="Q337" s="23"/>
      <c r="R337" s="23"/>
      <c r="S337" s="14"/>
    </row>
    <row r="338" ht="18.75" customHeight="1">
      <c r="A338" s="7" t="s">
        <v>398</v>
      </c>
      <c r="B338" s="7" t="s">
        <v>3883</v>
      </c>
      <c r="C338" s="9">
        <v>164644.0</v>
      </c>
      <c r="D338" s="9">
        <v>0.0</v>
      </c>
      <c r="E338" s="9">
        <v>5431.0</v>
      </c>
      <c r="F338" s="7" t="s">
        <v>399</v>
      </c>
      <c r="G338" s="7" t="s">
        <v>353</v>
      </c>
      <c r="H338" s="7" t="s">
        <v>378</v>
      </c>
      <c r="I338" s="7" t="s">
        <v>355</v>
      </c>
      <c r="J338" s="14"/>
      <c r="K338" s="14"/>
      <c r="O338" s="22"/>
      <c r="P338" s="22"/>
      <c r="Q338" s="23"/>
      <c r="R338" s="23"/>
      <c r="S338" s="14"/>
    </row>
    <row r="339" ht="18.75" customHeight="1">
      <c r="A339" s="7" t="s">
        <v>398</v>
      </c>
      <c r="B339" s="7" t="s">
        <v>3883</v>
      </c>
      <c r="C339" s="9">
        <v>173023.0</v>
      </c>
      <c r="D339" s="9">
        <v>0.0</v>
      </c>
      <c r="E339" s="9">
        <v>5134.0</v>
      </c>
      <c r="F339" s="7" t="s">
        <v>399</v>
      </c>
      <c r="G339" s="7" t="s">
        <v>353</v>
      </c>
      <c r="H339" s="7" t="s">
        <v>378</v>
      </c>
      <c r="I339" s="7" t="s">
        <v>355</v>
      </c>
      <c r="J339" s="14"/>
      <c r="K339" s="14"/>
      <c r="O339" s="22"/>
      <c r="P339" s="22"/>
      <c r="Q339" s="23"/>
      <c r="R339" s="23"/>
      <c r="S339" s="14"/>
    </row>
    <row r="340" ht="18.75" customHeight="1">
      <c r="A340" s="7" t="s">
        <v>398</v>
      </c>
      <c r="B340" s="7" t="s">
        <v>3883</v>
      </c>
      <c r="C340" s="9">
        <v>209982.0</v>
      </c>
      <c r="D340" s="9">
        <v>0.0</v>
      </c>
      <c r="E340" s="9">
        <v>6254.0</v>
      </c>
      <c r="F340" s="7" t="s">
        <v>399</v>
      </c>
      <c r="G340" s="7" t="s">
        <v>353</v>
      </c>
      <c r="H340" s="7" t="s">
        <v>378</v>
      </c>
      <c r="I340" s="7" t="s">
        <v>355</v>
      </c>
      <c r="J340" s="14"/>
      <c r="K340" s="14"/>
      <c r="O340" s="22"/>
      <c r="P340" s="22"/>
      <c r="Q340" s="23"/>
      <c r="R340" s="23"/>
      <c r="S340" s="14"/>
    </row>
    <row r="341" ht="18.75" customHeight="1">
      <c r="A341" s="7" t="s">
        <v>398</v>
      </c>
      <c r="B341" s="7" t="s">
        <v>3883</v>
      </c>
      <c r="C341" s="9">
        <v>196234.0</v>
      </c>
      <c r="D341" s="9">
        <v>0.0</v>
      </c>
      <c r="E341" s="9">
        <v>5702.0</v>
      </c>
      <c r="F341" s="7" t="s">
        <v>399</v>
      </c>
      <c r="G341" s="7" t="s">
        <v>353</v>
      </c>
      <c r="H341" s="7" t="s">
        <v>378</v>
      </c>
      <c r="I341" s="7" t="s">
        <v>355</v>
      </c>
      <c r="J341" s="14"/>
      <c r="K341" s="14"/>
      <c r="O341" s="22"/>
      <c r="P341" s="22"/>
      <c r="Q341" s="23"/>
      <c r="R341" s="23"/>
      <c r="S341" s="14"/>
    </row>
    <row r="342" ht="18.75" customHeight="1">
      <c r="A342" s="7" t="s">
        <v>398</v>
      </c>
      <c r="B342" s="7" t="s">
        <v>3883</v>
      </c>
      <c r="C342" s="9">
        <v>110445.0</v>
      </c>
      <c r="D342" s="9">
        <v>0.0</v>
      </c>
      <c r="E342" s="9">
        <v>1536.0</v>
      </c>
      <c r="F342" s="7" t="s">
        <v>399</v>
      </c>
      <c r="G342" s="7" t="s">
        <v>353</v>
      </c>
      <c r="H342" s="7" t="s">
        <v>378</v>
      </c>
      <c r="I342" s="7" t="s">
        <v>355</v>
      </c>
      <c r="J342" s="14"/>
      <c r="K342" s="14"/>
      <c r="O342" s="22"/>
      <c r="P342" s="22"/>
      <c r="Q342" s="23"/>
      <c r="R342" s="23"/>
      <c r="S342" s="14"/>
    </row>
    <row r="343" ht="18.75" customHeight="1">
      <c r="A343" s="7" t="s">
        <v>398</v>
      </c>
      <c r="B343" s="7" t="s">
        <v>3883</v>
      </c>
      <c r="C343" s="9">
        <v>156659.0</v>
      </c>
      <c r="D343" s="9">
        <v>0.0</v>
      </c>
      <c r="E343" s="9">
        <v>3574.0</v>
      </c>
      <c r="F343" s="7" t="s">
        <v>399</v>
      </c>
      <c r="G343" s="7" t="s">
        <v>353</v>
      </c>
      <c r="H343" s="7" t="s">
        <v>378</v>
      </c>
      <c r="I343" s="7" t="s">
        <v>355</v>
      </c>
      <c r="J343" s="14"/>
      <c r="K343" s="14"/>
      <c r="O343" s="22"/>
      <c r="P343" s="22"/>
      <c r="Q343" s="23"/>
      <c r="R343" s="23"/>
      <c r="S343" s="14"/>
    </row>
    <row r="344" ht="18.75" customHeight="1">
      <c r="A344" s="7" t="s">
        <v>398</v>
      </c>
      <c r="B344" s="7" t="s">
        <v>3883</v>
      </c>
      <c r="C344" s="9">
        <v>110197.0</v>
      </c>
      <c r="D344" s="9">
        <v>0.0</v>
      </c>
      <c r="E344" s="9">
        <v>4635.0</v>
      </c>
      <c r="F344" s="7" t="s">
        <v>399</v>
      </c>
      <c r="G344" s="7" t="s">
        <v>353</v>
      </c>
      <c r="H344" s="7" t="s">
        <v>378</v>
      </c>
      <c r="I344" s="7" t="s">
        <v>355</v>
      </c>
      <c r="J344" s="14"/>
      <c r="K344" s="14"/>
      <c r="O344" s="22"/>
      <c r="P344" s="22"/>
      <c r="Q344" s="23"/>
      <c r="R344" s="23"/>
      <c r="S344" s="14"/>
    </row>
    <row r="345" ht="18.75" customHeight="1">
      <c r="A345" s="7" t="s">
        <v>400</v>
      </c>
      <c r="B345" s="7" t="s">
        <v>3883</v>
      </c>
      <c r="C345" s="9">
        <v>376152.0</v>
      </c>
      <c r="D345" s="9">
        <v>0.0</v>
      </c>
      <c r="E345" s="9">
        <v>7524.0</v>
      </c>
      <c r="F345" s="7" t="s">
        <v>401</v>
      </c>
      <c r="G345" s="7" t="s">
        <v>353</v>
      </c>
      <c r="H345" s="7" t="s">
        <v>378</v>
      </c>
      <c r="I345" s="7" t="s">
        <v>355</v>
      </c>
      <c r="J345" s="14"/>
      <c r="K345" s="14"/>
      <c r="O345" s="22"/>
      <c r="P345" s="22"/>
      <c r="Q345" s="23"/>
      <c r="R345" s="23"/>
      <c r="S345" s="14"/>
    </row>
    <row r="346" ht="18.75" customHeight="1">
      <c r="A346" s="7" t="s">
        <v>392</v>
      </c>
      <c r="B346" s="7" t="s">
        <v>3883</v>
      </c>
      <c r="C346" s="9">
        <v>1111448.0</v>
      </c>
      <c r="D346" s="9">
        <v>8673.0</v>
      </c>
      <c r="E346" s="9">
        <v>1150.0</v>
      </c>
      <c r="F346" s="7" t="s">
        <v>393</v>
      </c>
      <c r="G346" s="7" t="s">
        <v>353</v>
      </c>
      <c r="H346" s="7" t="s">
        <v>378</v>
      </c>
      <c r="I346" s="7" t="s">
        <v>355</v>
      </c>
      <c r="J346" s="14"/>
      <c r="K346" s="14"/>
      <c r="O346" s="22"/>
      <c r="P346" s="22"/>
      <c r="Q346" s="23"/>
      <c r="R346" s="23"/>
      <c r="S346" s="14"/>
    </row>
    <row r="347" ht="18.75" customHeight="1">
      <c r="A347" s="7" t="s">
        <v>392</v>
      </c>
      <c r="B347" s="7" t="s">
        <v>3883</v>
      </c>
      <c r="C347" s="9">
        <v>707712.0</v>
      </c>
      <c r="D347" s="9">
        <v>77193.0</v>
      </c>
      <c r="E347" s="9">
        <v>194.0</v>
      </c>
      <c r="F347" s="7" t="s">
        <v>393</v>
      </c>
      <c r="G347" s="7" t="s">
        <v>353</v>
      </c>
      <c r="H347" s="7" t="s">
        <v>378</v>
      </c>
      <c r="I347" s="7" t="s">
        <v>355</v>
      </c>
      <c r="J347" s="14"/>
      <c r="K347" s="14"/>
      <c r="O347" s="22"/>
      <c r="P347" s="22"/>
      <c r="Q347" s="23"/>
      <c r="R347" s="23"/>
      <c r="S347" s="14"/>
    </row>
    <row r="348" ht="18.75" customHeight="1">
      <c r="A348" s="7" t="s">
        <v>392</v>
      </c>
      <c r="B348" s="7" t="s">
        <v>3883</v>
      </c>
      <c r="C348" s="9">
        <v>1015213.0</v>
      </c>
      <c r="D348" s="9">
        <v>0.0</v>
      </c>
      <c r="E348" s="9">
        <v>40320.0</v>
      </c>
      <c r="F348" s="7" t="s">
        <v>393</v>
      </c>
      <c r="G348" s="7" t="s">
        <v>353</v>
      </c>
      <c r="H348" s="7" t="s">
        <v>378</v>
      </c>
      <c r="I348" s="7" t="s">
        <v>355</v>
      </c>
      <c r="J348" s="14"/>
      <c r="K348" s="14"/>
      <c r="O348" s="22"/>
      <c r="P348" s="22"/>
      <c r="Q348" s="23"/>
      <c r="R348" s="23"/>
      <c r="S348" s="14"/>
    </row>
    <row r="349" ht="18.75" customHeight="1">
      <c r="A349" s="7" t="s">
        <v>392</v>
      </c>
      <c r="B349" s="7" t="s">
        <v>3883</v>
      </c>
      <c r="C349" s="9">
        <v>1011390.0</v>
      </c>
      <c r="D349" s="9">
        <v>22043.0</v>
      </c>
      <c r="E349" s="9">
        <v>1773.0</v>
      </c>
      <c r="F349" s="7" t="s">
        <v>393</v>
      </c>
      <c r="G349" s="7" t="s">
        <v>353</v>
      </c>
      <c r="H349" s="7" t="s">
        <v>378</v>
      </c>
      <c r="I349" s="7" t="s">
        <v>355</v>
      </c>
      <c r="J349" s="14"/>
      <c r="K349" s="14"/>
      <c r="O349" s="22"/>
      <c r="P349" s="22"/>
      <c r="Q349" s="23"/>
      <c r="R349" s="23"/>
      <c r="S349" s="14"/>
    </row>
    <row r="350" ht="18.75" customHeight="1">
      <c r="A350" s="7" t="s">
        <v>392</v>
      </c>
      <c r="B350" s="7" t="s">
        <v>3883</v>
      </c>
      <c r="C350" s="9">
        <v>933853.0</v>
      </c>
      <c r="D350" s="9">
        <v>13741.0</v>
      </c>
      <c r="E350" s="9">
        <v>2672.0</v>
      </c>
      <c r="F350" s="7" t="s">
        <v>393</v>
      </c>
      <c r="G350" s="7" t="s">
        <v>353</v>
      </c>
      <c r="H350" s="7" t="s">
        <v>378</v>
      </c>
      <c r="I350" s="7" t="s">
        <v>355</v>
      </c>
      <c r="J350" s="14"/>
      <c r="K350" s="14"/>
      <c r="O350" s="22"/>
      <c r="P350" s="22"/>
      <c r="Q350" s="23"/>
      <c r="R350" s="23"/>
      <c r="S350" s="14"/>
    </row>
    <row r="351" ht="18.75" customHeight="1">
      <c r="A351" s="7" t="s">
        <v>394</v>
      </c>
      <c r="B351" s="7" t="s">
        <v>3883</v>
      </c>
      <c r="C351" s="9">
        <v>64173.0</v>
      </c>
      <c r="D351" s="9">
        <v>0.0</v>
      </c>
      <c r="E351" s="9">
        <v>1146.0</v>
      </c>
      <c r="F351" s="7" t="s">
        <v>395</v>
      </c>
      <c r="G351" s="7" t="s">
        <v>353</v>
      </c>
      <c r="H351" s="7" t="s">
        <v>378</v>
      </c>
      <c r="I351" s="7" t="s">
        <v>355</v>
      </c>
      <c r="J351" s="14"/>
      <c r="K351" s="14"/>
      <c r="O351" s="22"/>
      <c r="P351" s="22"/>
      <c r="Q351" s="23"/>
      <c r="R351" s="23"/>
      <c r="S351" s="14"/>
    </row>
    <row r="352" ht="18.75" customHeight="1">
      <c r="A352" s="7" t="s">
        <v>394</v>
      </c>
      <c r="B352" s="7" t="s">
        <v>3883</v>
      </c>
      <c r="C352" s="9">
        <v>176645.0</v>
      </c>
      <c r="D352" s="9">
        <v>0.0</v>
      </c>
      <c r="E352" s="9">
        <v>5278.0</v>
      </c>
      <c r="F352" s="7" t="s">
        <v>395</v>
      </c>
      <c r="G352" s="7" t="s">
        <v>353</v>
      </c>
      <c r="H352" s="7" t="s">
        <v>378</v>
      </c>
      <c r="I352" s="7" t="s">
        <v>355</v>
      </c>
      <c r="J352" s="14"/>
      <c r="K352" s="14"/>
      <c r="O352" s="22"/>
      <c r="P352" s="22"/>
      <c r="Q352" s="23"/>
      <c r="R352" s="23"/>
      <c r="S352" s="14"/>
    </row>
    <row r="353" ht="18.75" customHeight="1">
      <c r="A353" s="7" t="s">
        <v>394</v>
      </c>
      <c r="B353" s="7" t="s">
        <v>3883</v>
      </c>
      <c r="C353" s="9">
        <v>164691.0</v>
      </c>
      <c r="D353" s="9">
        <v>3499.0</v>
      </c>
      <c r="E353" s="9">
        <v>171.0</v>
      </c>
      <c r="F353" s="7" t="s">
        <v>395</v>
      </c>
      <c r="G353" s="7" t="s">
        <v>353</v>
      </c>
      <c r="H353" s="7" t="s">
        <v>378</v>
      </c>
      <c r="I353" s="7" t="s">
        <v>355</v>
      </c>
      <c r="J353" s="14"/>
      <c r="K353" s="14"/>
      <c r="O353" s="22"/>
      <c r="P353" s="22"/>
      <c r="Q353" s="23"/>
      <c r="R353" s="23"/>
      <c r="S353" s="14"/>
    </row>
    <row r="354" ht="18.75" customHeight="1">
      <c r="A354" s="7" t="s">
        <v>394</v>
      </c>
      <c r="B354" s="7" t="s">
        <v>3883</v>
      </c>
      <c r="C354" s="9">
        <v>222577.0</v>
      </c>
      <c r="D354" s="9">
        <v>7670.0</v>
      </c>
      <c r="E354" s="9">
        <v>42.0</v>
      </c>
      <c r="F354" s="7" t="s">
        <v>395</v>
      </c>
      <c r="G354" s="7" t="s">
        <v>353</v>
      </c>
      <c r="H354" s="7" t="s">
        <v>378</v>
      </c>
      <c r="I354" s="7" t="s">
        <v>355</v>
      </c>
      <c r="J354" s="14"/>
      <c r="K354" s="14"/>
      <c r="O354" s="22"/>
      <c r="P354" s="22"/>
      <c r="Q354" s="23"/>
      <c r="R354" s="23"/>
      <c r="S354" s="14"/>
    </row>
    <row r="355" ht="18.75" customHeight="1">
      <c r="A355" s="7" t="s">
        <v>394</v>
      </c>
      <c r="B355" s="7" t="s">
        <v>3883</v>
      </c>
      <c r="C355" s="9">
        <v>292187.0</v>
      </c>
      <c r="D355" s="9">
        <v>4924.0</v>
      </c>
      <c r="E355" s="9">
        <v>365.0</v>
      </c>
      <c r="F355" s="7" t="s">
        <v>395</v>
      </c>
      <c r="G355" s="7" t="s">
        <v>353</v>
      </c>
      <c r="H355" s="7" t="s">
        <v>378</v>
      </c>
      <c r="I355" s="7" t="s">
        <v>355</v>
      </c>
      <c r="J355" s="14"/>
      <c r="K355" s="14"/>
      <c r="O355" s="22"/>
      <c r="P355" s="22"/>
      <c r="Q355" s="23"/>
      <c r="R355" s="23"/>
      <c r="S355" s="14"/>
    </row>
    <row r="356" ht="18.75" customHeight="1">
      <c r="A356" s="7" t="s">
        <v>402</v>
      </c>
      <c r="B356" s="7" t="s">
        <v>3883</v>
      </c>
      <c r="C356" s="9">
        <v>2909522.0</v>
      </c>
      <c r="D356" s="9">
        <v>656374.0</v>
      </c>
      <c r="E356" s="9">
        <v>4126.0</v>
      </c>
      <c r="F356" s="7" t="s">
        <v>403</v>
      </c>
      <c r="G356" s="7" t="s">
        <v>404</v>
      </c>
      <c r="H356" s="7" t="s">
        <v>405</v>
      </c>
      <c r="I356" s="7" t="s">
        <v>355</v>
      </c>
      <c r="J356" s="14"/>
      <c r="K356" s="14"/>
      <c r="O356" s="22"/>
      <c r="P356" s="22"/>
      <c r="Q356" s="23"/>
      <c r="R356" s="23"/>
      <c r="S356" s="14"/>
    </row>
    <row r="357" ht="18.75" customHeight="1">
      <c r="A357" s="7" t="s">
        <v>402</v>
      </c>
      <c r="B357" s="7" t="s">
        <v>3883</v>
      </c>
      <c r="C357" s="9">
        <v>1689625.0</v>
      </c>
      <c r="D357" s="9">
        <v>1593873.0</v>
      </c>
      <c r="E357" s="9">
        <v>322.0</v>
      </c>
      <c r="F357" s="7" t="s">
        <v>403</v>
      </c>
      <c r="G357" s="7" t="s">
        <v>404</v>
      </c>
      <c r="H357" s="7" t="s">
        <v>405</v>
      </c>
      <c r="I357" s="7" t="s">
        <v>355</v>
      </c>
      <c r="J357" s="14"/>
      <c r="K357" s="14"/>
      <c r="O357" s="22"/>
      <c r="P357" s="22"/>
      <c r="Q357" s="23"/>
      <c r="R357" s="23"/>
      <c r="S357" s="14"/>
    </row>
    <row r="358" ht="18.75" customHeight="1">
      <c r="A358" s="7" t="s">
        <v>402</v>
      </c>
      <c r="B358" s="7" t="s">
        <v>3883</v>
      </c>
      <c r="C358" s="9">
        <v>38160.0</v>
      </c>
      <c r="D358" s="9">
        <v>0.0</v>
      </c>
      <c r="E358" s="9">
        <v>1.0</v>
      </c>
      <c r="F358" s="7" t="s">
        <v>403</v>
      </c>
      <c r="G358" s="7" t="s">
        <v>404</v>
      </c>
      <c r="H358" s="7" t="s">
        <v>405</v>
      </c>
      <c r="I358" s="7" t="s">
        <v>355</v>
      </c>
      <c r="J358" s="14"/>
      <c r="K358" s="14"/>
      <c r="O358" s="22"/>
      <c r="P358" s="22"/>
      <c r="Q358" s="23"/>
      <c r="R358" s="23"/>
      <c r="S358" s="14"/>
    </row>
    <row r="359" ht="18.75" customHeight="1">
      <c r="A359" s="7" t="s">
        <v>402</v>
      </c>
      <c r="B359" s="7" t="s">
        <v>3883</v>
      </c>
      <c r="C359" s="9">
        <v>582428.0</v>
      </c>
      <c r="D359" s="9">
        <v>45561.0</v>
      </c>
      <c r="E359" s="9">
        <v>1677.0</v>
      </c>
      <c r="F359" s="7" t="s">
        <v>403</v>
      </c>
      <c r="G359" s="7" t="s">
        <v>404</v>
      </c>
      <c r="H359" s="7" t="s">
        <v>405</v>
      </c>
      <c r="I359" s="7" t="s">
        <v>355</v>
      </c>
      <c r="J359" s="14"/>
      <c r="K359" s="14"/>
      <c r="O359" s="22"/>
      <c r="P359" s="22"/>
      <c r="Q359" s="23"/>
      <c r="R359" s="23"/>
      <c r="S359" s="14"/>
    </row>
    <row r="360" ht="18.75" customHeight="1">
      <c r="A360" s="7" t="s">
        <v>402</v>
      </c>
      <c r="B360" s="7" t="s">
        <v>3883</v>
      </c>
      <c r="C360" s="9">
        <v>566975.0</v>
      </c>
      <c r="D360" s="9">
        <v>0.0</v>
      </c>
      <c r="E360" s="9">
        <v>28136.0</v>
      </c>
      <c r="F360" s="7" t="s">
        <v>403</v>
      </c>
      <c r="G360" s="7" t="s">
        <v>404</v>
      </c>
      <c r="H360" s="7" t="s">
        <v>405</v>
      </c>
      <c r="I360" s="7" t="s">
        <v>355</v>
      </c>
      <c r="J360" s="14"/>
      <c r="K360" s="14"/>
      <c r="O360" s="22"/>
      <c r="P360" s="22"/>
      <c r="Q360" s="23"/>
      <c r="R360" s="23"/>
      <c r="S360" s="14"/>
    </row>
    <row r="361" ht="18.75" customHeight="1">
      <c r="A361" s="7" t="s">
        <v>402</v>
      </c>
      <c r="B361" s="7" t="s">
        <v>3883</v>
      </c>
      <c r="C361" s="9">
        <v>536355.0</v>
      </c>
      <c r="D361" s="9">
        <v>19245.0</v>
      </c>
      <c r="E361" s="9">
        <v>84.0</v>
      </c>
      <c r="F361" s="7" t="s">
        <v>403</v>
      </c>
      <c r="G361" s="7" t="s">
        <v>404</v>
      </c>
      <c r="H361" s="7" t="s">
        <v>405</v>
      </c>
      <c r="I361" s="7" t="s">
        <v>355</v>
      </c>
      <c r="J361" s="14"/>
      <c r="K361" s="14"/>
      <c r="O361" s="22"/>
      <c r="P361" s="22"/>
      <c r="Q361" s="23"/>
      <c r="R361" s="23"/>
      <c r="S361" s="14"/>
    </row>
    <row r="362" ht="18.75" customHeight="1">
      <c r="A362" s="7" t="s">
        <v>402</v>
      </c>
      <c r="B362" s="7" t="s">
        <v>3883</v>
      </c>
      <c r="C362" s="9">
        <v>991380.0</v>
      </c>
      <c r="D362" s="9">
        <v>11715.0</v>
      </c>
      <c r="E362" s="9">
        <v>874.0</v>
      </c>
      <c r="F362" s="7" t="s">
        <v>403</v>
      </c>
      <c r="G362" s="7" t="s">
        <v>404</v>
      </c>
      <c r="H362" s="7" t="s">
        <v>405</v>
      </c>
      <c r="I362" s="7" t="s">
        <v>355</v>
      </c>
      <c r="J362" s="14"/>
      <c r="K362" s="14"/>
      <c r="O362" s="22"/>
      <c r="P362" s="22"/>
      <c r="Q362" s="23"/>
      <c r="R362" s="23"/>
      <c r="S362" s="14"/>
    </row>
    <row r="363" ht="18.75" customHeight="1">
      <c r="A363" s="7" t="s">
        <v>402</v>
      </c>
      <c r="B363" s="7" t="s">
        <v>3883</v>
      </c>
      <c r="C363" s="9">
        <v>162011.0</v>
      </c>
      <c r="D363" s="9">
        <v>0.0</v>
      </c>
      <c r="E363" s="9">
        <v>12181.0</v>
      </c>
      <c r="F363" s="7" t="s">
        <v>403</v>
      </c>
      <c r="G363" s="7" t="s">
        <v>404</v>
      </c>
      <c r="H363" s="7" t="s">
        <v>405</v>
      </c>
      <c r="I363" s="7" t="s">
        <v>355</v>
      </c>
      <c r="J363" s="14"/>
      <c r="K363" s="14"/>
      <c r="O363" s="22"/>
      <c r="P363" s="22"/>
      <c r="Q363" s="23"/>
      <c r="R363" s="23"/>
      <c r="S363" s="14"/>
    </row>
    <row r="364" ht="18.75" customHeight="1">
      <c r="A364" s="7" t="s">
        <v>402</v>
      </c>
      <c r="B364" s="7" t="s">
        <v>3883</v>
      </c>
      <c r="C364" s="9">
        <v>750815.0</v>
      </c>
      <c r="D364" s="9">
        <v>0.0</v>
      </c>
      <c r="E364" s="9">
        <v>25694.0</v>
      </c>
      <c r="F364" s="7" t="s">
        <v>403</v>
      </c>
      <c r="G364" s="7" t="s">
        <v>404</v>
      </c>
      <c r="H364" s="7" t="s">
        <v>405</v>
      </c>
      <c r="I364" s="7" t="s">
        <v>355</v>
      </c>
      <c r="J364" s="14"/>
      <c r="K364" s="14"/>
      <c r="O364" s="22"/>
      <c r="P364" s="22"/>
      <c r="Q364" s="23"/>
      <c r="R364" s="23"/>
      <c r="S364" s="14"/>
    </row>
    <row r="365" ht="18.75" customHeight="1">
      <c r="A365" s="7" t="s">
        <v>402</v>
      </c>
      <c r="B365" s="7" t="s">
        <v>3883</v>
      </c>
      <c r="C365" s="9">
        <v>606574.0</v>
      </c>
      <c r="D365" s="9">
        <v>0.0</v>
      </c>
      <c r="E365" s="9">
        <v>45.0</v>
      </c>
      <c r="F365" s="7" t="s">
        <v>403</v>
      </c>
      <c r="G365" s="7" t="s">
        <v>404</v>
      </c>
      <c r="H365" s="7" t="s">
        <v>405</v>
      </c>
      <c r="I365" s="7" t="s">
        <v>355</v>
      </c>
      <c r="J365" s="14"/>
      <c r="K365" s="14"/>
      <c r="O365" s="22"/>
      <c r="P365" s="22"/>
      <c r="Q365" s="23"/>
      <c r="R365" s="23"/>
      <c r="S365" s="14"/>
    </row>
    <row r="366" ht="18.75" customHeight="1">
      <c r="A366" s="7" t="s">
        <v>402</v>
      </c>
      <c r="B366" s="7" t="s">
        <v>3883</v>
      </c>
      <c r="C366" s="9">
        <v>0.0</v>
      </c>
      <c r="D366" s="9">
        <v>0.0</v>
      </c>
      <c r="E366" s="9">
        <v>0.0</v>
      </c>
      <c r="F366" s="7" t="s">
        <v>403</v>
      </c>
      <c r="G366" s="7" t="s">
        <v>404</v>
      </c>
      <c r="H366" s="7" t="s">
        <v>405</v>
      </c>
      <c r="I366" s="7" t="s">
        <v>355</v>
      </c>
      <c r="J366" s="14"/>
      <c r="K366" s="14"/>
      <c r="O366" s="22"/>
      <c r="P366" s="22"/>
      <c r="Q366" s="23"/>
      <c r="R366" s="23"/>
      <c r="S366" s="14"/>
    </row>
    <row r="367" ht="18.75" customHeight="1">
      <c r="A367" s="7" t="s">
        <v>402</v>
      </c>
      <c r="B367" s="7" t="s">
        <v>3883</v>
      </c>
      <c r="C367" s="9">
        <v>0.0</v>
      </c>
      <c r="D367" s="9">
        <v>0.0</v>
      </c>
      <c r="E367" s="9">
        <v>0.0</v>
      </c>
      <c r="F367" s="7" t="s">
        <v>403</v>
      </c>
      <c r="G367" s="7" t="s">
        <v>404</v>
      </c>
      <c r="H367" s="7" t="s">
        <v>405</v>
      </c>
      <c r="I367" s="7" t="s">
        <v>355</v>
      </c>
      <c r="J367" s="14"/>
      <c r="K367" s="14"/>
      <c r="O367" s="22"/>
      <c r="P367" s="22"/>
      <c r="Q367" s="23"/>
      <c r="R367" s="23"/>
      <c r="S367" s="14"/>
    </row>
    <row r="368" ht="18.75" customHeight="1">
      <c r="A368" s="7" t="s">
        <v>402</v>
      </c>
      <c r="B368" s="7" t="s">
        <v>3883</v>
      </c>
      <c r="C368" s="9">
        <v>89919.0</v>
      </c>
      <c r="D368" s="9">
        <v>2848.0</v>
      </c>
      <c r="E368" s="9">
        <v>91.0</v>
      </c>
      <c r="F368" s="7" t="s">
        <v>403</v>
      </c>
      <c r="G368" s="7" t="s">
        <v>404</v>
      </c>
      <c r="H368" s="7" t="s">
        <v>405</v>
      </c>
      <c r="I368" s="7" t="s">
        <v>355</v>
      </c>
      <c r="J368" s="14"/>
      <c r="K368" s="14"/>
      <c r="O368" s="22"/>
      <c r="P368" s="22"/>
      <c r="Q368" s="23"/>
      <c r="R368" s="23"/>
      <c r="S368" s="14"/>
    </row>
    <row r="369" ht="18.75" customHeight="1">
      <c r="A369" s="7" t="s">
        <v>362</v>
      </c>
      <c r="B369" s="7" t="s">
        <v>3884</v>
      </c>
      <c r="C369" s="9">
        <v>1782361.0</v>
      </c>
      <c r="D369" s="9">
        <v>976612.0</v>
      </c>
      <c r="E369" s="9">
        <v>1282.0</v>
      </c>
      <c r="F369" s="7" t="s">
        <v>363</v>
      </c>
      <c r="G369" s="7" t="s">
        <v>364</v>
      </c>
      <c r="H369" s="7" t="s">
        <v>365</v>
      </c>
      <c r="I369" s="7" t="s">
        <v>355</v>
      </c>
      <c r="J369" s="14"/>
      <c r="K369" s="14"/>
      <c r="O369" s="22"/>
      <c r="P369" s="22"/>
      <c r="Q369" s="23"/>
      <c r="R369" s="23"/>
      <c r="S369" s="14"/>
    </row>
    <row r="370" ht="18.75" customHeight="1">
      <c r="A370" s="7" t="s">
        <v>362</v>
      </c>
      <c r="B370" s="7" t="s">
        <v>3884</v>
      </c>
      <c r="C370" s="9">
        <v>1742596.0</v>
      </c>
      <c r="D370" s="9">
        <v>990909.0</v>
      </c>
      <c r="E370" s="9">
        <v>1009.0</v>
      </c>
      <c r="F370" s="7" t="s">
        <v>363</v>
      </c>
      <c r="G370" s="7" t="s">
        <v>364</v>
      </c>
      <c r="H370" s="7" t="s">
        <v>365</v>
      </c>
      <c r="I370" s="7" t="s">
        <v>355</v>
      </c>
      <c r="J370" s="14"/>
      <c r="K370" s="14"/>
      <c r="O370" s="22"/>
      <c r="P370" s="22"/>
      <c r="Q370" s="23"/>
      <c r="R370" s="23"/>
      <c r="S370" s="14"/>
    </row>
    <row r="371" ht="18.75" customHeight="1">
      <c r="A371" s="7" t="s">
        <v>362</v>
      </c>
      <c r="B371" s="7" t="s">
        <v>3884</v>
      </c>
      <c r="C371" s="9">
        <v>2233555.0</v>
      </c>
      <c r="D371" s="9">
        <v>1130414.0</v>
      </c>
      <c r="E371" s="9">
        <v>2077.0</v>
      </c>
      <c r="F371" s="7" t="s">
        <v>363</v>
      </c>
      <c r="G371" s="7" t="s">
        <v>364</v>
      </c>
      <c r="H371" s="7" t="s">
        <v>365</v>
      </c>
      <c r="I371" s="7" t="s">
        <v>355</v>
      </c>
      <c r="J371" s="14"/>
      <c r="K371" s="14"/>
      <c r="O371" s="22"/>
      <c r="P371" s="22"/>
      <c r="Q371" s="23"/>
      <c r="R371" s="23"/>
      <c r="S371" s="14"/>
    </row>
    <row r="372" ht="18.75" customHeight="1">
      <c r="A372" s="7" t="s">
        <v>362</v>
      </c>
      <c r="B372" s="7" t="s">
        <v>3884</v>
      </c>
      <c r="C372" s="9">
        <v>2307931.0</v>
      </c>
      <c r="D372" s="9">
        <v>1246399.0</v>
      </c>
      <c r="E372" s="9">
        <v>1930.0</v>
      </c>
      <c r="F372" s="7" t="s">
        <v>363</v>
      </c>
      <c r="G372" s="7" t="s">
        <v>364</v>
      </c>
      <c r="H372" s="7" t="s">
        <v>365</v>
      </c>
      <c r="I372" s="7" t="s">
        <v>355</v>
      </c>
      <c r="J372" s="14"/>
      <c r="K372" s="14"/>
      <c r="O372" s="22"/>
      <c r="P372" s="22"/>
      <c r="Q372" s="23"/>
      <c r="R372" s="23"/>
      <c r="S372" s="14"/>
    </row>
    <row r="373" ht="18.75" customHeight="1">
      <c r="A373" s="7" t="s">
        <v>362</v>
      </c>
      <c r="B373" s="7" t="s">
        <v>3884</v>
      </c>
      <c r="C373" s="9">
        <v>1458706.0</v>
      </c>
      <c r="D373" s="9">
        <v>899637.0</v>
      </c>
      <c r="E373" s="9">
        <v>1179.0</v>
      </c>
      <c r="F373" s="7" t="s">
        <v>363</v>
      </c>
      <c r="G373" s="7" t="s">
        <v>364</v>
      </c>
      <c r="H373" s="7" t="s">
        <v>365</v>
      </c>
      <c r="I373" s="7" t="s">
        <v>355</v>
      </c>
      <c r="J373" s="14"/>
      <c r="K373" s="14"/>
      <c r="O373" s="22"/>
      <c r="P373" s="22"/>
      <c r="Q373" s="23"/>
      <c r="R373" s="23"/>
      <c r="S373" s="14"/>
    </row>
    <row r="374" ht="18.75" customHeight="1">
      <c r="A374" s="7" t="s">
        <v>362</v>
      </c>
      <c r="B374" s="7" t="s">
        <v>3884</v>
      </c>
      <c r="C374" s="9">
        <v>3237142.0</v>
      </c>
      <c r="D374" s="9">
        <v>0.0</v>
      </c>
      <c r="E374" s="9">
        <v>2845.0</v>
      </c>
      <c r="F374" s="7" t="s">
        <v>363</v>
      </c>
      <c r="G374" s="7" t="s">
        <v>364</v>
      </c>
      <c r="H374" s="7" t="s">
        <v>365</v>
      </c>
      <c r="I374" s="7" t="s">
        <v>355</v>
      </c>
      <c r="J374" s="14"/>
      <c r="K374" s="14"/>
      <c r="O374" s="22"/>
      <c r="P374" s="22"/>
      <c r="Q374" s="23"/>
      <c r="R374" s="23"/>
      <c r="S374" s="14"/>
    </row>
    <row r="375" ht="18.75" customHeight="1">
      <c r="A375" s="7" t="s">
        <v>362</v>
      </c>
      <c r="B375" s="7" t="s">
        <v>3884</v>
      </c>
      <c r="C375" s="9">
        <v>2209297.0</v>
      </c>
      <c r="D375" s="9">
        <v>0.0</v>
      </c>
      <c r="E375" s="9">
        <v>2007.0</v>
      </c>
      <c r="F375" s="7" t="s">
        <v>363</v>
      </c>
      <c r="G375" s="7" t="s">
        <v>364</v>
      </c>
      <c r="H375" s="7" t="s">
        <v>365</v>
      </c>
      <c r="I375" s="7" t="s">
        <v>355</v>
      </c>
      <c r="J375" s="14"/>
      <c r="K375" s="14"/>
      <c r="O375" s="22"/>
      <c r="P375" s="22"/>
      <c r="Q375" s="23"/>
      <c r="R375" s="23"/>
      <c r="S375" s="14"/>
    </row>
    <row r="376" ht="18.75" customHeight="1">
      <c r="A376" s="7" t="s">
        <v>362</v>
      </c>
      <c r="B376" s="7" t="s">
        <v>3884</v>
      </c>
      <c r="C376" s="9">
        <v>2328162.0</v>
      </c>
      <c r="D376" s="9">
        <v>0.0</v>
      </c>
      <c r="E376" s="9">
        <v>2196.0</v>
      </c>
      <c r="F376" s="7" t="s">
        <v>363</v>
      </c>
      <c r="G376" s="7" t="s">
        <v>364</v>
      </c>
      <c r="H376" s="7" t="s">
        <v>365</v>
      </c>
      <c r="I376" s="7" t="s">
        <v>355</v>
      </c>
      <c r="J376" s="14"/>
      <c r="K376" s="14"/>
      <c r="O376" s="22"/>
      <c r="P376" s="22"/>
      <c r="Q376" s="23"/>
      <c r="R376" s="23"/>
      <c r="S376" s="14"/>
    </row>
    <row r="377" ht="18.75" customHeight="1">
      <c r="A377" s="7" t="s">
        <v>362</v>
      </c>
      <c r="B377" s="7" t="s">
        <v>3884</v>
      </c>
      <c r="C377" s="9">
        <v>2200898.0</v>
      </c>
      <c r="D377" s="9">
        <v>0.0</v>
      </c>
      <c r="E377" s="9">
        <v>1853.0</v>
      </c>
      <c r="F377" s="7" t="s">
        <v>363</v>
      </c>
      <c r="G377" s="7" t="s">
        <v>364</v>
      </c>
      <c r="H377" s="7" t="s">
        <v>365</v>
      </c>
      <c r="I377" s="7" t="s">
        <v>355</v>
      </c>
      <c r="J377" s="14"/>
      <c r="K377" s="14"/>
      <c r="O377" s="22"/>
      <c r="P377" s="22"/>
      <c r="Q377" s="23"/>
      <c r="R377" s="23"/>
      <c r="S377" s="14"/>
    </row>
    <row r="378" ht="18.75" customHeight="1">
      <c r="A378" s="7" t="s">
        <v>362</v>
      </c>
      <c r="B378" s="7" t="s">
        <v>3884</v>
      </c>
      <c r="C378" s="9">
        <v>2841987.0</v>
      </c>
      <c r="D378" s="9">
        <v>0.0</v>
      </c>
      <c r="E378" s="9">
        <v>2612.0</v>
      </c>
      <c r="F378" s="7" t="s">
        <v>363</v>
      </c>
      <c r="G378" s="7" t="s">
        <v>364</v>
      </c>
      <c r="H378" s="7" t="s">
        <v>365</v>
      </c>
      <c r="I378" s="7" t="s">
        <v>355</v>
      </c>
      <c r="J378" s="14"/>
      <c r="K378" s="14"/>
      <c r="O378" s="22"/>
      <c r="P378" s="22"/>
      <c r="Q378" s="23"/>
      <c r="R378" s="23"/>
      <c r="S378" s="14"/>
    </row>
    <row r="379" ht="18.75" customHeight="1">
      <c r="A379" s="7" t="s">
        <v>362</v>
      </c>
      <c r="B379" s="7" t="s">
        <v>3884</v>
      </c>
      <c r="C379" s="9">
        <v>25465.0</v>
      </c>
      <c r="D379" s="9">
        <v>24954.0</v>
      </c>
      <c r="E379" s="9">
        <v>15.0</v>
      </c>
      <c r="F379" s="7" t="s">
        <v>363</v>
      </c>
      <c r="G379" s="7" t="s">
        <v>364</v>
      </c>
      <c r="H379" s="7" t="s">
        <v>365</v>
      </c>
      <c r="I379" s="7" t="s">
        <v>355</v>
      </c>
      <c r="J379" s="14"/>
      <c r="K379" s="14"/>
      <c r="O379" s="22"/>
      <c r="P379" s="22"/>
      <c r="Q379" s="23"/>
      <c r="R379" s="23"/>
      <c r="S379" s="14"/>
    </row>
    <row r="380" ht="18.75" customHeight="1">
      <c r="A380" s="7" t="s">
        <v>3571</v>
      </c>
      <c r="B380" s="7" t="s">
        <v>3884</v>
      </c>
      <c r="C380" s="9">
        <v>1622222.0</v>
      </c>
      <c r="D380" s="9">
        <v>0.0</v>
      </c>
      <c r="E380" s="9">
        <v>1218.0</v>
      </c>
      <c r="F380" s="7" t="s">
        <v>3876</v>
      </c>
      <c r="G380" s="7" t="s">
        <v>353</v>
      </c>
      <c r="H380" s="7" t="s">
        <v>413</v>
      </c>
      <c r="I380" s="7" t="s">
        <v>355</v>
      </c>
      <c r="J380" s="14"/>
      <c r="K380" s="14"/>
      <c r="O380" s="22"/>
      <c r="P380" s="22"/>
      <c r="Q380" s="23"/>
      <c r="R380" s="23"/>
      <c r="S380" s="14"/>
    </row>
    <row r="381" ht="18.75" customHeight="1">
      <c r="A381" s="7" t="s">
        <v>3571</v>
      </c>
      <c r="B381" s="7" t="s">
        <v>3884</v>
      </c>
      <c r="C381" s="9">
        <v>756801.0</v>
      </c>
      <c r="D381" s="9">
        <v>0.0</v>
      </c>
      <c r="E381" s="9">
        <v>595.0</v>
      </c>
      <c r="F381" s="7" t="s">
        <v>3876</v>
      </c>
      <c r="G381" s="7" t="s">
        <v>353</v>
      </c>
      <c r="H381" s="7" t="s">
        <v>413</v>
      </c>
      <c r="I381" s="7" t="s">
        <v>355</v>
      </c>
      <c r="J381" s="14"/>
      <c r="K381" s="14"/>
      <c r="O381" s="22"/>
      <c r="P381" s="22"/>
      <c r="Q381" s="23"/>
      <c r="R381" s="23"/>
      <c r="S381" s="14"/>
    </row>
    <row r="382" ht="18.75" customHeight="1">
      <c r="A382" s="7" t="s">
        <v>3571</v>
      </c>
      <c r="B382" s="7" t="s">
        <v>3884</v>
      </c>
      <c r="C382" s="9">
        <v>1769491.0</v>
      </c>
      <c r="D382" s="9">
        <v>1011589.0</v>
      </c>
      <c r="E382" s="9">
        <v>1358.0</v>
      </c>
      <c r="F382" s="7" t="s">
        <v>3876</v>
      </c>
      <c r="G382" s="7" t="s">
        <v>353</v>
      </c>
      <c r="H382" s="7" t="s">
        <v>413</v>
      </c>
      <c r="I382" s="7" t="s">
        <v>355</v>
      </c>
      <c r="J382" s="14"/>
      <c r="K382" s="14"/>
      <c r="O382" s="22"/>
      <c r="P382" s="22"/>
      <c r="Q382" s="23"/>
      <c r="R382" s="23"/>
      <c r="S382" s="14"/>
    </row>
    <row r="383" ht="18.75" customHeight="1">
      <c r="A383" s="7" t="s">
        <v>3571</v>
      </c>
      <c r="B383" s="7" t="s">
        <v>3884</v>
      </c>
      <c r="C383" s="9">
        <v>37821.0</v>
      </c>
      <c r="D383" s="9">
        <v>0.0</v>
      </c>
      <c r="E383" s="9">
        <v>2013.0</v>
      </c>
      <c r="F383" s="7" t="s">
        <v>3876</v>
      </c>
      <c r="G383" s="7" t="s">
        <v>353</v>
      </c>
      <c r="H383" s="7" t="s">
        <v>413</v>
      </c>
      <c r="I383" s="7" t="s">
        <v>355</v>
      </c>
      <c r="J383" s="14"/>
      <c r="K383" s="14"/>
      <c r="O383" s="22"/>
      <c r="P383" s="22"/>
      <c r="Q383" s="23"/>
      <c r="R383" s="23"/>
      <c r="S383" s="14"/>
    </row>
    <row r="384" ht="18.75" customHeight="1">
      <c r="A384" s="7" t="s">
        <v>3010</v>
      </c>
      <c r="B384" s="7" t="s">
        <v>3884</v>
      </c>
      <c r="C384" s="9">
        <v>7952.0</v>
      </c>
      <c r="D384" s="9">
        <v>0.0</v>
      </c>
      <c r="E384" s="9">
        <v>29.0</v>
      </c>
      <c r="F384" s="7" t="s">
        <v>3877</v>
      </c>
      <c r="G384" s="7" t="s">
        <v>358</v>
      </c>
      <c r="H384" s="7" t="s">
        <v>365</v>
      </c>
      <c r="I384" s="7" t="s">
        <v>355</v>
      </c>
      <c r="J384" s="14"/>
      <c r="K384" s="14"/>
      <c r="O384" s="22"/>
      <c r="P384" s="22"/>
      <c r="Q384" s="23"/>
      <c r="R384" s="23"/>
      <c r="S384" s="14"/>
    </row>
    <row r="385" ht="18.75" customHeight="1">
      <c r="A385" s="7" t="s">
        <v>3010</v>
      </c>
      <c r="B385" s="7" t="s">
        <v>3884</v>
      </c>
      <c r="C385" s="9">
        <v>5795758.0</v>
      </c>
      <c r="D385" s="9">
        <v>0.0</v>
      </c>
      <c r="E385" s="9">
        <v>10166.0</v>
      </c>
      <c r="F385" s="7" t="s">
        <v>3877</v>
      </c>
      <c r="G385" s="7" t="s">
        <v>358</v>
      </c>
      <c r="H385" s="7" t="s">
        <v>365</v>
      </c>
      <c r="I385" s="7" t="s">
        <v>355</v>
      </c>
      <c r="J385" s="14"/>
      <c r="K385" s="14"/>
      <c r="O385" s="22"/>
      <c r="P385" s="22"/>
      <c r="Q385" s="23"/>
      <c r="R385" s="23"/>
      <c r="S385" s="14"/>
    </row>
    <row r="386" ht="18.75" customHeight="1">
      <c r="A386" s="7" t="s">
        <v>379</v>
      </c>
      <c r="B386" s="7" t="s">
        <v>3884</v>
      </c>
      <c r="C386" s="9">
        <v>2175733.0</v>
      </c>
      <c r="D386" s="9">
        <v>0.0</v>
      </c>
      <c r="E386" s="9">
        <v>2964.0</v>
      </c>
      <c r="F386" s="7" t="s">
        <v>380</v>
      </c>
      <c r="G386" s="7" t="s">
        <v>353</v>
      </c>
      <c r="H386" s="7" t="s">
        <v>354</v>
      </c>
      <c r="I386" s="7" t="s">
        <v>355</v>
      </c>
      <c r="J386" s="14"/>
      <c r="K386" s="14"/>
      <c r="O386" s="22"/>
      <c r="P386" s="22"/>
      <c r="Q386" s="23"/>
      <c r="R386" s="23"/>
      <c r="S386" s="14"/>
    </row>
    <row r="387" ht="18.75" customHeight="1">
      <c r="A387" s="7" t="s">
        <v>351</v>
      </c>
      <c r="B387" s="7" t="s">
        <v>3884</v>
      </c>
      <c r="C387" s="9">
        <v>489171.0</v>
      </c>
      <c r="D387" s="9">
        <v>0.0</v>
      </c>
      <c r="E387" s="9">
        <v>633.0</v>
      </c>
      <c r="F387" s="7" t="s">
        <v>352</v>
      </c>
      <c r="G387" s="7" t="s">
        <v>353</v>
      </c>
      <c r="H387" s="7" t="s">
        <v>354</v>
      </c>
      <c r="I387" s="7" t="s">
        <v>410</v>
      </c>
      <c r="J387" s="14"/>
      <c r="K387" s="14"/>
      <c r="O387" s="22"/>
      <c r="P387" s="22"/>
      <c r="Q387" s="23"/>
      <c r="R387" s="23"/>
      <c r="S387" s="14"/>
    </row>
    <row r="388" ht="18.75" customHeight="1">
      <c r="A388" s="7" t="s">
        <v>351</v>
      </c>
      <c r="B388" s="7" t="s">
        <v>3884</v>
      </c>
      <c r="C388" s="9">
        <v>759093.0</v>
      </c>
      <c r="D388" s="9">
        <v>0.0</v>
      </c>
      <c r="E388" s="9">
        <v>647.0</v>
      </c>
      <c r="F388" s="7" t="s">
        <v>352</v>
      </c>
      <c r="G388" s="7" t="s">
        <v>353</v>
      </c>
      <c r="H388" s="7" t="s">
        <v>354</v>
      </c>
      <c r="I388" s="7" t="s">
        <v>410</v>
      </c>
      <c r="J388" s="14"/>
      <c r="K388" s="14"/>
      <c r="O388" s="22"/>
      <c r="P388" s="22"/>
      <c r="Q388" s="23"/>
      <c r="R388" s="23"/>
      <c r="S388" s="14"/>
    </row>
    <row r="389" ht="18.75" customHeight="1">
      <c r="A389" s="7" t="s">
        <v>351</v>
      </c>
      <c r="B389" s="7" t="s">
        <v>3884</v>
      </c>
      <c r="C389" s="9">
        <v>489171.0</v>
      </c>
      <c r="D389" s="9">
        <v>0.0</v>
      </c>
      <c r="E389" s="9">
        <v>633.0</v>
      </c>
      <c r="F389" s="7" t="s">
        <v>352</v>
      </c>
      <c r="G389" s="7" t="s">
        <v>353</v>
      </c>
      <c r="H389" s="7" t="s">
        <v>354</v>
      </c>
      <c r="I389" s="7" t="s">
        <v>410</v>
      </c>
      <c r="J389" s="14"/>
      <c r="K389" s="14"/>
      <c r="O389" s="22"/>
      <c r="P389" s="22"/>
      <c r="Q389" s="23"/>
      <c r="R389" s="23"/>
      <c r="S389" s="14"/>
    </row>
    <row r="390" ht="18.75" customHeight="1">
      <c r="A390" s="7" t="s">
        <v>362</v>
      </c>
      <c r="B390" s="7" t="s">
        <v>3884</v>
      </c>
      <c r="C390" s="9">
        <v>1344871.0</v>
      </c>
      <c r="D390" s="9">
        <v>815806.0</v>
      </c>
      <c r="E390" s="9">
        <v>802.0</v>
      </c>
      <c r="F390" s="7" t="s">
        <v>363</v>
      </c>
      <c r="G390" s="7" t="s">
        <v>364</v>
      </c>
      <c r="H390" s="7" t="s">
        <v>365</v>
      </c>
      <c r="I390" s="7" t="s">
        <v>355</v>
      </c>
      <c r="J390" s="14"/>
      <c r="K390" s="14"/>
      <c r="O390" s="22"/>
      <c r="P390" s="22"/>
      <c r="Q390" s="23"/>
      <c r="R390" s="23"/>
      <c r="S390" s="14"/>
    </row>
    <row r="391" ht="18.75" customHeight="1">
      <c r="A391" s="7" t="s">
        <v>362</v>
      </c>
      <c r="B391" s="7" t="s">
        <v>3884</v>
      </c>
      <c r="C391" s="9">
        <v>1154608.0</v>
      </c>
      <c r="D391" s="9">
        <v>734214.0</v>
      </c>
      <c r="E391" s="9">
        <v>431.0</v>
      </c>
      <c r="F391" s="7" t="s">
        <v>363</v>
      </c>
      <c r="G391" s="7" t="s">
        <v>364</v>
      </c>
      <c r="H391" s="7" t="s">
        <v>365</v>
      </c>
      <c r="I391" s="7" t="s">
        <v>355</v>
      </c>
      <c r="J391" s="14"/>
      <c r="K391" s="14"/>
      <c r="O391" s="22"/>
      <c r="P391" s="22"/>
      <c r="Q391" s="23"/>
      <c r="R391" s="23"/>
      <c r="S391" s="14"/>
    </row>
    <row r="392" ht="18.75" customHeight="1">
      <c r="A392" s="7" t="s">
        <v>362</v>
      </c>
      <c r="B392" s="7" t="s">
        <v>3884</v>
      </c>
      <c r="C392" s="9">
        <v>1849956.0</v>
      </c>
      <c r="D392" s="9">
        <v>1126213.0</v>
      </c>
      <c r="E392" s="9">
        <v>1430.0</v>
      </c>
      <c r="F392" s="7" t="s">
        <v>363</v>
      </c>
      <c r="G392" s="7" t="s">
        <v>364</v>
      </c>
      <c r="H392" s="7" t="s">
        <v>365</v>
      </c>
      <c r="I392" s="7" t="s">
        <v>355</v>
      </c>
      <c r="J392" s="14"/>
      <c r="K392" s="14"/>
      <c r="O392" s="22"/>
      <c r="P392" s="22"/>
      <c r="Q392" s="23"/>
      <c r="R392" s="23"/>
      <c r="S392" s="14"/>
    </row>
    <row r="393" ht="18.75" customHeight="1">
      <c r="A393" s="7" t="s">
        <v>362</v>
      </c>
      <c r="B393" s="7" t="s">
        <v>3884</v>
      </c>
      <c r="C393" s="9">
        <v>1765862.0</v>
      </c>
      <c r="D393" s="9">
        <v>1107460.0</v>
      </c>
      <c r="E393" s="9">
        <v>1019.0</v>
      </c>
      <c r="F393" s="7" t="s">
        <v>363</v>
      </c>
      <c r="G393" s="7" t="s">
        <v>364</v>
      </c>
      <c r="H393" s="7" t="s">
        <v>365</v>
      </c>
      <c r="I393" s="7" t="s">
        <v>355</v>
      </c>
      <c r="J393" s="14"/>
      <c r="K393" s="14"/>
      <c r="O393" s="22"/>
      <c r="P393" s="22"/>
      <c r="Q393" s="23"/>
      <c r="R393" s="23"/>
      <c r="S393" s="14"/>
    </row>
    <row r="394" ht="18.75" customHeight="1">
      <c r="A394" s="7" t="s">
        <v>362</v>
      </c>
      <c r="B394" s="7" t="s">
        <v>3884</v>
      </c>
      <c r="C394" s="9">
        <v>1060144.0</v>
      </c>
      <c r="D394" s="9">
        <v>610488.0</v>
      </c>
      <c r="E394" s="9">
        <v>858.0</v>
      </c>
      <c r="F394" s="7" t="s">
        <v>363</v>
      </c>
      <c r="G394" s="7" t="s">
        <v>364</v>
      </c>
      <c r="H394" s="7" t="s">
        <v>365</v>
      </c>
      <c r="I394" s="7" t="s">
        <v>355</v>
      </c>
      <c r="J394" s="14"/>
      <c r="K394" s="14"/>
      <c r="O394" s="22"/>
      <c r="P394" s="22"/>
      <c r="Q394" s="23"/>
      <c r="R394" s="23"/>
      <c r="S394" s="14"/>
    </row>
    <row r="395" ht="18.75" customHeight="1">
      <c r="A395" s="7" t="s">
        <v>362</v>
      </c>
      <c r="B395" s="7" t="s">
        <v>3884</v>
      </c>
      <c r="C395" s="9">
        <v>2817229.0</v>
      </c>
      <c r="D395" s="9">
        <v>0.0</v>
      </c>
      <c r="E395" s="9">
        <v>2516.0</v>
      </c>
      <c r="F395" s="7" t="s">
        <v>363</v>
      </c>
      <c r="G395" s="7" t="s">
        <v>364</v>
      </c>
      <c r="H395" s="7" t="s">
        <v>365</v>
      </c>
      <c r="I395" s="7" t="s">
        <v>355</v>
      </c>
      <c r="J395" s="14"/>
      <c r="K395" s="14"/>
      <c r="O395" s="22"/>
      <c r="P395" s="22"/>
      <c r="Q395" s="23"/>
      <c r="R395" s="23"/>
      <c r="S395" s="14"/>
    </row>
    <row r="396" ht="18.75" customHeight="1">
      <c r="A396" s="7" t="s">
        <v>362</v>
      </c>
      <c r="B396" s="7" t="s">
        <v>3884</v>
      </c>
      <c r="C396" s="9">
        <v>1187864.0</v>
      </c>
      <c r="D396" s="9">
        <v>0.0</v>
      </c>
      <c r="E396" s="9">
        <v>1080.0</v>
      </c>
      <c r="F396" s="7" t="s">
        <v>363</v>
      </c>
      <c r="G396" s="7" t="s">
        <v>364</v>
      </c>
      <c r="H396" s="7" t="s">
        <v>365</v>
      </c>
      <c r="I396" s="7" t="s">
        <v>355</v>
      </c>
      <c r="J396" s="14"/>
      <c r="K396" s="14"/>
      <c r="O396" s="22"/>
      <c r="P396" s="22"/>
      <c r="Q396" s="23"/>
      <c r="R396" s="23"/>
      <c r="S396" s="14"/>
    </row>
    <row r="397" ht="18.75" customHeight="1">
      <c r="A397" s="7" t="s">
        <v>362</v>
      </c>
      <c r="B397" s="7" t="s">
        <v>3884</v>
      </c>
      <c r="C397" s="9">
        <v>1919683.0</v>
      </c>
      <c r="D397" s="9">
        <v>0.0</v>
      </c>
      <c r="E397" s="9">
        <v>1817.0</v>
      </c>
      <c r="F397" s="7" t="s">
        <v>363</v>
      </c>
      <c r="G397" s="7" t="s">
        <v>364</v>
      </c>
      <c r="H397" s="7" t="s">
        <v>365</v>
      </c>
      <c r="I397" s="7" t="s">
        <v>355</v>
      </c>
      <c r="J397" s="14"/>
      <c r="K397" s="14"/>
      <c r="O397" s="22"/>
      <c r="P397" s="22"/>
      <c r="Q397" s="23"/>
      <c r="R397" s="23"/>
      <c r="S397" s="14"/>
    </row>
    <row r="398" ht="18.75" customHeight="1">
      <c r="A398" s="7" t="s">
        <v>362</v>
      </c>
      <c r="B398" s="7" t="s">
        <v>3884</v>
      </c>
      <c r="C398" s="9">
        <v>1587009.0</v>
      </c>
      <c r="D398" s="9">
        <v>0.0</v>
      </c>
      <c r="E398" s="9">
        <v>1487.0</v>
      </c>
      <c r="F398" s="7" t="s">
        <v>363</v>
      </c>
      <c r="G398" s="7" t="s">
        <v>364</v>
      </c>
      <c r="H398" s="7" t="s">
        <v>365</v>
      </c>
      <c r="I398" s="7" t="s">
        <v>355</v>
      </c>
      <c r="J398" s="14"/>
      <c r="K398" s="14"/>
      <c r="O398" s="22"/>
      <c r="P398" s="22"/>
      <c r="Q398" s="23"/>
      <c r="R398" s="23"/>
      <c r="S398" s="14"/>
    </row>
    <row r="399" ht="18.75" customHeight="1">
      <c r="A399" s="7" t="s">
        <v>362</v>
      </c>
      <c r="B399" s="7" t="s">
        <v>3884</v>
      </c>
      <c r="C399" s="9">
        <v>2471709.0</v>
      </c>
      <c r="D399" s="9">
        <v>0.0</v>
      </c>
      <c r="E399" s="9">
        <v>2185.0</v>
      </c>
      <c r="F399" s="7" t="s">
        <v>363</v>
      </c>
      <c r="G399" s="7" t="s">
        <v>364</v>
      </c>
      <c r="H399" s="7" t="s">
        <v>365</v>
      </c>
      <c r="I399" s="7" t="s">
        <v>355</v>
      </c>
      <c r="J399" s="14"/>
      <c r="K399" s="14"/>
      <c r="O399" s="22"/>
      <c r="P399" s="22"/>
      <c r="Q399" s="23"/>
      <c r="R399" s="23"/>
      <c r="S399" s="14"/>
    </row>
    <row r="400" ht="18.75" customHeight="1">
      <c r="A400" s="7" t="s">
        <v>362</v>
      </c>
      <c r="B400" s="7" t="s">
        <v>3884</v>
      </c>
      <c r="C400" s="9">
        <v>25362.0</v>
      </c>
      <c r="D400" s="9">
        <v>24887.0</v>
      </c>
      <c r="E400" s="9">
        <v>23.0</v>
      </c>
      <c r="F400" s="7" t="s">
        <v>363</v>
      </c>
      <c r="G400" s="7" t="s">
        <v>364</v>
      </c>
      <c r="H400" s="7" t="s">
        <v>365</v>
      </c>
      <c r="I400" s="7" t="s">
        <v>355</v>
      </c>
      <c r="J400" s="14"/>
      <c r="K400" s="14"/>
      <c r="O400" s="22"/>
      <c r="P400" s="22"/>
      <c r="Q400" s="23"/>
      <c r="R400" s="23"/>
      <c r="S400" s="14"/>
    </row>
    <row r="401" ht="18.75" customHeight="1">
      <c r="A401" s="7" t="s">
        <v>362</v>
      </c>
      <c r="B401" s="7" t="s">
        <v>3884</v>
      </c>
      <c r="C401" s="9">
        <v>351383.0</v>
      </c>
      <c r="D401" s="9">
        <v>0.0</v>
      </c>
      <c r="E401" s="9">
        <v>331.0</v>
      </c>
      <c r="F401" s="7" t="s">
        <v>363</v>
      </c>
      <c r="G401" s="7" t="s">
        <v>364</v>
      </c>
      <c r="H401" s="7" t="s">
        <v>365</v>
      </c>
      <c r="I401" s="7" t="s">
        <v>355</v>
      </c>
      <c r="J401" s="14"/>
      <c r="K401" s="14"/>
      <c r="O401" s="22"/>
      <c r="P401" s="22"/>
      <c r="Q401" s="23"/>
      <c r="R401" s="23"/>
      <c r="S401" s="14"/>
    </row>
    <row r="402" ht="18.75" customHeight="1">
      <c r="A402" s="7" t="s">
        <v>362</v>
      </c>
      <c r="B402" s="7" t="s">
        <v>3884</v>
      </c>
      <c r="C402" s="9">
        <v>271183.0</v>
      </c>
      <c r="D402" s="9">
        <v>208414.0</v>
      </c>
      <c r="E402" s="9">
        <v>223.0</v>
      </c>
      <c r="F402" s="7" t="s">
        <v>363</v>
      </c>
      <c r="G402" s="7" t="s">
        <v>364</v>
      </c>
      <c r="H402" s="7" t="s">
        <v>365</v>
      </c>
      <c r="I402" s="7" t="s">
        <v>355</v>
      </c>
      <c r="J402" s="14"/>
      <c r="K402" s="14"/>
      <c r="O402" s="22"/>
      <c r="P402" s="22"/>
      <c r="Q402" s="23"/>
      <c r="R402" s="23"/>
      <c r="S402" s="14"/>
    </row>
    <row r="403" ht="18.75" customHeight="1">
      <c r="A403" s="7" t="s">
        <v>362</v>
      </c>
      <c r="B403" s="7" t="s">
        <v>3884</v>
      </c>
      <c r="C403" s="9">
        <v>17281.0</v>
      </c>
      <c r="D403" s="9">
        <v>17211.0</v>
      </c>
      <c r="E403" s="9">
        <v>2.0</v>
      </c>
      <c r="F403" s="7" t="s">
        <v>363</v>
      </c>
      <c r="G403" s="7" t="s">
        <v>364</v>
      </c>
      <c r="H403" s="7" t="s">
        <v>365</v>
      </c>
      <c r="I403" s="7" t="s">
        <v>355</v>
      </c>
      <c r="J403" s="14"/>
      <c r="K403" s="14"/>
      <c r="O403" s="22"/>
      <c r="P403" s="22"/>
      <c r="Q403" s="23"/>
      <c r="R403" s="23"/>
      <c r="S403" s="14"/>
    </row>
    <row r="404" ht="18.75" customHeight="1">
      <c r="A404" s="7" t="s">
        <v>3571</v>
      </c>
      <c r="B404" s="7" t="s">
        <v>3884</v>
      </c>
      <c r="C404" s="9">
        <v>1669838.0</v>
      </c>
      <c r="D404" s="9">
        <v>0.0</v>
      </c>
      <c r="E404" s="9">
        <v>1244.0</v>
      </c>
      <c r="F404" s="7" t="s">
        <v>3876</v>
      </c>
      <c r="G404" s="7" t="s">
        <v>353</v>
      </c>
      <c r="H404" s="7" t="s">
        <v>413</v>
      </c>
      <c r="I404" s="7" t="s">
        <v>355</v>
      </c>
      <c r="J404" s="14"/>
      <c r="K404" s="14"/>
      <c r="O404" s="22"/>
      <c r="P404" s="22"/>
      <c r="Q404" s="23"/>
      <c r="R404" s="23"/>
      <c r="S404" s="14"/>
    </row>
    <row r="405" ht="18.75" customHeight="1">
      <c r="A405" s="7" t="s">
        <v>3571</v>
      </c>
      <c r="B405" s="7" t="s">
        <v>3884</v>
      </c>
      <c r="C405" s="9">
        <v>2959221.0</v>
      </c>
      <c r="D405" s="9">
        <v>0.0</v>
      </c>
      <c r="E405" s="9">
        <v>2288.0</v>
      </c>
      <c r="F405" s="7" t="s">
        <v>3876</v>
      </c>
      <c r="G405" s="7" t="s">
        <v>353</v>
      </c>
      <c r="H405" s="7" t="s">
        <v>413</v>
      </c>
      <c r="I405" s="7" t="s">
        <v>355</v>
      </c>
      <c r="J405" s="14"/>
      <c r="K405" s="14"/>
      <c r="O405" s="22"/>
      <c r="P405" s="22"/>
      <c r="Q405" s="23"/>
      <c r="R405" s="23"/>
      <c r="S405" s="14"/>
    </row>
    <row r="406" ht="18.75" customHeight="1">
      <c r="A406" s="7" t="s">
        <v>3571</v>
      </c>
      <c r="B406" s="7" t="s">
        <v>3884</v>
      </c>
      <c r="C406" s="9">
        <v>1642193.0</v>
      </c>
      <c r="D406" s="9">
        <v>1049817.0</v>
      </c>
      <c r="E406" s="9">
        <v>1072.0</v>
      </c>
      <c r="F406" s="7" t="s">
        <v>3876</v>
      </c>
      <c r="G406" s="7" t="s">
        <v>353</v>
      </c>
      <c r="H406" s="7" t="s">
        <v>413</v>
      </c>
      <c r="I406" s="7" t="s">
        <v>355</v>
      </c>
      <c r="J406" s="14"/>
      <c r="K406" s="14"/>
      <c r="O406" s="22"/>
      <c r="P406" s="22"/>
      <c r="Q406" s="23"/>
      <c r="R406" s="23"/>
      <c r="S406" s="14"/>
    </row>
    <row r="407" ht="18.75" customHeight="1">
      <c r="A407" s="7" t="s">
        <v>3571</v>
      </c>
      <c r="B407" s="7" t="s">
        <v>3884</v>
      </c>
      <c r="C407" s="9">
        <v>2196115.0</v>
      </c>
      <c r="D407" s="9">
        <v>1255750.0</v>
      </c>
      <c r="E407" s="9">
        <v>1016.0</v>
      </c>
      <c r="F407" s="7" t="s">
        <v>3876</v>
      </c>
      <c r="G407" s="7" t="s">
        <v>353</v>
      </c>
      <c r="H407" s="7" t="s">
        <v>413</v>
      </c>
      <c r="I407" s="7" t="s">
        <v>355</v>
      </c>
      <c r="J407" s="14"/>
      <c r="K407" s="14"/>
      <c r="O407" s="22"/>
      <c r="P407" s="22"/>
      <c r="Q407" s="23"/>
      <c r="R407" s="23"/>
      <c r="S407" s="14"/>
    </row>
    <row r="408" ht="18.75" customHeight="1">
      <c r="A408" s="7" t="s">
        <v>3571</v>
      </c>
      <c r="B408" s="7" t="s">
        <v>3884</v>
      </c>
      <c r="C408" s="9">
        <v>38000.0</v>
      </c>
      <c r="D408" s="9">
        <v>0.0</v>
      </c>
      <c r="E408" s="9">
        <v>2080.0</v>
      </c>
      <c r="F408" s="7" t="s">
        <v>3876</v>
      </c>
      <c r="G408" s="7" t="s">
        <v>353</v>
      </c>
      <c r="H408" s="7" t="s">
        <v>413</v>
      </c>
      <c r="I408" s="7" t="s">
        <v>355</v>
      </c>
      <c r="J408" s="14"/>
      <c r="K408" s="14"/>
      <c r="O408" s="22"/>
      <c r="P408" s="22"/>
      <c r="Q408" s="23"/>
      <c r="R408" s="23"/>
      <c r="S408" s="14"/>
    </row>
    <row r="409" ht="18.75" customHeight="1">
      <c r="A409" s="7" t="s">
        <v>3571</v>
      </c>
      <c r="B409" s="7" t="s">
        <v>3884</v>
      </c>
      <c r="C409" s="9">
        <v>0.0</v>
      </c>
      <c r="D409" s="9">
        <v>0.0</v>
      </c>
      <c r="E409" s="9">
        <v>0.0</v>
      </c>
      <c r="F409" s="7" t="s">
        <v>3876</v>
      </c>
      <c r="G409" s="7" t="s">
        <v>353</v>
      </c>
      <c r="H409" s="7" t="s">
        <v>413</v>
      </c>
      <c r="I409" s="7" t="s">
        <v>355</v>
      </c>
      <c r="J409" s="14"/>
      <c r="K409" s="14"/>
      <c r="O409" s="22"/>
      <c r="P409" s="22"/>
      <c r="Q409" s="23"/>
      <c r="R409" s="23"/>
      <c r="S409" s="14"/>
    </row>
    <row r="410" ht="18.75" customHeight="1">
      <c r="A410" s="7" t="s">
        <v>351</v>
      </c>
      <c r="B410" s="7" t="s">
        <v>3884</v>
      </c>
      <c r="C410" s="9">
        <v>3800101.0</v>
      </c>
      <c r="D410" s="9">
        <v>0.0</v>
      </c>
      <c r="E410" s="9">
        <v>3204.0</v>
      </c>
      <c r="F410" s="7" t="s">
        <v>352</v>
      </c>
      <c r="G410" s="7" t="s">
        <v>353</v>
      </c>
      <c r="H410" s="7" t="s">
        <v>354</v>
      </c>
      <c r="I410" s="7" t="s">
        <v>410</v>
      </c>
      <c r="J410" s="14"/>
      <c r="K410" s="14"/>
      <c r="O410" s="22"/>
      <c r="P410" s="22"/>
      <c r="Q410" s="23"/>
      <c r="R410" s="23"/>
      <c r="S410" s="14"/>
    </row>
    <row r="411" ht="18.75" customHeight="1">
      <c r="A411" s="7" t="s">
        <v>351</v>
      </c>
      <c r="B411" s="7" t="s">
        <v>3884</v>
      </c>
      <c r="C411" s="9">
        <v>3336400.0</v>
      </c>
      <c r="D411" s="9">
        <v>0.0</v>
      </c>
      <c r="E411" s="9">
        <v>3244.0</v>
      </c>
      <c r="F411" s="7" t="s">
        <v>352</v>
      </c>
      <c r="G411" s="7" t="s">
        <v>353</v>
      </c>
      <c r="H411" s="7" t="s">
        <v>354</v>
      </c>
      <c r="I411" s="7" t="s">
        <v>410</v>
      </c>
      <c r="J411" s="14"/>
      <c r="K411" s="14"/>
      <c r="O411" s="22"/>
      <c r="P411" s="22"/>
      <c r="Q411" s="23"/>
      <c r="R411" s="23"/>
      <c r="S411" s="14"/>
    </row>
    <row r="412" ht="18.75" customHeight="1">
      <c r="A412" s="7" t="s">
        <v>351</v>
      </c>
      <c r="B412" s="7" t="s">
        <v>3884</v>
      </c>
      <c r="C412" s="9">
        <v>383030.0</v>
      </c>
      <c r="D412" s="9">
        <v>0.0</v>
      </c>
      <c r="E412" s="9">
        <v>42627.0</v>
      </c>
      <c r="F412" s="7" t="s">
        <v>352</v>
      </c>
      <c r="G412" s="7" t="s">
        <v>353</v>
      </c>
      <c r="H412" s="7" t="s">
        <v>354</v>
      </c>
      <c r="I412" s="7" t="s">
        <v>410</v>
      </c>
      <c r="J412" s="14"/>
      <c r="K412" s="14"/>
      <c r="O412" s="22"/>
      <c r="P412" s="22"/>
      <c r="Q412" s="23"/>
      <c r="R412" s="23"/>
      <c r="S412" s="14"/>
    </row>
    <row r="413" ht="18.75" customHeight="1">
      <c r="A413" s="7" t="s">
        <v>351</v>
      </c>
      <c r="B413" s="7" t="s">
        <v>3884</v>
      </c>
      <c r="C413" s="9">
        <v>174819.0</v>
      </c>
      <c r="D413" s="9">
        <v>0.0</v>
      </c>
      <c r="E413" s="9">
        <v>33280.0</v>
      </c>
      <c r="F413" s="7" t="s">
        <v>352</v>
      </c>
      <c r="G413" s="7" t="s">
        <v>353</v>
      </c>
      <c r="H413" s="7" t="s">
        <v>354</v>
      </c>
      <c r="I413" s="7" t="s">
        <v>410</v>
      </c>
      <c r="J413" s="14"/>
      <c r="K413" s="14"/>
      <c r="O413" s="22"/>
      <c r="P413" s="22"/>
      <c r="Q413" s="23"/>
      <c r="R413" s="23"/>
      <c r="S413" s="14"/>
    </row>
    <row r="414" ht="18.75" customHeight="1">
      <c r="A414" s="7" t="s">
        <v>351</v>
      </c>
      <c r="B414" s="7" t="s">
        <v>3884</v>
      </c>
      <c r="C414" s="9">
        <v>2411334.0</v>
      </c>
      <c r="D414" s="9">
        <v>1514690.0</v>
      </c>
      <c r="E414" s="9">
        <v>1257.0</v>
      </c>
      <c r="F414" s="7" t="s">
        <v>352</v>
      </c>
      <c r="G414" s="7" t="s">
        <v>353</v>
      </c>
      <c r="H414" s="7" t="s">
        <v>354</v>
      </c>
      <c r="I414" s="7" t="s">
        <v>410</v>
      </c>
      <c r="J414" s="14"/>
      <c r="K414" s="14"/>
      <c r="O414" s="22"/>
      <c r="P414" s="22"/>
      <c r="Q414" s="23"/>
      <c r="R414" s="23"/>
      <c r="S414" s="14"/>
    </row>
    <row r="415" ht="18.75" customHeight="1">
      <c r="A415" s="7" t="s">
        <v>351</v>
      </c>
      <c r="B415" s="7" t="s">
        <v>3884</v>
      </c>
      <c r="C415" s="9">
        <v>2175888.0</v>
      </c>
      <c r="D415" s="9">
        <v>1351230.0</v>
      </c>
      <c r="E415" s="9">
        <v>1516.0</v>
      </c>
      <c r="F415" s="7" t="s">
        <v>352</v>
      </c>
      <c r="G415" s="7" t="s">
        <v>353</v>
      </c>
      <c r="H415" s="7" t="s">
        <v>354</v>
      </c>
      <c r="I415" s="7" t="s">
        <v>410</v>
      </c>
      <c r="J415" s="14"/>
      <c r="K415" s="14"/>
      <c r="O415" s="22"/>
      <c r="P415" s="22"/>
      <c r="Q415" s="23"/>
      <c r="R415" s="23"/>
      <c r="S415" s="14"/>
    </row>
    <row r="416" ht="18.75" customHeight="1">
      <c r="A416" s="7" t="s">
        <v>351</v>
      </c>
      <c r="B416" s="7" t="s">
        <v>3884</v>
      </c>
      <c r="C416" s="9">
        <v>787650.0</v>
      </c>
      <c r="D416" s="9">
        <v>532658.0</v>
      </c>
      <c r="E416" s="9">
        <v>22483.0</v>
      </c>
      <c r="F416" s="7" t="s">
        <v>352</v>
      </c>
      <c r="G416" s="7" t="s">
        <v>353</v>
      </c>
      <c r="H416" s="7" t="s">
        <v>354</v>
      </c>
      <c r="I416" s="7" t="s">
        <v>410</v>
      </c>
      <c r="J416" s="14"/>
      <c r="K416" s="14"/>
      <c r="O416" s="22"/>
      <c r="P416" s="22"/>
      <c r="Q416" s="23"/>
      <c r="R416" s="23"/>
      <c r="S416" s="14"/>
    </row>
    <row r="417" ht="18.75" customHeight="1">
      <c r="A417" s="7" t="s">
        <v>351</v>
      </c>
      <c r="B417" s="7" t="s">
        <v>3884</v>
      </c>
      <c r="C417" s="9">
        <v>828308.0</v>
      </c>
      <c r="D417" s="9">
        <v>472640.0</v>
      </c>
      <c r="E417" s="9">
        <v>21479.0</v>
      </c>
      <c r="F417" s="7" t="s">
        <v>352</v>
      </c>
      <c r="G417" s="7" t="s">
        <v>353</v>
      </c>
      <c r="H417" s="7" t="s">
        <v>354</v>
      </c>
      <c r="I417" s="7" t="s">
        <v>410</v>
      </c>
      <c r="J417" s="14"/>
      <c r="K417" s="14"/>
      <c r="O417" s="22"/>
      <c r="P417" s="22"/>
      <c r="Q417" s="23"/>
      <c r="R417" s="23"/>
      <c r="S417" s="14"/>
    </row>
    <row r="418" ht="18.75" customHeight="1">
      <c r="A418" s="7" t="s">
        <v>351</v>
      </c>
      <c r="B418" s="7" t="s">
        <v>3884</v>
      </c>
      <c r="C418" s="9">
        <v>27926.0</v>
      </c>
      <c r="D418" s="9">
        <v>25323.0</v>
      </c>
      <c r="E418" s="9">
        <v>1231.0</v>
      </c>
      <c r="F418" s="7" t="s">
        <v>352</v>
      </c>
      <c r="G418" s="7" t="s">
        <v>353</v>
      </c>
      <c r="H418" s="7" t="s">
        <v>354</v>
      </c>
      <c r="I418" s="7" t="s">
        <v>410</v>
      </c>
      <c r="J418" s="14"/>
      <c r="K418" s="14"/>
      <c r="O418" s="22"/>
      <c r="P418" s="22"/>
      <c r="Q418" s="23"/>
      <c r="R418" s="23"/>
      <c r="S418" s="14"/>
    </row>
    <row r="419" ht="18.75" customHeight="1">
      <c r="A419" s="7" t="s">
        <v>351</v>
      </c>
      <c r="B419" s="7" t="s">
        <v>3884</v>
      </c>
      <c r="C419" s="9">
        <v>1509798.0</v>
      </c>
      <c r="D419" s="9">
        <v>693496.0</v>
      </c>
      <c r="E419" s="9">
        <v>1022.0</v>
      </c>
      <c r="F419" s="7" t="s">
        <v>352</v>
      </c>
      <c r="G419" s="7" t="s">
        <v>353</v>
      </c>
      <c r="H419" s="7" t="s">
        <v>354</v>
      </c>
      <c r="I419" s="7" t="s">
        <v>410</v>
      </c>
      <c r="J419" s="14"/>
      <c r="K419" s="14"/>
      <c r="O419" s="22"/>
      <c r="P419" s="22"/>
      <c r="Q419" s="23"/>
      <c r="R419" s="23"/>
      <c r="S419" s="14"/>
    </row>
    <row r="420" ht="18.75" customHeight="1">
      <c r="A420" s="7" t="s">
        <v>379</v>
      </c>
      <c r="B420" s="7" t="s">
        <v>3884</v>
      </c>
      <c r="C420" s="9">
        <v>1110237.0</v>
      </c>
      <c r="D420" s="9">
        <v>0.0</v>
      </c>
      <c r="E420" s="9">
        <v>1395.0</v>
      </c>
      <c r="F420" s="7" t="s">
        <v>380</v>
      </c>
      <c r="G420" s="7" t="s">
        <v>353</v>
      </c>
      <c r="H420" s="7" t="s">
        <v>354</v>
      </c>
      <c r="I420" s="7" t="s">
        <v>355</v>
      </c>
      <c r="J420" s="14"/>
      <c r="K420" s="14"/>
      <c r="O420" s="22"/>
      <c r="P420" s="22"/>
      <c r="Q420" s="23"/>
      <c r="R420" s="23"/>
      <c r="S420" s="14"/>
    </row>
    <row r="421" ht="18.75" customHeight="1">
      <c r="A421" s="7" t="s">
        <v>3010</v>
      </c>
      <c r="B421" s="7" t="s">
        <v>3884</v>
      </c>
      <c r="C421" s="9">
        <v>0.0</v>
      </c>
      <c r="D421" s="9">
        <v>0.0</v>
      </c>
      <c r="E421" s="9">
        <v>0.0</v>
      </c>
      <c r="F421" s="7" t="s">
        <v>3877</v>
      </c>
      <c r="G421" s="7" t="s">
        <v>358</v>
      </c>
      <c r="H421" s="7" t="s">
        <v>365</v>
      </c>
      <c r="I421" s="7" t="s">
        <v>355</v>
      </c>
      <c r="J421" s="14"/>
      <c r="K421" s="14"/>
      <c r="O421" s="22"/>
      <c r="P421" s="22"/>
      <c r="Q421" s="23"/>
      <c r="R421" s="23"/>
      <c r="S421" s="14"/>
    </row>
    <row r="422" ht="18.75" customHeight="1">
      <c r="A422" s="7" t="s">
        <v>3010</v>
      </c>
      <c r="B422" s="7" t="s">
        <v>3884</v>
      </c>
      <c r="C422" s="9">
        <v>990497.0</v>
      </c>
      <c r="D422" s="9">
        <v>0.0</v>
      </c>
      <c r="E422" s="9">
        <v>1751.0</v>
      </c>
      <c r="F422" s="7" t="s">
        <v>3877</v>
      </c>
      <c r="G422" s="7" t="s">
        <v>358</v>
      </c>
      <c r="H422" s="7" t="s">
        <v>365</v>
      </c>
      <c r="I422" s="7" t="s">
        <v>355</v>
      </c>
      <c r="J422" s="14"/>
      <c r="K422" s="14"/>
      <c r="O422" s="22"/>
      <c r="P422" s="22"/>
      <c r="Q422" s="23"/>
      <c r="R422" s="23"/>
      <c r="S422" s="14"/>
    </row>
    <row r="423" ht="18.75" customHeight="1">
      <c r="A423" s="7" t="s">
        <v>390</v>
      </c>
      <c r="B423" s="7" t="s">
        <v>3884</v>
      </c>
      <c r="C423" s="9">
        <v>2765736.0</v>
      </c>
      <c r="D423" s="9">
        <v>0.0</v>
      </c>
      <c r="E423" s="9">
        <v>2448.0</v>
      </c>
      <c r="F423" s="7" t="s">
        <v>391</v>
      </c>
      <c r="G423" s="7" t="s">
        <v>364</v>
      </c>
      <c r="H423" s="7" t="s">
        <v>365</v>
      </c>
      <c r="I423" s="7" t="s">
        <v>355</v>
      </c>
      <c r="J423" s="14"/>
      <c r="K423" s="14"/>
      <c r="O423" s="22"/>
      <c r="P423" s="22"/>
      <c r="Q423" s="23"/>
      <c r="R423" s="23"/>
      <c r="S423" s="14"/>
    </row>
    <row r="424" ht="18.75" customHeight="1">
      <c r="A424" s="7" t="s">
        <v>390</v>
      </c>
      <c r="B424" s="7" t="s">
        <v>3884</v>
      </c>
      <c r="C424" s="9">
        <v>893595.0</v>
      </c>
      <c r="D424" s="9">
        <v>0.0</v>
      </c>
      <c r="E424" s="9">
        <v>1481.0</v>
      </c>
      <c r="F424" s="7" t="s">
        <v>391</v>
      </c>
      <c r="G424" s="7" t="s">
        <v>364</v>
      </c>
      <c r="H424" s="7" t="s">
        <v>365</v>
      </c>
      <c r="I424" s="7" t="s">
        <v>355</v>
      </c>
      <c r="J424" s="14"/>
      <c r="K424" s="14"/>
      <c r="O424" s="22"/>
      <c r="P424" s="22"/>
      <c r="Q424" s="23"/>
      <c r="R424" s="23"/>
      <c r="S424" s="14"/>
    </row>
    <row r="425" ht="18.75" customHeight="1">
      <c r="A425" s="7" t="s">
        <v>390</v>
      </c>
      <c r="B425" s="7" t="s">
        <v>3884</v>
      </c>
      <c r="C425" s="9">
        <v>1162048.0</v>
      </c>
      <c r="D425" s="9">
        <v>0.0</v>
      </c>
      <c r="E425" s="9">
        <v>1218.0</v>
      </c>
      <c r="F425" s="7" t="s">
        <v>391</v>
      </c>
      <c r="G425" s="7" t="s">
        <v>364</v>
      </c>
      <c r="H425" s="7" t="s">
        <v>365</v>
      </c>
      <c r="I425" s="7" t="s">
        <v>355</v>
      </c>
      <c r="J425" s="14"/>
      <c r="K425" s="14"/>
      <c r="O425" s="22"/>
      <c r="P425" s="22"/>
      <c r="Q425" s="23"/>
      <c r="R425" s="23"/>
      <c r="S425" s="14"/>
    </row>
    <row r="426" ht="18.75" customHeight="1">
      <c r="A426" s="7" t="s">
        <v>390</v>
      </c>
      <c r="B426" s="7" t="s">
        <v>3884</v>
      </c>
      <c r="C426" s="9">
        <v>1682091.0</v>
      </c>
      <c r="D426" s="9">
        <v>1098336.0</v>
      </c>
      <c r="E426" s="9">
        <v>1207.0</v>
      </c>
      <c r="F426" s="7" t="s">
        <v>391</v>
      </c>
      <c r="G426" s="7" t="s">
        <v>364</v>
      </c>
      <c r="H426" s="7" t="s">
        <v>365</v>
      </c>
      <c r="I426" s="7" t="s">
        <v>355</v>
      </c>
      <c r="J426" s="14"/>
      <c r="K426" s="14"/>
      <c r="O426" s="22"/>
      <c r="P426" s="22"/>
      <c r="Q426" s="23"/>
      <c r="R426" s="23"/>
      <c r="S426" s="14"/>
    </row>
    <row r="427" ht="18.75" customHeight="1">
      <c r="A427" s="7" t="s">
        <v>390</v>
      </c>
      <c r="B427" s="7" t="s">
        <v>3884</v>
      </c>
      <c r="C427" s="9">
        <v>1912469.0</v>
      </c>
      <c r="D427" s="9">
        <v>1172274.0</v>
      </c>
      <c r="E427" s="9">
        <v>2129.0</v>
      </c>
      <c r="F427" s="7" t="s">
        <v>391</v>
      </c>
      <c r="G427" s="7" t="s">
        <v>364</v>
      </c>
      <c r="H427" s="7" t="s">
        <v>365</v>
      </c>
      <c r="I427" s="7" t="s">
        <v>355</v>
      </c>
      <c r="J427" s="14"/>
      <c r="K427" s="14"/>
      <c r="O427" s="22"/>
      <c r="P427" s="22"/>
      <c r="Q427" s="23"/>
      <c r="R427" s="23"/>
      <c r="S427" s="14"/>
    </row>
    <row r="428" ht="18.75" customHeight="1">
      <c r="A428" s="7" t="s">
        <v>390</v>
      </c>
      <c r="B428" s="7" t="s">
        <v>3884</v>
      </c>
      <c r="C428" s="9">
        <v>751631.0</v>
      </c>
      <c r="D428" s="9">
        <v>528892.0</v>
      </c>
      <c r="E428" s="9">
        <v>331.0</v>
      </c>
      <c r="F428" s="7" t="s">
        <v>391</v>
      </c>
      <c r="G428" s="7" t="s">
        <v>364</v>
      </c>
      <c r="H428" s="7" t="s">
        <v>365</v>
      </c>
      <c r="I428" s="7" t="s">
        <v>355</v>
      </c>
      <c r="J428" s="14"/>
      <c r="K428" s="14"/>
      <c r="O428" s="22"/>
      <c r="P428" s="22"/>
      <c r="Q428" s="23"/>
      <c r="R428" s="23"/>
      <c r="S428" s="14"/>
    </row>
    <row r="429" ht="18.75" customHeight="1">
      <c r="A429" s="7" t="s">
        <v>390</v>
      </c>
      <c r="B429" s="7" t="s">
        <v>3884</v>
      </c>
      <c r="C429" s="9">
        <v>588780.0</v>
      </c>
      <c r="D429" s="9">
        <v>0.0</v>
      </c>
      <c r="E429" s="9">
        <v>3048.0</v>
      </c>
      <c r="F429" s="7" t="s">
        <v>391</v>
      </c>
      <c r="G429" s="7" t="s">
        <v>364</v>
      </c>
      <c r="H429" s="7" t="s">
        <v>365</v>
      </c>
      <c r="I429" s="7" t="s">
        <v>355</v>
      </c>
      <c r="J429" s="14"/>
      <c r="K429" s="14"/>
      <c r="O429" s="22"/>
      <c r="P429" s="22"/>
      <c r="Q429" s="23"/>
      <c r="R429" s="23"/>
      <c r="S429" s="14"/>
    </row>
    <row r="430" ht="18.75" customHeight="1">
      <c r="A430" s="7" t="s">
        <v>362</v>
      </c>
      <c r="B430" s="7" t="s">
        <v>3884</v>
      </c>
      <c r="C430" s="9">
        <v>220059.0</v>
      </c>
      <c r="D430" s="9">
        <v>141834.0</v>
      </c>
      <c r="E430" s="9">
        <v>142.0</v>
      </c>
      <c r="F430" s="7" t="s">
        <v>363</v>
      </c>
      <c r="G430" s="7" t="s">
        <v>364</v>
      </c>
      <c r="H430" s="7" t="s">
        <v>365</v>
      </c>
      <c r="I430" s="7" t="s">
        <v>355</v>
      </c>
      <c r="J430" s="14"/>
      <c r="K430" s="14"/>
      <c r="O430" s="22"/>
      <c r="P430" s="22"/>
      <c r="Q430" s="23"/>
      <c r="R430" s="23"/>
      <c r="S430" s="14"/>
    </row>
    <row r="431" ht="18.75" customHeight="1">
      <c r="A431" s="7" t="s">
        <v>362</v>
      </c>
      <c r="B431" s="7" t="s">
        <v>3884</v>
      </c>
      <c r="C431" s="9">
        <v>179609.0</v>
      </c>
      <c r="D431" s="9">
        <v>120519.0</v>
      </c>
      <c r="E431" s="9">
        <v>62.0</v>
      </c>
      <c r="F431" s="7" t="s">
        <v>363</v>
      </c>
      <c r="G431" s="7" t="s">
        <v>364</v>
      </c>
      <c r="H431" s="7" t="s">
        <v>365</v>
      </c>
      <c r="I431" s="7" t="s">
        <v>355</v>
      </c>
      <c r="J431" s="14"/>
      <c r="K431" s="14"/>
      <c r="O431" s="22"/>
      <c r="P431" s="22"/>
      <c r="Q431" s="23"/>
      <c r="R431" s="23"/>
      <c r="S431" s="14"/>
    </row>
    <row r="432" ht="18.75" customHeight="1">
      <c r="A432" s="7" t="s">
        <v>362</v>
      </c>
      <c r="B432" s="7" t="s">
        <v>3884</v>
      </c>
      <c r="C432" s="9">
        <v>481306.0</v>
      </c>
      <c r="D432" s="9">
        <v>295364.0</v>
      </c>
      <c r="E432" s="9">
        <v>394.0</v>
      </c>
      <c r="F432" s="7" t="s">
        <v>363</v>
      </c>
      <c r="G432" s="7" t="s">
        <v>364</v>
      </c>
      <c r="H432" s="7" t="s">
        <v>365</v>
      </c>
      <c r="I432" s="7" t="s">
        <v>355</v>
      </c>
      <c r="J432" s="14"/>
      <c r="K432" s="14"/>
      <c r="O432" s="22"/>
      <c r="P432" s="22"/>
      <c r="Q432" s="23"/>
      <c r="R432" s="23"/>
      <c r="S432" s="14"/>
    </row>
    <row r="433" ht="18.75" customHeight="1">
      <c r="A433" s="7" t="s">
        <v>362</v>
      </c>
      <c r="B433" s="7" t="s">
        <v>3884</v>
      </c>
      <c r="C433" s="9">
        <v>450534.0</v>
      </c>
      <c r="D433" s="9">
        <v>307936.0</v>
      </c>
      <c r="E433" s="9">
        <v>349.0</v>
      </c>
      <c r="F433" s="7" t="s">
        <v>363</v>
      </c>
      <c r="G433" s="7" t="s">
        <v>364</v>
      </c>
      <c r="H433" s="7" t="s">
        <v>365</v>
      </c>
      <c r="I433" s="7" t="s">
        <v>355</v>
      </c>
      <c r="J433" s="14"/>
      <c r="K433" s="14"/>
      <c r="O433" s="22"/>
      <c r="P433" s="22"/>
      <c r="Q433" s="23"/>
      <c r="R433" s="23"/>
      <c r="S433" s="14"/>
    </row>
    <row r="434" ht="18.75" customHeight="1">
      <c r="A434" s="7" t="s">
        <v>362</v>
      </c>
      <c r="B434" s="7" t="s">
        <v>3884</v>
      </c>
      <c r="C434" s="9">
        <v>359300.0</v>
      </c>
      <c r="D434" s="9">
        <v>231771.0</v>
      </c>
      <c r="E434" s="9">
        <v>188.0</v>
      </c>
      <c r="F434" s="7" t="s">
        <v>363</v>
      </c>
      <c r="G434" s="7" t="s">
        <v>364</v>
      </c>
      <c r="H434" s="7" t="s">
        <v>365</v>
      </c>
      <c r="I434" s="7" t="s">
        <v>355</v>
      </c>
      <c r="J434" s="14"/>
      <c r="K434" s="14"/>
      <c r="O434" s="22"/>
      <c r="P434" s="22"/>
      <c r="Q434" s="23"/>
      <c r="R434" s="23"/>
      <c r="S434" s="14"/>
    </row>
    <row r="435" ht="18.75" customHeight="1">
      <c r="A435" s="7" t="s">
        <v>362</v>
      </c>
      <c r="B435" s="7" t="s">
        <v>3884</v>
      </c>
      <c r="C435" s="9">
        <v>600079.0</v>
      </c>
      <c r="D435" s="9">
        <v>0.0</v>
      </c>
      <c r="E435" s="9">
        <v>521.0</v>
      </c>
      <c r="F435" s="7" t="s">
        <v>363</v>
      </c>
      <c r="G435" s="7" t="s">
        <v>364</v>
      </c>
      <c r="H435" s="7" t="s">
        <v>365</v>
      </c>
      <c r="I435" s="7" t="s">
        <v>355</v>
      </c>
      <c r="J435" s="14"/>
      <c r="K435" s="14"/>
      <c r="O435" s="22"/>
      <c r="P435" s="22"/>
      <c r="Q435" s="23"/>
      <c r="R435" s="23"/>
      <c r="S435" s="14"/>
    </row>
    <row r="436" ht="18.75" customHeight="1">
      <c r="A436" s="7" t="s">
        <v>362</v>
      </c>
      <c r="B436" s="7" t="s">
        <v>3884</v>
      </c>
      <c r="C436" s="9">
        <v>1848147.0</v>
      </c>
      <c r="D436" s="9">
        <v>0.0</v>
      </c>
      <c r="E436" s="9">
        <v>1277.0</v>
      </c>
      <c r="F436" s="7" t="s">
        <v>363</v>
      </c>
      <c r="G436" s="7" t="s">
        <v>364</v>
      </c>
      <c r="H436" s="7" t="s">
        <v>365</v>
      </c>
      <c r="I436" s="7" t="s">
        <v>355</v>
      </c>
      <c r="J436" s="14"/>
      <c r="K436" s="14"/>
      <c r="O436" s="22"/>
      <c r="P436" s="22"/>
      <c r="Q436" s="23"/>
      <c r="R436" s="23"/>
      <c r="S436" s="14"/>
    </row>
    <row r="437" ht="18.75" customHeight="1">
      <c r="A437" s="7" t="s">
        <v>362</v>
      </c>
      <c r="B437" s="7" t="s">
        <v>3884</v>
      </c>
      <c r="C437" s="9">
        <v>261233.0</v>
      </c>
      <c r="D437" s="9">
        <v>0.0</v>
      </c>
      <c r="E437" s="9">
        <v>303.0</v>
      </c>
      <c r="F437" s="7" t="s">
        <v>363</v>
      </c>
      <c r="G437" s="7" t="s">
        <v>364</v>
      </c>
      <c r="H437" s="7" t="s">
        <v>365</v>
      </c>
      <c r="I437" s="7" t="s">
        <v>355</v>
      </c>
      <c r="J437" s="14"/>
      <c r="K437" s="14"/>
      <c r="O437" s="22"/>
      <c r="P437" s="22"/>
      <c r="Q437" s="23"/>
      <c r="R437" s="23"/>
      <c r="S437" s="14"/>
    </row>
    <row r="438" ht="18.75" customHeight="1">
      <c r="A438" s="7" t="s">
        <v>362</v>
      </c>
      <c r="B438" s="7" t="s">
        <v>3884</v>
      </c>
      <c r="C438" s="9">
        <v>223685.0</v>
      </c>
      <c r="D438" s="9">
        <v>0.0</v>
      </c>
      <c r="E438" s="9">
        <v>199.0</v>
      </c>
      <c r="F438" s="7" t="s">
        <v>363</v>
      </c>
      <c r="G438" s="7" t="s">
        <v>364</v>
      </c>
      <c r="H438" s="7" t="s">
        <v>365</v>
      </c>
      <c r="I438" s="7" t="s">
        <v>355</v>
      </c>
      <c r="J438" s="14"/>
      <c r="K438" s="14"/>
      <c r="O438" s="22"/>
      <c r="P438" s="22"/>
      <c r="Q438" s="23"/>
      <c r="R438" s="23"/>
      <c r="S438" s="14"/>
    </row>
    <row r="439" ht="18.75" customHeight="1">
      <c r="A439" s="7" t="s">
        <v>362</v>
      </c>
      <c r="B439" s="7" t="s">
        <v>3884</v>
      </c>
      <c r="C439" s="9">
        <v>616018.0</v>
      </c>
      <c r="D439" s="9">
        <v>0.0</v>
      </c>
      <c r="E439" s="9">
        <v>639.0</v>
      </c>
      <c r="F439" s="7" t="s">
        <v>363</v>
      </c>
      <c r="G439" s="7" t="s">
        <v>364</v>
      </c>
      <c r="H439" s="7" t="s">
        <v>365</v>
      </c>
      <c r="I439" s="7" t="s">
        <v>355</v>
      </c>
      <c r="J439" s="14"/>
      <c r="K439" s="14"/>
      <c r="O439" s="22"/>
      <c r="P439" s="22"/>
      <c r="Q439" s="23"/>
      <c r="R439" s="23"/>
      <c r="S439" s="14"/>
    </row>
    <row r="440" ht="18.75" customHeight="1">
      <c r="A440" s="7" t="s">
        <v>362</v>
      </c>
      <c r="B440" s="7" t="s">
        <v>3884</v>
      </c>
      <c r="C440" s="9">
        <v>27087.0</v>
      </c>
      <c r="D440" s="9">
        <v>26240.0</v>
      </c>
      <c r="E440" s="9">
        <v>117.0</v>
      </c>
      <c r="F440" s="7" t="s">
        <v>363</v>
      </c>
      <c r="G440" s="7" t="s">
        <v>364</v>
      </c>
      <c r="H440" s="7" t="s">
        <v>365</v>
      </c>
      <c r="I440" s="7" t="s">
        <v>355</v>
      </c>
      <c r="J440" s="14"/>
      <c r="K440" s="14"/>
      <c r="O440" s="22"/>
      <c r="P440" s="22"/>
      <c r="Q440" s="23"/>
      <c r="R440" s="23"/>
      <c r="S440" s="14"/>
    </row>
    <row r="441" ht="18.75" customHeight="1">
      <c r="A441" s="7" t="s">
        <v>362</v>
      </c>
      <c r="B441" s="7" t="s">
        <v>3884</v>
      </c>
      <c r="C441" s="9">
        <v>0.0</v>
      </c>
      <c r="D441" s="9">
        <v>0.0</v>
      </c>
      <c r="E441" s="9">
        <v>0.0</v>
      </c>
      <c r="F441" s="7" t="s">
        <v>363</v>
      </c>
      <c r="G441" s="7" t="s">
        <v>364</v>
      </c>
      <c r="H441" s="7" t="s">
        <v>365</v>
      </c>
      <c r="I441" s="7" t="s">
        <v>355</v>
      </c>
      <c r="J441" s="14"/>
      <c r="K441" s="14"/>
      <c r="O441" s="22"/>
      <c r="P441" s="22"/>
      <c r="Q441" s="23"/>
      <c r="R441" s="23"/>
      <c r="S441" s="14"/>
    </row>
    <row r="442" ht="18.75" customHeight="1">
      <c r="A442" s="7" t="s">
        <v>362</v>
      </c>
      <c r="B442" s="7" t="s">
        <v>3884</v>
      </c>
      <c r="C442" s="9">
        <v>0.0</v>
      </c>
      <c r="D442" s="9">
        <v>0.0</v>
      </c>
      <c r="E442" s="9">
        <v>0.0</v>
      </c>
      <c r="F442" s="7" t="s">
        <v>363</v>
      </c>
      <c r="G442" s="7" t="s">
        <v>364</v>
      </c>
      <c r="H442" s="7" t="s">
        <v>365</v>
      </c>
      <c r="I442" s="7" t="s">
        <v>355</v>
      </c>
      <c r="J442" s="14"/>
      <c r="K442" s="14"/>
      <c r="O442" s="22"/>
      <c r="P442" s="22"/>
      <c r="Q442" s="23"/>
      <c r="R442" s="23"/>
      <c r="S442" s="14"/>
    </row>
    <row r="443" ht="18.75" customHeight="1">
      <c r="A443" s="7" t="s">
        <v>362</v>
      </c>
      <c r="B443" s="7" t="s">
        <v>3884</v>
      </c>
      <c r="C443" s="9">
        <v>0.0</v>
      </c>
      <c r="D443" s="9">
        <v>0.0</v>
      </c>
      <c r="E443" s="9">
        <v>0.0</v>
      </c>
      <c r="F443" s="7" t="s">
        <v>363</v>
      </c>
      <c r="G443" s="7" t="s">
        <v>364</v>
      </c>
      <c r="H443" s="7" t="s">
        <v>365</v>
      </c>
      <c r="I443" s="7" t="s">
        <v>355</v>
      </c>
      <c r="J443" s="14"/>
      <c r="K443" s="14"/>
      <c r="O443" s="22"/>
      <c r="P443" s="22"/>
      <c r="Q443" s="23"/>
      <c r="R443" s="23"/>
      <c r="S443" s="14"/>
    </row>
    <row r="444" ht="18.75" customHeight="1">
      <c r="A444" s="7" t="s">
        <v>351</v>
      </c>
      <c r="B444" s="7" t="s">
        <v>3884</v>
      </c>
      <c r="C444" s="9">
        <v>2643532.0</v>
      </c>
      <c r="D444" s="9">
        <v>0.0</v>
      </c>
      <c r="E444" s="9">
        <v>2393.0</v>
      </c>
      <c r="F444" s="7" t="s">
        <v>352</v>
      </c>
      <c r="G444" s="7" t="s">
        <v>353</v>
      </c>
      <c r="H444" s="7" t="s">
        <v>354</v>
      </c>
      <c r="I444" s="7" t="s">
        <v>410</v>
      </c>
      <c r="J444" s="14"/>
      <c r="K444" s="14"/>
      <c r="O444" s="22"/>
      <c r="P444" s="22"/>
      <c r="Q444" s="23"/>
      <c r="R444" s="23"/>
      <c r="S444" s="14"/>
    </row>
    <row r="445" ht="18.75" customHeight="1">
      <c r="A445" s="7" t="s">
        <v>351</v>
      </c>
      <c r="B445" s="7" t="s">
        <v>3884</v>
      </c>
      <c r="C445" s="9">
        <v>2781730.0</v>
      </c>
      <c r="D445" s="9">
        <v>0.0</v>
      </c>
      <c r="E445" s="9">
        <v>2377.0</v>
      </c>
      <c r="F445" s="7" t="s">
        <v>352</v>
      </c>
      <c r="G445" s="7" t="s">
        <v>353</v>
      </c>
      <c r="H445" s="7" t="s">
        <v>354</v>
      </c>
      <c r="I445" s="7" t="s">
        <v>410</v>
      </c>
      <c r="J445" s="14"/>
      <c r="K445" s="14"/>
      <c r="O445" s="22"/>
      <c r="P445" s="22"/>
      <c r="Q445" s="23"/>
      <c r="R445" s="23"/>
      <c r="S445" s="14"/>
    </row>
    <row r="446" ht="18.75" customHeight="1">
      <c r="A446" s="7" t="s">
        <v>351</v>
      </c>
      <c r="B446" s="7" t="s">
        <v>3884</v>
      </c>
      <c r="C446" s="9">
        <v>384074.0</v>
      </c>
      <c r="D446" s="9">
        <v>0.0</v>
      </c>
      <c r="E446" s="9">
        <v>53287.0</v>
      </c>
      <c r="F446" s="7" t="s">
        <v>352</v>
      </c>
      <c r="G446" s="7" t="s">
        <v>353</v>
      </c>
      <c r="H446" s="7" t="s">
        <v>354</v>
      </c>
      <c r="I446" s="7" t="s">
        <v>410</v>
      </c>
      <c r="J446" s="14"/>
      <c r="K446" s="14"/>
      <c r="O446" s="22"/>
      <c r="P446" s="22"/>
      <c r="Q446" s="23"/>
      <c r="R446" s="23"/>
      <c r="S446" s="14"/>
    </row>
    <row r="447" ht="18.75" customHeight="1">
      <c r="A447" s="7" t="s">
        <v>351</v>
      </c>
      <c r="B447" s="7" t="s">
        <v>3884</v>
      </c>
      <c r="C447" s="9">
        <v>231702.0</v>
      </c>
      <c r="D447" s="9">
        <v>0.0</v>
      </c>
      <c r="E447" s="9">
        <v>47729.0</v>
      </c>
      <c r="F447" s="7" t="s">
        <v>352</v>
      </c>
      <c r="G447" s="7" t="s">
        <v>353</v>
      </c>
      <c r="H447" s="7" t="s">
        <v>354</v>
      </c>
      <c r="I447" s="7" t="s">
        <v>410</v>
      </c>
      <c r="J447" s="14"/>
      <c r="K447" s="14"/>
      <c r="O447" s="22"/>
      <c r="P447" s="22"/>
      <c r="Q447" s="23"/>
      <c r="R447" s="23"/>
      <c r="S447" s="14"/>
    </row>
    <row r="448" ht="18.75" customHeight="1">
      <c r="A448" s="7" t="s">
        <v>351</v>
      </c>
      <c r="B448" s="7" t="s">
        <v>3884</v>
      </c>
      <c r="C448" s="9">
        <v>2032772.0</v>
      </c>
      <c r="D448" s="9">
        <v>1328094.0</v>
      </c>
      <c r="E448" s="9">
        <v>1335.0</v>
      </c>
      <c r="F448" s="7" t="s">
        <v>352</v>
      </c>
      <c r="G448" s="7" t="s">
        <v>353</v>
      </c>
      <c r="H448" s="7" t="s">
        <v>354</v>
      </c>
      <c r="I448" s="7" t="s">
        <v>410</v>
      </c>
      <c r="J448" s="14"/>
      <c r="K448" s="14"/>
      <c r="O448" s="22"/>
      <c r="P448" s="22"/>
      <c r="Q448" s="23"/>
      <c r="R448" s="23"/>
      <c r="S448" s="14"/>
    </row>
    <row r="449" ht="18.75" customHeight="1">
      <c r="A449" s="7" t="s">
        <v>351</v>
      </c>
      <c r="B449" s="7" t="s">
        <v>3884</v>
      </c>
      <c r="C449" s="9">
        <v>1850411.0</v>
      </c>
      <c r="D449" s="9">
        <v>1164987.0</v>
      </c>
      <c r="E449" s="9">
        <v>1419.0</v>
      </c>
      <c r="F449" s="7" t="s">
        <v>352</v>
      </c>
      <c r="G449" s="7" t="s">
        <v>353</v>
      </c>
      <c r="H449" s="7" t="s">
        <v>354</v>
      </c>
      <c r="I449" s="7" t="s">
        <v>410</v>
      </c>
      <c r="J449" s="14"/>
      <c r="K449" s="14"/>
      <c r="O449" s="22"/>
      <c r="P449" s="22"/>
      <c r="Q449" s="23"/>
      <c r="R449" s="23"/>
      <c r="S449" s="14"/>
    </row>
    <row r="450" ht="18.75" customHeight="1">
      <c r="A450" s="7" t="s">
        <v>351</v>
      </c>
      <c r="B450" s="7" t="s">
        <v>3884</v>
      </c>
      <c r="C450" s="9">
        <v>1043963.0</v>
      </c>
      <c r="D450" s="9">
        <v>719670.0</v>
      </c>
      <c r="E450" s="9">
        <v>24544.0</v>
      </c>
      <c r="F450" s="7" t="s">
        <v>352</v>
      </c>
      <c r="G450" s="7" t="s">
        <v>353</v>
      </c>
      <c r="H450" s="7" t="s">
        <v>354</v>
      </c>
      <c r="I450" s="7" t="s">
        <v>410</v>
      </c>
      <c r="J450" s="14"/>
      <c r="K450" s="14"/>
      <c r="O450" s="22"/>
      <c r="P450" s="22"/>
      <c r="Q450" s="23"/>
      <c r="R450" s="23"/>
      <c r="S450" s="14"/>
    </row>
    <row r="451" ht="18.75" customHeight="1">
      <c r="A451" s="7" t="s">
        <v>351</v>
      </c>
      <c r="B451" s="7" t="s">
        <v>3884</v>
      </c>
      <c r="C451" s="9">
        <v>1152935.0</v>
      </c>
      <c r="D451" s="9">
        <v>701947.0</v>
      </c>
      <c r="E451" s="9">
        <v>17726.0</v>
      </c>
      <c r="F451" s="7" t="s">
        <v>352</v>
      </c>
      <c r="G451" s="7" t="s">
        <v>353</v>
      </c>
      <c r="H451" s="7" t="s">
        <v>354</v>
      </c>
      <c r="I451" s="7" t="s">
        <v>410</v>
      </c>
      <c r="J451" s="14"/>
      <c r="K451" s="14"/>
      <c r="O451" s="22"/>
      <c r="P451" s="22"/>
      <c r="Q451" s="23"/>
      <c r="R451" s="23"/>
      <c r="S451" s="14"/>
    </row>
    <row r="452" ht="18.75" customHeight="1">
      <c r="A452" s="7" t="s">
        <v>351</v>
      </c>
      <c r="B452" s="7" t="s">
        <v>3884</v>
      </c>
      <c r="C452" s="9">
        <v>27336.0</v>
      </c>
      <c r="D452" s="9">
        <v>24753.0</v>
      </c>
      <c r="E452" s="9">
        <v>1300.0</v>
      </c>
      <c r="F452" s="7" t="s">
        <v>352</v>
      </c>
      <c r="G452" s="7" t="s">
        <v>353</v>
      </c>
      <c r="H452" s="7" t="s">
        <v>354</v>
      </c>
      <c r="I452" s="7" t="s">
        <v>410</v>
      </c>
      <c r="J452" s="14"/>
      <c r="K452" s="14"/>
      <c r="O452" s="22"/>
      <c r="P452" s="22"/>
      <c r="Q452" s="23"/>
      <c r="R452" s="23"/>
      <c r="S452" s="14"/>
    </row>
    <row r="453" ht="18.75" customHeight="1">
      <c r="A453" s="7" t="s">
        <v>351</v>
      </c>
      <c r="B453" s="7" t="s">
        <v>3884</v>
      </c>
      <c r="C453" s="9">
        <v>1394502.0</v>
      </c>
      <c r="D453" s="9">
        <v>618035.0</v>
      </c>
      <c r="E453" s="9">
        <v>981.0</v>
      </c>
      <c r="F453" s="7" t="s">
        <v>352</v>
      </c>
      <c r="G453" s="7" t="s">
        <v>353</v>
      </c>
      <c r="H453" s="7" t="s">
        <v>354</v>
      </c>
      <c r="I453" s="7" t="s">
        <v>410</v>
      </c>
      <c r="J453" s="14"/>
      <c r="K453" s="14"/>
      <c r="O453" s="22"/>
      <c r="P453" s="22"/>
      <c r="Q453" s="23"/>
      <c r="R453" s="23"/>
      <c r="S453" s="14"/>
    </row>
    <row r="454" ht="18.75" customHeight="1">
      <c r="A454" s="7" t="s">
        <v>351</v>
      </c>
      <c r="B454" s="7" t="s">
        <v>3884</v>
      </c>
      <c r="C454" s="9">
        <v>119560.0</v>
      </c>
      <c r="D454" s="9">
        <v>80116.0</v>
      </c>
      <c r="E454" s="9">
        <v>140.0</v>
      </c>
      <c r="F454" s="7" t="s">
        <v>352</v>
      </c>
      <c r="G454" s="7" t="s">
        <v>353</v>
      </c>
      <c r="H454" s="7" t="s">
        <v>354</v>
      </c>
      <c r="I454" s="7" t="s">
        <v>410</v>
      </c>
      <c r="J454" s="14"/>
      <c r="K454" s="14"/>
      <c r="O454" s="22"/>
      <c r="P454" s="22"/>
      <c r="Q454" s="23"/>
      <c r="R454" s="23"/>
      <c r="S454" s="14"/>
    </row>
    <row r="455" ht="18.75" customHeight="1">
      <c r="A455" s="7" t="s">
        <v>351</v>
      </c>
      <c r="B455" s="7" t="s">
        <v>3884</v>
      </c>
      <c r="C455" s="9">
        <v>231617.0</v>
      </c>
      <c r="D455" s="9">
        <v>0.0</v>
      </c>
      <c r="E455" s="9">
        <v>122.0</v>
      </c>
      <c r="F455" s="7" t="s">
        <v>352</v>
      </c>
      <c r="G455" s="7" t="s">
        <v>353</v>
      </c>
      <c r="H455" s="7" t="s">
        <v>354</v>
      </c>
      <c r="I455" s="7" t="s">
        <v>410</v>
      </c>
      <c r="J455" s="14"/>
      <c r="K455" s="14"/>
      <c r="O455" s="22"/>
      <c r="P455" s="22"/>
      <c r="Q455" s="23"/>
      <c r="R455" s="23"/>
      <c r="S455" s="14"/>
    </row>
    <row r="456" ht="18.75" customHeight="1">
      <c r="A456" s="7" t="s">
        <v>3571</v>
      </c>
      <c r="B456" s="7" t="s">
        <v>3884</v>
      </c>
      <c r="C456" s="9">
        <v>1222225.0</v>
      </c>
      <c r="D456" s="9">
        <v>0.0</v>
      </c>
      <c r="E456" s="9">
        <v>1213.0</v>
      </c>
      <c r="F456" s="7" t="s">
        <v>3876</v>
      </c>
      <c r="G456" s="7" t="s">
        <v>353</v>
      </c>
      <c r="H456" s="7" t="s">
        <v>413</v>
      </c>
      <c r="I456" s="7" t="s">
        <v>355</v>
      </c>
      <c r="J456" s="14"/>
      <c r="K456" s="14"/>
      <c r="O456" s="22"/>
      <c r="P456" s="22"/>
      <c r="Q456" s="23"/>
      <c r="R456" s="23"/>
      <c r="S456" s="14"/>
    </row>
    <row r="457" ht="18.75" customHeight="1">
      <c r="A457" s="7" t="s">
        <v>3571</v>
      </c>
      <c r="B457" s="7" t="s">
        <v>3884</v>
      </c>
      <c r="C457" s="9">
        <v>647493.0</v>
      </c>
      <c r="D457" s="9">
        <v>359708.0</v>
      </c>
      <c r="E457" s="9">
        <v>777.0</v>
      </c>
      <c r="F457" s="7" t="s">
        <v>3876</v>
      </c>
      <c r="G457" s="7" t="s">
        <v>353</v>
      </c>
      <c r="H457" s="7" t="s">
        <v>413</v>
      </c>
      <c r="I457" s="7" t="s">
        <v>355</v>
      </c>
      <c r="J457" s="14"/>
      <c r="K457" s="14"/>
      <c r="O457" s="22"/>
      <c r="P457" s="22"/>
      <c r="Q457" s="23"/>
      <c r="R457" s="23"/>
      <c r="S457" s="14"/>
    </row>
    <row r="458" ht="18.75" customHeight="1">
      <c r="A458" s="7" t="s">
        <v>390</v>
      </c>
      <c r="B458" s="7" t="s">
        <v>3884</v>
      </c>
      <c r="C458" s="9">
        <v>2930048.0</v>
      </c>
      <c r="D458" s="9">
        <v>0.0</v>
      </c>
      <c r="E458" s="9">
        <v>2922.0</v>
      </c>
      <c r="F458" s="7" t="s">
        <v>391</v>
      </c>
      <c r="G458" s="7" t="s">
        <v>364</v>
      </c>
      <c r="H458" s="7" t="s">
        <v>365</v>
      </c>
      <c r="I458" s="7" t="s">
        <v>355</v>
      </c>
      <c r="J458" s="14"/>
      <c r="K458" s="14"/>
      <c r="O458" s="22"/>
      <c r="P458" s="22"/>
      <c r="Q458" s="23"/>
      <c r="R458" s="23"/>
      <c r="S458" s="14"/>
    </row>
    <row r="459" ht="18.75" customHeight="1">
      <c r="A459" s="7" t="s">
        <v>390</v>
      </c>
      <c r="B459" s="7" t="s">
        <v>3884</v>
      </c>
      <c r="C459" s="9">
        <v>1286937.0</v>
      </c>
      <c r="D459" s="9">
        <v>0.0</v>
      </c>
      <c r="E459" s="9">
        <v>2277.0</v>
      </c>
      <c r="F459" s="7" t="s">
        <v>391</v>
      </c>
      <c r="G459" s="7" t="s">
        <v>364</v>
      </c>
      <c r="H459" s="7" t="s">
        <v>365</v>
      </c>
      <c r="I459" s="7" t="s">
        <v>355</v>
      </c>
      <c r="J459" s="14"/>
      <c r="K459" s="14"/>
      <c r="O459" s="22"/>
      <c r="P459" s="22"/>
      <c r="Q459" s="23"/>
      <c r="R459" s="23"/>
      <c r="S459" s="14"/>
    </row>
    <row r="460" ht="18.75" customHeight="1">
      <c r="A460" s="7" t="s">
        <v>390</v>
      </c>
      <c r="B460" s="7" t="s">
        <v>3884</v>
      </c>
      <c r="C460" s="9">
        <v>1960895.0</v>
      </c>
      <c r="D460" s="9">
        <v>0.0</v>
      </c>
      <c r="E460" s="9">
        <v>1908.0</v>
      </c>
      <c r="F460" s="7" t="s">
        <v>391</v>
      </c>
      <c r="G460" s="7" t="s">
        <v>364</v>
      </c>
      <c r="H460" s="7" t="s">
        <v>365</v>
      </c>
      <c r="I460" s="7" t="s">
        <v>355</v>
      </c>
      <c r="J460" s="14"/>
      <c r="K460" s="14"/>
      <c r="O460" s="22"/>
      <c r="P460" s="22"/>
      <c r="Q460" s="23"/>
      <c r="R460" s="23"/>
      <c r="S460" s="14"/>
    </row>
    <row r="461" ht="18.75" customHeight="1">
      <c r="A461" s="7" t="s">
        <v>390</v>
      </c>
      <c r="B461" s="7" t="s">
        <v>3884</v>
      </c>
      <c r="C461" s="9">
        <v>2030042.0</v>
      </c>
      <c r="D461" s="9">
        <v>1407641.0</v>
      </c>
      <c r="E461" s="9">
        <v>1370.0</v>
      </c>
      <c r="F461" s="7" t="s">
        <v>391</v>
      </c>
      <c r="G461" s="7" t="s">
        <v>364</v>
      </c>
      <c r="H461" s="7" t="s">
        <v>365</v>
      </c>
      <c r="I461" s="7" t="s">
        <v>355</v>
      </c>
      <c r="J461" s="14"/>
      <c r="K461" s="14"/>
      <c r="O461" s="22"/>
      <c r="P461" s="22"/>
      <c r="Q461" s="23"/>
      <c r="R461" s="23"/>
      <c r="S461" s="14"/>
    </row>
    <row r="462" ht="18.75" customHeight="1">
      <c r="A462" s="7" t="s">
        <v>390</v>
      </c>
      <c r="B462" s="7" t="s">
        <v>3884</v>
      </c>
      <c r="C462" s="9">
        <v>4317076.0</v>
      </c>
      <c r="D462" s="9">
        <v>2702148.0</v>
      </c>
      <c r="E462" s="9">
        <v>3582.0</v>
      </c>
      <c r="F462" s="7" t="s">
        <v>391</v>
      </c>
      <c r="G462" s="7" t="s">
        <v>364</v>
      </c>
      <c r="H462" s="7" t="s">
        <v>365</v>
      </c>
      <c r="I462" s="7" t="s">
        <v>355</v>
      </c>
      <c r="J462" s="14"/>
      <c r="K462" s="14"/>
      <c r="O462" s="22"/>
      <c r="P462" s="22"/>
      <c r="Q462" s="23"/>
      <c r="R462" s="23"/>
      <c r="S462" s="14"/>
    </row>
    <row r="463" ht="18.75" customHeight="1">
      <c r="A463" s="7" t="s">
        <v>390</v>
      </c>
      <c r="B463" s="7" t="s">
        <v>3884</v>
      </c>
      <c r="C463" s="9">
        <v>1444051.0</v>
      </c>
      <c r="D463" s="9">
        <v>1052744.0</v>
      </c>
      <c r="E463" s="9">
        <v>625.0</v>
      </c>
      <c r="F463" s="7" t="s">
        <v>391</v>
      </c>
      <c r="G463" s="7" t="s">
        <v>364</v>
      </c>
      <c r="H463" s="7" t="s">
        <v>365</v>
      </c>
      <c r="I463" s="7" t="s">
        <v>355</v>
      </c>
      <c r="J463" s="14"/>
      <c r="K463" s="14"/>
      <c r="O463" s="22"/>
      <c r="P463" s="22"/>
      <c r="Q463" s="23"/>
      <c r="R463" s="23"/>
      <c r="S463" s="14"/>
    </row>
    <row r="464" ht="18.75" customHeight="1">
      <c r="A464" s="7" t="s">
        <v>390</v>
      </c>
      <c r="B464" s="7" t="s">
        <v>3884</v>
      </c>
      <c r="C464" s="9">
        <v>58075.0</v>
      </c>
      <c r="D464" s="9">
        <v>0.0</v>
      </c>
      <c r="E464" s="9">
        <v>3034.0</v>
      </c>
      <c r="F464" s="7" t="s">
        <v>391</v>
      </c>
      <c r="G464" s="7" t="s">
        <v>364</v>
      </c>
      <c r="H464" s="7" t="s">
        <v>365</v>
      </c>
      <c r="I464" s="7" t="s">
        <v>355</v>
      </c>
      <c r="J464" s="14"/>
      <c r="K464" s="14"/>
      <c r="O464" s="22"/>
      <c r="P464" s="22"/>
      <c r="Q464" s="23"/>
      <c r="R464" s="23"/>
      <c r="S464" s="14"/>
    </row>
    <row r="465" ht="18.75" customHeight="1">
      <c r="A465" s="7" t="s">
        <v>379</v>
      </c>
      <c r="B465" s="7" t="s">
        <v>3884</v>
      </c>
      <c r="C465" s="9">
        <v>1847813.0</v>
      </c>
      <c r="D465" s="9">
        <v>0.0</v>
      </c>
      <c r="E465" s="9">
        <v>3092.0</v>
      </c>
      <c r="F465" s="7" t="s">
        <v>380</v>
      </c>
      <c r="G465" s="7" t="s">
        <v>353</v>
      </c>
      <c r="H465" s="7" t="s">
        <v>354</v>
      </c>
      <c r="I465" s="7" t="s">
        <v>355</v>
      </c>
      <c r="J465" s="14"/>
      <c r="K465" s="14"/>
      <c r="O465" s="22"/>
      <c r="P465" s="22"/>
      <c r="Q465" s="23"/>
      <c r="R465" s="23"/>
      <c r="S465" s="14"/>
    </row>
    <row r="466" ht="18.75" customHeight="1">
      <c r="A466" s="7" t="s">
        <v>388</v>
      </c>
      <c r="B466" s="7" t="s">
        <v>3884</v>
      </c>
      <c r="C466" s="9">
        <v>5202166.0</v>
      </c>
      <c r="D466" s="9">
        <v>0.0</v>
      </c>
      <c r="E466" s="9">
        <v>5057.0</v>
      </c>
      <c r="F466" s="7" t="s">
        <v>389</v>
      </c>
      <c r="G466" s="7" t="s">
        <v>353</v>
      </c>
      <c r="H466" s="7" t="s">
        <v>378</v>
      </c>
      <c r="I466" s="7" t="s">
        <v>355</v>
      </c>
      <c r="J466" s="14"/>
      <c r="K466" s="14"/>
      <c r="O466" s="22"/>
      <c r="P466" s="22"/>
      <c r="Q466" s="23"/>
      <c r="R466" s="23"/>
      <c r="S466" s="14"/>
    </row>
    <row r="467" ht="18.75" customHeight="1">
      <c r="A467" s="7" t="s">
        <v>388</v>
      </c>
      <c r="B467" s="7" t="s">
        <v>3884</v>
      </c>
      <c r="C467" s="9">
        <v>3790751.0</v>
      </c>
      <c r="D467" s="9">
        <v>0.0</v>
      </c>
      <c r="E467" s="9">
        <v>5072.0</v>
      </c>
      <c r="F467" s="7" t="s">
        <v>389</v>
      </c>
      <c r="G467" s="7" t="s">
        <v>353</v>
      </c>
      <c r="H467" s="7" t="s">
        <v>378</v>
      </c>
      <c r="I467" s="7" t="s">
        <v>355</v>
      </c>
      <c r="J467" s="14"/>
      <c r="K467" s="14"/>
      <c r="O467" s="22"/>
      <c r="P467" s="22"/>
      <c r="Q467" s="23"/>
      <c r="R467" s="23"/>
      <c r="S467" s="14"/>
    </row>
    <row r="468" ht="18.75" customHeight="1">
      <c r="A468" s="7" t="s">
        <v>388</v>
      </c>
      <c r="B468" s="7" t="s">
        <v>3884</v>
      </c>
      <c r="C468" s="9">
        <v>3756270.0</v>
      </c>
      <c r="D468" s="9">
        <v>3115995.0</v>
      </c>
      <c r="E468" s="9">
        <v>2132.0</v>
      </c>
      <c r="F468" s="7" t="s">
        <v>389</v>
      </c>
      <c r="G468" s="7" t="s">
        <v>353</v>
      </c>
      <c r="H468" s="7" t="s">
        <v>378</v>
      </c>
      <c r="I468" s="7" t="s">
        <v>355</v>
      </c>
      <c r="J468" s="14"/>
      <c r="K468" s="14"/>
      <c r="O468" s="22"/>
      <c r="P468" s="22"/>
      <c r="Q468" s="23"/>
      <c r="R468" s="23"/>
      <c r="S468" s="14"/>
    </row>
    <row r="469" ht="18.75" customHeight="1">
      <c r="A469" s="7" t="s">
        <v>388</v>
      </c>
      <c r="B469" s="7" t="s">
        <v>3884</v>
      </c>
      <c r="C469" s="9">
        <v>2578011.0</v>
      </c>
      <c r="D469" s="9">
        <v>1564844.0</v>
      </c>
      <c r="E469" s="9">
        <v>2820.0</v>
      </c>
      <c r="F469" s="7" t="s">
        <v>389</v>
      </c>
      <c r="G469" s="7" t="s">
        <v>353</v>
      </c>
      <c r="H469" s="7" t="s">
        <v>378</v>
      </c>
      <c r="I469" s="7" t="s">
        <v>355</v>
      </c>
      <c r="J469" s="14"/>
      <c r="K469" s="14"/>
      <c r="O469" s="22"/>
      <c r="P469" s="22"/>
      <c r="Q469" s="23"/>
      <c r="R469" s="23"/>
      <c r="S469" s="14"/>
    </row>
    <row r="470" ht="18.75" customHeight="1">
      <c r="A470" s="7" t="s">
        <v>388</v>
      </c>
      <c r="B470" s="7" t="s">
        <v>3884</v>
      </c>
      <c r="C470" s="9">
        <v>14674.0</v>
      </c>
      <c r="D470" s="9">
        <v>0.0</v>
      </c>
      <c r="E470" s="9">
        <v>386.0</v>
      </c>
      <c r="F470" s="7" t="s">
        <v>389</v>
      </c>
      <c r="G470" s="7" t="s">
        <v>353</v>
      </c>
      <c r="H470" s="7" t="s">
        <v>378</v>
      </c>
      <c r="I470" s="7" t="s">
        <v>355</v>
      </c>
      <c r="J470" s="14"/>
      <c r="K470" s="14"/>
      <c r="O470" s="22"/>
      <c r="P470" s="22"/>
      <c r="Q470" s="23"/>
      <c r="R470" s="23"/>
      <c r="S470" s="14"/>
    </row>
    <row r="471" ht="18.75" customHeight="1">
      <c r="A471" s="7" t="s">
        <v>388</v>
      </c>
      <c r="B471" s="7" t="s">
        <v>3884</v>
      </c>
      <c r="C471" s="9">
        <v>125637.0</v>
      </c>
      <c r="D471" s="9">
        <v>64479.0</v>
      </c>
      <c r="E471" s="9">
        <v>99.0</v>
      </c>
      <c r="F471" s="7" t="s">
        <v>389</v>
      </c>
      <c r="G471" s="7" t="s">
        <v>353</v>
      </c>
      <c r="H471" s="7" t="s">
        <v>378</v>
      </c>
      <c r="I471" s="7" t="s">
        <v>355</v>
      </c>
      <c r="J471" s="14"/>
      <c r="K471" s="14"/>
      <c r="O471" s="22"/>
      <c r="P471" s="22"/>
      <c r="Q471" s="23"/>
      <c r="R471" s="23"/>
      <c r="S471" s="14"/>
    </row>
    <row r="472" ht="18.75" customHeight="1">
      <c r="A472" s="7" t="s">
        <v>388</v>
      </c>
      <c r="B472" s="7" t="s">
        <v>3884</v>
      </c>
      <c r="C472" s="9">
        <v>221883.0</v>
      </c>
      <c r="D472" s="9">
        <v>0.0</v>
      </c>
      <c r="E472" s="9">
        <v>146.0</v>
      </c>
      <c r="F472" s="7" t="s">
        <v>389</v>
      </c>
      <c r="G472" s="7" t="s">
        <v>353</v>
      </c>
      <c r="H472" s="7" t="s">
        <v>378</v>
      </c>
      <c r="I472" s="7" t="s">
        <v>355</v>
      </c>
      <c r="J472" s="14"/>
      <c r="K472" s="14"/>
      <c r="O472" s="22"/>
      <c r="P472" s="22"/>
      <c r="Q472" s="23"/>
      <c r="R472" s="23"/>
      <c r="S472" s="14"/>
    </row>
    <row r="473" ht="18.75" customHeight="1">
      <c r="A473" s="7" t="s">
        <v>402</v>
      </c>
      <c r="B473" s="7" t="s">
        <v>3884</v>
      </c>
      <c r="C473" s="9">
        <v>0.0</v>
      </c>
      <c r="D473" s="9">
        <v>0.0</v>
      </c>
      <c r="E473" s="9">
        <v>0.0</v>
      </c>
      <c r="F473" s="7" t="s">
        <v>403</v>
      </c>
      <c r="G473" s="7" t="s">
        <v>404</v>
      </c>
      <c r="H473" s="7" t="s">
        <v>405</v>
      </c>
      <c r="I473" s="7" t="s">
        <v>355</v>
      </c>
      <c r="J473" s="14"/>
      <c r="K473" s="14"/>
      <c r="O473" s="22"/>
      <c r="P473" s="22"/>
      <c r="Q473" s="23"/>
      <c r="R473" s="23"/>
      <c r="S473" s="14"/>
    </row>
    <row r="474" ht="18.75" customHeight="1">
      <c r="A474" s="7" t="s">
        <v>402</v>
      </c>
      <c r="B474" s="7" t="s">
        <v>3884</v>
      </c>
      <c r="C474" s="9">
        <v>0.0</v>
      </c>
      <c r="D474" s="9">
        <v>0.0</v>
      </c>
      <c r="E474" s="9">
        <v>0.0</v>
      </c>
      <c r="F474" s="7" t="s">
        <v>403</v>
      </c>
      <c r="G474" s="7" t="s">
        <v>404</v>
      </c>
      <c r="H474" s="7" t="s">
        <v>405</v>
      </c>
      <c r="I474" s="7" t="s">
        <v>355</v>
      </c>
      <c r="J474" s="14"/>
      <c r="K474" s="14"/>
      <c r="O474" s="22"/>
      <c r="P474" s="22"/>
      <c r="Q474" s="23"/>
      <c r="R474" s="23"/>
      <c r="S474" s="14"/>
    </row>
    <row r="475" ht="18.75" customHeight="1">
      <c r="A475" s="7" t="s">
        <v>402</v>
      </c>
      <c r="B475" s="7" t="s">
        <v>3884</v>
      </c>
      <c r="C475" s="9">
        <v>0.0</v>
      </c>
      <c r="D475" s="9">
        <v>0.0</v>
      </c>
      <c r="E475" s="9">
        <v>0.0</v>
      </c>
      <c r="F475" s="7" t="s">
        <v>403</v>
      </c>
      <c r="G475" s="7" t="s">
        <v>404</v>
      </c>
      <c r="H475" s="7" t="s">
        <v>405</v>
      </c>
      <c r="I475" s="7" t="s">
        <v>355</v>
      </c>
      <c r="J475" s="14"/>
      <c r="K475" s="14"/>
      <c r="O475" s="22"/>
      <c r="P475" s="22"/>
      <c r="Q475" s="23"/>
      <c r="R475" s="23"/>
      <c r="S475" s="14"/>
    </row>
    <row r="476" ht="18.75" customHeight="1">
      <c r="A476" s="7" t="s">
        <v>402</v>
      </c>
      <c r="B476" s="7" t="s">
        <v>3884</v>
      </c>
      <c r="C476" s="9">
        <v>0.0</v>
      </c>
      <c r="D476" s="9">
        <v>0.0</v>
      </c>
      <c r="E476" s="9">
        <v>0.0</v>
      </c>
      <c r="F476" s="7" t="s">
        <v>403</v>
      </c>
      <c r="G476" s="7" t="s">
        <v>404</v>
      </c>
      <c r="H476" s="7" t="s">
        <v>405</v>
      </c>
      <c r="I476" s="7" t="s">
        <v>355</v>
      </c>
      <c r="J476" s="14"/>
      <c r="K476" s="14"/>
      <c r="O476" s="22"/>
      <c r="P476" s="22"/>
      <c r="Q476" s="23"/>
      <c r="R476" s="23"/>
      <c r="S476" s="14"/>
    </row>
    <row r="477" ht="18.75" customHeight="1">
      <c r="A477" s="7" t="s">
        <v>402</v>
      </c>
      <c r="B477" s="7" t="s">
        <v>3884</v>
      </c>
      <c r="C477" s="9">
        <v>0.0</v>
      </c>
      <c r="D477" s="9">
        <v>0.0</v>
      </c>
      <c r="E477" s="9">
        <v>0.0</v>
      </c>
      <c r="F477" s="7" t="s">
        <v>403</v>
      </c>
      <c r="G477" s="7" t="s">
        <v>404</v>
      </c>
      <c r="H477" s="7" t="s">
        <v>405</v>
      </c>
      <c r="I477" s="7" t="s">
        <v>355</v>
      </c>
      <c r="J477" s="14"/>
      <c r="K477" s="14"/>
      <c r="O477" s="22"/>
      <c r="P477" s="22"/>
      <c r="Q477" s="23"/>
      <c r="R477" s="23"/>
      <c r="S477" s="14"/>
    </row>
    <row r="478" ht="18.75" customHeight="1">
      <c r="A478" s="7" t="s">
        <v>402</v>
      </c>
      <c r="B478" s="7" t="s">
        <v>3884</v>
      </c>
      <c r="C478" s="9">
        <v>0.0</v>
      </c>
      <c r="D478" s="9">
        <v>0.0</v>
      </c>
      <c r="E478" s="9">
        <v>0.0</v>
      </c>
      <c r="F478" s="7" t="s">
        <v>403</v>
      </c>
      <c r="G478" s="7" t="s">
        <v>404</v>
      </c>
      <c r="H478" s="7" t="s">
        <v>405</v>
      </c>
      <c r="I478" s="7" t="s">
        <v>355</v>
      </c>
      <c r="J478" s="14"/>
      <c r="K478" s="14"/>
      <c r="O478" s="22"/>
      <c r="P478" s="22"/>
      <c r="Q478" s="23"/>
      <c r="R478" s="23"/>
      <c r="S478" s="14"/>
    </row>
    <row r="479" ht="18.75" customHeight="1">
      <c r="A479" s="7" t="s">
        <v>402</v>
      </c>
      <c r="B479" s="7" t="s">
        <v>3884</v>
      </c>
      <c r="C479" s="9">
        <v>0.0</v>
      </c>
      <c r="D479" s="9">
        <v>0.0</v>
      </c>
      <c r="E479" s="9">
        <v>0.0</v>
      </c>
      <c r="F479" s="7" t="s">
        <v>403</v>
      </c>
      <c r="G479" s="7" t="s">
        <v>404</v>
      </c>
      <c r="H479" s="7" t="s">
        <v>405</v>
      </c>
      <c r="I479" s="7" t="s">
        <v>355</v>
      </c>
      <c r="J479" s="14"/>
      <c r="K479" s="14"/>
      <c r="O479" s="22"/>
      <c r="P479" s="22"/>
      <c r="Q479" s="23"/>
      <c r="R479" s="23"/>
      <c r="S479" s="14"/>
    </row>
    <row r="480" ht="18.75" customHeight="1">
      <c r="A480" s="7" t="s">
        <v>402</v>
      </c>
      <c r="B480" s="7" t="s">
        <v>3884</v>
      </c>
      <c r="C480" s="9">
        <v>31934.0</v>
      </c>
      <c r="D480" s="9">
        <v>0.0</v>
      </c>
      <c r="E480" s="9">
        <v>69.0</v>
      </c>
      <c r="F480" s="7" t="s">
        <v>403</v>
      </c>
      <c r="G480" s="7" t="s">
        <v>404</v>
      </c>
      <c r="H480" s="7" t="s">
        <v>405</v>
      </c>
      <c r="I480" s="7" t="s">
        <v>355</v>
      </c>
      <c r="J480" s="14"/>
      <c r="K480" s="14"/>
      <c r="O480" s="22"/>
      <c r="P480" s="22"/>
      <c r="Q480" s="23"/>
      <c r="R480" s="23"/>
      <c r="S480" s="14"/>
    </row>
    <row r="481" ht="18.75" customHeight="1">
      <c r="A481" s="7" t="s">
        <v>402</v>
      </c>
      <c r="B481" s="7" t="s">
        <v>3884</v>
      </c>
      <c r="C481" s="9">
        <v>10981.0</v>
      </c>
      <c r="D481" s="9">
        <v>8961.0</v>
      </c>
      <c r="E481" s="9">
        <v>105.0</v>
      </c>
      <c r="F481" s="7" t="s">
        <v>403</v>
      </c>
      <c r="G481" s="7" t="s">
        <v>404</v>
      </c>
      <c r="H481" s="7" t="s">
        <v>405</v>
      </c>
      <c r="I481" s="7" t="s">
        <v>355</v>
      </c>
      <c r="J481" s="14"/>
      <c r="K481" s="14"/>
      <c r="O481" s="22"/>
      <c r="P481" s="22"/>
      <c r="Q481" s="23"/>
      <c r="R481" s="23"/>
      <c r="S481" s="14"/>
    </row>
    <row r="482" ht="18.75" customHeight="1">
      <c r="A482" s="7" t="s">
        <v>402</v>
      </c>
      <c r="B482" s="7" t="s">
        <v>3884</v>
      </c>
      <c r="C482" s="9">
        <v>0.0</v>
      </c>
      <c r="D482" s="9">
        <v>0.0</v>
      </c>
      <c r="E482" s="9">
        <v>0.0</v>
      </c>
      <c r="F482" s="7" t="s">
        <v>403</v>
      </c>
      <c r="G482" s="7" t="s">
        <v>404</v>
      </c>
      <c r="H482" s="7" t="s">
        <v>405</v>
      </c>
      <c r="I482" s="7" t="s">
        <v>355</v>
      </c>
      <c r="J482" s="14"/>
      <c r="K482" s="14"/>
      <c r="O482" s="22"/>
      <c r="P482" s="22"/>
      <c r="Q482" s="23"/>
      <c r="R482" s="23"/>
      <c r="S482" s="14"/>
    </row>
    <row r="483" ht="18.75" customHeight="1">
      <c r="A483" s="7" t="s">
        <v>402</v>
      </c>
      <c r="B483" s="7" t="s">
        <v>3884</v>
      </c>
      <c r="C483" s="9">
        <v>0.0</v>
      </c>
      <c r="D483" s="9">
        <v>0.0</v>
      </c>
      <c r="E483" s="9">
        <v>0.0</v>
      </c>
      <c r="F483" s="7" t="s">
        <v>403</v>
      </c>
      <c r="G483" s="7" t="s">
        <v>404</v>
      </c>
      <c r="H483" s="7" t="s">
        <v>405</v>
      </c>
      <c r="I483" s="7" t="s">
        <v>355</v>
      </c>
      <c r="J483" s="14"/>
      <c r="K483" s="14"/>
      <c r="O483" s="22"/>
      <c r="P483" s="22"/>
      <c r="Q483" s="23"/>
      <c r="R483" s="23"/>
      <c r="S483" s="14"/>
    </row>
    <row r="484" ht="18.75" customHeight="1">
      <c r="A484" s="7" t="s">
        <v>402</v>
      </c>
      <c r="B484" s="7" t="s">
        <v>3884</v>
      </c>
      <c r="C484" s="9">
        <v>0.0</v>
      </c>
      <c r="D484" s="9">
        <v>0.0</v>
      </c>
      <c r="E484" s="9">
        <v>0.0</v>
      </c>
      <c r="F484" s="7" t="s">
        <v>403</v>
      </c>
      <c r="G484" s="7" t="s">
        <v>404</v>
      </c>
      <c r="H484" s="7" t="s">
        <v>405</v>
      </c>
      <c r="I484" s="7" t="s">
        <v>355</v>
      </c>
      <c r="J484" s="14"/>
      <c r="K484" s="14"/>
      <c r="O484" s="22"/>
      <c r="P484" s="22"/>
      <c r="Q484" s="23"/>
      <c r="R484" s="23"/>
      <c r="S484" s="14"/>
    </row>
    <row r="485" ht="18.75" customHeight="1">
      <c r="A485" s="7" t="s">
        <v>402</v>
      </c>
      <c r="B485" s="7" t="s">
        <v>3884</v>
      </c>
      <c r="C485" s="9">
        <v>169335.0</v>
      </c>
      <c r="D485" s="9">
        <v>9402.0</v>
      </c>
      <c r="E485" s="9">
        <v>131.0</v>
      </c>
      <c r="F485" s="7" t="s">
        <v>403</v>
      </c>
      <c r="G485" s="7" t="s">
        <v>404</v>
      </c>
      <c r="H485" s="7" t="s">
        <v>405</v>
      </c>
      <c r="I485" s="7" t="s">
        <v>355</v>
      </c>
      <c r="J485" s="14"/>
      <c r="K485" s="14"/>
      <c r="O485" s="22"/>
      <c r="P485" s="22"/>
      <c r="Q485" s="23"/>
      <c r="R485" s="23"/>
      <c r="S485" s="14"/>
    </row>
    <row r="486" ht="18.75" customHeight="1">
      <c r="A486" s="7" t="s">
        <v>402</v>
      </c>
      <c r="B486" s="7" t="s">
        <v>3884</v>
      </c>
      <c r="C486" s="9">
        <v>0.0</v>
      </c>
      <c r="D486" s="9">
        <v>0.0</v>
      </c>
      <c r="E486" s="9">
        <v>0.0</v>
      </c>
      <c r="F486" s="7" t="s">
        <v>403</v>
      </c>
      <c r="G486" s="7" t="s">
        <v>404</v>
      </c>
      <c r="H486" s="7" t="s">
        <v>405</v>
      </c>
      <c r="I486" s="7" t="s">
        <v>355</v>
      </c>
      <c r="J486" s="14"/>
      <c r="K486" s="14"/>
      <c r="O486" s="22"/>
      <c r="P486" s="22"/>
      <c r="Q486" s="23"/>
      <c r="R486" s="23"/>
      <c r="S486" s="14"/>
    </row>
    <row r="487" ht="18.75" customHeight="1">
      <c r="A487" s="7" t="s">
        <v>392</v>
      </c>
      <c r="B487" s="7" t="s">
        <v>3884</v>
      </c>
      <c r="C487" s="9">
        <v>2027763.0</v>
      </c>
      <c r="D487" s="9">
        <v>1493109.0</v>
      </c>
      <c r="E487" s="9">
        <v>2061.0</v>
      </c>
      <c r="F487" s="7" t="s">
        <v>393</v>
      </c>
      <c r="G487" s="7" t="s">
        <v>353</v>
      </c>
      <c r="H487" s="7" t="s">
        <v>378</v>
      </c>
      <c r="I487" s="7" t="s">
        <v>355</v>
      </c>
      <c r="J487" s="14"/>
      <c r="K487" s="14"/>
      <c r="O487" s="22"/>
      <c r="P487" s="22"/>
      <c r="Q487" s="23"/>
      <c r="R487" s="23"/>
      <c r="S487" s="14"/>
    </row>
    <row r="488" ht="18.75" customHeight="1">
      <c r="A488" s="7" t="s">
        <v>392</v>
      </c>
      <c r="B488" s="7" t="s">
        <v>3884</v>
      </c>
      <c r="C488" s="9">
        <v>771778.0</v>
      </c>
      <c r="D488" s="9">
        <v>462054.0</v>
      </c>
      <c r="E488" s="9">
        <v>1424.0</v>
      </c>
      <c r="F488" s="7" t="s">
        <v>393</v>
      </c>
      <c r="G488" s="7" t="s">
        <v>353</v>
      </c>
      <c r="H488" s="7" t="s">
        <v>378</v>
      </c>
      <c r="I488" s="7" t="s">
        <v>355</v>
      </c>
      <c r="J488" s="14"/>
      <c r="K488" s="14"/>
      <c r="O488" s="22"/>
      <c r="P488" s="22"/>
      <c r="Q488" s="23"/>
      <c r="R488" s="23"/>
      <c r="S488" s="14"/>
    </row>
    <row r="489" ht="18.75" customHeight="1">
      <c r="A489" s="7" t="s">
        <v>392</v>
      </c>
      <c r="B489" s="7" t="s">
        <v>3884</v>
      </c>
      <c r="C489" s="9">
        <v>536731.0</v>
      </c>
      <c r="D489" s="9">
        <v>0.0</v>
      </c>
      <c r="E489" s="9">
        <v>1183.0</v>
      </c>
      <c r="F489" s="7" t="s">
        <v>393</v>
      </c>
      <c r="G489" s="7" t="s">
        <v>353</v>
      </c>
      <c r="H489" s="7" t="s">
        <v>378</v>
      </c>
      <c r="I489" s="7" t="s">
        <v>355</v>
      </c>
      <c r="J489" s="14"/>
      <c r="K489" s="14"/>
      <c r="O489" s="22"/>
      <c r="P489" s="22"/>
      <c r="Q489" s="23"/>
      <c r="R489" s="23"/>
      <c r="S489" s="14"/>
    </row>
    <row r="490" ht="18.75" customHeight="1">
      <c r="A490" s="7" t="s">
        <v>392</v>
      </c>
      <c r="B490" s="7" t="s">
        <v>3884</v>
      </c>
      <c r="C490" s="9">
        <v>233133.0</v>
      </c>
      <c r="D490" s="9">
        <v>0.0</v>
      </c>
      <c r="E490" s="9">
        <v>786.0</v>
      </c>
      <c r="F490" s="7" t="s">
        <v>393</v>
      </c>
      <c r="G490" s="7" t="s">
        <v>353</v>
      </c>
      <c r="H490" s="7" t="s">
        <v>378</v>
      </c>
      <c r="I490" s="7" t="s">
        <v>355</v>
      </c>
      <c r="J490" s="14"/>
      <c r="K490" s="14"/>
      <c r="O490" s="22"/>
      <c r="P490" s="22"/>
      <c r="Q490" s="23"/>
      <c r="R490" s="23"/>
      <c r="S490" s="14"/>
    </row>
    <row r="491" ht="18.75" customHeight="1">
      <c r="A491" s="7" t="s">
        <v>392</v>
      </c>
      <c r="B491" s="7" t="s">
        <v>3884</v>
      </c>
      <c r="C491" s="9">
        <v>25145.0</v>
      </c>
      <c r="D491" s="9">
        <v>24628.0</v>
      </c>
      <c r="E491" s="9">
        <v>4.0</v>
      </c>
      <c r="F491" s="7" t="s">
        <v>393</v>
      </c>
      <c r="G491" s="7" t="s">
        <v>353</v>
      </c>
      <c r="H491" s="7" t="s">
        <v>378</v>
      </c>
      <c r="I491" s="7" t="s">
        <v>355</v>
      </c>
      <c r="J491" s="14"/>
      <c r="K491" s="14"/>
      <c r="O491" s="22"/>
      <c r="P491" s="22"/>
      <c r="Q491" s="23"/>
      <c r="R491" s="23"/>
      <c r="S491" s="14"/>
    </row>
    <row r="492" ht="18.75" customHeight="1">
      <c r="A492" s="7" t="s">
        <v>414</v>
      </c>
      <c r="B492" s="7" t="s">
        <v>3884</v>
      </c>
      <c r="C492" s="9">
        <v>1.2762724E7</v>
      </c>
      <c r="D492" s="9">
        <v>0.0</v>
      </c>
      <c r="E492" s="9">
        <v>9698.0</v>
      </c>
      <c r="F492" s="7" t="s">
        <v>415</v>
      </c>
      <c r="G492" s="7" t="s">
        <v>416</v>
      </c>
      <c r="H492" s="7" t="s">
        <v>417</v>
      </c>
      <c r="I492" s="7" t="s">
        <v>355</v>
      </c>
      <c r="J492" s="14"/>
      <c r="K492" s="14"/>
      <c r="O492" s="22"/>
      <c r="P492" s="22"/>
      <c r="Q492" s="23"/>
      <c r="R492" s="23"/>
      <c r="S492" s="14"/>
    </row>
    <row r="493" ht="18.75" customHeight="1">
      <c r="A493" s="7" t="s">
        <v>3720</v>
      </c>
      <c r="B493" s="7" t="s">
        <v>3884</v>
      </c>
      <c r="C493" s="9">
        <v>1551301.0</v>
      </c>
      <c r="D493" s="9">
        <v>0.0</v>
      </c>
      <c r="E493" s="9">
        <v>1772.0</v>
      </c>
      <c r="F493" s="7" t="s">
        <v>3880</v>
      </c>
      <c r="G493" s="7" t="s">
        <v>416</v>
      </c>
      <c r="H493" s="7" t="s">
        <v>417</v>
      </c>
      <c r="I493" s="7" t="s">
        <v>355</v>
      </c>
      <c r="J493" s="14"/>
      <c r="K493" s="14"/>
      <c r="O493" s="22"/>
      <c r="P493" s="22"/>
      <c r="Q493" s="23"/>
      <c r="R493" s="23"/>
      <c r="S493" s="14"/>
    </row>
    <row r="494" ht="18.75" customHeight="1">
      <c r="A494" s="7" t="s">
        <v>418</v>
      </c>
      <c r="B494" s="7" t="s">
        <v>3884</v>
      </c>
      <c r="C494" s="9">
        <v>1366143.0</v>
      </c>
      <c r="D494" s="9">
        <v>0.0</v>
      </c>
      <c r="E494" s="9">
        <v>1355.0</v>
      </c>
      <c r="F494" s="7" t="s">
        <v>419</v>
      </c>
      <c r="G494" s="7" t="s">
        <v>416</v>
      </c>
      <c r="H494" s="7" t="s">
        <v>417</v>
      </c>
      <c r="I494" s="7" t="s">
        <v>355</v>
      </c>
      <c r="J494" s="14"/>
      <c r="K494" s="14"/>
      <c r="O494" s="22"/>
      <c r="P494" s="22"/>
      <c r="Q494" s="23"/>
      <c r="R494" s="23"/>
      <c r="S494" s="14"/>
    </row>
    <row r="495" ht="18.75" customHeight="1">
      <c r="A495" s="7" t="s">
        <v>408</v>
      </c>
      <c r="B495" s="7" t="s">
        <v>3884</v>
      </c>
      <c r="C495" s="9">
        <v>5110012.0</v>
      </c>
      <c r="D495" s="9">
        <v>0.0</v>
      </c>
      <c r="E495" s="9">
        <v>6106.0</v>
      </c>
      <c r="F495" s="7" t="s">
        <v>409</v>
      </c>
      <c r="G495" s="7" t="s">
        <v>353</v>
      </c>
      <c r="H495" s="7" t="s">
        <v>354</v>
      </c>
      <c r="I495" s="7" t="s">
        <v>410</v>
      </c>
      <c r="J495" s="14"/>
      <c r="K495" s="14"/>
      <c r="O495" s="22"/>
      <c r="P495" s="22"/>
      <c r="Q495" s="23"/>
      <c r="R495" s="23"/>
      <c r="S495" s="14"/>
    </row>
    <row r="496" ht="18.75" customHeight="1">
      <c r="A496" s="7" t="s">
        <v>408</v>
      </c>
      <c r="B496" s="7" t="s">
        <v>3884</v>
      </c>
      <c r="C496" s="9">
        <v>594820.0</v>
      </c>
      <c r="D496" s="9">
        <v>0.0</v>
      </c>
      <c r="E496" s="9">
        <v>1251.0</v>
      </c>
      <c r="F496" s="7" t="s">
        <v>409</v>
      </c>
      <c r="G496" s="7" t="s">
        <v>353</v>
      </c>
      <c r="H496" s="7" t="s">
        <v>354</v>
      </c>
      <c r="I496" s="7" t="s">
        <v>410</v>
      </c>
      <c r="J496" s="14"/>
      <c r="K496" s="14"/>
      <c r="O496" s="22"/>
      <c r="P496" s="22"/>
      <c r="Q496" s="23"/>
      <c r="R496" s="23"/>
      <c r="S496" s="14"/>
    </row>
    <row r="497" ht="18.75" customHeight="1">
      <c r="A497" s="7" t="s">
        <v>408</v>
      </c>
      <c r="B497" s="7" t="s">
        <v>3884</v>
      </c>
      <c r="C497" s="9">
        <v>572352.0</v>
      </c>
      <c r="D497" s="9">
        <v>365064.0</v>
      </c>
      <c r="E497" s="9">
        <v>2120.0</v>
      </c>
      <c r="F497" s="7" t="s">
        <v>409</v>
      </c>
      <c r="G497" s="7" t="s">
        <v>353</v>
      </c>
      <c r="H497" s="7" t="s">
        <v>354</v>
      </c>
      <c r="I497" s="7" t="s">
        <v>410</v>
      </c>
      <c r="J497" s="14"/>
      <c r="K497" s="14"/>
      <c r="O497" s="22"/>
      <c r="P497" s="22"/>
      <c r="Q497" s="23"/>
      <c r="R497" s="23"/>
      <c r="S497" s="14"/>
    </row>
    <row r="498" ht="18.75" customHeight="1">
      <c r="A498" s="7" t="s">
        <v>408</v>
      </c>
      <c r="B498" s="7" t="s">
        <v>3884</v>
      </c>
      <c r="C498" s="9">
        <v>18210.0</v>
      </c>
      <c r="D498" s="9">
        <v>16304.0</v>
      </c>
      <c r="E498" s="9">
        <v>741.0</v>
      </c>
      <c r="F498" s="7" t="s">
        <v>409</v>
      </c>
      <c r="G498" s="7" t="s">
        <v>353</v>
      </c>
      <c r="H498" s="7" t="s">
        <v>354</v>
      </c>
      <c r="I498" s="7" t="s">
        <v>410</v>
      </c>
      <c r="J498" s="14"/>
      <c r="K498" s="14"/>
      <c r="O498" s="22"/>
      <c r="P498" s="22"/>
      <c r="Q498" s="23"/>
      <c r="R498" s="23"/>
      <c r="S498" s="14"/>
    </row>
    <row r="499" ht="18.75" customHeight="1">
      <c r="A499" s="7" t="s">
        <v>398</v>
      </c>
      <c r="B499" s="7" t="s">
        <v>3884</v>
      </c>
      <c r="C499" s="9">
        <v>4538704.0</v>
      </c>
      <c r="D499" s="9">
        <v>0.0</v>
      </c>
      <c r="E499" s="9">
        <v>4847.0</v>
      </c>
      <c r="F499" s="7" t="s">
        <v>399</v>
      </c>
      <c r="G499" s="7" t="s">
        <v>353</v>
      </c>
      <c r="H499" s="7" t="s">
        <v>378</v>
      </c>
      <c r="I499" s="7" t="s">
        <v>355</v>
      </c>
      <c r="J499" s="14"/>
      <c r="K499" s="14"/>
      <c r="O499" s="22"/>
      <c r="P499" s="22"/>
      <c r="Q499" s="23"/>
      <c r="R499" s="23"/>
      <c r="S499" s="14"/>
    </row>
    <row r="500" ht="18.75" customHeight="1">
      <c r="A500" s="7" t="s">
        <v>411</v>
      </c>
      <c r="B500" s="7" t="s">
        <v>3884</v>
      </c>
      <c r="C500" s="9">
        <v>465740.0</v>
      </c>
      <c r="D500" s="9">
        <v>0.0</v>
      </c>
      <c r="E500" s="9">
        <v>984.0</v>
      </c>
      <c r="F500" s="7" t="s">
        <v>412</v>
      </c>
      <c r="G500" s="7" t="s">
        <v>353</v>
      </c>
      <c r="H500" s="7" t="s">
        <v>413</v>
      </c>
      <c r="I500" s="7" t="s">
        <v>355</v>
      </c>
      <c r="J500" s="14"/>
      <c r="K500" s="14"/>
      <c r="O500" s="22"/>
      <c r="P500" s="22"/>
      <c r="Q500" s="23"/>
      <c r="R500" s="23"/>
      <c r="S500" s="14"/>
    </row>
    <row r="501" ht="18.75" customHeight="1">
      <c r="A501" s="7" t="s">
        <v>411</v>
      </c>
      <c r="B501" s="7" t="s">
        <v>3884</v>
      </c>
      <c r="C501" s="9">
        <v>1012009.0</v>
      </c>
      <c r="D501" s="9">
        <v>522702.0</v>
      </c>
      <c r="E501" s="9">
        <v>774.0</v>
      </c>
      <c r="F501" s="7" t="s">
        <v>412</v>
      </c>
      <c r="G501" s="7" t="s">
        <v>353</v>
      </c>
      <c r="H501" s="7" t="s">
        <v>413</v>
      </c>
      <c r="I501" s="7" t="s">
        <v>355</v>
      </c>
      <c r="J501" s="14"/>
      <c r="K501" s="14"/>
      <c r="O501" s="22"/>
      <c r="P501" s="22"/>
      <c r="Q501" s="23"/>
      <c r="R501" s="23"/>
      <c r="S501" s="14"/>
    </row>
    <row r="502" ht="18.75" customHeight="1">
      <c r="A502" s="7" t="s">
        <v>411</v>
      </c>
      <c r="B502" s="7" t="s">
        <v>3884</v>
      </c>
      <c r="C502" s="9">
        <v>50760.0</v>
      </c>
      <c r="D502" s="9">
        <v>0.0</v>
      </c>
      <c r="E502" s="9">
        <v>797.0</v>
      </c>
      <c r="F502" s="7" t="s">
        <v>412</v>
      </c>
      <c r="G502" s="7" t="s">
        <v>353</v>
      </c>
      <c r="H502" s="7" t="s">
        <v>413</v>
      </c>
      <c r="I502" s="7" t="s">
        <v>355</v>
      </c>
      <c r="J502" s="14"/>
      <c r="K502" s="14"/>
      <c r="O502" s="22"/>
      <c r="P502" s="22"/>
      <c r="Q502" s="23"/>
      <c r="R502" s="23"/>
      <c r="S502" s="14"/>
    </row>
    <row r="503" ht="18.75" customHeight="1">
      <c r="A503" s="7" t="s">
        <v>376</v>
      </c>
      <c r="B503" s="7" t="s">
        <v>3884</v>
      </c>
      <c r="C503" s="9">
        <v>471702.0</v>
      </c>
      <c r="D503" s="9">
        <v>251962.0</v>
      </c>
      <c r="E503" s="9">
        <v>607.0</v>
      </c>
      <c r="F503" s="7" t="s">
        <v>377</v>
      </c>
      <c r="G503" s="7" t="s">
        <v>353</v>
      </c>
      <c r="H503" s="7" t="s">
        <v>378</v>
      </c>
      <c r="I503" s="7" t="s">
        <v>355</v>
      </c>
      <c r="J503" s="14"/>
      <c r="K503" s="14"/>
      <c r="O503" s="22"/>
      <c r="P503" s="22"/>
      <c r="Q503" s="23"/>
      <c r="R503" s="23"/>
      <c r="S503" s="14"/>
    </row>
    <row r="504" ht="18.75" customHeight="1">
      <c r="A504" s="7" t="s">
        <v>376</v>
      </c>
      <c r="B504" s="7" t="s">
        <v>3884</v>
      </c>
      <c r="C504" s="9">
        <v>346474.0</v>
      </c>
      <c r="D504" s="9">
        <v>183648.0</v>
      </c>
      <c r="E504" s="9">
        <v>1089.0</v>
      </c>
      <c r="F504" s="7" t="s">
        <v>377</v>
      </c>
      <c r="G504" s="7" t="s">
        <v>353</v>
      </c>
      <c r="H504" s="7" t="s">
        <v>378</v>
      </c>
      <c r="I504" s="7" t="s">
        <v>355</v>
      </c>
      <c r="J504" s="14"/>
      <c r="K504" s="14"/>
      <c r="O504" s="22"/>
      <c r="P504" s="22"/>
      <c r="Q504" s="23"/>
      <c r="R504" s="23"/>
      <c r="S504" s="14"/>
    </row>
    <row r="505" ht="18.75" customHeight="1">
      <c r="A505" s="7" t="s">
        <v>376</v>
      </c>
      <c r="B505" s="7" t="s">
        <v>3884</v>
      </c>
      <c r="C505" s="9">
        <v>725591.0</v>
      </c>
      <c r="D505" s="9">
        <v>0.0</v>
      </c>
      <c r="E505" s="9">
        <v>1191.0</v>
      </c>
      <c r="F505" s="7" t="s">
        <v>377</v>
      </c>
      <c r="G505" s="7" t="s">
        <v>353</v>
      </c>
      <c r="H505" s="7" t="s">
        <v>378</v>
      </c>
      <c r="I505" s="7" t="s">
        <v>355</v>
      </c>
      <c r="J505" s="14"/>
      <c r="K505" s="14"/>
      <c r="O505" s="22"/>
      <c r="P505" s="22"/>
      <c r="Q505" s="23"/>
      <c r="R505" s="23"/>
      <c r="S505" s="14"/>
    </row>
    <row r="506" ht="18.75" customHeight="1">
      <c r="A506" s="7" t="s">
        <v>376</v>
      </c>
      <c r="B506" s="7" t="s">
        <v>3884</v>
      </c>
      <c r="C506" s="9">
        <v>1182812.0</v>
      </c>
      <c r="D506" s="9">
        <v>0.0</v>
      </c>
      <c r="E506" s="9">
        <v>1559.0</v>
      </c>
      <c r="F506" s="7" t="s">
        <v>377</v>
      </c>
      <c r="G506" s="7" t="s">
        <v>353</v>
      </c>
      <c r="H506" s="7" t="s">
        <v>378</v>
      </c>
      <c r="I506" s="7" t="s">
        <v>355</v>
      </c>
      <c r="J506" s="14"/>
      <c r="K506" s="14"/>
      <c r="O506" s="22"/>
      <c r="P506" s="22"/>
      <c r="Q506" s="23"/>
      <c r="R506" s="23"/>
      <c r="S506" s="14"/>
    </row>
    <row r="507" ht="18.75" customHeight="1">
      <c r="A507" s="7" t="s">
        <v>394</v>
      </c>
      <c r="B507" s="7" t="s">
        <v>3884</v>
      </c>
      <c r="C507" s="9">
        <v>538382.0</v>
      </c>
      <c r="D507" s="9">
        <v>339469.0</v>
      </c>
      <c r="E507" s="9">
        <v>1586.0</v>
      </c>
      <c r="F507" s="7" t="s">
        <v>395</v>
      </c>
      <c r="G507" s="7" t="s">
        <v>353</v>
      </c>
      <c r="H507" s="7" t="s">
        <v>378</v>
      </c>
      <c r="I507" s="7" t="s">
        <v>355</v>
      </c>
      <c r="J507" s="14"/>
      <c r="K507" s="14"/>
      <c r="O507" s="22"/>
      <c r="P507" s="22"/>
      <c r="Q507" s="23"/>
      <c r="R507" s="23"/>
      <c r="S507" s="14"/>
    </row>
    <row r="508" ht="18.75" customHeight="1">
      <c r="A508" s="7" t="s">
        <v>394</v>
      </c>
      <c r="B508" s="7" t="s">
        <v>3884</v>
      </c>
      <c r="C508" s="9">
        <v>766444.0</v>
      </c>
      <c r="D508" s="9">
        <v>497659.0</v>
      </c>
      <c r="E508" s="9">
        <v>641.0</v>
      </c>
      <c r="F508" s="7" t="s">
        <v>395</v>
      </c>
      <c r="G508" s="7" t="s">
        <v>353</v>
      </c>
      <c r="H508" s="7" t="s">
        <v>378</v>
      </c>
      <c r="I508" s="7" t="s">
        <v>355</v>
      </c>
      <c r="J508" s="14"/>
      <c r="K508" s="14"/>
      <c r="O508" s="22"/>
      <c r="P508" s="22"/>
      <c r="Q508" s="23"/>
      <c r="R508" s="23"/>
      <c r="S508" s="14"/>
    </row>
    <row r="509" ht="18.75" customHeight="1">
      <c r="A509" s="7" t="s">
        <v>394</v>
      </c>
      <c r="B509" s="7" t="s">
        <v>3884</v>
      </c>
      <c r="C509" s="9">
        <v>582261.0</v>
      </c>
      <c r="D509" s="9">
        <v>0.0</v>
      </c>
      <c r="E509" s="9">
        <v>1100.0</v>
      </c>
      <c r="F509" s="7" t="s">
        <v>395</v>
      </c>
      <c r="G509" s="7" t="s">
        <v>353</v>
      </c>
      <c r="H509" s="7" t="s">
        <v>378</v>
      </c>
      <c r="I509" s="7" t="s">
        <v>355</v>
      </c>
      <c r="J509" s="14"/>
      <c r="K509" s="14"/>
      <c r="O509" s="22"/>
      <c r="P509" s="22"/>
      <c r="Q509" s="23"/>
      <c r="R509" s="23"/>
      <c r="S509" s="14"/>
    </row>
    <row r="510" ht="18.75" customHeight="1">
      <c r="A510" s="7" t="s">
        <v>394</v>
      </c>
      <c r="B510" s="7" t="s">
        <v>3884</v>
      </c>
      <c r="C510" s="9">
        <v>889526.0</v>
      </c>
      <c r="D510" s="9">
        <v>0.0</v>
      </c>
      <c r="E510" s="9">
        <v>1859.0</v>
      </c>
      <c r="F510" s="7" t="s">
        <v>395</v>
      </c>
      <c r="G510" s="7" t="s">
        <v>353</v>
      </c>
      <c r="H510" s="7" t="s">
        <v>378</v>
      </c>
      <c r="I510" s="7" t="s">
        <v>355</v>
      </c>
      <c r="J510" s="14"/>
      <c r="K510" s="14"/>
      <c r="O510" s="22"/>
      <c r="P510" s="22"/>
      <c r="Q510" s="23"/>
      <c r="R510" s="23"/>
      <c r="S510" s="14"/>
    </row>
    <row r="511" ht="18.75" customHeight="1">
      <c r="A511" s="7" t="s">
        <v>394</v>
      </c>
      <c r="B511" s="7" t="s">
        <v>3884</v>
      </c>
      <c r="C511" s="9">
        <v>26880.0</v>
      </c>
      <c r="D511" s="9">
        <v>25897.0</v>
      </c>
      <c r="E511" s="9">
        <v>12.0</v>
      </c>
      <c r="F511" s="7" t="s">
        <v>395</v>
      </c>
      <c r="G511" s="7" t="s">
        <v>353</v>
      </c>
      <c r="H511" s="7" t="s">
        <v>378</v>
      </c>
      <c r="I511" s="7" t="s">
        <v>355</v>
      </c>
      <c r="J511" s="14"/>
      <c r="K511" s="14"/>
      <c r="O511" s="22"/>
      <c r="P511" s="22"/>
      <c r="Q511" s="23"/>
      <c r="R511" s="23"/>
      <c r="S511" s="14"/>
    </row>
    <row r="512" ht="18.75" customHeight="1">
      <c r="A512" s="7" t="s">
        <v>394</v>
      </c>
      <c r="B512" s="7" t="s">
        <v>3884</v>
      </c>
      <c r="C512" s="9">
        <v>38048.0</v>
      </c>
      <c r="D512" s="9">
        <v>0.0</v>
      </c>
      <c r="E512" s="9">
        <v>441.0</v>
      </c>
      <c r="F512" s="7" t="s">
        <v>395</v>
      </c>
      <c r="G512" s="7" t="s">
        <v>353</v>
      </c>
      <c r="H512" s="7" t="s">
        <v>378</v>
      </c>
      <c r="I512" s="7" t="s">
        <v>355</v>
      </c>
      <c r="J512" s="14"/>
      <c r="K512" s="14"/>
      <c r="O512" s="22"/>
      <c r="P512" s="22"/>
      <c r="Q512" s="23"/>
      <c r="R512" s="23"/>
      <c r="S512" s="14"/>
    </row>
    <row r="513" ht="18.75" customHeight="1">
      <c r="A513" s="7" t="s">
        <v>414</v>
      </c>
      <c r="B513" s="7" t="s">
        <v>3884</v>
      </c>
      <c r="C513" s="9">
        <v>454249.0</v>
      </c>
      <c r="D513" s="9">
        <v>264345.0</v>
      </c>
      <c r="E513" s="9">
        <v>499.0</v>
      </c>
      <c r="F513" s="7" t="s">
        <v>415</v>
      </c>
      <c r="G513" s="7" t="s">
        <v>416</v>
      </c>
      <c r="H513" s="7" t="s">
        <v>417</v>
      </c>
      <c r="I513" s="7" t="s">
        <v>355</v>
      </c>
      <c r="J513" s="14"/>
      <c r="K513" s="14"/>
      <c r="O513" s="22"/>
      <c r="P513" s="22"/>
      <c r="Q513" s="23"/>
      <c r="R513" s="23"/>
      <c r="S513" s="14"/>
    </row>
    <row r="514" ht="18.75" customHeight="1">
      <c r="A514" s="7" t="s">
        <v>418</v>
      </c>
      <c r="B514" s="7" t="s">
        <v>3884</v>
      </c>
      <c r="C514" s="9">
        <v>74771.0</v>
      </c>
      <c r="D514" s="9">
        <v>52911.0</v>
      </c>
      <c r="E514" s="9">
        <v>553.0</v>
      </c>
      <c r="F514" s="7" t="s">
        <v>419</v>
      </c>
      <c r="G514" s="7" t="s">
        <v>416</v>
      </c>
      <c r="H514" s="7" t="s">
        <v>417</v>
      </c>
      <c r="I514" s="7" t="s">
        <v>355</v>
      </c>
      <c r="J514" s="14"/>
      <c r="K514" s="14"/>
      <c r="O514" s="22"/>
      <c r="P514" s="22"/>
      <c r="Q514" s="23"/>
      <c r="R514" s="23"/>
      <c r="S514" s="14"/>
    </row>
    <row r="515" ht="18.75" customHeight="1">
      <c r="A515" s="7" t="s">
        <v>396</v>
      </c>
      <c r="B515" s="7" t="s">
        <v>3884</v>
      </c>
      <c r="C515" s="9">
        <v>0.0</v>
      </c>
      <c r="D515" s="9">
        <v>0.0</v>
      </c>
      <c r="E515" s="9">
        <v>0.0</v>
      </c>
      <c r="F515" s="7" t="s">
        <v>397</v>
      </c>
      <c r="G515" s="7" t="s">
        <v>353</v>
      </c>
      <c r="H515" s="7" t="s">
        <v>378</v>
      </c>
      <c r="I515" s="7" t="s">
        <v>355</v>
      </c>
      <c r="J515" s="14"/>
      <c r="K515" s="14"/>
      <c r="O515" s="22"/>
      <c r="P515" s="22"/>
      <c r="Q515" s="23"/>
      <c r="R515" s="23"/>
      <c r="S515" s="14"/>
    </row>
    <row r="516" ht="18.75" customHeight="1">
      <c r="A516" s="7" t="s">
        <v>396</v>
      </c>
      <c r="B516" s="7" t="s">
        <v>3884</v>
      </c>
      <c r="C516" s="9">
        <v>0.0</v>
      </c>
      <c r="D516" s="9">
        <v>0.0</v>
      </c>
      <c r="E516" s="9">
        <v>0.0</v>
      </c>
      <c r="F516" s="7" t="s">
        <v>397</v>
      </c>
      <c r="G516" s="7" t="s">
        <v>353</v>
      </c>
      <c r="H516" s="7" t="s">
        <v>378</v>
      </c>
      <c r="I516" s="7" t="s">
        <v>355</v>
      </c>
      <c r="J516" s="14"/>
      <c r="K516" s="14"/>
      <c r="O516" s="22"/>
      <c r="P516" s="22"/>
      <c r="Q516" s="23"/>
      <c r="R516" s="23"/>
      <c r="S516" s="14"/>
    </row>
    <row r="517" ht="18.75" customHeight="1">
      <c r="A517" s="7" t="s">
        <v>362</v>
      </c>
      <c r="B517" s="7" t="s">
        <v>3884</v>
      </c>
      <c r="C517" s="9">
        <v>199871.0</v>
      </c>
      <c r="D517" s="9">
        <v>0.0</v>
      </c>
      <c r="E517" s="9">
        <v>429.0</v>
      </c>
      <c r="F517" s="7" t="s">
        <v>363</v>
      </c>
      <c r="G517" s="7" t="s">
        <v>364</v>
      </c>
      <c r="H517" s="7" t="s">
        <v>365</v>
      </c>
      <c r="I517" s="7" t="s">
        <v>355</v>
      </c>
      <c r="J517" s="14"/>
      <c r="K517" s="14"/>
      <c r="O517" s="22"/>
      <c r="P517" s="22"/>
      <c r="Q517" s="23"/>
      <c r="R517" s="23"/>
      <c r="S517" s="14"/>
    </row>
    <row r="518" ht="18.75" customHeight="1">
      <c r="A518" s="7" t="s">
        <v>362</v>
      </c>
      <c r="B518" s="7" t="s">
        <v>3884</v>
      </c>
      <c r="C518" s="9">
        <v>84643.0</v>
      </c>
      <c r="D518" s="9">
        <v>0.0</v>
      </c>
      <c r="E518" s="9">
        <v>82.0</v>
      </c>
      <c r="F518" s="7" t="s">
        <v>363</v>
      </c>
      <c r="G518" s="7" t="s">
        <v>364</v>
      </c>
      <c r="H518" s="7" t="s">
        <v>365</v>
      </c>
      <c r="I518" s="7" t="s">
        <v>355</v>
      </c>
      <c r="J518" s="14"/>
      <c r="K518" s="14"/>
      <c r="O518" s="22"/>
      <c r="P518" s="22"/>
      <c r="Q518" s="23"/>
      <c r="R518" s="23"/>
      <c r="S518" s="14"/>
    </row>
    <row r="519" ht="18.75" customHeight="1">
      <c r="A519" s="7" t="s">
        <v>362</v>
      </c>
      <c r="B519" s="7" t="s">
        <v>3884</v>
      </c>
      <c r="C519" s="9">
        <v>171474.0</v>
      </c>
      <c r="D519" s="9">
        <v>0.0</v>
      </c>
      <c r="E519" s="9">
        <v>340.0</v>
      </c>
      <c r="F519" s="7" t="s">
        <v>363</v>
      </c>
      <c r="G519" s="7" t="s">
        <v>364</v>
      </c>
      <c r="H519" s="7" t="s">
        <v>365</v>
      </c>
      <c r="I519" s="7" t="s">
        <v>355</v>
      </c>
      <c r="J519" s="14"/>
      <c r="K519" s="14"/>
      <c r="O519" s="22"/>
      <c r="P519" s="22"/>
      <c r="Q519" s="23"/>
      <c r="R519" s="23"/>
      <c r="S519" s="14"/>
    </row>
    <row r="520" ht="18.75" customHeight="1">
      <c r="A520" s="7" t="s">
        <v>362</v>
      </c>
      <c r="B520" s="7" t="s">
        <v>3884</v>
      </c>
      <c r="C520" s="9">
        <v>75238.0</v>
      </c>
      <c r="D520" s="9">
        <v>0.0</v>
      </c>
      <c r="E520" s="9">
        <v>73.0</v>
      </c>
      <c r="F520" s="7" t="s">
        <v>363</v>
      </c>
      <c r="G520" s="7" t="s">
        <v>364</v>
      </c>
      <c r="H520" s="7" t="s">
        <v>365</v>
      </c>
      <c r="I520" s="7" t="s">
        <v>355</v>
      </c>
      <c r="J520" s="14"/>
      <c r="K520" s="14"/>
      <c r="O520" s="22"/>
      <c r="P520" s="22"/>
      <c r="Q520" s="23"/>
      <c r="R520" s="23"/>
      <c r="S520" s="14"/>
    </row>
    <row r="521" ht="18.75" customHeight="1">
      <c r="A521" s="7" t="s">
        <v>351</v>
      </c>
      <c r="B521" s="7" t="s">
        <v>3884</v>
      </c>
      <c r="C521" s="9">
        <v>203028.0</v>
      </c>
      <c r="D521" s="9">
        <v>0.0</v>
      </c>
      <c r="E521" s="9">
        <v>525.0</v>
      </c>
      <c r="F521" s="7" t="s">
        <v>352</v>
      </c>
      <c r="G521" s="7" t="s">
        <v>353</v>
      </c>
      <c r="H521" s="7" t="s">
        <v>354</v>
      </c>
      <c r="I521" s="7" t="s">
        <v>410</v>
      </c>
      <c r="J521" s="14"/>
      <c r="K521" s="14"/>
      <c r="O521" s="22"/>
      <c r="P521" s="22"/>
      <c r="Q521" s="23"/>
      <c r="R521" s="23"/>
      <c r="S521" s="14"/>
    </row>
    <row r="522" ht="18.75" customHeight="1">
      <c r="A522" s="7" t="s">
        <v>351</v>
      </c>
      <c r="B522" s="7" t="s">
        <v>3884</v>
      </c>
      <c r="C522" s="9">
        <v>56429.0</v>
      </c>
      <c r="D522" s="9">
        <v>0.0</v>
      </c>
      <c r="E522" s="9">
        <v>200.0</v>
      </c>
      <c r="F522" s="7" t="s">
        <v>352</v>
      </c>
      <c r="G522" s="7" t="s">
        <v>353</v>
      </c>
      <c r="H522" s="7" t="s">
        <v>354</v>
      </c>
      <c r="I522" s="7" t="s">
        <v>410</v>
      </c>
      <c r="J522" s="14"/>
      <c r="K522" s="14"/>
      <c r="O522" s="22"/>
      <c r="P522" s="22"/>
      <c r="Q522" s="23"/>
      <c r="R522" s="23"/>
      <c r="S522" s="14"/>
    </row>
    <row r="523" ht="18.75" customHeight="1">
      <c r="A523" s="7" t="s">
        <v>390</v>
      </c>
      <c r="B523" s="7" t="s">
        <v>3884</v>
      </c>
      <c r="C523" s="9">
        <v>192673.0</v>
      </c>
      <c r="D523" s="9">
        <v>0.0</v>
      </c>
      <c r="E523" s="9">
        <v>235.0</v>
      </c>
      <c r="F523" s="7" t="s">
        <v>391</v>
      </c>
      <c r="G523" s="7" t="s">
        <v>364</v>
      </c>
      <c r="H523" s="7" t="s">
        <v>365</v>
      </c>
      <c r="I523" s="7" t="s">
        <v>355</v>
      </c>
      <c r="J523" s="14"/>
      <c r="K523" s="14"/>
      <c r="O523" s="22"/>
      <c r="P523" s="22"/>
      <c r="Q523" s="23"/>
      <c r="R523" s="23"/>
      <c r="S523" s="14"/>
    </row>
    <row r="524" ht="18.75" customHeight="1">
      <c r="A524" s="7" t="s">
        <v>390</v>
      </c>
      <c r="B524" s="7" t="s">
        <v>3884</v>
      </c>
      <c r="C524" s="9">
        <v>47061.0</v>
      </c>
      <c r="D524" s="9">
        <v>0.0</v>
      </c>
      <c r="E524" s="9">
        <v>34.0</v>
      </c>
      <c r="F524" s="7" t="s">
        <v>391</v>
      </c>
      <c r="G524" s="7" t="s">
        <v>364</v>
      </c>
      <c r="H524" s="7" t="s">
        <v>365</v>
      </c>
      <c r="I524" s="7" t="s">
        <v>355</v>
      </c>
      <c r="J524" s="14"/>
      <c r="K524" s="14"/>
      <c r="O524" s="22"/>
      <c r="P524" s="22"/>
      <c r="Q524" s="23"/>
      <c r="R524" s="23"/>
      <c r="S524" s="14"/>
    </row>
    <row r="525" ht="18.75" customHeight="1">
      <c r="A525" s="7" t="s">
        <v>351</v>
      </c>
      <c r="B525" s="7" t="s">
        <v>3884</v>
      </c>
      <c r="C525" s="9">
        <v>192906.0</v>
      </c>
      <c r="D525" s="9">
        <v>0.0</v>
      </c>
      <c r="E525" s="9">
        <v>519.0</v>
      </c>
      <c r="F525" s="7" t="s">
        <v>352</v>
      </c>
      <c r="G525" s="7" t="s">
        <v>353</v>
      </c>
      <c r="H525" s="7" t="s">
        <v>354</v>
      </c>
      <c r="I525" s="7" t="s">
        <v>410</v>
      </c>
      <c r="J525" s="14"/>
      <c r="K525" s="14"/>
      <c r="O525" s="22"/>
      <c r="P525" s="22"/>
      <c r="Q525" s="23"/>
      <c r="R525" s="23"/>
      <c r="S525" s="14"/>
    </row>
    <row r="526" ht="18.75" customHeight="1">
      <c r="A526" s="7" t="s">
        <v>351</v>
      </c>
      <c r="B526" s="7" t="s">
        <v>3884</v>
      </c>
      <c r="C526" s="9">
        <v>47023.0</v>
      </c>
      <c r="D526" s="9">
        <v>0.0</v>
      </c>
      <c r="E526" s="9">
        <v>211.0</v>
      </c>
      <c r="F526" s="7" t="s">
        <v>352</v>
      </c>
      <c r="G526" s="7" t="s">
        <v>353</v>
      </c>
      <c r="H526" s="7" t="s">
        <v>354</v>
      </c>
      <c r="I526" s="7" t="s">
        <v>410</v>
      </c>
      <c r="J526" s="14"/>
      <c r="K526" s="14"/>
      <c r="O526" s="22"/>
      <c r="P526" s="22"/>
      <c r="Q526" s="23"/>
      <c r="R526" s="23"/>
      <c r="S526" s="14"/>
    </row>
    <row r="527" ht="18.75" customHeight="1">
      <c r="A527" s="7" t="s">
        <v>390</v>
      </c>
      <c r="B527" s="7" t="s">
        <v>3884</v>
      </c>
      <c r="C527" s="9">
        <v>214341.0</v>
      </c>
      <c r="D527" s="9">
        <v>0.0</v>
      </c>
      <c r="E527" s="9">
        <v>449.0</v>
      </c>
      <c r="F527" s="7" t="s">
        <v>391</v>
      </c>
      <c r="G527" s="7" t="s">
        <v>364</v>
      </c>
      <c r="H527" s="7" t="s">
        <v>365</v>
      </c>
      <c r="I527" s="7" t="s">
        <v>355</v>
      </c>
      <c r="J527" s="14"/>
      <c r="K527" s="14"/>
      <c r="O527" s="22"/>
      <c r="P527" s="22"/>
      <c r="Q527" s="23"/>
      <c r="R527" s="23"/>
      <c r="S527" s="14"/>
    </row>
    <row r="528" ht="18.75" customHeight="1">
      <c r="A528" s="7" t="s">
        <v>390</v>
      </c>
      <c r="B528" s="7" t="s">
        <v>3884</v>
      </c>
      <c r="C528" s="9">
        <v>84643.0</v>
      </c>
      <c r="D528" s="9">
        <v>0.0</v>
      </c>
      <c r="E528" s="9">
        <v>106.0</v>
      </c>
      <c r="F528" s="7" t="s">
        <v>391</v>
      </c>
      <c r="G528" s="7" t="s">
        <v>364</v>
      </c>
      <c r="H528" s="7" t="s">
        <v>365</v>
      </c>
      <c r="I528" s="7" t="s">
        <v>355</v>
      </c>
      <c r="J528" s="14"/>
      <c r="K528" s="14"/>
      <c r="O528" s="22"/>
      <c r="P528" s="22"/>
      <c r="Q528" s="23"/>
      <c r="R528" s="23"/>
      <c r="S528" s="14"/>
    </row>
    <row r="529" ht="18.75" customHeight="1">
      <c r="A529" s="7" t="s">
        <v>402</v>
      </c>
      <c r="B529" s="7" t="s">
        <v>3884</v>
      </c>
      <c r="C529" s="9">
        <v>42868.0</v>
      </c>
      <c r="D529" s="9">
        <v>0.0</v>
      </c>
      <c r="E529" s="9">
        <v>89.0</v>
      </c>
      <c r="F529" s="7" t="s">
        <v>403</v>
      </c>
      <c r="G529" s="7" t="s">
        <v>404</v>
      </c>
      <c r="H529" s="7" t="s">
        <v>405</v>
      </c>
      <c r="I529" s="7" t="s">
        <v>355</v>
      </c>
      <c r="J529" s="14"/>
      <c r="K529" s="14"/>
      <c r="O529" s="22"/>
      <c r="P529" s="22"/>
      <c r="Q529" s="23"/>
      <c r="R529" s="23"/>
      <c r="S529" s="14"/>
    </row>
    <row r="530" ht="18.75" customHeight="1">
      <c r="A530" s="7" t="s">
        <v>402</v>
      </c>
      <c r="B530" s="7" t="s">
        <v>3884</v>
      </c>
      <c r="C530" s="9">
        <v>18822.0</v>
      </c>
      <c r="D530" s="9">
        <v>0.0</v>
      </c>
      <c r="E530" s="9">
        <v>31.0</v>
      </c>
      <c r="F530" s="7" t="s">
        <v>403</v>
      </c>
      <c r="G530" s="7" t="s">
        <v>404</v>
      </c>
      <c r="H530" s="7" t="s">
        <v>405</v>
      </c>
      <c r="I530" s="7" t="s">
        <v>355</v>
      </c>
      <c r="J530" s="14"/>
      <c r="K530" s="14"/>
      <c r="O530" s="22"/>
      <c r="P530" s="22"/>
      <c r="Q530" s="23"/>
      <c r="R530" s="23"/>
      <c r="S530" s="14"/>
    </row>
    <row r="531" ht="18.75" customHeight="1">
      <c r="A531" s="7" t="s">
        <v>388</v>
      </c>
      <c r="B531" s="7" t="s">
        <v>3884</v>
      </c>
      <c r="C531" s="9">
        <v>214339.0</v>
      </c>
      <c r="D531" s="9">
        <v>0.0</v>
      </c>
      <c r="E531" s="9">
        <v>388.0</v>
      </c>
      <c r="F531" s="7" t="s">
        <v>389</v>
      </c>
      <c r="G531" s="7" t="s">
        <v>353</v>
      </c>
      <c r="H531" s="7" t="s">
        <v>378</v>
      </c>
      <c r="I531" s="7" t="s">
        <v>355</v>
      </c>
      <c r="J531" s="14"/>
      <c r="K531" s="14"/>
      <c r="O531" s="22"/>
      <c r="P531" s="22"/>
      <c r="Q531" s="23"/>
      <c r="R531" s="23"/>
      <c r="S531" s="14"/>
    </row>
    <row r="532" ht="18.75" customHeight="1">
      <c r="A532" s="7" t="s">
        <v>388</v>
      </c>
      <c r="B532" s="7" t="s">
        <v>3884</v>
      </c>
      <c r="C532" s="9">
        <v>84646.0</v>
      </c>
      <c r="D532" s="9">
        <v>0.0</v>
      </c>
      <c r="E532" s="9">
        <v>89.0</v>
      </c>
      <c r="F532" s="7" t="s">
        <v>389</v>
      </c>
      <c r="G532" s="7" t="s">
        <v>353</v>
      </c>
      <c r="H532" s="7" t="s">
        <v>378</v>
      </c>
      <c r="I532" s="7" t="s">
        <v>355</v>
      </c>
      <c r="J532" s="14"/>
      <c r="K532" s="14"/>
      <c r="O532" s="22"/>
      <c r="P532" s="22"/>
      <c r="Q532" s="23"/>
      <c r="R532" s="23"/>
      <c r="S532" s="14"/>
    </row>
    <row r="533" ht="18.75" customHeight="1">
      <c r="A533" s="7" t="s">
        <v>394</v>
      </c>
      <c r="B533" s="7" t="s">
        <v>3884</v>
      </c>
      <c r="C533" s="9">
        <v>192914.0</v>
      </c>
      <c r="D533" s="9">
        <v>0.0</v>
      </c>
      <c r="E533" s="9">
        <v>438.0</v>
      </c>
      <c r="F533" s="7" t="s">
        <v>395</v>
      </c>
      <c r="G533" s="7" t="s">
        <v>353</v>
      </c>
      <c r="H533" s="7" t="s">
        <v>378</v>
      </c>
      <c r="I533" s="7" t="s">
        <v>355</v>
      </c>
      <c r="J533" s="14"/>
      <c r="K533" s="14"/>
      <c r="O533" s="22"/>
      <c r="P533" s="22"/>
      <c r="Q533" s="23"/>
      <c r="R533" s="23"/>
      <c r="S533" s="14"/>
    </row>
    <row r="534" ht="18.75" customHeight="1">
      <c r="A534" s="7" t="s">
        <v>394</v>
      </c>
      <c r="B534" s="7" t="s">
        <v>3884</v>
      </c>
      <c r="C534" s="9">
        <v>84662.0</v>
      </c>
      <c r="D534" s="9">
        <v>0.0</v>
      </c>
      <c r="E534" s="9">
        <v>114.0</v>
      </c>
      <c r="F534" s="7" t="s">
        <v>395</v>
      </c>
      <c r="G534" s="7" t="s">
        <v>353</v>
      </c>
      <c r="H534" s="7" t="s">
        <v>378</v>
      </c>
      <c r="I534" s="7" t="s">
        <v>355</v>
      </c>
      <c r="J534" s="14"/>
      <c r="K534" s="14"/>
      <c r="O534" s="22"/>
      <c r="P534" s="22"/>
      <c r="Q534" s="23"/>
      <c r="R534" s="23"/>
      <c r="S534" s="14"/>
    </row>
    <row r="535" ht="18.75" customHeight="1">
      <c r="A535" s="7" t="s">
        <v>446</v>
      </c>
      <c r="B535" s="7" t="s">
        <v>3875</v>
      </c>
      <c r="C535" s="9">
        <v>159546.0</v>
      </c>
      <c r="D535" s="9">
        <v>0.0</v>
      </c>
      <c r="E535" s="9">
        <v>23.0</v>
      </c>
      <c r="F535" s="7" t="s">
        <v>447</v>
      </c>
      <c r="G535" s="7" t="s">
        <v>364</v>
      </c>
      <c r="H535" s="7" t="s">
        <v>365</v>
      </c>
      <c r="I535" s="7" t="s">
        <v>355</v>
      </c>
      <c r="J535" s="14"/>
      <c r="K535" s="14"/>
      <c r="O535" s="22"/>
      <c r="P535" s="22"/>
      <c r="Q535" s="23"/>
      <c r="R535" s="23"/>
      <c r="S535" s="14"/>
    </row>
    <row r="536" ht="18.75" customHeight="1">
      <c r="A536" s="7" t="s">
        <v>392</v>
      </c>
      <c r="B536" s="7" t="s">
        <v>3875</v>
      </c>
      <c r="C536" s="9">
        <v>1668838.0</v>
      </c>
      <c r="D536" s="9">
        <v>72578.0</v>
      </c>
      <c r="E536" s="9">
        <v>1516.0</v>
      </c>
      <c r="F536" s="7" t="s">
        <v>393</v>
      </c>
      <c r="G536" s="7" t="s">
        <v>353</v>
      </c>
      <c r="H536" s="7" t="s">
        <v>378</v>
      </c>
      <c r="I536" s="7" t="s">
        <v>355</v>
      </c>
      <c r="J536" s="14"/>
      <c r="K536" s="14"/>
      <c r="O536" s="22"/>
      <c r="P536" s="22"/>
      <c r="Q536" s="23"/>
      <c r="R536" s="23"/>
      <c r="S536" s="14"/>
    </row>
    <row r="537" ht="18.75" customHeight="1">
      <c r="A537" s="7" t="s">
        <v>392</v>
      </c>
      <c r="B537" s="7" t="s">
        <v>3875</v>
      </c>
      <c r="C537" s="9">
        <v>663887.0</v>
      </c>
      <c r="D537" s="9">
        <v>0.0</v>
      </c>
      <c r="E537" s="9">
        <v>3635.0</v>
      </c>
      <c r="F537" s="7" t="s">
        <v>393</v>
      </c>
      <c r="G537" s="7" t="s">
        <v>353</v>
      </c>
      <c r="H537" s="7" t="s">
        <v>378</v>
      </c>
      <c r="I537" s="7" t="s">
        <v>355</v>
      </c>
      <c r="J537" s="14"/>
      <c r="K537" s="14"/>
      <c r="O537" s="22"/>
      <c r="P537" s="22"/>
      <c r="Q537" s="23"/>
      <c r="R537" s="23"/>
      <c r="S537" s="14"/>
    </row>
    <row r="538" ht="18.75" customHeight="1">
      <c r="A538" s="7" t="s">
        <v>392</v>
      </c>
      <c r="B538" s="7" t="s">
        <v>3875</v>
      </c>
      <c r="C538" s="9">
        <v>1289218.0</v>
      </c>
      <c r="D538" s="9">
        <v>0.0</v>
      </c>
      <c r="E538" s="9">
        <v>1944.0</v>
      </c>
      <c r="F538" s="7" t="s">
        <v>393</v>
      </c>
      <c r="G538" s="7" t="s">
        <v>353</v>
      </c>
      <c r="H538" s="7" t="s">
        <v>378</v>
      </c>
      <c r="I538" s="7" t="s">
        <v>355</v>
      </c>
      <c r="J538" s="14"/>
      <c r="K538" s="14"/>
      <c r="O538" s="22"/>
      <c r="P538" s="22"/>
      <c r="Q538" s="23"/>
      <c r="R538" s="23"/>
      <c r="S538" s="14"/>
    </row>
    <row r="539" ht="18.75" customHeight="1">
      <c r="A539" s="7" t="s">
        <v>394</v>
      </c>
      <c r="B539" s="7" t="s">
        <v>3875</v>
      </c>
      <c r="C539" s="9">
        <v>1797510.0</v>
      </c>
      <c r="D539" s="9">
        <v>40264.0</v>
      </c>
      <c r="E539" s="9">
        <v>1610.0</v>
      </c>
      <c r="F539" s="7" t="s">
        <v>395</v>
      </c>
      <c r="G539" s="7" t="s">
        <v>353</v>
      </c>
      <c r="H539" s="7" t="s">
        <v>378</v>
      </c>
      <c r="I539" s="7" t="s">
        <v>355</v>
      </c>
      <c r="J539" s="14"/>
      <c r="K539" s="14"/>
      <c r="O539" s="22"/>
      <c r="P539" s="22"/>
      <c r="Q539" s="23"/>
      <c r="R539" s="23"/>
      <c r="S539" s="14"/>
    </row>
    <row r="540" ht="18.75" customHeight="1">
      <c r="A540" s="7" t="s">
        <v>394</v>
      </c>
      <c r="B540" s="7" t="s">
        <v>3875</v>
      </c>
      <c r="C540" s="9">
        <v>822987.0</v>
      </c>
      <c r="D540" s="9">
        <v>83092.0</v>
      </c>
      <c r="E540" s="9">
        <v>2980.0</v>
      </c>
      <c r="F540" s="7" t="s">
        <v>395</v>
      </c>
      <c r="G540" s="7" t="s">
        <v>353</v>
      </c>
      <c r="H540" s="7" t="s">
        <v>378</v>
      </c>
      <c r="I540" s="7" t="s">
        <v>355</v>
      </c>
      <c r="J540" s="14"/>
      <c r="K540" s="14"/>
      <c r="O540" s="22"/>
      <c r="P540" s="22"/>
      <c r="Q540" s="23"/>
      <c r="R540" s="23"/>
      <c r="S540" s="14"/>
    </row>
    <row r="541" ht="18.75" customHeight="1">
      <c r="A541" s="7" t="s">
        <v>411</v>
      </c>
      <c r="B541" s="7" t="s">
        <v>3875</v>
      </c>
      <c r="C541" s="9">
        <v>536947.0</v>
      </c>
      <c r="D541" s="9">
        <v>12729.0</v>
      </c>
      <c r="E541" s="9">
        <v>552.0</v>
      </c>
      <c r="F541" s="7" t="s">
        <v>412</v>
      </c>
      <c r="G541" s="7" t="s">
        <v>353</v>
      </c>
      <c r="H541" s="7" t="s">
        <v>413</v>
      </c>
      <c r="I541" s="7" t="s">
        <v>355</v>
      </c>
      <c r="J541" s="14"/>
      <c r="K541" s="14"/>
      <c r="O541" s="22"/>
      <c r="P541" s="22"/>
      <c r="Q541" s="23"/>
      <c r="R541" s="23"/>
      <c r="S541" s="14"/>
    </row>
    <row r="542" ht="18.75" customHeight="1">
      <c r="A542" s="7" t="s">
        <v>385</v>
      </c>
      <c r="B542" s="7" t="s">
        <v>3875</v>
      </c>
      <c r="C542" s="9">
        <v>223890.0</v>
      </c>
      <c r="D542" s="9">
        <v>0.0</v>
      </c>
      <c r="E542" s="9">
        <v>583.0</v>
      </c>
      <c r="F542" s="7" t="s">
        <v>386</v>
      </c>
      <c r="G542" s="7" t="s">
        <v>358</v>
      </c>
      <c r="H542" s="7" t="s">
        <v>387</v>
      </c>
      <c r="I542" s="7" t="s">
        <v>355</v>
      </c>
      <c r="J542" s="14"/>
      <c r="K542" s="14"/>
      <c r="O542" s="22"/>
      <c r="P542" s="22"/>
      <c r="Q542" s="23"/>
      <c r="R542" s="23"/>
      <c r="S542" s="14"/>
    </row>
    <row r="543" ht="18.75" customHeight="1">
      <c r="A543" s="7" t="s">
        <v>385</v>
      </c>
      <c r="B543" s="7" t="s">
        <v>3875</v>
      </c>
      <c r="C543" s="9">
        <v>184790.0</v>
      </c>
      <c r="D543" s="9">
        <v>0.0</v>
      </c>
      <c r="E543" s="9">
        <v>770.0</v>
      </c>
      <c r="F543" s="7" t="s">
        <v>386</v>
      </c>
      <c r="G543" s="7" t="s">
        <v>358</v>
      </c>
      <c r="H543" s="7" t="s">
        <v>387</v>
      </c>
      <c r="I543" s="7" t="s">
        <v>355</v>
      </c>
      <c r="J543" s="14"/>
      <c r="K543" s="14"/>
      <c r="O543" s="22"/>
      <c r="P543" s="22"/>
      <c r="Q543" s="23"/>
      <c r="R543" s="23"/>
      <c r="S543" s="14"/>
    </row>
    <row r="544" ht="18.75" customHeight="1">
      <c r="A544" s="7" t="s">
        <v>379</v>
      </c>
      <c r="B544" s="7" t="s">
        <v>3875</v>
      </c>
      <c r="C544" s="9">
        <v>982339.0</v>
      </c>
      <c r="D544" s="9">
        <v>0.0</v>
      </c>
      <c r="E544" s="9">
        <v>1746.0</v>
      </c>
      <c r="F544" s="7" t="s">
        <v>380</v>
      </c>
      <c r="G544" s="7" t="s">
        <v>353</v>
      </c>
      <c r="H544" s="7" t="s">
        <v>354</v>
      </c>
      <c r="I544" s="7" t="s">
        <v>355</v>
      </c>
      <c r="J544" s="14"/>
      <c r="K544" s="14"/>
      <c r="O544" s="22"/>
      <c r="P544" s="22"/>
      <c r="Q544" s="23"/>
      <c r="R544" s="23"/>
      <c r="S544" s="14"/>
    </row>
    <row r="545" ht="18.75" customHeight="1">
      <c r="A545" s="7" t="s">
        <v>379</v>
      </c>
      <c r="B545" s="7" t="s">
        <v>3875</v>
      </c>
      <c r="C545" s="9">
        <v>640613.0</v>
      </c>
      <c r="D545" s="9">
        <v>0.0</v>
      </c>
      <c r="E545" s="9">
        <v>16924.0</v>
      </c>
      <c r="F545" s="7" t="s">
        <v>380</v>
      </c>
      <c r="G545" s="7" t="s">
        <v>353</v>
      </c>
      <c r="H545" s="7" t="s">
        <v>354</v>
      </c>
      <c r="I545" s="7" t="s">
        <v>355</v>
      </c>
      <c r="J545" s="14"/>
      <c r="K545" s="14"/>
      <c r="O545" s="22"/>
      <c r="P545" s="22"/>
      <c r="Q545" s="23"/>
      <c r="R545" s="23"/>
      <c r="S545" s="14"/>
    </row>
    <row r="546" ht="18.75" customHeight="1">
      <c r="A546" s="7" t="s">
        <v>396</v>
      </c>
      <c r="B546" s="7" t="s">
        <v>3875</v>
      </c>
      <c r="C546" s="9">
        <v>354049.0</v>
      </c>
      <c r="D546" s="9">
        <v>0.0</v>
      </c>
      <c r="E546" s="9">
        <v>1340.0</v>
      </c>
      <c r="F546" s="7" t="s">
        <v>397</v>
      </c>
      <c r="G546" s="7" t="s">
        <v>353</v>
      </c>
      <c r="H546" s="7" t="s">
        <v>378</v>
      </c>
      <c r="I546" s="7" t="s">
        <v>355</v>
      </c>
      <c r="J546" s="14"/>
      <c r="K546" s="14"/>
      <c r="O546" s="22"/>
      <c r="P546" s="22"/>
      <c r="Q546" s="23"/>
      <c r="R546" s="23"/>
      <c r="S546" s="14"/>
    </row>
    <row r="547" ht="18.75" customHeight="1">
      <c r="A547" s="7" t="s">
        <v>396</v>
      </c>
      <c r="B547" s="7" t="s">
        <v>3875</v>
      </c>
      <c r="C547" s="9">
        <v>1037028.0</v>
      </c>
      <c r="D547" s="9">
        <v>0.0</v>
      </c>
      <c r="E547" s="9">
        <v>2367.0</v>
      </c>
      <c r="F547" s="7" t="s">
        <v>397</v>
      </c>
      <c r="G547" s="7" t="s">
        <v>353</v>
      </c>
      <c r="H547" s="7" t="s">
        <v>378</v>
      </c>
      <c r="I547" s="7" t="s">
        <v>355</v>
      </c>
      <c r="J547" s="14"/>
      <c r="K547" s="14"/>
      <c r="O547" s="22"/>
      <c r="P547" s="22"/>
      <c r="Q547" s="23"/>
      <c r="R547" s="23"/>
      <c r="S547" s="14"/>
    </row>
    <row r="548" ht="18.75" customHeight="1">
      <c r="A548" s="7" t="s">
        <v>396</v>
      </c>
      <c r="B548" s="7" t="s">
        <v>3875</v>
      </c>
      <c r="C548" s="9">
        <v>234128.0</v>
      </c>
      <c r="D548" s="9">
        <v>0.0</v>
      </c>
      <c r="E548" s="9">
        <v>1966.0</v>
      </c>
      <c r="F548" s="7" t="s">
        <v>397</v>
      </c>
      <c r="G548" s="7" t="s">
        <v>353</v>
      </c>
      <c r="H548" s="7" t="s">
        <v>378</v>
      </c>
      <c r="I548" s="7" t="s">
        <v>355</v>
      </c>
      <c r="J548" s="14"/>
      <c r="K548" s="14"/>
      <c r="O548" s="22"/>
      <c r="P548" s="22"/>
      <c r="Q548" s="23"/>
      <c r="R548" s="23"/>
      <c r="S548" s="14"/>
    </row>
    <row r="549" ht="18.75" customHeight="1">
      <c r="A549" s="7" t="s">
        <v>396</v>
      </c>
      <c r="B549" s="7" t="s">
        <v>3875</v>
      </c>
      <c r="C549" s="9">
        <v>43932.0</v>
      </c>
      <c r="D549" s="9">
        <v>0.0</v>
      </c>
      <c r="E549" s="9">
        <v>1146.0</v>
      </c>
      <c r="F549" s="7" t="s">
        <v>397</v>
      </c>
      <c r="G549" s="7" t="s">
        <v>353</v>
      </c>
      <c r="H549" s="7" t="s">
        <v>378</v>
      </c>
      <c r="I549" s="7" t="s">
        <v>355</v>
      </c>
      <c r="J549" s="14"/>
      <c r="K549" s="14"/>
      <c r="O549" s="22"/>
      <c r="P549" s="22"/>
      <c r="Q549" s="23"/>
      <c r="R549" s="23"/>
      <c r="S549" s="14"/>
    </row>
    <row r="550" ht="18.75" customHeight="1">
      <c r="A550" s="7" t="s">
        <v>396</v>
      </c>
      <c r="B550" s="7" t="s">
        <v>3875</v>
      </c>
      <c r="C550" s="9">
        <v>14003.0</v>
      </c>
      <c r="D550" s="9">
        <v>0.0</v>
      </c>
      <c r="E550" s="9">
        <v>1043.0</v>
      </c>
      <c r="F550" s="7" t="s">
        <v>397</v>
      </c>
      <c r="G550" s="7" t="s">
        <v>353</v>
      </c>
      <c r="H550" s="7" t="s">
        <v>378</v>
      </c>
      <c r="I550" s="7" t="s">
        <v>355</v>
      </c>
      <c r="J550" s="14"/>
      <c r="K550" s="14"/>
      <c r="O550" s="22"/>
      <c r="P550" s="22"/>
      <c r="Q550" s="23"/>
      <c r="R550" s="23"/>
      <c r="S550" s="14"/>
    </row>
    <row r="551" ht="18.75" customHeight="1">
      <c r="A551" s="7" t="s">
        <v>388</v>
      </c>
      <c r="B551" s="7" t="s">
        <v>3875</v>
      </c>
      <c r="C551" s="9">
        <v>2378664.0</v>
      </c>
      <c r="D551" s="9">
        <v>17771.0</v>
      </c>
      <c r="E551" s="9">
        <v>2349.0</v>
      </c>
      <c r="F551" s="7" t="s">
        <v>389</v>
      </c>
      <c r="G551" s="7" t="s">
        <v>353</v>
      </c>
      <c r="H551" s="7" t="s">
        <v>378</v>
      </c>
      <c r="I551" s="7" t="s">
        <v>355</v>
      </c>
      <c r="J551" s="14"/>
      <c r="K551" s="14"/>
      <c r="O551" s="22"/>
      <c r="P551" s="22"/>
      <c r="Q551" s="23"/>
      <c r="R551" s="23"/>
      <c r="S551" s="14"/>
    </row>
    <row r="552" ht="18.75" customHeight="1">
      <c r="A552" s="7" t="s">
        <v>388</v>
      </c>
      <c r="B552" s="7" t="s">
        <v>3875</v>
      </c>
      <c r="C552" s="9">
        <v>1518910.0</v>
      </c>
      <c r="D552" s="9">
        <v>50855.0</v>
      </c>
      <c r="E552" s="9">
        <v>1687.0</v>
      </c>
      <c r="F552" s="7" t="s">
        <v>389</v>
      </c>
      <c r="G552" s="7" t="s">
        <v>353</v>
      </c>
      <c r="H552" s="7" t="s">
        <v>378</v>
      </c>
      <c r="I552" s="7" t="s">
        <v>355</v>
      </c>
      <c r="J552" s="14"/>
      <c r="K552" s="14"/>
      <c r="O552" s="22"/>
      <c r="P552" s="22"/>
      <c r="Q552" s="23"/>
      <c r="R552" s="23"/>
      <c r="S552" s="14"/>
    </row>
    <row r="553" ht="18.75" customHeight="1">
      <c r="A553" s="7" t="s">
        <v>390</v>
      </c>
      <c r="B553" s="7" t="s">
        <v>3875</v>
      </c>
      <c r="C553" s="9">
        <v>685302.0</v>
      </c>
      <c r="D553" s="9">
        <v>12941.0</v>
      </c>
      <c r="E553" s="9">
        <v>639.0</v>
      </c>
      <c r="F553" s="7" t="s">
        <v>391</v>
      </c>
      <c r="G553" s="7" t="s">
        <v>364</v>
      </c>
      <c r="H553" s="7" t="s">
        <v>365</v>
      </c>
      <c r="I553" s="7" t="s">
        <v>355</v>
      </c>
      <c r="J553" s="14"/>
      <c r="K553" s="14"/>
      <c r="O553" s="22"/>
      <c r="P553" s="22"/>
      <c r="Q553" s="23"/>
      <c r="R553" s="23"/>
      <c r="S553" s="14"/>
    </row>
    <row r="554" ht="18.75" customHeight="1">
      <c r="A554" s="7" t="s">
        <v>390</v>
      </c>
      <c r="B554" s="7" t="s">
        <v>3875</v>
      </c>
      <c r="C554" s="9">
        <v>707484.0</v>
      </c>
      <c r="D554" s="9">
        <v>9670.0</v>
      </c>
      <c r="E554" s="9">
        <v>674.0</v>
      </c>
      <c r="F554" s="7" t="s">
        <v>391</v>
      </c>
      <c r="G554" s="7" t="s">
        <v>364</v>
      </c>
      <c r="H554" s="7" t="s">
        <v>365</v>
      </c>
      <c r="I554" s="7" t="s">
        <v>355</v>
      </c>
      <c r="J554" s="14"/>
      <c r="K554" s="14"/>
      <c r="O554" s="22"/>
      <c r="P554" s="22"/>
      <c r="Q554" s="23"/>
      <c r="R554" s="23"/>
      <c r="S554" s="14"/>
    </row>
    <row r="555" ht="18.75" customHeight="1">
      <c r="A555" s="7" t="s">
        <v>390</v>
      </c>
      <c r="B555" s="7" t="s">
        <v>3875</v>
      </c>
      <c r="C555" s="9">
        <v>704173.0</v>
      </c>
      <c r="D555" s="9">
        <v>31379.0</v>
      </c>
      <c r="E555" s="9">
        <v>746.0</v>
      </c>
      <c r="F555" s="7" t="s">
        <v>391</v>
      </c>
      <c r="G555" s="7" t="s">
        <v>364</v>
      </c>
      <c r="H555" s="7" t="s">
        <v>365</v>
      </c>
      <c r="I555" s="7" t="s">
        <v>355</v>
      </c>
      <c r="J555" s="14"/>
      <c r="K555" s="14"/>
      <c r="O555" s="22"/>
      <c r="P555" s="22"/>
      <c r="Q555" s="23"/>
      <c r="R555" s="23"/>
      <c r="S555" s="14"/>
    </row>
    <row r="556" ht="18.75" customHeight="1">
      <c r="A556" s="7" t="s">
        <v>390</v>
      </c>
      <c r="B556" s="7" t="s">
        <v>3875</v>
      </c>
      <c r="C556" s="9">
        <v>687860.0</v>
      </c>
      <c r="D556" s="9">
        <v>11915.0</v>
      </c>
      <c r="E556" s="9">
        <v>693.0</v>
      </c>
      <c r="F556" s="7" t="s">
        <v>391</v>
      </c>
      <c r="G556" s="7" t="s">
        <v>364</v>
      </c>
      <c r="H556" s="7" t="s">
        <v>365</v>
      </c>
      <c r="I556" s="7" t="s">
        <v>355</v>
      </c>
      <c r="J556" s="14"/>
      <c r="K556" s="14"/>
      <c r="O556" s="22"/>
      <c r="P556" s="22"/>
      <c r="Q556" s="23"/>
      <c r="R556" s="23"/>
      <c r="S556" s="14"/>
    </row>
    <row r="557" ht="18.75" customHeight="1">
      <c r="A557" s="7" t="s">
        <v>390</v>
      </c>
      <c r="B557" s="7" t="s">
        <v>3875</v>
      </c>
      <c r="C557" s="9">
        <v>121861.0</v>
      </c>
      <c r="D557" s="9">
        <v>0.0</v>
      </c>
      <c r="E557" s="9">
        <v>245.0</v>
      </c>
      <c r="F557" s="7" t="s">
        <v>391</v>
      </c>
      <c r="G557" s="7" t="s">
        <v>364</v>
      </c>
      <c r="H557" s="7" t="s">
        <v>365</v>
      </c>
      <c r="I557" s="7" t="s">
        <v>355</v>
      </c>
      <c r="J557" s="14"/>
      <c r="K557" s="14"/>
      <c r="O557" s="22"/>
      <c r="P557" s="22"/>
      <c r="Q557" s="23"/>
      <c r="R557" s="23"/>
      <c r="S557" s="14"/>
    </row>
    <row r="558" ht="18.75" customHeight="1">
      <c r="A558" s="7" t="s">
        <v>390</v>
      </c>
      <c r="B558" s="7" t="s">
        <v>3875</v>
      </c>
      <c r="C558" s="9">
        <v>134972.0</v>
      </c>
      <c r="D558" s="9">
        <v>0.0</v>
      </c>
      <c r="E558" s="9">
        <v>242.0</v>
      </c>
      <c r="F558" s="7" t="s">
        <v>391</v>
      </c>
      <c r="G558" s="7" t="s">
        <v>364</v>
      </c>
      <c r="H558" s="7" t="s">
        <v>365</v>
      </c>
      <c r="I558" s="7" t="s">
        <v>355</v>
      </c>
      <c r="J558" s="14"/>
      <c r="K558" s="14"/>
      <c r="O558" s="22"/>
      <c r="P558" s="22"/>
      <c r="Q558" s="23"/>
      <c r="R558" s="23"/>
      <c r="S558" s="14"/>
    </row>
    <row r="559" ht="18.75" customHeight="1">
      <c r="A559" s="7" t="s">
        <v>390</v>
      </c>
      <c r="B559" s="7" t="s">
        <v>3875</v>
      </c>
      <c r="C559" s="9">
        <v>110306.0</v>
      </c>
      <c r="D559" s="9">
        <v>0.0</v>
      </c>
      <c r="E559" s="9">
        <v>217.0</v>
      </c>
      <c r="F559" s="7" t="s">
        <v>391</v>
      </c>
      <c r="G559" s="7" t="s">
        <v>364</v>
      </c>
      <c r="H559" s="7" t="s">
        <v>365</v>
      </c>
      <c r="I559" s="7" t="s">
        <v>355</v>
      </c>
      <c r="J559" s="14"/>
      <c r="K559" s="14"/>
      <c r="O559" s="22"/>
      <c r="P559" s="22"/>
      <c r="Q559" s="23"/>
      <c r="R559" s="23"/>
      <c r="S559" s="14"/>
    </row>
    <row r="560" ht="18.75" customHeight="1">
      <c r="A560" s="7" t="s">
        <v>390</v>
      </c>
      <c r="B560" s="7" t="s">
        <v>3875</v>
      </c>
      <c r="C560" s="9">
        <v>143391.0</v>
      </c>
      <c r="D560" s="9">
        <v>0.0</v>
      </c>
      <c r="E560" s="9">
        <v>286.0</v>
      </c>
      <c r="F560" s="7" t="s">
        <v>391</v>
      </c>
      <c r="G560" s="7" t="s">
        <v>364</v>
      </c>
      <c r="H560" s="7" t="s">
        <v>365</v>
      </c>
      <c r="I560" s="7" t="s">
        <v>355</v>
      </c>
      <c r="J560" s="14"/>
      <c r="K560" s="14"/>
      <c r="O560" s="22"/>
      <c r="P560" s="22"/>
      <c r="Q560" s="23"/>
      <c r="R560" s="23"/>
      <c r="S560" s="14"/>
    </row>
    <row r="561" ht="18.75" customHeight="1">
      <c r="A561" s="7" t="s">
        <v>390</v>
      </c>
      <c r="B561" s="7" t="s">
        <v>3875</v>
      </c>
      <c r="C561" s="9">
        <v>16537.0</v>
      </c>
      <c r="D561" s="9">
        <v>0.0</v>
      </c>
      <c r="E561" s="9">
        <v>50.0</v>
      </c>
      <c r="F561" s="7" t="s">
        <v>391</v>
      </c>
      <c r="G561" s="7" t="s">
        <v>364</v>
      </c>
      <c r="H561" s="7" t="s">
        <v>365</v>
      </c>
      <c r="I561" s="7" t="s">
        <v>355</v>
      </c>
      <c r="J561" s="14"/>
      <c r="K561" s="14"/>
      <c r="O561" s="22"/>
      <c r="P561" s="22"/>
      <c r="Q561" s="23"/>
      <c r="R561" s="23"/>
      <c r="S561" s="14"/>
    </row>
    <row r="562" ht="18.75" customHeight="1">
      <c r="A562" s="7" t="s">
        <v>390</v>
      </c>
      <c r="B562" s="7" t="s">
        <v>3875</v>
      </c>
      <c r="C562" s="9">
        <v>537292.0</v>
      </c>
      <c r="D562" s="9">
        <v>0.0</v>
      </c>
      <c r="E562" s="9">
        <v>563.0</v>
      </c>
      <c r="F562" s="7" t="s">
        <v>391</v>
      </c>
      <c r="G562" s="7" t="s">
        <v>364</v>
      </c>
      <c r="H562" s="7" t="s">
        <v>365</v>
      </c>
      <c r="I562" s="7" t="s">
        <v>355</v>
      </c>
      <c r="J562" s="14"/>
      <c r="K562" s="14"/>
      <c r="O562" s="22"/>
      <c r="P562" s="22"/>
      <c r="Q562" s="23"/>
      <c r="R562" s="23"/>
      <c r="S562" s="14"/>
    </row>
    <row r="563" ht="18.75" customHeight="1">
      <c r="A563" s="7" t="s">
        <v>390</v>
      </c>
      <c r="B563" s="7" t="s">
        <v>3875</v>
      </c>
      <c r="C563" s="9">
        <v>541274.0</v>
      </c>
      <c r="D563" s="9">
        <v>0.0</v>
      </c>
      <c r="E563" s="9">
        <v>508.0</v>
      </c>
      <c r="F563" s="7" t="s">
        <v>391</v>
      </c>
      <c r="G563" s="7" t="s">
        <v>364</v>
      </c>
      <c r="H563" s="7" t="s">
        <v>365</v>
      </c>
      <c r="I563" s="7" t="s">
        <v>355</v>
      </c>
      <c r="J563" s="14"/>
      <c r="K563" s="14"/>
      <c r="O563" s="22"/>
      <c r="P563" s="22"/>
      <c r="Q563" s="23"/>
      <c r="R563" s="23"/>
      <c r="S563" s="14"/>
    </row>
    <row r="564" ht="18.75" customHeight="1">
      <c r="A564" s="7" t="s">
        <v>390</v>
      </c>
      <c r="B564" s="7" t="s">
        <v>3875</v>
      </c>
      <c r="C564" s="9">
        <v>517203.0</v>
      </c>
      <c r="D564" s="9">
        <v>0.0</v>
      </c>
      <c r="E564" s="9">
        <v>569.0</v>
      </c>
      <c r="F564" s="7" t="s">
        <v>391</v>
      </c>
      <c r="G564" s="7" t="s">
        <v>364</v>
      </c>
      <c r="H564" s="7" t="s">
        <v>365</v>
      </c>
      <c r="I564" s="7" t="s">
        <v>355</v>
      </c>
      <c r="J564" s="14"/>
      <c r="K564" s="14"/>
      <c r="O564" s="22"/>
      <c r="P564" s="22"/>
      <c r="Q564" s="23"/>
      <c r="R564" s="23"/>
      <c r="S564" s="14"/>
    </row>
    <row r="565" ht="18.75" customHeight="1">
      <c r="A565" s="7" t="s">
        <v>390</v>
      </c>
      <c r="B565" s="7" t="s">
        <v>3875</v>
      </c>
      <c r="C565" s="9">
        <v>542170.0</v>
      </c>
      <c r="D565" s="9">
        <v>0.0</v>
      </c>
      <c r="E565" s="9">
        <v>523.0</v>
      </c>
      <c r="F565" s="7" t="s">
        <v>391</v>
      </c>
      <c r="G565" s="7" t="s">
        <v>364</v>
      </c>
      <c r="H565" s="7" t="s">
        <v>365</v>
      </c>
      <c r="I565" s="7" t="s">
        <v>355</v>
      </c>
      <c r="J565" s="14"/>
      <c r="K565" s="14"/>
      <c r="O565" s="22"/>
      <c r="P565" s="22"/>
      <c r="Q565" s="23"/>
      <c r="R565" s="23"/>
      <c r="S565" s="14"/>
    </row>
    <row r="566" ht="18.75" customHeight="1">
      <c r="A566" s="7" t="s">
        <v>390</v>
      </c>
      <c r="B566" s="7" t="s">
        <v>3875</v>
      </c>
      <c r="C566" s="9">
        <v>540802.0</v>
      </c>
      <c r="D566" s="9">
        <v>0.0</v>
      </c>
      <c r="E566" s="9">
        <v>540.0</v>
      </c>
      <c r="F566" s="7" t="s">
        <v>391</v>
      </c>
      <c r="G566" s="7" t="s">
        <v>364</v>
      </c>
      <c r="H566" s="7" t="s">
        <v>365</v>
      </c>
      <c r="I566" s="7" t="s">
        <v>355</v>
      </c>
      <c r="J566" s="14"/>
      <c r="K566" s="14"/>
      <c r="O566" s="22"/>
      <c r="P566" s="22"/>
      <c r="Q566" s="23"/>
      <c r="R566" s="23"/>
      <c r="S566" s="14"/>
    </row>
    <row r="567" ht="18.75" customHeight="1">
      <c r="A567" s="7" t="s">
        <v>398</v>
      </c>
      <c r="B567" s="7" t="s">
        <v>3875</v>
      </c>
      <c r="C567" s="9">
        <v>229034.0</v>
      </c>
      <c r="D567" s="9">
        <v>0.0</v>
      </c>
      <c r="E567" s="9">
        <v>660.0</v>
      </c>
      <c r="F567" s="7" t="s">
        <v>399</v>
      </c>
      <c r="G567" s="7" t="s">
        <v>353</v>
      </c>
      <c r="H567" s="7" t="s">
        <v>378</v>
      </c>
      <c r="I567" s="7" t="s">
        <v>355</v>
      </c>
      <c r="J567" s="14"/>
      <c r="K567" s="14"/>
      <c r="O567" s="22"/>
      <c r="P567" s="22"/>
      <c r="Q567" s="23"/>
      <c r="R567" s="23"/>
      <c r="S567" s="14"/>
    </row>
    <row r="568" ht="18.75" customHeight="1">
      <c r="A568" s="7" t="s">
        <v>398</v>
      </c>
      <c r="B568" s="7" t="s">
        <v>3875</v>
      </c>
      <c r="C568" s="9">
        <v>272178.0</v>
      </c>
      <c r="D568" s="9">
        <v>0.0</v>
      </c>
      <c r="E568" s="9">
        <v>320.0</v>
      </c>
      <c r="F568" s="7" t="s">
        <v>399</v>
      </c>
      <c r="G568" s="7" t="s">
        <v>353</v>
      </c>
      <c r="H568" s="7" t="s">
        <v>378</v>
      </c>
      <c r="I568" s="7" t="s">
        <v>355</v>
      </c>
      <c r="J568" s="14"/>
      <c r="K568" s="14"/>
      <c r="O568" s="22"/>
      <c r="P568" s="22"/>
      <c r="Q568" s="23"/>
      <c r="R568" s="23"/>
      <c r="S568" s="14"/>
    </row>
    <row r="569" ht="18.75" customHeight="1">
      <c r="A569" s="7" t="s">
        <v>398</v>
      </c>
      <c r="B569" s="7" t="s">
        <v>3875</v>
      </c>
      <c r="C569" s="9">
        <v>276486.0</v>
      </c>
      <c r="D569" s="9">
        <v>0.0</v>
      </c>
      <c r="E569" s="9">
        <v>696.0</v>
      </c>
      <c r="F569" s="7" t="s">
        <v>399</v>
      </c>
      <c r="G569" s="7" t="s">
        <v>353</v>
      </c>
      <c r="H569" s="7" t="s">
        <v>378</v>
      </c>
      <c r="I569" s="7" t="s">
        <v>355</v>
      </c>
      <c r="J569" s="14"/>
      <c r="K569" s="14"/>
      <c r="O569" s="22"/>
      <c r="P569" s="22"/>
      <c r="Q569" s="23"/>
      <c r="R569" s="23"/>
      <c r="S569" s="14"/>
    </row>
    <row r="570" ht="18.75" customHeight="1">
      <c r="A570" s="7" t="s">
        <v>398</v>
      </c>
      <c r="B570" s="7" t="s">
        <v>3875</v>
      </c>
      <c r="C570" s="9">
        <v>243758.0</v>
      </c>
      <c r="D570" s="9">
        <v>0.0</v>
      </c>
      <c r="E570" s="9">
        <v>295.0</v>
      </c>
      <c r="F570" s="7" t="s">
        <v>399</v>
      </c>
      <c r="G570" s="7" t="s">
        <v>353</v>
      </c>
      <c r="H570" s="7" t="s">
        <v>378</v>
      </c>
      <c r="I570" s="7" t="s">
        <v>355</v>
      </c>
      <c r="J570" s="14"/>
      <c r="K570" s="14"/>
      <c r="O570" s="22"/>
      <c r="P570" s="22"/>
      <c r="Q570" s="23"/>
      <c r="R570" s="23"/>
      <c r="S570" s="14"/>
    </row>
    <row r="571" ht="18.75" customHeight="1">
      <c r="A571" s="7" t="s">
        <v>398</v>
      </c>
      <c r="B571" s="7" t="s">
        <v>3875</v>
      </c>
      <c r="C571" s="9">
        <v>223738.0</v>
      </c>
      <c r="D571" s="9">
        <v>0.0</v>
      </c>
      <c r="E571" s="9">
        <v>571.0</v>
      </c>
      <c r="F571" s="7" t="s">
        <v>399</v>
      </c>
      <c r="G571" s="7" t="s">
        <v>353</v>
      </c>
      <c r="H571" s="7" t="s">
        <v>378</v>
      </c>
      <c r="I571" s="7" t="s">
        <v>355</v>
      </c>
      <c r="J571" s="14"/>
      <c r="K571" s="14"/>
      <c r="O571" s="22"/>
      <c r="P571" s="22"/>
      <c r="Q571" s="23"/>
      <c r="R571" s="23"/>
      <c r="S571" s="14"/>
    </row>
    <row r="572" ht="18.75" customHeight="1">
      <c r="A572" s="7" t="s">
        <v>398</v>
      </c>
      <c r="B572" s="7" t="s">
        <v>3875</v>
      </c>
      <c r="C572" s="9">
        <v>301205.0</v>
      </c>
      <c r="D572" s="9">
        <v>0.0</v>
      </c>
      <c r="E572" s="9">
        <v>448.0</v>
      </c>
      <c r="F572" s="7" t="s">
        <v>399</v>
      </c>
      <c r="G572" s="7" t="s">
        <v>353</v>
      </c>
      <c r="H572" s="7" t="s">
        <v>378</v>
      </c>
      <c r="I572" s="7" t="s">
        <v>355</v>
      </c>
      <c r="J572" s="14"/>
      <c r="K572" s="14"/>
      <c r="O572" s="22"/>
      <c r="P572" s="22"/>
      <c r="Q572" s="23"/>
      <c r="R572" s="23"/>
      <c r="S572" s="14"/>
    </row>
    <row r="573" ht="18.75" customHeight="1">
      <c r="A573" s="7" t="s">
        <v>398</v>
      </c>
      <c r="B573" s="7" t="s">
        <v>3875</v>
      </c>
      <c r="C573" s="9">
        <v>275552.0</v>
      </c>
      <c r="D573" s="9">
        <v>0.0</v>
      </c>
      <c r="E573" s="9">
        <v>377.0</v>
      </c>
      <c r="F573" s="7" t="s">
        <v>399</v>
      </c>
      <c r="G573" s="7" t="s">
        <v>353</v>
      </c>
      <c r="H573" s="7" t="s">
        <v>378</v>
      </c>
      <c r="I573" s="7" t="s">
        <v>355</v>
      </c>
      <c r="J573" s="14"/>
      <c r="K573" s="14"/>
      <c r="O573" s="22"/>
      <c r="P573" s="22"/>
      <c r="Q573" s="23"/>
      <c r="R573" s="23"/>
      <c r="S573" s="14"/>
    </row>
    <row r="574" ht="18.75" customHeight="1">
      <c r="A574" s="7" t="s">
        <v>398</v>
      </c>
      <c r="B574" s="7" t="s">
        <v>3875</v>
      </c>
      <c r="C574" s="9">
        <v>212543.0</v>
      </c>
      <c r="D574" s="9">
        <v>0.0</v>
      </c>
      <c r="E574" s="9">
        <v>773.0</v>
      </c>
      <c r="F574" s="7" t="s">
        <v>399</v>
      </c>
      <c r="G574" s="7" t="s">
        <v>353</v>
      </c>
      <c r="H574" s="7" t="s">
        <v>378</v>
      </c>
      <c r="I574" s="7" t="s">
        <v>355</v>
      </c>
      <c r="J574" s="14"/>
      <c r="K574" s="14"/>
      <c r="O574" s="22"/>
      <c r="P574" s="22"/>
      <c r="Q574" s="23"/>
      <c r="R574" s="23"/>
      <c r="S574" s="14"/>
    </row>
    <row r="575" ht="18.75" customHeight="1">
      <c r="A575" s="7" t="s">
        <v>398</v>
      </c>
      <c r="B575" s="7" t="s">
        <v>3875</v>
      </c>
      <c r="C575" s="9">
        <v>276748.0</v>
      </c>
      <c r="D575" s="9">
        <v>0.0</v>
      </c>
      <c r="E575" s="9">
        <v>330.0</v>
      </c>
      <c r="F575" s="7" t="s">
        <v>399</v>
      </c>
      <c r="G575" s="7" t="s">
        <v>353</v>
      </c>
      <c r="H575" s="7" t="s">
        <v>378</v>
      </c>
      <c r="I575" s="7" t="s">
        <v>355</v>
      </c>
      <c r="J575" s="14"/>
      <c r="K575" s="14"/>
      <c r="O575" s="22"/>
      <c r="P575" s="22"/>
      <c r="Q575" s="23"/>
      <c r="R575" s="23"/>
      <c r="S575" s="14"/>
    </row>
    <row r="576" ht="18.75" customHeight="1">
      <c r="A576" s="7" t="s">
        <v>398</v>
      </c>
      <c r="B576" s="7" t="s">
        <v>3875</v>
      </c>
      <c r="C576" s="9">
        <v>200032.0</v>
      </c>
      <c r="D576" s="9">
        <v>0.0</v>
      </c>
      <c r="E576" s="9">
        <v>930.0</v>
      </c>
      <c r="F576" s="7" t="s">
        <v>399</v>
      </c>
      <c r="G576" s="7" t="s">
        <v>353</v>
      </c>
      <c r="H576" s="7" t="s">
        <v>378</v>
      </c>
      <c r="I576" s="7" t="s">
        <v>355</v>
      </c>
      <c r="J576" s="14"/>
      <c r="K576" s="14"/>
      <c r="O576" s="22"/>
      <c r="P576" s="22"/>
      <c r="Q576" s="23"/>
      <c r="R576" s="23"/>
      <c r="S576" s="14"/>
    </row>
    <row r="577" ht="18.75" customHeight="1">
      <c r="A577" s="7" t="s">
        <v>398</v>
      </c>
      <c r="B577" s="7" t="s">
        <v>3875</v>
      </c>
      <c r="C577" s="9">
        <v>224915.0</v>
      </c>
      <c r="D577" s="9">
        <v>0.0</v>
      </c>
      <c r="E577" s="9">
        <v>813.0</v>
      </c>
      <c r="F577" s="7" t="s">
        <v>399</v>
      </c>
      <c r="G577" s="7" t="s">
        <v>353</v>
      </c>
      <c r="H577" s="7" t="s">
        <v>378</v>
      </c>
      <c r="I577" s="7" t="s">
        <v>355</v>
      </c>
      <c r="J577" s="14"/>
      <c r="K577" s="14"/>
      <c r="O577" s="22"/>
      <c r="P577" s="22"/>
      <c r="Q577" s="23"/>
      <c r="R577" s="23"/>
      <c r="S577" s="14"/>
    </row>
    <row r="578" ht="18.75" customHeight="1">
      <c r="A578" s="7" t="s">
        <v>398</v>
      </c>
      <c r="B578" s="7" t="s">
        <v>3875</v>
      </c>
      <c r="C578" s="9">
        <v>224893.0</v>
      </c>
      <c r="D578" s="9">
        <v>0.0</v>
      </c>
      <c r="E578" s="9">
        <v>681.0</v>
      </c>
      <c r="F578" s="7" t="s">
        <v>399</v>
      </c>
      <c r="G578" s="7" t="s">
        <v>353</v>
      </c>
      <c r="H578" s="7" t="s">
        <v>378</v>
      </c>
      <c r="I578" s="7" t="s">
        <v>355</v>
      </c>
      <c r="J578" s="14"/>
      <c r="K578" s="14"/>
      <c r="O578" s="22"/>
      <c r="P578" s="22"/>
      <c r="Q578" s="23"/>
      <c r="R578" s="23"/>
      <c r="S578" s="14"/>
    </row>
    <row r="579" ht="18.75" customHeight="1">
      <c r="A579" s="7" t="s">
        <v>398</v>
      </c>
      <c r="B579" s="7" t="s">
        <v>3875</v>
      </c>
      <c r="C579" s="9">
        <v>244798.0</v>
      </c>
      <c r="D579" s="9">
        <v>0.0</v>
      </c>
      <c r="E579" s="9">
        <v>679.0</v>
      </c>
      <c r="F579" s="7" t="s">
        <v>399</v>
      </c>
      <c r="G579" s="7" t="s">
        <v>353</v>
      </c>
      <c r="H579" s="7" t="s">
        <v>378</v>
      </c>
      <c r="I579" s="7" t="s">
        <v>355</v>
      </c>
      <c r="J579" s="14"/>
      <c r="K579" s="14"/>
      <c r="O579" s="22"/>
      <c r="P579" s="22"/>
      <c r="Q579" s="23"/>
      <c r="R579" s="23"/>
      <c r="S579" s="14"/>
    </row>
    <row r="580" ht="18.75" customHeight="1">
      <c r="A580" s="7" t="s">
        <v>398</v>
      </c>
      <c r="B580" s="7" t="s">
        <v>3875</v>
      </c>
      <c r="C580" s="9">
        <v>213360.0</v>
      </c>
      <c r="D580" s="9">
        <v>0.0</v>
      </c>
      <c r="E580" s="9">
        <v>865.0</v>
      </c>
      <c r="F580" s="7" t="s">
        <v>399</v>
      </c>
      <c r="G580" s="7" t="s">
        <v>353</v>
      </c>
      <c r="H580" s="7" t="s">
        <v>378</v>
      </c>
      <c r="I580" s="7" t="s">
        <v>355</v>
      </c>
      <c r="J580" s="14"/>
      <c r="K580" s="14"/>
      <c r="O580" s="22"/>
      <c r="P580" s="22"/>
      <c r="Q580" s="23"/>
      <c r="R580" s="23"/>
      <c r="S580" s="14"/>
    </row>
    <row r="581" ht="18.75" customHeight="1">
      <c r="A581" s="7" t="s">
        <v>398</v>
      </c>
      <c r="B581" s="7" t="s">
        <v>3875</v>
      </c>
      <c r="C581" s="9">
        <v>271946.0</v>
      </c>
      <c r="D581" s="9">
        <v>0.0</v>
      </c>
      <c r="E581" s="9">
        <v>539.0</v>
      </c>
      <c r="F581" s="7" t="s">
        <v>399</v>
      </c>
      <c r="G581" s="7" t="s">
        <v>353</v>
      </c>
      <c r="H581" s="7" t="s">
        <v>378</v>
      </c>
      <c r="I581" s="7" t="s">
        <v>355</v>
      </c>
      <c r="J581" s="14"/>
      <c r="K581" s="14"/>
      <c r="O581" s="22"/>
      <c r="P581" s="22"/>
      <c r="Q581" s="23"/>
      <c r="R581" s="23"/>
      <c r="S581" s="14"/>
    </row>
    <row r="582" ht="18.75" customHeight="1">
      <c r="A582" s="7" t="s">
        <v>362</v>
      </c>
      <c r="B582" s="7" t="s">
        <v>3875</v>
      </c>
      <c r="C582" s="9">
        <v>509231.0</v>
      </c>
      <c r="D582" s="9">
        <v>35042.0</v>
      </c>
      <c r="E582" s="9">
        <v>524.0</v>
      </c>
      <c r="F582" s="7" t="s">
        <v>363</v>
      </c>
      <c r="G582" s="7" t="s">
        <v>364</v>
      </c>
      <c r="H582" s="7" t="s">
        <v>365</v>
      </c>
      <c r="I582" s="7" t="s">
        <v>355</v>
      </c>
      <c r="J582" s="14"/>
      <c r="K582" s="14"/>
      <c r="O582" s="22"/>
      <c r="P582" s="22"/>
      <c r="Q582" s="23"/>
      <c r="R582" s="23"/>
      <c r="S582" s="14"/>
    </row>
    <row r="583" ht="18.75" customHeight="1">
      <c r="A583" s="7" t="s">
        <v>362</v>
      </c>
      <c r="B583" s="7" t="s">
        <v>3875</v>
      </c>
      <c r="C583" s="9">
        <v>482607.0</v>
      </c>
      <c r="D583" s="9">
        <v>18705.0</v>
      </c>
      <c r="E583" s="9">
        <v>422.0</v>
      </c>
      <c r="F583" s="7" t="s">
        <v>363</v>
      </c>
      <c r="G583" s="7" t="s">
        <v>364</v>
      </c>
      <c r="H583" s="7" t="s">
        <v>365</v>
      </c>
      <c r="I583" s="7" t="s">
        <v>355</v>
      </c>
      <c r="J583" s="14"/>
      <c r="K583" s="14"/>
      <c r="O583" s="22"/>
      <c r="P583" s="22"/>
      <c r="Q583" s="23"/>
      <c r="R583" s="23"/>
      <c r="S583" s="14"/>
    </row>
    <row r="584" ht="18.75" customHeight="1">
      <c r="A584" s="7" t="s">
        <v>362</v>
      </c>
      <c r="B584" s="7" t="s">
        <v>3875</v>
      </c>
      <c r="C584" s="9">
        <v>504760.0</v>
      </c>
      <c r="D584" s="9">
        <v>0.0</v>
      </c>
      <c r="E584" s="9">
        <v>594.0</v>
      </c>
      <c r="F584" s="7" t="s">
        <v>363</v>
      </c>
      <c r="G584" s="7" t="s">
        <v>364</v>
      </c>
      <c r="H584" s="7" t="s">
        <v>365</v>
      </c>
      <c r="I584" s="7" t="s">
        <v>355</v>
      </c>
      <c r="J584" s="14"/>
      <c r="K584" s="14"/>
      <c r="O584" s="22"/>
      <c r="P584" s="22"/>
      <c r="Q584" s="23"/>
      <c r="R584" s="23"/>
      <c r="S584" s="14"/>
    </row>
    <row r="585" ht="18.75" customHeight="1">
      <c r="A585" s="7" t="s">
        <v>362</v>
      </c>
      <c r="B585" s="7" t="s">
        <v>3875</v>
      </c>
      <c r="C585" s="9">
        <v>464847.0</v>
      </c>
      <c r="D585" s="9">
        <v>10514.0</v>
      </c>
      <c r="E585" s="9">
        <v>957.0</v>
      </c>
      <c r="F585" s="7" t="s">
        <v>363</v>
      </c>
      <c r="G585" s="7" t="s">
        <v>364</v>
      </c>
      <c r="H585" s="7" t="s">
        <v>365</v>
      </c>
      <c r="I585" s="7" t="s">
        <v>355</v>
      </c>
      <c r="J585" s="14"/>
      <c r="K585" s="14"/>
      <c r="O585" s="22"/>
      <c r="P585" s="22"/>
      <c r="Q585" s="23"/>
      <c r="R585" s="23"/>
      <c r="S585" s="14"/>
    </row>
    <row r="586" ht="18.75" customHeight="1">
      <c r="A586" s="7" t="s">
        <v>3878</v>
      </c>
      <c r="B586" s="7" t="s">
        <v>3875</v>
      </c>
      <c r="C586" s="9">
        <v>1507753.0</v>
      </c>
      <c r="D586" s="9">
        <v>0.0</v>
      </c>
      <c r="E586" s="9">
        <v>1884.0</v>
      </c>
      <c r="F586" s="7" t="s">
        <v>3879</v>
      </c>
      <c r="G586" s="7" t="s">
        <v>364</v>
      </c>
      <c r="H586" s="7" t="s">
        <v>365</v>
      </c>
      <c r="I586" s="7" t="s">
        <v>355</v>
      </c>
      <c r="J586" s="14"/>
      <c r="K586" s="14"/>
      <c r="O586" s="22"/>
      <c r="P586" s="22"/>
      <c r="Q586" s="23"/>
      <c r="R586" s="23"/>
      <c r="S586" s="14"/>
    </row>
    <row r="587" ht="18.75" customHeight="1">
      <c r="A587" s="7" t="s">
        <v>402</v>
      </c>
      <c r="B587" s="7" t="s">
        <v>3875</v>
      </c>
      <c r="C587" s="9">
        <v>3512403.0</v>
      </c>
      <c r="D587" s="9">
        <v>18341.0</v>
      </c>
      <c r="E587" s="9">
        <v>6411.0</v>
      </c>
      <c r="F587" s="7" t="s">
        <v>403</v>
      </c>
      <c r="G587" s="7" t="s">
        <v>404</v>
      </c>
      <c r="H587" s="7" t="s">
        <v>405</v>
      </c>
      <c r="I587" s="7" t="s">
        <v>355</v>
      </c>
      <c r="J587" s="14"/>
      <c r="K587" s="14"/>
      <c r="O587" s="22"/>
      <c r="P587" s="22"/>
      <c r="Q587" s="23"/>
      <c r="R587" s="23"/>
      <c r="S587" s="14"/>
    </row>
    <row r="588" ht="18.75" customHeight="1">
      <c r="A588" s="7" t="s">
        <v>402</v>
      </c>
      <c r="B588" s="7" t="s">
        <v>3875</v>
      </c>
      <c r="C588" s="9">
        <v>1664294.0</v>
      </c>
      <c r="D588" s="9">
        <v>719539.0</v>
      </c>
      <c r="E588" s="9">
        <v>3062.0</v>
      </c>
      <c r="F588" s="7" t="s">
        <v>403</v>
      </c>
      <c r="G588" s="7" t="s">
        <v>404</v>
      </c>
      <c r="H588" s="7" t="s">
        <v>405</v>
      </c>
      <c r="I588" s="7" t="s">
        <v>355</v>
      </c>
      <c r="J588" s="14"/>
      <c r="K588" s="14"/>
      <c r="O588" s="22"/>
      <c r="P588" s="22"/>
      <c r="Q588" s="23"/>
      <c r="R588" s="23"/>
      <c r="S588" s="14"/>
    </row>
    <row r="589" ht="18.75" customHeight="1">
      <c r="A589" s="7" t="s">
        <v>402</v>
      </c>
      <c r="B589" s="7" t="s">
        <v>3875</v>
      </c>
      <c r="C589" s="9">
        <v>1174333.0</v>
      </c>
      <c r="D589" s="9">
        <v>368119.0</v>
      </c>
      <c r="E589" s="9">
        <v>1042.0</v>
      </c>
      <c r="F589" s="7" t="s">
        <v>403</v>
      </c>
      <c r="G589" s="7" t="s">
        <v>404</v>
      </c>
      <c r="H589" s="7" t="s">
        <v>405</v>
      </c>
      <c r="I589" s="7" t="s">
        <v>355</v>
      </c>
      <c r="J589" s="14"/>
      <c r="K589" s="14"/>
      <c r="O589" s="22"/>
      <c r="P589" s="22"/>
      <c r="Q589" s="23"/>
      <c r="R589" s="23"/>
      <c r="S589" s="14"/>
    </row>
    <row r="590" ht="18.75" customHeight="1">
      <c r="A590" s="7" t="s">
        <v>452</v>
      </c>
      <c r="B590" s="7" t="s">
        <v>3875</v>
      </c>
      <c r="C590" s="9">
        <v>111113.0</v>
      </c>
      <c r="D590" s="9">
        <v>18661.0</v>
      </c>
      <c r="E590" s="9">
        <v>116.0</v>
      </c>
      <c r="F590" s="7" t="s">
        <v>453</v>
      </c>
      <c r="G590" s="7" t="s">
        <v>416</v>
      </c>
      <c r="H590" s="7" t="s">
        <v>417</v>
      </c>
      <c r="I590" s="7" t="s">
        <v>355</v>
      </c>
      <c r="J590" s="14"/>
      <c r="K590" s="14"/>
      <c r="O590" s="22"/>
      <c r="P590" s="22"/>
      <c r="Q590" s="23"/>
      <c r="R590" s="23"/>
      <c r="S590" s="14"/>
    </row>
    <row r="591" ht="18.75" customHeight="1">
      <c r="A591" s="7" t="s">
        <v>452</v>
      </c>
      <c r="B591" s="7" t="s">
        <v>3875</v>
      </c>
      <c r="C591" s="9">
        <v>50381.0</v>
      </c>
      <c r="D591" s="9">
        <v>21633.0</v>
      </c>
      <c r="E591" s="9">
        <v>1834.0</v>
      </c>
      <c r="F591" s="7" t="s">
        <v>453</v>
      </c>
      <c r="G591" s="7" t="s">
        <v>416</v>
      </c>
      <c r="H591" s="7" t="s">
        <v>417</v>
      </c>
      <c r="I591" s="7" t="s">
        <v>355</v>
      </c>
      <c r="J591" s="14"/>
      <c r="K591" s="14"/>
      <c r="O591" s="22"/>
      <c r="P591" s="22"/>
      <c r="Q591" s="23"/>
      <c r="R591" s="23"/>
      <c r="S591" s="14"/>
    </row>
    <row r="592" ht="18.75" customHeight="1">
      <c r="A592" s="7" t="s">
        <v>443</v>
      </c>
      <c r="B592" s="7" t="s">
        <v>3875</v>
      </c>
      <c r="C592" s="9">
        <v>922044.0</v>
      </c>
      <c r="D592" s="9">
        <v>0.0</v>
      </c>
      <c r="E592" s="9">
        <v>1376.0</v>
      </c>
      <c r="F592" s="7" t="s">
        <v>444</v>
      </c>
      <c r="G592" s="7" t="s">
        <v>353</v>
      </c>
      <c r="H592" s="7" t="s">
        <v>445</v>
      </c>
      <c r="I592" s="7" t="s">
        <v>355</v>
      </c>
      <c r="J592" s="14"/>
      <c r="K592" s="14"/>
      <c r="O592" s="22"/>
      <c r="P592" s="22"/>
      <c r="Q592" s="23"/>
      <c r="R592" s="23"/>
      <c r="S592" s="14"/>
    </row>
    <row r="593" ht="18.75" customHeight="1">
      <c r="A593" s="7" t="s">
        <v>443</v>
      </c>
      <c r="B593" s="7" t="s">
        <v>3875</v>
      </c>
      <c r="C593" s="9">
        <v>167598.0</v>
      </c>
      <c r="D593" s="9">
        <v>0.0</v>
      </c>
      <c r="E593" s="9">
        <v>6057.0</v>
      </c>
      <c r="F593" s="7" t="s">
        <v>444</v>
      </c>
      <c r="G593" s="7" t="s">
        <v>353</v>
      </c>
      <c r="H593" s="7" t="s">
        <v>445</v>
      </c>
      <c r="I593" s="7" t="s">
        <v>355</v>
      </c>
      <c r="J593" s="14"/>
      <c r="K593" s="14"/>
      <c r="O593" s="22"/>
      <c r="P593" s="22"/>
      <c r="Q593" s="23"/>
      <c r="R593" s="23"/>
      <c r="S593" s="14"/>
    </row>
    <row r="594" ht="18.75" customHeight="1">
      <c r="A594" s="7" t="s">
        <v>3720</v>
      </c>
      <c r="B594" s="7" t="s">
        <v>3875</v>
      </c>
      <c r="C594" s="9">
        <v>736492.0</v>
      </c>
      <c r="D594" s="9">
        <v>30024.0</v>
      </c>
      <c r="E594" s="9">
        <v>692.0</v>
      </c>
      <c r="F594" s="7" t="s">
        <v>3880</v>
      </c>
      <c r="G594" s="7" t="s">
        <v>416</v>
      </c>
      <c r="H594" s="7" t="s">
        <v>417</v>
      </c>
      <c r="I594" s="7" t="s">
        <v>355</v>
      </c>
      <c r="J594" s="14"/>
      <c r="K594" s="14"/>
      <c r="O594" s="22"/>
      <c r="P594" s="22"/>
      <c r="Q594" s="23"/>
      <c r="R594" s="23"/>
      <c r="S594" s="14"/>
    </row>
    <row r="595" ht="18.75" customHeight="1">
      <c r="A595" s="7" t="s">
        <v>3720</v>
      </c>
      <c r="B595" s="7" t="s">
        <v>3875</v>
      </c>
      <c r="C595" s="9">
        <v>134666.0</v>
      </c>
      <c r="D595" s="9">
        <v>48204.0</v>
      </c>
      <c r="E595" s="9">
        <v>1008.0</v>
      </c>
      <c r="F595" s="7" t="s">
        <v>3880</v>
      </c>
      <c r="G595" s="7" t="s">
        <v>416</v>
      </c>
      <c r="H595" s="7" t="s">
        <v>417</v>
      </c>
      <c r="I595" s="7" t="s">
        <v>355</v>
      </c>
      <c r="J595" s="14"/>
      <c r="K595" s="14"/>
      <c r="O595" s="22"/>
      <c r="P595" s="22"/>
      <c r="Q595" s="23"/>
      <c r="R595" s="23"/>
      <c r="S595" s="14"/>
    </row>
    <row r="596" ht="18.75" customHeight="1">
      <c r="A596" s="7" t="s">
        <v>454</v>
      </c>
      <c r="B596" s="7" t="s">
        <v>3875</v>
      </c>
      <c r="C596" s="9">
        <v>913780.0</v>
      </c>
      <c r="D596" s="9">
        <v>0.0</v>
      </c>
      <c r="E596" s="9">
        <v>246.0</v>
      </c>
      <c r="F596" s="7" t="s">
        <v>455</v>
      </c>
      <c r="G596" s="7" t="s">
        <v>416</v>
      </c>
      <c r="H596" s="7" t="s">
        <v>430</v>
      </c>
      <c r="I596" s="7" t="s">
        <v>355</v>
      </c>
      <c r="J596" s="14"/>
      <c r="K596" s="14"/>
      <c r="O596" s="22"/>
      <c r="P596" s="22"/>
      <c r="Q596" s="23"/>
      <c r="R596" s="23"/>
      <c r="S596" s="14"/>
    </row>
    <row r="597" ht="18.75" customHeight="1">
      <c r="A597" s="7" t="s">
        <v>454</v>
      </c>
      <c r="B597" s="7" t="s">
        <v>3875</v>
      </c>
      <c r="C597" s="9">
        <v>492504.0</v>
      </c>
      <c r="D597" s="9">
        <v>0.0</v>
      </c>
      <c r="E597" s="9">
        <v>1035.0</v>
      </c>
      <c r="F597" s="7" t="s">
        <v>455</v>
      </c>
      <c r="G597" s="7" t="s">
        <v>416</v>
      </c>
      <c r="H597" s="7" t="s">
        <v>430</v>
      </c>
      <c r="I597" s="7" t="s">
        <v>355</v>
      </c>
      <c r="J597" s="14"/>
      <c r="K597" s="14"/>
      <c r="O597" s="22"/>
      <c r="P597" s="22"/>
      <c r="Q597" s="23"/>
      <c r="R597" s="23"/>
      <c r="S597" s="14"/>
    </row>
    <row r="598" ht="18.75" customHeight="1">
      <c r="A598" s="7" t="s">
        <v>3571</v>
      </c>
      <c r="B598" s="7" t="s">
        <v>3875</v>
      </c>
      <c r="C598" s="9">
        <v>380497.0</v>
      </c>
      <c r="D598" s="9">
        <v>10612.0</v>
      </c>
      <c r="E598" s="9">
        <v>395.0</v>
      </c>
      <c r="F598" s="7" t="s">
        <v>3876</v>
      </c>
      <c r="G598" s="7" t="s">
        <v>353</v>
      </c>
      <c r="H598" s="7" t="s">
        <v>413</v>
      </c>
      <c r="I598" s="7" t="s">
        <v>355</v>
      </c>
      <c r="J598" s="14"/>
      <c r="K598" s="14"/>
      <c r="O598" s="22"/>
      <c r="P598" s="22"/>
      <c r="Q598" s="23"/>
      <c r="R598" s="23"/>
      <c r="S598" s="14"/>
    </row>
    <row r="599" ht="18.75" customHeight="1">
      <c r="A599" s="7" t="s">
        <v>3571</v>
      </c>
      <c r="B599" s="7" t="s">
        <v>3875</v>
      </c>
      <c r="C599" s="9">
        <v>73823.0</v>
      </c>
      <c r="D599" s="9">
        <v>15875.0</v>
      </c>
      <c r="E599" s="9">
        <v>1750.0</v>
      </c>
      <c r="F599" s="7" t="s">
        <v>3876</v>
      </c>
      <c r="G599" s="7" t="s">
        <v>353</v>
      </c>
      <c r="H599" s="7" t="s">
        <v>413</v>
      </c>
      <c r="I599" s="7" t="s">
        <v>355</v>
      </c>
      <c r="J599" s="14"/>
      <c r="K599" s="14"/>
      <c r="O599" s="22"/>
      <c r="P599" s="22"/>
      <c r="Q599" s="23"/>
      <c r="R599" s="23"/>
      <c r="S599" s="14"/>
    </row>
    <row r="600" ht="18.75" customHeight="1">
      <c r="A600" s="7" t="s">
        <v>439</v>
      </c>
      <c r="B600" s="7" t="s">
        <v>3875</v>
      </c>
      <c r="C600" s="9">
        <v>378971.0</v>
      </c>
      <c r="D600" s="9">
        <v>2236.0</v>
      </c>
      <c r="E600" s="9">
        <v>1941.0</v>
      </c>
      <c r="F600" s="7" t="s">
        <v>440</v>
      </c>
      <c r="G600" s="7" t="s">
        <v>364</v>
      </c>
      <c r="H600" s="7" t="s">
        <v>365</v>
      </c>
      <c r="I600" s="7" t="s">
        <v>355</v>
      </c>
      <c r="J600" s="14"/>
      <c r="K600" s="14"/>
      <c r="O600" s="22"/>
      <c r="P600" s="22"/>
      <c r="Q600" s="23"/>
      <c r="R600" s="23"/>
      <c r="S600" s="14"/>
    </row>
    <row r="601" ht="18.75" customHeight="1">
      <c r="A601" s="7" t="s">
        <v>439</v>
      </c>
      <c r="B601" s="7" t="s">
        <v>3875</v>
      </c>
      <c r="C601" s="9">
        <v>286191.0</v>
      </c>
      <c r="D601" s="9">
        <v>1380.0</v>
      </c>
      <c r="E601" s="9">
        <v>802.0</v>
      </c>
      <c r="F601" s="7" t="s">
        <v>440</v>
      </c>
      <c r="G601" s="7" t="s">
        <v>364</v>
      </c>
      <c r="H601" s="7" t="s">
        <v>365</v>
      </c>
      <c r="I601" s="7" t="s">
        <v>355</v>
      </c>
      <c r="J601" s="14"/>
      <c r="K601" s="14"/>
      <c r="O601" s="22"/>
      <c r="P601" s="22"/>
      <c r="Q601" s="23"/>
      <c r="R601" s="23"/>
      <c r="S601" s="14"/>
    </row>
    <row r="602" ht="18.75" customHeight="1">
      <c r="A602" s="7" t="s">
        <v>422</v>
      </c>
      <c r="B602" s="7" t="s">
        <v>3875</v>
      </c>
      <c r="C602" s="9">
        <v>5224162.0</v>
      </c>
      <c r="D602" s="9">
        <v>166947.0</v>
      </c>
      <c r="E602" s="9">
        <v>6717.0</v>
      </c>
      <c r="F602" s="7" t="s">
        <v>423</v>
      </c>
      <c r="G602" s="7" t="s">
        <v>404</v>
      </c>
      <c r="H602" s="7" t="s">
        <v>405</v>
      </c>
      <c r="I602" s="7" t="s">
        <v>355</v>
      </c>
      <c r="J602" s="14"/>
      <c r="K602" s="14"/>
      <c r="O602" s="22"/>
      <c r="P602" s="22"/>
      <c r="Q602" s="23"/>
      <c r="R602" s="23"/>
      <c r="S602" s="14"/>
    </row>
    <row r="603" ht="18.75" customHeight="1">
      <c r="A603" s="7" t="s">
        <v>400</v>
      </c>
      <c r="B603" s="7" t="s">
        <v>3875</v>
      </c>
      <c r="C603" s="9">
        <v>814528.0</v>
      </c>
      <c r="D603" s="9">
        <v>0.0</v>
      </c>
      <c r="E603" s="9">
        <v>4510.0</v>
      </c>
      <c r="F603" s="7" t="s">
        <v>401</v>
      </c>
      <c r="G603" s="7" t="s">
        <v>353</v>
      </c>
      <c r="H603" s="7" t="s">
        <v>378</v>
      </c>
      <c r="I603" s="7" t="s">
        <v>355</v>
      </c>
      <c r="J603" s="14"/>
      <c r="K603" s="14"/>
      <c r="O603" s="22"/>
      <c r="P603" s="22"/>
      <c r="Q603" s="23"/>
      <c r="R603" s="23"/>
      <c r="S603" s="14"/>
    </row>
    <row r="604" ht="18.75" customHeight="1">
      <c r="A604" s="7" t="s">
        <v>400</v>
      </c>
      <c r="B604" s="7" t="s">
        <v>3875</v>
      </c>
      <c r="C604" s="9">
        <v>1044551.0</v>
      </c>
      <c r="D604" s="9">
        <v>0.0</v>
      </c>
      <c r="E604" s="9">
        <v>1846.0</v>
      </c>
      <c r="F604" s="7" t="s">
        <v>401</v>
      </c>
      <c r="G604" s="7" t="s">
        <v>353</v>
      </c>
      <c r="H604" s="7" t="s">
        <v>378</v>
      </c>
      <c r="I604" s="7" t="s">
        <v>355</v>
      </c>
      <c r="J604" s="14"/>
      <c r="K604" s="14"/>
      <c r="O604" s="22"/>
      <c r="P604" s="22"/>
      <c r="Q604" s="23"/>
      <c r="R604" s="23"/>
      <c r="S604" s="14"/>
    </row>
    <row r="605" ht="18.75" customHeight="1">
      <c r="A605" s="7" t="s">
        <v>351</v>
      </c>
      <c r="B605" s="7" t="s">
        <v>3875</v>
      </c>
      <c r="C605" s="9">
        <v>1311422.0</v>
      </c>
      <c r="D605" s="9">
        <v>76740.0</v>
      </c>
      <c r="E605" s="9">
        <v>1134.0</v>
      </c>
      <c r="F605" s="7" t="s">
        <v>352</v>
      </c>
      <c r="G605" s="7" t="s">
        <v>353</v>
      </c>
      <c r="H605" s="7" t="s">
        <v>354</v>
      </c>
      <c r="I605" s="7" t="s">
        <v>410</v>
      </c>
      <c r="J605" s="14"/>
      <c r="K605" s="14"/>
      <c r="O605" s="22"/>
      <c r="P605" s="22"/>
      <c r="Q605" s="23"/>
      <c r="R605" s="23"/>
      <c r="S605" s="14"/>
    </row>
    <row r="606" ht="18.75" customHeight="1">
      <c r="A606" s="7" t="s">
        <v>351</v>
      </c>
      <c r="B606" s="7" t="s">
        <v>3875</v>
      </c>
      <c r="C606" s="9">
        <v>868708.0</v>
      </c>
      <c r="D606" s="9">
        <v>104532.0</v>
      </c>
      <c r="E606" s="9">
        <v>821.0</v>
      </c>
      <c r="F606" s="7" t="s">
        <v>352</v>
      </c>
      <c r="G606" s="7" t="s">
        <v>353</v>
      </c>
      <c r="H606" s="7" t="s">
        <v>354</v>
      </c>
      <c r="I606" s="7" t="s">
        <v>410</v>
      </c>
      <c r="J606" s="14"/>
      <c r="K606" s="14"/>
      <c r="O606" s="22"/>
      <c r="P606" s="22"/>
      <c r="Q606" s="23"/>
      <c r="R606" s="23"/>
      <c r="S606" s="14"/>
    </row>
    <row r="607" ht="18.75" customHeight="1">
      <c r="A607" s="7" t="s">
        <v>351</v>
      </c>
      <c r="B607" s="7" t="s">
        <v>3875</v>
      </c>
      <c r="C607" s="9">
        <v>922466.0</v>
      </c>
      <c r="D607" s="9">
        <v>28875.0</v>
      </c>
      <c r="E607" s="9">
        <v>1106.0</v>
      </c>
      <c r="F607" s="7" t="s">
        <v>352</v>
      </c>
      <c r="G607" s="7" t="s">
        <v>353</v>
      </c>
      <c r="H607" s="7" t="s">
        <v>354</v>
      </c>
      <c r="I607" s="7" t="s">
        <v>410</v>
      </c>
      <c r="J607" s="14"/>
      <c r="K607" s="14"/>
      <c r="O607" s="22"/>
      <c r="P607" s="22"/>
      <c r="Q607" s="23"/>
      <c r="R607" s="23"/>
      <c r="S607" s="14"/>
    </row>
    <row r="608" ht="18.75" customHeight="1">
      <c r="A608" s="7" t="s">
        <v>408</v>
      </c>
      <c r="B608" s="7" t="s">
        <v>3875</v>
      </c>
      <c r="C608" s="9">
        <v>353193.0</v>
      </c>
      <c r="D608" s="9">
        <v>27186.0</v>
      </c>
      <c r="E608" s="9">
        <v>5289.0</v>
      </c>
      <c r="F608" s="7" t="s">
        <v>409</v>
      </c>
      <c r="G608" s="7" t="s">
        <v>353</v>
      </c>
      <c r="H608" s="7" t="s">
        <v>354</v>
      </c>
      <c r="I608" s="7" t="s">
        <v>410</v>
      </c>
      <c r="J608" s="14"/>
      <c r="K608" s="14"/>
      <c r="O608" s="22"/>
      <c r="P608" s="22"/>
      <c r="Q608" s="23"/>
      <c r="R608" s="23"/>
      <c r="S608" s="14"/>
    </row>
    <row r="609" ht="18.75" customHeight="1">
      <c r="A609" s="7" t="s">
        <v>408</v>
      </c>
      <c r="B609" s="7" t="s">
        <v>3875</v>
      </c>
      <c r="C609" s="9">
        <v>145634.0</v>
      </c>
      <c r="D609" s="9">
        <v>2010.0</v>
      </c>
      <c r="E609" s="9">
        <v>3506.0</v>
      </c>
      <c r="F609" s="7" t="s">
        <v>409</v>
      </c>
      <c r="G609" s="7" t="s">
        <v>353</v>
      </c>
      <c r="H609" s="7" t="s">
        <v>354</v>
      </c>
      <c r="I609" s="7" t="s">
        <v>410</v>
      </c>
      <c r="J609" s="14"/>
      <c r="K609" s="14"/>
      <c r="O609" s="22"/>
      <c r="P609" s="22"/>
      <c r="Q609" s="23"/>
      <c r="R609" s="23"/>
      <c r="S609" s="14"/>
    </row>
    <row r="610" ht="18.75" customHeight="1">
      <c r="A610" s="7" t="s">
        <v>351</v>
      </c>
      <c r="B610" s="7" t="s">
        <v>3875</v>
      </c>
      <c r="C610" s="9">
        <v>157809.0</v>
      </c>
      <c r="D610" s="9">
        <v>11687.0</v>
      </c>
      <c r="E610" s="9">
        <v>5016.0</v>
      </c>
      <c r="F610" s="7" t="s">
        <v>352</v>
      </c>
      <c r="G610" s="7" t="s">
        <v>353</v>
      </c>
      <c r="H610" s="7" t="s">
        <v>354</v>
      </c>
      <c r="I610" s="7" t="s">
        <v>410</v>
      </c>
      <c r="J610" s="14"/>
      <c r="K610" s="14"/>
      <c r="O610" s="22"/>
      <c r="P610" s="22"/>
      <c r="Q610" s="23"/>
      <c r="R610" s="23"/>
      <c r="S610" s="14"/>
    </row>
    <row r="611" ht="18.75" customHeight="1">
      <c r="A611" s="7" t="s">
        <v>351</v>
      </c>
      <c r="B611" s="7" t="s">
        <v>3875</v>
      </c>
      <c r="C611" s="9">
        <v>198050.0</v>
      </c>
      <c r="D611" s="9">
        <v>6742.0</v>
      </c>
      <c r="E611" s="9">
        <v>4596.0</v>
      </c>
      <c r="F611" s="7" t="s">
        <v>352</v>
      </c>
      <c r="G611" s="7" t="s">
        <v>353</v>
      </c>
      <c r="H611" s="7" t="s">
        <v>354</v>
      </c>
      <c r="I611" s="7" t="s">
        <v>410</v>
      </c>
      <c r="J611" s="14"/>
      <c r="K611" s="14"/>
      <c r="O611" s="22"/>
      <c r="P611" s="22"/>
      <c r="Q611" s="23"/>
      <c r="R611" s="23"/>
      <c r="S611" s="14"/>
    </row>
    <row r="612" ht="18.75" customHeight="1">
      <c r="A612" s="7" t="s">
        <v>351</v>
      </c>
      <c r="B612" s="7" t="s">
        <v>3875</v>
      </c>
      <c r="C612" s="9">
        <v>173927.0</v>
      </c>
      <c r="D612" s="9">
        <v>11734.0</v>
      </c>
      <c r="E612" s="9">
        <v>5488.0</v>
      </c>
      <c r="F612" s="7" t="s">
        <v>352</v>
      </c>
      <c r="G612" s="7" t="s">
        <v>353</v>
      </c>
      <c r="H612" s="7" t="s">
        <v>354</v>
      </c>
      <c r="I612" s="7" t="s">
        <v>410</v>
      </c>
      <c r="J612" s="14"/>
      <c r="K612" s="14"/>
      <c r="O612" s="22"/>
      <c r="P612" s="22"/>
      <c r="Q612" s="23"/>
      <c r="R612" s="23"/>
      <c r="S612" s="14"/>
    </row>
    <row r="613" ht="18.75" customHeight="1">
      <c r="A613" s="7" t="s">
        <v>464</v>
      </c>
      <c r="B613" s="7" t="s">
        <v>3875</v>
      </c>
      <c r="C613" s="9">
        <v>34622.0</v>
      </c>
      <c r="D613" s="9">
        <v>9276.0</v>
      </c>
      <c r="E613" s="9">
        <v>113.0</v>
      </c>
      <c r="F613" s="7" t="s">
        <v>465</v>
      </c>
      <c r="G613" s="7" t="s">
        <v>358</v>
      </c>
      <c r="H613" s="7" t="s">
        <v>466</v>
      </c>
      <c r="I613" s="7" t="s">
        <v>355</v>
      </c>
      <c r="J613" s="14"/>
      <c r="K613" s="14"/>
      <c r="O613" s="22"/>
      <c r="P613" s="22"/>
      <c r="Q613" s="23"/>
      <c r="R613" s="23"/>
      <c r="S613" s="14"/>
    </row>
    <row r="614" ht="18.75" customHeight="1">
      <c r="A614" s="7" t="s">
        <v>464</v>
      </c>
      <c r="B614" s="7" t="s">
        <v>3875</v>
      </c>
      <c r="C614" s="9">
        <v>332120.0</v>
      </c>
      <c r="D614" s="9">
        <v>16176.0</v>
      </c>
      <c r="E614" s="9">
        <v>337.0</v>
      </c>
      <c r="F614" s="7" t="s">
        <v>465</v>
      </c>
      <c r="G614" s="7" t="s">
        <v>358</v>
      </c>
      <c r="H614" s="7" t="s">
        <v>466</v>
      </c>
      <c r="I614" s="7" t="s">
        <v>355</v>
      </c>
      <c r="J614" s="14"/>
      <c r="K614" s="14"/>
      <c r="O614" s="22"/>
      <c r="P614" s="22"/>
      <c r="Q614" s="23"/>
      <c r="R614" s="23"/>
      <c r="S614" s="14"/>
    </row>
    <row r="615" ht="18.75" customHeight="1">
      <c r="A615" s="7" t="s">
        <v>467</v>
      </c>
      <c r="B615" s="7" t="s">
        <v>3875</v>
      </c>
      <c r="C615" s="9">
        <v>78845.0</v>
      </c>
      <c r="D615" s="9">
        <v>21588.0</v>
      </c>
      <c r="E615" s="9">
        <v>209.0</v>
      </c>
      <c r="F615" s="7" t="s">
        <v>468</v>
      </c>
      <c r="G615" s="7" t="s">
        <v>358</v>
      </c>
      <c r="H615" s="7" t="s">
        <v>466</v>
      </c>
      <c r="I615" s="7" t="s">
        <v>355</v>
      </c>
      <c r="J615" s="14"/>
      <c r="K615" s="14"/>
      <c r="O615" s="22"/>
      <c r="P615" s="22"/>
      <c r="Q615" s="23"/>
      <c r="R615" s="23"/>
      <c r="S615" s="14"/>
    </row>
    <row r="616" ht="18.75" customHeight="1">
      <c r="A616" s="7" t="s">
        <v>467</v>
      </c>
      <c r="B616" s="7" t="s">
        <v>3875</v>
      </c>
      <c r="C616" s="9">
        <v>946594.0</v>
      </c>
      <c r="D616" s="9">
        <v>144170.0</v>
      </c>
      <c r="E616" s="9">
        <v>1577.0</v>
      </c>
      <c r="F616" s="7" t="s">
        <v>468</v>
      </c>
      <c r="G616" s="7" t="s">
        <v>358</v>
      </c>
      <c r="H616" s="7" t="s">
        <v>466</v>
      </c>
      <c r="I616" s="7" t="s">
        <v>355</v>
      </c>
      <c r="J616" s="14"/>
      <c r="K616" s="14"/>
      <c r="O616" s="22"/>
      <c r="P616" s="22"/>
      <c r="Q616" s="23"/>
      <c r="R616" s="23"/>
      <c r="S616" s="14"/>
    </row>
    <row r="617" ht="18.75" customHeight="1">
      <c r="A617" s="7" t="s">
        <v>477</v>
      </c>
      <c r="B617" s="7" t="s">
        <v>3875</v>
      </c>
      <c r="C617" s="9">
        <v>39114.0</v>
      </c>
      <c r="D617" s="9">
        <v>0.0</v>
      </c>
      <c r="E617" s="9">
        <v>113.0</v>
      </c>
      <c r="F617" s="7" t="s">
        <v>478</v>
      </c>
      <c r="G617" s="7" t="s">
        <v>416</v>
      </c>
      <c r="H617" s="7" t="s">
        <v>417</v>
      </c>
      <c r="I617" s="7" t="s">
        <v>355</v>
      </c>
      <c r="J617" s="14"/>
      <c r="K617" s="14"/>
      <c r="O617" s="22"/>
      <c r="P617" s="22"/>
      <c r="Q617" s="23"/>
      <c r="R617" s="23"/>
      <c r="S617" s="14"/>
    </row>
    <row r="618" ht="18.75" customHeight="1">
      <c r="A618" s="7" t="s">
        <v>483</v>
      </c>
      <c r="B618" s="7" t="s">
        <v>3875</v>
      </c>
      <c r="C618" s="9">
        <v>275859.0</v>
      </c>
      <c r="D618" s="9">
        <v>0.0</v>
      </c>
      <c r="E618" s="9">
        <v>844.0</v>
      </c>
      <c r="F618" s="7" t="s">
        <v>484</v>
      </c>
      <c r="G618" s="7" t="s">
        <v>364</v>
      </c>
      <c r="H618" s="7" t="s">
        <v>365</v>
      </c>
      <c r="I618" s="7" t="s">
        <v>355</v>
      </c>
      <c r="J618" s="14"/>
      <c r="K618" s="14"/>
      <c r="O618" s="22"/>
      <c r="P618" s="22"/>
      <c r="Q618" s="23"/>
      <c r="R618" s="23"/>
      <c r="S618" s="14"/>
    </row>
    <row r="619" ht="18.75" customHeight="1">
      <c r="A619" s="7" t="s">
        <v>3010</v>
      </c>
      <c r="B619" s="7" t="s">
        <v>3875</v>
      </c>
      <c r="C619" s="9">
        <v>651575.0</v>
      </c>
      <c r="D619" s="9">
        <v>0.0</v>
      </c>
      <c r="E619" s="9">
        <v>691.0</v>
      </c>
      <c r="F619" s="7" t="s">
        <v>3877</v>
      </c>
      <c r="G619" s="7" t="s">
        <v>358</v>
      </c>
      <c r="H619" s="7" t="s">
        <v>365</v>
      </c>
      <c r="I619" s="7" t="s">
        <v>355</v>
      </c>
      <c r="J619" s="14"/>
      <c r="K619" s="14"/>
      <c r="O619" s="22"/>
      <c r="P619" s="22"/>
      <c r="Q619" s="23"/>
      <c r="R619" s="23"/>
      <c r="S619" s="14"/>
    </row>
    <row r="620" ht="18.75" customHeight="1">
      <c r="A620" s="7" t="s">
        <v>433</v>
      </c>
      <c r="B620" s="7" t="s">
        <v>3875</v>
      </c>
      <c r="C620" s="9">
        <v>1684527.0</v>
      </c>
      <c r="D620" s="9">
        <v>50942.0</v>
      </c>
      <c r="E620" s="9">
        <v>1085.0</v>
      </c>
      <c r="F620" s="7" t="s">
        <v>434</v>
      </c>
      <c r="G620" s="7" t="s">
        <v>404</v>
      </c>
      <c r="H620" s="7" t="s">
        <v>405</v>
      </c>
      <c r="I620" s="7" t="s">
        <v>355</v>
      </c>
      <c r="J620" s="14"/>
      <c r="K620" s="14"/>
      <c r="O620" s="22"/>
      <c r="P620" s="22"/>
      <c r="Q620" s="23"/>
      <c r="R620" s="23"/>
      <c r="S620" s="14"/>
    </row>
    <row r="621" ht="18.75" customHeight="1">
      <c r="A621" s="7" t="s">
        <v>433</v>
      </c>
      <c r="B621" s="7" t="s">
        <v>3875</v>
      </c>
      <c r="C621" s="9">
        <v>976443.0</v>
      </c>
      <c r="D621" s="9">
        <v>17300.0</v>
      </c>
      <c r="E621" s="9">
        <v>888.0</v>
      </c>
      <c r="F621" s="7" t="s">
        <v>434</v>
      </c>
      <c r="G621" s="7" t="s">
        <v>404</v>
      </c>
      <c r="H621" s="7" t="s">
        <v>405</v>
      </c>
      <c r="I621" s="7" t="s">
        <v>355</v>
      </c>
      <c r="J621" s="14"/>
      <c r="K621" s="14"/>
      <c r="O621" s="22"/>
      <c r="P621" s="22"/>
      <c r="Q621" s="23"/>
      <c r="R621" s="23"/>
      <c r="S621" s="14"/>
    </row>
    <row r="622" ht="18.75" customHeight="1">
      <c r="A622" s="7" t="s">
        <v>433</v>
      </c>
      <c r="B622" s="7" t="s">
        <v>3875</v>
      </c>
      <c r="C622" s="9">
        <v>1347043.0</v>
      </c>
      <c r="D622" s="9">
        <v>37103.0</v>
      </c>
      <c r="E622" s="9">
        <v>817.0</v>
      </c>
      <c r="F622" s="7" t="s">
        <v>434</v>
      </c>
      <c r="G622" s="7" t="s">
        <v>404</v>
      </c>
      <c r="H622" s="7" t="s">
        <v>405</v>
      </c>
      <c r="I622" s="7" t="s">
        <v>355</v>
      </c>
      <c r="J622" s="14"/>
      <c r="K622" s="14"/>
      <c r="O622" s="22"/>
      <c r="P622" s="22"/>
      <c r="Q622" s="23"/>
      <c r="R622" s="23"/>
      <c r="S622" s="14"/>
    </row>
    <row r="623" ht="18.75" customHeight="1">
      <c r="A623" s="7" t="s">
        <v>3749</v>
      </c>
      <c r="B623" s="7" t="s">
        <v>3875</v>
      </c>
      <c r="C623" s="9">
        <v>265011.0</v>
      </c>
      <c r="D623" s="9">
        <v>0.0</v>
      </c>
      <c r="E623" s="9">
        <v>319.0</v>
      </c>
      <c r="F623" s="7" t="s">
        <v>3885</v>
      </c>
      <c r="G623" s="7" t="s">
        <v>353</v>
      </c>
      <c r="H623" s="7" t="s">
        <v>413</v>
      </c>
      <c r="I623" s="7" t="s">
        <v>3886</v>
      </c>
      <c r="J623" s="14"/>
      <c r="K623" s="14"/>
      <c r="O623" s="22"/>
      <c r="P623" s="22"/>
      <c r="Q623" s="23"/>
      <c r="R623" s="23"/>
      <c r="S623" s="14"/>
    </row>
    <row r="624" ht="18.75" customHeight="1">
      <c r="A624" s="7" t="s">
        <v>3749</v>
      </c>
      <c r="B624" s="7" t="s">
        <v>3875</v>
      </c>
      <c r="C624" s="9">
        <v>550548.0</v>
      </c>
      <c r="D624" s="9">
        <v>0.0</v>
      </c>
      <c r="E624" s="9">
        <v>3186.0</v>
      </c>
      <c r="F624" s="7" t="s">
        <v>3885</v>
      </c>
      <c r="G624" s="7" t="s">
        <v>353</v>
      </c>
      <c r="H624" s="7" t="s">
        <v>413</v>
      </c>
      <c r="I624" s="7" t="s">
        <v>3886</v>
      </c>
      <c r="J624" s="14"/>
      <c r="K624" s="14"/>
      <c r="O624" s="22"/>
      <c r="P624" s="22"/>
      <c r="Q624" s="23"/>
      <c r="R624" s="23"/>
      <c r="S624" s="14"/>
    </row>
    <row r="625" ht="18.75" customHeight="1">
      <c r="A625" s="7" t="s">
        <v>3749</v>
      </c>
      <c r="B625" s="7" t="s">
        <v>3875</v>
      </c>
      <c r="C625" s="9">
        <v>550610.0</v>
      </c>
      <c r="D625" s="9">
        <v>0.0</v>
      </c>
      <c r="E625" s="9">
        <v>3483.0</v>
      </c>
      <c r="F625" s="7" t="s">
        <v>3885</v>
      </c>
      <c r="G625" s="7" t="s">
        <v>353</v>
      </c>
      <c r="H625" s="7" t="s">
        <v>413</v>
      </c>
      <c r="I625" s="7" t="s">
        <v>3886</v>
      </c>
      <c r="J625" s="14"/>
      <c r="K625" s="14"/>
      <c r="O625" s="22"/>
      <c r="P625" s="22"/>
      <c r="Q625" s="23"/>
      <c r="R625" s="23"/>
      <c r="S625" s="14"/>
    </row>
    <row r="626" ht="18.75" customHeight="1">
      <c r="A626" s="7" t="s">
        <v>487</v>
      </c>
      <c r="B626" s="7" t="s">
        <v>3875</v>
      </c>
      <c r="C626" s="9">
        <v>270415.0</v>
      </c>
      <c r="D626" s="9">
        <v>0.0</v>
      </c>
      <c r="E626" s="9">
        <v>11.0</v>
      </c>
      <c r="F626" s="7" t="s">
        <v>488</v>
      </c>
      <c r="G626" s="7" t="s">
        <v>364</v>
      </c>
      <c r="H626" s="7" t="s">
        <v>365</v>
      </c>
      <c r="I626" s="7" t="s">
        <v>355</v>
      </c>
      <c r="J626" s="14"/>
      <c r="K626" s="14"/>
      <c r="O626" s="22"/>
      <c r="P626" s="22"/>
      <c r="Q626" s="23"/>
      <c r="R626" s="23"/>
      <c r="S626" s="14"/>
    </row>
    <row r="627" ht="18.75" customHeight="1">
      <c r="A627" s="7" t="s">
        <v>441</v>
      </c>
      <c r="B627" s="7" t="s">
        <v>3875</v>
      </c>
      <c r="C627" s="9">
        <v>97248.0</v>
      </c>
      <c r="D627" s="9">
        <v>0.0</v>
      </c>
      <c r="E627" s="9">
        <v>1307.0</v>
      </c>
      <c r="F627" s="7" t="s">
        <v>442</v>
      </c>
      <c r="G627" s="7" t="s">
        <v>364</v>
      </c>
      <c r="H627" s="7" t="s">
        <v>365</v>
      </c>
      <c r="I627" s="7" t="s">
        <v>355</v>
      </c>
      <c r="J627" s="14"/>
      <c r="K627" s="14"/>
      <c r="O627" s="22"/>
      <c r="P627" s="22"/>
      <c r="Q627" s="23"/>
      <c r="R627" s="23"/>
      <c r="S627" s="14"/>
    </row>
    <row r="628" ht="18.75" customHeight="1">
      <c r="A628" s="7" t="s">
        <v>441</v>
      </c>
      <c r="B628" s="7" t="s">
        <v>3875</v>
      </c>
      <c r="C628" s="9">
        <v>492645.0</v>
      </c>
      <c r="D628" s="9">
        <v>0.0</v>
      </c>
      <c r="E628" s="9">
        <v>841.0</v>
      </c>
      <c r="F628" s="7" t="s">
        <v>442</v>
      </c>
      <c r="G628" s="7" t="s">
        <v>364</v>
      </c>
      <c r="H628" s="7" t="s">
        <v>365</v>
      </c>
      <c r="I628" s="7" t="s">
        <v>355</v>
      </c>
      <c r="J628" s="14"/>
      <c r="K628" s="14"/>
      <c r="O628" s="22"/>
      <c r="P628" s="22"/>
      <c r="Q628" s="23"/>
      <c r="R628" s="23"/>
      <c r="S628" s="14"/>
    </row>
    <row r="629" ht="18.75" customHeight="1">
      <c r="A629" s="7" t="s">
        <v>441</v>
      </c>
      <c r="B629" s="7" t="s">
        <v>3875</v>
      </c>
      <c r="C629" s="9">
        <v>89251.0</v>
      </c>
      <c r="D629" s="9">
        <v>0.0</v>
      </c>
      <c r="E629" s="9">
        <v>834.0</v>
      </c>
      <c r="F629" s="7" t="s">
        <v>442</v>
      </c>
      <c r="G629" s="7" t="s">
        <v>364</v>
      </c>
      <c r="H629" s="7" t="s">
        <v>365</v>
      </c>
      <c r="I629" s="7" t="s">
        <v>355</v>
      </c>
      <c r="J629" s="14"/>
      <c r="K629" s="14"/>
      <c r="O629" s="22"/>
      <c r="P629" s="22"/>
      <c r="Q629" s="23"/>
      <c r="R629" s="23"/>
      <c r="S629" s="14"/>
    </row>
    <row r="630" ht="18.75" customHeight="1">
      <c r="A630" s="7" t="s">
        <v>441</v>
      </c>
      <c r="B630" s="7" t="s">
        <v>3875</v>
      </c>
      <c r="C630" s="9">
        <v>132696.0</v>
      </c>
      <c r="D630" s="9">
        <v>0.0</v>
      </c>
      <c r="E630" s="9">
        <v>1440.0</v>
      </c>
      <c r="F630" s="7" t="s">
        <v>442</v>
      </c>
      <c r="G630" s="7" t="s">
        <v>364</v>
      </c>
      <c r="H630" s="7" t="s">
        <v>365</v>
      </c>
      <c r="I630" s="7" t="s">
        <v>355</v>
      </c>
      <c r="J630" s="14"/>
      <c r="K630" s="14"/>
      <c r="O630" s="22"/>
      <c r="P630" s="22"/>
      <c r="Q630" s="23"/>
      <c r="R630" s="23"/>
      <c r="S630" s="14"/>
    </row>
    <row r="631" ht="18.75" customHeight="1">
      <c r="A631" s="7" t="s">
        <v>441</v>
      </c>
      <c r="B631" s="7" t="s">
        <v>3875</v>
      </c>
      <c r="C631" s="9">
        <v>159673.0</v>
      </c>
      <c r="D631" s="9">
        <v>0.0</v>
      </c>
      <c r="E631" s="9">
        <v>1792.0</v>
      </c>
      <c r="F631" s="7" t="s">
        <v>442</v>
      </c>
      <c r="G631" s="7" t="s">
        <v>364</v>
      </c>
      <c r="H631" s="7" t="s">
        <v>365</v>
      </c>
      <c r="I631" s="7" t="s">
        <v>355</v>
      </c>
      <c r="J631" s="14"/>
      <c r="K631" s="14"/>
      <c r="O631" s="22"/>
      <c r="P631" s="22"/>
      <c r="Q631" s="23"/>
      <c r="R631" s="23"/>
      <c r="S631" s="14"/>
    </row>
    <row r="632" ht="18.75" customHeight="1">
      <c r="A632" s="7" t="s">
        <v>362</v>
      </c>
      <c r="B632" s="7" t="s">
        <v>3875</v>
      </c>
      <c r="C632" s="9">
        <v>464847.0</v>
      </c>
      <c r="D632" s="9">
        <v>10514.0</v>
      </c>
      <c r="E632" s="9">
        <v>957.0</v>
      </c>
      <c r="F632" s="7" t="s">
        <v>363</v>
      </c>
      <c r="G632" s="7" t="s">
        <v>364</v>
      </c>
      <c r="H632" s="7" t="s">
        <v>365</v>
      </c>
      <c r="I632" s="7" t="s">
        <v>355</v>
      </c>
      <c r="J632" s="14"/>
      <c r="K632" s="14"/>
      <c r="O632" s="22"/>
      <c r="P632" s="22"/>
      <c r="Q632" s="23"/>
      <c r="R632" s="23"/>
      <c r="S632" s="14"/>
    </row>
    <row r="633" ht="18.75" customHeight="1">
      <c r="A633" s="7" t="s">
        <v>362</v>
      </c>
      <c r="B633" s="7" t="s">
        <v>3875</v>
      </c>
      <c r="C633" s="9">
        <v>482607.0</v>
      </c>
      <c r="D633" s="9">
        <v>18705.0</v>
      </c>
      <c r="E633" s="9">
        <v>422.0</v>
      </c>
      <c r="F633" s="7" t="s">
        <v>363</v>
      </c>
      <c r="G633" s="7" t="s">
        <v>364</v>
      </c>
      <c r="H633" s="7" t="s">
        <v>365</v>
      </c>
      <c r="I633" s="7" t="s">
        <v>355</v>
      </c>
      <c r="J633" s="14"/>
      <c r="K633" s="14"/>
      <c r="O633" s="22"/>
      <c r="P633" s="22"/>
      <c r="Q633" s="23"/>
      <c r="R633" s="23"/>
      <c r="S633" s="14"/>
    </row>
    <row r="634" ht="18.75" customHeight="1">
      <c r="A634" s="7" t="s">
        <v>362</v>
      </c>
      <c r="B634" s="7" t="s">
        <v>3875</v>
      </c>
      <c r="C634" s="9">
        <v>509231.0</v>
      </c>
      <c r="D634" s="9">
        <v>35042.0</v>
      </c>
      <c r="E634" s="9">
        <v>524.0</v>
      </c>
      <c r="F634" s="7" t="s">
        <v>363</v>
      </c>
      <c r="G634" s="7" t="s">
        <v>364</v>
      </c>
      <c r="H634" s="7" t="s">
        <v>365</v>
      </c>
      <c r="I634" s="7" t="s">
        <v>355</v>
      </c>
      <c r="J634" s="14"/>
      <c r="K634" s="14"/>
      <c r="O634" s="22"/>
      <c r="P634" s="22"/>
      <c r="Q634" s="23"/>
      <c r="R634" s="23"/>
      <c r="S634" s="14"/>
    </row>
    <row r="635" ht="18.75" customHeight="1">
      <c r="A635" s="7" t="s">
        <v>362</v>
      </c>
      <c r="B635" s="7" t="s">
        <v>3875</v>
      </c>
      <c r="C635" s="9">
        <v>504760.0</v>
      </c>
      <c r="D635" s="9">
        <v>0.0</v>
      </c>
      <c r="E635" s="9">
        <v>594.0</v>
      </c>
      <c r="F635" s="7" t="s">
        <v>363</v>
      </c>
      <c r="G635" s="7" t="s">
        <v>364</v>
      </c>
      <c r="H635" s="7" t="s">
        <v>365</v>
      </c>
      <c r="I635" s="7" t="s">
        <v>355</v>
      </c>
      <c r="J635" s="14"/>
      <c r="K635" s="14"/>
      <c r="O635" s="22"/>
      <c r="P635" s="22"/>
      <c r="Q635" s="23"/>
      <c r="R635" s="23"/>
      <c r="S635" s="14"/>
    </row>
    <row r="636" ht="18.75" customHeight="1">
      <c r="A636" s="7" t="s">
        <v>491</v>
      </c>
      <c r="B636" s="7" t="s">
        <v>3875</v>
      </c>
      <c r="C636" s="9">
        <v>428813.0</v>
      </c>
      <c r="D636" s="9">
        <v>0.0</v>
      </c>
      <c r="E636" s="9">
        <v>704.0</v>
      </c>
      <c r="F636" s="7" t="s">
        <v>492</v>
      </c>
      <c r="G636" s="7" t="s">
        <v>364</v>
      </c>
      <c r="H636" s="7" t="s">
        <v>365</v>
      </c>
      <c r="I636" s="7" t="s">
        <v>355</v>
      </c>
      <c r="J636" s="14"/>
      <c r="K636" s="14"/>
      <c r="O636" s="22"/>
      <c r="P636" s="22"/>
      <c r="Q636" s="23"/>
      <c r="R636" s="23"/>
      <c r="S636" s="14"/>
    </row>
    <row r="637" ht="18.75" customHeight="1">
      <c r="A637" s="7" t="s">
        <v>489</v>
      </c>
      <c r="B637" s="7" t="s">
        <v>3875</v>
      </c>
      <c r="C637" s="9">
        <v>27757.0</v>
      </c>
      <c r="D637" s="9">
        <v>0.0</v>
      </c>
      <c r="E637" s="9">
        <v>289.0</v>
      </c>
      <c r="F637" s="7" t="s">
        <v>490</v>
      </c>
      <c r="G637" s="7" t="s">
        <v>364</v>
      </c>
      <c r="H637" s="7" t="s">
        <v>365</v>
      </c>
      <c r="I637" s="7" t="s">
        <v>355</v>
      </c>
      <c r="J637" s="14"/>
      <c r="K637" s="14"/>
      <c r="O637" s="22"/>
      <c r="P637" s="22"/>
      <c r="Q637" s="23"/>
      <c r="R637" s="23"/>
      <c r="S637" s="14"/>
    </row>
    <row r="638" ht="18.75" customHeight="1">
      <c r="A638" s="7" t="s">
        <v>431</v>
      </c>
      <c r="B638" s="7" t="s">
        <v>3875</v>
      </c>
      <c r="C638" s="9">
        <v>6473.0</v>
      </c>
      <c r="D638" s="9">
        <v>1135.0</v>
      </c>
      <c r="E638" s="9">
        <v>15.0</v>
      </c>
      <c r="F638" s="7" t="s">
        <v>432</v>
      </c>
      <c r="G638" s="7" t="s">
        <v>404</v>
      </c>
      <c r="H638" s="7" t="s">
        <v>405</v>
      </c>
      <c r="I638" s="7" t="s">
        <v>355</v>
      </c>
      <c r="J638" s="14"/>
      <c r="K638" s="14"/>
      <c r="O638" s="22"/>
      <c r="P638" s="22"/>
      <c r="Q638" s="23"/>
      <c r="R638" s="23"/>
      <c r="S638" s="14"/>
    </row>
    <row r="639" ht="18.75" customHeight="1">
      <c r="A639" s="7" t="s">
        <v>431</v>
      </c>
      <c r="B639" s="7" t="s">
        <v>3875</v>
      </c>
      <c r="C639" s="9">
        <v>41958.0</v>
      </c>
      <c r="D639" s="9">
        <v>3042.0</v>
      </c>
      <c r="E639" s="9">
        <v>78.0</v>
      </c>
      <c r="F639" s="7" t="s">
        <v>432</v>
      </c>
      <c r="G639" s="7" t="s">
        <v>404</v>
      </c>
      <c r="H639" s="7" t="s">
        <v>405</v>
      </c>
      <c r="I639" s="7" t="s">
        <v>355</v>
      </c>
      <c r="J639" s="14"/>
      <c r="K639" s="14"/>
      <c r="O639" s="22"/>
      <c r="P639" s="22"/>
      <c r="Q639" s="23"/>
      <c r="R639" s="23"/>
      <c r="S639" s="14"/>
    </row>
    <row r="640" ht="18.75" customHeight="1">
      <c r="A640" s="7" t="s">
        <v>431</v>
      </c>
      <c r="B640" s="7" t="s">
        <v>3875</v>
      </c>
      <c r="C640" s="9">
        <v>171373.0</v>
      </c>
      <c r="D640" s="9">
        <v>14527.0</v>
      </c>
      <c r="E640" s="9">
        <v>211.0</v>
      </c>
      <c r="F640" s="7" t="s">
        <v>432</v>
      </c>
      <c r="G640" s="7" t="s">
        <v>404</v>
      </c>
      <c r="H640" s="7" t="s">
        <v>405</v>
      </c>
      <c r="I640" s="7" t="s">
        <v>355</v>
      </c>
      <c r="J640" s="14"/>
      <c r="K640" s="14"/>
      <c r="O640" s="22"/>
      <c r="P640" s="22"/>
      <c r="Q640" s="23"/>
      <c r="R640" s="23"/>
      <c r="S640" s="14"/>
    </row>
    <row r="641" ht="18.75" customHeight="1">
      <c r="A641" s="7" t="s">
        <v>431</v>
      </c>
      <c r="B641" s="7" t="s">
        <v>3875</v>
      </c>
      <c r="C641" s="9">
        <v>1276974.0</v>
      </c>
      <c r="D641" s="9">
        <v>26661.0</v>
      </c>
      <c r="E641" s="9">
        <v>907.0</v>
      </c>
      <c r="F641" s="7" t="s">
        <v>432</v>
      </c>
      <c r="G641" s="7" t="s">
        <v>404</v>
      </c>
      <c r="H641" s="7" t="s">
        <v>405</v>
      </c>
      <c r="I641" s="7" t="s">
        <v>355</v>
      </c>
      <c r="J641" s="14"/>
      <c r="K641" s="14"/>
      <c r="O641" s="22"/>
      <c r="P641" s="22"/>
      <c r="Q641" s="23"/>
      <c r="R641" s="23"/>
      <c r="S641" s="14"/>
    </row>
    <row r="642" ht="18.75" customHeight="1">
      <c r="A642" s="7" t="s">
        <v>431</v>
      </c>
      <c r="B642" s="7" t="s">
        <v>3875</v>
      </c>
      <c r="C642" s="9">
        <v>1590395.0</v>
      </c>
      <c r="D642" s="9">
        <v>53392.0</v>
      </c>
      <c r="E642" s="9">
        <v>956.0</v>
      </c>
      <c r="F642" s="7" t="s">
        <v>432</v>
      </c>
      <c r="G642" s="7" t="s">
        <v>404</v>
      </c>
      <c r="H642" s="7" t="s">
        <v>405</v>
      </c>
      <c r="I642" s="7" t="s">
        <v>355</v>
      </c>
      <c r="J642" s="14"/>
      <c r="K642" s="14"/>
      <c r="O642" s="22"/>
      <c r="P642" s="22"/>
      <c r="Q642" s="23"/>
      <c r="R642" s="23"/>
      <c r="S642" s="14"/>
    </row>
    <row r="643" ht="18.75" customHeight="1">
      <c r="A643" s="7" t="s">
        <v>435</v>
      </c>
      <c r="B643" s="7" t="s">
        <v>3875</v>
      </c>
      <c r="C643" s="9">
        <v>1094818.0</v>
      </c>
      <c r="D643" s="9">
        <v>0.0</v>
      </c>
      <c r="E643" s="9">
        <v>2069.0</v>
      </c>
      <c r="F643" s="7" t="s">
        <v>436</v>
      </c>
      <c r="G643" s="7" t="s">
        <v>404</v>
      </c>
      <c r="H643" s="7" t="s">
        <v>405</v>
      </c>
      <c r="I643" s="7" t="s">
        <v>355</v>
      </c>
      <c r="J643" s="14"/>
      <c r="K643" s="14"/>
      <c r="O643" s="22"/>
      <c r="P643" s="22"/>
      <c r="Q643" s="23"/>
      <c r="R643" s="23"/>
      <c r="S643" s="14"/>
    </row>
    <row r="644" ht="18.75" customHeight="1">
      <c r="A644" s="7" t="s">
        <v>435</v>
      </c>
      <c r="B644" s="7" t="s">
        <v>3875</v>
      </c>
      <c r="C644" s="9">
        <v>1306495.0</v>
      </c>
      <c r="D644" s="9">
        <v>0.0</v>
      </c>
      <c r="E644" s="9">
        <v>2172.0</v>
      </c>
      <c r="F644" s="7" t="s">
        <v>436</v>
      </c>
      <c r="G644" s="7" t="s">
        <v>404</v>
      </c>
      <c r="H644" s="7" t="s">
        <v>405</v>
      </c>
      <c r="I644" s="7" t="s">
        <v>355</v>
      </c>
      <c r="J644" s="14"/>
      <c r="K644" s="14"/>
      <c r="O644" s="22"/>
      <c r="P644" s="22"/>
      <c r="Q644" s="23"/>
      <c r="R644" s="23"/>
      <c r="S644" s="14"/>
    </row>
    <row r="645" ht="18.75" customHeight="1">
      <c r="A645" s="7" t="s">
        <v>435</v>
      </c>
      <c r="B645" s="7" t="s">
        <v>3875</v>
      </c>
      <c r="C645" s="9">
        <v>927063.0</v>
      </c>
      <c r="D645" s="9">
        <v>0.0</v>
      </c>
      <c r="E645" s="9">
        <v>1572.0</v>
      </c>
      <c r="F645" s="7" t="s">
        <v>436</v>
      </c>
      <c r="G645" s="7" t="s">
        <v>404</v>
      </c>
      <c r="H645" s="7" t="s">
        <v>405</v>
      </c>
      <c r="I645" s="7" t="s">
        <v>355</v>
      </c>
      <c r="J645" s="14"/>
      <c r="K645" s="14"/>
      <c r="O645" s="22"/>
      <c r="P645" s="22"/>
      <c r="Q645" s="23"/>
      <c r="R645" s="23"/>
      <c r="S645" s="14"/>
    </row>
    <row r="646" ht="18.75" customHeight="1">
      <c r="A646" s="7" t="s">
        <v>437</v>
      </c>
      <c r="B646" s="7" t="s">
        <v>3875</v>
      </c>
      <c r="C646" s="9">
        <v>1295206.0</v>
      </c>
      <c r="D646" s="9">
        <v>0.0</v>
      </c>
      <c r="E646" s="9">
        <v>3070.0</v>
      </c>
      <c r="F646" s="7" t="s">
        <v>438</v>
      </c>
      <c r="G646" s="7" t="s">
        <v>404</v>
      </c>
      <c r="H646" s="7" t="s">
        <v>405</v>
      </c>
      <c r="I646" s="7" t="s">
        <v>355</v>
      </c>
      <c r="J646" s="14"/>
      <c r="K646" s="14"/>
      <c r="O646" s="22"/>
      <c r="P646" s="22"/>
      <c r="Q646" s="23"/>
      <c r="R646" s="23"/>
      <c r="S646" s="14"/>
    </row>
    <row r="647" ht="18.75" customHeight="1">
      <c r="A647" s="7" t="s">
        <v>437</v>
      </c>
      <c r="B647" s="7" t="s">
        <v>3875</v>
      </c>
      <c r="C647" s="9">
        <v>1684494.0</v>
      </c>
      <c r="D647" s="9">
        <v>0.0</v>
      </c>
      <c r="E647" s="9">
        <v>2176.0</v>
      </c>
      <c r="F647" s="7" t="s">
        <v>438</v>
      </c>
      <c r="G647" s="7" t="s">
        <v>404</v>
      </c>
      <c r="H647" s="7" t="s">
        <v>405</v>
      </c>
      <c r="I647" s="7" t="s">
        <v>355</v>
      </c>
      <c r="J647" s="14"/>
      <c r="K647" s="14"/>
      <c r="O647" s="22"/>
      <c r="P647" s="22"/>
      <c r="Q647" s="23"/>
      <c r="R647" s="23"/>
      <c r="S647" s="14"/>
    </row>
    <row r="648" ht="18.75" customHeight="1">
      <c r="A648" s="7" t="s">
        <v>437</v>
      </c>
      <c r="B648" s="7" t="s">
        <v>3875</v>
      </c>
      <c r="C648" s="9">
        <v>1483753.0</v>
      </c>
      <c r="D648" s="9">
        <v>0.0</v>
      </c>
      <c r="E648" s="9">
        <v>2348.0</v>
      </c>
      <c r="F648" s="7" t="s">
        <v>438</v>
      </c>
      <c r="G648" s="7" t="s">
        <v>404</v>
      </c>
      <c r="H648" s="7" t="s">
        <v>405</v>
      </c>
      <c r="I648" s="7" t="s">
        <v>355</v>
      </c>
      <c r="J648" s="14"/>
      <c r="K648" s="14"/>
      <c r="O648" s="22"/>
      <c r="P648" s="22"/>
      <c r="Q648" s="23"/>
      <c r="R648" s="23"/>
      <c r="S648" s="14"/>
    </row>
    <row r="649" ht="18.75" customHeight="1">
      <c r="A649" s="7" t="s">
        <v>479</v>
      </c>
      <c r="B649" s="7" t="s">
        <v>3875</v>
      </c>
      <c r="C649" s="9">
        <v>637028.0</v>
      </c>
      <c r="D649" s="9">
        <v>34107.0</v>
      </c>
      <c r="E649" s="9">
        <v>594.0</v>
      </c>
      <c r="F649" s="7" t="s">
        <v>480</v>
      </c>
      <c r="G649" s="7" t="s">
        <v>404</v>
      </c>
      <c r="H649" s="7" t="s">
        <v>405</v>
      </c>
      <c r="I649" s="7" t="s">
        <v>355</v>
      </c>
      <c r="J649" s="14"/>
      <c r="K649" s="14"/>
      <c r="O649" s="22"/>
      <c r="P649" s="22"/>
      <c r="Q649" s="23"/>
      <c r="R649" s="23"/>
      <c r="S649" s="14"/>
    </row>
    <row r="650" ht="18.75" customHeight="1">
      <c r="A650" s="7" t="s">
        <v>479</v>
      </c>
      <c r="B650" s="7" t="s">
        <v>3875</v>
      </c>
      <c r="C650" s="9">
        <v>1213973.0</v>
      </c>
      <c r="D650" s="9">
        <v>99806.0</v>
      </c>
      <c r="E650" s="9">
        <v>878.0</v>
      </c>
      <c r="F650" s="7" t="s">
        <v>480</v>
      </c>
      <c r="G650" s="7" t="s">
        <v>404</v>
      </c>
      <c r="H650" s="7" t="s">
        <v>405</v>
      </c>
      <c r="I650" s="7" t="s">
        <v>355</v>
      </c>
      <c r="J650" s="14"/>
      <c r="K650" s="14"/>
      <c r="O650" s="22"/>
      <c r="P650" s="22"/>
      <c r="Q650" s="23"/>
      <c r="R650" s="23"/>
      <c r="S650" s="14"/>
    </row>
    <row r="651" ht="18.75" customHeight="1">
      <c r="A651" s="7" t="s">
        <v>493</v>
      </c>
      <c r="B651" s="7" t="s">
        <v>3875</v>
      </c>
      <c r="C651" s="9">
        <v>289356.0</v>
      </c>
      <c r="D651" s="9">
        <v>0.0</v>
      </c>
      <c r="E651" s="9">
        <v>696.0</v>
      </c>
      <c r="F651" s="7" t="s">
        <v>494</v>
      </c>
      <c r="G651" s="7" t="s">
        <v>364</v>
      </c>
      <c r="H651" s="7" t="s">
        <v>365</v>
      </c>
      <c r="I651" s="7" t="s">
        <v>355</v>
      </c>
      <c r="J651" s="14"/>
      <c r="K651" s="14"/>
      <c r="O651" s="22"/>
      <c r="P651" s="22"/>
      <c r="Q651" s="23"/>
      <c r="R651" s="23"/>
      <c r="S651" s="14"/>
    </row>
    <row r="652" ht="18.75" customHeight="1">
      <c r="A652" s="7" t="s">
        <v>493</v>
      </c>
      <c r="B652" s="7" t="s">
        <v>3875</v>
      </c>
      <c r="C652" s="9">
        <v>307899.0</v>
      </c>
      <c r="D652" s="9">
        <v>0.0</v>
      </c>
      <c r="E652" s="9">
        <v>844.0</v>
      </c>
      <c r="F652" s="7" t="s">
        <v>494</v>
      </c>
      <c r="G652" s="7" t="s">
        <v>364</v>
      </c>
      <c r="H652" s="7" t="s">
        <v>365</v>
      </c>
      <c r="I652" s="7" t="s">
        <v>355</v>
      </c>
      <c r="J652" s="14"/>
      <c r="K652" s="14"/>
      <c r="O652" s="22"/>
      <c r="P652" s="22"/>
      <c r="Q652" s="23"/>
      <c r="R652" s="23"/>
      <c r="S652" s="14"/>
    </row>
    <row r="653" ht="18.75" customHeight="1">
      <c r="A653" s="7" t="s">
        <v>406</v>
      </c>
      <c r="B653" s="7" t="s">
        <v>3875</v>
      </c>
      <c r="C653" s="9">
        <v>656152.0</v>
      </c>
      <c r="D653" s="9">
        <v>0.0</v>
      </c>
      <c r="E653" s="9">
        <v>4677.0</v>
      </c>
      <c r="F653" s="7" t="s">
        <v>407</v>
      </c>
      <c r="G653" s="7" t="s">
        <v>358</v>
      </c>
      <c r="H653" s="7" t="s">
        <v>365</v>
      </c>
      <c r="I653" s="7" t="s">
        <v>355</v>
      </c>
      <c r="J653" s="14"/>
      <c r="K653" s="14"/>
      <c r="O653" s="22"/>
      <c r="P653" s="22"/>
      <c r="Q653" s="23"/>
      <c r="R653" s="23"/>
      <c r="S653" s="14"/>
    </row>
    <row r="654" ht="18.75" customHeight="1">
      <c r="A654" s="7" t="s">
        <v>495</v>
      </c>
      <c r="B654" s="7" t="s">
        <v>3875</v>
      </c>
      <c r="C654" s="9">
        <v>88729.0</v>
      </c>
      <c r="D654" s="9">
        <v>8844.0</v>
      </c>
      <c r="E654" s="9">
        <v>339.0</v>
      </c>
      <c r="F654" s="7" t="s">
        <v>496</v>
      </c>
      <c r="G654" s="7" t="s">
        <v>358</v>
      </c>
      <c r="H654" s="7" t="s">
        <v>466</v>
      </c>
      <c r="I654" s="7" t="s">
        <v>355</v>
      </c>
      <c r="J654" s="14"/>
      <c r="K654" s="14"/>
      <c r="O654" s="22"/>
      <c r="P654" s="22"/>
      <c r="Q654" s="23"/>
      <c r="R654" s="23"/>
      <c r="S654" s="14"/>
    </row>
    <row r="655" ht="18.75" customHeight="1">
      <c r="A655" s="7" t="s">
        <v>495</v>
      </c>
      <c r="B655" s="7" t="s">
        <v>3875</v>
      </c>
      <c r="C655" s="9">
        <v>435874.0</v>
      </c>
      <c r="D655" s="9">
        <v>16128.0</v>
      </c>
      <c r="E655" s="9">
        <v>655.0</v>
      </c>
      <c r="F655" s="7" t="s">
        <v>496</v>
      </c>
      <c r="G655" s="7" t="s">
        <v>358</v>
      </c>
      <c r="H655" s="7" t="s">
        <v>466</v>
      </c>
      <c r="I655" s="7" t="s">
        <v>355</v>
      </c>
      <c r="J655" s="14"/>
      <c r="K655" s="14"/>
      <c r="O655" s="22"/>
      <c r="P655" s="22"/>
      <c r="Q655" s="23"/>
      <c r="R655" s="23"/>
      <c r="S655" s="14"/>
    </row>
    <row r="656" ht="18.75" customHeight="1">
      <c r="A656" s="7" t="s">
        <v>495</v>
      </c>
      <c r="B656" s="7" t="s">
        <v>3875</v>
      </c>
      <c r="C656" s="9">
        <v>271890.0</v>
      </c>
      <c r="D656" s="9">
        <v>8546.0</v>
      </c>
      <c r="E656" s="9">
        <v>388.0</v>
      </c>
      <c r="F656" s="7" t="s">
        <v>496</v>
      </c>
      <c r="G656" s="7" t="s">
        <v>358</v>
      </c>
      <c r="H656" s="7" t="s">
        <v>466</v>
      </c>
      <c r="I656" s="7" t="s">
        <v>355</v>
      </c>
      <c r="J656" s="14"/>
      <c r="K656" s="14"/>
      <c r="O656" s="22"/>
      <c r="P656" s="22"/>
      <c r="Q656" s="23"/>
      <c r="R656" s="23"/>
      <c r="S656" s="14"/>
    </row>
    <row r="657" ht="18.75" customHeight="1">
      <c r="A657" s="7" t="s">
        <v>475</v>
      </c>
      <c r="B657" s="7" t="s">
        <v>3875</v>
      </c>
      <c r="C657" s="9">
        <v>560189.0</v>
      </c>
      <c r="D657" s="9">
        <v>18211.0</v>
      </c>
      <c r="E657" s="9">
        <v>617.0</v>
      </c>
      <c r="F657" s="7" t="s">
        <v>476</v>
      </c>
      <c r="G657" s="7" t="s">
        <v>364</v>
      </c>
      <c r="H657" s="7" t="s">
        <v>365</v>
      </c>
      <c r="I657" s="7" t="s">
        <v>355</v>
      </c>
      <c r="J657" s="14"/>
      <c r="K657" s="14"/>
      <c r="O657" s="22"/>
      <c r="P657" s="22"/>
      <c r="Q657" s="23"/>
      <c r="R657" s="23"/>
      <c r="S657" s="14"/>
    </row>
    <row r="658" ht="18.75" customHeight="1">
      <c r="A658" s="7" t="s">
        <v>452</v>
      </c>
      <c r="B658" s="7" t="s">
        <v>3875</v>
      </c>
      <c r="C658" s="9">
        <v>161672.0</v>
      </c>
      <c r="D658" s="9">
        <v>21745.0</v>
      </c>
      <c r="E658" s="9">
        <v>130.0</v>
      </c>
      <c r="F658" s="7" t="s">
        <v>453</v>
      </c>
      <c r="G658" s="7" t="s">
        <v>416</v>
      </c>
      <c r="H658" s="7" t="s">
        <v>417</v>
      </c>
      <c r="I658" s="7" t="s">
        <v>355</v>
      </c>
      <c r="J658" s="14"/>
      <c r="K658" s="14"/>
      <c r="O658" s="22"/>
      <c r="P658" s="22"/>
      <c r="Q658" s="23"/>
      <c r="R658" s="23"/>
      <c r="S658" s="14"/>
    </row>
    <row r="659" ht="18.75" customHeight="1">
      <c r="A659" s="7" t="s">
        <v>511</v>
      </c>
      <c r="B659" s="7" t="s">
        <v>3875</v>
      </c>
      <c r="C659" s="9">
        <v>62084.0</v>
      </c>
      <c r="D659" s="9">
        <v>10618.0</v>
      </c>
      <c r="E659" s="9">
        <v>114.0</v>
      </c>
      <c r="F659" s="7" t="s">
        <v>512</v>
      </c>
      <c r="G659" s="7" t="s">
        <v>358</v>
      </c>
      <c r="H659" s="7" t="s">
        <v>466</v>
      </c>
      <c r="I659" s="7" t="s">
        <v>355</v>
      </c>
      <c r="J659" s="14"/>
      <c r="K659" s="14"/>
      <c r="O659" s="22"/>
      <c r="P659" s="22"/>
      <c r="Q659" s="23"/>
      <c r="R659" s="23"/>
      <c r="S659" s="14"/>
    </row>
    <row r="660" ht="18.75" customHeight="1">
      <c r="A660" s="7" t="s">
        <v>511</v>
      </c>
      <c r="B660" s="7" t="s">
        <v>3875</v>
      </c>
      <c r="C660" s="9">
        <v>799458.0</v>
      </c>
      <c r="D660" s="9">
        <v>30549.0</v>
      </c>
      <c r="E660" s="9">
        <v>1253.0</v>
      </c>
      <c r="F660" s="7" t="s">
        <v>512</v>
      </c>
      <c r="G660" s="7" t="s">
        <v>358</v>
      </c>
      <c r="H660" s="7" t="s">
        <v>466</v>
      </c>
      <c r="I660" s="7" t="s">
        <v>355</v>
      </c>
      <c r="J660" s="14"/>
      <c r="K660" s="14"/>
      <c r="O660" s="22"/>
      <c r="P660" s="22"/>
      <c r="Q660" s="23"/>
      <c r="R660" s="23"/>
      <c r="S660" s="14"/>
    </row>
    <row r="661" ht="18.75" customHeight="1">
      <c r="A661" s="7" t="s">
        <v>497</v>
      </c>
      <c r="B661" s="7" t="s">
        <v>3875</v>
      </c>
      <c r="C661" s="9">
        <v>255339.0</v>
      </c>
      <c r="D661" s="9">
        <v>28499.0</v>
      </c>
      <c r="E661" s="9">
        <v>349.0</v>
      </c>
      <c r="F661" s="7" t="s">
        <v>498</v>
      </c>
      <c r="G661" s="7" t="s">
        <v>404</v>
      </c>
      <c r="H661" s="7" t="s">
        <v>405</v>
      </c>
      <c r="I661" s="7" t="s">
        <v>355</v>
      </c>
      <c r="J661" s="14"/>
      <c r="K661" s="14"/>
      <c r="O661" s="22"/>
      <c r="P661" s="22"/>
      <c r="Q661" s="23"/>
      <c r="R661" s="23"/>
      <c r="S661" s="14"/>
    </row>
    <row r="662" ht="18.75" customHeight="1">
      <c r="A662" s="7" t="s">
        <v>497</v>
      </c>
      <c r="B662" s="7" t="s">
        <v>3875</v>
      </c>
      <c r="C662" s="9">
        <v>1224849.0</v>
      </c>
      <c r="D662" s="9">
        <v>51806.0</v>
      </c>
      <c r="E662" s="9">
        <v>1549.0</v>
      </c>
      <c r="F662" s="7" t="s">
        <v>498</v>
      </c>
      <c r="G662" s="7" t="s">
        <v>404</v>
      </c>
      <c r="H662" s="7" t="s">
        <v>405</v>
      </c>
      <c r="I662" s="7" t="s">
        <v>355</v>
      </c>
      <c r="J662" s="14"/>
      <c r="K662" s="14"/>
      <c r="O662" s="22"/>
      <c r="P662" s="22"/>
      <c r="Q662" s="23"/>
      <c r="R662" s="23"/>
      <c r="S662" s="14"/>
    </row>
    <row r="663" ht="18.75" customHeight="1">
      <c r="A663" s="7" t="s">
        <v>477</v>
      </c>
      <c r="B663" s="7" t="s">
        <v>3875</v>
      </c>
      <c r="C663" s="9">
        <v>50835.0</v>
      </c>
      <c r="D663" s="9">
        <v>5895.0</v>
      </c>
      <c r="E663" s="9">
        <v>57.0</v>
      </c>
      <c r="F663" s="7" t="s">
        <v>478</v>
      </c>
      <c r="G663" s="7" t="s">
        <v>416</v>
      </c>
      <c r="H663" s="7" t="s">
        <v>417</v>
      </c>
      <c r="I663" s="7" t="s">
        <v>355</v>
      </c>
      <c r="J663" s="14"/>
      <c r="K663" s="14"/>
      <c r="O663" s="22"/>
      <c r="P663" s="22"/>
      <c r="Q663" s="23"/>
      <c r="R663" s="23"/>
      <c r="S663" s="14"/>
    </row>
    <row r="664" ht="18.75" customHeight="1">
      <c r="A664" s="7" t="s">
        <v>385</v>
      </c>
      <c r="B664" s="7" t="s">
        <v>3875</v>
      </c>
      <c r="C664" s="9">
        <v>149315.0</v>
      </c>
      <c r="D664" s="9">
        <v>0.0</v>
      </c>
      <c r="E664" s="9">
        <v>685.0</v>
      </c>
      <c r="F664" s="7" t="s">
        <v>386</v>
      </c>
      <c r="G664" s="7" t="s">
        <v>358</v>
      </c>
      <c r="H664" s="7" t="s">
        <v>387</v>
      </c>
      <c r="I664" s="7" t="s">
        <v>355</v>
      </c>
      <c r="J664" s="14"/>
      <c r="K664" s="14"/>
      <c r="O664" s="22"/>
      <c r="P664" s="22"/>
      <c r="Q664" s="23"/>
      <c r="R664" s="23"/>
      <c r="S664" s="14"/>
    </row>
    <row r="665" ht="18.75" customHeight="1">
      <c r="A665" s="7" t="s">
        <v>385</v>
      </c>
      <c r="B665" s="7" t="s">
        <v>3875</v>
      </c>
      <c r="C665" s="9">
        <v>141780.0</v>
      </c>
      <c r="D665" s="9">
        <v>0.0</v>
      </c>
      <c r="E665" s="9">
        <v>643.0</v>
      </c>
      <c r="F665" s="7" t="s">
        <v>386</v>
      </c>
      <c r="G665" s="7" t="s">
        <v>358</v>
      </c>
      <c r="H665" s="7" t="s">
        <v>387</v>
      </c>
      <c r="I665" s="7" t="s">
        <v>355</v>
      </c>
      <c r="J665" s="14"/>
      <c r="K665" s="14"/>
      <c r="O665" s="22"/>
      <c r="P665" s="22"/>
      <c r="Q665" s="23"/>
      <c r="R665" s="23"/>
      <c r="S665" s="14"/>
    </row>
    <row r="666" ht="18.75" customHeight="1">
      <c r="A666" s="7" t="s">
        <v>385</v>
      </c>
      <c r="B666" s="7" t="s">
        <v>3875</v>
      </c>
      <c r="C666" s="9">
        <v>226529.0</v>
      </c>
      <c r="D666" s="9">
        <v>0.0</v>
      </c>
      <c r="E666" s="9">
        <v>431.0</v>
      </c>
      <c r="F666" s="7" t="s">
        <v>386</v>
      </c>
      <c r="G666" s="7" t="s">
        <v>358</v>
      </c>
      <c r="H666" s="7" t="s">
        <v>387</v>
      </c>
      <c r="I666" s="7" t="s">
        <v>355</v>
      </c>
      <c r="J666" s="14"/>
      <c r="K666" s="14"/>
      <c r="O666" s="22"/>
      <c r="P666" s="22"/>
      <c r="Q666" s="23"/>
      <c r="R666" s="23"/>
      <c r="S666" s="14"/>
    </row>
    <row r="667" ht="18.75" customHeight="1">
      <c r="A667" s="7" t="s">
        <v>539</v>
      </c>
      <c r="B667" s="7" t="s">
        <v>3875</v>
      </c>
      <c r="C667" s="9">
        <v>125934.0</v>
      </c>
      <c r="D667" s="9">
        <v>25552.0</v>
      </c>
      <c r="E667" s="9">
        <v>164.0</v>
      </c>
      <c r="F667" s="7" t="s">
        <v>540</v>
      </c>
      <c r="G667" s="7" t="s">
        <v>416</v>
      </c>
      <c r="H667" s="7" t="s">
        <v>417</v>
      </c>
      <c r="I667" s="7" t="s">
        <v>355</v>
      </c>
      <c r="J667" s="14"/>
      <c r="K667" s="14"/>
      <c r="O667" s="22"/>
      <c r="P667" s="22"/>
      <c r="Q667" s="23"/>
      <c r="R667" s="23"/>
      <c r="S667" s="14"/>
    </row>
    <row r="668" ht="18.75" customHeight="1">
      <c r="A668" s="7" t="s">
        <v>555</v>
      </c>
      <c r="B668" s="7" t="s">
        <v>3875</v>
      </c>
      <c r="C668" s="9">
        <v>131099.0</v>
      </c>
      <c r="D668" s="9">
        <v>0.0</v>
      </c>
      <c r="E668" s="9">
        <v>9.0</v>
      </c>
      <c r="F668" s="7" t="s">
        <v>556</v>
      </c>
      <c r="G668" s="7" t="s">
        <v>364</v>
      </c>
      <c r="H668" s="7" t="s">
        <v>365</v>
      </c>
      <c r="I668" s="7" t="s">
        <v>355</v>
      </c>
      <c r="J668" s="14"/>
      <c r="K668" s="14"/>
      <c r="O668" s="22"/>
      <c r="P668" s="22"/>
      <c r="Q668" s="23"/>
      <c r="R668" s="23"/>
      <c r="S668" s="14"/>
    </row>
    <row r="669" ht="18.75" customHeight="1">
      <c r="A669" s="7" t="s">
        <v>541</v>
      </c>
      <c r="B669" s="7" t="s">
        <v>3875</v>
      </c>
      <c r="C669" s="9">
        <v>27945.0</v>
      </c>
      <c r="D669" s="9">
        <v>0.0</v>
      </c>
      <c r="E669" s="9">
        <v>316.0</v>
      </c>
      <c r="F669" s="7" t="s">
        <v>542</v>
      </c>
      <c r="G669" s="7" t="s">
        <v>416</v>
      </c>
      <c r="H669" s="7" t="s">
        <v>417</v>
      </c>
      <c r="I669" s="7" t="s">
        <v>355</v>
      </c>
      <c r="J669" s="14"/>
      <c r="K669" s="14"/>
      <c r="O669" s="22"/>
      <c r="P669" s="22"/>
      <c r="Q669" s="23"/>
      <c r="R669" s="23"/>
      <c r="S669" s="14"/>
    </row>
    <row r="670" ht="18.75" customHeight="1">
      <c r="A670" s="7" t="s">
        <v>567</v>
      </c>
      <c r="B670" s="7" t="s">
        <v>3875</v>
      </c>
      <c r="C670" s="9">
        <v>1024884.0</v>
      </c>
      <c r="D670" s="9">
        <v>0.0</v>
      </c>
      <c r="E670" s="9">
        <v>1812.0</v>
      </c>
      <c r="F670" s="7" t="s">
        <v>568</v>
      </c>
      <c r="G670" s="7" t="s">
        <v>353</v>
      </c>
      <c r="H670" s="7" t="s">
        <v>378</v>
      </c>
      <c r="I670" s="7" t="s">
        <v>355</v>
      </c>
      <c r="J670" s="14"/>
      <c r="K670" s="14"/>
      <c r="O670" s="22"/>
      <c r="P670" s="22"/>
      <c r="Q670" s="23"/>
      <c r="R670" s="23"/>
      <c r="S670" s="14"/>
    </row>
    <row r="671" ht="18.75" customHeight="1">
      <c r="A671" s="7" t="s">
        <v>529</v>
      </c>
      <c r="B671" s="7" t="s">
        <v>3875</v>
      </c>
      <c r="C671" s="9">
        <v>54333.0</v>
      </c>
      <c r="D671" s="9">
        <v>0.0</v>
      </c>
      <c r="E671" s="9">
        <v>248.0</v>
      </c>
      <c r="F671" s="7" t="s">
        <v>530</v>
      </c>
      <c r="G671" s="7" t="s">
        <v>358</v>
      </c>
      <c r="H671" s="7" t="s">
        <v>387</v>
      </c>
      <c r="I671" s="7" t="s">
        <v>355</v>
      </c>
      <c r="J671" s="14"/>
      <c r="K671" s="14"/>
      <c r="O671" s="22"/>
      <c r="P671" s="22"/>
      <c r="Q671" s="23"/>
      <c r="R671" s="23"/>
      <c r="S671" s="14"/>
    </row>
    <row r="672" ht="18.75" customHeight="1">
      <c r="A672" s="7" t="s">
        <v>529</v>
      </c>
      <c r="B672" s="7" t="s">
        <v>3875</v>
      </c>
      <c r="C672" s="9">
        <v>0.0</v>
      </c>
      <c r="D672" s="9">
        <v>0.0</v>
      </c>
      <c r="E672" s="9">
        <v>0.0</v>
      </c>
      <c r="F672" s="7" t="s">
        <v>530</v>
      </c>
      <c r="G672" s="7" t="s">
        <v>358</v>
      </c>
      <c r="H672" s="7" t="s">
        <v>387</v>
      </c>
      <c r="I672" s="7" t="s">
        <v>355</v>
      </c>
      <c r="J672" s="14"/>
      <c r="K672" s="14"/>
      <c r="O672" s="22"/>
      <c r="P672" s="22"/>
      <c r="Q672" s="23"/>
      <c r="R672" s="23"/>
      <c r="S672" s="14"/>
    </row>
    <row r="673" ht="18.75" customHeight="1">
      <c r="A673" s="7" t="s">
        <v>529</v>
      </c>
      <c r="B673" s="7" t="s">
        <v>3875</v>
      </c>
      <c r="C673" s="9">
        <v>24508.0</v>
      </c>
      <c r="D673" s="9">
        <v>0.0</v>
      </c>
      <c r="E673" s="9">
        <v>157.0</v>
      </c>
      <c r="F673" s="7" t="s">
        <v>530</v>
      </c>
      <c r="G673" s="7" t="s">
        <v>358</v>
      </c>
      <c r="H673" s="7" t="s">
        <v>387</v>
      </c>
      <c r="I673" s="7" t="s">
        <v>355</v>
      </c>
      <c r="J673" s="14"/>
      <c r="K673" s="14"/>
      <c r="O673" s="22"/>
      <c r="P673" s="22"/>
      <c r="Q673" s="23"/>
      <c r="R673" s="23"/>
      <c r="S673" s="14"/>
    </row>
    <row r="674" ht="18.75" customHeight="1">
      <c r="A674" s="7" t="s">
        <v>553</v>
      </c>
      <c r="B674" s="7" t="s">
        <v>3875</v>
      </c>
      <c r="C674" s="9">
        <v>209774.0</v>
      </c>
      <c r="D674" s="9">
        <v>0.0</v>
      </c>
      <c r="E674" s="9">
        <v>1799.0</v>
      </c>
      <c r="F674" s="7" t="s">
        <v>554</v>
      </c>
      <c r="G674" s="7" t="s">
        <v>364</v>
      </c>
      <c r="H674" s="7" t="s">
        <v>365</v>
      </c>
      <c r="I674" s="7" t="s">
        <v>355</v>
      </c>
      <c r="J674" s="14"/>
      <c r="K674" s="14"/>
      <c r="O674" s="22"/>
      <c r="P674" s="22"/>
      <c r="Q674" s="23"/>
      <c r="R674" s="23"/>
      <c r="S674" s="14"/>
    </row>
    <row r="675" ht="18.75" customHeight="1">
      <c r="A675" s="7" t="s">
        <v>553</v>
      </c>
      <c r="B675" s="7" t="s">
        <v>3875</v>
      </c>
      <c r="C675" s="9">
        <v>0.0</v>
      </c>
      <c r="D675" s="9">
        <v>0.0</v>
      </c>
      <c r="E675" s="9">
        <v>0.0</v>
      </c>
      <c r="F675" s="7" t="s">
        <v>554</v>
      </c>
      <c r="G675" s="7" t="s">
        <v>364</v>
      </c>
      <c r="H675" s="7" t="s">
        <v>365</v>
      </c>
      <c r="I675" s="7" t="s">
        <v>355</v>
      </c>
      <c r="J675" s="14"/>
      <c r="K675" s="14"/>
      <c r="O675" s="22"/>
      <c r="P675" s="22"/>
      <c r="Q675" s="23"/>
      <c r="R675" s="23"/>
      <c r="S675" s="14"/>
    </row>
    <row r="676" ht="18.75" customHeight="1">
      <c r="A676" s="7" t="s">
        <v>481</v>
      </c>
      <c r="B676" s="7" t="s">
        <v>3875</v>
      </c>
      <c r="C676" s="9">
        <v>1223420.0</v>
      </c>
      <c r="D676" s="9">
        <v>54900.0</v>
      </c>
      <c r="E676" s="9">
        <v>1470.0</v>
      </c>
      <c r="F676" s="7" t="s">
        <v>482</v>
      </c>
      <c r="G676" s="7" t="s">
        <v>404</v>
      </c>
      <c r="H676" s="7" t="s">
        <v>405</v>
      </c>
      <c r="I676" s="7" t="s">
        <v>355</v>
      </c>
      <c r="J676" s="14"/>
      <c r="K676" s="14"/>
      <c r="O676" s="22"/>
      <c r="P676" s="22"/>
      <c r="Q676" s="23"/>
      <c r="R676" s="23"/>
      <c r="S676" s="14"/>
    </row>
    <row r="677" ht="18.75" customHeight="1">
      <c r="A677" s="7" t="s">
        <v>481</v>
      </c>
      <c r="B677" s="7" t="s">
        <v>3875</v>
      </c>
      <c r="C677" s="9">
        <v>742896.0</v>
      </c>
      <c r="D677" s="9">
        <v>17583.0</v>
      </c>
      <c r="E677" s="9">
        <v>964.0</v>
      </c>
      <c r="F677" s="7" t="s">
        <v>482</v>
      </c>
      <c r="G677" s="7" t="s">
        <v>404</v>
      </c>
      <c r="H677" s="7" t="s">
        <v>405</v>
      </c>
      <c r="I677" s="7" t="s">
        <v>355</v>
      </c>
      <c r="J677" s="14"/>
      <c r="K677" s="14"/>
      <c r="O677" s="22"/>
      <c r="P677" s="22"/>
      <c r="Q677" s="23"/>
      <c r="R677" s="23"/>
      <c r="S677" s="14"/>
    </row>
    <row r="678" ht="18.75" customHeight="1">
      <c r="A678" s="7" t="s">
        <v>481</v>
      </c>
      <c r="B678" s="7" t="s">
        <v>3875</v>
      </c>
      <c r="C678" s="9">
        <v>556113.0</v>
      </c>
      <c r="D678" s="9">
        <v>55195.0</v>
      </c>
      <c r="E678" s="9">
        <v>768.0</v>
      </c>
      <c r="F678" s="7" t="s">
        <v>482</v>
      </c>
      <c r="G678" s="7" t="s">
        <v>404</v>
      </c>
      <c r="H678" s="7" t="s">
        <v>405</v>
      </c>
      <c r="I678" s="7" t="s">
        <v>355</v>
      </c>
      <c r="J678" s="14"/>
      <c r="K678" s="14"/>
      <c r="O678" s="22"/>
      <c r="P678" s="22"/>
      <c r="Q678" s="23"/>
      <c r="R678" s="23"/>
      <c r="S678" s="14"/>
    </row>
    <row r="679" ht="18.75" customHeight="1">
      <c r="A679" s="7" t="s">
        <v>481</v>
      </c>
      <c r="B679" s="7" t="s">
        <v>3875</v>
      </c>
      <c r="C679" s="9">
        <v>768525.0</v>
      </c>
      <c r="D679" s="9">
        <v>31536.0</v>
      </c>
      <c r="E679" s="9">
        <v>744.0</v>
      </c>
      <c r="F679" s="7" t="s">
        <v>482</v>
      </c>
      <c r="G679" s="7" t="s">
        <v>404</v>
      </c>
      <c r="H679" s="7" t="s">
        <v>405</v>
      </c>
      <c r="I679" s="7" t="s">
        <v>355</v>
      </c>
      <c r="J679" s="14"/>
      <c r="K679" s="14"/>
      <c r="O679" s="22"/>
      <c r="P679" s="22"/>
      <c r="Q679" s="23"/>
      <c r="R679" s="23"/>
      <c r="S679" s="14"/>
    </row>
    <row r="680" ht="18.75" customHeight="1">
      <c r="A680" s="7" t="s">
        <v>385</v>
      </c>
      <c r="B680" s="7" t="s">
        <v>3875</v>
      </c>
      <c r="C680" s="9">
        <v>124858.0</v>
      </c>
      <c r="D680" s="9">
        <v>0.0</v>
      </c>
      <c r="E680" s="9">
        <v>523.0</v>
      </c>
      <c r="F680" s="7" t="s">
        <v>386</v>
      </c>
      <c r="G680" s="7" t="s">
        <v>358</v>
      </c>
      <c r="H680" s="7" t="s">
        <v>387</v>
      </c>
      <c r="I680" s="7" t="s">
        <v>355</v>
      </c>
      <c r="J680" s="14"/>
      <c r="K680" s="14"/>
      <c r="O680" s="22"/>
      <c r="P680" s="22"/>
      <c r="Q680" s="23"/>
      <c r="R680" s="23"/>
      <c r="S680" s="14"/>
    </row>
    <row r="681" ht="18.75" customHeight="1">
      <c r="A681" s="7" t="s">
        <v>571</v>
      </c>
      <c r="B681" s="7" t="s">
        <v>3875</v>
      </c>
      <c r="C681" s="9">
        <v>26589.0</v>
      </c>
      <c r="D681" s="9">
        <v>0.0</v>
      </c>
      <c r="E681" s="9">
        <v>2.0</v>
      </c>
      <c r="F681" s="7" t="s">
        <v>572</v>
      </c>
      <c r="G681" s="7" t="s">
        <v>364</v>
      </c>
      <c r="H681" s="7" t="s">
        <v>365</v>
      </c>
      <c r="I681" s="7" t="s">
        <v>355</v>
      </c>
      <c r="J681" s="14"/>
      <c r="K681" s="14"/>
      <c r="O681" s="22"/>
      <c r="P681" s="22"/>
      <c r="Q681" s="23"/>
      <c r="R681" s="23"/>
      <c r="S681" s="14"/>
    </row>
    <row r="682" ht="18.75" customHeight="1">
      <c r="A682" s="7" t="s">
        <v>383</v>
      </c>
      <c r="B682" s="7" t="s">
        <v>3875</v>
      </c>
      <c r="C682" s="9">
        <v>158275.0</v>
      </c>
      <c r="D682" s="9">
        <v>0.0</v>
      </c>
      <c r="E682" s="9">
        <v>904.0</v>
      </c>
      <c r="F682" s="7" t="s">
        <v>384</v>
      </c>
      <c r="G682" s="7" t="s">
        <v>353</v>
      </c>
      <c r="H682" s="7" t="s">
        <v>378</v>
      </c>
      <c r="I682" s="7" t="s">
        <v>355</v>
      </c>
      <c r="J682" s="14"/>
      <c r="K682" s="14"/>
      <c r="O682" s="22"/>
      <c r="P682" s="22"/>
      <c r="Q682" s="23"/>
      <c r="R682" s="23"/>
      <c r="S682" s="14"/>
    </row>
    <row r="683" ht="18.75" customHeight="1">
      <c r="A683" s="7" t="s">
        <v>383</v>
      </c>
      <c r="B683" s="7" t="s">
        <v>3875</v>
      </c>
      <c r="C683" s="9">
        <v>302549.0</v>
      </c>
      <c r="D683" s="9">
        <v>0.0</v>
      </c>
      <c r="E683" s="9">
        <v>708.0</v>
      </c>
      <c r="F683" s="7" t="s">
        <v>384</v>
      </c>
      <c r="G683" s="7" t="s">
        <v>353</v>
      </c>
      <c r="H683" s="7" t="s">
        <v>378</v>
      </c>
      <c r="I683" s="7" t="s">
        <v>355</v>
      </c>
      <c r="J683" s="14"/>
      <c r="K683" s="14"/>
      <c r="O683" s="22"/>
      <c r="P683" s="22"/>
      <c r="Q683" s="23"/>
      <c r="R683" s="23"/>
      <c r="S683" s="14"/>
    </row>
    <row r="684" ht="18.75" customHeight="1">
      <c r="A684" s="7" t="s">
        <v>603</v>
      </c>
      <c r="B684" s="7" t="s">
        <v>3875</v>
      </c>
      <c r="C684" s="9">
        <v>148798.0</v>
      </c>
      <c r="D684" s="9">
        <v>0.0</v>
      </c>
      <c r="E684" s="9">
        <v>790.0</v>
      </c>
      <c r="F684" s="7" t="s">
        <v>604</v>
      </c>
      <c r="G684" s="7" t="s">
        <v>416</v>
      </c>
      <c r="H684" s="7" t="s">
        <v>359</v>
      </c>
      <c r="I684" s="7" t="s">
        <v>355</v>
      </c>
      <c r="J684" s="14"/>
      <c r="K684" s="14"/>
      <c r="O684" s="22"/>
      <c r="P684" s="22"/>
      <c r="Q684" s="23"/>
      <c r="R684" s="23"/>
      <c r="S684" s="14"/>
    </row>
    <row r="685" ht="18.75" customHeight="1">
      <c r="A685" s="7" t="s">
        <v>592</v>
      </c>
      <c r="B685" s="7" t="s">
        <v>3875</v>
      </c>
      <c r="C685" s="9">
        <v>10617.0</v>
      </c>
      <c r="D685" s="9">
        <v>0.0</v>
      </c>
      <c r="E685" s="9">
        <v>59.0</v>
      </c>
      <c r="F685" s="7" t="s">
        <v>593</v>
      </c>
      <c r="G685" s="7" t="s">
        <v>416</v>
      </c>
      <c r="H685" s="7" t="s">
        <v>594</v>
      </c>
      <c r="I685" s="7" t="s">
        <v>355</v>
      </c>
      <c r="J685" s="14"/>
      <c r="K685" s="14"/>
      <c r="O685" s="22"/>
      <c r="P685" s="22"/>
      <c r="Q685" s="23"/>
      <c r="R685" s="23"/>
      <c r="S685" s="14"/>
    </row>
    <row r="686" ht="18.75" customHeight="1">
      <c r="A686" s="7" t="s">
        <v>557</v>
      </c>
      <c r="B686" s="7" t="s">
        <v>3875</v>
      </c>
      <c r="C686" s="9">
        <v>371530.0</v>
      </c>
      <c r="D686" s="9">
        <v>0.0</v>
      </c>
      <c r="E686" s="9">
        <v>6.0</v>
      </c>
      <c r="F686" s="7" t="s">
        <v>558</v>
      </c>
      <c r="G686" s="7" t="s">
        <v>364</v>
      </c>
      <c r="H686" s="7" t="s">
        <v>365</v>
      </c>
      <c r="I686" s="7" t="s">
        <v>355</v>
      </c>
      <c r="J686" s="14"/>
      <c r="K686" s="14"/>
      <c r="O686" s="22"/>
      <c r="P686" s="22"/>
      <c r="Q686" s="23"/>
      <c r="R686" s="23"/>
      <c r="S686" s="14"/>
    </row>
    <row r="687" ht="18.75" customHeight="1">
      <c r="A687" s="7" t="s">
        <v>597</v>
      </c>
      <c r="B687" s="7" t="s">
        <v>3875</v>
      </c>
      <c r="C687" s="9">
        <v>0.0</v>
      </c>
      <c r="D687" s="9">
        <v>0.0</v>
      </c>
      <c r="E687" s="9">
        <v>0.0</v>
      </c>
      <c r="F687" s="7" t="s">
        <v>598</v>
      </c>
      <c r="G687" s="7" t="s">
        <v>416</v>
      </c>
      <c r="H687" s="7" t="s">
        <v>417</v>
      </c>
      <c r="I687" s="7" t="s">
        <v>355</v>
      </c>
      <c r="J687" s="14"/>
      <c r="K687" s="14"/>
      <c r="O687" s="22"/>
      <c r="P687" s="22"/>
      <c r="Q687" s="23"/>
      <c r="R687" s="23"/>
      <c r="S687" s="14"/>
    </row>
    <row r="688" ht="18.75" customHeight="1">
      <c r="A688" s="7" t="s">
        <v>601</v>
      </c>
      <c r="B688" s="7" t="s">
        <v>3875</v>
      </c>
      <c r="C688" s="9">
        <v>25738.0</v>
      </c>
      <c r="D688" s="9">
        <v>0.0</v>
      </c>
      <c r="E688" s="9">
        <v>98.0</v>
      </c>
      <c r="F688" s="7" t="s">
        <v>602</v>
      </c>
      <c r="G688" s="7" t="s">
        <v>416</v>
      </c>
      <c r="H688" s="7" t="s">
        <v>417</v>
      </c>
      <c r="I688" s="7" t="s">
        <v>355</v>
      </c>
      <c r="J688" s="14"/>
      <c r="K688" s="14"/>
      <c r="O688" s="22"/>
      <c r="P688" s="22"/>
      <c r="Q688" s="23"/>
      <c r="R688" s="23"/>
      <c r="S688" s="14"/>
    </row>
    <row r="689" ht="18.75" customHeight="1">
      <c r="A689" s="7" t="s">
        <v>599</v>
      </c>
      <c r="B689" s="7" t="s">
        <v>3875</v>
      </c>
      <c r="C689" s="9">
        <v>25291.0</v>
      </c>
      <c r="D689" s="9">
        <v>3884.0</v>
      </c>
      <c r="E689" s="9">
        <v>54.0</v>
      </c>
      <c r="F689" s="7" t="s">
        <v>600</v>
      </c>
      <c r="G689" s="7" t="s">
        <v>416</v>
      </c>
      <c r="H689" s="7" t="s">
        <v>417</v>
      </c>
      <c r="I689" s="7" t="s">
        <v>355</v>
      </c>
      <c r="J689" s="14"/>
      <c r="K689" s="14"/>
      <c r="O689" s="22"/>
      <c r="P689" s="22"/>
      <c r="Q689" s="23"/>
      <c r="R689" s="23"/>
      <c r="S689" s="14"/>
    </row>
    <row r="690" ht="18.75" customHeight="1">
      <c r="A690" s="7" t="s">
        <v>557</v>
      </c>
      <c r="B690" s="7" t="s">
        <v>3875</v>
      </c>
      <c r="C690" s="9">
        <v>248921.0</v>
      </c>
      <c r="D690" s="9">
        <v>0.0</v>
      </c>
      <c r="E690" s="9">
        <v>7.0</v>
      </c>
      <c r="F690" s="7" t="s">
        <v>558</v>
      </c>
      <c r="G690" s="7" t="s">
        <v>364</v>
      </c>
      <c r="H690" s="7" t="s">
        <v>365</v>
      </c>
      <c r="I690" s="7" t="s">
        <v>355</v>
      </c>
      <c r="J690" s="14"/>
      <c r="K690" s="14"/>
      <c r="O690" s="22"/>
      <c r="P690" s="22"/>
      <c r="Q690" s="23"/>
      <c r="R690" s="23"/>
      <c r="S690" s="14"/>
    </row>
    <row r="691" ht="18.75" customHeight="1">
      <c r="A691" s="7" t="s">
        <v>590</v>
      </c>
      <c r="B691" s="7" t="s">
        <v>3875</v>
      </c>
      <c r="C691" s="9">
        <v>128114.0</v>
      </c>
      <c r="D691" s="9">
        <v>0.0</v>
      </c>
      <c r="E691" s="9">
        <v>200.0</v>
      </c>
      <c r="F691" s="7" t="s">
        <v>591</v>
      </c>
      <c r="G691" s="7" t="s">
        <v>358</v>
      </c>
      <c r="H691" s="7" t="s">
        <v>466</v>
      </c>
      <c r="I691" s="7" t="s">
        <v>355</v>
      </c>
      <c r="J691" s="14"/>
      <c r="K691" s="14"/>
      <c r="O691" s="22"/>
      <c r="P691" s="22"/>
      <c r="Q691" s="23"/>
      <c r="R691" s="23"/>
      <c r="S691" s="14"/>
    </row>
    <row r="692" ht="18.75" customHeight="1">
      <c r="A692" s="7" t="s">
        <v>590</v>
      </c>
      <c r="B692" s="7" t="s">
        <v>3875</v>
      </c>
      <c r="C692" s="9">
        <v>115776.0</v>
      </c>
      <c r="D692" s="9">
        <v>0.0</v>
      </c>
      <c r="E692" s="9">
        <v>263.0</v>
      </c>
      <c r="F692" s="7" t="s">
        <v>591</v>
      </c>
      <c r="G692" s="7" t="s">
        <v>358</v>
      </c>
      <c r="H692" s="7" t="s">
        <v>466</v>
      </c>
      <c r="I692" s="7" t="s">
        <v>355</v>
      </c>
      <c r="J692" s="14"/>
      <c r="K692" s="14"/>
      <c r="O692" s="22"/>
      <c r="P692" s="22"/>
      <c r="Q692" s="23"/>
      <c r="R692" s="23"/>
      <c r="S692" s="14"/>
    </row>
    <row r="693" ht="18.75" customHeight="1">
      <c r="A693" s="7" t="s">
        <v>597</v>
      </c>
      <c r="B693" s="7" t="s">
        <v>3875</v>
      </c>
      <c r="C693" s="9">
        <v>34044.0</v>
      </c>
      <c r="D693" s="9">
        <v>7178.0</v>
      </c>
      <c r="E693" s="9">
        <v>106.0</v>
      </c>
      <c r="F693" s="7" t="s">
        <v>598</v>
      </c>
      <c r="G693" s="7" t="s">
        <v>416</v>
      </c>
      <c r="H693" s="7" t="s">
        <v>417</v>
      </c>
      <c r="I693" s="7" t="s">
        <v>355</v>
      </c>
      <c r="J693" s="14"/>
      <c r="K693" s="14"/>
      <c r="O693" s="22"/>
      <c r="P693" s="22"/>
      <c r="Q693" s="23"/>
      <c r="R693" s="23"/>
      <c r="S693" s="14"/>
    </row>
    <row r="694" ht="18.75" customHeight="1">
      <c r="A694" s="7" t="s">
        <v>617</v>
      </c>
      <c r="B694" s="7" t="s">
        <v>3875</v>
      </c>
      <c r="C694" s="9">
        <v>54841.0</v>
      </c>
      <c r="D694" s="9">
        <v>0.0</v>
      </c>
      <c r="E694" s="9">
        <v>173.0</v>
      </c>
      <c r="F694" s="7" t="s">
        <v>618</v>
      </c>
      <c r="G694" s="7" t="s">
        <v>416</v>
      </c>
      <c r="H694" s="7" t="s">
        <v>466</v>
      </c>
      <c r="I694" s="7" t="s">
        <v>355</v>
      </c>
      <c r="J694" s="14"/>
      <c r="K694" s="14"/>
      <c r="O694" s="22"/>
      <c r="P694" s="22"/>
      <c r="Q694" s="23"/>
      <c r="R694" s="23"/>
      <c r="S694" s="14"/>
    </row>
    <row r="695" ht="18.75" customHeight="1">
      <c r="A695" s="7" t="s">
        <v>609</v>
      </c>
      <c r="B695" s="7" t="s">
        <v>3875</v>
      </c>
      <c r="C695" s="9">
        <v>0.0</v>
      </c>
      <c r="D695" s="9">
        <v>0.0</v>
      </c>
      <c r="E695" s="9">
        <v>0.0</v>
      </c>
      <c r="F695" s="7" t="s">
        <v>610</v>
      </c>
      <c r="G695" s="7" t="s">
        <v>364</v>
      </c>
      <c r="H695" s="7" t="s">
        <v>365</v>
      </c>
      <c r="I695" s="7" t="s">
        <v>355</v>
      </c>
      <c r="J695" s="14"/>
      <c r="K695" s="14"/>
      <c r="O695" s="22"/>
      <c r="P695" s="22"/>
      <c r="Q695" s="23"/>
      <c r="R695" s="23"/>
      <c r="S695" s="14"/>
    </row>
    <row r="696" ht="18.75" customHeight="1">
      <c r="A696" s="7" t="s">
        <v>557</v>
      </c>
      <c r="B696" s="7" t="s">
        <v>3875</v>
      </c>
      <c r="C696" s="9">
        <v>201169.0</v>
      </c>
      <c r="D696" s="9">
        <v>0.0</v>
      </c>
      <c r="E696" s="9">
        <v>5.0</v>
      </c>
      <c r="F696" s="7" t="s">
        <v>558</v>
      </c>
      <c r="G696" s="7" t="s">
        <v>364</v>
      </c>
      <c r="H696" s="7" t="s">
        <v>365</v>
      </c>
      <c r="I696" s="7" t="s">
        <v>355</v>
      </c>
      <c r="J696" s="14"/>
      <c r="K696" s="14"/>
      <c r="O696" s="22"/>
      <c r="P696" s="22"/>
      <c r="Q696" s="23"/>
      <c r="R696" s="23"/>
      <c r="S696" s="14"/>
    </row>
    <row r="697" ht="18.75" customHeight="1">
      <c r="A697" s="7" t="s">
        <v>557</v>
      </c>
      <c r="B697" s="7" t="s">
        <v>3875</v>
      </c>
      <c r="C697" s="9">
        <v>217017.0</v>
      </c>
      <c r="D697" s="9">
        <v>0.0</v>
      </c>
      <c r="E697" s="9">
        <v>2.0</v>
      </c>
      <c r="F697" s="7" t="s">
        <v>558</v>
      </c>
      <c r="G697" s="7" t="s">
        <v>364</v>
      </c>
      <c r="H697" s="7" t="s">
        <v>365</v>
      </c>
      <c r="I697" s="7" t="s">
        <v>355</v>
      </c>
      <c r="J697" s="14"/>
      <c r="K697" s="14"/>
      <c r="O697" s="22"/>
      <c r="P697" s="22"/>
      <c r="Q697" s="23"/>
      <c r="R697" s="23"/>
      <c r="S697" s="14"/>
    </row>
    <row r="698" ht="18.75" customHeight="1">
      <c r="A698" s="7" t="s">
        <v>475</v>
      </c>
      <c r="B698" s="7" t="s">
        <v>3875</v>
      </c>
      <c r="C698" s="9">
        <v>156794.0</v>
      </c>
      <c r="D698" s="9">
        <v>5322.0</v>
      </c>
      <c r="E698" s="9">
        <v>207.0</v>
      </c>
      <c r="F698" s="7" t="s">
        <v>476</v>
      </c>
      <c r="G698" s="7" t="s">
        <v>364</v>
      </c>
      <c r="H698" s="7" t="s">
        <v>365</v>
      </c>
      <c r="I698" s="7" t="s">
        <v>355</v>
      </c>
      <c r="J698" s="14"/>
      <c r="K698" s="14"/>
      <c r="O698" s="22"/>
      <c r="P698" s="22"/>
      <c r="Q698" s="23"/>
      <c r="R698" s="23"/>
      <c r="S698" s="14"/>
    </row>
    <row r="699" ht="18.75" customHeight="1">
      <c r="A699" s="7" t="s">
        <v>555</v>
      </c>
      <c r="B699" s="7" t="s">
        <v>3875</v>
      </c>
      <c r="C699" s="9">
        <v>63416.0</v>
      </c>
      <c r="D699" s="9">
        <v>0.0</v>
      </c>
      <c r="E699" s="9">
        <v>4.0</v>
      </c>
      <c r="F699" s="7" t="s">
        <v>556</v>
      </c>
      <c r="G699" s="7" t="s">
        <v>364</v>
      </c>
      <c r="H699" s="7" t="s">
        <v>365</v>
      </c>
      <c r="I699" s="7" t="s">
        <v>355</v>
      </c>
      <c r="J699" s="14"/>
      <c r="K699" s="14"/>
      <c r="O699" s="22"/>
      <c r="P699" s="22"/>
      <c r="Q699" s="23"/>
      <c r="R699" s="23"/>
      <c r="S699" s="14"/>
    </row>
    <row r="700" ht="18.75" customHeight="1">
      <c r="A700" s="7" t="s">
        <v>567</v>
      </c>
      <c r="B700" s="7" t="s">
        <v>3875</v>
      </c>
      <c r="C700" s="9">
        <v>477706.0</v>
      </c>
      <c r="D700" s="9">
        <v>0.0</v>
      </c>
      <c r="E700" s="9">
        <v>648.0</v>
      </c>
      <c r="F700" s="7" t="s">
        <v>568</v>
      </c>
      <c r="G700" s="7" t="s">
        <v>353</v>
      </c>
      <c r="H700" s="7" t="s">
        <v>378</v>
      </c>
      <c r="I700" s="7" t="s">
        <v>355</v>
      </c>
      <c r="J700" s="14"/>
      <c r="K700" s="14"/>
      <c r="O700" s="22"/>
      <c r="P700" s="22"/>
      <c r="Q700" s="23"/>
      <c r="R700" s="23"/>
      <c r="S700" s="14"/>
    </row>
    <row r="701" ht="18.75" customHeight="1">
      <c r="A701" s="7" t="s">
        <v>383</v>
      </c>
      <c r="B701" s="7" t="s">
        <v>3875</v>
      </c>
      <c r="C701" s="9">
        <v>176515.0</v>
      </c>
      <c r="D701" s="9">
        <v>0.0</v>
      </c>
      <c r="E701" s="9">
        <v>705.0</v>
      </c>
      <c r="F701" s="7" t="s">
        <v>384</v>
      </c>
      <c r="G701" s="7" t="s">
        <v>353</v>
      </c>
      <c r="H701" s="7" t="s">
        <v>378</v>
      </c>
      <c r="I701" s="7" t="s">
        <v>355</v>
      </c>
      <c r="J701" s="14"/>
      <c r="K701" s="14"/>
      <c r="O701" s="22"/>
      <c r="P701" s="22"/>
      <c r="Q701" s="23"/>
      <c r="R701" s="23"/>
      <c r="S701" s="14"/>
    </row>
    <row r="702" ht="18.75" customHeight="1">
      <c r="A702" s="7" t="s">
        <v>383</v>
      </c>
      <c r="B702" s="7" t="s">
        <v>3875</v>
      </c>
      <c r="C702" s="9">
        <v>272172.0</v>
      </c>
      <c r="D702" s="9">
        <v>0.0</v>
      </c>
      <c r="E702" s="9">
        <v>552.0</v>
      </c>
      <c r="F702" s="7" t="s">
        <v>384</v>
      </c>
      <c r="G702" s="7" t="s">
        <v>353</v>
      </c>
      <c r="H702" s="7" t="s">
        <v>378</v>
      </c>
      <c r="I702" s="7" t="s">
        <v>355</v>
      </c>
      <c r="J702" s="14"/>
      <c r="K702" s="14"/>
      <c r="O702" s="22"/>
      <c r="P702" s="22"/>
      <c r="Q702" s="23"/>
      <c r="R702" s="23"/>
      <c r="S702" s="14"/>
    </row>
    <row r="703" ht="18.75" customHeight="1">
      <c r="A703" s="7" t="s">
        <v>479</v>
      </c>
      <c r="B703" s="7" t="s">
        <v>3875</v>
      </c>
      <c r="C703" s="9">
        <v>673118.0</v>
      </c>
      <c r="D703" s="9">
        <v>31097.0</v>
      </c>
      <c r="E703" s="9">
        <v>539.0</v>
      </c>
      <c r="F703" s="7" t="s">
        <v>480</v>
      </c>
      <c r="G703" s="7" t="s">
        <v>404</v>
      </c>
      <c r="H703" s="7" t="s">
        <v>405</v>
      </c>
      <c r="I703" s="7" t="s">
        <v>355</v>
      </c>
      <c r="J703" s="14"/>
      <c r="K703" s="14"/>
      <c r="O703" s="22"/>
      <c r="P703" s="22"/>
      <c r="Q703" s="23"/>
      <c r="R703" s="23"/>
      <c r="S703" s="14"/>
    </row>
    <row r="704" ht="18.75" customHeight="1">
      <c r="A704" s="7" t="s">
        <v>479</v>
      </c>
      <c r="B704" s="7" t="s">
        <v>3875</v>
      </c>
      <c r="C704" s="9">
        <v>519705.0</v>
      </c>
      <c r="D704" s="9">
        <v>24938.0</v>
      </c>
      <c r="E704" s="9">
        <v>420.0</v>
      </c>
      <c r="F704" s="7" t="s">
        <v>480</v>
      </c>
      <c r="G704" s="7" t="s">
        <v>404</v>
      </c>
      <c r="H704" s="7" t="s">
        <v>405</v>
      </c>
      <c r="I704" s="7" t="s">
        <v>355</v>
      </c>
      <c r="J704" s="14"/>
      <c r="K704" s="14"/>
      <c r="O704" s="22"/>
      <c r="P704" s="22"/>
      <c r="Q704" s="23"/>
      <c r="R704" s="23"/>
      <c r="S704" s="14"/>
    </row>
    <row r="705" ht="18.75" customHeight="1">
      <c r="A705" s="7" t="s">
        <v>497</v>
      </c>
      <c r="B705" s="7" t="s">
        <v>3875</v>
      </c>
      <c r="C705" s="9">
        <v>193270.0</v>
      </c>
      <c r="D705" s="9">
        <v>23682.0</v>
      </c>
      <c r="E705" s="9">
        <v>513.0</v>
      </c>
      <c r="F705" s="7" t="s">
        <v>498</v>
      </c>
      <c r="G705" s="7" t="s">
        <v>404</v>
      </c>
      <c r="H705" s="7" t="s">
        <v>405</v>
      </c>
      <c r="I705" s="7" t="s">
        <v>355</v>
      </c>
      <c r="J705" s="14"/>
      <c r="K705" s="14"/>
      <c r="O705" s="22"/>
      <c r="P705" s="22"/>
      <c r="Q705" s="23"/>
      <c r="R705" s="23"/>
      <c r="S705" s="14"/>
    </row>
    <row r="706" ht="18.75" customHeight="1">
      <c r="A706" s="7" t="s">
        <v>497</v>
      </c>
      <c r="B706" s="7" t="s">
        <v>3875</v>
      </c>
      <c r="C706" s="9">
        <v>699350.0</v>
      </c>
      <c r="D706" s="9">
        <v>24066.0</v>
      </c>
      <c r="E706" s="9">
        <v>956.0</v>
      </c>
      <c r="F706" s="7" t="s">
        <v>498</v>
      </c>
      <c r="G706" s="7" t="s">
        <v>404</v>
      </c>
      <c r="H706" s="7" t="s">
        <v>405</v>
      </c>
      <c r="I706" s="7" t="s">
        <v>355</v>
      </c>
      <c r="J706" s="14"/>
      <c r="K706" s="14"/>
      <c r="O706" s="22"/>
      <c r="P706" s="22"/>
      <c r="Q706" s="23"/>
      <c r="R706" s="23"/>
      <c r="S706" s="14"/>
    </row>
    <row r="707" ht="18.75" customHeight="1">
      <c r="A707" s="7" t="s">
        <v>422</v>
      </c>
      <c r="B707" s="7" t="s">
        <v>3875</v>
      </c>
      <c r="C707" s="9">
        <v>2814916.0</v>
      </c>
      <c r="D707" s="9">
        <v>125959.0</v>
      </c>
      <c r="E707" s="9">
        <v>3307.0</v>
      </c>
      <c r="F707" s="7" t="s">
        <v>423</v>
      </c>
      <c r="G707" s="7" t="s">
        <v>404</v>
      </c>
      <c r="H707" s="7" t="s">
        <v>405</v>
      </c>
      <c r="I707" s="7" t="s">
        <v>355</v>
      </c>
      <c r="J707" s="14"/>
      <c r="K707" s="14"/>
      <c r="O707" s="22"/>
      <c r="P707" s="22"/>
      <c r="Q707" s="23"/>
      <c r="R707" s="23"/>
      <c r="S707" s="14"/>
    </row>
    <row r="708" ht="18.75" customHeight="1">
      <c r="A708" s="7" t="s">
        <v>437</v>
      </c>
      <c r="B708" s="7" t="s">
        <v>3875</v>
      </c>
      <c r="C708" s="9">
        <v>744291.0</v>
      </c>
      <c r="D708" s="9">
        <v>0.0</v>
      </c>
      <c r="E708" s="9">
        <v>1428.0</v>
      </c>
      <c r="F708" s="7" t="s">
        <v>438</v>
      </c>
      <c r="G708" s="7" t="s">
        <v>404</v>
      </c>
      <c r="H708" s="7" t="s">
        <v>405</v>
      </c>
      <c r="I708" s="7" t="s">
        <v>355</v>
      </c>
      <c r="J708" s="14"/>
      <c r="K708" s="14"/>
      <c r="O708" s="22"/>
      <c r="P708" s="22"/>
      <c r="Q708" s="23"/>
      <c r="R708" s="23"/>
      <c r="S708" s="14"/>
    </row>
    <row r="709" ht="18.75" customHeight="1">
      <c r="A709" s="7" t="s">
        <v>437</v>
      </c>
      <c r="B709" s="7" t="s">
        <v>3875</v>
      </c>
      <c r="C709" s="9">
        <v>868073.0</v>
      </c>
      <c r="D709" s="9">
        <v>0.0</v>
      </c>
      <c r="E709" s="9">
        <v>981.0</v>
      </c>
      <c r="F709" s="7" t="s">
        <v>438</v>
      </c>
      <c r="G709" s="7" t="s">
        <v>404</v>
      </c>
      <c r="H709" s="7" t="s">
        <v>405</v>
      </c>
      <c r="I709" s="7" t="s">
        <v>355</v>
      </c>
      <c r="J709" s="14"/>
      <c r="K709" s="14"/>
      <c r="O709" s="22"/>
      <c r="P709" s="22"/>
      <c r="Q709" s="23"/>
      <c r="R709" s="23"/>
      <c r="S709" s="14"/>
    </row>
    <row r="710" ht="18.75" customHeight="1">
      <c r="A710" s="7" t="s">
        <v>437</v>
      </c>
      <c r="B710" s="7" t="s">
        <v>3875</v>
      </c>
      <c r="C710" s="9">
        <v>828361.0</v>
      </c>
      <c r="D710" s="9">
        <v>0.0</v>
      </c>
      <c r="E710" s="9">
        <v>1077.0</v>
      </c>
      <c r="F710" s="7" t="s">
        <v>438</v>
      </c>
      <c r="G710" s="7" t="s">
        <v>404</v>
      </c>
      <c r="H710" s="7" t="s">
        <v>405</v>
      </c>
      <c r="I710" s="7" t="s">
        <v>355</v>
      </c>
      <c r="J710" s="14"/>
      <c r="K710" s="14"/>
      <c r="O710" s="22"/>
      <c r="P710" s="22"/>
      <c r="Q710" s="23"/>
      <c r="R710" s="23"/>
      <c r="S710" s="14"/>
    </row>
    <row r="711" ht="18.75" customHeight="1">
      <c r="A711" s="7" t="s">
        <v>396</v>
      </c>
      <c r="B711" s="7" t="s">
        <v>3875</v>
      </c>
      <c r="C711" s="9">
        <v>296901.0</v>
      </c>
      <c r="D711" s="9">
        <v>0.0</v>
      </c>
      <c r="E711" s="9">
        <v>913.0</v>
      </c>
      <c r="F711" s="7" t="s">
        <v>397</v>
      </c>
      <c r="G711" s="7" t="s">
        <v>353</v>
      </c>
      <c r="H711" s="7" t="s">
        <v>378</v>
      </c>
      <c r="I711" s="7" t="s">
        <v>355</v>
      </c>
      <c r="J711" s="14"/>
      <c r="K711" s="14"/>
      <c r="O711" s="22"/>
      <c r="P711" s="22"/>
      <c r="Q711" s="23"/>
      <c r="R711" s="23"/>
      <c r="S711" s="14"/>
    </row>
    <row r="712" ht="18.75" customHeight="1">
      <c r="A712" s="7" t="s">
        <v>396</v>
      </c>
      <c r="B712" s="7" t="s">
        <v>3875</v>
      </c>
      <c r="C712" s="9">
        <v>939399.0</v>
      </c>
      <c r="D712" s="9">
        <v>0.0</v>
      </c>
      <c r="E712" s="9">
        <v>1512.0</v>
      </c>
      <c r="F712" s="7" t="s">
        <v>397</v>
      </c>
      <c r="G712" s="7" t="s">
        <v>353</v>
      </c>
      <c r="H712" s="7" t="s">
        <v>378</v>
      </c>
      <c r="I712" s="7" t="s">
        <v>355</v>
      </c>
      <c r="J712" s="14"/>
      <c r="K712" s="14"/>
      <c r="O712" s="22"/>
      <c r="P712" s="22"/>
      <c r="Q712" s="23"/>
      <c r="R712" s="23"/>
      <c r="S712" s="14"/>
    </row>
    <row r="713" ht="18.75" customHeight="1">
      <c r="A713" s="7" t="s">
        <v>396</v>
      </c>
      <c r="B713" s="7" t="s">
        <v>3875</v>
      </c>
      <c r="C713" s="9">
        <v>232730.0</v>
      </c>
      <c r="D713" s="9">
        <v>0.0</v>
      </c>
      <c r="E713" s="9">
        <v>1418.0</v>
      </c>
      <c r="F713" s="7" t="s">
        <v>397</v>
      </c>
      <c r="G713" s="7" t="s">
        <v>353</v>
      </c>
      <c r="H713" s="7" t="s">
        <v>378</v>
      </c>
      <c r="I713" s="7" t="s">
        <v>355</v>
      </c>
      <c r="J713" s="14"/>
      <c r="K713" s="14"/>
      <c r="O713" s="22"/>
      <c r="P713" s="22"/>
      <c r="Q713" s="23"/>
      <c r="R713" s="23"/>
      <c r="S713" s="14"/>
    </row>
    <row r="714" ht="18.75" customHeight="1">
      <c r="A714" s="7" t="s">
        <v>392</v>
      </c>
      <c r="B714" s="7" t="s">
        <v>3875</v>
      </c>
      <c r="C714" s="9">
        <v>2089591.0</v>
      </c>
      <c r="D714" s="9">
        <v>56727.0</v>
      </c>
      <c r="E714" s="9">
        <v>1987.0</v>
      </c>
      <c r="F714" s="7" t="s">
        <v>393</v>
      </c>
      <c r="G714" s="7" t="s">
        <v>353</v>
      </c>
      <c r="H714" s="7" t="s">
        <v>378</v>
      </c>
      <c r="I714" s="7" t="s">
        <v>355</v>
      </c>
      <c r="J714" s="14"/>
      <c r="K714" s="14"/>
      <c r="O714" s="22"/>
      <c r="P714" s="22"/>
      <c r="Q714" s="23"/>
      <c r="R714" s="23"/>
      <c r="S714" s="14"/>
    </row>
    <row r="715" ht="18.75" customHeight="1">
      <c r="A715" s="7" t="s">
        <v>392</v>
      </c>
      <c r="B715" s="7" t="s">
        <v>3875</v>
      </c>
      <c r="C715" s="9">
        <v>489923.0</v>
      </c>
      <c r="D715" s="9">
        <v>0.0</v>
      </c>
      <c r="E715" s="9">
        <v>2319.0</v>
      </c>
      <c r="F715" s="7" t="s">
        <v>393</v>
      </c>
      <c r="G715" s="7" t="s">
        <v>353</v>
      </c>
      <c r="H715" s="7" t="s">
        <v>378</v>
      </c>
      <c r="I715" s="7" t="s">
        <v>355</v>
      </c>
      <c r="J715" s="14"/>
      <c r="K715" s="14"/>
      <c r="O715" s="22"/>
      <c r="P715" s="22"/>
      <c r="Q715" s="23"/>
      <c r="R715" s="23"/>
      <c r="S715" s="14"/>
    </row>
    <row r="716" ht="18.75" customHeight="1">
      <c r="A716" s="7" t="s">
        <v>392</v>
      </c>
      <c r="B716" s="7" t="s">
        <v>3875</v>
      </c>
      <c r="C716" s="9">
        <v>889286.0</v>
      </c>
      <c r="D716" s="9">
        <v>0.0</v>
      </c>
      <c r="E716" s="9">
        <v>1203.0</v>
      </c>
      <c r="F716" s="7" t="s">
        <v>393</v>
      </c>
      <c r="G716" s="7" t="s">
        <v>353</v>
      </c>
      <c r="H716" s="7" t="s">
        <v>378</v>
      </c>
      <c r="I716" s="7" t="s">
        <v>355</v>
      </c>
      <c r="J716" s="14"/>
      <c r="K716" s="14"/>
      <c r="O716" s="22"/>
      <c r="P716" s="22"/>
      <c r="Q716" s="23"/>
      <c r="R716" s="23"/>
      <c r="S716" s="14"/>
    </row>
    <row r="717" ht="18.75" customHeight="1">
      <c r="A717" s="7" t="s">
        <v>394</v>
      </c>
      <c r="B717" s="7" t="s">
        <v>3875</v>
      </c>
      <c r="C717" s="9">
        <v>1429993.0</v>
      </c>
      <c r="D717" s="9">
        <v>47645.0</v>
      </c>
      <c r="E717" s="9">
        <v>1010.0</v>
      </c>
      <c r="F717" s="7" t="s">
        <v>395</v>
      </c>
      <c r="G717" s="7" t="s">
        <v>353</v>
      </c>
      <c r="H717" s="7" t="s">
        <v>378</v>
      </c>
      <c r="I717" s="7" t="s">
        <v>355</v>
      </c>
      <c r="J717" s="14"/>
      <c r="K717" s="14"/>
      <c r="O717" s="22"/>
      <c r="P717" s="22"/>
      <c r="Q717" s="23"/>
      <c r="R717" s="23"/>
      <c r="S717" s="14"/>
    </row>
    <row r="718" ht="18.75" customHeight="1">
      <c r="A718" s="7" t="s">
        <v>394</v>
      </c>
      <c r="B718" s="7" t="s">
        <v>3875</v>
      </c>
      <c r="C718" s="9">
        <v>652685.0</v>
      </c>
      <c r="D718" s="9">
        <v>39592.0</v>
      </c>
      <c r="E718" s="9">
        <v>2227.0</v>
      </c>
      <c r="F718" s="7" t="s">
        <v>395</v>
      </c>
      <c r="G718" s="7" t="s">
        <v>353</v>
      </c>
      <c r="H718" s="7" t="s">
        <v>378</v>
      </c>
      <c r="I718" s="7" t="s">
        <v>355</v>
      </c>
      <c r="J718" s="14"/>
      <c r="K718" s="14"/>
      <c r="O718" s="22"/>
      <c r="P718" s="22"/>
      <c r="Q718" s="23"/>
      <c r="R718" s="23"/>
      <c r="S718" s="14"/>
    </row>
    <row r="719" ht="18.75" customHeight="1">
      <c r="A719" s="7" t="s">
        <v>385</v>
      </c>
      <c r="B719" s="7" t="s">
        <v>3875</v>
      </c>
      <c r="C719" s="9">
        <v>86881.0</v>
      </c>
      <c r="D719" s="9">
        <v>0.0</v>
      </c>
      <c r="E719" s="9">
        <v>354.0</v>
      </c>
      <c r="F719" s="7" t="s">
        <v>386</v>
      </c>
      <c r="G719" s="7" t="s">
        <v>358</v>
      </c>
      <c r="H719" s="7" t="s">
        <v>387</v>
      </c>
      <c r="I719" s="7" t="s">
        <v>355</v>
      </c>
      <c r="J719" s="14"/>
      <c r="K719" s="14"/>
      <c r="O719" s="22"/>
      <c r="P719" s="22"/>
      <c r="Q719" s="23"/>
      <c r="R719" s="23"/>
      <c r="S719" s="14"/>
    </row>
    <row r="720" ht="18.75" customHeight="1">
      <c r="A720" s="7" t="s">
        <v>385</v>
      </c>
      <c r="B720" s="7" t="s">
        <v>3875</v>
      </c>
      <c r="C720" s="9">
        <v>64195.0</v>
      </c>
      <c r="D720" s="9">
        <v>0.0</v>
      </c>
      <c r="E720" s="9">
        <v>253.0</v>
      </c>
      <c r="F720" s="7" t="s">
        <v>386</v>
      </c>
      <c r="G720" s="7" t="s">
        <v>358</v>
      </c>
      <c r="H720" s="7" t="s">
        <v>387</v>
      </c>
      <c r="I720" s="7" t="s">
        <v>355</v>
      </c>
      <c r="J720" s="14"/>
      <c r="K720" s="14"/>
      <c r="O720" s="22"/>
      <c r="P720" s="22"/>
      <c r="Q720" s="23"/>
      <c r="R720" s="23"/>
      <c r="S720" s="14"/>
    </row>
    <row r="721" ht="18.75" customHeight="1">
      <c r="A721" s="7" t="s">
        <v>385</v>
      </c>
      <c r="B721" s="7" t="s">
        <v>3875</v>
      </c>
      <c r="C721" s="9">
        <v>120897.0</v>
      </c>
      <c r="D721" s="9">
        <v>0.0</v>
      </c>
      <c r="E721" s="9">
        <v>233.0</v>
      </c>
      <c r="F721" s="7" t="s">
        <v>386</v>
      </c>
      <c r="G721" s="7" t="s">
        <v>358</v>
      </c>
      <c r="H721" s="7" t="s">
        <v>387</v>
      </c>
      <c r="I721" s="7" t="s">
        <v>355</v>
      </c>
      <c r="J721" s="14"/>
      <c r="K721" s="14"/>
      <c r="O721" s="22"/>
      <c r="P721" s="22"/>
      <c r="Q721" s="23"/>
      <c r="R721" s="23"/>
      <c r="S721" s="14"/>
    </row>
    <row r="722" ht="18.75" customHeight="1">
      <c r="A722" s="7" t="s">
        <v>385</v>
      </c>
      <c r="B722" s="7" t="s">
        <v>3875</v>
      </c>
      <c r="C722" s="9">
        <v>47055.0</v>
      </c>
      <c r="D722" s="9">
        <v>0.0</v>
      </c>
      <c r="E722" s="9">
        <v>130.0</v>
      </c>
      <c r="F722" s="7" t="s">
        <v>386</v>
      </c>
      <c r="G722" s="7" t="s">
        <v>358</v>
      </c>
      <c r="H722" s="7" t="s">
        <v>387</v>
      </c>
      <c r="I722" s="7" t="s">
        <v>355</v>
      </c>
      <c r="J722" s="14"/>
      <c r="K722" s="14"/>
      <c r="O722" s="22"/>
      <c r="P722" s="22"/>
      <c r="Q722" s="23"/>
      <c r="R722" s="23"/>
      <c r="S722" s="14"/>
    </row>
    <row r="723" ht="18.75" customHeight="1">
      <c r="A723" s="7" t="s">
        <v>388</v>
      </c>
      <c r="B723" s="7" t="s">
        <v>3875</v>
      </c>
      <c r="C723" s="9">
        <v>2222098.0</v>
      </c>
      <c r="D723" s="9">
        <v>1659.0</v>
      </c>
      <c r="E723" s="9">
        <v>2063.0</v>
      </c>
      <c r="F723" s="7" t="s">
        <v>389</v>
      </c>
      <c r="G723" s="7" t="s">
        <v>353</v>
      </c>
      <c r="H723" s="7" t="s">
        <v>378</v>
      </c>
      <c r="I723" s="7" t="s">
        <v>355</v>
      </c>
      <c r="J723" s="14"/>
      <c r="K723" s="14"/>
      <c r="O723" s="22"/>
      <c r="P723" s="22"/>
      <c r="Q723" s="23"/>
      <c r="R723" s="23"/>
      <c r="S723" s="14"/>
    </row>
    <row r="724" ht="18.75" customHeight="1">
      <c r="A724" s="7" t="s">
        <v>388</v>
      </c>
      <c r="B724" s="7" t="s">
        <v>3875</v>
      </c>
      <c r="C724" s="9">
        <v>1355574.0</v>
      </c>
      <c r="D724" s="9">
        <v>38467.0</v>
      </c>
      <c r="E724" s="9">
        <v>1409.0</v>
      </c>
      <c r="F724" s="7" t="s">
        <v>389</v>
      </c>
      <c r="G724" s="7" t="s">
        <v>353</v>
      </c>
      <c r="H724" s="7" t="s">
        <v>378</v>
      </c>
      <c r="I724" s="7" t="s">
        <v>355</v>
      </c>
      <c r="J724" s="14"/>
      <c r="K724" s="14"/>
      <c r="O724" s="22"/>
      <c r="P724" s="22"/>
      <c r="Q724" s="23"/>
      <c r="R724" s="23"/>
      <c r="S724" s="14"/>
    </row>
    <row r="725" ht="18.75" customHeight="1">
      <c r="A725" s="7" t="s">
        <v>398</v>
      </c>
      <c r="B725" s="7" t="s">
        <v>3875</v>
      </c>
      <c r="C725" s="9">
        <v>117587.0</v>
      </c>
      <c r="D725" s="9">
        <v>0.0</v>
      </c>
      <c r="E725" s="9">
        <v>325.0</v>
      </c>
      <c r="F725" s="7" t="s">
        <v>399</v>
      </c>
      <c r="G725" s="7" t="s">
        <v>353</v>
      </c>
      <c r="H725" s="7" t="s">
        <v>378</v>
      </c>
      <c r="I725" s="7" t="s">
        <v>355</v>
      </c>
      <c r="J725" s="14"/>
      <c r="K725" s="14"/>
      <c r="O725" s="22"/>
      <c r="P725" s="22"/>
      <c r="Q725" s="23"/>
      <c r="R725" s="23"/>
      <c r="S725" s="14"/>
    </row>
    <row r="726" ht="18.75" customHeight="1">
      <c r="A726" s="7" t="s">
        <v>398</v>
      </c>
      <c r="B726" s="7" t="s">
        <v>3875</v>
      </c>
      <c r="C726" s="9">
        <v>144583.0</v>
      </c>
      <c r="D726" s="9">
        <v>0.0</v>
      </c>
      <c r="E726" s="9">
        <v>131.0</v>
      </c>
      <c r="F726" s="7" t="s">
        <v>399</v>
      </c>
      <c r="G726" s="7" t="s">
        <v>353</v>
      </c>
      <c r="H726" s="7" t="s">
        <v>378</v>
      </c>
      <c r="I726" s="7" t="s">
        <v>355</v>
      </c>
      <c r="J726" s="14"/>
      <c r="K726" s="14"/>
      <c r="O726" s="22"/>
      <c r="P726" s="22"/>
      <c r="Q726" s="23"/>
      <c r="R726" s="23"/>
      <c r="S726" s="14"/>
    </row>
    <row r="727" ht="18.75" customHeight="1">
      <c r="A727" s="7" t="s">
        <v>398</v>
      </c>
      <c r="B727" s="7" t="s">
        <v>3875</v>
      </c>
      <c r="C727" s="9">
        <v>147724.0</v>
      </c>
      <c r="D727" s="9">
        <v>0.0</v>
      </c>
      <c r="E727" s="9">
        <v>336.0</v>
      </c>
      <c r="F727" s="7" t="s">
        <v>399</v>
      </c>
      <c r="G727" s="7" t="s">
        <v>353</v>
      </c>
      <c r="H727" s="7" t="s">
        <v>378</v>
      </c>
      <c r="I727" s="7" t="s">
        <v>355</v>
      </c>
      <c r="J727" s="14"/>
      <c r="K727" s="14"/>
      <c r="O727" s="22"/>
      <c r="P727" s="22"/>
      <c r="Q727" s="23"/>
      <c r="R727" s="23"/>
      <c r="S727" s="14"/>
    </row>
    <row r="728" ht="18.75" customHeight="1">
      <c r="A728" s="7" t="s">
        <v>398</v>
      </c>
      <c r="B728" s="7" t="s">
        <v>3875</v>
      </c>
      <c r="C728" s="9">
        <v>144406.0</v>
      </c>
      <c r="D728" s="9">
        <v>0.0</v>
      </c>
      <c r="E728" s="9">
        <v>162.0</v>
      </c>
      <c r="F728" s="7" t="s">
        <v>399</v>
      </c>
      <c r="G728" s="7" t="s">
        <v>353</v>
      </c>
      <c r="H728" s="7" t="s">
        <v>378</v>
      </c>
      <c r="I728" s="7" t="s">
        <v>355</v>
      </c>
      <c r="J728" s="14"/>
      <c r="K728" s="14"/>
      <c r="O728" s="22"/>
      <c r="P728" s="22"/>
      <c r="Q728" s="23"/>
      <c r="R728" s="23"/>
      <c r="S728" s="14"/>
    </row>
    <row r="729" ht="18.75" customHeight="1">
      <c r="A729" s="7" t="s">
        <v>398</v>
      </c>
      <c r="B729" s="7" t="s">
        <v>3875</v>
      </c>
      <c r="C729" s="9">
        <v>116194.0</v>
      </c>
      <c r="D729" s="9">
        <v>0.0</v>
      </c>
      <c r="E729" s="9">
        <v>311.0</v>
      </c>
      <c r="F729" s="7" t="s">
        <v>399</v>
      </c>
      <c r="G729" s="7" t="s">
        <v>353</v>
      </c>
      <c r="H729" s="7" t="s">
        <v>378</v>
      </c>
      <c r="I729" s="7" t="s">
        <v>355</v>
      </c>
      <c r="J729" s="14"/>
      <c r="K729" s="14"/>
      <c r="O729" s="22"/>
      <c r="P729" s="22"/>
      <c r="Q729" s="23"/>
      <c r="R729" s="23"/>
      <c r="S729" s="14"/>
    </row>
    <row r="730" ht="18.75" customHeight="1">
      <c r="A730" s="7" t="s">
        <v>398</v>
      </c>
      <c r="B730" s="7" t="s">
        <v>3875</v>
      </c>
      <c r="C730" s="9">
        <v>219285.0</v>
      </c>
      <c r="D730" s="9">
        <v>0.0</v>
      </c>
      <c r="E730" s="9">
        <v>312.0</v>
      </c>
      <c r="F730" s="7" t="s">
        <v>399</v>
      </c>
      <c r="G730" s="7" t="s">
        <v>353</v>
      </c>
      <c r="H730" s="7" t="s">
        <v>378</v>
      </c>
      <c r="I730" s="7" t="s">
        <v>355</v>
      </c>
      <c r="J730" s="14"/>
      <c r="K730" s="14"/>
      <c r="O730" s="22"/>
      <c r="P730" s="22"/>
      <c r="Q730" s="23"/>
      <c r="R730" s="23"/>
      <c r="S730" s="14"/>
    </row>
    <row r="731" ht="18.75" customHeight="1">
      <c r="A731" s="7" t="s">
        <v>398</v>
      </c>
      <c r="B731" s="7" t="s">
        <v>3875</v>
      </c>
      <c r="C731" s="9">
        <v>143543.0</v>
      </c>
      <c r="D731" s="9">
        <v>0.0</v>
      </c>
      <c r="E731" s="9">
        <v>150.0</v>
      </c>
      <c r="F731" s="7" t="s">
        <v>399</v>
      </c>
      <c r="G731" s="7" t="s">
        <v>353</v>
      </c>
      <c r="H731" s="7" t="s">
        <v>378</v>
      </c>
      <c r="I731" s="7" t="s">
        <v>355</v>
      </c>
      <c r="J731" s="14"/>
      <c r="K731" s="14"/>
      <c r="O731" s="22"/>
      <c r="P731" s="22"/>
      <c r="Q731" s="23"/>
      <c r="R731" s="23"/>
      <c r="S731" s="14"/>
    </row>
    <row r="732" ht="18.75" customHeight="1">
      <c r="A732" s="7" t="s">
        <v>398</v>
      </c>
      <c r="B732" s="7" t="s">
        <v>3875</v>
      </c>
      <c r="C732" s="9">
        <v>100211.0</v>
      </c>
      <c r="D732" s="9">
        <v>0.0</v>
      </c>
      <c r="E732" s="9">
        <v>302.0</v>
      </c>
      <c r="F732" s="7" t="s">
        <v>399</v>
      </c>
      <c r="G732" s="7" t="s">
        <v>353</v>
      </c>
      <c r="H732" s="7" t="s">
        <v>378</v>
      </c>
      <c r="I732" s="7" t="s">
        <v>355</v>
      </c>
      <c r="J732" s="14"/>
      <c r="K732" s="14"/>
      <c r="O732" s="22"/>
      <c r="P732" s="22"/>
      <c r="Q732" s="23"/>
      <c r="R732" s="23"/>
      <c r="S732" s="14"/>
    </row>
    <row r="733" ht="18.75" customHeight="1">
      <c r="A733" s="7" t="s">
        <v>398</v>
      </c>
      <c r="B733" s="7" t="s">
        <v>3875</v>
      </c>
      <c r="C733" s="9">
        <v>144836.0</v>
      </c>
      <c r="D733" s="9">
        <v>0.0</v>
      </c>
      <c r="E733" s="9">
        <v>152.0</v>
      </c>
      <c r="F733" s="7" t="s">
        <v>399</v>
      </c>
      <c r="G733" s="7" t="s">
        <v>353</v>
      </c>
      <c r="H733" s="7" t="s">
        <v>378</v>
      </c>
      <c r="I733" s="7" t="s">
        <v>355</v>
      </c>
      <c r="J733" s="14"/>
      <c r="K733" s="14"/>
      <c r="O733" s="22"/>
      <c r="P733" s="22"/>
      <c r="Q733" s="23"/>
      <c r="R733" s="23"/>
      <c r="S733" s="14"/>
    </row>
    <row r="734" ht="18.75" customHeight="1">
      <c r="A734" s="7" t="s">
        <v>398</v>
      </c>
      <c r="B734" s="7" t="s">
        <v>3875</v>
      </c>
      <c r="C734" s="9">
        <v>109667.0</v>
      </c>
      <c r="D734" s="9">
        <v>0.0</v>
      </c>
      <c r="E734" s="9">
        <v>422.0</v>
      </c>
      <c r="F734" s="7" t="s">
        <v>399</v>
      </c>
      <c r="G734" s="7" t="s">
        <v>353</v>
      </c>
      <c r="H734" s="7" t="s">
        <v>378</v>
      </c>
      <c r="I734" s="7" t="s">
        <v>355</v>
      </c>
      <c r="J734" s="14"/>
      <c r="K734" s="14"/>
      <c r="O734" s="22"/>
      <c r="P734" s="22"/>
      <c r="Q734" s="23"/>
      <c r="R734" s="23"/>
      <c r="S734" s="14"/>
    </row>
    <row r="735" ht="18.75" customHeight="1">
      <c r="A735" s="7" t="s">
        <v>398</v>
      </c>
      <c r="B735" s="7" t="s">
        <v>3875</v>
      </c>
      <c r="C735" s="9">
        <v>117316.0</v>
      </c>
      <c r="D735" s="9">
        <v>0.0</v>
      </c>
      <c r="E735" s="9">
        <v>440.0</v>
      </c>
      <c r="F735" s="7" t="s">
        <v>399</v>
      </c>
      <c r="G735" s="7" t="s">
        <v>353</v>
      </c>
      <c r="H735" s="7" t="s">
        <v>378</v>
      </c>
      <c r="I735" s="7" t="s">
        <v>355</v>
      </c>
      <c r="J735" s="14"/>
      <c r="K735" s="14"/>
      <c r="O735" s="22"/>
      <c r="P735" s="22"/>
      <c r="Q735" s="23"/>
      <c r="R735" s="23"/>
      <c r="S735" s="14"/>
    </row>
    <row r="736" ht="18.75" customHeight="1">
      <c r="A736" s="7" t="s">
        <v>398</v>
      </c>
      <c r="B736" s="7" t="s">
        <v>3875</v>
      </c>
      <c r="C736" s="9">
        <v>116062.0</v>
      </c>
      <c r="D736" s="9">
        <v>0.0</v>
      </c>
      <c r="E736" s="9">
        <v>365.0</v>
      </c>
      <c r="F736" s="7" t="s">
        <v>399</v>
      </c>
      <c r="G736" s="7" t="s">
        <v>353</v>
      </c>
      <c r="H736" s="7" t="s">
        <v>378</v>
      </c>
      <c r="I736" s="7" t="s">
        <v>355</v>
      </c>
      <c r="J736" s="14"/>
      <c r="K736" s="14"/>
      <c r="O736" s="22"/>
      <c r="P736" s="22"/>
      <c r="Q736" s="23"/>
      <c r="R736" s="23"/>
      <c r="S736" s="14"/>
    </row>
    <row r="737" ht="18.75" customHeight="1">
      <c r="A737" s="7" t="s">
        <v>398</v>
      </c>
      <c r="B737" s="7" t="s">
        <v>3875</v>
      </c>
      <c r="C737" s="9">
        <v>124843.0</v>
      </c>
      <c r="D737" s="9">
        <v>0.0</v>
      </c>
      <c r="E737" s="9">
        <v>308.0</v>
      </c>
      <c r="F737" s="7" t="s">
        <v>399</v>
      </c>
      <c r="G737" s="7" t="s">
        <v>353</v>
      </c>
      <c r="H737" s="7" t="s">
        <v>378</v>
      </c>
      <c r="I737" s="7" t="s">
        <v>355</v>
      </c>
      <c r="J737" s="14"/>
      <c r="K737" s="14"/>
      <c r="O737" s="22"/>
      <c r="P737" s="22"/>
      <c r="Q737" s="23"/>
      <c r="R737" s="23"/>
      <c r="S737" s="14"/>
    </row>
    <row r="738" ht="18.75" customHeight="1">
      <c r="A738" s="7" t="s">
        <v>398</v>
      </c>
      <c r="B738" s="7" t="s">
        <v>3875</v>
      </c>
      <c r="C738" s="9">
        <v>101564.0</v>
      </c>
      <c r="D738" s="9">
        <v>0.0</v>
      </c>
      <c r="E738" s="9">
        <v>343.0</v>
      </c>
      <c r="F738" s="7" t="s">
        <v>399</v>
      </c>
      <c r="G738" s="7" t="s">
        <v>353</v>
      </c>
      <c r="H738" s="7" t="s">
        <v>378</v>
      </c>
      <c r="I738" s="7" t="s">
        <v>355</v>
      </c>
      <c r="J738" s="14"/>
      <c r="K738" s="14"/>
      <c r="O738" s="22"/>
      <c r="P738" s="22"/>
      <c r="Q738" s="23"/>
      <c r="R738" s="23"/>
      <c r="S738" s="14"/>
    </row>
    <row r="739" ht="18.75" customHeight="1">
      <c r="A739" s="7" t="s">
        <v>398</v>
      </c>
      <c r="B739" s="7" t="s">
        <v>3875</v>
      </c>
      <c r="C739" s="9">
        <v>137294.0</v>
      </c>
      <c r="D739" s="9">
        <v>0.0</v>
      </c>
      <c r="E739" s="9">
        <v>247.0</v>
      </c>
      <c r="F739" s="7" t="s">
        <v>399</v>
      </c>
      <c r="G739" s="7" t="s">
        <v>353</v>
      </c>
      <c r="H739" s="7" t="s">
        <v>378</v>
      </c>
      <c r="I739" s="7" t="s">
        <v>355</v>
      </c>
      <c r="J739" s="14"/>
      <c r="K739" s="14"/>
      <c r="O739" s="22"/>
      <c r="P739" s="22"/>
      <c r="Q739" s="23"/>
      <c r="R739" s="23"/>
      <c r="S739" s="14"/>
    </row>
    <row r="740" ht="18.75" customHeight="1">
      <c r="A740" s="7" t="s">
        <v>400</v>
      </c>
      <c r="B740" s="7" t="s">
        <v>3875</v>
      </c>
      <c r="C740" s="9">
        <v>684299.0</v>
      </c>
      <c r="D740" s="9">
        <v>0.0</v>
      </c>
      <c r="E740" s="9">
        <v>4060.0</v>
      </c>
      <c r="F740" s="7" t="s">
        <v>401</v>
      </c>
      <c r="G740" s="7" t="s">
        <v>353</v>
      </c>
      <c r="H740" s="7" t="s">
        <v>378</v>
      </c>
      <c r="I740" s="7" t="s">
        <v>355</v>
      </c>
      <c r="J740" s="14"/>
      <c r="K740" s="14"/>
      <c r="O740" s="22"/>
      <c r="P740" s="22"/>
      <c r="Q740" s="23"/>
      <c r="R740" s="23"/>
      <c r="S740" s="14"/>
    </row>
    <row r="741" ht="18.75" customHeight="1">
      <c r="A741" s="7" t="s">
        <v>400</v>
      </c>
      <c r="B741" s="7" t="s">
        <v>3875</v>
      </c>
      <c r="C741" s="9">
        <v>940551.0</v>
      </c>
      <c r="D741" s="9">
        <v>0.0</v>
      </c>
      <c r="E741" s="9">
        <v>1918.0</v>
      </c>
      <c r="F741" s="7" t="s">
        <v>401</v>
      </c>
      <c r="G741" s="7" t="s">
        <v>353</v>
      </c>
      <c r="H741" s="7" t="s">
        <v>378</v>
      </c>
      <c r="I741" s="7" t="s">
        <v>355</v>
      </c>
      <c r="J741" s="14"/>
      <c r="K741" s="14"/>
      <c r="O741" s="22"/>
      <c r="P741" s="22"/>
      <c r="Q741" s="23"/>
      <c r="R741" s="23"/>
      <c r="S741" s="14"/>
    </row>
    <row r="742" ht="18.75" customHeight="1">
      <c r="A742" s="7" t="s">
        <v>362</v>
      </c>
      <c r="B742" s="7" t="s">
        <v>3875</v>
      </c>
      <c r="C742" s="9">
        <v>459851.0</v>
      </c>
      <c r="D742" s="9">
        <v>10556.0</v>
      </c>
      <c r="E742" s="9">
        <v>444.0</v>
      </c>
      <c r="F742" s="7" t="s">
        <v>363</v>
      </c>
      <c r="G742" s="7" t="s">
        <v>364</v>
      </c>
      <c r="H742" s="7" t="s">
        <v>365</v>
      </c>
      <c r="I742" s="7" t="s">
        <v>355</v>
      </c>
      <c r="J742" s="14"/>
      <c r="K742" s="14"/>
      <c r="O742" s="22"/>
      <c r="P742" s="22"/>
      <c r="Q742" s="23"/>
      <c r="R742" s="23"/>
      <c r="S742" s="14"/>
    </row>
    <row r="743" ht="18.75" customHeight="1">
      <c r="A743" s="7" t="s">
        <v>362</v>
      </c>
      <c r="B743" s="7" t="s">
        <v>3875</v>
      </c>
      <c r="C743" s="9">
        <v>576870.0</v>
      </c>
      <c r="D743" s="9">
        <v>6147.0</v>
      </c>
      <c r="E743" s="9">
        <v>575.0</v>
      </c>
      <c r="F743" s="7" t="s">
        <v>363</v>
      </c>
      <c r="G743" s="7" t="s">
        <v>364</v>
      </c>
      <c r="H743" s="7" t="s">
        <v>365</v>
      </c>
      <c r="I743" s="7" t="s">
        <v>355</v>
      </c>
      <c r="J743" s="14"/>
      <c r="K743" s="14"/>
      <c r="O743" s="22"/>
      <c r="P743" s="22"/>
      <c r="Q743" s="23"/>
      <c r="R743" s="23"/>
      <c r="S743" s="14"/>
    </row>
    <row r="744" ht="18.75" customHeight="1">
      <c r="A744" s="7" t="s">
        <v>362</v>
      </c>
      <c r="B744" s="7" t="s">
        <v>3875</v>
      </c>
      <c r="C744" s="9">
        <v>586942.0</v>
      </c>
      <c r="D744" s="9">
        <v>0.0</v>
      </c>
      <c r="E744" s="9">
        <v>687.0</v>
      </c>
      <c r="F744" s="7" t="s">
        <v>363</v>
      </c>
      <c r="G744" s="7" t="s">
        <v>364</v>
      </c>
      <c r="H744" s="7" t="s">
        <v>365</v>
      </c>
      <c r="I744" s="7" t="s">
        <v>355</v>
      </c>
      <c r="J744" s="14"/>
      <c r="K744" s="14"/>
      <c r="O744" s="22"/>
      <c r="P744" s="22"/>
      <c r="Q744" s="23"/>
      <c r="R744" s="23"/>
      <c r="S744" s="14"/>
    </row>
    <row r="745" ht="18.75" customHeight="1">
      <c r="A745" s="7" t="s">
        <v>362</v>
      </c>
      <c r="B745" s="7" t="s">
        <v>3875</v>
      </c>
      <c r="C745" s="9">
        <v>446320.0</v>
      </c>
      <c r="D745" s="9">
        <v>10077.0</v>
      </c>
      <c r="E745" s="9">
        <v>912.0</v>
      </c>
      <c r="F745" s="7" t="s">
        <v>363</v>
      </c>
      <c r="G745" s="7" t="s">
        <v>364</v>
      </c>
      <c r="H745" s="7" t="s">
        <v>365</v>
      </c>
      <c r="I745" s="7" t="s">
        <v>355</v>
      </c>
      <c r="J745" s="14"/>
      <c r="K745" s="14"/>
      <c r="O745" s="22"/>
      <c r="P745" s="22"/>
      <c r="Q745" s="23"/>
      <c r="R745" s="23"/>
      <c r="S745" s="14"/>
    </row>
    <row r="746" ht="18.75" customHeight="1">
      <c r="A746" s="7" t="s">
        <v>351</v>
      </c>
      <c r="B746" s="7" t="s">
        <v>3875</v>
      </c>
      <c r="C746" s="9">
        <v>1137153.0</v>
      </c>
      <c r="D746" s="9">
        <v>61553.0</v>
      </c>
      <c r="E746" s="9">
        <v>907.0</v>
      </c>
      <c r="F746" s="7" t="s">
        <v>352</v>
      </c>
      <c r="G746" s="7" t="s">
        <v>353</v>
      </c>
      <c r="H746" s="7" t="s">
        <v>354</v>
      </c>
      <c r="I746" s="7" t="s">
        <v>410</v>
      </c>
      <c r="J746" s="14"/>
      <c r="K746" s="14"/>
      <c r="O746" s="22"/>
      <c r="P746" s="22"/>
      <c r="Q746" s="23"/>
      <c r="R746" s="23"/>
      <c r="S746" s="14"/>
    </row>
    <row r="747" ht="18.75" customHeight="1">
      <c r="A747" s="7" t="s">
        <v>351</v>
      </c>
      <c r="B747" s="7" t="s">
        <v>3875</v>
      </c>
      <c r="C747" s="9">
        <v>572979.0</v>
      </c>
      <c r="D747" s="9">
        <v>60341.0</v>
      </c>
      <c r="E747" s="9">
        <v>609.0</v>
      </c>
      <c r="F747" s="7" t="s">
        <v>352</v>
      </c>
      <c r="G747" s="7" t="s">
        <v>353</v>
      </c>
      <c r="H747" s="7" t="s">
        <v>354</v>
      </c>
      <c r="I747" s="7" t="s">
        <v>410</v>
      </c>
      <c r="J747" s="14"/>
      <c r="K747" s="14"/>
      <c r="O747" s="22"/>
      <c r="P747" s="22"/>
      <c r="Q747" s="23"/>
      <c r="R747" s="23"/>
      <c r="S747" s="14"/>
    </row>
    <row r="748" ht="18.75" customHeight="1">
      <c r="A748" s="7" t="s">
        <v>351</v>
      </c>
      <c r="B748" s="7" t="s">
        <v>3875</v>
      </c>
      <c r="C748" s="9">
        <v>605546.0</v>
      </c>
      <c r="D748" s="9">
        <v>23467.0</v>
      </c>
      <c r="E748" s="9">
        <v>644.0</v>
      </c>
      <c r="F748" s="7" t="s">
        <v>352</v>
      </c>
      <c r="G748" s="7" t="s">
        <v>353</v>
      </c>
      <c r="H748" s="7" t="s">
        <v>354</v>
      </c>
      <c r="I748" s="7" t="s">
        <v>410</v>
      </c>
      <c r="J748" s="14"/>
      <c r="K748" s="14"/>
      <c r="O748" s="22"/>
      <c r="P748" s="22"/>
      <c r="Q748" s="23"/>
      <c r="R748" s="23"/>
      <c r="S748" s="14"/>
    </row>
    <row r="749" ht="18.75" customHeight="1">
      <c r="A749" s="7" t="s">
        <v>408</v>
      </c>
      <c r="B749" s="7" t="s">
        <v>3875</v>
      </c>
      <c r="C749" s="9">
        <v>266607.0</v>
      </c>
      <c r="D749" s="9">
        <v>31850.0</v>
      </c>
      <c r="E749" s="9">
        <v>4206.0</v>
      </c>
      <c r="F749" s="7" t="s">
        <v>409</v>
      </c>
      <c r="G749" s="7" t="s">
        <v>353</v>
      </c>
      <c r="H749" s="7" t="s">
        <v>354</v>
      </c>
      <c r="I749" s="7" t="s">
        <v>410</v>
      </c>
      <c r="J749" s="14"/>
      <c r="K749" s="14"/>
      <c r="O749" s="22"/>
      <c r="P749" s="22"/>
      <c r="Q749" s="23"/>
      <c r="R749" s="23"/>
      <c r="S749" s="14"/>
    </row>
    <row r="750" ht="18.75" customHeight="1">
      <c r="A750" s="7" t="s">
        <v>408</v>
      </c>
      <c r="B750" s="7" t="s">
        <v>3875</v>
      </c>
      <c r="C750" s="9">
        <v>118345.0</v>
      </c>
      <c r="D750" s="9">
        <v>13020.0</v>
      </c>
      <c r="E750" s="9">
        <v>3164.0</v>
      </c>
      <c r="F750" s="7" t="s">
        <v>409</v>
      </c>
      <c r="G750" s="7" t="s">
        <v>353</v>
      </c>
      <c r="H750" s="7" t="s">
        <v>354</v>
      </c>
      <c r="I750" s="7" t="s">
        <v>410</v>
      </c>
      <c r="J750" s="14"/>
      <c r="K750" s="14"/>
      <c r="O750" s="22"/>
      <c r="P750" s="22"/>
      <c r="Q750" s="23"/>
      <c r="R750" s="23"/>
      <c r="S750" s="14"/>
    </row>
    <row r="751" ht="18.75" customHeight="1">
      <c r="A751" s="7" t="s">
        <v>351</v>
      </c>
      <c r="B751" s="7" t="s">
        <v>3875</v>
      </c>
      <c r="C751" s="9">
        <v>127271.0</v>
      </c>
      <c r="D751" s="9">
        <v>14432.0</v>
      </c>
      <c r="E751" s="9">
        <v>4282.0</v>
      </c>
      <c r="F751" s="7" t="s">
        <v>352</v>
      </c>
      <c r="G751" s="7" t="s">
        <v>353</v>
      </c>
      <c r="H751" s="7" t="s">
        <v>354</v>
      </c>
      <c r="I751" s="7" t="s">
        <v>410</v>
      </c>
      <c r="J751" s="14"/>
      <c r="K751" s="14"/>
      <c r="O751" s="22"/>
      <c r="P751" s="22"/>
      <c r="Q751" s="23"/>
      <c r="R751" s="23"/>
      <c r="S751" s="14"/>
    </row>
    <row r="752" ht="18.75" customHeight="1">
      <c r="A752" s="7" t="s">
        <v>351</v>
      </c>
      <c r="B752" s="7" t="s">
        <v>3875</v>
      </c>
      <c r="C752" s="9">
        <v>57366.0</v>
      </c>
      <c r="D752" s="9">
        <v>2469.0</v>
      </c>
      <c r="E752" s="9">
        <v>1477.0</v>
      </c>
      <c r="F752" s="7" t="s">
        <v>352</v>
      </c>
      <c r="G752" s="7" t="s">
        <v>353</v>
      </c>
      <c r="H752" s="7" t="s">
        <v>354</v>
      </c>
      <c r="I752" s="7" t="s">
        <v>410</v>
      </c>
      <c r="J752" s="14"/>
      <c r="K752" s="14"/>
      <c r="O752" s="22"/>
      <c r="P752" s="22"/>
      <c r="Q752" s="23"/>
      <c r="R752" s="23"/>
      <c r="S752" s="14"/>
    </row>
    <row r="753" ht="18.75" customHeight="1">
      <c r="A753" s="7" t="s">
        <v>351</v>
      </c>
      <c r="B753" s="7" t="s">
        <v>3875</v>
      </c>
      <c r="C753" s="9">
        <v>200602.0</v>
      </c>
      <c r="D753" s="9">
        <v>41221.0</v>
      </c>
      <c r="E753" s="9">
        <v>6198.0</v>
      </c>
      <c r="F753" s="7" t="s">
        <v>352</v>
      </c>
      <c r="G753" s="7" t="s">
        <v>353</v>
      </c>
      <c r="H753" s="7" t="s">
        <v>354</v>
      </c>
      <c r="I753" s="7" t="s">
        <v>410</v>
      </c>
      <c r="J753" s="14"/>
      <c r="K753" s="14"/>
      <c r="O753" s="22"/>
      <c r="P753" s="22"/>
      <c r="Q753" s="23"/>
      <c r="R753" s="23"/>
      <c r="S753" s="14"/>
    </row>
    <row r="754" ht="18.75" customHeight="1">
      <c r="A754" s="7" t="s">
        <v>511</v>
      </c>
      <c r="B754" s="7" t="s">
        <v>3875</v>
      </c>
      <c r="C754" s="9">
        <v>7741.0</v>
      </c>
      <c r="D754" s="9">
        <v>1596.0</v>
      </c>
      <c r="E754" s="9">
        <v>36.0</v>
      </c>
      <c r="F754" s="7" t="s">
        <v>512</v>
      </c>
      <c r="G754" s="7" t="s">
        <v>358</v>
      </c>
      <c r="H754" s="7" t="s">
        <v>466</v>
      </c>
      <c r="I754" s="7" t="s">
        <v>355</v>
      </c>
      <c r="J754" s="14"/>
      <c r="K754" s="14"/>
      <c r="O754" s="22"/>
      <c r="P754" s="22"/>
      <c r="Q754" s="23"/>
      <c r="R754" s="23"/>
      <c r="S754" s="14"/>
    </row>
    <row r="755" ht="18.75" customHeight="1">
      <c r="A755" s="7" t="s">
        <v>511</v>
      </c>
      <c r="B755" s="7" t="s">
        <v>3875</v>
      </c>
      <c r="C755" s="9">
        <v>137569.0</v>
      </c>
      <c r="D755" s="9">
        <v>7166.0</v>
      </c>
      <c r="E755" s="9">
        <v>216.0</v>
      </c>
      <c r="F755" s="7" t="s">
        <v>512</v>
      </c>
      <c r="G755" s="7" t="s">
        <v>358</v>
      </c>
      <c r="H755" s="7" t="s">
        <v>466</v>
      </c>
      <c r="I755" s="7" t="s">
        <v>355</v>
      </c>
      <c r="J755" s="14"/>
      <c r="K755" s="14"/>
      <c r="O755" s="22"/>
      <c r="P755" s="22"/>
      <c r="Q755" s="23"/>
      <c r="R755" s="23"/>
      <c r="S755" s="14"/>
    </row>
    <row r="756" ht="18.75" customHeight="1">
      <c r="A756" s="7" t="s">
        <v>379</v>
      </c>
      <c r="B756" s="7" t="s">
        <v>3875</v>
      </c>
      <c r="C756" s="9">
        <v>343539.0</v>
      </c>
      <c r="D756" s="9">
        <v>0.0</v>
      </c>
      <c r="E756" s="9">
        <v>546.0</v>
      </c>
      <c r="F756" s="7" t="s">
        <v>380</v>
      </c>
      <c r="G756" s="7" t="s">
        <v>353</v>
      </c>
      <c r="H756" s="7" t="s">
        <v>354</v>
      </c>
      <c r="I756" s="7" t="s">
        <v>355</v>
      </c>
      <c r="J756" s="14"/>
      <c r="K756" s="14"/>
      <c r="O756" s="22"/>
      <c r="P756" s="22"/>
      <c r="Q756" s="23"/>
      <c r="R756" s="23"/>
      <c r="S756" s="14"/>
    </row>
    <row r="757" ht="18.75" customHeight="1">
      <c r="A757" s="7" t="s">
        <v>379</v>
      </c>
      <c r="B757" s="7" t="s">
        <v>3875</v>
      </c>
      <c r="C757" s="9">
        <v>333117.0</v>
      </c>
      <c r="D757" s="9">
        <v>0.0</v>
      </c>
      <c r="E757" s="9">
        <v>9011.0</v>
      </c>
      <c r="F757" s="7" t="s">
        <v>380</v>
      </c>
      <c r="G757" s="7" t="s">
        <v>353</v>
      </c>
      <c r="H757" s="7" t="s">
        <v>354</v>
      </c>
      <c r="I757" s="7" t="s">
        <v>355</v>
      </c>
      <c r="J757" s="14"/>
      <c r="K757" s="14"/>
      <c r="O757" s="22"/>
      <c r="P757" s="22"/>
      <c r="Q757" s="23"/>
      <c r="R757" s="23"/>
      <c r="S757" s="14"/>
    </row>
    <row r="758" ht="18.75" customHeight="1">
      <c r="A758" s="7" t="s">
        <v>553</v>
      </c>
      <c r="B758" s="7" t="s">
        <v>3875</v>
      </c>
      <c r="C758" s="9">
        <v>250908.0</v>
      </c>
      <c r="D758" s="9">
        <v>0.0</v>
      </c>
      <c r="E758" s="9">
        <v>1841.0</v>
      </c>
      <c r="F758" s="7" t="s">
        <v>554</v>
      </c>
      <c r="G758" s="7" t="s">
        <v>364</v>
      </c>
      <c r="H758" s="7" t="s">
        <v>365</v>
      </c>
      <c r="I758" s="7" t="s">
        <v>355</v>
      </c>
      <c r="J758" s="14"/>
      <c r="K758" s="14"/>
      <c r="O758" s="22"/>
      <c r="P758" s="22"/>
      <c r="Q758" s="23"/>
      <c r="R758" s="23"/>
      <c r="S758" s="14"/>
    </row>
    <row r="759" ht="18.75" customHeight="1">
      <c r="A759" s="7" t="s">
        <v>3878</v>
      </c>
      <c r="B759" s="7" t="s">
        <v>3875</v>
      </c>
      <c r="C759" s="9">
        <v>1112601.0</v>
      </c>
      <c r="D759" s="9">
        <v>0.0</v>
      </c>
      <c r="E759" s="9">
        <v>1141.0</v>
      </c>
      <c r="F759" s="7" t="s">
        <v>3879</v>
      </c>
      <c r="G759" s="7" t="s">
        <v>364</v>
      </c>
      <c r="H759" s="7" t="s">
        <v>365</v>
      </c>
      <c r="I759" s="7" t="s">
        <v>355</v>
      </c>
      <c r="J759" s="14"/>
      <c r="K759" s="14"/>
      <c r="O759" s="22"/>
      <c r="P759" s="22"/>
      <c r="Q759" s="23"/>
      <c r="R759" s="23"/>
      <c r="S759" s="14"/>
    </row>
    <row r="760" ht="18.75" customHeight="1">
      <c r="A760" s="7" t="s">
        <v>603</v>
      </c>
      <c r="B760" s="7" t="s">
        <v>3875</v>
      </c>
      <c r="C760" s="9">
        <v>20836.0</v>
      </c>
      <c r="D760" s="9">
        <v>0.0</v>
      </c>
      <c r="E760" s="9">
        <v>95.0</v>
      </c>
      <c r="F760" s="7" t="s">
        <v>604</v>
      </c>
      <c r="G760" s="7" t="s">
        <v>416</v>
      </c>
      <c r="H760" s="7" t="s">
        <v>359</v>
      </c>
      <c r="I760" s="7" t="s">
        <v>355</v>
      </c>
      <c r="J760" s="14"/>
      <c r="K760" s="14"/>
      <c r="O760" s="22"/>
      <c r="P760" s="22"/>
      <c r="Q760" s="23"/>
      <c r="R760" s="23"/>
      <c r="S760" s="14"/>
    </row>
    <row r="761" ht="18.75" customHeight="1">
      <c r="A761" s="7" t="s">
        <v>592</v>
      </c>
      <c r="B761" s="7" t="s">
        <v>3875</v>
      </c>
      <c r="C761" s="9">
        <v>9679.0</v>
      </c>
      <c r="D761" s="9">
        <v>0.0</v>
      </c>
      <c r="E761" s="9">
        <v>37.0</v>
      </c>
      <c r="F761" s="7" t="s">
        <v>593</v>
      </c>
      <c r="G761" s="7" t="s">
        <v>416</v>
      </c>
      <c r="H761" s="7" t="s">
        <v>594</v>
      </c>
      <c r="I761" s="7" t="s">
        <v>355</v>
      </c>
      <c r="J761" s="14"/>
      <c r="K761" s="14"/>
      <c r="O761" s="22"/>
      <c r="P761" s="22"/>
      <c r="Q761" s="23"/>
      <c r="R761" s="23"/>
      <c r="S761" s="14"/>
    </row>
    <row r="762" ht="18.75" customHeight="1">
      <c r="A762" s="7" t="s">
        <v>617</v>
      </c>
      <c r="B762" s="7" t="s">
        <v>3875</v>
      </c>
      <c r="C762" s="9">
        <v>60011.0</v>
      </c>
      <c r="D762" s="9">
        <v>0.0</v>
      </c>
      <c r="E762" s="9">
        <v>173.0</v>
      </c>
      <c r="F762" s="7" t="s">
        <v>618</v>
      </c>
      <c r="G762" s="7" t="s">
        <v>416</v>
      </c>
      <c r="H762" s="7" t="s">
        <v>466</v>
      </c>
      <c r="I762" s="7" t="s">
        <v>355</v>
      </c>
      <c r="J762" s="14"/>
      <c r="K762" s="14"/>
      <c r="O762" s="22"/>
      <c r="P762" s="22"/>
      <c r="Q762" s="23"/>
      <c r="R762" s="23"/>
      <c r="S762" s="14"/>
    </row>
    <row r="763" ht="18.75" customHeight="1">
      <c r="A763" s="7" t="s">
        <v>590</v>
      </c>
      <c r="B763" s="7" t="s">
        <v>3875</v>
      </c>
      <c r="C763" s="9">
        <v>98752.0</v>
      </c>
      <c r="D763" s="9">
        <v>0.0</v>
      </c>
      <c r="E763" s="9">
        <v>119.0</v>
      </c>
      <c r="F763" s="7" t="s">
        <v>591</v>
      </c>
      <c r="G763" s="7" t="s">
        <v>358</v>
      </c>
      <c r="H763" s="7" t="s">
        <v>466</v>
      </c>
      <c r="I763" s="7" t="s">
        <v>355</v>
      </c>
      <c r="J763" s="14"/>
      <c r="K763" s="14"/>
      <c r="O763" s="22"/>
      <c r="P763" s="22"/>
      <c r="Q763" s="23"/>
      <c r="R763" s="23"/>
      <c r="S763" s="14"/>
    </row>
    <row r="764" ht="18.75" customHeight="1">
      <c r="A764" s="7" t="s">
        <v>590</v>
      </c>
      <c r="B764" s="7" t="s">
        <v>3875</v>
      </c>
      <c r="C764" s="9">
        <v>85641.0</v>
      </c>
      <c r="D764" s="9">
        <v>0.0</v>
      </c>
      <c r="E764" s="9">
        <v>152.0</v>
      </c>
      <c r="F764" s="7" t="s">
        <v>591</v>
      </c>
      <c r="G764" s="7" t="s">
        <v>358</v>
      </c>
      <c r="H764" s="7" t="s">
        <v>466</v>
      </c>
      <c r="I764" s="7" t="s">
        <v>355</v>
      </c>
      <c r="J764" s="14"/>
      <c r="K764" s="14"/>
      <c r="O764" s="22"/>
      <c r="P764" s="22"/>
      <c r="Q764" s="23"/>
      <c r="R764" s="23"/>
      <c r="S764" s="14"/>
    </row>
    <row r="765" ht="18.75" customHeight="1">
      <c r="A765" s="7" t="s">
        <v>402</v>
      </c>
      <c r="B765" s="7" t="s">
        <v>3875</v>
      </c>
      <c r="C765" s="9">
        <v>4111508.0</v>
      </c>
      <c r="D765" s="9">
        <v>25102.0</v>
      </c>
      <c r="E765" s="9">
        <v>7368.0</v>
      </c>
      <c r="F765" s="7" t="s">
        <v>403</v>
      </c>
      <c r="G765" s="7" t="s">
        <v>404</v>
      </c>
      <c r="H765" s="7" t="s">
        <v>405</v>
      </c>
      <c r="I765" s="7" t="s">
        <v>355</v>
      </c>
      <c r="J765" s="14"/>
      <c r="K765" s="14"/>
      <c r="O765" s="22"/>
      <c r="P765" s="22"/>
      <c r="Q765" s="23"/>
      <c r="R765" s="23"/>
      <c r="S765" s="14"/>
    </row>
    <row r="766" ht="18.75" customHeight="1">
      <c r="A766" s="7" t="s">
        <v>402</v>
      </c>
      <c r="B766" s="7" t="s">
        <v>3875</v>
      </c>
      <c r="C766" s="9">
        <v>1250120.0</v>
      </c>
      <c r="D766" s="9">
        <v>551209.0</v>
      </c>
      <c r="E766" s="9">
        <v>2444.0</v>
      </c>
      <c r="F766" s="7" t="s">
        <v>403</v>
      </c>
      <c r="G766" s="7" t="s">
        <v>404</v>
      </c>
      <c r="H766" s="7" t="s">
        <v>405</v>
      </c>
      <c r="I766" s="7" t="s">
        <v>355</v>
      </c>
      <c r="J766" s="14"/>
      <c r="K766" s="14"/>
      <c r="O766" s="22"/>
      <c r="P766" s="22"/>
      <c r="Q766" s="23"/>
      <c r="R766" s="23"/>
      <c r="S766" s="14"/>
    </row>
    <row r="767" ht="18.75" customHeight="1">
      <c r="A767" s="7" t="s">
        <v>402</v>
      </c>
      <c r="B767" s="7" t="s">
        <v>3875</v>
      </c>
      <c r="C767" s="9">
        <v>1310371.0</v>
      </c>
      <c r="D767" s="9">
        <v>379194.0</v>
      </c>
      <c r="E767" s="9">
        <v>1032.0</v>
      </c>
      <c r="F767" s="7" t="s">
        <v>403</v>
      </c>
      <c r="G767" s="7" t="s">
        <v>404</v>
      </c>
      <c r="H767" s="7" t="s">
        <v>405</v>
      </c>
      <c r="I767" s="7" t="s">
        <v>355</v>
      </c>
      <c r="J767" s="14"/>
      <c r="K767" s="14"/>
      <c r="O767" s="22"/>
      <c r="P767" s="22"/>
      <c r="Q767" s="23"/>
      <c r="R767" s="23"/>
      <c r="S767" s="14"/>
    </row>
    <row r="768" ht="18.75" customHeight="1">
      <c r="A768" s="7" t="s">
        <v>619</v>
      </c>
      <c r="B768" s="7" t="s">
        <v>3875</v>
      </c>
      <c r="C768" s="9">
        <v>133662.0</v>
      </c>
      <c r="D768" s="9">
        <v>0.0</v>
      </c>
      <c r="E768" s="9">
        <v>175.0</v>
      </c>
      <c r="F768" s="7" t="s">
        <v>620</v>
      </c>
      <c r="G768" s="7" t="s">
        <v>416</v>
      </c>
      <c r="H768" s="7" t="s">
        <v>466</v>
      </c>
      <c r="I768" s="7" t="s">
        <v>355</v>
      </c>
      <c r="J768" s="14"/>
      <c r="K768" s="14"/>
      <c r="O768" s="22"/>
      <c r="P768" s="22"/>
      <c r="Q768" s="23"/>
      <c r="R768" s="23"/>
      <c r="S768" s="14"/>
    </row>
    <row r="769" ht="18.75" customHeight="1">
      <c r="A769" s="7" t="s">
        <v>613</v>
      </c>
      <c r="B769" s="7" t="s">
        <v>3875</v>
      </c>
      <c r="C769" s="9">
        <v>123990.0</v>
      </c>
      <c r="D769" s="9">
        <v>0.0</v>
      </c>
      <c r="E769" s="9">
        <v>483.0</v>
      </c>
      <c r="F769" s="7" t="s">
        <v>614</v>
      </c>
      <c r="G769" s="7" t="s">
        <v>416</v>
      </c>
      <c r="H769" s="7" t="s">
        <v>466</v>
      </c>
      <c r="I769" s="7" t="s">
        <v>355</v>
      </c>
      <c r="J769" s="14"/>
      <c r="K769" s="14"/>
      <c r="O769" s="22"/>
      <c r="P769" s="22"/>
      <c r="Q769" s="23"/>
      <c r="R769" s="23"/>
      <c r="S769" s="14"/>
    </row>
    <row r="770" ht="18.75" customHeight="1">
      <c r="A770" s="7" t="s">
        <v>431</v>
      </c>
      <c r="B770" s="7" t="s">
        <v>3875</v>
      </c>
      <c r="C770" s="9">
        <v>1162027.0</v>
      </c>
      <c r="D770" s="9">
        <v>35250.0</v>
      </c>
      <c r="E770" s="9">
        <v>1187.0</v>
      </c>
      <c r="F770" s="7" t="s">
        <v>432</v>
      </c>
      <c r="G770" s="7" t="s">
        <v>404</v>
      </c>
      <c r="H770" s="7" t="s">
        <v>405</v>
      </c>
      <c r="I770" s="7" t="s">
        <v>355</v>
      </c>
      <c r="J770" s="14"/>
      <c r="K770" s="14"/>
      <c r="O770" s="22"/>
      <c r="P770" s="22"/>
      <c r="Q770" s="23"/>
      <c r="R770" s="23"/>
      <c r="S770" s="14"/>
    </row>
    <row r="771" ht="18.75" customHeight="1">
      <c r="A771" s="7" t="s">
        <v>431</v>
      </c>
      <c r="B771" s="7" t="s">
        <v>3875</v>
      </c>
      <c r="C771" s="9">
        <v>1512050.0</v>
      </c>
      <c r="D771" s="9">
        <v>95148.0</v>
      </c>
      <c r="E771" s="9">
        <v>1535.0</v>
      </c>
      <c r="F771" s="7" t="s">
        <v>432</v>
      </c>
      <c r="G771" s="7" t="s">
        <v>404</v>
      </c>
      <c r="H771" s="7" t="s">
        <v>405</v>
      </c>
      <c r="I771" s="7" t="s">
        <v>355</v>
      </c>
      <c r="J771" s="14"/>
      <c r="K771" s="14"/>
      <c r="O771" s="22"/>
      <c r="P771" s="22"/>
      <c r="Q771" s="23"/>
      <c r="R771" s="23"/>
      <c r="S771" s="14"/>
    </row>
    <row r="772" ht="18.75" customHeight="1">
      <c r="A772" s="7" t="s">
        <v>431</v>
      </c>
      <c r="B772" s="7" t="s">
        <v>3875</v>
      </c>
      <c r="C772" s="9">
        <v>134401.0</v>
      </c>
      <c r="D772" s="9">
        <v>16437.0</v>
      </c>
      <c r="E772" s="9">
        <v>287.0</v>
      </c>
      <c r="F772" s="7" t="s">
        <v>432</v>
      </c>
      <c r="G772" s="7" t="s">
        <v>404</v>
      </c>
      <c r="H772" s="7" t="s">
        <v>405</v>
      </c>
      <c r="I772" s="7" t="s">
        <v>355</v>
      </c>
      <c r="J772" s="14"/>
      <c r="K772" s="14"/>
      <c r="O772" s="22"/>
      <c r="P772" s="22"/>
      <c r="Q772" s="23"/>
      <c r="R772" s="23"/>
      <c r="S772" s="14"/>
    </row>
    <row r="773" ht="18.75" customHeight="1">
      <c r="A773" s="7" t="s">
        <v>431</v>
      </c>
      <c r="B773" s="7" t="s">
        <v>3875</v>
      </c>
      <c r="C773" s="9">
        <v>234412.0</v>
      </c>
      <c r="D773" s="9">
        <v>36320.0</v>
      </c>
      <c r="E773" s="9">
        <v>397.0</v>
      </c>
      <c r="F773" s="7" t="s">
        <v>432</v>
      </c>
      <c r="G773" s="7" t="s">
        <v>404</v>
      </c>
      <c r="H773" s="7" t="s">
        <v>405</v>
      </c>
      <c r="I773" s="7" t="s">
        <v>355</v>
      </c>
      <c r="J773" s="14"/>
      <c r="K773" s="14"/>
      <c r="O773" s="22"/>
      <c r="P773" s="22"/>
      <c r="Q773" s="23"/>
      <c r="R773" s="23"/>
      <c r="S773" s="14"/>
    </row>
    <row r="774" ht="18.75" customHeight="1">
      <c r="A774" s="7" t="s">
        <v>431</v>
      </c>
      <c r="B774" s="7" t="s">
        <v>3875</v>
      </c>
      <c r="C774" s="9">
        <v>839084.0</v>
      </c>
      <c r="D774" s="9">
        <v>20413.0</v>
      </c>
      <c r="E774" s="9">
        <v>1614.0</v>
      </c>
      <c r="F774" s="7" t="s">
        <v>432</v>
      </c>
      <c r="G774" s="7" t="s">
        <v>404</v>
      </c>
      <c r="H774" s="7" t="s">
        <v>405</v>
      </c>
      <c r="I774" s="7" t="s">
        <v>355</v>
      </c>
      <c r="J774" s="14"/>
      <c r="K774" s="14"/>
      <c r="O774" s="22"/>
      <c r="P774" s="22"/>
      <c r="Q774" s="23"/>
      <c r="R774" s="23"/>
      <c r="S774" s="14"/>
    </row>
    <row r="775" ht="18.75" customHeight="1">
      <c r="A775" s="7" t="s">
        <v>615</v>
      </c>
      <c r="B775" s="7" t="s">
        <v>3875</v>
      </c>
      <c r="C775" s="9">
        <v>139884.0</v>
      </c>
      <c r="D775" s="9">
        <v>0.0</v>
      </c>
      <c r="E775" s="9">
        <v>431.0</v>
      </c>
      <c r="F775" s="7" t="s">
        <v>616</v>
      </c>
      <c r="G775" s="7" t="s">
        <v>416</v>
      </c>
      <c r="H775" s="7" t="s">
        <v>466</v>
      </c>
      <c r="I775" s="7" t="s">
        <v>355</v>
      </c>
      <c r="J775" s="14"/>
      <c r="K775" s="14"/>
      <c r="O775" s="22"/>
      <c r="P775" s="22"/>
      <c r="Q775" s="23"/>
      <c r="R775" s="23"/>
      <c r="S775" s="14"/>
    </row>
    <row r="776" ht="18.75" customHeight="1">
      <c r="A776" s="7" t="s">
        <v>595</v>
      </c>
      <c r="B776" s="7" t="s">
        <v>3875</v>
      </c>
      <c r="C776" s="9">
        <v>32148.0</v>
      </c>
      <c r="D776" s="9">
        <v>0.0</v>
      </c>
      <c r="E776" s="9">
        <v>120.0</v>
      </c>
      <c r="F776" s="7" t="s">
        <v>596</v>
      </c>
      <c r="G776" s="7" t="s">
        <v>416</v>
      </c>
      <c r="H776" s="7" t="s">
        <v>594</v>
      </c>
      <c r="I776" s="7" t="s">
        <v>355</v>
      </c>
      <c r="J776" s="14"/>
      <c r="K776" s="14"/>
      <c r="O776" s="22"/>
      <c r="P776" s="22"/>
      <c r="Q776" s="23"/>
      <c r="R776" s="23"/>
      <c r="S776" s="14"/>
    </row>
    <row r="777" ht="18.75" customHeight="1">
      <c r="A777" s="7" t="s">
        <v>631</v>
      </c>
      <c r="B777" s="7" t="s">
        <v>3875</v>
      </c>
      <c r="C777" s="9">
        <v>188003.0</v>
      </c>
      <c r="D777" s="9">
        <v>0.0</v>
      </c>
      <c r="E777" s="9">
        <v>707.0</v>
      </c>
      <c r="F777" s="7" t="s">
        <v>632</v>
      </c>
      <c r="G777" s="7" t="s">
        <v>416</v>
      </c>
      <c r="H777" s="7" t="s">
        <v>413</v>
      </c>
      <c r="I777" s="7" t="s">
        <v>355</v>
      </c>
      <c r="J777" s="14"/>
      <c r="K777" s="14"/>
      <c r="O777" s="22"/>
      <c r="P777" s="22"/>
      <c r="Q777" s="23"/>
      <c r="R777" s="23"/>
      <c r="S777" s="14"/>
    </row>
    <row r="778" ht="18.75" customHeight="1">
      <c r="A778" s="7" t="s">
        <v>431</v>
      </c>
      <c r="B778" s="7" t="s">
        <v>3875</v>
      </c>
      <c r="C778" s="9">
        <v>1119440.0</v>
      </c>
      <c r="D778" s="9">
        <v>35014.0</v>
      </c>
      <c r="E778" s="9">
        <v>1338.0</v>
      </c>
      <c r="F778" s="7" t="s">
        <v>432</v>
      </c>
      <c r="G778" s="7" t="s">
        <v>404</v>
      </c>
      <c r="H778" s="7" t="s">
        <v>405</v>
      </c>
      <c r="I778" s="7" t="s">
        <v>355</v>
      </c>
      <c r="J778" s="14"/>
      <c r="K778" s="14"/>
      <c r="O778" s="22"/>
      <c r="P778" s="22"/>
      <c r="Q778" s="23"/>
      <c r="R778" s="23"/>
      <c r="S778" s="14"/>
    </row>
    <row r="779" ht="18.75" customHeight="1">
      <c r="A779" s="7" t="s">
        <v>422</v>
      </c>
      <c r="B779" s="7" t="s">
        <v>3875</v>
      </c>
      <c r="C779" s="9">
        <v>1388575.0</v>
      </c>
      <c r="D779" s="9">
        <v>68641.0</v>
      </c>
      <c r="E779" s="9">
        <v>2111.0</v>
      </c>
      <c r="F779" s="7" t="s">
        <v>423</v>
      </c>
      <c r="G779" s="7" t="s">
        <v>404</v>
      </c>
      <c r="H779" s="7" t="s">
        <v>405</v>
      </c>
      <c r="I779" s="7" t="s">
        <v>355</v>
      </c>
      <c r="J779" s="14"/>
      <c r="K779" s="14"/>
      <c r="O779" s="22"/>
      <c r="P779" s="22"/>
      <c r="Q779" s="23"/>
      <c r="R779" s="23"/>
      <c r="S779" s="14"/>
    </row>
    <row r="780" ht="18.75" customHeight="1">
      <c r="A780" s="7" t="s">
        <v>3887</v>
      </c>
      <c r="B780" s="7" t="s">
        <v>3875</v>
      </c>
      <c r="C780" s="9">
        <v>422848.0</v>
      </c>
      <c r="D780" s="9">
        <v>0.0</v>
      </c>
      <c r="E780" s="9">
        <v>22.0</v>
      </c>
      <c r="F780" s="14"/>
      <c r="G780" s="14"/>
      <c r="H780" s="14"/>
      <c r="I780" s="14"/>
      <c r="J780" s="14"/>
      <c r="K780" s="14"/>
      <c r="O780" s="22"/>
      <c r="P780" s="22"/>
      <c r="Q780" s="23"/>
      <c r="R780" s="23"/>
      <c r="S780" s="14"/>
    </row>
    <row r="781" ht="18.75" customHeight="1">
      <c r="A781" s="7" t="s">
        <v>599</v>
      </c>
      <c r="B781" s="7" t="s">
        <v>3875</v>
      </c>
      <c r="C781" s="9">
        <v>23972.0</v>
      </c>
      <c r="D781" s="9">
        <v>3218.0</v>
      </c>
      <c r="E781" s="9">
        <v>50.0</v>
      </c>
      <c r="F781" s="7" t="s">
        <v>600</v>
      </c>
      <c r="G781" s="7" t="s">
        <v>416</v>
      </c>
      <c r="H781" s="7" t="s">
        <v>417</v>
      </c>
      <c r="I781" s="7" t="s">
        <v>355</v>
      </c>
      <c r="J781" s="14"/>
      <c r="K781" s="14"/>
      <c r="O781" s="22"/>
      <c r="P781" s="22"/>
      <c r="Q781" s="23"/>
      <c r="R781" s="23"/>
      <c r="S781" s="14"/>
    </row>
    <row r="782" ht="18.75" customHeight="1">
      <c r="A782" s="7" t="s">
        <v>573</v>
      </c>
      <c r="B782" s="7" t="s">
        <v>3875</v>
      </c>
      <c r="C782" s="9">
        <v>21349.0</v>
      </c>
      <c r="D782" s="9">
        <v>0.0</v>
      </c>
      <c r="E782" s="9">
        <v>4.0</v>
      </c>
      <c r="F782" s="7" t="s">
        <v>574</v>
      </c>
      <c r="G782" s="7" t="s">
        <v>364</v>
      </c>
      <c r="H782" s="7" t="s">
        <v>365</v>
      </c>
      <c r="I782" s="7" t="s">
        <v>355</v>
      </c>
      <c r="J782" s="14"/>
      <c r="K782" s="14"/>
      <c r="O782" s="22"/>
      <c r="P782" s="22"/>
      <c r="Q782" s="23"/>
      <c r="R782" s="23"/>
      <c r="S782" s="14"/>
    </row>
    <row r="783" ht="18.75" customHeight="1">
      <c r="A783" s="7" t="s">
        <v>383</v>
      </c>
      <c r="B783" s="7" t="s">
        <v>3875</v>
      </c>
      <c r="C783" s="9">
        <v>379335.0</v>
      </c>
      <c r="D783" s="9">
        <v>0.0</v>
      </c>
      <c r="E783" s="9">
        <v>1140.0</v>
      </c>
      <c r="F783" s="7" t="s">
        <v>384</v>
      </c>
      <c r="G783" s="7" t="s">
        <v>353</v>
      </c>
      <c r="H783" s="7" t="s">
        <v>378</v>
      </c>
      <c r="I783" s="7" t="s">
        <v>355</v>
      </c>
      <c r="J783" s="14"/>
      <c r="K783" s="14"/>
      <c r="O783" s="22"/>
      <c r="P783" s="22"/>
      <c r="Q783" s="23"/>
      <c r="R783" s="23"/>
      <c r="S783" s="14"/>
    </row>
    <row r="784" ht="18.75" customHeight="1">
      <c r="A784" s="7" t="s">
        <v>454</v>
      </c>
      <c r="B784" s="7" t="s">
        <v>3875</v>
      </c>
      <c r="C784" s="9">
        <v>572630.0</v>
      </c>
      <c r="D784" s="9">
        <v>0.0</v>
      </c>
      <c r="E784" s="9">
        <v>40.0</v>
      </c>
      <c r="F784" s="7" t="s">
        <v>455</v>
      </c>
      <c r="G784" s="7" t="s">
        <v>416</v>
      </c>
      <c r="H784" s="7" t="s">
        <v>430</v>
      </c>
      <c r="I784" s="7" t="s">
        <v>355</v>
      </c>
      <c r="J784" s="14"/>
      <c r="K784" s="14"/>
      <c r="O784" s="22"/>
      <c r="P784" s="22"/>
      <c r="Q784" s="23"/>
      <c r="R784" s="23"/>
      <c r="S784" s="14"/>
    </row>
    <row r="785" ht="18.75" customHeight="1">
      <c r="A785" s="7" t="s">
        <v>454</v>
      </c>
      <c r="B785" s="7" t="s">
        <v>3875</v>
      </c>
      <c r="C785" s="9">
        <v>514622.0</v>
      </c>
      <c r="D785" s="9">
        <v>0.0</v>
      </c>
      <c r="E785" s="9">
        <v>311.0</v>
      </c>
      <c r="F785" s="7" t="s">
        <v>455</v>
      </c>
      <c r="G785" s="7" t="s">
        <v>416</v>
      </c>
      <c r="H785" s="7" t="s">
        <v>430</v>
      </c>
      <c r="I785" s="7" t="s">
        <v>355</v>
      </c>
      <c r="J785" s="14"/>
      <c r="K785" s="14"/>
      <c r="O785" s="22"/>
      <c r="P785" s="22"/>
      <c r="Q785" s="23"/>
      <c r="R785" s="23"/>
      <c r="S785" s="14"/>
    </row>
    <row r="786" ht="18.75" customHeight="1">
      <c r="A786" s="7" t="s">
        <v>469</v>
      </c>
      <c r="B786" s="7" t="s">
        <v>3875</v>
      </c>
      <c r="C786" s="9">
        <v>1070371.0</v>
      </c>
      <c r="D786" s="9">
        <v>0.0</v>
      </c>
      <c r="E786" s="9">
        <v>1650.0</v>
      </c>
      <c r="F786" s="7" t="s">
        <v>470</v>
      </c>
      <c r="G786" s="7" t="s">
        <v>404</v>
      </c>
      <c r="H786" s="7" t="s">
        <v>405</v>
      </c>
      <c r="I786" s="7" t="s">
        <v>355</v>
      </c>
      <c r="J786" s="14"/>
      <c r="K786" s="14"/>
      <c r="O786" s="22"/>
      <c r="P786" s="22"/>
      <c r="Q786" s="23"/>
      <c r="R786" s="23"/>
      <c r="S786" s="14"/>
    </row>
    <row r="787" ht="18.75" customHeight="1">
      <c r="A787" s="7" t="s">
        <v>469</v>
      </c>
      <c r="B787" s="7" t="s">
        <v>3875</v>
      </c>
      <c r="C787" s="9">
        <v>1131301.0</v>
      </c>
      <c r="D787" s="9">
        <v>0.0</v>
      </c>
      <c r="E787" s="9">
        <v>1834.0</v>
      </c>
      <c r="F787" s="7" t="s">
        <v>470</v>
      </c>
      <c r="G787" s="7" t="s">
        <v>404</v>
      </c>
      <c r="H787" s="7" t="s">
        <v>405</v>
      </c>
      <c r="I787" s="7" t="s">
        <v>355</v>
      </c>
      <c r="J787" s="14"/>
      <c r="K787" s="14"/>
      <c r="O787" s="22"/>
      <c r="P787" s="22"/>
      <c r="Q787" s="23"/>
      <c r="R787" s="23"/>
      <c r="S787" s="14"/>
    </row>
    <row r="788" ht="18.75" customHeight="1">
      <c r="A788" s="7" t="s">
        <v>469</v>
      </c>
      <c r="B788" s="7" t="s">
        <v>3875</v>
      </c>
      <c r="C788" s="9">
        <v>167013.0</v>
      </c>
      <c r="D788" s="9">
        <v>0.0</v>
      </c>
      <c r="E788" s="9">
        <v>355.0</v>
      </c>
      <c r="F788" s="7" t="s">
        <v>470</v>
      </c>
      <c r="G788" s="7" t="s">
        <v>404</v>
      </c>
      <c r="H788" s="7" t="s">
        <v>405</v>
      </c>
      <c r="I788" s="7" t="s">
        <v>355</v>
      </c>
      <c r="J788" s="14"/>
      <c r="K788" s="14"/>
      <c r="O788" s="22"/>
      <c r="P788" s="22"/>
      <c r="Q788" s="23"/>
      <c r="R788" s="23"/>
      <c r="S788" s="14"/>
    </row>
    <row r="789" ht="18.75" customHeight="1">
      <c r="A789" s="7" t="s">
        <v>435</v>
      </c>
      <c r="B789" s="7" t="s">
        <v>3875</v>
      </c>
      <c r="C789" s="9">
        <v>449503.0</v>
      </c>
      <c r="D789" s="9">
        <v>0.0</v>
      </c>
      <c r="E789" s="9">
        <v>1195.0</v>
      </c>
      <c r="F789" s="7" t="s">
        <v>436</v>
      </c>
      <c r="G789" s="7" t="s">
        <v>404</v>
      </c>
      <c r="H789" s="7" t="s">
        <v>405</v>
      </c>
      <c r="I789" s="7" t="s">
        <v>355</v>
      </c>
      <c r="J789" s="14"/>
      <c r="K789" s="14"/>
      <c r="O789" s="22"/>
      <c r="P789" s="22"/>
      <c r="Q789" s="23"/>
      <c r="R789" s="23"/>
      <c r="S789" s="14"/>
    </row>
    <row r="790" ht="18.75" customHeight="1">
      <c r="A790" s="7" t="s">
        <v>435</v>
      </c>
      <c r="B790" s="7" t="s">
        <v>3875</v>
      </c>
      <c r="C790" s="9">
        <v>396725.0</v>
      </c>
      <c r="D790" s="9">
        <v>0.0</v>
      </c>
      <c r="E790" s="9">
        <v>758.0</v>
      </c>
      <c r="F790" s="7" t="s">
        <v>436</v>
      </c>
      <c r="G790" s="7" t="s">
        <v>404</v>
      </c>
      <c r="H790" s="7" t="s">
        <v>405</v>
      </c>
      <c r="I790" s="7" t="s">
        <v>355</v>
      </c>
      <c r="J790" s="14"/>
      <c r="K790" s="14"/>
      <c r="O790" s="22"/>
      <c r="P790" s="22"/>
      <c r="Q790" s="23"/>
      <c r="R790" s="23"/>
      <c r="S790" s="14"/>
    </row>
    <row r="791" ht="18.75" customHeight="1">
      <c r="A791" s="7" t="s">
        <v>435</v>
      </c>
      <c r="B791" s="7" t="s">
        <v>3875</v>
      </c>
      <c r="C791" s="9">
        <v>776654.0</v>
      </c>
      <c r="D791" s="9">
        <v>0.0</v>
      </c>
      <c r="E791" s="9">
        <v>2186.0</v>
      </c>
      <c r="F791" s="7" t="s">
        <v>436</v>
      </c>
      <c r="G791" s="7" t="s">
        <v>404</v>
      </c>
      <c r="H791" s="7" t="s">
        <v>405</v>
      </c>
      <c r="I791" s="7" t="s">
        <v>355</v>
      </c>
      <c r="J791" s="14"/>
      <c r="K791" s="14"/>
      <c r="O791" s="22"/>
      <c r="P791" s="22"/>
      <c r="Q791" s="23"/>
      <c r="R791" s="23"/>
      <c r="S791" s="14"/>
    </row>
    <row r="792" ht="18.75" customHeight="1">
      <c r="A792" s="7" t="s">
        <v>435</v>
      </c>
      <c r="B792" s="7" t="s">
        <v>3875</v>
      </c>
      <c r="C792" s="9">
        <v>137532.0</v>
      </c>
      <c r="D792" s="9">
        <v>0.0</v>
      </c>
      <c r="E792" s="9">
        <v>1261.0</v>
      </c>
      <c r="F792" s="7" t="s">
        <v>436</v>
      </c>
      <c r="G792" s="7" t="s">
        <v>404</v>
      </c>
      <c r="H792" s="7" t="s">
        <v>405</v>
      </c>
      <c r="I792" s="7" t="s">
        <v>355</v>
      </c>
      <c r="J792" s="14"/>
      <c r="K792" s="14"/>
      <c r="O792" s="22"/>
      <c r="P792" s="22"/>
      <c r="Q792" s="23"/>
      <c r="R792" s="23"/>
      <c r="S792" s="14"/>
    </row>
    <row r="793" ht="18.75" customHeight="1">
      <c r="A793" s="7" t="s">
        <v>435</v>
      </c>
      <c r="B793" s="7" t="s">
        <v>3875</v>
      </c>
      <c r="C793" s="9">
        <v>1013252.0</v>
      </c>
      <c r="D793" s="9">
        <v>0.0</v>
      </c>
      <c r="E793" s="9">
        <v>2957.0</v>
      </c>
      <c r="F793" s="7" t="s">
        <v>436</v>
      </c>
      <c r="G793" s="7" t="s">
        <v>404</v>
      </c>
      <c r="H793" s="7" t="s">
        <v>405</v>
      </c>
      <c r="I793" s="7" t="s">
        <v>355</v>
      </c>
      <c r="J793" s="14"/>
      <c r="K793" s="14"/>
      <c r="O793" s="22"/>
      <c r="P793" s="22"/>
      <c r="Q793" s="23"/>
      <c r="R793" s="23"/>
      <c r="S793" s="14"/>
    </row>
    <row r="794" ht="18.75" customHeight="1">
      <c r="A794" s="7" t="s">
        <v>539</v>
      </c>
      <c r="B794" s="7" t="s">
        <v>3875</v>
      </c>
      <c r="C794" s="9">
        <v>134256.0</v>
      </c>
      <c r="D794" s="9">
        <v>26917.0</v>
      </c>
      <c r="E794" s="9">
        <v>164.0</v>
      </c>
      <c r="F794" s="7" t="s">
        <v>540</v>
      </c>
      <c r="G794" s="7" t="s">
        <v>416</v>
      </c>
      <c r="H794" s="7" t="s">
        <v>417</v>
      </c>
      <c r="I794" s="7" t="s">
        <v>355</v>
      </c>
      <c r="J794" s="14"/>
      <c r="K794" s="14"/>
      <c r="O794" s="22"/>
      <c r="P794" s="22"/>
      <c r="Q794" s="23"/>
      <c r="R794" s="23"/>
      <c r="S794" s="14"/>
    </row>
    <row r="795" ht="18.75" customHeight="1">
      <c r="A795" s="7" t="s">
        <v>529</v>
      </c>
      <c r="B795" s="7" t="s">
        <v>3875</v>
      </c>
      <c r="C795" s="9">
        <v>64880.0</v>
      </c>
      <c r="D795" s="9">
        <v>0.0</v>
      </c>
      <c r="E795" s="9">
        <v>248.0</v>
      </c>
      <c r="F795" s="7" t="s">
        <v>530</v>
      </c>
      <c r="G795" s="7" t="s">
        <v>358</v>
      </c>
      <c r="H795" s="7" t="s">
        <v>387</v>
      </c>
      <c r="I795" s="7" t="s">
        <v>355</v>
      </c>
      <c r="J795" s="14"/>
      <c r="K795" s="14"/>
      <c r="O795" s="22"/>
      <c r="P795" s="22"/>
      <c r="Q795" s="23"/>
      <c r="R795" s="23"/>
      <c r="S795" s="14"/>
    </row>
    <row r="796" ht="18.75" customHeight="1">
      <c r="A796" s="7" t="s">
        <v>529</v>
      </c>
      <c r="B796" s="7" t="s">
        <v>3875</v>
      </c>
      <c r="C796" s="9">
        <v>93036.0</v>
      </c>
      <c r="D796" s="9">
        <v>0.0</v>
      </c>
      <c r="E796" s="9">
        <v>525.0</v>
      </c>
      <c r="F796" s="7" t="s">
        <v>530</v>
      </c>
      <c r="G796" s="7" t="s">
        <v>358</v>
      </c>
      <c r="H796" s="7" t="s">
        <v>387</v>
      </c>
      <c r="I796" s="7" t="s">
        <v>355</v>
      </c>
      <c r="J796" s="14"/>
      <c r="K796" s="14"/>
      <c r="O796" s="22"/>
      <c r="P796" s="22"/>
      <c r="Q796" s="23"/>
      <c r="R796" s="23"/>
      <c r="S796" s="14"/>
    </row>
    <row r="797" ht="18.75" customHeight="1">
      <c r="A797" s="7" t="s">
        <v>529</v>
      </c>
      <c r="B797" s="7" t="s">
        <v>3875</v>
      </c>
      <c r="C797" s="9">
        <v>92697.0</v>
      </c>
      <c r="D797" s="9">
        <v>0.0</v>
      </c>
      <c r="E797" s="9">
        <v>291.0</v>
      </c>
      <c r="F797" s="7" t="s">
        <v>530</v>
      </c>
      <c r="G797" s="7" t="s">
        <v>358</v>
      </c>
      <c r="H797" s="7" t="s">
        <v>387</v>
      </c>
      <c r="I797" s="7" t="s">
        <v>355</v>
      </c>
      <c r="J797" s="14"/>
      <c r="K797" s="14"/>
      <c r="O797" s="22"/>
      <c r="P797" s="22"/>
      <c r="Q797" s="23"/>
      <c r="R797" s="23"/>
      <c r="S797" s="14"/>
    </row>
    <row r="798" ht="18.75" customHeight="1">
      <c r="A798" s="7" t="s">
        <v>672</v>
      </c>
      <c r="B798" s="7" t="s">
        <v>3875</v>
      </c>
      <c r="C798" s="9">
        <v>427017.0</v>
      </c>
      <c r="D798" s="9">
        <v>0.0</v>
      </c>
      <c r="E798" s="9">
        <v>784.0</v>
      </c>
      <c r="F798" s="7" t="s">
        <v>673</v>
      </c>
      <c r="G798" s="7" t="s">
        <v>416</v>
      </c>
      <c r="H798" s="7" t="s">
        <v>387</v>
      </c>
      <c r="I798" s="7" t="s">
        <v>355</v>
      </c>
      <c r="J798" s="14"/>
      <c r="K798" s="14"/>
      <c r="O798" s="22"/>
      <c r="P798" s="22"/>
      <c r="Q798" s="23"/>
      <c r="R798" s="23"/>
      <c r="S798" s="14"/>
    </row>
    <row r="799" ht="18.75" customHeight="1">
      <c r="A799" s="7" t="s">
        <v>639</v>
      </c>
      <c r="B799" s="7" t="s">
        <v>3875</v>
      </c>
      <c r="C799" s="9">
        <v>284005.0</v>
      </c>
      <c r="D799" s="9">
        <v>0.0</v>
      </c>
      <c r="E799" s="9">
        <v>233.0</v>
      </c>
      <c r="F799" s="7" t="s">
        <v>640</v>
      </c>
      <c r="G799" s="7" t="s">
        <v>364</v>
      </c>
      <c r="H799" s="7" t="s">
        <v>365</v>
      </c>
      <c r="I799" s="7" t="s">
        <v>355</v>
      </c>
      <c r="J799" s="14"/>
      <c r="K799" s="14"/>
      <c r="O799" s="22"/>
      <c r="P799" s="22"/>
      <c r="Q799" s="23"/>
      <c r="R799" s="23"/>
      <c r="S799" s="14"/>
    </row>
    <row r="800" ht="18.75" customHeight="1">
      <c r="A800" s="7" t="s">
        <v>674</v>
      </c>
      <c r="B800" s="7" t="s">
        <v>3875</v>
      </c>
      <c r="C800" s="9">
        <v>40099.0</v>
      </c>
      <c r="D800" s="9">
        <v>0.0</v>
      </c>
      <c r="E800" s="9">
        <v>178.0</v>
      </c>
      <c r="F800" s="7" t="s">
        <v>675</v>
      </c>
      <c r="G800" s="7" t="s">
        <v>416</v>
      </c>
      <c r="H800" s="7" t="s">
        <v>594</v>
      </c>
      <c r="I800" s="7" t="s">
        <v>355</v>
      </c>
      <c r="J800" s="14"/>
      <c r="K800" s="14"/>
      <c r="O800" s="22"/>
      <c r="P800" s="22"/>
      <c r="Q800" s="23"/>
      <c r="R800" s="23"/>
      <c r="S800" s="14"/>
    </row>
    <row r="801" ht="18.75" customHeight="1">
      <c r="A801" s="7" t="s">
        <v>678</v>
      </c>
      <c r="B801" s="7" t="s">
        <v>3875</v>
      </c>
      <c r="C801" s="9">
        <v>223265.0</v>
      </c>
      <c r="D801" s="9">
        <v>0.0</v>
      </c>
      <c r="E801" s="9">
        <v>704.0</v>
      </c>
      <c r="F801" s="7" t="s">
        <v>679</v>
      </c>
      <c r="G801" s="7" t="s">
        <v>416</v>
      </c>
      <c r="H801" s="7" t="s">
        <v>354</v>
      </c>
      <c r="I801" s="7" t="s">
        <v>355</v>
      </c>
      <c r="J801" s="14"/>
      <c r="K801" s="14"/>
      <c r="O801" s="22"/>
      <c r="P801" s="22"/>
      <c r="Q801" s="23"/>
      <c r="R801" s="23"/>
      <c r="S801" s="14"/>
    </row>
    <row r="802" ht="18.75" customHeight="1">
      <c r="A802" s="7" t="s">
        <v>676</v>
      </c>
      <c r="B802" s="7" t="s">
        <v>3875</v>
      </c>
      <c r="C802" s="9">
        <v>58913.0</v>
      </c>
      <c r="D802" s="9">
        <v>0.0</v>
      </c>
      <c r="E802" s="9">
        <v>243.0</v>
      </c>
      <c r="F802" s="7" t="s">
        <v>677</v>
      </c>
      <c r="G802" s="7" t="s">
        <v>416</v>
      </c>
      <c r="H802" s="7" t="s">
        <v>594</v>
      </c>
      <c r="I802" s="7" t="s">
        <v>355</v>
      </c>
      <c r="J802" s="14"/>
      <c r="K802" s="14"/>
      <c r="O802" s="22"/>
      <c r="P802" s="22"/>
      <c r="Q802" s="23"/>
      <c r="R802" s="23"/>
      <c r="S802" s="14"/>
    </row>
    <row r="803" ht="18.75" customHeight="1">
      <c r="A803" s="7" t="s">
        <v>645</v>
      </c>
      <c r="B803" s="7" t="s">
        <v>3875</v>
      </c>
      <c r="C803" s="9">
        <v>863527.0</v>
      </c>
      <c r="D803" s="9">
        <v>0.0</v>
      </c>
      <c r="E803" s="9">
        <v>449.0</v>
      </c>
      <c r="F803" s="7" t="s">
        <v>646</v>
      </c>
      <c r="G803" s="7" t="s">
        <v>364</v>
      </c>
      <c r="H803" s="7" t="s">
        <v>365</v>
      </c>
      <c r="I803" s="7" t="s">
        <v>355</v>
      </c>
      <c r="J803" s="14"/>
      <c r="K803" s="14"/>
      <c r="O803" s="22"/>
      <c r="P803" s="22"/>
      <c r="Q803" s="23"/>
      <c r="R803" s="23"/>
      <c r="S803" s="14"/>
    </row>
    <row r="804" ht="18.75" customHeight="1">
      <c r="A804" s="7" t="s">
        <v>645</v>
      </c>
      <c r="B804" s="7" t="s">
        <v>3875</v>
      </c>
      <c r="C804" s="9">
        <v>272469.0</v>
      </c>
      <c r="D804" s="9">
        <v>0.0</v>
      </c>
      <c r="E804" s="9">
        <v>240.0</v>
      </c>
      <c r="F804" s="7" t="s">
        <v>646</v>
      </c>
      <c r="G804" s="7" t="s">
        <v>364</v>
      </c>
      <c r="H804" s="7" t="s">
        <v>365</v>
      </c>
      <c r="I804" s="7" t="s">
        <v>355</v>
      </c>
      <c r="J804" s="14"/>
      <c r="K804" s="14"/>
      <c r="O804" s="22"/>
      <c r="P804" s="22"/>
      <c r="Q804" s="23"/>
      <c r="R804" s="23"/>
      <c r="S804" s="14"/>
    </row>
    <row r="805" ht="18.75" customHeight="1">
      <c r="A805" s="7" t="s">
        <v>670</v>
      </c>
      <c r="B805" s="7" t="s">
        <v>3875</v>
      </c>
      <c r="C805" s="9">
        <v>65883.0</v>
      </c>
      <c r="D805" s="9">
        <v>9094.0</v>
      </c>
      <c r="E805" s="9">
        <v>113.0</v>
      </c>
      <c r="F805" s="7" t="s">
        <v>671</v>
      </c>
      <c r="G805" s="7" t="s">
        <v>416</v>
      </c>
      <c r="H805" s="7" t="s">
        <v>417</v>
      </c>
      <c r="I805" s="7" t="s">
        <v>355</v>
      </c>
      <c r="J805" s="14"/>
      <c r="K805" s="14"/>
      <c r="O805" s="22"/>
      <c r="P805" s="22"/>
      <c r="Q805" s="23"/>
      <c r="R805" s="23"/>
      <c r="S805" s="14"/>
    </row>
    <row r="806" ht="18.75" customHeight="1">
      <c r="A806" s="7" t="s">
        <v>655</v>
      </c>
      <c r="B806" s="7" t="s">
        <v>3875</v>
      </c>
      <c r="C806" s="9">
        <v>271547.0</v>
      </c>
      <c r="D806" s="9">
        <v>0.0</v>
      </c>
      <c r="E806" s="9">
        <v>1035.0</v>
      </c>
      <c r="F806" s="7" t="s">
        <v>656</v>
      </c>
      <c r="G806" s="7" t="s">
        <v>416</v>
      </c>
      <c r="H806" s="7" t="s">
        <v>430</v>
      </c>
      <c r="I806" s="7" t="s">
        <v>355</v>
      </c>
      <c r="J806" s="14"/>
      <c r="K806" s="14"/>
      <c r="O806" s="22"/>
      <c r="P806" s="22"/>
      <c r="Q806" s="23"/>
      <c r="R806" s="23"/>
      <c r="S806" s="14"/>
    </row>
    <row r="807" ht="18.75" customHeight="1">
      <c r="A807" s="7" t="s">
        <v>643</v>
      </c>
      <c r="B807" s="7" t="s">
        <v>3875</v>
      </c>
      <c r="C807" s="9">
        <v>446877.0</v>
      </c>
      <c r="D807" s="9">
        <v>70019.0</v>
      </c>
      <c r="E807" s="9">
        <v>312.0</v>
      </c>
      <c r="F807" s="7" t="s">
        <v>644</v>
      </c>
      <c r="G807" s="7" t="s">
        <v>353</v>
      </c>
      <c r="H807" s="7" t="s">
        <v>378</v>
      </c>
      <c r="I807" s="7" t="s">
        <v>355</v>
      </c>
      <c r="J807" s="14"/>
      <c r="K807" s="14"/>
      <c r="O807" s="22"/>
      <c r="P807" s="22"/>
      <c r="Q807" s="23"/>
      <c r="R807" s="23"/>
      <c r="S807" s="14"/>
    </row>
    <row r="808" ht="18.75" customHeight="1">
      <c r="A808" s="7" t="s">
        <v>647</v>
      </c>
      <c r="B808" s="7" t="s">
        <v>3875</v>
      </c>
      <c r="C808" s="9">
        <v>297513.0</v>
      </c>
      <c r="D808" s="9">
        <v>0.0</v>
      </c>
      <c r="E808" s="9">
        <v>1119.0</v>
      </c>
      <c r="F808" s="7" t="s">
        <v>648</v>
      </c>
      <c r="G808" s="7" t="s">
        <v>353</v>
      </c>
      <c r="H808" s="7" t="s">
        <v>378</v>
      </c>
      <c r="I808" s="7" t="s">
        <v>355</v>
      </c>
      <c r="J808" s="14"/>
      <c r="K808" s="14"/>
      <c r="O808" s="22"/>
      <c r="P808" s="22"/>
      <c r="Q808" s="23"/>
      <c r="R808" s="23"/>
      <c r="S808" s="14"/>
    </row>
    <row r="809" ht="18.75" customHeight="1">
      <c r="A809" s="7" t="s">
        <v>627</v>
      </c>
      <c r="B809" s="7" t="s">
        <v>3875</v>
      </c>
      <c r="C809" s="9">
        <v>54577.0</v>
      </c>
      <c r="D809" s="9">
        <v>0.0</v>
      </c>
      <c r="E809" s="9">
        <v>1421.0</v>
      </c>
      <c r="F809" s="7" t="s">
        <v>628</v>
      </c>
      <c r="G809" s="7" t="s">
        <v>404</v>
      </c>
      <c r="H809" s="7" t="s">
        <v>405</v>
      </c>
      <c r="I809" s="7" t="s">
        <v>355</v>
      </c>
      <c r="J809" s="14"/>
      <c r="K809" s="14"/>
      <c r="O809" s="22"/>
      <c r="P809" s="22"/>
      <c r="Q809" s="23"/>
      <c r="R809" s="23"/>
      <c r="S809" s="14"/>
    </row>
    <row r="810" ht="18.75" customHeight="1">
      <c r="A810" s="7" t="s">
        <v>627</v>
      </c>
      <c r="B810" s="7" t="s">
        <v>3875</v>
      </c>
      <c r="C810" s="9">
        <v>734830.0</v>
      </c>
      <c r="D810" s="9">
        <v>0.0</v>
      </c>
      <c r="E810" s="9">
        <v>1851.0</v>
      </c>
      <c r="F810" s="7" t="s">
        <v>628</v>
      </c>
      <c r="G810" s="7" t="s">
        <v>404</v>
      </c>
      <c r="H810" s="7" t="s">
        <v>405</v>
      </c>
      <c r="I810" s="7" t="s">
        <v>355</v>
      </c>
      <c r="J810" s="14"/>
      <c r="K810" s="14"/>
      <c r="O810" s="22"/>
      <c r="P810" s="22"/>
      <c r="Q810" s="23"/>
      <c r="R810" s="23"/>
      <c r="S810" s="14"/>
    </row>
    <row r="811" ht="18.75" customHeight="1">
      <c r="A811" s="7" t="s">
        <v>684</v>
      </c>
      <c r="B811" s="7" t="s">
        <v>3875</v>
      </c>
      <c r="C811" s="9">
        <v>545284.0</v>
      </c>
      <c r="D811" s="9">
        <v>0.0</v>
      </c>
      <c r="E811" s="9">
        <v>563.0</v>
      </c>
      <c r="F811" s="7" t="s">
        <v>685</v>
      </c>
      <c r="G811" s="7" t="s">
        <v>364</v>
      </c>
      <c r="H811" s="7" t="s">
        <v>365</v>
      </c>
      <c r="I811" s="7" t="s">
        <v>355</v>
      </c>
      <c r="J811" s="14"/>
      <c r="K811" s="14"/>
      <c r="O811" s="22"/>
      <c r="P811" s="22"/>
      <c r="Q811" s="23"/>
      <c r="R811" s="23"/>
      <c r="S811" s="14"/>
    </row>
    <row r="812" ht="18.75" customHeight="1">
      <c r="A812" s="7" t="s">
        <v>668</v>
      </c>
      <c r="B812" s="7" t="s">
        <v>3875</v>
      </c>
      <c r="C812" s="9">
        <v>40103.0</v>
      </c>
      <c r="D812" s="9">
        <v>9319.0</v>
      </c>
      <c r="E812" s="9">
        <v>91.0</v>
      </c>
      <c r="F812" s="7" t="s">
        <v>669</v>
      </c>
      <c r="G812" s="7" t="s">
        <v>416</v>
      </c>
      <c r="H812" s="7" t="s">
        <v>417</v>
      </c>
      <c r="I812" s="7" t="s">
        <v>355</v>
      </c>
      <c r="J812" s="14"/>
      <c r="K812" s="14"/>
      <c r="O812" s="22"/>
      <c r="P812" s="22"/>
      <c r="Q812" s="23"/>
      <c r="R812" s="23"/>
      <c r="S812" s="14"/>
    </row>
    <row r="813" ht="18.75" customHeight="1">
      <c r="A813" s="7" t="s">
        <v>643</v>
      </c>
      <c r="B813" s="7" t="s">
        <v>3875</v>
      </c>
      <c r="C813" s="9">
        <v>870068.0</v>
      </c>
      <c r="D813" s="9">
        <v>70007.0</v>
      </c>
      <c r="E813" s="9">
        <v>818.0</v>
      </c>
      <c r="F813" s="7" t="s">
        <v>644</v>
      </c>
      <c r="G813" s="7" t="s">
        <v>353</v>
      </c>
      <c r="H813" s="7" t="s">
        <v>378</v>
      </c>
      <c r="I813" s="7" t="s">
        <v>355</v>
      </c>
      <c r="J813" s="14"/>
      <c r="K813" s="14"/>
      <c r="O813" s="22"/>
      <c r="P813" s="22"/>
      <c r="Q813" s="23"/>
      <c r="R813" s="23"/>
      <c r="S813" s="14"/>
    </row>
    <row r="814" ht="18.75" customHeight="1">
      <c r="A814" s="7" t="s">
        <v>643</v>
      </c>
      <c r="B814" s="7" t="s">
        <v>3875</v>
      </c>
      <c r="C814" s="9">
        <v>221174.0</v>
      </c>
      <c r="D814" s="9">
        <v>44613.0</v>
      </c>
      <c r="E814" s="9">
        <v>236.0</v>
      </c>
      <c r="F814" s="7" t="s">
        <v>644</v>
      </c>
      <c r="G814" s="7" t="s">
        <v>353</v>
      </c>
      <c r="H814" s="7" t="s">
        <v>378</v>
      </c>
      <c r="I814" s="7" t="s">
        <v>355</v>
      </c>
      <c r="J814" s="14"/>
      <c r="K814" s="14"/>
      <c r="O814" s="22"/>
      <c r="P814" s="22"/>
      <c r="Q814" s="23"/>
      <c r="R814" s="23"/>
      <c r="S814" s="14"/>
    </row>
    <row r="815" ht="18.75" customHeight="1">
      <c r="A815" s="7" t="s">
        <v>647</v>
      </c>
      <c r="B815" s="7" t="s">
        <v>3875</v>
      </c>
      <c r="C815" s="9">
        <v>258965.0</v>
      </c>
      <c r="D815" s="9">
        <v>0.0</v>
      </c>
      <c r="E815" s="9">
        <v>390.0</v>
      </c>
      <c r="F815" s="7" t="s">
        <v>648</v>
      </c>
      <c r="G815" s="7" t="s">
        <v>353</v>
      </c>
      <c r="H815" s="7" t="s">
        <v>378</v>
      </c>
      <c r="I815" s="7" t="s">
        <v>355</v>
      </c>
      <c r="J815" s="14"/>
      <c r="K815" s="14"/>
      <c r="O815" s="22"/>
      <c r="P815" s="22"/>
      <c r="Q815" s="23"/>
      <c r="R815" s="23"/>
      <c r="S815" s="14"/>
    </row>
    <row r="816" ht="18.75" customHeight="1">
      <c r="A816" s="7" t="s">
        <v>647</v>
      </c>
      <c r="B816" s="7" t="s">
        <v>3875</v>
      </c>
      <c r="C816" s="9">
        <v>464857.0</v>
      </c>
      <c r="D816" s="9">
        <v>0.0</v>
      </c>
      <c r="E816" s="9">
        <v>892.0</v>
      </c>
      <c r="F816" s="7" t="s">
        <v>648</v>
      </c>
      <c r="G816" s="7" t="s">
        <v>353</v>
      </c>
      <c r="H816" s="7" t="s">
        <v>378</v>
      </c>
      <c r="I816" s="7" t="s">
        <v>355</v>
      </c>
      <c r="J816" s="14"/>
      <c r="K816" s="14"/>
      <c r="O816" s="22"/>
      <c r="P816" s="22"/>
      <c r="Q816" s="23"/>
      <c r="R816" s="23"/>
      <c r="S816" s="14"/>
    </row>
    <row r="817" ht="18.75" customHeight="1">
      <c r="A817" s="7" t="s">
        <v>663</v>
      </c>
      <c r="B817" s="7" t="s">
        <v>3875</v>
      </c>
      <c r="C817" s="9">
        <v>177652.0</v>
      </c>
      <c r="D817" s="9">
        <v>0.0</v>
      </c>
      <c r="E817" s="9">
        <v>842.0</v>
      </c>
      <c r="F817" s="7" t="s">
        <v>664</v>
      </c>
      <c r="G817" s="7" t="s">
        <v>416</v>
      </c>
      <c r="H817" s="7" t="s">
        <v>466</v>
      </c>
      <c r="I817" s="7" t="s">
        <v>355</v>
      </c>
      <c r="J817" s="14"/>
      <c r="K817" s="14"/>
      <c r="O817" s="22"/>
      <c r="P817" s="22"/>
      <c r="Q817" s="23"/>
      <c r="R817" s="23"/>
      <c r="S817" s="14"/>
    </row>
    <row r="818" ht="18.75" customHeight="1">
      <c r="A818" s="7" t="s">
        <v>657</v>
      </c>
      <c r="B818" s="7" t="s">
        <v>3875</v>
      </c>
      <c r="C818" s="9">
        <v>153248.0</v>
      </c>
      <c r="D818" s="9">
        <v>0.0</v>
      </c>
      <c r="E818" s="9">
        <v>685.0</v>
      </c>
      <c r="F818" s="7" t="s">
        <v>658</v>
      </c>
      <c r="G818" s="7" t="s">
        <v>416</v>
      </c>
      <c r="H818" s="7" t="s">
        <v>466</v>
      </c>
      <c r="I818" s="7" t="s">
        <v>355</v>
      </c>
      <c r="J818" s="14"/>
      <c r="K818" s="14"/>
      <c r="O818" s="22"/>
      <c r="P818" s="22"/>
      <c r="Q818" s="23"/>
      <c r="R818" s="23"/>
      <c r="S818" s="14"/>
    </row>
    <row r="819" ht="18.75" customHeight="1">
      <c r="A819" s="7" t="s">
        <v>665</v>
      </c>
      <c r="B819" s="7" t="s">
        <v>3875</v>
      </c>
      <c r="C819" s="9">
        <v>123423.0</v>
      </c>
      <c r="D819" s="9">
        <v>0.0</v>
      </c>
      <c r="E819" s="9">
        <v>452.0</v>
      </c>
      <c r="F819" s="7" t="s">
        <v>666</v>
      </c>
      <c r="G819" s="7" t="s">
        <v>416</v>
      </c>
      <c r="H819" s="7" t="s">
        <v>667</v>
      </c>
      <c r="I819" s="7" t="s">
        <v>355</v>
      </c>
      <c r="J819" s="14"/>
      <c r="K819" s="14"/>
      <c r="O819" s="22"/>
      <c r="P819" s="22"/>
      <c r="Q819" s="23"/>
      <c r="R819" s="23"/>
      <c r="S819" s="14"/>
    </row>
    <row r="820" ht="18.75" customHeight="1">
      <c r="A820" s="7" t="s">
        <v>385</v>
      </c>
      <c r="B820" s="7" t="s">
        <v>3875</v>
      </c>
      <c r="C820" s="9">
        <v>185833.0</v>
      </c>
      <c r="D820" s="9">
        <v>0.0</v>
      </c>
      <c r="E820" s="9">
        <v>677.0</v>
      </c>
      <c r="F820" s="7" t="s">
        <v>386</v>
      </c>
      <c r="G820" s="7" t="s">
        <v>358</v>
      </c>
      <c r="H820" s="7" t="s">
        <v>387</v>
      </c>
      <c r="I820" s="7" t="s">
        <v>355</v>
      </c>
      <c r="J820" s="14"/>
      <c r="K820" s="14"/>
      <c r="O820" s="22"/>
      <c r="P820" s="22"/>
      <c r="Q820" s="23"/>
      <c r="R820" s="23"/>
      <c r="S820" s="14"/>
    </row>
    <row r="821" ht="18.75" customHeight="1">
      <c r="A821" s="7" t="s">
        <v>659</v>
      </c>
      <c r="B821" s="7" t="s">
        <v>3875</v>
      </c>
      <c r="C821" s="9">
        <v>333665.0</v>
      </c>
      <c r="D821" s="9">
        <v>0.0</v>
      </c>
      <c r="E821" s="9">
        <v>674.0</v>
      </c>
      <c r="F821" s="7" t="s">
        <v>660</v>
      </c>
      <c r="G821" s="7" t="s">
        <v>416</v>
      </c>
      <c r="H821" s="7" t="s">
        <v>466</v>
      </c>
      <c r="I821" s="7" t="s">
        <v>355</v>
      </c>
      <c r="J821" s="14"/>
      <c r="K821" s="14"/>
      <c r="O821" s="22"/>
      <c r="P821" s="22"/>
      <c r="Q821" s="23"/>
      <c r="R821" s="23"/>
      <c r="S821" s="14"/>
    </row>
    <row r="822" ht="18.75" customHeight="1">
      <c r="A822" s="7" t="s">
        <v>661</v>
      </c>
      <c r="B822" s="7" t="s">
        <v>3875</v>
      </c>
      <c r="C822" s="9">
        <v>168738.0</v>
      </c>
      <c r="D822" s="9">
        <v>0.0</v>
      </c>
      <c r="E822" s="9">
        <v>525.0</v>
      </c>
      <c r="F822" s="7" t="s">
        <v>662</v>
      </c>
      <c r="G822" s="7" t="s">
        <v>416</v>
      </c>
      <c r="H822" s="7" t="s">
        <v>466</v>
      </c>
      <c r="I822" s="7" t="s">
        <v>355</v>
      </c>
      <c r="J822" s="14"/>
      <c r="K822" s="14"/>
      <c r="O822" s="22"/>
      <c r="P822" s="22"/>
      <c r="Q822" s="23"/>
      <c r="R822" s="23"/>
      <c r="S822" s="14"/>
    </row>
    <row r="823" ht="18.75" customHeight="1">
      <c r="A823" s="7" t="s">
        <v>479</v>
      </c>
      <c r="B823" s="7" t="s">
        <v>3875</v>
      </c>
      <c r="C823" s="9">
        <v>437956.0</v>
      </c>
      <c r="D823" s="9">
        <v>28528.0</v>
      </c>
      <c r="E823" s="9">
        <v>363.0</v>
      </c>
      <c r="F823" s="7" t="s">
        <v>480</v>
      </c>
      <c r="G823" s="7" t="s">
        <v>404</v>
      </c>
      <c r="H823" s="7" t="s">
        <v>405</v>
      </c>
      <c r="I823" s="7" t="s">
        <v>355</v>
      </c>
      <c r="J823" s="14"/>
      <c r="K823" s="14"/>
      <c r="O823" s="22"/>
      <c r="P823" s="22"/>
      <c r="Q823" s="23"/>
      <c r="R823" s="23"/>
      <c r="S823" s="14"/>
    </row>
    <row r="824" ht="18.75" customHeight="1">
      <c r="A824" s="7" t="s">
        <v>422</v>
      </c>
      <c r="B824" s="7" t="s">
        <v>3875</v>
      </c>
      <c r="C824" s="9">
        <v>474242.0</v>
      </c>
      <c r="D824" s="9">
        <v>53618.0</v>
      </c>
      <c r="E824" s="9">
        <v>777.0</v>
      </c>
      <c r="F824" s="7" t="s">
        <v>423</v>
      </c>
      <c r="G824" s="7" t="s">
        <v>404</v>
      </c>
      <c r="H824" s="7" t="s">
        <v>405</v>
      </c>
      <c r="I824" s="7" t="s">
        <v>355</v>
      </c>
      <c r="J824" s="14"/>
      <c r="K824" s="14"/>
      <c r="O824" s="22"/>
      <c r="P824" s="22"/>
      <c r="Q824" s="23"/>
      <c r="R824" s="23"/>
      <c r="S824" s="14"/>
    </row>
    <row r="825" ht="18.75" customHeight="1">
      <c r="A825" s="7" t="s">
        <v>497</v>
      </c>
      <c r="B825" s="7" t="s">
        <v>3875</v>
      </c>
      <c r="C825" s="9">
        <v>467419.0</v>
      </c>
      <c r="D825" s="9">
        <v>53413.0</v>
      </c>
      <c r="E825" s="9">
        <v>837.0</v>
      </c>
      <c r="F825" s="7" t="s">
        <v>498</v>
      </c>
      <c r="G825" s="7" t="s">
        <v>404</v>
      </c>
      <c r="H825" s="7" t="s">
        <v>405</v>
      </c>
      <c r="I825" s="7" t="s">
        <v>355</v>
      </c>
      <c r="J825" s="14"/>
      <c r="K825" s="14"/>
      <c r="O825" s="22"/>
      <c r="P825" s="22"/>
      <c r="Q825" s="23"/>
      <c r="R825" s="23"/>
      <c r="S825" s="14"/>
    </row>
    <row r="826" ht="18.75" customHeight="1">
      <c r="A826" s="7" t="s">
        <v>431</v>
      </c>
      <c r="B826" s="7" t="s">
        <v>3875</v>
      </c>
      <c r="C826" s="9">
        <v>127764.0</v>
      </c>
      <c r="D826" s="9">
        <v>9512.0</v>
      </c>
      <c r="E826" s="9">
        <v>290.0</v>
      </c>
      <c r="F826" s="7" t="s">
        <v>432</v>
      </c>
      <c r="G826" s="7" t="s">
        <v>404</v>
      </c>
      <c r="H826" s="7" t="s">
        <v>405</v>
      </c>
      <c r="I826" s="7" t="s">
        <v>355</v>
      </c>
      <c r="J826" s="14"/>
      <c r="K826" s="14"/>
      <c r="O826" s="22"/>
      <c r="P826" s="22"/>
      <c r="Q826" s="23"/>
      <c r="R826" s="23"/>
      <c r="S826" s="14"/>
    </row>
    <row r="827" ht="18.75" customHeight="1">
      <c r="A827" s="7" t="s">
        <v>469</v>
      </c>
      <c r="B827" s="7" t="s">
        <v>3875</v>
      </c>
      <c r="C827" s="9">
        <v>218636.0</v>
      </c>
      <c r="D827" s="9">
        <v>0.0</v>
      </c>
      <c r="E827" s="9">
        <v>404.0</v>
      </c>
      <c r="F827" s="7" t="s">
        <v>470</v>
      </c>
      <c r="G827" s="7" t="s">
        <v>404</v>
      </c>
      <c r="H827" s="7" t="s">
        <v>405</v>
      </c>
      <c r="I827" s="7" t="s">
        <v>355</v>
      </c>
      <c r="J827" s="14"/>
      <c r="K827" s="14"/>
      <c r="O827" s="22"/>
      <c r="P827" s="22"/>
      <c r="Q827" s="23"/>
      <c r="R827" s="23"/>
      <c r="S827" s="14"/>
    </row>
    <row r="828" ht="18.75" customHeight="1">
      <c r="A828" s="7" t="s">
        <v>691</v>
      </c>
      <c r="B828" s="7" t="s">
        <v>3875</v>
      </c>
      <c r="C828" s="9">
        <v>290769.0</v>
      </c>
      <c r="D828" s="9">
        <v>0.0</v>
      </c>
      <c r="E828" s="9">
        <v>252.0</v>
      </c>
      <c r="F828" s="7" t="s">
        <v>692</v>
      </c>
      <c r="G828" s="7" t="s">
        <v>416</v>
      </c>
      <c r="H828" s="7" t="s">
        <v>378</v>
      </c>
      <c r="I828" s="7" t="s">
        <v>355</v>
      </c>
      <c r="J828" s="14"/>
      <c r="K828" s="14"/>
      <c r="O828" s="22"/>
      <c r="P828" s="22"/>
      <c r="Q828" s="23"/>
      <c r="R828" s="23"/>
      <c r="S828" s="14"/>
    </row>
    <row r="829" ht="18.75" customHeight="1">
      <c r="A829" s="7" t="s">
        <v>680</v>
      </c>
      <c r="B829" s="7" t="s">
        <v>3875</v>
      </c>
      <c r="C829" s="9">
        <v>259866.0</v>
      </c>
      <c r="D829" s="9">
        <v>40275.0</v>
      </c>
      <c r="E829" s="9">
        <v>259.0</v>
      </c>
      <c r="F829" s="7" t="s">
        <v>681</v>
      </c>
      <c r="G829" s="7" t="s">
        <v>358</v>
      </c>
      <c r="H829" s="7" t="s">
        <v>466</v>
      </c>
      <c r="I829" s="7" t="s">
        <v>355</v>
      </c>
      <c r="J829" s="14"/>
      <c r="K829" s="14"/>
      <c r="O829" s="22"/>
      <c r="P829" s="22"/>
      <c r="Q829" s="23"/>
      <c r="R829" s="23"/>
      <c r="S829" s="14"/>
    </row>
    <row r="830" ht="18.75" customHeight="1">
      <c r="A830" s="7" t="s">
        <v>680</v>
      </c>
      <c r="B830" s="7" t="s">
        <v>3875</v>
      </c>
      <c r="C830" s="9">
        <v>531391.0</v>
      </c>
      <c r="D830" s="9">
        <v>47074.0</v>
      </c>
      <c r="E830" s="9">
        <v>421.0</v>
      </c>
      <c r="F830" s="7" t="s">
        <v>681</v>
      </c>
      <c r="G830" s="7" t="s">
        <v>358</v>
      </c>
      <c r="H830" s="7" t="s">
        <v>466</v>
      </c>
      <c r="I830" s="7" t="s">
        <v>355</v>
      </c>
      <c r="J830" s="14"/>
      <c r="K830" s="14"/>
      <c r="O830" s="22"/>
      <c r="P830" s="22"/>
      <c r="Q830" s="23"/>
      <c r="R830" s="23"/>
      <c r="S830" s="14"/>
    </row>
    <row r="831" ht="18.75" customHeight="1">
      <c r="A831" s="7" t="s">
        <v>585</v>
      </c>
      <c r="B831" s="7" t="s">
        <v>3875</v>
      </c>
      <c r="C831" s="9">
        <v>82262.0</v>
      </c>
      <c r="D831" s="9">
        <v>20947.0</v>
      </c>
      <c r="E831" s="9">
        <v>220.0</v>
      </c>
      <c r="F831" s="7" t="s">
        <v>586</v>
      </c>
      <c r="G831" s="7" t="s">
        <v>358</v>
      </c>
      <c r="H831" s="7" t="s">
        <v>466</v>
      </c>
      <c r="I831" s="7" t="s">
        <v>355</v>
      </c>
      <c r="J831" s="14"/>
      <c r="K831" s="14"/>
      <c r="O831" s="22"/>
      <c r="P831" s="22"/>
      <c r="Q831" s="23"/>
      <c r="R831" s="23"/>
      <c r="S831" s="14"/>
    </row>
    <row r="832" ht="18.75" customHeight="1">
      <c r="A832" s="7" t="s">
        <v>585</v>
      </c>
      <c r="B832" s="7" t="s">
        <v>3875</v>
      </c>
      <c r="C832" s="9">
        <v>518446.0</v>
      </c>
      <c r="D832" s="9">
        <v>49680.0</v>
      </c>
      <c r="E832" s="9">
        <v>934.0</v>
      </c>
      <c r="F832" s="7" t="s">
        <v>586</v>
      </c>
      <c r="G832" s="7" t="s">
        <v>358</v>
      </c>
      <c r="H832" s="7" t="s">
        <v>466</v>
      </c>
      <c r="I832" s="7" t="s">
        <v>355</v>
      </c>
      <c r="J832" s="14"/>
      <c r="K832" s="14"/>
      <c r="O832" s="22"/>
      <c r="P832" s="22"/>
      <c r="Q832" s="23"/>
      <c r="R832" s="23"/>
      <c r="S832" s="14"/>
    </row>
    <row r="833" ht="18.75" customHeight="1">
      <c r="A833" s="7" t="s">
        <v>533</v>
      </c>
      <c r="B833" s="7" t="s">
        <v>3875</v>
      </c>
      <c r="C833" s="9">
        <v>1044328.0</v>
      </c>
      <c r="D833" s="9">
        <v>9373.0</v>
      </c>
      <c r="E833" s="9">
        <v>1605.0</v>
      </c>
      <c r="F833" s="7" t="s">
        <v>534</v>
      </c>
      <c r="G833" s="7" t="s">
        <v>358</v>
      </c>
      <c r="H833" s="7" t="s">
        <v>359</v>
      </c>
      <c r="I833" s="7" t="s">
        <v>355</v>
      </c>
      <c r="J833" s="14"/>
      <c r="K833" s="14"/>
      <c r="O833" s="22"/>
      <c r="P833" s="22"/>
      <c r="Q833" s="23"/>
      <c r="R833" s="23"/>
      <c r="S833" s="14"/>
    </row>
    <row r="834" ht="18.75" customHeight="1">
      <c r="A834" s="7" t="s">
        <v>535</v>
      </c>
      <c r="B834" s="7" t="s">
        <v>3875</v>
      </c>
      <c r="C834" s="9">
        <v>593334.0</v>
      </c>
      <c r="D834" s="9">
        <v>0.0</v>
      </c>
      <c r="E834" s="9">
        <v>1100.0</v>
      </c>
      <c r="F834" s="7" t="s">
        <v>536</v>
      </c>
      <c r="G834" s="7" t="s">
        <v>358</v>
      </c>
      <c r="H834" s="7" t="s">
        <v>359</v>
      </c>
      <c r="I834" s="7" t="s">
        <v>355</v>
      </c>
      <c r="J834" s="14"/>
      <c r="K834" s="14"/>
      <c r="O834" s="22"/>
      <c r="P834" s="22"/>
      <c r="Q834" s="23"/>
      <c r="R834" s="23"/>
      <c r="S834" s="14"/>
    </row>
    <row r="835" ht="18.75" customHeight="1">
      <c r="A835" s="7" t="s">
        <v>535</v>
      </c>
      <c r="B835" s="7" t="s">
        <v>3875</v>
      </c>
      <c r="C835" s="9">
        <v>609869.0</v>
      </c>
      <c r="D835" s="9">
        <v>0.0</v>
      </c>
      <c r="E835" s="9">
        <v>1075.0</v>
      </c>
      <c r="F835" s="7" t="s">
        <v>536</v>
      </c>
      <c r="G835" s="7" t="s">
        <v>358</v>
      </c>
      <c r="H835" s="7" t="s">
        <v>359</v>
      </c>
      <c r="I835" s="7" t="s">
        <v>355</v>
      </c>
      <c r="J835" s="14"/>
      <c r="K835" s="14"/>
      <c r="O835" s="22"/>
      <c r="P835" s="22"/>
      <c r="Q835" s="23"/>
      <c r="R835" s="23"/>
      <c r="S835" s="14"/>
    </row>
    <row r="836" ht="18.75" customHeight="1">
      <c r="A836" s="7" t="s">
        <v>541</v>
      </c>
      <c r="B836" s="7" t="s">
        <v>3875</v>
      </c>
      <c r="C836" s="9">
        <v>16647.0</v>
      </c>
      <c r="D836" s="9">
        <v>3423.0</v>
      </c>
      <c r="E836" s="9">
        <v>65.0</v>
      </c>
      <c r="F836" s="7" t="s">
        <v>542</v>
      </c>
      <c r="G836" s="7" t="s">
        <v>416</v>
      </c>
      <c r="H836" s="7" t="s">
        <v>417</v>
      </c>
      <c r="I836" s="7" t="s">
        <v>355</v>
      </c>
      <c r="J836" s="14"/>
      <c r="K836" s="14"/>
      <c r="O836" s="22"/>
      <c r="P836" s="22"/>
      <c r="Q836" s="23"/>
      <c r="R836" s="23"/>
      <c r="S836" s="14"/>
    </row>
    <row r="837" ht="18.75" customHeight="1">
      <c r="A837" s="7" t="s">
        <v>533</v>
      </c>
      <c r="B837" s="7" t="s">
        <v>3875</v>
      </c>
      <c r="C837" s="9">
        <v>716557.0</v>
      </c>
      <c r="D837" s="9">
        <v>5165.0</v>
      </c>
      <c r="E837" s="9">
        <v>928.0</v>
      </c>
      <c r="F837" s="7" t="s">
        <v>534</v>
      </c>
      <c r="G837" s="7" t="s">
        <v>358</v>
      </c>
      <c r="H837" s="7" t="s">
        <v>359</v>
      </c>
      <c r="I837" s="7" t="s">
        <v>355</v>
      </c>
      <c r="J837" s="14"/>
      <c r="K837" s="14"/>
      <c r="O837" s="22"/>
      <c r="P837" s="22"/>
      <c r="Q837" s="23"/>
      <c r="R837" s="23"/>
      <c r="S837" s="14"/>
    </row>
    <row r="838" ht="18.75" customHeight="1">
      <c r="A838" s="7" t="s">
        <v>693</v>
      </c>
      <c r="B838" s="7" t="s">
        <v>3875</v>
      </c>
      <c r="C838" s="9">
        <v>496654.0</v>
      </c>
      <c r="D838" s="9">
        <v>0.0</v>
      </c>
      <c r="E838" s="9">
        <v>1862.0</v>
      </c>
      <c r="F838" s="7" t="s">
        <v>694</v>
      </c>
      <c r="G838" s="7" t="s">
        <v>358</v>
      </c>
      <c r="H838" s="7" t="s">
        <v>365</v>
      </c>
      <c r="I838" s="7" t="s">
        <v>355</v>
      </c>
      <c r="J838" s="14"/>
      <c r="K838" s="14"/>
      <c r="O838" s="22"/>
      <c r="P838" s="22"/>
      <c r="Q838" s="23"/>
      <c r="R838" s="23"/>
      <c r="S838" s="14"/>
    </row>
    <row r="839" ht="18.75" customHeight="1">
      <c r="A839" s="7" t="s">
        <v>537</v>
      </c>
      <c r="B839" s="7" t="s">
        <v>3875</v>
      </c>
      <c r="C839" s="9">
        <v>943720.0</v>
      </c>
      <c r="D839" s="9">
        <v>0.0</v>
      </c>
      <c r="E839" s="9">
        <v>1664.0</v>
      </c>
      <c r="F839" s="7" t="s">
        <v>538</v>
      </c>
      <c r="G839" s="7" t="s">
        <v>358</v>
      </c>
      <c r="H839" s="7" t="s">
        <v>359</v>
      </c>
      <c r="I839" s="7" t="s">
        <v>355</v>
      </c>
      <c r="J839" s="14"/>
      <c r="K839" s="14"/>
      <c r="O839" s="22"/>
      <c r="P839" s="22"/>
      <c r="Q839" s="23"/>
      <c r="R839" s="23"/>
      <c r="S839" s="14"/>
    </row>
    <row r="840" ht="18.75" customHeight="1">
      <c r="A840" s="7" t="s">
        <v>537</v>
      </c>
      <c r="B840" s="7" t="s">
        <v>3875</v>
      </c>
      <c r="C840" s="9">
        <v>1458844.0</v>
      </c>
      <c r="D840" s="9">
        <v>0.0</v>
      </c>
      <c r="E840" s="9">
        <v>2787.0</v>
      </c>
      <c r="F840" s="7" t="s">
        <v>538</v>
      </c>
      <c r="G840" s="7" t="s">
        <v>358</v>
      </c>
      <c r="H840" s="7" t="s">
        <v>359</v>
      </c>
      <c r="I840" s="7" t="s">
        <v>355</v>
      </c>
      <c r="J840" s="14"/>
      <c r="K840" s="14"/>
      <c r="O840" s="22"/>
      <c r="P840" s="22"/>
      <c r="Q840" s="23"/>
      <c r="R840" s="23"/>
      <c r="S840" s="14"/>
    </row>
    <row r="841" ht="18.75" customHeight="1">
      <c r="A841" s="7" t="s">
        <v>537</v>
      </c>
      <c r="B841" s="7" t="s">
        <v>3875</v>
      </c>
      <c r="C841" s="9">
        <v>628329.0</v>
      </c>
      <c r="D841" s="9">
        <v>0.0</v>
      </c>
      <c r="E841" s="9">
        <v>1475.0</v>
      </c>
      <c r="F841" s="7" t="s">
        <v>538</v>
      </c>
      <c r="G841" s="7" t="s">
        <v>358</v>
      </c>
      <c r="H841" s="7" t="s">
        <v>359</v>
      </c>
      <c r="I841" s="7" t="s">
        <v>355</v>
      </c>
      <c r="J841" s="14"/>
      <c r="K841" s="14"/>
      <c r="O841" s="22"/>
      <c r="P841" s="22"/>
      <c r="Q841" s="23"/>
      <c r="R841" s="23"/>
      <c r="S841" s="14"/>
    </row>
    <row r="842" ht="18.75" customHeight="1">
      <c r="A842" s="7" t="s">
        <v>717</v>
      </c>
      <c r="B842" s="7" t="s">
        <v>3875</v>
      </c>
      <c r="C842" s="9">
        <v>55964.0</v>
      </c>
      <c r="D842" s="9">
        <v>0.0</v>
      </c>
      <c r="E842" s="9">
        <v>1209.0</v>
      </c>
      <c r="F842" s="7" t="s">
        <v>718</v>
      </c>
      <c r="G842" s="7" t="s">
        <v>364</v>
      </c>
      <c r="H842" s="7" t="s">
        <v>365</v>
      </c>
      <c r="I842" s="7" t="s">
        <v>355</v>
      </c>
      <c r="J842" s="14"/>
      <c r="K842" s="14"/>
      <c r="O842" s="22"/>
      <c r="P842" s="22"/>
      <c r="Q842" s="23"/>
      <c r="R842" s="23"/>
      <c r="S842" s="14"/>
    </row>
    <row r="843" ht="18.75" customHeight="1">
      <c r="A843" s="7" t="s">
        <v>629</v>
      </c>
      <c r="B843" s="7" t="s">
        <v>3875</v>
      </c>
      <c r="C843" s="9">
        <v>43964.0</v>
      </c>
      <c r="D843" s="9">
        <v>9382.0</v>
      </c>
      <c r="E843" s="9">
        <v>204.0</v>
      </c>
      <c r="F843" s="7" t="s">
        <v>630</v>
      </c>
      <c r="G843" s="7" t="s">
        <v>404</v>
      </c>
      <c r="H843" s="7" t="s">
        <v>405</v>
      </c>
      <c r="I843" s="7" t="s">
        <v>355</v>
      </c>
      <c r="J843" s="14"/>
      <c r="K843" s="14"/>
      <c r="O843" s="22"/>
      <c r="P843" s="22"/>
      <c r="Q843" s="23"/>
      <c r="R843" s="23"/>
      <c r="S843" s="14"/>
    </row>
    <row r="844" ht="18.75" customHeight="1">
      <c r="A844" s="7" t="s">
        <v>629</v>
      </c>
      <c r="B844" s="7" t="s">
        <v>3875</v>
      </c>
      <c r="C844" s="9">
        <v>672629.0</v>
      </c>
      <c r="D844" s="9">
        <v>27006.0</v>
      </c>
      <c r="E844" s="9">
        <v>933.0</v>
      </c>
      <c r="F844" s="7" t="s">
        <v>630</v>
      </c>
      <c r="G844" s="7" t="s">
        <v>404</v>
      </c>
      <c r="H844" s="7" t="s">
        <v>405</v>
      </c>
      <c r="I844" s="7" t="s">
        <v>355</v>
      </c>
      <c r="J844" s="14"/>
      <c r="K844" s="14"/>
      <c r="O844" s="22"/>
      <c r="P844" s="22"/>
      <c r="Q844" s="23"/>
      <c r="R844" s="23"/>
      <c r="S844" s="14"/>
    </row>
    <row r="845" ht="18.75" customHeight="1">
      <c r="A845" s="7" t="s">
        <v>629</v>
      </c>
      <c r="B845" s="7" t="s">
        <v>3875</v>
      </c>
      <c r="C845" s="9">
        <v>47385.0</v>
      </c>
      <c r="D845" s="9">
        <v>11042.0</v>
      </c>
      <c r="E845" s="9">
        <v>120.0</v>
      </c>
      <c r="F845" s="7" t="s">
        <v>630</v>
      </c>
      <c r="G845" s="7" t="s">
        <v>404</v>
      </c>
      <c r="H845" s="7" t="s">
        <v>405</v>
      </c>
      <c r="I845" s="7" t="s">
        <v>355</v>
      </c>
      <c r="J845" s="14"/>
      <c r="K845" s="14"/>
      <c r="O845" s="22"/>
      <c r="P845" s="22"/>
      <c r="Q845" s="23"/>
      <c r="R845" s="23"/>
      <c r="S845" s="14"/>
    </row>
    <row r="846" ht="18.75" customHeight="1">
      <c r="A846" s="7" t="s">
        <v>695</v>
      </c>
      <c r="B846" s="7" t="s">
        <v>3875</v>
      </c>
      <c r="C846" s="9">
        <v>378751.0</v>
      </c>
      <c r="D846" s="9">
        <v>10928.0</v>
      </c>
      <c r="E846" s="9">
        <v>559.0</v>
      </c>
      <c r="F846" s="7" t="s">
        <v>696</v>
      </c>
      <c r="G846" s="7" t="s">
        <v>358</v>
      </c>
      <c r="H846" s="7" t="s">
        <v>466</v>
      </c>
      <c r="I846" s="7" t="s">
        <v>355</v>
      </c>
      <c r="J846" s="14"/>
      <c r="K846" s="14"/>
      <c r="O846" s="22"/>
      <c r="P846" s="22"/>
      <c r="Q846" s="23"/>
      <c r="R846" s="23"/>
      <c r="S846" s="14"/>
    </row>
    <row r="847" ht="18.75" customHeight="1">
      <c r="A847" s="7" t="s">
        <v>695</v>
      </c>
      <c r="B847" s="7" t="s">
        <v>3875</v>
      </c>
      <c r="C847" s="9">
        <v>264913.0</v>
      </c>
      <c r="D847" s="9">
        <v>13930.0</v>
      </c>
      <c r="E847" s="9">
        <v>298.0</v>
      </c>
      <c r="F847" s="7" t="s">
        <v>696</v>
      </c>
      <c r="G847" s="7" t="s">
        <v>358</v>
      </c>
      <c r="H847" s="7" t="s">
        <v>466</v>
      </c>
      <c r="I847" s="7" t="s">
        <v>355</v>
      </c>
      <c r="J847" s="14"/>
      <c r="K847" s="14"/>
      <c r="O847" s="22"/>
      <c r="P847" s="22"/>
      <c r="Q847" s="23"/>
      <c r="R847" s="23"/>
      <c r="S847" s="14"/>
    </row>
    <row r="848" ht="18.75" customHeight="1">
      <c r="A848" s="7" t="s">
        <v>695</v>
      </c>
      <c r="B848" s="7" t="s">
        <v>3875</v>
      </c>
      <c r="C848" s="9">
        <v>116551.0</v>
      </c>
      <c r="D848" s="9">
        <v>7768.0</v>
      </c>
      <c r="E848" s="9">
        <v>125.0</v>
      </c>
      <c r="F848" s="7" t="s">
        <v>696</v>
      </c>
      <c r="G848" s="7" t="s">
        <v>358</v>
      </c>
      <c r="H848" s="7" t="s">
        <v>466</v>
      </c>
      <c r="I848" s="7" t="s">
        <v>355</v>
      </c>
      <c r="J848" s="14"/>
      <c r="K848" s="14"/>
      <c r="O848" s="22"/>
      <c r="P848" s="22"/>
      <c r="Q848" s="23"/>
      <c r="R848" s="23"/>
      <c r="S848" s="14"/>
    </row>
    <row r="849" ht="18.75" customHeight="1">
      <c r="A849" s="7" t="s">
        <v>715</v>
      </c>
      <c r="B849" s="7" t="s">
        <v>3875</v>
      </c>
      <c r="C849" s="9">
        <v>42235.0</v>
      </c>
      <c r="D849" s="9">
        <v>0.0</v>
      </c>
      <c r="E849" s="9">
        <v>2.0</v>
      </c>
      <c r="F849" s="7" t="s">
        <v>716</v>
      </c>
      <c r="G849" s="7" t="s">
        <v>364</v>
      </c>
      <c r="H849" s="7" t="s">
        <v>365</v>
      </c>
      <c r="I849" s="7" t="s">
        <v>355</v>
      </c>
      <c r="J849" s="14"/>
      <c r="K849" s="14"/>
      <c r="O849" s="22"/>
      <c r="P849" s="22"/>
      <c r="Q849" s="23"/>
      <c r="R849" s="23"/>
      <c r="S849" s="14"/>
    </row>
    <row r="850" ht="18.75" customHeight="1">
      <c r="A850" s="7" t="s">
        <v>715</v>
      </c>
      <c r="B850" s="7" t="s">
        <v>3875</v>
      </c>
      <c r="C850" s="9">
        <v>215523.0</v>
      </c>
      <c r="D850" s="9">
        <v>0.0</v>
      </c>
      <c r="E850" s="9">
        <v>14.0</v>
      </c>
      <c r="F850" s="7" t="s">
        <v>716</v>
      </c>
      <c r="G850" s="7" t="s">
        <v>364</v>
      </c>
      <c r="H850" s="7" t="s">
        <v>365</v>
      </c>
      <c r="I850" s="7" t="s">
        <v>355</v>
      </c>
      <c r="J850" s="14"/>
      <c r="K850" s="14"/>
      <c r="O850" s="22"/>
      <c r="P850" s="22"/>
      <c r="Q850" s="23"/>
      <c r="R850" s="23"/>
      <c r="S850" s="14"/>
    </row>
    <row r="851" ht="18.75" customHeight="1">
      <c r="A851" s="7" t="s">
        <v>649</v>
      </c>
      <c r="B851" s="7" t="s">
        <v>3875</v>
      </c>
      <c r="C851" s="9">
        <v>623548.0</v>
      </c>
      <c r="D851" s="9">
        <v>0.0</v>
      </c>
      <c r="E851" s="9">
        <v>921.0</v>
      </c>
      <c r="F851" s="7" t="s">
        <v>650</v>
      </c>
      <c r="G851" s="7" t="s">
        <v>404</v>
      </c>
      <c r="H851" s="7" t="s">
        <v>405</v>
      </c>
      <c r="I851" s="7" t="s">
        <v>355</v>
      </c>
      <c r="J851" s="14"/>
      <c r="K851" s="14"/>
      <c r="O851" s="22"/>
      <c r="P851" s="22"/>
      <c r="Q851" s="23"/>
      <c r="R851" s="23"/>
      <c r="S851" s="14"/>
    </row>
    <row r="852" ht="18.75" customHeight="1">
      <c r="A852" s="7" t="s">
        <v>649</v>
      </c>
      <c r="B852" s="7" t="s">
        <v>3875</v>
      </c>
      <c r="C852" s="9">
        <v>675432.0</v>
      </c>
      <c r="D852" s="9">
        <v>0.0</v>
      </c>
      <c r="E852" s="9">
        <v>1170.0</v>
      </c>
      <c r="F852" s="7" t="s">
        <v>650</v>
      </c>
      <c r="G852" s="7" t="s">
        <v>404</v>
      </c>
      <c r="H852" s="7" t="s">
        <v>405</v>
      </c>
      <c r="I852" s="7" t="s">
        <v>355</v>
      </c>
      <c r="J852" s="14"/>
      <c r="K852" s="14"/>
      <c r="O852" s="22"/>
      <c r="P852" s="22"/>
      <c r="Q852" s="23"/>
      <c r="R852" s="23"/>
      <c r="S852" s="14"/>
    </row>
    <row r="853" ht="18.75" customHeight="1">
      <c r="A853" s="7" t="s">
        <v>649</v>
      </c>
      <c r="B853" s="7" t="s">
        <v>3875</v>
      </c>
      <c r="C853" s="9">
        <v>281727.0</v>
      </c>
      <c r="D853" s="9">
        <v>0.0</v>
      </c>
      <c r="E853" s="9">
        <v>433.0</v>
      </c>
      <c r="F853" s="7" t="s">
        <v>650</v>
      </c>
      <c r="G853" s="7" t="s">
        <v>404</v>
      </c>
      <c r="H853" s="7" t="s">
        <v>405</v>
      </c>
      <c r="I853" s="7" t="s">
        <v>355</v>
      </c>
      <c r="J853" s="14"/>
      <c r="K853" s="14"/>
      <c r="O853" s="22"/>
      <c r="P853" s="22"/>
      <c r="Q853" s="23"/>
      <c r="R853" s="23"/>
      <c r="S853" s="14"/>
    </row>
    <row r="854" ht="18.75" customHeight="1">
      <c r="A854" s="7" t="s">
        <v>649</v>
      </c>
      <c r="B854" s="7" t="s">
        <v>3875</v>
      </c>
      <c r="C854" s="9">
        <v>1026474.0</v>
      </c>
      <c r="D854" s="9">
        <v>0.0</v>
      </c>
      <c r="E854" s="9">
        <v>1744.0</v>
      </c>
      <c r="F854" s="7" t="s">
        <v>650</v>
      </c>
      <c r="G854" s="7" t="s">
        <v>404</v>
      </c>
      <c r="H854" s="7" t="s">
        <v>405</v>
      </c>
      <c r="I854" s="7" t="s">
        <v>355</v>
      </c>
      <c r="J854" s="14"/>
      <c r="K854" s="14"/>
      <c r="O854" s="22"/>
      <c r="P854" s="22"/>
      <c r="Q854" s="23"/>
      <c r="R854" s="23"/>
      <c r="S854" s="14"/>
    </row>
    <row r="855" ht="18.75" customHeight="1">
      <c r="A855" s="7" t="s">
        <v>601</v>
      </c>
      <c r="B855" s="7" t="s">
        <v>3875</v>
      </c>
      <c r="C855" s="9">
        <v>36148.0</v>
      </c>
      <c r="D855" s="9">
        <v>4160.0</v>
      </c>
      <c r="E855" s="9">
        <v>27.0</v>
      </c>
      <c r="F855" s="7" t="s">
        <v>602</v>
      </c>
      <c r="G855" s="7" t="s">
        <v>416</v>
      </c>
      <c r="H855" s="7" t="s">
        <v>417</v>
      </c>
      <c r="I855" s="7" t="s">
        <v>355</v>
      </c>
      <c r="J855" s="14"/>
      <c r="K855" s="14"/>
      <c r="O855" s="22"/>
      <c r="P855" s="22"/>
      <c r="Q855" s="23"/>
      <c r="R855" s="23"/>
      <c r="S855" s="14"/>
    </row>
    <row r="856" ht="18.75" customHeight="1">
      <c r="A856" s="7" t="s">
        <v>597</v>
      </c>
      <c r="B856" s="7" t="s">
        <v>3875</v>
      </c>
      <c r="C856" s="9">
        <v>86587.0</v>
      </c>
      <c r="D856" s="9">
        <v>15767.0</v>
      </c>
      <c r="E856" s="9">
        <v>97.0</v>
      </c>
      <c r="F856" s="7" t="s">
        <v>598</v>
      </c>
      <c r="G856" s="7" t="s">
        <v>416</v>
      </c>
      <c r="H856" s="7" t="s">
        <v>417</v>
      </c>
      <c r="I856" s="7" t="s">
        <v>355</v>
      </c>
      <c r="J856" s="14"/>
      <c r="K856" s="14"/>
      <c r="O856" s="22"/>
      <c r="P856" s="22"/>
      <c r="Q856" s="23"/>
      <c r="R856" s="23"/>
      <c r="S856" s="14"/>
    </row>
    <row r="857" ht="18.75" customHeight="1">
      <c r="A857" s="7" t="s">
        <v>744</v>
      </c>
      <c r="B857" s="7" t="s">
        <v>3875</v>
      </c>
      <c r="C857" s="9">
        <v>372064.0</v>
      </c>
      <c r="D857" s="9">
        <v>0.0</v>
      </c>
      <c r="E857" s="9">
        <v>308.0</v>
      </c>
      <c r="F857" s="7" t="s">
        <v>745</v>
      </c>
      <c r="G857" s="7" t="s">
        <v>416</v>
      </c>
      <c r="H857" s="7" t="s">
        <v>365</v>
      </c>
      <c r="I857" s="7" t="s">
        <v>355</v>
      </c>
      <c r="J857" s="14"/>
      <c r="K857" s="14"/>
      <c r="O857" s="22"/>
      <c r="P857" s="22"/>
      <c r="Q857" s="23"/>
      <c r="R857" s="23"/>
      <c r="S857" s="14"/>
    </row>
    <row r="858" ht="18.75" customHeight="1">
      <c r="A858" s="7" t="s">
        <v>726</v>
      </c>
      <c r="B858" s="7" t="s">
        <v>3875</v>
      </c>
      <c r="C858" s="9">
        <v>139796.0</v>
      </c>
      <c r="D858" s="9">
        <v>25966.0</v>
      </c>
      <c r="E858" s="9">
        <v>270.0</v>
      </c>
      <c r="F858" s="7" t="s">
        <v>727</v>
      </c>
      <c r="G858" s="7" t="s">
        <v>416</v>
      </c>
      <c r="H858" s="7" t="s">
        <v>417</v>
      </c>
      <c r="I858" s="7" t="s">
        <v>355</v>
      </c>
      <c r="J858" s="14"/>
      <c r="K858" s="14"/>
      <c r="O858" s="22"/>
      <c r="P858" s="22"/>
      <c r="Q858" s="23"/>
      <c r="R858" s="23"/>
      <c r="S858" s="14"/>
    </row>
    <row r="859" ht="18.75" customHeight="1">
      <c r="A859" s="7" t="s">
        <v>730</v>
      </c>
      <c r="B859" s="7" t="s">
        <v>3875</v>
      </c>
      <c r="C859" s="9">
        <v>51102.0</v>
      </c>
      <c r="D859" s="9">
        <v>9090.0</v>
      </c>
      <c r="E859" s="9">
        <v>62.0</v>
      </c>
      <c r="F859" s="7" t="s">
        <v>731</v>
      </c>
      <c r="G859" s="7" t="s">
        <v>416</v>
      </c>
      <c r="H859" s="7" t="s">
        <v>417</v>
      </c>
      <c r="I859" s="7" t="s">
        <v>355</v>
      </c>
      <c r="J859" s="14"/>
      <c r="K859" s="14"/>
      <c r="O859" s="22"/>
      <c r="P859" s="22"/>
      <c r="Q859" s="23"/>
      <c r="R859" s="23"/>
      <c r="S859" s="14"/>
    </row>
    <row r="860" ht="18.75" customHeight="1">
      <c r="A860" s="7" t="s">
        <v>732</v>
      </c>
      <c r="B860" s="7" t="s">
        <v>3875</v>
      </c>
      <c r="C860" s="9">
        <v>222469.0</v>
      </c>
      <c r="D860" s="9">
        <v>0.0</v>
      </c>
      <c r="E860" s="9">
        <v>792.0</v>
      </c>
      <c r="F860" s="7" t="s">
        <v>733</v>
      </c>
      <c r="G860" s="7" t="s">
        <v>416</v>
      </c>
      <c r="H860" s="7" t="s">
        <v>359</v>
      </c>
      <c r="I860" s="7" t="s">
        <v>355</v>
      </c>
      <c r="J860" s="14"/>
      <c r="K860" s="14"/>
      <c r="O860" s="22"/>
      <c r="P860" s="22"/>
      <c r="Q860" s="23"/>
      <c r="R860" s="23"/>
      <c r="S860" s="14"/>
    </row>
    <row r="861" ht="18.75" customHeight="1">
      <c r="A861" s="7" t="s">
        <v>728</v>
      </c>
      <c r="B861" s="7" t="s">
        <v>3875</v>
      </c>
      <c r="C861" s="9">
        <v>51652.0</v>
      </c>
      <c r="D861" s="9">
        <v>11488.0</v>
      </c>
      <c r="E861" s="9">
        <v>85.0</v>
      </c>
      <c r="F861" s="7" t="s">
        <v>729</v>
      </c>
      <c r="G861" s="7" t="s">
        <v>416</v>
      </c>
      <c r="H861" s="7" t="s">
        <v>417</v>
      </c>
      <c r="I861" s="7" t="s">
        <v>355</v>
      </c>
      <c r="J861" s="14"/>
      <c r="K861" s="14"/>
      <c r="O861" s="22"/>
      <c r="P861" s="22"/>
      <c r="Q861" s="23"/>
      <c r="R861" s="23"/>
      <c r="S861" s="14"/>
    </row>
    <row r="862" ht="18.75" customHeight="1">
      <c r="A862" s="7" t="s">
        <v>529</v>
      </c>
      <c r="B862" s="7" t="s">
        <v>3875</v>
      </c>
      <c r="C862" s="9">
        <v>88995.0</v>
      </c>
      <c r="D862" s="9">
        <v>0.0</v>
      </c>
      <c r="E862" s="9">
        <v>3.0</v>
      </c>
      <c r="F862" s="7" t="s">
        <v>530</v>
      </c>
      <c r="G862" s="7" t="s">
        <v>358</v>
      </c>
      <c r="H862" s="7" t="s">
        <v>387</v>
      </c>
      <c r="I862" s="7" t="s">
        <v>355</v>
      </c>
      <c r="J862" s="14"/>
      <c r="K862" s="14"/>
      <c r="O862" s="22"/>
      <c r="P862" s="22"/>
      <c r="Q862" s="23"/>
      <c r="R862" s="23"/>
      <c r="S862" s="14"/>
    </row>
    <row r="863" ht="18.75" customHeight="1">
      <c r="A863" s="7" t="s">
        <v>529</v>
      </c>
      <c r="B863" s="7" t="s">
        <v>3875</v>
      </c>
      <c r="C863" s="9">
        <v>64792.0</v>
      </c>
      <c r="D863" s="9">
        <v>0.0</v>
      </c>
      <c r="E863" s="9">
        <v>3.0</v>
      </c>
      <c r="F863" s="7" t="s">
        <v>530</v>
      </c>
      <c r="G863" s="7" t="s">
        <v>358</v>
      </c>
      <c r="H863" s="7" t="s">
        <v>387</v>
      </c>
      <c r="I863" s="7" t="s">
        <v>355</v>
      </c>
      <c r="J863" s="14"/>
      <c r="K863" s="14"/>
      <c r="O863" s="22"/>
      <c r="P863" s="22"/>
      <c r="Q863" s="23"/>
      <c r="R863" s="23"/>
      <c r="S863" s="14"/>
    </row>
    <row r="864" ht="18.75" customHeight="1">
      <c r="A864" s="7" t="s">
        <v>697</v>
      </c>
      <c r="B864" s="7" t="s">
        <v>3875</v>
      </c>
      <c r="C864" s="9">
        <v>740140.0</v>
      </c>
      <c r="D864" s="9">
        <v>5860.0</v>
      </c>
      <c r="E864" s="9">
        <v>1269.0</v>
      </c>
      <c r="F864" s="7" t="s">
        <v>698</v>
      </c>
      <c r="G864" s="7" t="s">
        <v>404</v>
      </c>
      <c r="H864" s="7" t="s">
        <v>405</v>
      </c>
      <c r="I864" s="7" t="s">
        <v>355</v>
      </c>
      <c r="J864" s="14"/>
      <c r="K864" s="14"/>
      <c r="O864" s="22"/>
      <c r="P864" s="22"/>
      <c r="Q864" s="23"/>
      <c r="R864" s="23"/>
      <c r="S864" s="14"/>
    </row>
    <row r="865" ht="18.75" customHeight="1">
      <c r="A865" s="7" t="s">
        <v>697</v>
      </c>
      <c r="B865" s="7" t="s">
        <v>3875</v>
      </c>
      <c r="C865" s="9">
        <v>497735.0</v>
      </c>
      <c r="D865" s="9">
        <v>4848.0</v>
      </c>
      <c r="E865" s="9">
        <v>935.0</v>
      </c>
      <c r="F865" s="7" t="s">
        <v>698</v>
      </c>
      <c r="G865" s="7" t="s">
        <v>404</v>
      </c>
      <c r="H865" s="7" t="s">
        <v>405</v>
      </c>
      <c r="I865" s="7" t="s">
        <v>355</v>
      </c>
      <c r="J865" s="14"/>
      <c r="K865" s="14"/>
      <c r="O865" s="22"/>
      <c r="P865" s="22"/>
      <c r="Q865" s="23"/>
      <c r="R865" s="23"/>
      <c r="S865" s="14"/>
    </row>
    <row r="866" ht="18.75" customHeight="1">
      <c r="A866" s="7" t="s">
        <v>721</v>
      </c>
      <c r="B866" s="7" t="s">
        <v>3875</v>
      </c>
      <c r="C866" s="9">
        <v>151337.0</v>
      </c>
      <c r="D866" s="9">
        <v>35240.0</v>
      </c>
      <c r="E866" s="9">
        <v>246.0</v>
      </c>
      <c r="F866" s="7" t="s">
        <v>722</v>
      </c>
      <c r="G866" s="7" t="s">
        <v>358</v>
      </c>
      <c r="H866" s="7" t="s">
        <v>466</v>
      </c>
      <c r="I866" s="7" t="s">
        <v>355</v>
      </c>
      <c r="J866" s="14"/>
      <c r="K866" s="14"/>
      <c r="O866" s="22"/>
      <c r="P866" s="22"/>
      <c r="Q866" s="23"/>
      <c r="R866" s="23"/>
      <c r="S866" s="14"/>
    </row>
    <row r="867" ht="18.75" customHeight="1">
      <c r="A867" s="7" t="s">
        <v>721</v>
      </c>
      <c r="B867" s="7" t="s">
        <v>3875</v>
      </c>
      <c r="C867" s="9">
        <v>323372.0</v>
      </c>
      <c r="D867" s="9">
        <v>25305.0</v>
      </c>
      <c r="E867" s="9">
        <v>574.0</v>
      </c>
      <c r="F867" s="7" t="s">
        <v>722</v>
      </c>
      <c r="G867" s="7" t="s">
        <v>358</v>
      </c>
      <c r="H867" s="7" t="s">
        <v>466</v>
      </c>
      <c r="I867" s="7" t="s">
        <v>355</v>
      </c>
      <c r="J867" s="14"/>
      <c r="K867" s="14"/>
      <c r="O867" s="22"/>
      <c r="P867" s="22"/>
      <c r="Q867" s="23"/>
      <c r="R867" s="23"/>
      <c r="S867" s="14"/>
    </row>
    <row r="868" ht="18.75" customHeight="1">
      <c r="A868" s="7" t="s">
        <v>734</v>
      </c>
      <c r="B868" s="7" t="s">
        <v>3875</v>
      </c>
      <c r="C868" s="9">
        <v>400915.0</v>
      </c>
      <c r="D868" s="9">
        <v>0.0</v>
      </c>
      <c r="E868" s="9">
        <v>427.0</v>
      </c>
      <c r="F868" s="7" t="s">
        <v>735</v>
      </c>
      <c r="G868" s="7" t="s">
        <v>416</v>
      </c>
      <c r="H868" s="7" t="s">
        <v>413</v>
      </c>
      <c r="I868" s="7" t="s">
        <v>355</v>
      </c>
      <c r="J868" s="14"/>
      <c r="K868" s="14"/>
      <c r="O868" s="22"/>
      <c r="P868" s="22"/>
      <c r="Q868" s="23"/>
      <c r="R868" s="23"/>
      <c r="S868" s="14"/>
    </row>
    <row r="869" ht="18.75" customHeight="1">
      <c r="A869" s="7" t="s">
        <v>623</v>
      </c>
      <c r="B869" s="7" t="s">
        <v>3875</v>
      </c>
      <c r="C869" s="9">
        <v>275619.0</v>
      </c>
      <c r="D869" s="9">
        <v>0.0</v>
      </c>
      <c r="E869" s="9">
        <v>716.0</v>
      </c>
      <c r="F869" s="7" t="s">
        <v>624</v>
      </c>
      <c r="G869" s="7" t="s">
        <v>353</v>
      </c>
      <c r="H869" s="7" t="s">
        <v>354</v>
      </c>
      <c r="I869" s="7" t="s">
        <v>355</v>
      </c>
      <c r="J869" s="14"/>
      <c r="K869" s="14"/>
      <c r="O869" s="22"/>
      <c r="P869" s="22"/>
      <c r="Q869" s="23"/>
      <c r="R869" s="23"/>
      <c r="S869" s="14"/>
    </row>
    <row r="870" ht="18.75" customHeight="1">
      <c r="A870" s="7" t="s">
        <v>623</v>
      </c>
      <c r="B870" s="7" t="s">
        <v>3875</v>
      </c>
      <c r="C870" s="9">
        <v>325813.0</v>
      </c>
      <c r="D870" s="9">
        <v>0.0</v>
      </c>
      <c r="E870" s="9">
        <v>1378.0</v>
      </c>
      <c r="F870" s="7" t="s">
        <v>624</v>
      </c>
      <c r="G870" s="7" t="s">
        <v>353</v>
      </c>
      <c r="H870" s="7" t="s">
        <v>354</v>
      </c>
      <c r="I870" s="7" t="s">
        <v>355</v>
      </c>
      <c r="J870" s="14"/>
      <c r="K870" s="14"/>
      <c r="O870" s="22"/>
      <c r="P870" s="22"/>
      <c r="Q870" s="23"/>
      <c r="R870" s="23"/>
      <c r="S870" s="14"/>
    </row>
    <row r="871" ht="18.75" customHeight="1">
      <c r="A871" s="7" t="s">
        <v>748</v>
      </c>
      <c r="B871" s="7" t="s">
        <v>3875</v>
      </c>
      <c r="C871" s="9">
        <v>472474.0</v>
      </c>
      <c r="D871" s="9">
        <v>0.0</v>
      </c>
      <c r="E871" s="9">
        <v>733.0</v>
      </c>
      <c r="F871" s="7" t="s">
        <v>749</v>
      </c>
      <c r="G871" s="7" t="s">
        <v>416</v>
      </c>
      <c r="H871" s="7" t="s">
        <v>725</v>
      </c>
      <c r="I871" s="7" t="s">
        <v>355</v>
      </c>
      <c r="J871" s="14"/>
      <c r="K871" s="14"/>
      <c r="O871" s="22"/>
      <c r="P871" s="22"/>
      <c r="Q871" s="23"/>
      <c r="R871" s="23"/>
      <c r="S871" s="14"/>
    </row>
    <row r="872" ht="18.75" customHeight="1">
      <c r="A872" s="7" t="s">
        <v>481</v>
      </c>
      <c r="B872" s="7" t="s">
        <v>3875</v>
      </c>
      <c r="C872" s="9">
        <v>1154335.0</v>
      </c>
      <c r="D872" s="9">
        <v>56086.0</v>
      </c>
      <c r="E872" s="9">
        <v>871.0</v>
      </c>
      <c r="F872" s="7" t="s">
        <v>482</v>
      </c>
      <c r="G872" s="7" t="s">
        <v>404</v>
      </c>
      <c r="H872" s="7" t="s">
        <v>405</v>
      </c>
      <c r="I872" s="7" t="s">
        <v>355</v>
      </c>
      <c r="J872" s="14"/>
      <c r="K872" s="14"/>
      <c r="O872" s="22"/>
      <c r="P872" s="22"/>
      <c r="Q872" s="23"/>
      <c r="R872" s="23"/>
      <c r="S872" s="14"/>
    </row>
    <row r="873" ht="18.75" customHeight="1">
      <c r="A873" s="7" t="s">
        <v>481</v>
      </c>
      <c r="B873" s="7" t="s">
        <v>3875</v>
      </c>
      <c r="C873" s="9">
        <v>439304.0</v>
      </c>
      <c r="D873" s="9">
        <v>11922.0</v>
      </c>
      <c r="E873" s="9">
        <v>338.0</v>
      </c>
      <c r="F873" s="7" t="s">
        <v>482</v>
      </c>
      <c r="G873" s="7" t="s">
        <v>404</v>
      </c>
      <c r="H873" s="7" t="s">
        <v>405</v>
      </c>
      <c r="I873" s="7" t="s">
        <v>355</v>
      </c>
      <c r="J873" s="14"/>
      <c r="K873" s="14"/>
      <c r="O873" s="22"/>
      <c r="P873" s="22"/>
      <c r="Q873" s="23"/>
      <c r="R873" s="23"/>
      <c r="S873" s="14"/>
    </row>
    <row r="874" ht="18.75" customHeight="1">
      <c r="A874" s="7" t="s">
        <v>481</v>
      </c>
      <c r="B874" s="7" t="s">
        <v>3875</v>
      </c>
      <c r="C874" s="9">
        <v>422291.0</v>
      </c>
      <c r="D874" s="9">
        <v>32392.0</v>
      </c>
      <c r="E874" s="9">
        <v>376.0</v>
      </c>
      <c r="F874" s="7" t="s">
        <v>482</v>
      </c>
      <c r="G874" s="7" t="s">
        <v>404</v>
      </c>
      <c r="H874" s="7" t="s">
        <v>405</v>
      </c>
      <c r="I874" s="7" t="s">
        <v>355</v>
      </c>
      <c r="J874" s="14"/>
      <c r="K874" s="14"/>
      <c r="O874" s="22"/>
      <c r="P874" s="22"/>
      <c r="Q874" s="23"/>
      <c r="R874" s="23"/>
      <c r="S874" s="14"/>
    </row>
    <row r="875" ht="18.75" customHeight="1">
      <c r="A875" s="7" t="s">
        <v>481</v>
      </c>
      <c r="B875" s="7" t="s">
        <v>3875</v>
      </c>
      <c r="C875" s="9">
        <v>466602.0</v>
      </c>
      <c r="D875" s="9">
        <v>21401.0</v>
      </c>
      <c r="E875" s="9">
        <v>196.0</v>
      </c>
      <c r="F875" s="7" t="s">
        <v>482</v>
      </c>
      <c r="G875" s="7" t="s">
        <v>404</v>
      </c>
      <c r="H875" s="7" t="s">
        <v>405</v>
      </c>
      <c r="I875" s="7" t="s">
        <v>355</v>
      </c>
      <c r="J875" s="14"/>
      <c r="K875" s="14"/>
      <c r="O875" s="22"/>
      <c r="P875" s="22"/>
      <c r="Q875" s="23"/>
      <c r="R875" s="23"/>
      <c r="S875" s="14"/>
    </row>
    <row r="876" ht="18.75" customHeight="1">
      <c r="A876" s="7" t="s">
        <v>481</v>
      </c>
      <c r="B876" s="7" t="s">
        <v>3875</v>
      </c>
      <c r="C876" s="9">
        <v>650742.0</v>
      </c>
      <c r="D876" s="9">
        <v>64637.0</v>
      </c>
      <c r="E876" s="9">
        <v>385.0</v>
      </c>
      <c r="F876" s="7" t="s">
        <v>482</v>
      </c>
      <c r="G876" s="7" t="s">
        <v>404</v>
      </c>
      <c r="H876" s="7" t="s">
        <v>405</v>
      </c>
      <c r="I876" s="7" t="s">
        <v>355</v>
      </c>
      <c r="J876" s="14"/>
      <c r="K876" s="14"/>
      <c r="O876" s="22"/>
      <c r="P876" s="22"/>
      <c r="Q876" s="23"/>
      <c r="R876" s="23"/>
      <c r="S876" s="14"/>
    </row>
    <row r="877" ht="18.75" customHeight="1">
      <c r="A877" s="7" t="s">
        <v>763</v>
      </c>
      <c r="B877" s="7" t="s">
        <v>3875</v>
      </c>
      <c r="C877" s="9">
        <v>100385.0</v>
      </c>
      <c r="D877" s="9">
        <v>25477.0</v>
      </c>
      <c r="E877" s="9">
        <v>295.0</v>
      </c>
      <c r="F877" s="7" t="s">
        <v>764</v>
      </c>
      <c r="G877" s="7" t="s">
        <v>364</v>
      </c>
      <c r="H877" s="7" t="s">
        <v>365</v>
      </c>
      <c r="I877" s="7" t="s">
        <v>355</v>
      </c>
      <c r="J877" s="14"/>
      <c r="K877" s="14"/>
      <c r="O877" s="22"/>
      <c r="P877" s="22"/>
      <c r="Q877" s="23"/>
      <c r="R877" s="23"/>
      <c r="S877" s="14"/>
    </row>
    <row r="878" ht="18.75" customHeight="1">
      <c r="A878" s="7" t="s">
        <v>736</v>
      </c>
      <c r="B878" s="7" t="s">
        <v>3875</v>
      </c>
      <c r="C878" s="9">
        <v>162917.0</v>
      </c>
      <c r="D878" s="9">
        <v>0.0</v>
      </c>
      <c r="E878" s="9">
        <v>422.0</v>
      </c>
      <c r="F878" s="7" t="s">
        <v>737</v>
      </c>
      <c r="G878" s="7" t="s">
        <v>416</v>
      </c>
      <c r="H878" s="7" t="s">
        <v>466</v>
      </c>
      <c r="I878" s="7" t="s">
        <v>355</v>
      </c>
      <c r="J878" s="14"/>
      <c r="K878" s="14"/>
      <c r="O878" s="22"/>
      <c r="P878" s="22"/>
      <c r="Q878" s="23"/>
      <c r="R878" s="23"/>
      <c r="S878" s="14"/>
    </row>
    <row r="879" ht="18.75" customHeight="1">
      <c r="A879" s="7" t="s">
        <v>738</v>
      </c>
      <c r="B879" s="7" t="s">
        <v>3875</v>
      </c>
      <c r="C879" s="9">
        <v>167734.0</v>
      </c>
      <c r="D879" s="9">
        <v>0.0</v>
      </c>
      <c r="E879" s="9">
        <v>526.0</v>
      </c>
      <c r="F879" s="7" t="s">
        <v>739</v>
      </c>
      <c r="G879" s="7" t="s">
        <v>416</v>
      </c>
      <c r="H879" s="7" t="s">
        <v>466</v>
      </c>
      <c r="I879" s="7" t="s">
        <v>355</v>
      </c>
      <c r="J879" s="14"/>
      <c r="K879" s="14"/>
      <c r="O879" s="22"/>
      <c r="P879" s="22"/>
      <c r="Q879" s="23"/>
      <c r="R879" s="23"/>
      <c r="S879" s="14"/>
    </row>
    <row r="880" ht="18.75" customHeight="1">
      <c r="A880" s="7" t="s">
        <v>742</v>
      </c>
      <c r="B880" s="7" t="s">
        <v>3875</v>
      </c>
      <c r="C880" s="9">
        <v>158374.0</v>
      </c>
      <c r="D880" s="9">
        <v>0.0</v>
      </c>
      <c r="E880" s="9">
        <v>493.0</v>
      </c>
      <c r="F880" s="7" t="s">
        <v>743</v>
      </c>
      <c r="G880" s="7" t="s">
        <v>416</v>
      </c>
      <c r="H880" s="7" t="s">
        <v>466</v>
      </c>
      <c r="I880" s="7" t="s">
        <v>355</v>
      </c>
      <c r="J880" s="14"/>
      <c r="K880" s="14"/>
      <c r="O880" s="22"/>
      <c r="P880" s="22"/>
      <c r="Q880" s="23"/>
      <c r="R880" s="23"/>
      <c r="S880" s="14"/>
    </row>
    <row r="881" ht="18.75" customHeight="1">
      <c r="A881" s="7" t="s">
        <v>740</v>
      </c>
      <c r="B881" s="7" t="s">
        <v>3875</v>
      </c>
      <c r="C881" s="9">
        <v>214672.0</v>
      </c>
      <c r="D881" s="9">
        <v>0.0</v>
      </c>
      <c r="E881" s="9">
        <v>639.0</v>
      </c>
      <c r="F881" s="7" t="s">
        <v>741</v>
      </c>
      <c r="G881" s="7" t="s">
        <v>416</v>
      </c>
      <c r="H881" s="7" t="s">
        <v>466</v>
      </c>
      <c r="I881" s="7" t="s">
        <v>355</v>
      </c>
      <c r="J881" s="14"/>
      <c r="K881" s="14"/>
      <c r="O881" s="22"/>
      <c r="P881" s="22"/>
      <c r="Q881" s="23"/>
      <c r="R881" s="23"/>
      <c r="S881" s="14"/>
    </row>
    <row r="882" ht="18.75" customHeight="1">
      <c r="A882" s="7" t="s">
        <v>756</v>
      </c>
      <c r="B882" s="7" t="s">
        <v>3875</v>
      </c>
      <c r="C882" s="9">
        <v>61511.0</v>
      </c>
      <c r="D882" s="9">
        <v>0.0</v>
      </c>
      <c r="E882" s="9">
        <v>1385.0</v>
      </c>
      <c r="F882" s="7" t="s">
        <v>757</v>
      </c>
      <c r="G882" s="7" t="s">
        <v>364</v>
      </c>
      <c r="H882" s="7" t="s">
        <v>365</v>
      </c>
      <c r="I882" s="7" t="s">
        <v>355</v>
      </c>
      <c r="J882" s="14"/>
      <c r="K882" s="14"/>
      <c r="O882" s="22"/>
      <c r="P882" s="22"/>
      <c r="Q882" s="23"/>
      <c r="R882" s="23"/>
      <c r="S882" s="14"/>
    </row>
    <row r="883" ht="18.75" customHeight="1">
      <c r="A883" s="7" t="s">
        <v>668</v>
      </c>
      <c r="B883" s="7" t="s">
        <v>3875</v>
      </c>
      <c r="C883" s="9">
        <v>79943.0</v>
      </c>
      <c r="D883" s="9">
        <v>18080.0</v>
      </c>
      <c r="E883" s="9">
        <v>104.0</v>
      </c>
      <c r="F883" s="7" t="s">
        <v>669</v>
      </c>
      <c r="G883" s="7" t="s">
        <v>416</v>
      </c>
      <c r="H883" s="7" t="s">
        <v>417</v>
      </c>
      <c r="I883" s="7" t="s">
        <v>355</v>
      </c>
      <c r="J883" s="14"/>
      <c r="K883" s="14"/>
      <c r="O883" s="22"/>
      <c r="P883" s="22"/>
      <c r="Q883" s="23"/>
      <c r="R883" s="23"/>
      <c r="S883" s="14"/>
    </row>
    <row r="884" ht="18.75" customHeight="1">
      <c r="A884" s="7" t="s">
        <v>625</v>
      </c>
      <c r="B884" s="7" t="s">
        <v>3875</v>
      </c>
      <c r="C884" s="9">
        <v>389929.0</v>
      </c>
      <c r="D884" s="9">
        <v>0.0</v>
      </c>
      <c r="E884" s="9">
        <v>795.0</v>
      </c>
      <c r="F884" s="7" t="s">
        <v>626</v>
      </c>
      <c r="G884" s="7" t="s">
        <v>353</v>
      </c>
      <c r="H884" s="7" t="s">
        <v>354</v>
      </c>
      <c r="I884" s="7" t="s">
        <v>355</v>
      </c>
      <c r="J884" s="14"/>
      <c r="K884" s="14"/>
      <c r="O884" s="22"/>
      <c r="P884" s="22"/>
      <c r="Q884" s="23"/>
      <c r="R884" s="23"/>
      <c r="S884" s="14"/>
    </row>
    <row r="885" ht="18.75" customHeight="1">
      <c r="A885" s="7" t="s">
        <v>625</v>
      </c>
      <c r="B885" s="7" t="s">
        <v>3875</v>
      </c>
      <c r="C885" s="9">
        <v>899301.0</v>
      </c>
      <c r="D885" s="9">
        <v>0.0</v>
      </c>
      <c r="E885" s="9">
        <v>3102.0</v>
      </c>
      <c r="F885" s="7" t="s">
        <v>626</v>
      </c>
      <c r="G885" s="7" t="s">
        <v>353</v>
      </c>
      <c r="H885" s="7" t="s">
        <v>354</v>
      </c>
      <c r="I885" s="7" t="s">
        <v>355</v>
      </c>
      <c r="J885" s="14"/>
      <c r="K885" s="14"/>
      <c r="O885" s="22"/>
      <c r="P885" s="22"/>
      <c r="Q885" s="23"/>
      <c r="R885" s="23"/>
      <c r="S885" s="14"/>
    </row>
    <row r="886" ht="18.75" customHeight="1">
      <c r="A886" s="7" t="s">
        <v>670</v>
      </c>
      <c r="B886" s="7" t="s">
        <v>3875</v>
      </c>
      <c r="C886" s="9">
        <v>78867.0</v>
      </c>
      <c r="D886" s="9">
        <v>11596.0</v>
      </c>
      <c r="E886" s="9">
        <v>69.0</v>
      </c>
      <c r="F886" s="7" t="s">
        <v>671</v>
      </c>
      <c r="G886" s="7" t="s">
        <v>416</v>
      </c>
      <c r="H886" s="7" t="s">
        <v>417</v>
      </c>
      <c r="I886" s="7" t="s">
        <v>355</v>
      </c>
      <c r="J886" s="14"/>
      <c r="K886" s="14"/>
      <c r="O886" s="22"/>
      <c r="P886" s="22"/>
      <c r="Q886" s="23"/>
      <c r="R886" s="23"/>
      <c r="S886" s="14"/>
    </row>
    <row r="887" ht="18.75" customHeight="1">
      <c r="A887" s="7" t="s">
        <v>746</v>
      </c>
      <c r="B887" s="7" t="s">
        <v>3875</v>
      </c>
      <c r="C887" s="9">
        <v>36968.0</v>
      </c>
      <c r="D887" s="9">
        <v>0.0</v>
      </c>
      <c r="E887" s="9">
        <v>156.0</v>
      </c>
      <c r="F887" s="7" t="s">
        <v>747</v>
      </c>
      <c r="G887" s="7" t="s">
        <v>416</v>
      </c>
      <c r="H887" s="7" t="s">
        <v>417</v>
      </c>
      <c r="I887" s="7" t="s">
        <v>355</v>
      </c>
      <c r="J887" s="14"/>
      <c r="K887" s="14"/>
      <c r="O887" s="22"/>
      <c r="P887" s="22"/>
      <c r="Q887" s="23"/>
      <c r="R887" s="23"/>
      <c r="S887" s="14"/>
    </row>
    <row r="888" ht="18.75" customHeight="1">
      <c r="A888" s="7" t="s">
        <v>686</v>
      </c>
      <c r="B888" s="7" t="s">
        <v>3875</v>
      </c>
      <c r="C888" s="9">
        <v>281768.0</v>
      </c>
      <c r="D888" s="9">
        <v>18300.0</v>
      </c>
      <c r="E888" s="9">
        <v>119.0</v>
      </c>
      <c r="F888" s="7" t="s">
        <v>687</v>
      </c>
      <c r="G888" s="7" t="s">
        <v>473</v>
      </c>
      <c r="H888" s="7" t="s">
        <v>688</v>
      </c>
      <c r="I888" s="7" t="s">
        <v>355</v>
      </c>
      <c r="J888" s="14"/>
      <c r="K888" s="14"/>
      <c r="O888" s="22"/>
      <c r="P888" s="22"/>
      <c r="Q888" s="23"/>
      <c r="R888" s="23"/>
      <c r="S888" s="14"/>
    </row>
    <row r="889" ht="18.75" customHeight="1">
      <c r="A889" s="7" t="s">
        <v>775</v>
      </c>
      <c r="B889" s="7" t="s">
        <v>3875</v>
      </c>
      <c r="C889" s="9">
        <v>526607.0</v>
      </c>
      <c r="D889" s="9">
        <v>0.0</v>
      </c>
      <c r="E889" s="9">
        <v>10.0</v>
      </c>
      <c r="F889" s="7" t="s">
        <v>776</v>
      </c>
      <c r="G889" s="7" t="s">
        <v>358</v>
      </c>
      <c r="H889" s="7" t="s">
        <v>359</v>
      </c>
      <c r="I889" s="7" t="s">
        <v>355</v>
      </c>
      <c r="J889" s="14"/>
      <c r="K889" s="14"/>
      <c r="O889" s="22"/>
      <c r="P889" s="22"/>
      <c r="Q889" s="23"/>
      <c r="R889" s="23"/>
      <c r="S889" s="14"/>
    </row>
    <row r="890" ht="18.75" customHeight="1">
      <c r="A890" s="7" t="s">
        <v>529</v>
      </c>
      <c r="B890" s="7" t="s">
        <v>3875</v>
      </c>
      <c r="C890" s="9">
        <v>51680.0</v>
      </c>
      <c r="D890" s="9">
        <v>0.0</v>
      </c>
      <c r="E890" s="9">
        <v>405.0</v>
      </c>
      <c r="F890" s="7" t="s">
        <v>530</v>
      </c>
      <c r="G890" s="7" t="s">
        <v>358</v>
      </c>
      <c r="H890" s="7" t="s">
        <v>387</v>
      </c>
      <c r="I890" s="7" t="s">
        <v>355</v>
      </c>
      <c r="J890" s="14"/>
      <c r="K890" s="14"/>
      <c r="O890" s="22"/>
      <c r="P890" s="22"/>
      <c r="Q890" s="23"/>
      <c r="R890" s="23"/>
      <c r="S890" s="14"/>
    </row>
    <row r="891" ht="18.75" customHeight="1">
      <c r="A891" s="7" t="s">
        <v>529</v>
      </c>
      <c r="B891" s="7" t="s">
        <v>3875</v>
      </c>
      <c r="C891" s="9">
        <v>111260.0</v>
      </c>
      <c r="D891" s="9">
        <v>0.0</v>
      </c>
      <c r="E891" s="9">
        <v>111.0</v>
      </c>
      <c r="F891" s="7" t="s">
        <v>530</v>
      </c>
      <c r="G891" s="7" t="s">
        <v>358</v>
      </c>
      <c r="H891" s="7" t="s">
        <v>387</v>
      </c>
      <c r="I891" s="7" t="s">
        <v>355</v>
      </c>
      <c r="J891" s="14"/>
      <c r="K891" s="14"/>
      <c r="O891" s="22"/>
      <c r="P891" s="22"/>
      <c r="Q891" s="23"/>
      <c r="R891" s="23"/>
      <c r="S891" s="14"/>
    </row>
    <row r="892" ht="18.75" customHeight="1">
      <c r="A892" s="7" t="s">
        <v>529</v>
      </c>
      <c r="B892" s="7" t="s">
        <v>3875</v>
      </c>
      <c r="C892" s="9">
        <v>172740.0</v>
      </c>
      <c r="D892" s="9">
        <v>0.0</v>
      </c>
      <c r="E892" s="9">
        <v>593.0</v>
      </c>
      <c r="F892" s="7" t="s">
        <v>530</v>
      </c>
      <c r="G892" s="7" t="s">
        <v>358</v>
      </c>
      <c r="H892" s="7" t="s">
        <v>387</v>
      </c>
      <c r="I892" s="7" t="s">
        <v>355</v>
      </c>
      <c r="J892" s="14"/>
      <c r="K892" s="14"/>
      <c r="O892" s="22"/>
      <c r="P892" s="22"/>
      <c r="Q892" s="23"/>
      <c r="R892" s="23"/>
      <c r="S892" s="14"/>
    </row>
    <row r="893" ht="18.75" customHeight="1">
      <c r="A893" s="7" t="s">
        <v>719</v>
      </c>
      <c r="B893" s="7" t="s">
        <v>3875</v>
      </c>
      <c r="C893" s="9">
        <v>109386.0</v>
      </c>
      <c r="D893" s="9">
        <v>6196.0</v>
      </c>
      <c r="E893" s="9">
        <v>213.0</v>
      </c>
      <c r="F893" s="7" t="s">
        <v>720</v>
      </c>
      <c r="G893" s="7" t="s">
        <v>358</v>
      </c>
      <c r="H893" s="7" t="s">
        <v>466</v>
      </c>
      <c r="I893" s="7" t="s">
        <v>355</v>
      </c>
      <c r="J893" s="14"/>
      <c r="K893" s="14"/>
      <c r="O893" s="22"/>
      <c r="P893" s="22"/>
      <c r="Q893" s="23"/>
      <c r="R893" s="23"/>
      <c r="S893" s="14"/>
    </row>
    <row r="894" ht="18.75" customHeight="1">
      <c r="A894" s="7" t="s">
        <v>719</v>
      </c>
      <c r="B894" s="7" t="s">
        <v>3875</v>
      </c>
      <c r="C894" s="9">
        <v>91962.0</v>
      </c>
      <c r="D894" s="9">
        <v>13878.0</v>
      </c>
      <c r="E894" s="9">
        <v>252.0</v>
      </c>
      <c r="F894" s="7" t="s">
        <v>720</v>
      </c>
      <c r="G894" s="7" t="s">
        <v>358</v>
      </c>
      <c r="H894" s="7" t="s">
        <v>466</v>
      </c>
      <c r="I894" s="7" t="s">
        <v>355</v>
      </c>
      <c r="J894" s="14"/>
      <c r="K894" s="14"/>
      <c r="O894" s="22"/>
      <c r="P894" s="22"/>
      <c r="Q894" s="23"/>
      <c r="R894" s="23"/>
      <c r="S894" s="14"/>
    </row>
    <row r="895" ht="18.75" customHeight="1">
      <c r="A895" s="7" t="s">
        <v>779</v>
      </c>
      <c r="B895" s="7" t="s">
        <v>3875</v>
      </c>
      <c r="C895" s="9">
        <v>215805.0</v>
      </c>
      <c r="D895" s="9">
        <v>0.0</v>
      </c>
      <c r="E895" s="9">
        <v>914.0</v>
      </c>
      <c r="F895" s="7" t="s">
        <v>780</v>
      </c>
      <c r="G895" s="7" t="s">
        <v>416</v>
      </c>
      <c r="H895" s="7" t="s">
        <v>354</v>
      </c>
      <c r="I895" s="7" t="s">
        <v>355</v>
      </c>
      <c r="J895" s="14"/>
      <c r="K895" s="14"/>
      <c r="O895" s="22"/>
      <c r="P895" s="22"/>
      <c r="Q895" s="23"/>
      <c r="R895" s="23"/>
      <c r="S895" s="14"/>
    </row>
    <row r="896" ht="18.75" customHeight="1">
      <c r="A896" s="7" t="s">
        <v>790</v>
      </c>
      <c r="B896" s="7" t="s">
        <v>3875</v>
      </c>
      <c r="C896" s="9">
        <v>137194.0</v>
      </c>
      <c r="D896" s="9">
        <v>7000.0</v>
      </c>
      <c r="E896" s="9">
        <v>4.0</v>
      </c>
      <c r="F896" s="7" t="s">
        <v>791</v>
      </c>
      <c r="G896" s="7" t="s">
        <v>404</v>
      </c>
      <c r="H896" s="7" t="s">
        <v>405</v>
      </c>
      <c r="I896" s="7" t="s">
        <v>355</v>
      </c>
      <c r="J896" s="14"/>
      <c r="K896" s="14"/>
      <c r="O896" s="22"/>
      <c r="P896" s="22"/>
      <c r="Q896" s="23"/>
      <c r="R896" s="23"/>
      <c r="S896" s="14"/>
    </row>
    <row r="897" ht="18.75" customHeight="1">
      <c r="A897" s="7" t="s">
        <v>790</v>
      </c>
      <c r="B897" s="7" t="s">
        <v>3875</v>
      </c>
      <c r="C897" s="9">
        <v>70684.0</v>
      </c>
      <c r="D897" s="9">
        <v>8843.0</v>
      </c>
      <c r="E897" s="9">
        <v>2.0</v>
      </c>
      <c r="F897" s="7" t="s">
        <v>791</v>
      </c>
      <c r="G897" s="7" t="s">
        <v>404</v>
      </c>
      <c r="H897" s="7" t="s">
        <v>405</v>
      </c>
      <c r="I897" s="7" t="s">
        <v>355</v>
      </c>
      <c r="J897" s="14"/>
      <c r="K897" s="14"/>
      <c r="O897" s="22"/>
      <c r="P897" s="22"/>
      <c r="Q897" s="23"/>
      <c r="R897" s="23"/>
      <c r="S897" s="14"/>
    </row>
    <row r="898" ht="18.75" customHeight="1">
      <c r="A898" s="7" t="s">
        <v>651</v>
      </c>
      <c r="B898" s="7" t="s">
        <v>3875</v>
      </c>
      <c r="C898" s="9">
        <v>424134.0</v>
      </c>
      <c r="D898" s="9">
        <v>0.0</v>
      </c>
      <c r="E898" s="9">
        <v>1707.0</v>
      </c>
      <c r="F898" s="7" t="s">
        <v>652</v>
      </c>
      <c r="G898" s="7" t="s">
        <v>353</v>
      </c>
      <c r="H898" s="7" t="s">
        <v>378</v>
      </c>
      <c r="I898" s="7" t="s">
        <v>355</v>
      </c>
      <c r="J898" s="14"/>
      <c r="K898" s="14"/>
      <c r="O898" s="22"/>
      <c r="P898" s="22"/>
      <c r="Q898" s="23"/>
      <c r="R898" s="23"/>
      <c r="S898" s="14"/>
    </row>
    <row r="899" ht="18.75" customHeight="1">
      <c r="A899" s="7" t="s">
        <v>651</v>
      </c>
      <c r="B899" s="7" t="s">
        <v>3875</v>
      </c>
      <c r="C899" s="9">
        <v>727015.0</v>
      </c>
      <c r="D899" s="9">
        <v>0.0</v>
      </c>
      <c r="E899" s="9">
        <v>1731.0</v>
      </c>
      <c r="F899" s="7" t="s">
        <v>652</v>
      </c>
      <c r="G899" s="7" t="s">
        <v>353</v>
      </c>
      <c r="H899" s="7" t="s">
        <v>378</v>
      </c>
      <c r="I899" s="7" t="s">
        <v>355</v>
      </c>
      <c r="J899" s="14"/>
      <c r="K899" s="14"/>
      <c r="O899" s="22"/>
      <c r="P899" s="22"/>
      <c r="Q899" s="23"/>
      <c r="R899" s="23"/>
      <c r="S899" s="14"/>
    </row>
    <row r="900" ht="18.75" customHeight="1">
      <c r="A900" s="7" t="s">
        <v>786</v>
      </c>
      <c r="B900" s="7" t="s">
        <v>3875</v>
      </c>
      <c r="C900" s="9">
        <v>157566.0</v>
      </c>
      <c r="D900" s="9">
        <v>0.0</v>
      </c>
      <c r="E900" s="9">
        <v>163.0</v>
      </c>
      <c r="F900" s="7" t="s">
        <v>787</v>
      </c>
      <c r="G900" s="7" t="s">
        <v>416</v>
      </c>
      <c r="H900" s="7" t="s">
        <v>667</v>
      </c>
      <c r="I900" s="7" t="s">
        <v>355</v>
      </c>
      <c r="J900" s="14"/>
      <c r="K900" s="14"/>
      <c r="O900" s="22"/>
      <c r="P900" s="22"/>
      <c r="Q900" s="23"/>
      <c r="R900" s="23"/>
      <c r="S900" s="14"/>
    </row>
    <row r="901" ht="18.75" customHeight="1">
      <c r="A901" s="7" t="s">
        <v>621</v>
      </c>
      <c r="B901" s="7" t="s">
        <v>3875</v>
      </c>
      <c r="C901" s="9">
        <v>89897.0</v>
      </c>
      <c r="D901" s="9">
        <v>0.0</v>
      </c>
      <c r="E901" s="9">
        <v>269.0</v>
      </c>
      <c r="F901" s="7" t="s">
        <v>622</v>
      </c>
      <c r="G901" s="7" t="s">
        <v>353</v>
      </c>
      <c r="H901" s="7" t="s">
        <v>354</v>
      </c>
      <c r="I901" s="7" t="s">
        <v>355</v>
      </c>
      <c r="J901" s="14"/>
      <c r="K901" s="14"/>
      <c r="O901" s="22"/>
      <c r="P901" s="22"/>
      <c r="Q901" s="23"/>
      <c r="R901" s="23"/>
      <c r="S901" s="14"/>
    </row>
    <row r="902" ht="18.75" customHeight="1">
      <c r="A902" s="7" t="s">
        <v>788</v>
      </c>
      <c r="B902" s="7" t="s">
        <v>3875</v>
      </c>
      <c r="C902" s="9">
        <v>105799.0</v>
      </c>
      <c r="D902" s="9">
        <v>0.0</v>
      </c>
      <c r="E902" s="9">
        <v>399.0</v>
      </c>
      <c r="F902" s="7" t="s">
        <v>789</v>
      </c>
      <c r="G902" s="7" t="s">
        <v>416</v>
      </c>
      <c r="H902" s="7" t="s">
        <v>594</v>
      </c>
      <c r="I902" s="7" t="s">
        <v>355</v>
      </c>
      <c r="J902" s="14"/>
      <c r="K902" s="14"/>
      <c r="O902" s="22"/>
      <c r="P902" s="22"/>
      <c r="Q902" s="23"/>
      <c r="R902" s="23"/>
      <c r="S902" s="14"/>
    </row>
    <row r="903" ht="18.75" customHeight="1">
      <c r="A903" s="7" t="s">
        <v>689</v>
      </c>
      <c r="B903" s="7" t="s">
        <v>3875</v>
      </c>
      <c r="C903" s="9">
        <v>127341.0</v>
      </c>
      <c r="D903" s="9">
        <v>0.0</v>
      </c>
      <c r="E903" s="9">
        <v>356.0</v>
      </c>
      <c r="F903" s="7" t="s">
        <v>690</v>
      </c>
      <c r="G903" s="7" t="s">
        <v>353</v>
      </c>
      <c r="H903" s="7" t="s">
        <v>378</v>
      </c>
      <c r="I903" s="7" t="s">
        <v>355</v>
      </c>
      <c r="J903" s="14"/>
      <c r="K903" s="14"/>
      <c r="O903" s="22"/>
      <c r="P903" s="22"/>
      <c r="Q903" s="23"/>
      <c r="R903" s="23"/>
      <c r="S903" s="14"/>
    </row>
    <row r="904" ht="18.75" customHeight="1">
      <c r="A904" s="7" t="s">
        <v>689</v>
      </c>
      <c r="B904" s="7" t="s">
        <v>3875</v>
      </c>
      <c r="C904" s="9">
        <v>140260.0</v>
      </c>
      <c r="D904" s="9">
        <v>0.0</v>
      </c>
      <c r="E904" s="9">
        <v>158.0</v>
      </c>
      <c r="F904" s="7" t="s">
        <v>690</v>
      </c>
      <c r="G904" s="7" t="s">
        <v>353</v>
      </c>
      <c r="H904" s="7" t="s">
        <v>378</v>
      </c>
      <c r="I904" s="7" t="s">
        <v>355</v>
      </c>
      <c r="J904" s="14"/>
      <c r="K904" s="14"/>
      <c r="O904" s="22"/>
      <c r="P904" s="22"/>
      <c r="Q904" s="23"/>
      <c r="R904" s="23"/>
      <c r="S904" s="14"/>
    </row>
    <row r="905" ht="18.75" customHeight="1">
      <c r="A905" s="7" t="s">
        <v>705</v>
      </c>
      <c r="B905" s="7" t="s">
        <v>3875</v>
      </c>
      <c r="C905" s="9">
        <v>75843.0</v>
      </c>
      <c r="D905" s="9">
        <v>0.0</v>
      </c>
      <c r="E905" s="9">
        <v>1.0</v>
      </c>
      <c r="F905" s="7" t="s">
        <v>706</v>
      </c>
      <c r="G905" s="7" t="s">
        <v>358</v>
      </c>
      <c r="H905" s="7" t="s">
        <v>359</v>
      </c>
      <c r="I905" s="7" t="s">
        <v>355</v>
      </c>
      <c r="J905" s="14"/>
      <c r="K905" s="14"/>
      <c r="O905" s="22"/>
      <c r="P905" s="22"/>
      <c r="Q905" s="23"/>
      <c r="R905" s="23"/>
      <c r="S905" s="14"/>
    </row>
    <row r="906" ht="18.75" customHeight="1">
      <c r="A906" s="7" t="s">
        <v>802</v>
      </c>
      <c r="B906" s="7" t="s">
        <v>3875</v>
      </c>
      <c r="C906" s="9">
        <v>29592.0</v>
      </c>
      <c r="D906" s="9">
        <v>11852.0</v>
      </c>
      <c r="E906" s="9">
        <v>1064.0</v>
      </c>
      <c r="F906" s="7" t="s">
        <v>803</v>
      </c>
      <c r="G906" s="7" t="s">
        <v>416</v>
      </c>
      <c r="H906" s="7" t="s">
        <v>417</v>
      </c>
      <c r="I906" s="7" t="s">
        <v>355</v>
      </c>
      <c r="J906" s="14"/>
      <c r="K906" s="14"/>
      <c r="O906" s="22"/>
      <c r="P906" s="22"/>
      <c r="Q906" s="23"/>
      <c r="R906" s="23"/>
      <c r="S906" s="14"/>
    </row>
    <row r="907" ht="18.75" customHeight="1">
      <c r="A907" s="7" t="s">
        <v>781</v>
      </c>
      <c r="B907" s="7" t="s">
        <v>3875</v>
      </c>
      <c r="C907" s="9">
        <v>622389.0</v>
      </c>
      <c r="D907" s="9">
        <v>0.0</v>
      </c>
      <c r="E907" s="9">
        <v>1013.0</v>
      </c>
      <c r="F907" s="7" t="s">
        <v>782</v>
      </c>
      <c r="G907" s="7" t="s">
        <v>416</v>
      </c>
      <c r="H907" s="7" t="s">
        <v>783</v>
      </c>
      <c r="I907" s="7" t="s">
        <v>355</v>
      </c>
      <c r="J907" s="14"/>
      <c r="K907" s="14"/>
      <c r="O907" s="22"/>
      <c r="P907" s="22"/>
      <c r="Q907" s="23"/>
      <c r="R907" s="23"/>
      <c r="S907" s="14"/>
    </row>
    <row r="908" ht="18.75" customHeight="1">
      <c r="A908" s="7" t="s">
        <v>798</v>
      </c>
      <c r="B908" s="7" t="s">
        <v>3875</v>
      </c>
      <c r="C908" s="9">
        <v>111946.0</v>
      </c>
      <c r="D908" s="9">
        <v>0.0</v>
      </c>
      <c r="E908" s="9">
        <v>120.0</v>
      </c>
      <c r="F908" s="7" t="s">
        <v>799</v>
      </c>
      <c r="G908" s="7" t="s">
        <v>416</v>
      </c>
      <c r="H908" s="7" t="s">
        <v>466</v>
      </c>
      <c r="I908" s="7" t="s">
        <v>355</v>
      </c>
      <c r="J908" s="14"/>
      <c r="K908" s="14"/>
      <c r="O908" s="22"/>
      <c r="P908" s="22"/>
      <c r="Q908" s="23"/>
      <c r="R908" s="23"/>
      <c r="S908" s="14"/>
    </row>
    <row r="909" ht="18.75" customHeight="1">
      <c r="A909" s="7" t="s">
        <v>800</v>
      </c>
      <c r="B909" s="7" t="s">
        <v>3875</v>
      </c>
      <c r="C909" s="9">
        <v>78994.0</v>
      </c>
      <c r="D909" s="9">
        <v>0.0</v>
      </c>
      <c r="E909" s="9">
        <v>212.0</v>
      </c>
      <c r="F909" s="7" t="s">
        <v>801</v>
      </c>
      <c r="G909" s="7" t="s">
        <v>416</v>
      </c>
      <c r="H909" s="7" t="s">
        <v>466</v>
      </c>
      <c r="I909" s="7" t="s">
        <v>355</v>
      </c>
      <c r="J909" s="14"/>
      <c r="K909" s="14"/>
      <c r="O909" s="22"/>
      <c r="P909" s="22"/>
      <c r="Q909" s="23"/>
      <c r="R909" s="23"/>
      <c r="S909" s="14"/>
    </row>
    <row r="910" ht="18.75" customHeight="1">
      <c r="A910" s="7" t="s">
        <v>796</v>
      </c>
      <c r="B910" s="7" t="s">
        <v>3875</v>
      </c>
      <c r="C910" s="9">
        <v>75286.0</v>
      </c>
      <c r="D910" s="9">
        <v>0.0</v>
      </c>
      <c r="E910" s="9">
        <v>262.0</v>
      </c>
      <c r="F910" s="7" t="s">
        <v>797</v>
      </c>
      <c r="G910" s="7" t="s">
        <v>416</v>
      </c>
      <c r="H910" s="7" t="s">
        <v>466</v>
      </c>
      <c r="I910" s="7" t="s">
        <v>355</v>
      </c>
      <c r="J910" s="14"/>
      <c r="K910" s="14"/>
      <c r="O910" s="22"/>
      <c r="P910" s="22"/>
      <c r="Q910" s="23"/>
      <c r="R910" s="23"/>
      <c r="S910" s="14"/>
    </row>
    <row r="911" ht="18.75" customHeight="1">
      <c r="A911" s="7" t="s">
        <v>806</v>
      </c>
      <c r="B911" s="7" t="s">
        <v>3875</v>
      </c>
      <c r="C911" s="9">
        <v>437354.0</v>
      </c>
      <c r="D911" s="9">
        <v>17466.0</v>
      </c>
      <c r="E911" s="9">
        <v>7.0</v>
      </c>
      <c r="F911" s="7" t="s">
        <v>807</v>
      </c>
      <c r="G911" s="7" t="s">
        <v>358</v>
      </c>
      <c r="H911" s="7" t="s">
        <v>808</v>
      </c>
      <c r="I911" s="7" t="s">
        <v>355</v>
      </c>
      <c r="J911" s="14"/>
      <c r="K911" s="14"/>
      <c r="O911" s="22"/>
      <c r="P911" s="22"/>
      <c r="Q911" s="23"/>
      <c r="R911" s="23"/>
      <c r="S911" s="14"/>
    </row>
    <row r="912" ht="18.75" customHeight="1">
      <c r="A912" s="7" t="s">
        <v>794</v>
      </c>
      <c r="B912" s="7" t="s">
        <v>3875</v>
      </c>
      <c r="C912" s="9">
        <v>70826.0</v>
      </c>
      <c r="D912" s="9">
        <v>0.0</v>
      </c>
      <c r="E912" s="9">
        <v>149.0</v>
      </c>
      <c r="F912" s="7" t="s">
        <v>795</v>
      </c>
      <c r="G912" s="7" t="s">
        <v>416</v>
      </c>
      <c r="H912" s="7" t="s">
        <v>466</v>
      </c>
      <c r="I912" s="7" t="s">
        <v>355</v>
      </c>
      <c r="J912" s="14"/>
      <c r="K912" s="14"/>
      <c r="O912" s="22"/>
      <c r="P912" s="22"/>
      <c r="Q912" s="23"/>
      <c r="R912" s="23"/>
      <c r="S912" s="14"/>
    </row>
    <row r="913" ht="18.75" customHeight="1">
      <c r="A913" s="7" t="s">
        <v>767</v>
      </c>
      <c r="B913" s="7" t="s">
        <v>3875</v>
      </c>
      <c r="C913" s="9">
        <v>77263.0</v>
      </c>
      <c r="D913" s="9">
        <v>4709.0</v>
      </c>
      <c r="E913" s="9">
        <v>139.0</v>
      </c>
      <c r="F913" s="7" t="s">
        <v>768</v>
      </c>
      <c r="G913" s="7" t="s">
        <v>358</v>
      </c>
      <c r="H913" s="7" t="s">
        <v>466</v>
      </c>
      <c r="I913" s="7" t="s">
        <v>355</v>
      </c>
      <c r="J913" s="14"/>
      <c r="K913" s="14"/>
      <c r="O913" s="22"/>
      <c r="P913" s="22"/>
      <c r="Q913" s="23"/>
      <c r="R913" s="23"/>
      <c r="S913" s="14"/>
    </row>
    <row r="914" ht="18.75" customHeight="1">
      <c r="A914" s="7" t="s">
        <v>767</v>
      </c>
      <c r="B914" s="7" t="s">
        <v>3875</v>
      </c>
      <c r="C914" s="9">
        <v>79629.0</v>
      </c>
      <c r="D914" s="9">
        <v>6220.0</v>
      </c>
      <c r="E914" s="9">
        <v>116.0</v>
      </c>
      <c r="F914" s="7" t="s">
        <v>768</v>
      </c>
      <c r="G914" s="7" t="s">
        <v>358</v>
      </c>
      <c r="H914" s="7" t="s">
        <v>466</v>
      </c>
      <c r="I914" s="7" t="s">
        <v>355</v>
      </c>
      <c r="J914" s="14"/>
      <c r="K914" s="14"/>
      <c r="O914" s="22"/>
      <c r="P914" s="22"/>
      <c r="Q914" s="23"/>
      <c r="R914" s="23"/>
      <c r="S914" s="14"/>
    </row>
    <row r="915" ht="18.75" customHeight="1">
      <c r="A915" s="7" t="s">
        <v>792</v>
      </c>
      <c r="B915" s="7" t="s">
        <v>3875</v>
      </c>
      <c r="C915" s="9">
        <v>222504.0</v>
      </c>
      <c r="D915" s="9">
        <v>0.0</v>
      </c>
      <c r="E915" s="9">
        <v>279.0</v>
      </c>
      <c r="F915" s="7" t="s">
        <v>793</v>
      </c>
      <c r="G915" s="7" t="s">
        <v>364</v>
      </c>
      <c r="H915" s="7" t="s">
        <v>365</v>
      </c>
      <c r="I915" s="7" t="s">
        <v>355</v>
      </c>
      <c r="J915" s="14"/>
      <c r="K915" s="14"/>
      <c r="O915" s="22"/>
      <c r="P915" s="22"/>
      <c r="Q915" s="23"/>
      <c r="R915" s="23"/>
      <c r="S915" s="14"/>
    </row>
    <row r="916" ht="18.75" customHeight="1">
      <c r="A916" s="7" t="s">
        <v>792</v>
      </c>
      <c r="B916" s="7" t="s">
        <v>3875</v>
      </c>
      <c r="C916" s="9">
        <v>268500.0</v>
      </c>
      <c r="D916" s="9">
        <v>0.0</v>
      </c>
      <c r="E916" s="9">
        <v>448.0</v>
      </c>
      <c r="F916" s="7" t="s">
        <v>793</v>
      </c>
      <c r="G916" s="7" t="s">
        <v>364</v>
      </c>
      <c r="H916" s="7" t="s">
        <v>365</v>
      </c>
      <c r="I916" s="7" t="s">
        <v>355</v>
      </c>
      <c r="J916" s="14"/>
      <c r="K916" s="14"/>
      <c r="O916" s="22"/>
      <c r="P916" s="22"/>
      <c r="Q916" s="23"/>
      <c r="R916" s="23"/>
      <c r="S916" s="14"/>
    </row>
    <row r="917" ht="18.75" customHeight="1">
      <c r="A917" s="7" t="s">
        <v>804</v>
      </c>
      <c r="B917" s="7" t="s">
        <v>3875</v>
      </c>
      <c r="C917" s="9">
        <v>32785.0</v>
      </c>
      <c r="D917" s="9">
        <v>0.0</v>
      </c>
      <c r="E917" s="9">
        <v>162.0</v>
      </c>
      <c r="F917" s="7" t="s">
        <v>805</v>
      </c>
      <c r="G917" s="7" t="s">
        <v>416</v>
      </c>
      <c r="H917" s="7" t="s">
        <v>594</v>
      </c>
      <c r="I917" s="7" t="s">
        <v>355</v>
      </c>
      <c r="J917" s="14"/>
      <c r="K917" s="14"/>
      <c r="O917" s="22"/>
      <c r="P917" s="22"/>
      <c r="Q917" s="23"/>
      <c r="R917" s="23"/>
      <c r="S917" s="14"/>
    </row>
    <row r="918" ht="18.75" customHeight="1">
      <c r="A918" s="7" t="s">
        <v>701</v>
      </c>
      <c r="B918" s="7" t="s">
        <v>3875</v>
      </c>
      <c r="C918" s="9">
        <v>24475.0</v>
      </c>
      <c r="D918" s="9">
        <v>0.0</v>
      </c>
      <c r="E918" s="9">
        <v>70.0</v>
      </c>
      <c r="F918" s="7" t="s">
        <v>702</v>
      </c>
      <c r="G918" s="7" t="s">
        <v>353</v>
      </c>
      <c r="H918" s="7" t="s">
        <v>378</v>
      </c>
      <c r="I918" s="7" t="s">
        <v>355</v>
      </c>
      <c r="J918" s="14"/>
      <c r="K918" s="14"/>
      <c r="O918" s="22"/>
      <c r="P918" s="22"/>
      <c r="Q918" s="23"/>
      <c r="R918" s="23"/>
      <c r="S918" s="14"/>
    </row>
    <row r="919" ht="18.75" customHeight="1">
      <c r="A919" s="7" t="s">
        <v>701</v>
      </c>
      <c r="B919" s="7" t="s">
        <v>3875</v>
      </c>
      <c r="C919" s="9">
        <v>114159.0</v>
      </c>
      <c r="D919" s="9">
        <v>0.0</v>
      </c>
      <c r="E919" s="9">
        <v>157.0</v>
      </c>
      <c r="F919" s="7" t="s">
        <v>702</v>
      </c>
      <c r="G919" s="7" t="s">
        <v>353</v>
      </c>
      <c r="H919" s="7" t="s">
        <v>378</v>
      </c>
      <c r="I919" s="7" t="s">
        <v>355</v>
      </c>
      <c r="J919" s="14"/>
      <c r="K919" s="14"/>
      <c r="O919" s="22"/>
      <c r="P919" s="22"/>
      <c r="Q919" s="23"/>
      <c r="R919" s="23"/>
      <c r="S919" s="14"/>
    </row>
    <row r="920" ht="18.75" customHeight="1">
      <c r="A920" s="7" t="s">
        <v>784</v>
      </c>
      <c r="B920" s="7" t="s">
        <v>3875</v>
      </c>
      <c r="C920" s="9">
        <v>63050.0</v>
      </c>
      <c r="D920" s="9">
        <v>0.0</v>
      </c>
      <c r="E920" s="9">
        <v>194.0</v>
      </c>
      <c r="F920" s="7" t="s">
        <v>785</v>
      </c>
      <c r="G920" s="7" t="s">
        <v>416</v>
      </c>
      <c r="H920" s="7" t="s">
        <v>378</v>
      </c>
      <c r="I920" s="7" t="s">
        <v>355</v>
      </c>
      <c r="J920" s="14"/>
      <c r="K920" s="14"/>
      <c r="O920" s="22"/>
      <c r="P920" s="22"/>
      <c r="Q920" s="23"/>
      <c r="R920" s="23"/>
      <c r="S920" s="14"/>
    </row>
    <row r="921" ht="18.75" customHeight="1">
      <c r="A921" s="7" t="s">
        <v>529</v>
      </c>
      <c r="B921" s="7" t="s">
        <v>3875</v>
      </c>
      <c r="C921" s="9">
        <v>7908.0</v>
      </c>
      <c r="D921" s="9">
        <v>0.0</v>
      </c>
      <c r="E921" s="9">
        <v>18.0</v>
      </c>
      <c r="F921" s="7" t="s">
        <v>530</v>
      </c>
      <c r="G921" s="7" t="s">
        <v>358</v>
      </c>
      <c r="H921" s="7" t="s">
        <v>387</v>
      </c>
      <c r="I921" s="7" t="s">
        <v>355</v>
      </c>
      <c r="J921" s="14"/>
      <c r="K921" s="14"/>
      <c r="O921" s="22"/>
      <c r="P921" s="22"/>
      <c r="Q921" s="23"/>
      <c r="R921" s="23"/>
      <c r="S921" s="14"/>
    </row>
    <row r="922" ht="18.75" customHeight="1">
      <c r="A922" s="7" t="s">
        <v>529</v>
      </c>
      <c r="B922" s="7" t="s">
        <v>3875</v>
      </c>
      <c r="C922" s="9">
        <v>37730.0</v>
      </c>
      <c r="D922" s="9">
        <v>0.0</v>
      </c>
      <c r="E922" s="9">
        <v>95.0</v>
      </c>
      <c r="F922" s="7" t="s">
        <v>530</v>
      </c>
      <c r="G922" s="7" t="s">
        <v>358</v>
      </c>
      <c r="H922" s="7" t="s">
        <v>387</v>
      </c>
      <c r="I922" s="7" t="s">
        <v>355</v>
      </c>
      <c r="J922" s="14"/>
      <c r="K922" s="14"/>
      <c r="O922" s="22"/>
      <c r="P922" s="22"/>
      <c r="Q922" s="23"/>
      <c r="R922" s="23"/>
      <c r="S922" s="14"/>
    </row>
    <row r="923" ht="18.75" customHeight="1">
      <c r="A923" s="7" t="s">
        <v>769</v>
      </c>
      <c r="B923" s="7" t="s">
        <v>3875</v>
      </c>
      <c r="C923" s="9">
        <v>111907.0</v>
      </c>
      <c r="D923" s="9">
        <v>2593.0</v>
      </c>
      <c r="E923" s="9">
        <v>186.0</v>
      </c>
      <c r="F923" s="7" t="s">
        <v>770</v>
      </c>
      <c r="G923" s="7" t="s">
        <v>404</v>
      </c>
      <c r="H923" s="7" t="s">
        <v>405</v>
      </c>
      <c r="I923" s="7" t="s">
        <v>355</v>
      </c>
      <c r="J923" s="14"/>
      <c r="K923" s="14"/>
      <c r="O923" s="22"/>
      <c r="P923" s="22"/>
      <c r="Q923" s="23"/>
      <c r="R923" s="23"/>
      <c r="S923" s="14"/>
    </row>
    <row r="924" ht="18.75" customHeight="1">
      <c r="A924" s="7" t="s">
        <v>769</v>
      </c>
      <c r="B924" s="7" t="s">
        <v>3875</v>
      </c>
      <c r="C924" s="9">
        <v>0.0</v>
      </c>
      <c r="D924" s="9">
        <v>0.0</v>
      </c>
      <c r="E924" s="9">
        <v>0.0</v>
      </c>
      <c r="F924" s="7" t="s">
        <v>770</v>
      </c>
      <c r="G924" s="7" t="s">
        <v>404</v>
      </c>
      <c r="H924" s="7" t="s">
        <v>405</v>
      </c>
      <c r="I924" s="7" t="s">
        <v>355</v>
      </c>
      <c r="J924" s="14"/>
      <c r="K924" s="14"/>
      <c r="O924" s="22"/>
      <c r="P924" s="22"/>
      <c r="Q924" s="23"/>
      <c r="R924" s="23"/>
      <c r="S924" s="14"/>
    </row>
    <row r="925" ht="18.75" customHeight="1">
      <c r="A925" s="7" t="s">
        <v>769</v>
      </c>
      <c r="B925" s="7" t="s">
        <v>3875</v>
      </c>
      <c r="C925" s="9">
        <v>0.0</v>
      </c>
      <c r="D925" s="9">
        <v>0.0</v>
      </c>
      <c r="E925" s="9">
        <v>0.0</v>
      </c>
      <c r="F925" s="7" t="s">
        <v>770</v>
      </c>
      <c r="G925" s="7" t="s">
        <v>404</v>
      </c>
      <c r="H925" s="7" t="s">
        <v>405</v>
      </c>
      <c r="I925" s="7" t="s">
        <v>355</v>
      </c>
      <c r="J925" s="14"/>
      <c r="K925" s="14"/>
      <c r="O925" s="22"/>
      <c r="P925" s="22"/>
      <c r="Q925" s="23"/>
      <c r="R925" s="23"/>
      <c r="S925" s="14"/>
    </row>
    <row r="926" ht="18.75" customHeight="1">
      <c r="A926" s="7" t="s">
        <v>726</v>
      </c>
      <c r="B926" s="7" t="s">
        <v>3875</v>
      </c>
      <c r="C926" s="9">
        <v>87055.0</v>
      </c>
      <c r="D926" s="9">
        <v>14291.0</v>
      </c>
      <c r="E926" s="9">
        <v>134.0</v>
      </c>
      <c r="F926" s="7" t="s">
        <v>727</v>
      </c>
      <c r="G926" s="7" t="s">
        <v>416</v>
      </c>
      <c r="H926" s="7" t="s">
        <v>417</v>
      </c>
      <c r="I926" s="7" t="s">
        <v>355</v>
      </c>
      <c r="J926" s="14"/>
      <c r="K926" s="14"/>
      <c r="O926" s="22"/>
      <c r="P926" s="22"/>
      <c r="Q926" s="23"/>
      <c r="R926" s="23"/>
      <c r="S926" s="14"/>
    </row>
    <row r="927" ht="18.75" customHeight="1">
      <c r="A927" s="7" t="s">
        <v>821</v>
      </c>
      <c r="B927" s="7" t="s">
        <v>3875</v>
      </c>
      <c r="C927" s="9">
        <v>160102.0</v>
      </c>
      <c r="D927" s="9">
        <v>0.0</v>
      </c>
      <c r="E927" s="9">
        <v>330.0</v>
      </c>
      <c r="F927" s="7" t="s">
        <v>822</v>
      </c>
      <c r="G927" s="7" t="s">
        <v>416</v>
      </c>
      <c r="H927" s="7" t="s">
        <v>725</v>
      </c>
      <c r="I927" s="7" t="s">
        <v>355</v>
      </c>
      <c r="J927" s="14"/>
      <c r="K927" s="14"/>
      <c r="O927" s="22"/>
      <c r="P927" s="22"/>
      <c r="Q927" s="23"/>
      <c r="R927" s="23"/>
      <c r="S927" s="14"/>
    </row>
    <row r="928" ht="18.75" customHeight="1">
      <c r="A928" s="7" t="s">
        <v>817</v>
      </c>
      <c r="B928" s="7" t="s">
        <v>3875</v>
      </c>
      <c r="C928" s="9">
        <v>98055.0</v>
      </c>
      <c r="D928" s="9">
        <v>0.0</v>
      </c>
      <c r="E928" s="9">
        <v>122.0</v>
      </c>
      <c r="F928" s="7" t="s">
        <v>818</v>
      </c>
      <c r="G928" s="7" t="s">
        <v>364</v>
      </c>
      <c r="H928" s="7" t="s">
        <v>365</v>
      </c>
      <c r="I928" s="7" t="s">
        <v>355</v>
      </c>
      <c r="J928" s="14"/>
      <c r="K928" s="14"/>
      <c r="O928" s="22"/>
      <c r="P928" s="22"/>
      <c r="Q928" s="23"/>
      <c r="R928" s="23"/>
      <c r="S928" s="14"/>
    </row>
    <row r="929" ht="18.75" customHeight="1">
      <c r="A929" s="7" t="s">
        <v>817</v>
      </c>
      <c r="B929" s="7" t="s">
        <v>3875</v>
      </c>
      <c r="C929" s="9">
        <v>39557.0</v>
      </c>
      <c r="D929" s="9">
        <v>0.0</v>
      </c>
      <c r="E929" s="9">
        <v>157.0</v>
      </c>
      <c r="F929" s="7" t="s">
        <v>818</v>
      </c>
      <c r="G929" s="7" t="s">
        <v>364</v>
      </c>
      <c r="H929" s="7" t="s">
        <v>365</v>
      </c>
      <c r="I929" s="7" t="s">
        <v>355</v>
      </c>
      <c r="J929" s="14"/>
      <c r="K929" s="14"/>
      <c r="O929" s="22"/>
      <c r="P929" s="22"/>
      <c r="Q929" s="23"/>
      <c r="R929" s="23"/>
      <c r="S929" s="14"/>
    </row>
    <row r="930" ht="18.75" customHeight="1">
      <c r="A930" s="7" t="s">
        <v>758</v>
      </c>
      <c r="B930" s="7" t="s">
        <v>3875</v>
      </c>
      <c r="C930" s="9">
        <v>126492.0</v>
      </c>
      <c r="D930" s="9">
        <v>6070.0</v>
      </c>
      <c r="E930" s="9">
        <v>210.0</v>
      </c>
      <c r="F930" s="7" t="s">
        <v>759</v>
      </c>
      <c r="G930" s="7" t="s">
        <v>404</v>
      </c>
      <c r="H930" s="7" t="s">
        <v>760</v>
      </c>
      <c r="I930" s="7" t="s">
        <v>355</v>
      </c>
      <c r="J930" s="14"/>
      <c r="K930" s="14"/>
      <c r="O930" s="22"/>
      <c r="P930" s="22"/>
      <c r="Q930" s="23"/>
      <c r="R930" s="23"/>
      <c r="S930" s="14"/>
    </row>
    <row r="931" ht="18.75" customHeight="1">
      <c r="A931" s="7" t="s">
        <v>758</v>
      </c>
      <c r="B931" s="7" t="s">
        <v>3875</v>
      </c>
      <c r="C931" s="9">
        <v>123758.0</v>
      </c>
      <c r="D931" s="9">
        <v>5595.0</v>
      </c>
      <c r="E931" s="9">
        <v>216.0</v>
      </c>
      <c r="F931" s="7" t="s">
        <v>759</v>
      </c>
      <c r="G931" s="7" t="s">
        <v>404</v>
      </c>
      <c r="H931" s="7" t="s">
        <v>760</v>
      </c>
      <c r="I931" s="7" t="s">
        <v>355</v>
      </c>
      <c r="J931" s="14"/>
      <c r="K931" s="14"/>
      <c r="O931" s="22"/>
      <c r="P931" s="22"/>
      <c r="Q931" s="23"/>
      <c r="R931" s="23"/>
      <c r="S931" s="14"/>
    </row>
    <row r="932" ht="18.75" customHeight="1">
      <c r="A932" s="7" t="s">
        <v>777</v>
      </c>
      <c r="B932" s="7" t="s">
        <v>3875</v>
      </c>
      <c r="C932" s="9">
        <v>183678.0</v>
      </c>
      <c r="D932" s="9">
        <v>0.0</v>
      </c>
      <c r="E932" s="9">
        <v>329.0</v>
      </c>
      <c r="F932" s="7" t="s">
        <v>778</v>
      </c>
      <c r="G932" s="7" t="s">
        <v>353</v>
      </c>
      <c r="H932" s="7" t="s">
        <v>725</v>
      </c>
      <c r="I932" s="7" t="s">
        <v>355</v>
      </c>
      <c r="J932" s="14"/>
      <c r="K932" s="14"/>
      <c r="O932" s="22"/>
      <c r="P932" s="22"/>
      <c r="Q932" s="23"/>
      <c r="R932" s="23"/>
      <c r="S932" s="14"/>
    </row>
    <row r="933" ht="18.75" customHeight="1">
      <c r="A933" s="7" t="s">
        <v>777</v>
      </c>
      <c r="B933" s="7" t="s">
        <v>3875</v>
      </c>
      <c r="C933" s="9">
        <v>86385.0</v>
      </c>
      <c r="D933" s="9">
        <v>0.0</v>
      </c>
      <c r="E933" s="9">
        <v>105.0</v>
      </c>
      <c r="F933" s="7" t="s">
        <v>778</v>
      </c>
      <c r="G933" s="7" t="s">
        <v>353</v>
      </c>
      <c r="H933" s="7" t="s">
        <v>725</v>
      </c>
      <c r="I933" s="7" t="s">
        <v>355</v>
      </c>
      <c r="J933" s="14"/>
      <c r="K933" s="14"/>
      <c r="O933" s="22"/>
      <c r="P933" s="22"/>
      <c r="Q933" s="23"/>
      <c r="R933" s="23"/>
      <c r="S933" s="14"/>
    </row>
    <row r="934" ht="18.75" customHeight="1">
      <c r="A934" s="7" t="s">
        <v>713</v>
      </c>
      <c r="B934" s="7" t="s">
        <v>3875</v>
      </c>
      <c r="C934" s="9">
        <v>27904.0</v>
      </c>
      <c r="D934" s="9">
        <v>0.0</v>
      </c>
      <c r="E934" s="9">
        <v>409.0</v>
      </c>
      <c r="F934" s="7" t="s">
        <v>714</v>
      </c>
      <c r="G934" s="7" t="s">
        <v>353</v>
      </c>
      <c r="H934" s="7" t="s">
        <v>378</v>
      </c>
      <c r="I934" s="7" t="s">
        <v>355</v>
      </c>
      <c r="J934" s="14"/>
      <c r="K934" s="14"/>
      <c r="O934" s="22"/>
      <c r="P934" s="22"/>
      <c r="Q934" s="23"/>
      <c r="R934" s="23"/>
      <c r="S934" s="14"/>
    </row>
    <row r="935" ht="18.75" customHeight="1">
      <c r="A935" s="7" t="s">
        <v>713</v>
      </c>
      <c r="B935" s="7" t="s">
        <v>3875</v>
      </c>
      <c r="C935" s="9">
        <v>111969.0</v>
      </c>
      <c r="D935" s="9">
        <v>0.0</v>
      </c>
      <c r="E935" s="9">
        <v>218.0</v>
      </c>
      <c r="F935" s="7" t="s">
        <v>714</v>
      </c>
      <c r="G935" s="7" t="s">
        <v>353</v>
      </c>
      <c r="H935" s="7" t="s">
        <v>378</v>
      </c>
      <c r="I935" s="7" t="s">
        <v>355</v>
      </c>
      <c r="J935" s="14"/>
      <c r="K935" s="14"/>
      <c r="O935" s="22"/>
      <c r="P935" s="22"/>
      <c r="Q935" s="23"/>
      <c r="R935" s="23"/>
      <c r="S935" s="14"/>
    </row>
    <row r="936" ht="18.75" customHeight="1">
      <c r="A936" s="7" t="s">
        <v>844</v>
      </c>
      <c r="B936" s="7" t="s">
        <v>3875</v>
      </c>
      <c r="C936" s="9">
        <v>68014.0</v>
      </c>
      <c r="D936" s="9">
        <v>0.0</v>
      </c>
      <c r="E936" s="9">
        <v>249.0</v>
      </c>
      <c r="F936" s="7" t="s">
        <v>845</v>
      </c>
      <c r="G936" s="7" t="s">
        <v>416</v>
      </c>
      <c r="H936" s="7" t="s">
        <v>359</v>
      </c>
      <c r="I936" s="7" t="s">
        <v>355</v>
      </c>
      <c r="J936" s="14"/>
      <c r="K936" s="14"/>
      <c r="O936" s="22"/>
      <c r="P936" s="22"/>
      <c r="Q936" s="23"/>
      <c r="R936" s="23"/>
      <c r="S936" s="14"/>
    </row>
    <row r="937" ht="18.75" customHeight="1">
      <c r="A937" s="7" t="s">
        <v>728</v>
      </c>
      <c r="B937" s="7" t="s">
        <v>3875</v>
      </c>
      <c r="C937" s="9">
        <v>7666.0</v>
      </c>
      <c r="D937" s="9">
        <v>2029.0</v>
      </c>
      <c r="E937" s="9">
        <v>40.0</v>
      </c>
      <c r="F937" s="7" t="s">
        <v>729</v>
      </c>
      <c r="G937" s="7" t="s">
        <v>416</v>
      </c>
      <c r="H937" s="7" t="s">
        <v>417</v>
      </c>
      <c r="I937" s="7" t="s">
        <v>355</v>
      </c>
      <c r="J937" s="14"/>
      <c r="K937" s="14"/>
      <c r="O937" s="22"/>
      <c r="P937" s="22"/>
      <c r="Q937" s="23"/>
      <c r="R937" s="23"/>
      <c r="S937" s="14"/>
    </row>
    <row r="938" ht="18.75" customHeight="1">
      <c r="A938" s="14"/>
      <c r="B938" s="7" t="s">
        <v>3875</v>
      </c>
      <c r="C938" s="9">
        <v>18666.0</v>
      </c>
      <c r="D938" s="9">
        <v>0.0</v>
      </c>
      <c r="E938" s="9">
        <v>74.0</v>
      </c>
      <c r="F938" s="14"/>
      <c r="G938" s="14"/>
      <c r="H938" s="14"/>
      <c r="I938" s="14"/>
      <c r="J938" s="14"/>
      <c r="K938" s="14"/>
      <c r="O938" s="22"/>
      <c r="P938" s="22"/>
      <c r="Q938" s="23"/>
      <c r="R938" s="23"/>
      <c r="S938" s="14"/>
    </row>
    <row r="939" ht="18.75" customHeight="1">
      <c r="A939" s="7" t="s">
        <v>730</v>
      </c>
      <c r="B939" s="7" t="s">
        <v>3875</v>
      </c>
      <c r="C939" s="9">
        <v>38191.0</v>
      </c>
      <c r="D939" s="9">
        <v>7075.0</v>
      </c>
      <c r="E939" s="9">
        <v>61.0</v>
      </c>
      <c r="F939" s="7" t="s">
        <v>731</v>
      </c>
      <c r="G939" s="7" t="s">
        <v>416</v>
      </c>
      <c r="H939" s="7" t="s">
        <v>417</v>
      </c>
      <c r="I939" s="7" t="s">
        <v>355</v>
      </c>
      <c r="J939" s="14"/>
      <c r="K939" s="14"/>
      <c r="O939" s="22"/>
      <c r="P939" s="22"/>
      <c r="Q939" s="23"/>
      <c r="R939" s="23"/>
      <c r="S939" s="14"/>
    </row>
    <row r="940" ht="18.75" customHeight="1">
      <c r="A940" s="7" t="s">
        <v>842</v>
      </c>
      <c r="B940" s="7" t="s">
        <v>3875</v>
      </c>
      <c r="C940" s="9">
        <v>112857.0</v>
      </c>
      <c r="D940" s="9">
        <v>0.0</v>
      </c>
      <c r="E940" s="9">
        <v>122.0</v>
      </c>
      <c r="F940" s="7" t="s">
        <v>843</v>
      </c>
      <c r="G940" s="7" t="s">
        <v>416</v>
      </c>
      <c r="H940" s="7" t="s">
        <v>594</v>
      </c>
      <c r="I940" s="7" t="s">
        <v>355</v>
      </c>
      <c r="J940" s="14"/>
      <c r="K940" s="14"/>
      <c r="O940" s="22"/>
      <c r="P940" s="22"/>
      <c r="Q940" s="23"/>
      <c r="R940" s="23"/>
      <c r="S940" s="14"/>
    </row>
    <row r="941" ht="18.75" customHeight="1">
      <c r="A941" s="7" t="s">
        <v>819</v>
      </c>
      <c r="B941" s="7" t="s">
        <v>3875</v>
      </c>
      <c r="C941" s="9">
        <v>38563.0</v>
      </c>
      <c r="D941" s="9">
        <v>0.0</v>
      </c>
      <c r="E941" s="9">
        <v>472.0</v>
      </c>
      <c r="F941" s="7" t="s">
        <v>820</v>
      </c>
      <c r="G941" s="7" t="s">
        <v>364</v>
      </c>
      <c r="H941" s="7" t="s">
        <v>365</v>
      </c>
      <c r="I941" s="7" t="s">
        <v>355</v>
      </c>
      <c r="J941" s="14"/>
      <c r="K941" s="14"/>
      <c r="O941" s="22"/>
      <c r="P941" s="22"/>
      <c r="Q941" s="23"/>
      <c r="R941" s="23"/>
      <c r="S941" s="14"/>
    </row>
    <row r="942" ht="18.75" customHeight="1">
      <c r="A942" s="7" t="s">
        <v>529</v>
      </c>
      <c r="B942" s="7" t="s">
        <v>3875</v>
      </c>
      <c r="C942" s="9">
        <v>24306.0</v>
      </c>
      <c r="D942" s="9">
        <v>0.0</v>
      </c>
      <c r="E942" s="9">
        <v>321.0</v>
      </c>
      <c r="F942" s="7" t="s">
        <v>530</v>
      </c>
      <c r="G942" s="7" t="s">
        <v>358</v>
      </c>
      <c r="H942" s="7" t="s">
        <v>387</v>
      </c>
      <c r="I942" s="7" t="s">
        <v>355</v>
      </c>
      <c r="J942" s="14"/>
      <c r="K942" s="14"/>
      <c r="O942" s="22"/>
      <c r="P942" s="22"/>
      <c r="Q942" s="23"/>
      <c r="R942" s="23"/>
      <c r="S942" s="14"/>
    </row>
    <row r="943" ht="18.75" customHeight="1">
      <c r="A943" s="7" t="s">
        <v>829</v>
      </c>
      <c r="B943" s="7" t="s">
        <v>3875</v>
      </c>
      <c r="C943" s="9">
        <v>54530.0</v>
      </c>
      <c r="D943" s="9">
        <v>0.0</v>
      </c>
      <c r="E943" s="9">
        <v>234.0</v>
      </c>
      <c r="F943" s="7" t="s">
        <v>830</v>
      </c>
      <c r="G943" s="7" t="s">
        <v>364</v>
      </c>
      <c r="H943" s="7" t="s">
        <v>365</v>
      </c>
      <c r="I943" s="7" t="s">
        <v>355</v>
      </c>
      <c r="J943" s="14"/>
      <c r="K943" s="14"/>
      <c r="O943" s="22"/>
      <c r="P943" s="22"/>
      <c r="Q943" s="23"/>
      <c r="R943" s="23"/>
      <c r="S943" s="14"/>
    </row>
    <row r="944" ht="18.75" customHeight="1">
      <c r="A944" s="7" t="s">
        <v>829</v>
      </c>
      <c r="B944" s="7" t="s">
        <v>3875</v>
      </c>
      <c r="C944" s="9">
        <v>245910.0</v>
      </c>
      <c r="D944" s="9">
        <v>0.0</v>
      </c>
      <c r="E944" s="9">
        <v>438.0</v>
      </c>
      <c r="F944" s="7" t="s">
        <v>830</v>
      </c>
      <c r="G944" s="7" t="s">
        <v>364</v>
      </c>
      <c r="H944" s="7" t="s">
        <v>365</v>
      </c>
      <c r="I944" s="7" t="s">
        <v>355</v>
      </c>
      <c r="J944" s="14"/>
      <c r="K944" s="14"/>
      <c r="O944" s="22"/>
      <c r="P944" s="22"/>
      <c r="Q944" s="23"/>
      <c r="R944" s="23"/>
      <c r="S944" s="14"/>
    </row>
    <row r="945" ht="18.75" customHeight="1">
      <c r="A945" s="7" t="s">
        <v>836</v>
      </c>
      <c r="B945" s="7" t="s">
        <v>3875</v>
      </c>
      <c r="C945" s="9">
        <v>27443.0</v>
      </c>
      <c r="D945" s="9">
        <v>7641.0</v>
      </c>
      <c r="E945" s="9">
        <v>79.0</v>
      </c>
      <c r="F945" s="7" t="s">
        <v>837</v>
      </c>
      <c r="G945" s="7" t="s">
        <v>416</v>
      </c>
      <c r="H945" s="7" t="s">
        <v>417</v>
      </c>
      <c r="I945" s="7" t="s">
        <v>355</v>
      </c>
      <c r="J945" s="14"/>
      <c r="K945" s="14"/>
      <c r="O945" s="22"/>
      <c r="P945" s="22"/>
      <c r="Q945" s="23"/>
      <c r="R945" s="23"/>
      <c r="S945" s="14"/>
    </row>
    <row r="946" ht="18.75" customHeight="1">
      <c r="A946" s="7" t="s">
        <v>838</v>
      </c>
      <c r="B946" s="7" t="s">
        <v>3875</v>
      </c>
      <c r="C946" s="9">
        <v>159731.0</v>
      </c>
      <c r="D946" s="9">
        <v>0.0</v>
      </c>
      <c r="E946" s="9">
        <v>194.0</v>
      </c>
      <c r="F946" s="7" t="s">
        <v>839</v>
      </c>
      <c r="G946" s="7" t="s">
        <v>416</v>
      </c>
      <c r="H946" s="7" t="s">
        <v>365</v>
      </c>
      <c r="I946" s="7" t="s">
        <v>355</v>
      </c>
      <c r="J946" s="14"/>
      <c r="K946" s="14"/>
      <c r="O946" s="22"/>
      <c r="P946" s="22"/>
      <c r="Q946" s="23"/>
      <c r="R946" s="23"/>
      <c r="S946" s="14"/>
    </row>
    <row r="947" ht="18.75" customHeight="1">
      <c r="A947" s="7" t="s">
        <v>840</v>
      </c>
      <c r="B947" s="7" t="s">
        <v>3875</v>
      </c>
      <c r="C947" s="9">
        <v>53906.0</v>
      </c>
      <c r="D947" s="9">
        <v>0.0</v>
      </c>
      <c r="E947" s="9">
        <v>245.0</v>
      </c>
      <c r="F947" s="7" t="s">
        <v>841</v>
      </c>
      <c r="G947" s="7" t="s">
        <v>416</v>
      </c>
      <c r="H947" s="7" t="s">
        <v>387</v>
      </c>
      <c r="I947" s="7" t="s">
        <v>355</v>
      </c>
      <c r="J947" s="14"/>
      <c r="K947" s="14"/>
      <c r="O947" s="22"/>
      <c r="P947" s="22"/>
      <c r="Q947" s="23"/>
      <c r="R947" s="23"/>
      <c r="S947" s="14"/>
    </row>
    <row r="948" ht="18.75" customHeight="1">
      <c r="A948" s="7" t="s">
        <v>2905</v>
      </c>
      <c r="B948" s="7" t="s">
        <v>3875</v>
      </c>
      <c r="C948" s="9">
        <v>7964.0</v>
      </c>
      <c r="D948" s="9">
        <v>0.0</v>
      </c>
      <c r="E948" s="9">
        <v>0.0</v>
      </c>
      <c r="F948" s="14"/>
      <c r="G948" s="14"/>
      <c r="H948" s="14"/>
      <c r="I948" s="14"/>
      <c r="J948" s="14"/>
      <c r="K948" s="14"/>
      <c r="O948" s="22"/>
      <c r="P948" s="22"/>
      <c r="Q948" s="23"/>
      <c r="R948" s="23"/>
      <c r="S948" s="14"/>
    </row>
    <row r="949" ht="18.75" customHeight="1">
      <c r="A949" s="7" t="s">
        <v>701</v>
      </c>
      <c r="B949" s="7" t="s">
        <v>3875</v>
      </c>
      <c r="C949" s="9">
        <v>63329.0</v>
      </c>
      <c r="D949" s="9">
        <v>0.0</v>
      </c>
      <c r="E949" s="9">
        <v>161.0</v>
      </c>
      <c r="F949" s="7" t="s">
        <v>702</v>
      </c>
      <c r="G949" s="7" t="s">
        <v>353</v>
      </c>
      <c r="H949" s="7" t="s">
        <v>378</v>
      </c>
      <c r="I949" s="7" t="s">
        <v>355</v>
      </c>
      <c r="J949" s="14"/>
      <c r="K949" s="14"/>
      <c r="O949" s="22"/>
      <c r="P949" s="22"/>
      <c r="Q949" s="23"/>
      <c r="R949" s="23"/>
      <c r="S949" s="14"/>
    </row>
    <row r="950" ht="18.75" customHeight="1">
      <c r="A950" s="7" t="s">
        <v>701</v>
      </c>
      <c r="B950" s="7" t="s">
        <v>3875</v>
      </c>
      <c r="C950" s="9">
        <v>100840.0</v>
      </c>
      <c r="D950" s="9">
        <v>0.0</v>
      </c>
      <c r="E950" s="9">
        <v>99.0</v>
      </c>
      <c r="F950" s="7" t="s">
        <v>702</v>
      </c>
      <c r="G950" s="7" t="s">
        <v>353</v>
      </c>
      <c r="H950" s="7" t="s">
        <v>378</v>
      </c>
      <c r="I950" s="7" t="s">
        <v>355</v>
      </c>
      <c r="J950" s="14"/>
      <c r="K950" s="14"/>
      <c r="O950" s="22"/>
      <c r="P950" s="22"/>
      <c r="Q950" s="23"/>
      <c r="R950" s="23"/>
      <c r="S950" s="14"/>
    </row>
    <row r="951" ht="18.75" customHeight="1">
      <c r="A951" s="7" t="s">
        <v>705</v>
      </c>
      <c r="B951" s="7" t="s">
        <v>3875</v>
      </c>
      <c r="C951" s="9">
        <v>47754.0</v>
      </c>
      <c r="D951" s="9">
        <v>0.0</v>
      </c>
      <c r="E951" s="9">
        <v>0.0</v>
      </c>
      <c r="F951" s="7" t="s">
        <v>706</v>
      </c>
      <c r="G951" s="7" t="s">
        <v>358</v>
      </c>
      <c r="H951" s="7" t="s">
        <v>359</v>
      </c>
      <c r="I951" s="7" t="s">
        <v>355</v>
      </c>
      <c r="J951" s="14"/>
      <c r="K951" s="14"/>
      <c r="O951" s="22"/>
      <c r="P951" s="22"/>
      <c r="Q951" s="23"/>
      <c r="R951" s="23"/>
      <c r="S951" s="14"/>
    </row>
    <row r="952" ht="18.75" customHeight="1">
      <c r="A952" s="7" t="s">
        <v>719</v>
      </c>
      <c r="B952" s="7" t="s">
        <v>3875</v>
      </c>
      <c r="C952" s="9">
        <v>889422.0</v>
      </c>
      <c r="D952" s="9">
        <v>86657.0</v>
      </c>
      <c r="E952" s="9">
        <v>1598.0</v>
      </c>
      <c r="F952" s="7" t="s">
        <v>720</v>
      </c>
      <c r="G952" s="7" t="s">
        <v>358</v>
      </c>
      <c r="H952" s="7" t="s">
        <v>466</v>
      </c>
      <c r="I952" s="7" t="s">
        <v>355</v>
      </c>
      <c r="J952" s="14"/>
      <c r="K952" s="14"/>
      <c r="O952" s="22"/>
      <c r="P952" s="22"/>
      <c r="Q952" s="23"/>
      <c r="R952" s="23"/>
      <c r="S952" s="14"/>
    </row>
    <row r="953" ht="18.75" customHeight="1">
      <c r="A953" s="7" t="s">
        <v>719</v>
      </c>
      <c r="B953" s="7" t="s">
        <v>3875</v>
      </c>
      <c r="C953" s="9">
        <v>745368.0</v>
      </c>
      <c r="D953" s="9">
        <v>105486.0</v>
      </c>
      <c r="E953" s="9">
        <v>2066.0</v>
      </c>
      <c r="F953" s="7" t="s">
        <v>720</v>
      </c>
      <c r="G953" s="7" t="s">
        <v>358</v>
      </c>
      <c r="H953" s="7" t="s">
        <v>466</v>
      </c>
      <c r="I953" s="7" t="s">
        <v>355</v>
      </c>
      <c r="J953" s="14"/>
      <c r="K953" s="14"/>
      <c r="O953" s="22"/>
      <c r="P953" s="22"/>
      <c r="Q953" s="23"/>
      <c r="R953" s="23"/>
      <c r="S953" s="14"/>
    </row>
    <row r="954" ht="18.75" customHeight="1">
      <c r="A954" s="7" t="s">
        <v>3878</v>
      </c>
      <c r="B954" s="7" t="s">
        <v>3875</v>
      </c>
      <c r="C954" s="9">
        <v>345155.0</v>
      </c>
      <c r="D954" s="9">
        <v>0.0</v>
      </c>
      <c r="E954" s="9">
        <v>263.0</v>
      </c>
      <c r="F954" s="7" t="s">
        <v>3879</v>
      </c>
      <c r="G954" s="7" t="s">
        <v>364</v>
      </c>
      <c r="H954" s="7" t="s">
        <v>365</v>
      </c>
      <c r="I954" s="7" t="s">
        <v>355</v>
      </c>
      <c r="J954" s="14"/>
      <c r="K954" s="14"/>
      <c r="O954" s="22"/>
      <c r="P954" s="22"/>
      <c r="Q954" s="23"/>
      <c r="R954" s="23"/>
      <c r="S954" s="14"/>
    </row>
    <row r="955" ht="18.75" customHeight="1">
      <c r="A955" s="7" t="s">
        <v>573</v>
      </c>
      <c r="B955" s="7" t="s">
        <v>3875</v>
      </c>
      <c r="C955" s="9">
        <v>181001.0</v>
      </c>
      <c r="D955" s="9">
        <v>0.0</v>
      </c>
      <c r="E955" s="9">
        <v>20.0</v>
      </c>
      <c r="F955" s="7" t="s">
        <v>574</v>
      </c>
      <c r="G955" s="7" t="s">
        <v>364</v>
      </c>
      <c r="H955" s="7" t="s">
        <v>365</v>
      </c>
      <c r="I955" s="7" t="s">
        <v>355</v>
      </c>
      <c r="J955" s="14"/>
      <c r="K955" s="14"/>
      <c r="O955" s="22"/>
      <c r="P955" s="22"/>
      <c r="Q955" s="23"/>
      <c r="R955" s="23"/>
      <c r="S955" s="14"/>
    </row>
    <row r="956" ht="18.75" customHeight="1">
      <c r="A956" s="7" t="s">
        <v>777</v>
      </c>
      <c r="B956" s="7" t="s">
        <v>3875</v>
      </c>
      <c r="C956" s="9">
        <v>1144733.0</v>
      </c>
      <c r="D956" s="9">
        <v>0.0</v>
      </c>
      <c r="E956" s="9">
        <v>2300.0</v>
      </c>
      <c r="F956" s="7" t="s">
        <v>778</v>
      </c>
      <c r="G956" s="7" t="s">
        <v>353</v>
      </c>
      <c r="H956" s="7" t="s">
        <v>725</v>
      </c>
      <c r="I956" s="7" t="s">
        <v>355</v>
      </c>
      <c r="J956" s="14"/>
      <c r="K956" s="14"/>
      <c r="O956" s="22"/>
      <c r="P956" s="22"/>
      <c r="Q956" s="23"/>
      <c r="R956" s="23"/>
      <c r="S956" s="14"/>
    </row>
    <row r="957" ht="18.75" customHeight="1">
      <c r="A957" s="7" t="s">
        <v>777</v>
      </c>
      <c r="B957" s="7" t="s">
        <v>3875</v>
      </c>
      <c r="C957" s="9">
        <v>1070127.0</v>
      </c>
      <c r="D957" s="9">
        <v>0.0</v>
      </c>
      <c r="E957" s="9">
        <v>1458.0</v>
      </c>
      <c r="F957" s="7" t="s">
        <v>778</v>
      </c>
      <c r="G957" s="7" t="s">
        <v>353</v>
      </c>
      <c r="H957" s="7" t="s">
        <v>725</v>
      </c>
      <c r="I957" s="7" t="s">
        <v>355</v>
      </c>
      <c r="J957" s="14"/>
      <c r="K957" s="14"/>
      <c r="O957" s="22"/>
      <c r="P957" s="22"/>
      <c r="Q957" s="23"/>
      <c r="R957" s="23"/>
      <c r="S957" s="14"/>
    </row>
    <row r="958" ht="18.75" customHeight="1">
      <c r="A958" s="7" t="s">
        <v>817</v>
      </c>
      <c r="B958" s="7" t="s">
        <v>3875</v>
      </c>
      <c r="C958" s="9">
        <v>707292.0</v>
      </c>
      <c r="D958" s="9">
        <v>0.0</v>
      </c>
      <c r="E958" s="9">
        <v>996.0</v>
      </c>
      <c r="F958" s="7" t="s">
        <v>818</v>
      </c>
      <c r="G958" s="7" t="s">
        <v>364</v>
      </c>
      <c r="H958" s="7" t="s">
        <v>365</v>
      </c>
      <c r="I958" s="7" t="s">
        <v>355</v>
      </c>
      <c r="J958" s="14"/>
      <c r="K958" s="14"/>
      <c r="O958" s="22"/>
      <c r="P958" s="22"/>
      <c r="Q958" s="23"/>
      <c r="R958" s="23"/>
      <c r="S958" s="14"/>
    </row>
    <row r="959" ht="18.75" customHeight="1">
      <c r="A959" s="7" t="s">
        <v>817</v>
      </c>
      <c r="B959" s="7" t="s">
        <v>3875</v>
      </c>
      <c r="C959" s="9">
        <v>116249.0</v>
      </c>
      <c r="D959" s="9">
        <v>0.0</v>
      </c>
      <c r="E959" s="9">
        <v>383.0</v>
      </c>
      <c r="F959" s="7" t="s">
        <v>818</v>
      </c>
      <c r="G959" s="7" t="s">
        <v>364</v>
      </c>
      <c r="H959" s="7" t="s">
        <v>365</v>
      </c>
      <c r="I959" s="7" t="s">
        <v>355</v>
      </c>
      <c r="J959" s="14"/>
      <c r="K959" s="14"/>
      <c r="O959" s="22"/>
      <c r="P959" s="22"/>
      <c r="Q959" s="23"/>
      <c r="R959" s="23"/>
      <c r="S959" s="14"/>
    </row>
    <row r="960" ht="18.75" customHeight="1">
      <c r="A960" s="7" t="s">
        <v>533</v>
      </c>
      <c r="B960" s="7" t="s">
        <v>3875</v>
      </c>
      <c r="C960" s="9">
        <v>2173066.0</v>
      </c>
      <c r="D960" s="9">
        <v>36837.0</v>
      </c>
      <c r="E960" s="9">
        <v>2700.0</v>
      </c>
      <c r="F960" s="7" t="s">
        <v>534</v>
      </c>
      <c r="G960" s="7" t="s">
        <v>358</v>
      </c>
      <c r="H960" s="7" t="s">
        <v>359</v>
      </c>
      <c r="I960" s="7" t="s">
        <v>355</v>
      </c>
      <c r="J960" s="14"/>
      <c r="K960" s="14"/>
      <c r="O960" s="22"/>
      <c r="P960" s="22"/>
      <c r="Q960" s="23"/>
      <c r="R960" s="23"/>
      <c r="S960" s="14"/>
    </row>
    <row r="961" ht="18.75" customHeight="1">
      <c r="A961" s="7" t="s">
        <v>533</v>
      </c>
      <c r="B961" s="7" t="s">
        <v>3875</v>
      </c>
      <c r="C961" s="9">
        <v>399653.0</v>
      </c>
      <c r="D961" s="9">
        <v>866.0</v>
      </c>
      <c r="E961" s="9">
        <v>449.0</v>
      </c>
      <c r="F961" s="7" t="s">
        <v>534</v>
      </c>
      <c r="G961" s="7" t="s">
        <v>358</v>
      </c>
      <c r="H961" s="7" t="s">
        <v>359</v>
      </c>
      <c r="I961" s="7" t="s">
        <v>355</v>
      </c>
      <c r="J961" s="14"/>
      <c r="K961" s="14"/>
      <c r="O961" s="22"/>
      <c r="P961" s="22"/>
      <c r="Q961" s="23"/>
      <c r="R961" s="23"/>
      <c r="S961" s="14"/>
    </row>
    <row r="962" ht="18.75" customHeight="1">
      <c r="A962" s="7" t="s">
        <v>721</v>
      </c>
      <c r="B962" s="7" t="s">
        <v>3875</v>
      </c>
      <c r="C962" s="9">
        <v>237306.0</v>
      </c>
      <c r="D962" s="9">
        <v>54867.0</v>
      </c>
      <c r="E962" s="9">
        <v>488.0</v>
      </c>
      <c r="F962" s="7" t="s">
        <v>722</v>
      </c>
      <c r="G962" s="7" t="s">
        <v>358</v>
      </c>
      <c r="H962" s="7" t="s">
        <v>466</v>
      </c>
      <c r="I962" s="7" t="s">
        <v>355</v>
      </c>
      <c r="J962" s="14"/>
      <c r="K962" s="14"/>
      <c r="O962" s="22"/>
      <c r="P962" s="22"/>
      <c r="Q962" s="23"/>
      <c r="R962" s="23"/>
      <c r="S962" s="14"/>
    </row>
    <row r="963" ht="18.75" customHeight="1">
      <c r="A963" s="7" t="s">
        <v>721</v>
      </c>
      <c r="B963" s="7" t="s">
        <v>3875</v>
      </c>
      <c r="C963" s="9">
        <v>1381283.0</v>
      </c>
      <c r="D963" s="9">
        <v>80318.0</v>
      </c>
      <c r="E963" s="9">
        <v>2443.0</v>
      </c>
      <c r="F963" s="7" t="s">
        <v>722</v>
      </c>
      <c r="G963" s="7" t="s">
        <v>358</v>
      </c>
      <c r="H963" s="7" t="s">
        <v>466</v>
      </c>
      <c r="I963" s="7" t="s">
        <v>355</v>
      </c>
      <c r="J963" s="14"/>
      <c r="K963" s="14"/>
      <c r="O963" s="22"/>
      <c r="P963" s="22"/>
      <c r="Q963" s="23"/>
      <c r="R963" s="23"/>
      <c r="S963" s="14"/>
    </row>
    <row r="964" ht="18.75" customHeight="1">
      <c r="A964" s="7" t="s">
        <v>625</v>
      </c>
      <c r="B964" s="7" t="s">
        <v>3875</v>
      </c>
      <c r="C964" s="9">
        <v>410830.0</v>
      </c>
      <c r="D964" s="9">
        <v>0.0</v>
      </c>
      <c r="E964" s="9">
        <v>777.0</v>
      </c>
      <c r="F964" s="7" t="s">
        <v>626</v>
      </c>
      <c r="G964" s="7" t="s">
        <v>353</v>
      </c>
      <c r="H964" s="7" t="s">
        <v>354</v>
      </c>
      <c r="I964" s="7" t="s">
        <v>355</v>
      </c>
      <c r="J964" s="14"/>
      <c r="K964" s="14"/>
      <c r="O964" s="22"/>
      <c r="P964" s="22"/>
      <c r="Q964" s="23"/>
      <c r="R964" s="23"/>
      <c r="S964" s="14"/>
    </row>
    <row r="965" ht="18.75" customHeight="1">
      <c r="A965" s="7" t="s">
        <v>625</v>
      </c>
      <c r="B965" s="7" t="s">
        <v>3875</v>
      </c>
      <c r="C965" s="9">
        <v>742156.0</v>
      </c>
      <c r="D965" s="9">
        <v>0.0</v>
      </c>
      <c r="E965" s="9">
        <v>1832.0</v>
      </c>
      <c r="F965" s="7" t="s">
        <v>626</v>
      </c>
      <c r="G965" s="7" t="s">
        <v>353</v>
      </c>
      <c r="H965" s="7" t="s">
        <v>354</v>
      </c>
      <c r="I965" s="7" t="s">
        <v>355</v>
      </c>
      <c r="J965" s="14"/>
      <c r="K965" s="14"/>
      <c r="O965" s="22"/>
      <c r="P965" s="22"/>
      <c r="Q965" s="23"/>
      <c r="R965" s="23"/>
      <c r="S965" s="14"/>
    </row>
    <row r="966" ht="18.75" customHeight="1">
      <c r="A966" s="7" t="s">
        <v>535</v>
      </c>
      <c r="B966" s="7" t="s">
        <v>3875</v>
      </c>
      <c r="C966" s="9">
        <v>1077192.0</v>
      </c>
      <c r="D966" s="9">
        <v>0.0</v>
      </c>
      <c r="E966" s="9">
        <v>1851.0</v>
      </c>
      <c r="F966" s="7" t="s">
        <v>536</v>
      </c>
      <c r="G966" s="7" t="s">
        <v>358</v>
      </c>
      <c r="H966" s="7" t="s">
        <v>359</v>
      </c>
      <c r="I966" s="7" t="s">
        <v>355</v>
      </c>
      <c r="J966" s="14"/>
      <c r="K966" s="14"/>
      <c r="O966" s="22"/>
      <c r="P966" s="22"/>
      <c r="Q966" s="23"/>
      <c r="R966" s="23"/>
      <c r="S966" s="14"/>
    </row>
    <row r="967" ht="18.75" customHeight="1">
      <c r="A967" s="7" t="s">
        <v>535</v>
      </c>
      <c r="B967" s="7" t="s">
        <v>3875</v>
      </c>
      <c r="C967" s="9">
        <v>480298.0</v>
      </c>
      <c r="D967" s="9">
        <v>0.0</v>
      </c>
      <c r="E967" s="9">
        <v>584.0</v>
      </c>
      <c r="F967" s="7" t="s">
        <v>536</v>
      </c>
      <c r="G967" s="7" t="s">
        <v>358</v>
      </c>
      <c r="H967" s="7" t="s">
        <v>359</v>
      </c>
      <c r="I967" s="7" t="s">
        <v>355</v>
      </c>
      <c r="J967" s="14"/>
      <c r="K967" s="14"/>
      <c r="O967" s="22"/>
      <c r="P967" s="22"/>
      <c r="Q967" s="23"/>
      <c r="R967" s="23"/>
      <c r="S967" s="14"/>
    </row>
    <row r="968" ht="18.75" customHeight="1">
      <c r="A968" s="7" t="s">
        <v>680</v>
      </c>
      <c r="B968" s="7" t="s">
        <v>3875</v>
      </c>
      <c r="C968" s="9">
        <v>159079.0</v>
      </c>
      <c r="D968" s="9">
        <v>22101.0</v>
      </c>
      <c r="E968" s="9">
        <v>374.0</v>
      </c>
      <c r="F968" s="7" t="s">
        <v>681</v>
      </c>
      <c r="G968" s="7" t="s">
        <v>358</v>
      </c>
      <c r="H968" s="7" t="s">
        <v>466</v>
      </c>
      <c r="I968" s="7" t="s">
        <v>355</v>
      </c>
      <c r="J968" s="14"/>
      <c r="K968" s="14"/>
      <c r="O968" s="22"/>
      <c r="P968" s="22"/>
      <c r="Q968" s="23"/>
      <c r="R968" s="23"/>
      <c r="S968" s="14"/>
    </row>
    <row r="969" ht="18.75" customHeight="1">
      <c r="A969" s="7" t="s">
        <v>680</v>
      </c>
      <c r="B969" s="7" t="s">
        <v>3875</v>
      </c>
      <c r="C969" s="9">
        <v>1157091.0</v>
      </c>
      <c r="D969" s="9">
        <v>96704.0</v>
      </c>
      <c r="E969" s="9">
        <v>2432.0</v>
      </c>
      <c r="F969" s="7" t="s">
        <v>681</v>
      </c>
      <c r="G969" s="7" t="s">
        <v>358</v>
      </c>
      <c r="H969" s="7" t="s">
        <v>466</v>
      </c>
      <c r="I969" s="7" t="s">
        <v>355</v>
      </c>
      <c r="J969" s="14"/>
      <c r="K969" s="14"/>
      <c r="O969" s="22"/>
      <c r="P969" s="22"/>
      <c r="Q969" s="23"/>
      <c r="R969" s="23"/>
      <c r="S969" s="14"/>
    </row>
    <row r="970" ht="18.75" customHeight="1">
      <c r="A970" s="7" t="s">
        <v>689</v>
      </c>
      <c r="B970" s="7" t="s">
        <v>3875</v>
      </c>
      <c r="C970" s="9">
        <v>241546.0</v>
      </c>
      <c r="D970" s="9">
        <v>0.0</v>
      </c>
      <c r="E970" s="9">
        <v>815.0</v>
      </c>
      <c r="F970" s="7" t="s">
        <v>690</v>
      </c>
      <c r="G970" s="7" t="s">
        <v>353</v>
      </c>
      <c r="H970" s="7" t="s">
        <v>378</v>
      </c>
      <c r="I970" s="7" t="s">
        <v>355</v>
      </c>
      <c r="J970" s="14"/>
      <c r="K970" s="14"/>
      <c r="O970" s="22"/>
      <c r="P970" s="22"/>
      <c r="Q970" s="23"/>
      <c r="R970" s="23"/>
      <c r="S970" s="14"/>
    </row>
    <row r="971" ht="18.75" customHeight="1">
      <c r="A971" s="7" t="s">
        <v>689</v>
      </c>
      <c r="B971" s="7" t="s">
        <v>3875</v>
      </c>
      <c r="C971" s="9">
        <v>935248.0</v>
      </c>
      <c r="D971" s="9">
        <v>0.0</v>
      </c>
      <c r="E971" s="9">
        <v>1599.0</v>
      </c>
      <c r="F971" s="7" t="s">
        <v>690</v>
      </c>
      <c r="G971" s="7" t="s">
        <v>353</v>
      </c>
      <c r="H971" s="7" t="s">
        <v>378</v>
      </c>
      <c r="I971" s="7" t="s">
        <v>355</v>
      </c>
      <c r="J971" s="14"/>
      <c r="K971" s="14"/>
      <c r="O971" s="22"/>
      <c r="P971" s="22"/>
      <c r="Q971" s="23"/>
      <c r="R971" s="23"/>
      <c r="S971" s="14"/>
    </row>
    <row r="972" ht="18.75" customHeight="1">
      <c r="A972" s="7" t="s">
        <v>651</v>
      </c>
      <c r="B972" s="7" t="s">
        <v>3875</v>
      </c>
      <c r="C972" s="9">
        <v>1918513.0</v>
      </c>
      <c r="D972" s="9">
        <v>0.0</v>
      </c>
      <c r="E972" s="9">
        <v>6468.0</v>
      </c>
      <c r="F972" s="7" t="s">
        <v>652</v>
      </c>
      <c r="G972" s="7" t="s">
        <v>353</v>
      </c>
      <c r="H972" s="7" t="s">
        <v>378</v>
      </c>
      <c r="I972" s="7" t="s">
        <v>355</v>
      </c>
      <c r="J972" s="14"/>
      <c r="K972" s="14"/>
      <c r="O972" s="22"/>
      <c r="P972" s="22"/>
      <c r="Q972" s="23"/>
      <c r="R972" s="23"/>
      <c r="S972" s="14"/>
    </row>
    <row r="973" ht="18.75" customHeight="1">
      <c r="A973" s="7" t="s">
        <v>651</v>
      </c>
      <c r="B973" s="7" t="s">
        <v>3875</v>
      </c>
      <c r="C973" s="9">
        <v>2504238.0</v>
      </c>
      <c r="D973" s="9">
        <v>0.0</v>
      </c>
      <c r="E973" s="9">
        <v>4581.0</v>
      </c>
      <c r="F973" s="7" t="s">
        <v>652</v>
      </c>
      <c r="G973" s="7" t="s">
        <v>353</v>
      </c>
      <c r="H973" s="7" t="s">
        <v>378</v>
      </c>
      <c r="I973" s="7" t="s">
        <v>355</v>
      </c>
      <c r="J973" s="14"/>
      <c r="K973" s="14"/>
      <c r="O973" s="22"/>
      <c r="P973" s="22"/>
      <c r="Q973" s="23"/>
      <c r="R973" s="23"/>
      <c r="S973" s="14"/>
    </row>
    <row r="974" ht="18.75" customHeight="1">
      <c r="A974" s="7" t="s">
        <v>537</v>
      </c>
      <c r="B974" s="7" t="s">
        <v>3875</v>
      </c>
      <c r="C974" s="9">
        <v>1268937.0</v>
      </c>
      <c r="D974" s="9">
        <v>0.0</v>
      </c>
      <c r="E974" s="9">
        <v>2035.0</v>
      </c>
      <c r="F974" s="7" t="s">
        <v>538</v>
      </c>
      <c r="G974" s="7" t="s">
        <v>358</v>
      </c>
      <c r="H974" s="7" t="s">
        <v>359</v>
      </c>
      <c r="I974" s="7" t="s">
        <v>355</v>
      </c>
      <c r="J974" s="14"/>
      <c r="K974" s="14"/>
      <c r="O974" s="22"/>
      <c r="P974" s="22"/>
      <c r="Q974" s="23"/>
      <c r="R974" s="23"/>
      <c r="S974" s="14"/>
    </row>
    <row r="975" ht="18.75" customHeight="1">
      <c r="A975" s="7" t="s">
        <v>537</v>
      </c>
      <c r="B975" s="7" t="s">
        <v>3875</v>
      </c>
      <c r="C975" s="9">
        <v>771629.0</v>
      </c>
      <c r="D975" s="9">
        <v>0.0</v>
      </c>
      <c r="E975" s="9">
        <v>1120.0</v>
      </c>
      <c r="F975" s="7" t="s">
        <v>538</v>
      </c>
      <c r="G975" s="7" t="s">
        <v>358</v>
      </c>
      <c r="H975" s="7" t="s">
        <v>359</v>
      </c>
      <c r="I975" s="7" t="s">
        <v>355</v>
      </c>
      <c r="J975" s="14"/>
      <c r="K975" s="14"/>
      <c r="O975" s="22"/>
      <c r="P975" s="22"/>
      <c r="Q975" s="23"/>
      <c r="R975" s="23"/>
      <c r="S975" s="14"/>
    </row>
    <row r="976" ht="18.75" customHeight="1">
      <c r="A976" s="7" t="s">
        <v>537</v>
      </c>
      <c r="B976" s="7" t="s">
        <v>3875</v>
      </c>
      <c r="C976" s="9">
        <v>335738.0</v>
      </c>
      <c r="D976" s="9">
        <v>0.0</v>
      </c>
      <c r="E976" s="9">
        <v>671.0</v>
      </c>
      <c r="F976" s="7" t="s">
        <v>538</v>
      </c>
      <c r="G976" s="7" t="s">
        <v>358</v>
      </c>
      <c r="H976" s="7" t="s">
        <v>359</v>
      </c>
      <c r="I976" s="7" t="s">
        <v>355</v>
      </c>
      <c r="J976" s="14"/>
      <c r="K976" s="14"/>
      <c r="O976" s="22"/>
      <c r="P976" s="22"/>
      <c r="Q976" s="23"/>
      <c r="R976" s="23"/>
      <c r="S976" s="14"/>
    </row>
    <row r="977" ht="18.75" customHeight="1">
      <c r="A977" s="7" t="s">
        <v>670</v>
      </c>
      <c r="B977" s="7" t="s">
        <v>3875</v>
      </c>
      <c r="C977" s="9">
        <v>73014.0</v>
      </c>
      <c r="D977" s="9">
        <v>13079.0</v>
      </c>
      <c r="E977" s="9">
        <v>100.0</v>
      </c>
      <c r="F977" s="7" t="s">
        <v>671</v>
      </c>
      <c r="G977" s="7" t="s">
        <v>416</v>
      </c>
      <c r="H977" s="7" t="s">
        <v>417</v>
      </c>
      <c r="I977" s="7" t="s">
        <v>355</v>
      </c>
      <c r="J977" s="14"/>
      <c r="K977" s="14"/>
      <c r="O977" s="22"/>
      <c r="P977" s="22"/>
      <c r="Q977" s="23"/>
      <c r="R977" s="23"/>
      <c r="S977" s="14"/>
    </row>
    <row r="978" ht="18.75" customHeight="1">
      <c r="A978" s="7" t="s">
        <v>792</v>
      </c>
      <c r="B978" s="7" t="s">
        <v>3875</v>
      </c>
      <c r="C978" s="9">
        <v>171907.0</v>
      </c>
      <c r="D978" s="9">
        <v>0.0</v>
      </c>
      <c r="E978" s="9">
        <v>201.0</v>
      </c>
      <c r="F978" s="7" t="s">
        <v>793</v>
      </c>
      <c r="G978" s="7" t="s">
        <v>364</v>
      </c>
      <c r="H978" s="7" t="s">
        <v>365</v>
      </c>
      <c r="I978" s="7" t="s">
        <v>355</v>
      </c>
      <c r="J978" s="14"/>
      <c r="K978" s="14"/>
      <c r="O978" s="22"/>
      <c r="P978" s="22"/>
      <c r="Q978" s="23"/>
      <c r="R978" s="23"/>
      <c r="S978" s="14"/>
    </row>
    <row r="979" ht="18.75" customHeight="1">
      <c r="A979" s="7" t="s">
        <v>792</v>
      </c>
      <c r="B979" s="7" t="s">
        <v>3875</v>
      </c>
      <c r="C979" s="9">
        <v>332571.0</v>
      </c>
      <c r="D979" s="9">
        <v>0.0</v>
      </c>
      <c r="E979" s="9">
        <v>512.0</v>
      </c>
      <c r="F979" s="7" t="s">
        <v>793</v>
      </c>
      <c r="G979" s="7" t="s">
        <v>364</v>
      </c>
      <c r="H979" s="7" t="s">
        <v>365</v>
      </c>
      <c r="I979" s="7" t="s">
        <v>355</v>
      </c>
      <c r="J979" s="14"/>
      <c r="K979" s="14"/>
      <c r="O979" s="22"/>
      <c r="P979" s="22"/>
      <c r="Q979" s="23"/>
      <c r="R979" s="23"/>
      <c r="S979" s="14"/>
    </row>
    <row r="980" ht="18.75" customHeight="1">
      <c r="A980" s="7" t="s">
        <v>819</v>
      </c>
      <c r="B980" s="7" t="s">
        <v>3875</v>
      </c>
      <c r="C980" s="9">
        <v>158903.0</v>
      </c>
      <c r="D980" s="9">
        <v>0.0</v>
      </c>
      <c r="E980" s="9">
        <v>989.0</v>
      </c>
      <c r="F980" s="7" t="s">
        <v>820</v>
      </c>
      <c r="G980" s="7" t="s">
        <v>364</v>
      </c>
      <c r="H980" s="7" t="s">
        <v>365</v>
      </c>
      <c r="I980" s="7" t="s">
        <v>355</v>
      </c>
      <c r="J980" s="14"/>
      <c r="K980" s="14"/>
      <c r="O980" s="22"/>
      <c r="P980" s="22"/>
      <c r="Q980" s="23"/>
      <c r="R980" s="23"/>
      <c r="S980" s="14"/>
    </row>
    <row r="981" ht="18.75" customHeight="1">
      <c r="A981" s="7" t="s">
        <v>829</v>
      </c>
      <c r="B981" s="7" t="s">
        <v>3875</v>
      </c>
      <c r="C981" s="9">
        <v>169996.0</v>
      </c>
      <c r="D981" s="9">
        <v>0.0</v>
      </c>
      <c r="E981" s="9">
        <v>506.0</v>
      </c>
      <c r="F981" s="7" t="s">
        <v>830</v>
      </c>
      <c r="G981" s="7" t="s">
        <v>364</v>
      </c>
      <c r="H981" s="7" t="s">
        <v>365</v>
      </c>
      <c r="I981" s="7" t="s">
        <v>355</v>
      </c>
      <c r="J981" s="14"/>
      <c r="K981" s="14"/>
      <c r="O981" s="22"/>
      <c r="P981" s="22"/>
      <c r="Q981" s="23"/>
      <c r="R981" s="23"/>
      <c r="S981" s="14"/>
    </row>
    <row r="982" ht="18.75" customHeight="1">
      <c r="A982" s="7" t="s">
        <v>829</v>
      </c>
      <c r="B982" s="7" t="s">
        <v>3875</v>
      </c>
      <c r="C982" s="9">
        <v>1186160.0</v>
      </c>
      <c r="D982" s="9">
        <v>0.0</v>
      </c>
      <c r="E982" s="9">
        <v>1949.0</v>
      </c>
      <c r="F982" s="7" t="s">
        <v>830</v>
      </c>
      <c r="G982" s="7" t="s">
        <v>364</v>
      </c>
      <c r="H982" s="7" t="s">
        <v>365</v>
      </c>
      <c r="I982" s="7" t="s">
        <v>355</v>
      </c>
      <c r="J982" s="14"/>
      <c r="K982" s="14"/>
      <c r="O982" s="22"/>
      <c r="P982" s="22"/>
      <c r="Q982" s="23"/>
      <c r="R982" s="23"/>
      <c r="S982" s="14"/>
    </row>
    <row r="983" ht="18.75" customHeight="1">
      <c r="A983" s="7" t="s">
        <v>529</v>
      </c>
      <c r="B983" s="7" t="s">
        <v>3875</v>
      </c>
      <c r="C983" s="9">
        <v>21944.0</v>
      </c>
      <c r="D983" s="9">
        <v>0.0</v>
      </c>
      <c r="E983" s="9">
        <v>68.0</v>
      </c>
      <c r="F983" s="7" t="s">
        <v>530</v>
      </c>
      <c r="G983" s="7" t="s">
        <v>358</v>
      </c>
      <c r="H983" s="7" t="s">
        <v>387</v>
      </c>
      <c r="I983" s="7" t="s">
        <v>355</v>
      </c>
      <c r="J983" s="14"/>
      <c r="K983" s="14"/>
      <c r="O983" s="22"/>
      <c r="P983" s="22"/>
      <c r="Q983" s="23"/>
      <c r="R983" s="23"/>
      <c r="S983" s="14"/>
    </row>
    <row r="984" ht="18.75" customHeight="1">
      <c r="A984" s="7" t="s">
        <v>713</v>
      </c>
      <c r="B984" s="7" t="s">
        <v>3875</v>
      </c>
      <c r="C984" s="9">
        <v>216189.0</v>
      </c>
      <c r="D984" s="9">
        <v>0.0</v>
      </c>
      <c r="E984" s="9">
        <v>2160.0</v>
      </c>
      <c r="F984" s="7" t="s">
        <v>714</v>
      </c>
      <c r="G984" s="7" t="s">
        <v>353</v>
      </c>
      <c r="H984" s="7" t="s">
        <v>378</v>
      </c>
      <c r="I984" s="7" t="s">
        <v>355</v>
      </c>
      <c r="J984" s="14"/>
      <c r="K984" s="14"/>
      <c r="O984" s="22"/>
      <c r="P984" s="22"/>
      <c r="Q984" s="23"/>
      <c r="R984" s="23"/>
      <c r="S984" s="14"/>
    </row>
    <row r="985" ht="18.75" customHeight="1">
      <c r="A985" s="7" t="s">
        <v>713</v>
      </c>
      <c r="B985" s="7" t="s">
        <v>3875</v>
      </c>
      <c r="C985" s="9">
        <v>1246474.0</v>
      </c>
      <c r="D985" s="9">
        <v>0.0</v>
      </c>
      <c r="E985" s="9">
        <v>2187.0</v>
      </c>
      <c r="F985" s="7" t="s">
        <v>714</v>
      </c>
      <c r="G985" s="7" t="s">
        <v>353</v>
      </c>
      <c r="H985" s="7" t="s">
        <v>378</v>
      </c>
      <c r="I985" s="7" t="s">
        <v>355</v>
      </c>
      <c r="J985" s="14"/>
      <c r="K985" s="14"/>
      <c r="O985" s="22"/>
      <c r="P985" s="22"/>
      <c r="Q985" s="23"/>
      <c r="R985" s="23"/>
      <c r="S985" s="14"/>
    </row>
    <row r="986" ht="18.75" customHeight="1">
      <c r="A986" s="7" t="s">
        <v>726</v>
      </c>
      <c r="B986" s="7" t="s">
        <v>3875</v>
      </c>
      <c r="C986" s="9">
        <v>120577.0</v>
      </c>
      <c r="D986" s="9">
        <v>18611.0</v>
      </c>
      <c r="E986" s="9">
        <v>223.0</v>
      </c>
      <c r="F986" s="7" t="s">
        <v>727</v>
      </c>
      <c r="G986" s="7" t="s">
        <v>416</v>
      </c>
      <c r="H986" s="7" t="s">
        <v>417</v>
      </c>
      <c r="I986" s="7" t="s">
        <v>355</v>
      </c>
      <c r="J986" s="14"/>
      <c r="K986" s="14"/>
      <c r="O986" s="22"/>
      <c r="P986" s="22"/>
      <c r="Q986" s="23"/>
      <c r="R986" s="23"/>
      <c r="S986" s="14"/>
    </row>
    <row r="987" ht="18.75" customHeight="1">
      <c r="A987" s="7" t="s">
        <v>767</v>
      </c>
      <c r="B987" s="7" t="s">
        <v>3875</v>
      </c>
      <c r="C987" s="9">
        <v>96327.0</v>
      </c>
      <c r="D987" s="9">
        <v>5470.0</v>
      </c>
      <c r="E987" s="9">
        <v>140.0</v>
      </c>
      <c r="F987" s="7" t="s">
        <v>768</v>
      </c>
      <c r="G987" s="7" t="s">
        <v>358</v>
      </c>
      <c r="H987" s="7" t="s">
        <v>466</v>
      </c>
      <c r="I987" s="7" t="s">
        <v>355</v>
      </c>
      <c r="J987" s="14"/>
      <c r="K987" s="14"/>
      <c r="O987" s="22"/>
      <c r="P987" s="22"/>
      <c r="Q987" s="23"/>
      <c r="R987" s="23"/>
      <c r="S987" s="14"/>
    </row>
    <row r="988" ht="18.75" customHeight="1">
      <c r="A988" s="7" t="s">
        <v>767</v>
      </c>
      <c r="B988" s="7" t="s">
        <v>3875</v>
      </c>
      <c r="C988" s="9">
        <v>100248.0</v>
      </c>
      <c r="D988" s="9">
        <v>9880.0</v>
      </c>
      <c r="E988" s="9">
        <v>131.0</v>
      </c>
      <c r="F988" s="7" t="s">
        <v>768</v>
      </c>
      <c r="G988" s="7" t="s">
        <v>358</v>
      </c>
      <c r="H988" s="7" t="s">
        <v>466</v>
      </c>
      <c r="I988" s="7" t="s">
        <v>355</v>
      </c>
      <c r="J988" s="14"/>
      <c r="K988" s="14"/>
      <c r="O988" s="22"/>
      <c r="P988" s="22"/>
      <c r="Q988" s="23"/>
      <c r="R988" s="23"/>
      <c r="S988" s="14"/>
    </row>
    <row r="989" ht="18.75" customHeight="1">
      <c r="A989" s="7" t="s">
        <v>836</v>
      </c>
      <c r="B989" s="7" t="s">
        <v>3875</v>
      </c>
      <c r="C989" s="9">
        <v>13245.0</v>
      </c>
      <c r="D989" s="9">
        <v>3577.0</v>
      </c>
      <c r="E989" s="9">
        <v>26.0</v>
      </c>
      <c r="F989" s="7" t="s">
        <v>837</v>
      </c>
      <c r="G989" s="7" t="s">
        <v>416</v>
      </c>
      <c r="H989" s="7" t="s">
        <v>417</v>
      </c>
      <c r="I989" s="7" t="s">
        <v>355</v>
      </c>
      <c r="J989" s="14"/>
      <c r="K989" s="14"/>
      <c r="O989" s="22"/>
      <c r="P989" s="22"/>
      <c r="Q989" s="23"/>
      <c r="R989" s="23"/>
      <c r="S989" s="14"/>
    </row>
    <row r="990" ht="18.75" customHeight="1">
      <c r="A990" s="7" t="s">
        <v>529</v>
      </c>
      <c r="B990" s="7" t="s">
        <v>3875</v>
      </c>
      <c r="C990" s="9">
        <v>313997.0</v>
      </c>
      <c r="D990" s="9">
        <v>0.0</v>
      </c>
      <c r="E990" s="9">
        <v>443.0</v>
      </c>
      <c r="F990" s="7" t="s">
        <v>530</v>
      </c>
      <c r="G990" s="7" t="s">
        <v>358</v>
      </c>
      <c r="H990" s="7" t="s">
        <v>387</v>
      </c>
      <c r="I990" s="7" t="s">
        <v>355</v>
      </c>
      <c r="J990" s="14"/>
      <c r="K990" s="14"/>
      <c r="O990" s="22"/>
      <c r="P990" s="22"/>
      <c r="Q990" s="23"/>
      <c r="R990" s="23"/>
      <c r="S990" s="14"/>
    </row>
    <row r="991" ht="18.75" customHeight="1">
      <c r="A991" s="7" t="s">
        <v>529</v>
      </c>
      <c r="B991" s="7" t="s">
        <v>3875</v>
      </c>
      <c r="C991" s="9">
        <v>115120.0</v>
      </c>
      <c r="D991" s="9">
        <v>0.0</v>
      </c>
      <c r="E991" s="9">
        <v>455.0</v>
      </c>
      <c r="F991" s="7" t="s">
        <v>530</v>
      </c>
      <c r="G991" s="7" t="s">
        <v>358</v>
      </c>
      <c r="H991" s="7" t="s">
        <v>387</v>
      </c>
      <c r="I991" s="7" t="s">
        <v>355</v>
      </c>
      <c r="J991" s="14"/>
      <c r="K991" s="14"/>
      <c r="O991" s="22"/>
      <c r="P991" s="22"/>
      <c r="Q991" s="23"/>
      <c r="R991" s="23"/>
      <c r="S991" s="14"/>
    </row>
    <row r="992" ht="18.75" customHeight="1">
      <c r="A992" s="7" t="s">
        <v>842</v>
      </c>
      <c r="B992" s="7" t="s">
        <v>3875</v>
      </c>
      <c r="C992" s="9">
        <v>8687.0</v>
      </c>
      <c r="D992" s="9">
        <v>0.0</v>
      </c>
      <c r="E992" s="9">
        <v>17.0</v>
      </c>
      <c r="F992" s="7" t="s">
        <v>843</v>
      </c>
      <c r="G992" s="7" t="s">
        <v>416</v>
      </c>
      <c r="H992" s="7" t="s">
        <v>594</v>
      </c>
      <c r="I992" s="7" t="s">
        <v>355</v>
      </c>
      <c r="J992" s="14"/>
      <c r="K992" s="14"/>
      <c r="O992" s="22"/>
      <c r="P992" s="22"/>
      <c r="Q992" s="23"/>
      <c r="R992" s="23"/>
      <c r="S992" s="14"/>
    </row>
    <row r="993" ht="18.75" customHeight="1">
      <c r="A993" s="7" t="s">
        <v>848</v>
      </c>
      <c r="B993" s="7" t="s">
        <v>3875</v>
      </c>
      <c r="C993" s="9">
        <v>97996.0</v>
      </c>
      <c r="D993" s="9">
        <v>0.0</v>
      </c>
      <c r="E993" s="9">
        <v>273.0</v>
      </c>
      <c r="F993" s="7" t="s">
        <v>849</v>
      </c>
      <c r="G993" s="7" t="s">
        <v>416</v>
      </c>
      <c r="H993" s="7" t="s">
        <v>466</v>
      </c>
      <c r="I993" s="7" t="s">
        <v>355</v>
      </c>
      <c r="J993" s="14"/>
      <c r="K993" s="14"/>
      <c r="O993" s="22"/>
      <c r="P993" s="22"/>
      <c r="Q993" s="23"/>
      <c r="R993" s="23"/>
      <c r="S993" s="14"/>
    </row>
    <row r="994" ht="18.75" customHeight="1">
      <c r="A994" s="7" t="s">
        <v>852</v>
      </c>
      <c r="B994" s="7" t="s">
        <v>3875</v>
      </c>
      <c r="C994" s="9">
        <v>398512.0</v>
      </c>
      <c r="D994" s="9">
        <v>0.0</v>
      </c>
      <c r="E994" s="9">
        <v>594.0</v>
      </c>
      <c r="F994" s="7" t="s">
        <v>853</v>
      </c>
      <c r="G994" s="7" t="s">
        <v>416</v>
      </c>
      <c r="H994" s="7" t="s">
        <v>466</v>
      </c>
      <c r="I994" s="7" t="s">
        <v>355</v>
      </c>
      <c r="J994" s="14"/>
      <c r="K994" s="14"/>
      <c r="O994" s="22"/>
      <c r="P994" s="22"/>
      <c r="Q994" s="23"/>
      <c r="R994" s="23"/>
      <c r="S994" s="14"/>
    </row>
    <row r="995" ht="18.75" customHeight="1">
      <c r="A995" s="7" t="s">
        <v>723</v>
      </c>
      <c r="B995" s="7" t="s">
        <v>3875</v>
      </c>
      <c r="C995" s="9">
        <v>9858.0</v>
      </c>
      <c r="D995" s="9">
        <v>0.0</v>
      </c>
      <c r="E995" s="9">
        <v>88.0</v>
      </c>
      <c r="F995" s="7" t="s">
        <v>724</v>
      </c>
      <c r="G995" s="7" t="s">
        <v>416</v>
      </c>
      <c r="H995" s="7" t="s">
        <v>725</v>
      </c>
      <c r="I995" s="7" t="s">
        <v>355</v>
      </c>
      <c r="J995" s="14"/>
      <c r="K995" s="14"/>
      <c r="O995" s="22"/>
      <c r="P995" s="22"/>
      <c r="Q995" s="23"/>
      <c r="R995" s="23"/>
      <c r="S995" s="14"/>
    </row>
    <row r="996" ht="18.75" customHeight="1">
      <c r="A996" s="7" t="s">
        <v>723</v>
      </c>
      <c r="B996" s="7" t="s">
        <v>3875</v>
      </c>
      <c r="C996" s="9">
        <v>21423.0</v>
      </c>
      <c r="D996" s="9">
        <v>0.0</v>
      </c>
      <c r="E996" s="9">
        <v>71.0</v>
      </c>
      <c r="F996" s="7" t="s">
        <v>724</v>
      </c>
      <c r="G996" s="7" t="s">
        <v>416</v>
      </c>
      <c r="H996" s="7" t="s">
        <v>725</v>
      </c>
      <c r="I996" s="7" t="s">
        <v>355</v>
      </c>
      <c r="J996" s="14"/>
      <c r="K996" s="14"/>
      <c r="O996" s="22"/>
      <c r="P996" s="22"/>
      <c r="Q996" s="23"/>
      <c r="R996" s="23"/>
      <c r="S996" s="14"/>
    </row>
    <row r="997" ht="18.75" customHeight="1">
      <c r="A997" s="7" t="s">
        <v>815</v>
      </c>
      <c r="B997" s="7" t="s">
        <v>3875</v>
      </c>
      <c r="C997" s="9">
        <v>940600.0</v>
      </c>
      <c r="D997" s="9">
        <v>59156.0</v>
      </c>
      <c r="E997" s="9">
        <v>1160.0</v>
      </c>
      <c r="F997" s="7" t="s">
        <v>816</v>
      </c>
      <c r="G997" s="7" t="s">
        <v>404</v>
      </c>
      <c r="H997" s="7" t="s">
        <v>783</v>
      </c>
      <c r="I997" s="7" t="s">
        <v>355</v>
      </c>
      <c r="J997" s="14"/>
      <c r="K997" s="14"/>
      <c r="O997" s="22"/>
      <c r="P997" s="22"/>
      <c r="Q997" s="23"/>
      <c r="R997" s="23"/>
      <c r="S997" s="14"/>
    </row>
    <row r="998" ht="18.75" customHeight="1">
      <c r="A998" s="7" t="s">
        <v>769</v>
      </c>
      <c r="B998" s="7" t="s">
        <v>3875</v>
      </c>
      <c r="C998" s="9">
        <v>146683.0</v>
      </c>
      <c r="D998" s="9">
        <v>3431.0</v>
      </c>
      <c r="E998" s="9">
        <v>149.0</v>
      </c>
      <c r="F998" s="7" t="s">
        <v>770</v>
      </c>
      <c r="G998" s="7" t="s">
        <v>404</v>
      </c>
      <c r="H998" s="7" t="s">
        <v>405</v>
      </c>
      <c r="I998" s="7" t="s">
        <v>355</v>
      </c>
      <c r="J998" s="14"/>
      <c r="K998" s="14"/>
      <c r="O998" s="22"/>
      <c r="P998" s="22"/>
      <c r="Q998" s="23"/>
      <c r="R998" s="23"/>
      <c r="S998" s="14"/>
    </row>
    <row r="999" ht="18.75" customHeight="1">
      <c r="A999" s="7" t="s">
        <v>769</v>
      </c>
      <c r="B999" s="7" t="s">
        <v>3875</v>
      </c>
      <c r="C999" s="9">
        <v>144634.0</v>
      </c>
      <c r="D999" s="9">
        <v>6294.0</v>
      </c>
      <c r="E999" s="9">
        <v>144.0</v>
      </c>
      <c r="F999" s="7" t="s">
        <v>770</v>
      </c>
      <c r="G999" s="7" t="s">
        <v>404</v>
      </c>
      <c r="H999" s="7" t="s">
        <v>405</v>
      </c>
      <c r="I999" s="7" t="s">
        <v>355</v>
      </c>
      <c r="J999" s="14"/>
      <c r="K999" s="14"/>
      <c r="O999" s="22"/>
      <c r="P999" s="22"/>
      <c r="Q999" s="23"/>
      <c r="R999" s="23"/>
      <c r="S999" s="14"/>
    </row>
    <row r="1000" ht="18.75" customHeight="1">
      <c r="A1000" s="7" t="s">
        <v>769</v>
      </c>
      <c r="B1000" s="7" t="s">
        <v>3875</v>
      </c>
      <c r="C1000" s="9">
        <v>139625.0</v>
      </c>
      <c r="D1000" s="9">
        <v>3965.0</v>
      </c>
      <c r="E1000" s="9">
        <v>123.0</v>
      </c>
      <c r="F1000" s="7" t="s">
        <v>770</v>
      </c>
      <c r="G1000" s="7" t="s">
        <v>404</v>
      </c>
      <c r="H1000" s="7" t="s">
        <v>405</v>
      </c>
      <c r="I1000" s="7" t="s">
        <v>355</v>
      </c>
      <c r="J1000" s="14"/>
      <c r="K1000" s="14"/>
      <c r="O1000" s="22"/>
      <c r="P1000" s="22"/>
      <c r="Q1000" s="23"/>
      <c r="R1000" s="23"/>
      <c r="S1000" s="14"/>
    </row>
    <row r="1001" ht="18.75" customHeight="1">
      <c r="A1001" s="7" t="s">
        <v>854</v>
      </c>
      <c r="B1001" s="7" t="s">
        <v>3875</v>
      </c>
      <c r="C1001" s="9">
        <v>492445.0</v>
      </c>
      <c r="D1001" s="9">
        <v>0.0</v>
      </c>
      <c r="E1001" s="9">
        <v>601.0</v>
      </c>
      <c r="F1001" s="7" t="s">
        <v>855</v>
      </c>
      <c r="G1001" s="7" t="s">
        <v>416</v>
      </c>
      <c r="H1001" s="7" t="s">
        <v>466</v>
      </c>
      <c r="I1001" s="7" t="s">
        <v>355</v>
      </c>
      <c r="J1001" s="14"/>
      <c r="K1001" s="14"/>
      <c r="O1001" s="22"/>
      <c r="P1001" s="22"/>
      <c r="Q1001" s="23"/>
      <c r="R1001" s="23"/>
      <c r="S1001" s="14"/>
    </row>
    <row r="1002" ht="18.75" customHeight="1">
      <c r="A1002" s="7" t="s">
        <v>3888</v>
      </c>
      <c r="B1002" s="7" t="s">
        <v>3875</v>
      </c>
      <c r="C1002" s="9">
        <v>47331.0</v>
      </c>
      <c r="D1002" s="9">
        <v>0.0</v>
      </c>
      <c r="E1002" s="9">
        <v>114.0</v>
      </c>
      <c r="F1002" s="14"/>
      <c r="G1002" s="14"/>
      <c r="H1002" s="14"/>
      <c r="I1002" s="14"/>
      <c r="J1002" s="14"/>
      <c r="K1002" s="14"/>
      <c r="O1002" s="22"/>
      <c r="P1002" s="22"/>
      <c r="Q1002" s="23"/>
      <c r="R1002" s="23"/>
      <c r="S1002" s="14"/>
    </row>
    <row r="1003" ht="18.75" customHeight="1">
      <c r="A1003" s="7" t="s">
        <v>505</v>
      </c>
      <c r="B1003" s="7" t="s">
        <v>3875</v>
      </c>
      <c r="C1003" s="9">
        <v>148486.0</v>
      </c>
      <c r="D1003" s="9">
        <v>0.0</v>
      </c>
      <c r="E1003" s="9">
        <v>670.0</v>
      </c>
      <c r="F1003" s="7" t="s">
        <v>506</v>
      </c>
      <c r="G1003" s="7" t="s">
        <v>358</v>
      </c>
      <c r="H1003" s="7" t="s">
        <v>365</v>
      </c>
      <c r="I1003" s="7" t="s">
        <v>355</v>
      </c>
      <c r="J1003" s="14"/>
      <c r="K1003" s="14"/>
      <c r="O1003" s="22"/>
      <c r="P1003" s="22"/>
      <c r="Q1003" s="23"/>
      <c r="R1003" s="23"/>
      <c r="S1003" s="14"/>
    </row>
    <row r="1004" ht="18.75" customHeight="1">
      <c r="A1004" s="7" t="s">
        <v>761</v>
      </c>
      <c r="B1004" s="7" t="s">
        <v>3875</v>
      </c>
      <c r="C1004" s="9">
        <v>746356.0</v>
      </c>
      <c r="D1004" s="9">
        <v>20037.0</v>
      </c>
      <c r="E1004" s="9">
        <v>2487.0</v>
      </c>
      <c r="F1004" s="7" t="s">
        <v>762</v>
      </c>
      <c r="G1004" s="7" t="s">
        <v>404</v>
      </c>
      <c r="H1004" s="7" t="s">
        <v>760</v>
      </c>
      <c r="I1004" s="7" t="s">
        <v>355</v>
      </c>
      <c r="J1004" s="14"/>
      <c r="K1004" s="14"/>
      <c r="O1004" s="22"/>
      <c r="P1004" s="22"/>
      <c r="Q1004" s="23"/>
      <c r="R1004" s="23"/>
      <c r="S1004" s="14"/>
    </row>
    <row r="1005" ht="18.75" customHeight="1">
      <c r="A1005" s="7" t="s">
        <v>761</v>
      </c>
      <c r="B1005" s="7" t="s">
        <v>3875</v>
      </c>
      <c r="C1005" s="9">
        <v>1246993.0</v>
      </c>
      <c r="D1005" s="9">
        <v>133500.0</v>
      </c>
      <c r="E1005" s="9">
        <v>1396.0</v>
      </c>
      <c r="F1005" s="7" t="s">
        <v>762</v>
      </c>
      <c r="G1005" s="7" t="s">
        <v>404</v>
      </c>
      <c r="H1005" s="7" t="s">
        <v>760</v>
      </c>
      <c r="I1005" s="7" t="s">
        <v>355</v>
      </c>
      <c r="J1005" s="14"/>
      <c r="K1005" s="14"/>
      <c r="O1005" s="22"/>
      <c r="P1005" s="22"/>
      <c r="Q1005" s="23"/>
      <c r="R1005" s="23"/>
      <c r="S1005" s="14"/>
    </row>
    <row r="1006" ht="18.75" customHeight="1">
      <c r="A1006" s="7" t="s">
        <v>876</v>
      </c>
      <c r="B1006" s="7" t="s">
        <v>3875</v>
      </c>
      <c r="C1006" s="9">
        <v>225544.0</v>
      </c>
      <c r="D1006" s="9">
        <v>0.0</v>
      </c>
      <c r="E1006" s="9">
        <v>367.0</v>
      </c>
      <c r="F1006" s="7" t="s">
        <v>877</v>
      </c>
      <c r="G1006" s="7" t="s">
        <v>416</v>
      </c>
      <c r="H1006" s="7" t="s">
        <v>725</v>
      </c>
      <c r="I1006" s="7" t="s">
        <v>355</v>
      </c>
      <c r="J1006" s="14"/>
      <c r="K1006" s="14"/>
      <c r="O1006" s="22"/>
      <c r="P1006" s="22"/>
      <c r="Q1006" s="23"/>
      <c r="R1006" s="23"/>
      <c r="S1006" s="14"/>
    </row>
    <row r="1007" ht="18.75" customHeight="1">
      <c r="A1007" s="7" t="s">
        <v>709</v>
      </c>
      <c r="B1007" s="7" t="s">
        <v>3875</v>
      </c>
      <c r="C1007" s="9">
        <v>502187.0</v>
      </c>
      <c r="D1007" s="9">
        <v>3605.0</v>
      </c>
      <c r="E1007" s="9">
        <v>22865.0</v>
      </c>
      <c r="F1007" s="7" t="s">
        <v>710</v>
      </c>
      <c r="G1007" s="7" t="s">
        <v>404</v>
      </c>
      <c r="H1007" s="7" t="s">
        <v>667</v>
      </c>
      <c r="I1007" s="7" t="s">
        <v>410</v>
      </c>
      <c r="J1007" s="14"/>
      <c r="K1007" s="14"/>
      <c r="O1007" s="22"/>
      <c r="P1007" s="22"/>
      <c r="Q1007" s="23"/>
      <c r="R1007" s="23"/>
      <c r="S1007" s="14"/>
    </row>
    <row r="1008" ht="18.75" customHeight="1">
      <c r="A1008" s="7" t="s">
        <v>709</v>
      </c>
      <c r="B1008" s="7" t="s">
        <v>3875</v>
      </c>
      <c r="C1008" s="9">
        <v>285429.0</v>
      </c>
      <c r="D1008" s="9">
        <v>5058.0</v>
      </c>
      <c r="E1008" s="9">
        <v>15949.0</v>
      </c>
      <c r="F1008" s="7" t="s">
        <v>710</v>
      </c>
      <c r="G1008" s="7" t="s">
        <v>404</v>
      </c>
      <c r="H1008" s="7" t="s">
        <v>667</v>
      </c>
      <c r="I1008" s="7" t="s">
        <v>410</v>
      </c>
      <c r="J1008" s="14"/>
      <c r="K1008" s="14"/>
      <c r="O1008" s="22"/>
      <c r="P1008" s="22"/>
      <c r="Q1008" s="23"/>
      <c r="R1008" s="23"/>
      <c r="S1008" s="14"/>
    </row>
    <row r="1009" ht="18.75" customHeight="1">
      <c r="A1009" s="7" t="s">
        <v>858</v>
      </c>
      <c r="B1009" s="7" t="s">
        <v>3875</v>
      </c>
      <c r="C1009" s="9">
        <v>201113.0</v>
      </c>
      <c r="D1009" s="9">
        <v>0.0</v>
      </c>
      <c r="E1009" s="9">
        <v>549.0</v>
      </c>
      <c r="F1009" s="7" t="s">
        <v>859</v>
      </c>
      <c r="G1009" s="7" t="s">
        <v>416</v>
      </c>
      <c r="H1009" s="7" t="s">
        <v>725</v>
      </c>
      <c r="I1009" s="7" t="s">
        <v>355</v>
      </c>
      <c r="J1009" s="14"/>
      <c r="K1009" s="14"/>
      <c r="O1009" s="22"/>
      <c r="P1009" s="22"/>
      <c r="Q1009" s="23"/>
      <c r="R1009" s="23"/>
      <c r="S1009" s="14"/>
    </row>
    <row r="1010" ht="18.75" customHeight="1">
      <c r="A1010" s="7" t="s">
        <v>699</v>
      </c>
      <c r="B1010" s="7" t="s">
        <v>3875</v>
      </c>
      <c r="C1010" s="9">
        <v>191811.0</v>
      </c>
      <c r="D1010" s="9">
        <v>0.0</v>
      </c>
      <c r="E1010" s="9">
        <v>625.0</v>
      </c>
      <c r="F1010" s="7" t="s">
        <v>700</v>
      </c>
      <c r="G1010" s="7" t="s">
        <v>353</v>
      </c>
      <c r="H1010" s="7" t="s">
        <v>378</v>
      </c>
      <c r="I1010" s="7" t="s">
        <v>355</v>
      </c>
      <c r="J1010" s="14"/>
      <c r="K1010" s="14"/>
      <c r="O1010" s="22"/>
      <c r="P1010" s="22"/>
      <c r="Q1010" s="23"/>
      <c r="R1010" s="23"/>
      <c r="S1010" s="14"/>
    </row>
    <row r="1011" ht="18.75" customHeight="1">
      <c r="A1011" s="7" t="s">
        <v>699</v>
      </c>
      <c r="B1011" s="7" t="s">
        <v>3875</v>
      </c>
      <c r="C1011" s="9">
        <v>578771.0</v>
      </c>
      <c r="D1011" s="9">
        <v>0.0</v>
      </c>
      <c r="E1011" s="9">
        <v>1010.0</v>
      </c>
      <c r="F1011" s="7" t="s">
        <v>700</v>
      </c>
      <c r="G1011" s="7" t="s">
        <v>353</v>
      </c>
      <c r="H1011" s="7" t="s">
        <v>378</v>
      </c>
      <c r="I1011" s="7" t="s">
        <v>355</v>
      </c>
      <c r="J1011" s="14"/>
      <c r="K1011" s="14"/>
      <c r="O1011" s="22"/>
      <c r="P1011" s="22"/>
      <c r="Q1011" s="23"/>
      <c r="R1011" s="23"/>
      <c r="S1011" s="14"/>
    </row>
    <row r="1012" ht="18.75" customHeight="1">
      <c r="A1012" s="7" t="s">
        <v>728</v>
      </c>
      <c r="B1012" s="7" t="s">
        <v>3875</v>
      </c>
      <c r="C1012" s="9">
        <v>18463.0</v>
      </c>
      <c r="D1012" s="9">
        <v>2905.0</v>
      </c>
      <c r="E1012" s="9">
        <v>62.0</v>
      </c>
      <c r="F1012" s="7" t="s">
        <v>729</v>
      </c>
      <c r="G1012" s="7" t="s">
        <v>416</v>
      </c>
      <c r="H1012" s="7" t="s">
        <v>417</v>
      </c>
      <c r="I1012" s="7" t="s">
        <v>355</v>
      </c>
      <c r="J1012" s="14"/>
      <c r="K1012" s="14"/>
      <c r="O1012" s="22"/>
      <c r="P1012" s="22"/>
      <c r="Q1012" s="23"/>
      <c r="R1012" s="23"/>
      <c r="S1012" s="14"/>
    </row>
    <row r="1013" ht="18.75" customHeight="1">
      <c r="A1013" s="7" t="s">
        <v>850</v>
      </c>
      <c r="B1013" s="7" t="s">
        <v>3875</v>
      </c>
      <c r="C1013" s="9">
        <v>135156.0</v>
      </c>
      <c r="D1013" s="9">
        <v>0.0</v>
      </c>
      <c r="E1013" s="9">
        <v>335.0</v>
      </c>
      <c r="F1013" s="7" t="s">
        <v>851</v>
      </c>
      <c r="G1013" s="7" t="s">
        <v>416</v>
      </c>
      <c r="H1013" s="7" t="s">
        <v>466</v>
      </c>
      <c r="I1013" s="7" t="s">
        <v>355</v>
      </c>
      <c r="J1013" s="14"/>
      <c r="K1013" s="14"/>
      <c r="O1013" s="22"/>
      <c r="P1013" s="22"/>
      <c r="Q1013" s="23"/>
      <c r="R1013" s="23"/>
      <c r="S1013" s="14"/>
    </row>
    <row r="1014" ht="18.75" customHeight="1">
      <c r="A1014" s="7" t="s">
        <v>878</v>
      </c>
      <c r="B1014" s="7" t="s">
        <v>3875</v>
      </c>
      <c r="C1014" s="9">
        <v>204241.0</v>
      </c>
      <c r="D1014" s="9">
        <v>40520.0</v>
      </c>
      <c r="E1014" s="9">
        <v>226.0</v>
      </c>
      <c r="F1014" s="7" t="s">
        <v>879</v>
      </c>
      <c r="G1014" s="7" t="s">
        <v>353</v>
      </c>
      <c r="H1014" s="7" t="s">
        <v>354</v>
      </c>
      <c r="I1014" s="7" t="s">
        <v>355</v>
      </c>
      <c r="J1014" s="14"/>
      <c r="K1014" s="14"/>
      <c r="O1014" s="22"/>
      <c r="P1014" s="22"/>
      <c r="Q1014" s="23"/>
      <c r="R1014" s="23"/>
      <c r="S1014" s="14"/>
    </row>
    <row r="1015" ht="18.75" customHeight="1">
      <c r="A1015" s="7" t="s">
        <v>730</v>
      </c>
      <c r="B1015" s="7" t="s">
        <v>3875</v>
      </c>
      <c r="C1015" s="9">
        <v>64919.0</v>
      </c>
      <c r="D1015" s="9">
        <v>7940.0</v>
      </c>
      <c r="E1015" s="9">
        <v>75.0</v>
      </c>
      <c r="F1015" s="7" t="s">
        <v>731</v>
      </c>
      <c r="G1015" s="7" t="s">
        <v>416</v>
      </c>
      <c r="H1015" s="7" t="s">
        <v>417</v>
      </c>
      <c r="I1015" s="7" t="s">
        <v>355</v>
      </c>
      <c r="J1015" s="14"/>
      <c r="K1015" s="14"/>
      <c r="O1015" s="22"/>
      <c r="P1015" s="22"/>
      <c r="Q1015" s="23"/>
      <c r="R1015" s="23"/>
      <c r="S1015" s="14"/>
    </row>
    <row r="1016" ht="18.75" customHeight="1">
      <c r="A1016" s="7" t="s">
        <v>773</v>
      </c>
      <c r="B1016" s="7" t="s">
        <v>3875</v>
      </c>
      <c r="C1016" s="9">
        <v>2664629.0</v>
      </c>
      <c r="D1016" s="9">
        <v>150735.0</v>
      </c>
      <c r="E1016" s="9">
        <v>2261.0</v>
      </c>
      <c r="F1016" s="7" t="s">
        <v>774</v>
      </c>
      <c r="G1016" s="7" t="s">
        <v>404</v>
      </c>
      <c r="H1016" s="7" t="s">
        <v>405</v>
      </c>
      <c r="I1016" s="7" t="s">
        <v>355</v>
      </c>
      <c r="J1016" s="14"/>
      <c r="K1016" s="14"/>
      <c r="O1016" s="22"/>
      <c r="P1016" s="22"/>
      <c r="Q1016" s="23"/>
      <c r="R1016" s="23"/>
      <c r="S1016" s="14"/>
    </row>
    <row r="1017" ht="18.75" customHeight="1">
      <c r="A1017" s="7" t="s">
        <v>773</v>
      </c>
      <c r="B1017" s="7" t="s">
        <v>3875</v>
      </c>
      <c r="C1017" s="9">
        <v>723538.0</v>
      </c>
      <c r="D1017" s="9">
        <v>31197.0</v>
      </c>
      <c r="E1017" s="9">
        <v>646.0</v>
      </c>
      <c r="F1017" s="7" t="s">
        <v>774</v>
      </c>
      <c r="G1017" s="7" t="s">
        <v>404</v>
      </c>
      <c r="H1017" s="7" t="s">
        <v>405</v>
      </c>
      <c r="I1017" s="7" t="s">
        <v>355</v>
      </c>
      <c r="J1017" s="14"/>
      <c r="K1017" s="14"/>
      <c r="O1017" s="22"/>
      <c r="P1017" s="22"/>
      <c r="Q1017" s="23"/>
      <c r="R1017" s="23"/>
      <c r="S1017" s="14"/>
    </row>
    <row r="1018" ht="18.75" customHeight="1">
      <c r="A1018" s="7" t="s">
        <v>3750</v>
      </c>
      <c r="B1018" s="7" t="s">
        <v>3875</v>
      </c>
      <c r="C1018" s="9">
        <v>7656.0</v>
      </c>
      <c r="D1018" s="9">
        <v>0.0</v>
      </c>
      <c r="E1018" s="9">
        <v>12.0</v>
      </c>
      <c r="F1018" s="7" t="s">
        <v>3889</v>
      </c>
      <c r="G1018" s="7" t="s">
        <v>416</v>
      </c>
      <c r="H1018" s="7" t="s">
        <v>594</v>
      </c>
      <c r="I1018" s="7" t="s">
        <v>3886</v>
      </c>
      <c r="J1018" s="14"/>
      <c r="K1018" s="14"/>
      <c r="O1018" s="22"/>
      <c r="P1018" s="22"/>
      <c r="Q1018" s="23"/>
      <c r="R1018" s="23"/>
      <c r="S1018" s="14"/>
    </row>
    <row r="1019" ht="18.75" customHeight="1">
      <c r="A1019" s="7" t="s">
        <v>888</v>
      </c>
      <c r="B1019" s="7" t="s">
        <v>3875</v>
      </c>
      <c r="C1019" s="9">
        <v>127335.0</v>
      </c>
      <c r="D1019" s="9">
        <v>0.0</v>
      </c>
      <c r="E1019" s="9">
        <v>505.0</v>
      </c>
      <c r="F1019" s="7" t="s">
        <v>889</v>
      </c>
      <c r="G1019" s="7" t="s">
        <v>416</v>
      </c>
      <c r="H1019" s="7" t="s">
        <v>783</v>
      </c>
      <c r="I1019" s="7" t="s">
        <v>355</v>
      </c>
      <c r="J1019" s="14"/>
      <c r="K1019" s="14"/>
      <c r="O1019" s="22"/>
      <c r="P1019" s="22"/>
      <c r="Q1019" s="23"/>
      <c r="R1019" s="23"/>
      <c r="S1019" s="14"/>
    </row>
    <row r="1020" ht="18.75" customHeight="1">
      <c r="A1020" s="7" t="s">
        <v>802</v>
      </c>
      <c r="B1020" s="7" t="s">
        <v>3875</v>
      </c>
      <c r="C1020" s="9">
        <v>26103.0</v>
      </c>
      <c r="D1020" s="9">
        <v>4705.0</v>
      </c>
      <c r="E1020" s="9">
        <v>51.0</v>
      </c>
      <c r="F1020" s="7" t="s">
        <v>803</v>
      </c>
      <c r="G1020" s="7" t="s">
        <v>416</v>
      </c>
      <c r="H1020" s="7" t="s">
        <v>417</v>
      </c>
      <c r="I1020" s="7" t="s">
        <v>355</v>
      </c>
      <c r="J1020" s="14"/>
      <c r="K1020" s="14"/>
      <c r="O1020" s="22"/>
      <c r="P1020" s="22"/>
      <c r="Q1020" s="23"/>
      <c r="R1020" s="23"/>
      <c r="S1020" s="14"/>
    </row>
    <row r="1021" ht="18.75" customHeight="1">
      <c r="A1021" s="7" t="s">
        <v>902</v>
      </c>
      <c r="B1021" s="7" t="s">
        <v>3875</v>
      </c>
      <c r="C1021" s="9">
        <v>26279.0</v>
      </c>
      <c r="D1021" s="9">
        <v>10068.0</v>
      </c>
      <c r="E1021" s="9">
        <v>773.0</v>
      </c>
      <c r="F1021" s="7" t="s">
        <v>903</v>
      </c>
      <c r="G1021" s="7" t="s">
        <v>416</v>
      </c>
      <c r="H1021" s="7" t="s">
        <v>417</v>
      </c>
      <c r="I1021" s="7" t="s">
        <v>355</v>
      </c>
      <c r="J1021" s="14"/>
      <c r="K1021" s="14"/>
      <c r="O1021" s="22"/>
      <c r="P1021" s="22"/>
      <c r="Q1021" s="23"/>
      <c r="R1021" s="23"/>
      <c r="S1021" s="14"/>
    </row>
    <row r="1022" ht="18.75" customHeight="1">
      <c r="A1022" s="7" t="s">
        <v>3751</v>
      </c>
      <c r="B1022" s="7" t="s">
        <v>3875</v>
      </c>
      <c r="C1022" s="9">
        <v>11463.0</v>
      </c>
      <c r="D1022" s="9">
        <v>4261.0</v>
      </c>
      <c r="E1022" s="9">
        <v>358.0</v>
      </c>
      <c r="F1022" s="7" t="s">
        <v>3890</v>
      </c>
      <c r="G1022" s="7" t="s">
        <v>416</v>
      </c>
      <c r="H1022" s="7" t="s">
        <v>417</v>
      </c>
      <c r="I1022" s="7" t="s">
        <v>3886</v>
      </c>
      <c r="J1022" s="14"/>
      <c r="K1022" s="14"/>
      <c r="O1022" s="22"/>
      <c r="P1022" s="22"/>
      <c r="Q1022" s="23"/>
      <c r="R1022" s="23"/>
      <c r="S1022" s="14"/>
    </row>
    <row r="1023" ht="18.75" customHeight="1">
      <c r="A1023" s="7" t="s">
        <v>3866</v>
      </c>
      <c r="B1023" s="7" t="s">
        <v>3875</v>
      </c>
      <c r="C1023" s="9">
        <v>3638.0</v>
      </c>
      <c r="D1023" s="9">
        <v>0.0</v>
      </c>
      <c r="E1023" s="9">
        <v>19.0</v>
      </c>
      <c r="F1023" s="7" t="s">
        <v>3891</v>
      </c>
      <c r="G1023" s="7" t="s">
        <v>416</v>
      </c>
      <c r="H1023" s="7" t="s">
        <v>354</v>
      </c>
      <c r="I1023" s="7" t="s">
        <v>3886</v>
      </c>
      <c r="J1023" s="14"/>
      <c r="K1023" s="14"/>
      <c r="O1023" s="22"/>
      <c r="P1023" s="22"/>
      <c r="Q1023" s="23"/>
      <c r="R1023" s="23"/>
      <c r="S1023" s="14"/>
    </row>
    <row r="1024" ht="18.75" customHeight="1">
      <c r="A1024" s="7" t="s">
        <v>545</v>
      </c>
      <c r="B1024" s="7" t="s">
        <v>3875</v>
      </c>
      <c r="C1024" s="9">
        <v>407570.0</v>
      </c>
      <c r="D1024" s="9">
        <v>12867.0</v>
      </c>
      <c r="E1024" s="9">
        <v>227.0</v>
      </c>
      <c r="F1024" s="7" t="s">
        <v>546</v>
      </c>
      <c r="G1024" s="7" t="s">
        <v>404</v>
      </c>
      <c r="H1024" s="7" t="s">
        <v>405</v>
      </c>
      <c r="I1024" s="7" t="s">
        <v>2117</v>
      </c>
      <c r="J1024" s="14"/>
      <c r="K1024" s="14"/>
      <c r="O1024" s="22"/>
      <c r="P1024" s="22"/>
      <c r="Q1024" s="23"/>
      <c r="R1024" s="23"/>
      <c r="S1024" s="14"/>
    </row>
    <row r="1025" ht="18.75" customHeight="1">
      <c r="A1025" s="7" t="s">
        <v>918</v>
      </c>
      <c r="B1025" s="7" t="s">
        <v>3875</v>
      </c>
      <c r="C1025" s="9">
        <v>30418.0</v>
      </c>
      <c r="D1025" s="9">
        <v>0.0</v>
      </c>
      <c r="E1025" s="9">
        <v>85.0</v>
      </c>
      <c r="F1025" s="7" t="s">
        <v>919</v>
      </c>
      <c r="G1025" s="7" t="s">
        <v>416</v>
      </c>
      <c r="H1025" s="7" t="s">
        <v>594</v>
      </c>
      <c r="I1025" s="7" t="s">
        <v>355</v>
      </c>
      <c r="J1025" s="14"/>
      <c r="K1025" s="14"/>
      <c r="O1025" s="22"/>
      <c r="P1025" s="22"/>
      <c r="Q1025" s="23"/>
      <c r="R1025" s="23"/>
      <c r="S1025" s="14"/>
    </row>
    <row r="1026" ht="18.75" customHeight="1">
      <c r="A1026" s="7" t="s">
        <v>916</v>
      </c>
      <c r="B1026" s="7" t="s">
        <v>3875</v>
      </c>
      <c r="C1026" s="9">
        <v>288883.0</v>
      </c>
      <c r="D1026" s="9">
        <v>0.0</v>
      </c>
      <c r="E1026" s="9">
        <v>17.0</v>
      </c>
      <c r="F1026" s="7" t="s">
        <v>917</v>
      </c>
      <c r="G1026" s="7" t="s">
        <v>364</v>
      </c>
      <c r="H1026" s="7" t="s">
        <v>365</v>
      </c>
      <c r="I1026" s="7" t="s">
        <v>355</v>
      </c>
      <c r="J1026" s="14"/>
      <c r="K1026" s="14"/>
      <c r="O1026" s="22"/>
      <c r="P1026" s="22"/>
      <c r="Q1026" s="23"/>
      <c r="R1026" s="23"/>
      <c r="S1026" s="14"/>
    </row>
    <row r="1027" ht="18.75" customHeight="1">
      <c r="A1027" s="7" t="s">
        <v>836</v>
      </c>
      <c r="B1027" s="7" t="s">
        <v>3875</v>
      </c>
      <c r="C1027" s="9">
        <v>43869.0</v>
      </c>
      <c r="D1027" s="9">
        <v>6515.0</v>
      </c>
      <c r="E1027" s="9">
        <v>45.0</v>
      </c>
      <c r="F1027" s="7" t="s">
        <v>837</v>
      </c>
      <c r="G1027" s="7" t="s">
        <v>416</v>
      </c>
      <c r="H1027" s="7" t="s">
        <v>417</v>
      </c>
      <c r="I1027" s="7" t="s">
        <v>355</v>
      </c>
      <c r="J1027" s="14"/>
      <c r="K1027" s="14"/>
      <c r="O1027" s="22"/>
      <c r="P1027" s="22"/>
      <c r="Q1027" s="23"/>
      <c r="R1027" s="23"/>
      <c r="S1027" s="14"/>
    </row>
    <row r="1028" ht="18.75" customHeight="1">
      <c r="A1028" s="7" t="s">
        <v>1059</v>
      </c>
      <c r="B1028" s="7" t="s">
        <v>3875</v>
      </c>
      <c r="C1028" s="9">
        <v>420966.0</v>
      </c>
      <c r="D1028" s="9">
        <v>157549.0</v>
      </c>
      <c r="E1028" s="9">
        <v>28083.0</v>
      </c>
      <c r="F1028" s="7" t="s">
        <v>1060</v>
      </c>
      <c r="G1028" s="7" t="s">
        <v>358</v>
      </c>
      <c r="H1028" s="7" t="s">
        <v>466</v>
      </c>
      <c r="I1028" s="7" t="s">
        <v>355</v>
      </c>
      <c r="J1028" s="14"/>
      <c r="K1028" s="14"/>
      <c r="O1028" s="22"/>
      <c r="P1028" s="22"/>
      <c r="Q1028" s="23"/>
      <c r="R1028" s="23"/>
      <c r="S1028" s="14"/>
    </row>
    <row r="1029" ht="18.75" customHeight="1">
      <c r="A1029" s="7" t="s">
        <v>1059</v>
      </c>
      <c r="B1029" s="7" t="s">
        <v>3875</v>
      </c>
      <c r="C1029" s="9">
        <v>319865.0</v>
      </c>
      <c r="D1029" s="9">
        <v>97943.0</v>
      </c>
      <c r="E1029" s="9">
        <v>10273.0</v>
      </c>
      <c r="F1029" s="7" t="s">
        <v>1060</v>
      </c>
      <c r="G1029" s="7" t="s">
        <v>358</v>
      </c>
      <c r="H1029" s="7" t="s">
        <v>466</v>
      </c>
      <c r="I1029" s="7" t="s">
        <v>355</v>
      </c>
      <c r="J1029" s="14"/>
      <c r="K1029" s="14"/>
      <c r="O1029" s="22"/>
      <c r="P1029" s="22"/>
      <c r="Q1029" s="23"/>
      <c r="R1029" s="23"/>
      <c r="S1029" s="14"/>
    </row>
    <row r="1030" ht="18.75" customHeight="1">
      <c r="A1030" s="7" t="s">
        <v>908</v>
      </c>
      <c r="B1030" s="7" t="s">
        <v>3875</v>
      </c>
      <c r="C1030" s="9">
        <v>77829.0</v>
      </c>
      <c r="D1030" s="9">
        <v>0.0</v>
      </c>
      <c r="E1030" s="9">
        <v>654.0</v>
      </c>
      <c r="F1030" s="7" t="s">
        <v>909</v>
      </c>
      <c r="G1030" s="7" t="s">
        <v>364</v>
      </c>
      <c r="H1030" s="7" t="s">
        <v>365</v>
      </c>
      <c r="I1030" s="7" t="s">
        <v>355</v>
      </c>
      <c r="J1030" s="14"/>
      <c r="K1030" s="14"/>
      <c r="O1030" s="22"/>
      <c r="P1030" s="22"/>
      <c r="Q1030" s="23"/>
      <c r="R1030" s="23"/>
      <c r="S1030" s="14"/>
    </row>
    <row r="1031" ht="18.75" customHeight="1">
      <c r="A1031" s="7" t="s">
        <v>896</v>
      </c>
      <c r="B1031" s="7" t="s">
        <v>3875</v>
      </c>
      <c r="C1031" s="9">
        <v>106819.0</v>
      </c>
      <c r="D1031" s="9">
        <v>0.0</v>
      </c>
      <c r="E1031" s="9">
        <v>390.0</v>
      </c>
      <c r="F1031" s="7" t="s">
        <v>897</v>
      </c>
      <c r="G1031" s="7" t="s">
        <v>416</v>
      </c>
      <c r="H1031" s="7" t="s">
        <v>466</v>
      </c>
      <c r="I1031" s="7" t="s">
        <v>355</v>
      </c>
      <c r="J1031" s="14"/>
      <c r="K1031" s="14"/>
      <c r="O1031" s="22"/>
      <c r="P1031" s="22"/>
      <c r="Q1031" s="23"/>
      <c r="R1031" s="23"/>
      <c r="S1031" s="14"/>
    </row>
    <row r="1032" ht="18.75" customHeight="1">
      <c r="A1032" s="7" t="s">
        <v>892</v>
      </c>
      <c r="B1032" s="7" t="s">
        <v>3875</v>
      </c>
      <c r="C1032" s="9">
        <v>277040.0</v>
      </c>
      <c r="D1032" s="9">
        <v>0.0</v>
      </c>
      <c r="E1032" s="9">
        <v>373.0</v>
      </c>
      <c r="F1032" s="7" t="s">
        <v>893</v>
      </c>
      <c r="G1032" s="7" t="s">
        <v>416</v>
      </c>
      <c r="H1032" s="7" t="s">
        <v>466</v>
      </c>
      <c r="I1032" s="7" t="s">
        <v>355</v>
      </c>
      <c r="J1032" s="14"/>
      <c r="K1032" s="14"/>
      <c r="O1032" s="22"/>
      <c r="P1032" s="22"/>
      <c r="Q1032" s="23"/>
      <c r="R1032" s="23"/>
      <c r="S1032" s="14"/>
    </row>
    <row r="1033" ht="18.75" customHeight="1">
      <c r="A1033" s="7" t="s">
        <v>894</v>
      </c>
      <c r="B1033" s="7" t="s">
        <v>3875</v>
      </c>
      <c r="C1033" s="9">
        <v>121640.0</v>
      </c>
      <c r="D1033" s="9">
        <v>0.0</v>
      </c>
      <c r="E1033" s="9">
        <v>403.0</v>
      </c>
      <c r="F1033" s="7" t="s">
        <v>895</v>
      </c>
      <c r="G1033" s="7" t="s">
        <v>416</v>
      </c>
      <c r="H1033" s="7" t="s">
        <v>466</v>
      </c>
      <c r="I1033" s="7" t="s">
        <v>355</v>
      </c>
      <c r="J1033" s="14"/>
      <c r="K1033" s="14"/>
      <c r="O1033" s="22"/>
      <c r="P1033" s="22"/>
      <c r="Q1033" s="23"/>
      <c r="R1033" s="23"/>
      <c r="S1033" s="14"/>
    </row>
    <row r="1034" ht="18.75" customHeight="1">
      <c r="A1034" s="7" t="s">
        <v>890</v>
      </c>
      <c r="B1034" s="7" t="s">
        <v>3875</v>
      </c>
      <c r="C1034" s="9">
        <v>21659.0</v>
      </c>
      <c r="D1034" s="9">
        <v>0.0</v>
      </c>
      <c r="E1034" s="9">
        <v>165.0</v>
      </c>
      <c r="F1034" s="7" t="s">
        <v>891</v>
      </c>
      <c r="G1034" s="7" t="s">
        <v>416</v>
      </c>
      <c r="H1034" s="7" t="s">
        <v>466</v>
      </c>
      <c r="I1034" s="7" t="s">
        <v>355</v>
      </c>
      <c r="J1034" s="14"/>
      <c r="K1034" s="14"/>
      <c r="O1034" s="22"/>
      <c r="P1034" s="22"/>
      <c r="Q1034" s="23"/>
      <c r="R1034" s="23"/>
      <c r="S1034" s="14"/>
    </row>
    <row r="1035" ht="18.75" customHeight="1">
      <c r="A1035" s="7" t="s">
        <v>754</v>
      </c>
      <c r="B1035" s="7" t="s">
        <v>3875</v>
      </c>
      <c r="C1035" s="9">
        <v>789208.0</v>
      </c>
      <c r="D1035" s="9">
        <v>29054.0</v>
      </c>
      <c r="E1035" s="9">
        <v>919.0</v>
      </c>
      <c r="F1035" s="7" t="s">
        <v>755</v>
      </c>
      <c r="G1035" s="7" t="s">
        <v>353</v>
      </c>
      <c r="H1035" s="7" t="s">
        <v>378</v>
      </c>
      <c r="I1035" s="7" t="s">
        <v>355</v>
      </c>
      <c r="J1035" s="14"/>
      <c r="K1035" s="14"/>
      <c r="O1035" s="22"/>
      <c r="P1035" s="22"/>
      <c r="Q1035" s="23"/>
      <c r="R1035" s="23"/>
      <c r="S1035" s="14"/>
    </row>
    <row r="1036" ht="18.75" customHeight="1">
      <c r="A1036" s="7" t="s">
        <v>898</v>
      </c>
      <c r="B1036" s="7" t="s">
        <v>3875</v>
      </c>
      <c r="C1036" s="9">
        <v>168389.0</v>
      </c>
      <c r="D1036" s="9">
        <v>0.0</v>
      </c>
      <c r="E1036" s="9">
        <v>575.0</v>
      </c>
      <c r="F1036" s="7" t="s">
        <v>899</v>
      </c>
      <c r="G1036" s="7" t="s">
        <v>416</v>
      </c>
      <c r="H1036" s="7" t="s">
        <v>378</v>
      </c>
      <c r="I1036" s="7" t="s">
        <v>355</v>
      </c>
      <c r="J1036" s="14"/>
      <c r="K1036" s="14"/>
      <c r="O1036" s="22"/>
      <c r="P1036" s="22"/>
      <c r="Q1036" s="23"/>
      <c r="R1036" s="23"/>
      <c r="S1036" s="14"/>
    </row>
    <row r="1037" ht="18.75" customHeight="1">
      <c r="A1037" s="7" t="s">
        <v>906</v>
      </c>
      <c r="B1037" s="7" t="s">
        <v>3875</v>
      </c>
      <c r="C1037" s="9">
        <v>382975.0</v>
      </c>
      <c r="D1037" s="9">
        <v>8164.0</v>
      </c>
      <c r="E1037" s="9">
        <v>211.0</v>
      </c>
      <c r="F1037" s="7" t="s">
        <v>907</v>
      </c>
      <c r="G1037" s="7" t="s">
        <v>416</v>
      </c>
      <c r="H1037" s="7" t="s">
        <v>430</v>
      </c>
      <c r="I1037" s="7" t="s">
        <v>355</v>
      </c>
      <c r="J1037" s="14"/>
      <c r="K1037" s="14"/>
      <c r="O1037" s="22"/>
      <c r="P1037" s="22"/>
      <c r="Q1037" s="23"/>
      <c r="R1037" s="23"/>
      <c r="S1037" s="14"/>
    </row>
    <row r="1038" ht="18.75" customHeight="1">
      <c r="A1038" s="7" t="s">
        <v>906</v>
      </c>
      <c r="B1038" s="7" t="s">
        <v>3875</v>
      </c>
      <c r="C1038" s="9">
        <v>310137.0</v>
      </c>
      <c r="D1038" s="9">
        <v>16960.0</v>
      </c>
      <c r="E1038" s="9">
        <v>1.0</v>
      </c>
      <c r="F1038" s="7" t="s">
        <v>907</v>
      </c>
      <c r="G1038" s="7" t="s">
        <v>416</v>
      </c>
      <c r="H1038" s="7" t="s">
        <v>430</v>
      </c>
      <c r="I1038" s="7" t="s">
        <v>355</v>
      </c>
      <c r="J1038" s="14"/>
      <c r="K1038" s="14"/>
      <c r="O1038" s="22"/>
      <c r="P1038" s="22"/>
      <c r="Q1038" s="23"/>
      <c r="R1038" s="23"/>
      <c r="S1038" s="14"/>
    </row>
    <row r="1039" ht="18.75" customHeight="1">
      <c r="A1039" s="7" t="s">
        <v>922</v>
      </c>
      <c r="B1039" s="7" t="s">
        <v>3875</v>
      </c>
      <c r="C1039" s="9">
        <v>16315.0</v>
      </c>
      <c r="D1039" s="9">
        <v>0.0</v>
      </c>
      <c r="E1039" s="9">
        <v>117.0</v>
      </c>
      <c r="F1039" s="7" t="s">
        <v>923</v>
      </c>
      <c r="G1039" s="7" t="s">
        <v>416</v>
      </c>
      <c r="H1039" s="7" t="s">
        <v>594</v>
      </c>
      <c r="I1039" s="7" t="s">
        <v>355</v>
      </c>
      <c r="J1039" s="14"/>
      <c r="K1039" s="14"/>
      <c r="O1039" s="22"/>
      <c r="P1039" s="22"/>
      <c r="Q1039" s="23"/>
      <c r="R1039" s="23"/>
      <c r="S1039" s="14"/>
    </row>
    <row r="1040" ht="18.75" customHeight="1">
      <c r="A1040" s="7" t="s">
        <v>910</v>
      </c>
      <c r="B1040" s="7" t="s">
        <v>3875</v>
      </c>
      <c r="C1040" s="9">
        <v>57729.0</v>
      </c>
      <c r="D1040" s="9">
        <v>0.0</v>
      </c>
      <c r="E1040" s="9">
        <v>205.0</v>
      </c>
      <c r="F1040" s="7" t="s">
        <v>911</v>
      </c>
      <c r="G1040" s="7" t="s">
        <v>416</v>
      </c>
      <c r="H1040" s="7" t="s">
        <v>417</v>
      </c>
      <c r="I1040" s="7" t="s">
        <v>355</v>
      </c>
      <c r="J1040" s="14"/>
      <c r="K1040" s="14"/>
      <c r="O1040" s="22"/>
      <c r="P1040" s="22"/>
      <c r="Q1040" s="23"/>
      <c r="R1040" s="23"/>
      <c r="S1040" s="14"/>
    </row>
    <row r="1041" ht="18.75" customHeight="1">
      <c r="A1041" s="7" t="s">
        <v>910</v>
      </c>
      <c r="B1041" s="7" t="s">
        <v>3875</v>
      </c>
      <c r="C1041" s="9">
        <v>70067.0</v>
      </c>
      <c r="D1041" s="9">
        <v>0.0</v>
      </c>
      <c r="E1041" s="9">
        <v>194.0</v>
      </c>
      <c r="F1041" s="7" t="s">
        <v>911</v>
      </c>
      <c r="G1041" s="7" t="s">
        <v>416</v>
      </c>
      <c r="H1041" s="7" t="s">
        <v>417</v>
      </c>
      <c r="I1041" s="7" t="s">
        <v>355</v>
      </c>
      <c r="J1041" s="14"/>
      <c r="K1041" s="14"/>
      <c r="O1041" s="22"/>
      <c r="P1041" s="22"/>
      <c r="Q1041" s="23"/>
      <c r="R1041" s="23"/>
      <c r="S1041" s="14"/>
    </row>
    <row r="1042" ht="18.75" customHeight="1">
      <c r="A1042" s="7" t="s">
        <v>856</v>
      </c>
      <c r="B1042" s="7" t="s">
        <v>3875</v>
      </c>
      <c r="C1042" s="9">
        <v>0.0</v>
      </c>
      <c r="D1042" s="9">
        <v>0.0</v>
      </c>
      <c r="E1042" s="9">
        <v>0.0</v>
      </c>
      <c r="F1042" s="7" t="s">
        <v>857</v>
      </c>
      <c r="G1042" s="7" t="s">
        <v>364</v>
      </c>
      <c r="H1042" s="7" t="s">
        <v>365</v>
      </c>
      <c r="I1042" s="7" t="s">
        <v>355</v>
      </c>
      <c r="J1042" s="14"/>
      <c r="K1042" s="14"/>
      <c r="O1042" s="22"/>
      <c r="P1042" s="22"/>
      <c r="Q1042" s="23"/>
      <c r="R1042" s="23"/>
      <c r="S1042" s="14"/>
    </row>
    <row r="1043" ht="18.75" customHeight="1">
      <c r="A1043" s="7" t="s">
        <v>856</v>
      </c>
      <c r="B1043" s="7" t="s">
        <v>3875</v>
      </c>
      <c r="C1043" s="9">
        <v>356235.0</v>
      </c>
      <c r="D1043" s="9">
        <v>0.0</v>
      </c>
      <c r="E1043" s="9">
        <v>16.0</v>
      </c>
      <c r="F1043" s="7" t="s">
        <v>857</v>
      </c>
      <c r="G1043" s="7" t="s">
        <v>364</v>
      </c>
      <c r="H1043" s="7" t="s">
        <v>365</v>
      </c>
      <c r="I1043" s="7" t="s">
        <v>355</v>
      </c>
      <c r="J1043" s="14"/>
      <c r="K1043" s="14"/>
      <c r="O1043" s="22"/>
      <c r="P1043" s="22"/>
      <c r="Q1043" s="23"/>
      <c r="R1043" s="23"/>
      <c r="S1043" s="14"/>
    </row>
    <row r="1044" ht="18.75" customHeight="1">
      <c r="A1044" s="7" t="s">
        <v>758</v>
      </c>
      <c r="B1044" s="7" t="s">
        <v>3875</v>
      </c>
      <c r="C1044" s="9">
        <v>139050.0</v>
      </c>
      <c r="D1044" s="9">
        <v>7607.0</v>
      </c>
      <c r="E1044" s="9">
        <v>237.0</v>
      </c>
      <c r="F1044" s="7" t="s">
        <v>759</v>
      </c>
      <c r="G1044" s="7" t="s">
        <v>404</v>
      </c>
      <c r="H1044" s="7" t="s">
        <v>760</v>
      </c>
      <c r="I1044" s="7" t="s">
        <v>355</v>
      </c>
      <c r="J1044" s="14"/>
      <c r="K1044" s="14"/>
      <c r="O1044" s="22"/>
      <c r="P1044" s="22"/>
      <c r="Q1044" s="23"/>
      <c r="R1044" s="23"/>
      <c r="S1044" s="14"/>
    </row>
    <row r="1045" ht="18.75" customHeight="1">
      <c r="A1045" s="7" t="s">
        <v>758</v>
      </c>
      <c r="B1045" s="7" t="s">
        <v>3875</v>
      </c>
      <c r="C1045" s="9">
        <v>141310.0</v>
      </c>
      <c r="D1045" s="9">
        <v>10702.0</v>
      </c>
      <c r="E1045" s="9">
        <v>189.0</v>
      </c>
      <c r="F1045" s="7" t="s">
        <v>759</v>
      </c>
      <c r="G1045" s="7" t="s">
        <v>404</v>
      </c>
      <c r="H1045" s="7" t="s">
        <v>760</v>
      </c>
      <c r="I1045" s="7" t="s">
        <v>355</v>
      </c>
      <c r="J1045" s="14"/>
      <c r="K1045" s="14"/>
      <c r="O1045" s="22"/>
      <c r="P1045" s="22"/>
      <c r="Q1045" s="23"/>
      <c r="R1045" s="23"/>
      <c r="S1045" s="14"/>
    </row>
    <row r="1046" ht="18.75" customHeight="1">
      <c r="A1046" s="7" t="s">
        <v>874</v>
      </c>
      <c r="B1046" s="7" t="s">
        <v>3875</v>
      </c>
      <c r="C1046" s="9">
        <v>271808.0</v>
      </c>
      <c r="D1046" s="9">
        <v>0.0</v>
      </c>
      <c r="E1046" s="9">
        <v>1707.0</v>
      </c>
      <c r="F1046" s="7" t="s">
        <v>875</v>
      </c>
      <c r="G1046" s="7" t="s">
        <v>364</v>
      </c>
      <c r="H1046" s="7" t="s">
        <v>365</v>
      </c>
      <c r="I1046" s="7" t="s">
        <v>355</v>
      </c>
      <c r="J1046" s="14"/>
      <c r="K1046" s="14"/>
      <c r="O1046" s="22"/>
      <c r="P1046" s="22"/>
      <c r="Q1046" s="23"/>
      <c r="R1046" s="23"/>
      <c r="S1046" s="14"/>
    </row>
    <row r="1047" ht="18.75" customHeight="1">
      <c r="A1047" s="7" t="s">
        <v>920</v>
      </c>
      <c r="B1047" s="7" t="s">
        <v>3875</v>
      </c>
      <c r="C1047" s="9">
        <v>33873.0</v>
      </c>
      <c r="D1047" s="9">
        <v>0.0</v>
      </c>
      <c r="E1047" s="9">
        <v>166.0</v>
      </c>
      <c r="F1047" s="7" t="s">
        <v>921</v>
      </c>
      <c r="G1047" s="7" t="s">
        <v>416</v>
      </c>
      <c r="H1047" s="7" t="s">
        <v>594</v>
      </c>
      <c r="I1047" s="7" t="s">
        <v>355</v>
      </c>
      <c r="J1047" s="14"/>
      <c r="K1047" s="14"/>
      <c r="O1047" s="22"/>
      <c r="P1047" s="22"/>
      <c r="Q1047" s="23"/>
      <c r="R1047" s="23"/>
      <c r="S1047" s="14"/>
    </row>
    <row r="1048" ht="18.75" customHeight="1">
      <c r="A1048" s="7" t="s">
        <v>590</v>
      </c>
      <c r="B1048" s="7" t="s">
        <v>3875</v>
      </c>
      <c r="C1048" s="9">
        <v>1188921.0</v>
      </c>
      <c r="D1048" s="9">
        <v>0.0</v>
      </c>
      <c r="E1048" s="9">
        <v>2008.0</v>
      </c>
      <c r="F1048" s="7" t="s">
        <v>591</v>
      </c>
      <c r="G1048" s="7" t="s">
        <v>358</v>
      </c>
      <c r="H1048" s="7" t="s">
        <v>466</v>
      </c>
      <c r="I1048" s="7" t="s">
        <v>355</v>
      </c>
      <c r="J1048" s="14"/>
      <c r="K1048" s="14"/>
      <c r="O1048" s="22"/>
      <c r="P1048" s="22"/>
      <c r="Q1048" s="23"/>
      <c r="R1048" s="23"/>
      <c r="S1048" s="14"/>
    </row>
    <row r="1049" ht="18.75" customHeight="1">
      <c r="A1049" s="7" t="s">
        <v>590</v>
      </c>
      <c r="B1049" s="7" t="s">
        <v>3875</v>
      </c>
      <c r="C1049" s="9">
        <v>281476.0</v>
      </c>
      <c r="D1049" s="9">
        <v>0.0</v>
      </c>
      <c r="E1049" s="9">
        <v>377.0</v>
      </c>
      <c r="F1049" s="7" t="s">
        <v>591</v>
      </c>
      <c r="G1049" s="7" t="s">
        <v>358</v>
      </c>
      <c r="H1049" s="7" t="s">
        <v>466</v>
      </c>
      <c r="I1049" s="7" t="s">
        <v>355</v>
      </c>
      <c r="J1049" s="14"/>
      <c r="K1049" s="14"/>
      <c r="O1049" s="22"/>
      <c r="P1049" s="22"/>
      <c r="Q1049" s="23"/>
      <c r="R1049" s="23"/>
      <c r="S1049" s="14"/>
    </row>
    <row r="1050" ht="18.75" customHeight="1">
      <c r="A1050" s="7" t="s">
        <v>385</v>
      </c>
      <c r="B1050" s="7" t="s">
        <v>3875</v>
      </c>
      <c r="C1050" s="9">
        <v>402616.0</v>
      </c>
      <c r="D1050" s="9">
        <v>0.0</v>
      </c>
      <c r="E1050" s="9">
        <v>524.0</v>
      </c>
      <c r="F1050" s="7" t="s">
        <v>386</v>
      </c>
      <c r="G1050" s="7" t="s">
        <v>358</v>
      </c>
      <c r="H1050" s="7" t="s">
        <v>387</v>
      </c>
      <c r="I1050" s="7" t="s">
        <v>355</v>
      </c>
      <c r="J1050" s="14"/>
      <c r="K1050" s="14"/>
      <c r="O1050" s="22"/>
      <c r="P1050" s="22"/>
      <c r="Q1050" s="23"/>
      <c r="R1050" s="23"/>
      <c r="S1050" s="14"/>
    </row>
    <row r="1051" ht="18.75" customHeight="1">
      <c r="A1051" s="7" t="s">
        <v>910</v>
      </c>
      <c r="B1051" s="7" t="s">
        <v>3875</v>
      </c>
      <c r="C1051" s="9">
        <v>21648.0</v>
      </c>
      <c r="D1051" s="9">
        <v>0.0</v>
      </c>
      <c r="E1051" s="9">
        <v>394.0</v>
      </c>
      <c r="F1051" s="7" t="s">
        <v>911</v>
      </c>
      <c r="G1051" s="7" t="s">
        <v>416</v>
      </c>
      <c r="H1051" s="7" t="s">
        <v>417</v>
      </c>
      <c r="I1051" s="7" t="s">
        <v>355</v>
      </c>
      <c r="J1051" s="14"/>
      <c r="K1051" s="14"/>
      <c r="O1051" s="22"/>
      <c r="P1051" s="22"/>
      <c r="Q1051" s="23"/>
      <c r="R1051" s="23"/>
      <c r="S1051" s="14"/>
    </row>
    <row r="1052" ht="18.75" customHeight="1">
      <c r="A1052" s="7" t="s">
        <v>910</v>
      </c>
      <c r="B1052" s="7" t="s">
        <v>3875</v>
      </c>
      <c r="C1052" s="9">
        <v>28445.0</v>
      </c>
      <c r="D1052" s="9">
        <v>0.0</v>
      </c>
      <c r="E1052" s="9">
        <v>540.0</v>
      </c>
      <c r="F1052" s="7" t="s">
        <v>911</v>
      </c>
      <c r="G1052" s="7" t="s">
        <v>416</v>
      </c>
      <c r="H1052" s="7" t="s">
        <v>417</v>
      </c>
      <c r="I1052" s="7" t="s">
        <v>355</v>
      </c>
      <c r="J1052" s="14"/>
      <c r="K1052" s="14"/>
      <c r="O1052" s="22"/>
      <c r="P1052" s="22"/>
      <c r="Q1052" s="23"/>
      <c r="R1052" s="23"/>
      <c r="S1052" s="14"/>
    </row>
    <row r="1053" ht="18.75" customHeight="1">
      <c r="A1053" s="7" t="s">
        <v>545</v>
      </c>
      <c r="B1053" s="7" t="s">
        <v>3875</v>
      </c>
      <c r="C1053" s="9">
        <v>9047020.0</v>
      </c>
      <c r="D1053" s="9">
        <v>302996.0</v>
      </c>
      <c r="E1053" s="9">
        <v>6279.0</v>
      </c>
      <c r="F1053" s="7" t="s">
        <v>546</v>
      </c>
      <c r="G1053" s="7" t="s">
        <v>404</v>
      </c>
      <c r="H1053" s="7" t="s">
        <v>405</v>
      </c>
      <c r="I1053" s="7" t="s">
        <v>2117</v>
      </c>
      <c r="J1053" s="14"/>
      <c r="K1053" s="14"/>
      <c r="O1053" s="22"/>
      <c r="P1053" s="22"/>
      <c r="Q1053" s="23"/>
      <c r="R1053" s="23"/>
      <c r="S1053" s="14"/>
    </row>
    <row r="1054" ht="18.75" customHeight="1">
      <c r="A1054" s="7" t="s">
        <v>953</v>
      </c>
      <c r="B1054" s="7" t="s">
        <v>3875</v>
      </c>
      <c r="C1054" s="9">
        <v>1325.0</v>
      </c>
      <c r="D1054" s="9">
        <v>0.0</v>
      </c>
      <c r="E1054" s="9">
        <v>47.0</v>
      </c>
      <c r="F1054" s="7" t="s">
        <v>954</v>
      </c>
      <c r="G1054" s="7" t="s">
        <v>364</v>
      </c>
      <c r="H1054" s="7" t="s">
        <v>365</v>
      </c>
      <c r="I1054" s="7" t="s">
        <v>355</v>
      </c>
      <c r="J1054" s="14"/>
      <c r="K1054" s="14"/>
      <c r="O1054" s="22"/>
      <c r="P1054" s="22"/>
      <c r="Q1054" s="23"/>
      <c r="R1054" s="23"/>
      <c r="S1054" s="14"/>
    </row>
    <row r="1055" ht="18.75" customHeight="1">
      <c r="A1055" s="7" t="s">
        <v>959</v>
      </c>
      <c r="B1055" s="7" t="s">
        <v>3875</v>
      </c>
      <c r="C1055" s="9">
        <v>436910.0</v>
      </c>
      <c r="D1055" s="9">
        <v>0.0</v>
      </c>
      <c r="E1055" s="9">
        <v>5287.0</v>
      </c>
      <c r="F1055" s="7" t="s">
        <v>960</v>
      </c>
      <c r="G1055" s="7" t="s">
        <v>364</v>
      </c>
      <c r="H1055" s="7" t="s">
        <v>365</v>
      </c>
      <c r="I1055" s="7" t="s">
        <v>355</v>
      </c>
      <c r="J1055" s="14"/>
      <c r="K1055" s="14"/>
      <c r="O1055" s="22"/>
      <c r="P1055" s="22"/>
      <c r="Q1055" s="23"/>
      <c r="R1055" s="23"/>
      <c r="S1055" s="14"/>
    </row>
    <row r="1056" ht="18.75" customHeight="1">
      <c r="A1056" s="7" t="s">
        <v>959</v>
      </c>
      <c r="B1056" s="7" t="s">
        <v>3875</v>
      </c>
      <c r="C1056" s="9">
        <v>1259342.0</v>
      </c>
      <c r="D1056" s="9">
        <v>0.0</v>
      </c>
      <c r="E1056" s="9">
        <v>5538.0</v>
      </c>
      <c r="F1056" s="7" t="s">
        <v>960</v>
      </c>
      <c r="G1056" s="7" t="s">
        <v>364</v>
      </c>
      <c r="H1056" s="7" t="s">
        <v>365</v>
      </c>
      <c r="I1056" s="7" t="s">
        <v>355</v>
      </c>
      <c r="J1056" s="14"/>
      <c r="K1056" s="14"/>
      <c r="O1056" s="22"/>
      <c r="P1056" s="22"/>
      <c r="Q1056" s="23"/>
      <c r="R1056" s="23"/>
      <c r="S1056" s="14"/>
    </row>
    <row r="1057" ht="18.75" customHeight="1">
      <c r="A1057" s="7" t="s">
        <v>886</v>
      </c>
      <c r="B1057" s="7" t="s">
        <v>3875</v>
      </c>
      <c r="C1057" s="9">
        <v>2289333.0</v>
      </c>
      <c r="D1057" s="9">
        <v>156119.0</v>
      </c>
      <c r="E1057" s="9">
        <v>4390.0</v>
      </c>
      <c r="F1057" s="7" t="s">
        <v>887</v>
      </c>
      <c r="G1057" s="7" t="s">
        <v>358</v>
      </c>
      <c r="H1057" s="7" t="s">
        <v>466</v>
      </c>
      <c r="I1057" s="7" t="s">
        <v>355</v>
      </c>
      <c r="J1057" s="14"/>
      <c r="K1057" s="14"/>
      <c r="O1057" s="22"/>
      <c r="P1057" s="22"/>
      <c r="Q1057" s="23"/>
      <c r="R1057" s="23"/>
      <c r="S1057" s="14"/>
    </row>
    <row r="1058" ht="18.75" customHeight="1">
      <c r="A1058" s="7" t="s">
        <v>886</v>
      </c>
      <c r="B1058" s="7" t="s">
        <v>3875</v>
      </c>
      <c r="C1058" s="9">
        <v>1845345.0</v>
      </c>
      <c r="D1058" s="9">
        <v>269051.0</v>
      </c>
      <c r="E1058" s="9">
        <v>4413.0</v>
      </c>
      <c r="F1058" s="7" t="s">
        <v>887</v>
      </c>
      <c r="G1058" s="7" t="s">
        <v>358</v>
      </c>
      <c r="H1058" s="7" t="s">
        <v>466</v>
      </c>
      <c r="I1058" s="7" t="s">
        <v>355</v>
      </c>
      <c r="J1058" s="14"/>
      <c r="K1058" s="14"/>
      <c r="O1058" s="22"/>
      <c r="P1058" s="22"/>
      <c r="Q1058" s="23"/>
      <c r="R1058" s="23"/>
      <c r="S1058" s="14"/>
    </row>
    <row r="1059" ht="18.75" customHeight="1">
      <c r="A1059" s="7" t="s">
        <v>975</v>
      </c>
      <c r="B1059" s="7" t="s">
        <v>3875</v>
      </c>
      <c r="C1059" s="9">
        <v>144092.0</v>
      </c>
      <c r="D1059" s="9">
        <v>0.0</v>
      </c>
      <c r="E1059" s="9">
        <v>270.0</v>
      </c>
      <c r="F1059" s="7" t="s">
        <v>976</v>
      </c>
      <c r="G1059" s="7" t="s">
        <v>416</v>
      </c>
      <c r="H1059" s="7" t="s">
        <v>430</v>
      </c>
      <c r="I1059" s="7" t="s">
        <v>355</v>
      </c>
      <c r="J1059" s="14"/>
      <c r="K1059" s="14"/>
      <c r="O1059" s="22"/>
      <c r="P1059" s="22"/>
      <c r="Q1059" s="23"/>
      <c r="R1059" s="23"/>
      <c r="S1059" s="14"/>
    </row>
    <row r="1060" ht="18.75" customHeight="1">
      <c r="A1060" s="7" t="s">
        <v>975</v>
      </c>
      <c r="B1060" s="7" t="s">
        <v>3875</v>
      </c>
      <c r="C1060" s="9">
        <v>159262.0</v>
      </c>
      <c r="D1060" s="9">
        <v>0.0</v>
      </c>
      <c r="E1060" s="9">
        <v>184.0</v>
      </c>
      <c r="F1060" s="7" t="s">
        <v>976</v>
      </c>
      <c r="G1060" s="7" t="s">
        <v>416</v>
      </c>
      <c r="H1060" s="7" t="s">
        <v>430</v>
      </c>
      <c r="I1060" s="7" t="s">
        <v>355</v>
      </c>
      <c r="J1060" s="14"/>
      <c r="K1060" s="14"/>
      <c r="O1060" s="22"/>
      <c r="P1060" s="22"/>
      <c r="Q1060" s="23"/>
      <c r="R1060" s="23"/>
      <c r="S1060" s="14"/>
    </row>
    <row r="1061" ht="18.75" customHeight="1">
      <c r="A1061" s="7" t="s">
        <v>945</v>
      </c>
      <c r="B1061" s="7" t="s">
        <v>3875</v>
      </c>
      <c r="C1061" s="9">
        <v>159253.0</v>
      </c>
      <c r="D1061" s="9">
        <v>0.0</v>
      </c>
      <c r="E1061" s="9">
        <v>455.0</v>
      </c>
      <c r="F1061" s="7" t="s">
        <v>946</v>
      </c>
      <c r="G1061" s="7" t="s">
        <v>416</v>
      </c>
      <c r="H1061" s="7" t="s">
        <v>359</v>
      </c>
      <c r="I1061" s="7" t="s">
        <v>355</v>
      </c>
      <c r="J1061" s="14"/>
      <c r="K1061" s="14"/>
      <c r="O1061" s="22"/>
      <c r="P1061" s="22"/>
      <c r="Q1061" s="23"/>
      <c r="R1061" s="23"/>
      <c r="S1061" s="14"/>
    </row>
    <row r="1062" ht="18.75" customHeight="1">
      <c r="A1062" s="7" t="s">
        <v>957</v>
      </c>
      <c r="B1062" s="7" t="s">
        <v>3875</v>
      </c>
      <c r="C1062" s="9">
        <v>135687.0</v>
      </c>
      <c r="D1062" s="9">
        <v>0.0</v>
      </c>
      <c r="E1062" s="9">
        <v>1051.0</v>
      </c>
      <c r="F1062" s="7" t="s">
        <v>958</v>
      </c>
      <c r="G1062" s="7" t="s">
        <v>364</v>
      </c>
      <c r="H1062" s="7" t="s">
        <v>365</v>
      </c>
      <c r="I1062" s="7" t="s">
        <v>410</v>
      </c>
      <c r="J1062" s="14"/>
      <c r="K1062" s="14"/>
      <c r="O1062" s="22"/>
      <c r="P1062" s="22"/>
      <c r="Q1062" s="23"/>
      <c r="R1062" s="23"/>
      <c r="S1062" s="14"/>
    </row>
    <row r="1063" ht="18.75" customHeight="1">
      <c r="A1063" s="7" t="s">
        <v>963</v>
      </c>
      <c r="B1063" s="7" t="s">
        <v>3875</v>
      </c>
      <c r="C1063" s="9">
        <v>27650.0</v>
      </c>
      <c r="D1063" s="9">
        <v>0.0</v>
      </c>
      <c r="E1063" s="9">
        <v>941.0</v>
      </c>
      <c r="F1063" s="7" t="s">
        <v>964</v>
      </c>
      <c r="G1063" s="7" t="s">
        <v>416</v>
      </c>
      <c r="H1063" s="7" t="s">
        <v>417</v>
      </c>
      <c r="I1063" s="7" t="s">
        <v>355</v>
      </c>
      <c r="J1063" s="14"/>
      <c r="K1063" s="14"/>
      <c r="O1063" s="22"/>
      <c r="P1063" s="22"/>
      <c r="Q1063" s="23"/>
      <c r="R1063" s="23"/>
      <c r="S1063" s="14"/>
    </row>
    <row r="1064" ht="18.75" customHeight="1">
      <c r="A1064" s="7" t="s">
        <v>961</v>
      </c>
      <c r="B1064" s="7" t="s">
        <v>3875</v>
      </c>
      <c r="C1064" s="9">
        <v>12934.0</v>
      </c>
      <c r="D1064" s="9">
        <v>4242.0</v>
      </c>
      <c r="E1064" s="9">
        <v>374.0</v>
      </c>
      <c r="F1064" s="7" t="s">
        <v>962</v>
      </c>
      <c r="G1064" s="7" t="s">
        <v>416</v>
      </c>
      <c r="H1064" s="7" t="s">
        <v>417</v>
      </c>
      <c r="I1064" s="7" t="s">
        <v>355</v>
      </c>
      <c r="J1064" s="14"/>
      <c r="K1064" s="14"/>
      <c r="O1064" s="22"/>
      <c r="P1064" s="22"/>
      <c r="Q1064" s="23"/>
      <c r="R1064" s="23"/>
      <c r="S1064" s="14"/>
    </row>
    <row r="1065" ht="18.75" customHeight="1">
      <c r="A1065" s="7" t="s">
        <v>884</v>
      </c>
      <c r="B1065" s="7" t="s">
        <v>3875</v>
      </c>
      <c r="C1065" s="9">
        <v>296115.0</v>
      </c>
      <c r="D1065" s="9">
        <v>0.0</v>
      </c>
      <c r="E1065" s="9">
        <v>963.0</v>
      </c>
      <c r="F1065" s="7" t="s">
        <v>885</v>
      </c>
      <c r="G1065" s="7" t="s">
        <v>364</v>
      </c>
      <c r="H1065" s="7" t="s">
        <v>365</v>
      </c>
      <c r="I1065" s="7" t="s">
        <v>355</v>
      </c>
      <c r="J1065" s="14"/>
      <c r="K1065" s="14"/>
      <c r="O1065" s="22"/>
      <c r="P1065" s="22"/>
      <c r="Q1065" s="23"/>
      <c r="R1065" s="23"/>
      <c r="S1065" s="14"/>
    </row>
    <row r="1066" ht="18.75" customHeight="1">
      <c r="A1066" s="7" t="s">
        <v>884</v>
      </c>
      <c r="B1066" s="7" t="s">
        <v>3875</v>
      </c>
      <c r="C1066" s="9">
        <v>668199.0</v>
      </c>
      <c r="D1066" s="9">
        <v>0.0</v>
      </c>
      <c r="E1066" s="9">
        <v>817.0</v>
      </c>
      <c r="F1066" s="7" t="s">
        <v>885</v>
      </c>
      <c r="G1066" s="7" t="s">
        <v>364</v>
      </c>
      <c r="H1066" s="7" t="s">
        <v>365</v>
      </c>
      <c r="I1066" s="7" t="s">
        <v>355</v>
      </c>
      <c r="J1066" s="14"/>
      <c r="K1066" s="14"/>
      <c r="O1066" s="22"/>
      <c r="P1066" s="22"/>
      <c r="Q1066" s="23"/>
      <c r="R1066" s="23"/>
      <c r="S1066" s="14"/>
    </row>
    <row r="1067" ht="18.75" customHeight="1">
      <c r="A1067" s="7" t="s">
        <v>947</v>
      </c>
      <c r="B1067" s="7" t="s">
        <v>3875</v>
      </c>
      <c r="C1067" s="9">
        <v>355425.0</v>
      </c>
      <c r="D1067" s="9">
        <v>0.0</v>
      </c>
      <c r="E1067" s="9">
        <v>324.0</v>
      </c>
      <c r="F1067" s="7" t="s">
        <v>948</v>
      </c>
      <c r="G1067" s="7" t="s">
        <v>416</v>
      </c>
      <c r="H1067" s="7" t="s">
        <v>365</v>
      </c>
      <c r="I1067" s="7" t="s">
        <v>355</v>
      </c>
      <c r="J1067" s="14"/>
      <c r="K1067" s="14"/>
      <c r="O1067" s="22"/>
      <c r="P1067" s="22"/>
      <c r="Q1067" s="23"/>
      <c r="R1067" s="23"/>
      <c r="S1067" s="14"/>
    </row>
    <row r="1068" ht="18.75" customHeight="1">
      <c r="A1068" s="7" t="s">
        <v>985</v>
      </c>
      <c r="B1068" s="7" t="s">
        <v>3875</v>
      </c>
      <c r="C1068" s="9">
        <v>3938685.0</v>
      </c>
      <c r="D1068" s="9">
        <v>154505.0</v>
      </c>
      <c r="E1068" s="9">
        <v>4527.0</v>
      </c>
      <c r="F1068" s="7" t="s">
        <v>986</v>
      </c>
      <c r="G1068" s="7" t="s">
        <v>358</v>
      </c>
      <c r="H1068" s="7" t="s">
        <v>466</v>
      </c>
      <c r="I1068" s="7" t="s">
        <v>355</v>
      </c>
      <c r="J1068" s="14"/>
      <c r="K1068" s="14"/>
      <c r="O1068" s="22"/>
      <c r="P1068" s="22"/>
      <c r="Q1068" s="23"/>
      <c r="R1068" s="23"/>
      <c r="S1068" s="14"/>
    </row>
    <row r="1069" ht="18.75" customHeight="1">
      <c r="A1069" s="7" t="s">
        <v>985</v>
      </c>
      <c r="B1069" s="7" t="s">
        <v>3875</v>
      </c>
      <c r="C1069" s="9">
        <v>2424935.0</v>
      </c>
      <c r="D1069" s="9">
        <v>116037.0</v>
      </c>
      <c r="E1069" s="9">
        <v>3136.0</v>
      </c>
      <c r="F1069" s="7" t="s">
        <v>986</v>
      </c>
      <c r="G1069" s="7" t="s">
        <v>358</v>
      </c>
      <c r="H1069" s="7" t="s">
        <v>466</v>
      </c>
      <c r="I1069" s="7" t="s">
        <v>355</v>
      </c>
      <c r="J1069" s="14"/>
      <c r="K1069" s="14"/>
      <c r="O1069" s="22"/>
      <c r="P1069" s="22"/>
      <c r="Q1069" s="23"/>
      <c r="R1069" s="23"/>
      <c r="S1069" s="14"/>
    </row>
    <row r="1070" ht="18.75" customHeight="1">
      <c r="A1070" s="7" t="s">
        <v>977</v>
      </c>
      <c r="B1070" s="7" t="s">
        <v>3875</v>
      </c>
      <c r="C1070" s="9">
        <v>441702.0</v>
      </c>
      <c r="D1070" s="9">
        <v>0.0</v>
      </c>
      <c r="E1070" s="9">
        <v>827.0</v>
      </c>
      <c r="F1070" s="7" t="s">
        <v>978</v>
      </c>
      <c r="G1070" s="7" t="s">
        <v>364</v>
      </c>
      <c r="H1070" s="7" t="s">
        <v>365</v>
      </c>
      <c r="I1070" s="7" t="s">
        <v>355</v>
      </c>
      <c r="J1070" s="14"/>
      <c r="K1070" s="14"/>
      <c r="O1070" s="22"/>
      <c r="P1070" s="22"/>
      <c r="Q1070" s="23"/>
      <c r="R1070" s="23"/>
      <c r="S1070" s="14"/>
    </row>
    <row r="1071" ht="18.75" customHeight="1">
      <c r="A1071" s="7" t="s">
        <v>955</v>
      </c>
      <c r="B1071" s="7" t="s">
        <v>3875</v>
      </c>
      <c r="C1071" s="9">
        <v>17874.0</v>
      </c>
      <c r="D1071" s="9">
        <v>0.0</v>
      </c>
      <c r="E1071" s="9">
        <v>54.0</v>
      </c>
      <c r="F1071" s="7" t="s">
        <v>956</v>
      </c>
      <c r="G1071" s="7" t="s">
        <v>416</v>
      </c>
      <c r="H1071" s="7" t="s">
        <v>594</v>
      </c>
      <c r="I1071" s="7" t="s">
        <v>355</v>
      </c>
      <c r="J1071" s="14"/>
      <c r="K1071" s="14"/>
      <c r="O1071" s="22"/>
      <c r="P1071" s="22"/>
      <c r="Q1071" s="23"/>
      <c r="R1071" s="23"/>
      <c r="S1071" s="14"/>
    </row>
    <row r="1072" ht="18.75" customHeight="1">
      <c r="A1072" s="7" t="s">
        <v>973</v>
      </c>
      <c r="B1072" s="7" t="s">
        <v>3875</v>
      </c>
      <c r="C1072" s="9">
        <v>186580.0</v>
      </c>
      <c r="D1072" s="9">
        <v>0.0</v>
      </c>
      <c r="E1072" s="9">
        <v>540.0</v>
      </c>
      <c r="F1072" s="7" t="s">
        <v>974</v>
      </c>
      <c r="G1072" s="7" t="s">
        <v>416</v>
      </c>
      <c r="H1072" s="7" t="s">
        <v>466</v>
      </c>
      <c r="I1072" s="7" t="s">
        <v>355</v>
      </c>
      <c r="J1072" s="14"/>
      <c r="K1072" s="14"/>
      <c r="O1072" s="22"/>
      <c r="P1072" s="22"/>
      <c r="Q1072" s="23"/>
      <c r="R1072" s="23"/>
      <c r="S1072" s="14"/>
    </row>
    <row r="1073" ht="18.75" customHeight="1">
      <c r="A1073" s="7" t="s">
        <v>967</v>
      </c>
      <c r="B1073" s="7" t="s">
        <v>3875</v>
      </c>
      <c r="C1073" s="9">
        <v>199229.0</v>
      </c>
      <c r="D1073" s="9">
        <v>0.0</v>
      </c>
      <c r="E1073" s="9">
        <v>566.0</v>
      </c>
      <c r="F1073" s="7" t="s">
        <v>968</v>
      </c>
      <c r="G1073" s="7" t="s">
        <v>416</v>
      </c>
      <c r="H1073" s="7" t="s">
        <v>466</v>
      </c>
      <c r="I1073" s="7" t="s">
        <v>355</v>
      </c>
      <c r="J1073" s="14"/>
      <c r="K1073" s="14"/>
      <c r="O1073" s="22"/>
      <c r="P1073" s="22"/>
      <c r="Q1073" s="23"/>
      <c r="R1073" s="23"/>
      <c r="S1073" s="14"/>
    </row>
    <row r="1074" ht="18.75" customHeight="1">
      <c r="A1074" s="7" t="s">
        <v>969</v>
      </c>
      <c r="B1074" s="7" t="s">
        <v>3875</v>
      </c>
      <c r="C1074" s="9">
        <v>145699.0</v>
      </c>
      <c r="D1074" s="9">
        <v>0.0</v>
      </c>
      <c r="E1074" s="9">
        <v>479.0</v>
      </c>
      <c r="F1074" s="7" t="s">
        <v>970</v>
      </c>
      <c r="G1074" s="7" t="s">
        <v>416</v>
      </c>
      <c r="H1074" s="7" t="s">
        <v>466</v>
      </c>
      <c r="I1074" s="7" t="s">
        <v>355</v>
      </c>
      <c r="J1074" s="14"/>
      <c r="K1074" s="14"/>
      <c r="O1074" s="22"/>
      <c r="P1074" s="22"/>
      <c r="Q1074" s="23"/>
      <c r="R1074" s="23"/>
      <c r="S1074" s="14"/>
    </row>
    <row r="1075" ht="18.75" customHeight="1">
      <c r="A1075" s="7" t="s">
        <v>971</v>
      </c>
      <c r="B1075" s="7" t="s">
        <v>3875</v>
      </c>
      <c r="C1075" s="9">
        <v>139118.0</v>
      </c>
      <c r="D1075" s="9">
        <v>0.0</v>
      </c>
      <c r="E1075" s="9">
        <v>403.0</v>
      </c>
      <c r="F1075" s="7" t="s">
        <v>972</v>
      </c>
      <c r="G1075" s="7" t="s">
        <v>416</v>
      </c>
      <c r="H1075" s="7" t="s">
        <v>466</v>
      </c>
      <c r="I1075" s="7" t="s">
        <v>355</v>
      </c>
      <c r="J1075" s="14"/>
      <c r="K1075" s="14"/>
      <c r="O1075" s="22"/>
      <c r="P1075" s="22"/>
      <c r="Q1075" s="23"/>
      <c r="R1075" s="23"/>
      <c r="S1075" s="14"/>
    </row>
    <row r="1076" ht="18.75" customHeight="1">
      <c r="A1076" s="7" t="s">
        <v>872</v>
      </c>
      <c r="B1076" s="7" t="s">
        <v>3875</v>
      </c>
      <c r="C1076" s="9">
        <v>191524.0</v>
      </c>
      <c r="D1076" s="9">
        <v>38330.0</v>
      </c>
      <c r="E1076" s="9">
        <v>669.0</v>
      </c>
      <c r="F1076" s="7" t="s">
        <v>873</v>
      </c>
      <c r="G1076" s="7" t="s">
        <v>353</v>
      </c>
      <c r="H1076" s="7" t="s">
        <v>378</v>
      </c>
      <c r="I1076" s="7" t="s">
        <v>355</v>
      </c>
      <c r="J1076" s="14"/>
      <c r="K1076" s="14"/>
      <c r="O1076" s="22"/>
      <c r="P1076" s="22"/>
      <c r="Q1076" s="23"/>
      <c r="R1076" s="23"/>
      <c r="S1076" s="14"/>
    </row>
    <row r="1077" ht="18.75" customHeight="1">
      <c r="A1077" s="7" t="s">
        <v>351</v>
      </c>
      <c r="B1077" s="7" t="s">
        <v>3875</v>
      </c>
      <c r="C1077" s="9">
        <v>600000.0</v>
      </c>
      <c r="D1077" s="9">
        <v>28388.0</v>
      </c>
      <c r="E1077" s="9">
        <v>544.0</v>
      </c>
      <c r="F1077" s="7" t="s">
        <v>352</v>
      </c>
      <c r="G1077" s="7" t="s">
        <v>353</v>
      </c>
      <c r="H1077" s="7" t="s">
        <v>354</v>
      </c>
      <c r="I1077" s="7" t="s">
        <v>410</v>
      </c>
      <c r="J1077" s="14"/>
      <c r="K1077" s="14"/>
      <c r="O1077" s="22"/>
      <c r="P1077" s="22"/>
      <c r="Q1077" s="23"/>
      <c r="R1077" s="23"/>
      <c r="S1077" s="14"/>
    </row>
    <row r="1078" ht="18.75" customHeight="1">
      <c r="A1078" s="7" t="s">
        <v>351</v>
      </c>
      <c r="B1078" s="7" t="s">
        <v>3875</v>
      </c>
      <c r="C1078" s="9">
        <v>434085.0</v>
      </c>
      <c r="D1078" s="9">
        <v>21438.0</v>
      </c>
      <c r="E1078" s="9">
        <v>608.0</v>
      </c>
      <c r="F1078" s="7" t="s">
        <v>352</v>
      </c>
      <c r="G1078" s="7" t="s">
        <v>353</v>
      </c>
      <c r="H1078" s="7" t="s">
        <v>354</v>
      </c>
      <c r="I1078" s="7" t="s">
        <v>410</v>
      </c>
      <c r="J1078" s="14"/>
      <c r="K1078" s="14"/>
      <c r="O1078" s="22"/>
      <c r="P1078" s="22"/>
      <c r="Q1078" s="23"/>
      <c r="R1078" s="23"/>
      <c r="S1078" s="14"/>
    </row>
    <row r="1079" ht="18.75" customHeight="1">
      <c r="A1079" s="7" t="s">
        <v>351</v>
      </c>
      <c r="B1079" s="7" t="s">
        <v>3875</v>
      </c>
      <c r="C1079" s="9">
        <v>501841.0</v>
      </c>
      <c r="D1079" s="9">
        <v>17390.0</v>
      </c>
      <c r="E1079" s="9">
        <v>505.0</v>
      </c>
      <c r="F1079" s="7" t="s">
        <v>352</v>
      </c>
      <c r="G1079" s="7" t="s">
        <v>353</v>
      </c>
      <c r="H1079" s="7" t="s">
        <v>354</v>
      </c>
      <c r="I1079" s="7" t="s">
        <v>410</v>
      </c>
      <c r="J1079" s="14"/>
      <c r="K1079" s="14"/>
      <c r="O1079" s="22"/>
      <c r="P1079" s="22"/>
      <c r="Q1079" s="23"/>
      <c r="R1079" s="23"/>
      <c r="S1079" s="14"/>
    </row>
    <row r="1080" ht="18.75" customHeight="1">
      <c r="A1080" s="7" t="s">
        <v>351</v>
      </c>
      <c r="B1080" s="7" t="s">
        <v>3875</v>
      </c>
      <c r="C1080" s="9">
        <v>118643.0</v>
      </c>
      <c r="D1080" s="9">
        <v>24384.0</v>
      </c>
      <c r="E1080" s="9">
        <v>2968.0</v>
      </c>
      <c r="F1080" s="7" t="s">
        <v>352</v>
      </c>
      <c r="G1080" s="7" t="s">
        <v>353</v>
      </c>
      <c r="H1080" s="7" t="s">
        <v>354</v>
      </c>
      <c r="I1080" s="7" t="s">
        <v>410</v>
      </c>
      <c r="J1080" s="14"/>
      <c r="K1080" s="14"/>
      <c r="O1080" s="22"/>
      <c r="P1080" s="22"/>
      <c r="Q1080" s="23"/>
      <c r="R1080" s="23"/>
      <c r="S1080" s="14"/>
    </row>
    <row r="1081" ht="18.75" customHeight="1">
      <c r="A1081" s="7" t="s">
        <v>351</v>
      </c>
      <c r="B1081" s="7" t="s">
        <v>3875</v>
      </c>
      <c r="C1081" s="9">
        <v>124703.0</v>
      </c>
      <c r="D1081" s="9">
        <v>26694.0</v>
      </c>
      <c r="E1081" s="9">
        <v>2497.0</v>
      </c>
      <c r="F1081" s="7" t="s">
        <v>352</v>
      </c>
      <c r="G1081" s="7" t="s">
        <v>353</v>
      </c>
      <c r="H1081" s="7" t="s">
        <v>354</v>
      </c>
      <c r="I1081" s="7" t="s">
        <v>410</v>
      </c>
      <c r="J1081" s="14"/>
      <c r="K1081" s="14"/>
      <c r="O1081" s="22"/>
      <c r="P1081" s="22"/>
      <c r="Q1081" s="23"/>
      <c r="R1081" s="23"/>
      <c r="S1081" s="14"/>
    </row>
    <row r="1082" ht="18.75" customHeight="1">
      <c r="A1082" s="7" t="s">
        <v>351</v>
      </c>
      <c r="B1082" s="7" t="s">
        <v>3875</v>
      </c>
      <c r="C1082" s="9">
        <v>134640.0</v>
      </c>
      <c r="D1082" s="9">
        <v>39796.0</v>
      </c>
      <c r="E1082" s="9">
        <v>3139.0</v>
      </c>
      <c r="F1082" s="7" t="s">
        <v>352</v>
      </c>
      <c r="G1082" s="7" t="s">
        <v>353</v>
      </c>
      <c r="H1082" s="7" t="s">
        <v>354</v>
      </c>
      <c r="I1082" s="7" t="s">
        <v>410</v>
      </c>
      <c r="J1082" s="14"/>
      <c r="K1082" s="14"/>
      <c r="O1082" s="22"/>
      <c r="P1082" s="22"/>
      <c r="Q1082" s="23"/>
      <c r="R1082" s="23"/>
      <c r="S1082" s="14"/>
    </row>
    <row r="1083" ht="18.75" customHeight="1">
      <c r="A1083" s="7" t="s">
        <v>902</v>
      </c>
      <c r="B1083" s="7" t="s">
        <v>3875</v>
      </c>
      <c r="C1083" s="9">
        <v>151099.0</v>
      </c>
      <c r="D1083" s="9">
        <v>24296.0</v>
      </c>
      <c r="E1083" s="9">
        <v>301.0</v>
      </c>
      <c r="F1083" s="7" t="s">
        <v>903</v>
      </c>
      <c r="G1083" s="7" t="s">
        <v>416</v>
      </c>
      <c r="H1083" s="7" t="s">
        <v>417</v>
      </c>
      <c r="I1083" s="7" t="s">
        <v>355</v>
      </c>
      <c r="J1083" s="14"/>
      <c r="K1083" s="14"/>
      <c r="O1083" s="22"/>
      <c r="P1083" s="22"/>
      <c r="Q1083" s="23"/>
      <c r="R1083" s="23"/>
      <c r="S1083" s="14"/>
    </row>
    <row r="1084" ht="18.75" customHeight="1">
      <c r="A1084" s="7" t="s">
        <v>408</v>
      </c>
      <c r="B1084" s="7" t="s">
        <v>3875</v>
      </c>
      <c r="C1084" s="9">
        <v>347680.0</v>
      </c>
      <c r="D1084" s="9">
        <v>52716.0</v>
      </c>
      <c r="E1084" s="9">
        <v>5506.0</v>
      </c>
      <c r="F1084" s="7" t="s">
        <v>409</v>
      </c>
      <c r="G1084" s="7" t="s">
        <v>353</v>
      </c>
      <c r="H1084" s="7" t="s">
        <v>354</v>
      </c>
      <c r="I1084" s="7" t="s">
        <v>410</v>
      </c>
      <c r="J1084" s="14"/>
      <c r="K1084" s="14"/>
      <c r="O1084" s="22"/>
      <c r="P1084" s="22"/>
      <c r="Q1084" s="23"/>
      <c r="R1084" s="23"/>
      <c r="S1084" s="14"/>
    </row>
    <row r="1085" ht="18.75" customHeight="1">
      <c r="A1085" s="7" t="s">
        <v>408</v>
      </c>
      <c r="B1085" s="7" t="s">
        <v>3875</v>
      </c>
      <c r="C1085" s="9">
        <v>182284.0</v>
      </c>
      <c r="D1085" s="9">
        <v>24841.0</v>
      </c>
      <c r="E1085" s="9">
        <v>4338.0</v>
      </c>
      <c r="F1085" s="7" t="s">
        <v>409</v>
      </c>
      <c r="G1085" s="7" t="s">
        <v>353</v>
      </c>
      <c r="H1085" s="7" t="s">
        <v>354</v>
      </c>
      <c r="I1085" s="7" t="s">
        <v>410</v>
      </c>
      <c r="J1085" s="14"/>
      <c r="K1085" s="14"/>
      <c r="O1085" s="22"/>
      <c r="P1085" s="22"/>
      <c r="Q1085" s="23"/>
      <c r="R1085" s="23"/>
      <c r="S1085" s="14"/>
    </row>
    <row r="1086" ht="18.75" customHeight="1">
      <c r="A1086" s="7" t="s">
        <v>951</v>
      </c>
      <c r="B1086" s="7" t="s">
        <v>3875</v>
      </c>
      <c r="C1086" s="9">
        <v>193745.0</v>
      </c>
      <c r="D1086" s="9">
        <v>0.0</v>
      </c>
      <c r="E1086" s="9">
        <v>648.0</v>
      </c>
      <c r="F1086" s="7" t="s">
        <v>952</v>
      </c>
      <c r="G1086" s="7" t="s">
        <v>416</v>
      </c>
      <c r="H1086" s="7" t="s">
        <v>413</v>
      </c>
      <c r="I1086" s="7" t="s">
        <v>355</v>
      </c>
      <c r="J1086" s="14"/>
      <c r="K1086" s="14"/>
      <c r="O1086" s="22"/>
      <c r="P1086" s="22"/>
      <c r="Q1086" s="23"/>
      <c r="R1086" s="23"/>
      <c r="S1086" s="14"/>
    </row>
    <row r="1087" ht="18.75" customHeight="1">
      <c r="A1087" s="7" t="s">
        <v>987</v>
      </c>
      <c r="B1087" s="7" t="s">
        <v>3875</v>
      </c>
      <c r="C1087" s="9">
        <v>28410.0</v>
      </c>
      <c r="D1087" s="9">
        <v>0.0</v>
      </c>
      <c r="E1087" s="9">
        <v>51.0</v>
      </c>
      <c r="F1087" s="7" t="s">
        <v>988</v>
      </c>
      <c r="G1087" s="7" t="s">
        <v>416</v>
      </c>
      <c r="H1087" s="7" t="s">
        <v>594</v>
      </c>
      <c r="I1087" s="7" t="s">
        <v>355</v>
      </c>
      <c r="J1087" s="14"/>
      <c r="K1087" s="14"/>
      <c r="O1087" s="22"/>
      <c r="P1087" s="22"/>
      <c r="Q1087" s="23"/>
      <c r="R1087" s="23"/>
      <c r="S1087" s="14"/>
    </row>
    <row r="1088" ht="18.75" customHeight="1">
      <c r="A1088" s="7" t="s">
        <v>834</v>
      </c>
      <c r="B1088" s="7" t="s">
        <v>3875</v>
      </c>
      <c r="C1088" s="9">
        <v>813093.0</v>
      </c>
      <c r="D1088" s="9">
        <v>124017.0</v>
      </c>
      <c r="E1088" s="9">
        <v>1066.0</v>
      </c>
      <c r="F1088" s="7" t="s">
        <v>835</v>
      </c>
      <c r="G1088" s="7" t="s">
        <v>404</v>
      </c>
      <c r="H1088" s="7" t="s">
        <v>405</v>
      </c>
      <c r="I1088" s="7" t="s">
        <v>355</v>
      </c>
      <c r="J1088" s="14"/>
      <c r="K1088" s="14"/>
      <c r="O1088" s="22"/>
      <c r="P1088" s="22"/>
      <c r="Q1088" s="23"/>
      <c r="R1088" s="23"/>
      <c r="S1088" s="14"/>
    </row>
    <row r="1089" ht="18.75" customHeight="1">
      <c r="A1089" s="7" t="s">
        <v>834</v>
      </c>
      <c r="B1089" s="7" t="s">
        <v>3875</v>
      </c>
      <c r="C1089" s="9">
        <v>930714.0</v>
      </c>
      <c r="D1089" s="9">
        <v>62369.0</v>
      </c>
      <c r="E1089" s="9">
        <v>1260.0</v>
      </c>
      <c r="F1089" s="7" t="s">
        <v>835</v>
      </c>
      <c r="G1089" s="7" t="s">
        <v>404</v>
      </c>
      <c r="H1089" s="7" t="s">
        <v>405</v>
      </c>
      <c r="I1089" s="7" t="s">
        <v>355</v>
      </c>
      <c r="J1089" s="14"/>
      <c r="K1089" s="14"/>
      <c r="O1089" s="22"/>
      <c r="P1089" s="22"/>
      <c r="Q1089" s="23"/>
      <c r="R1089" s="23"/>
      <c r="S1089" s="14"/>
    </row>
    <row r="1090" ht="18.75" customHeight="1">
      <c r="A1090" s="7" t="s">
        <v>834</v>
      </c>
      <c r="B1090" s="7" t="s">
        <v>3875</v>
      </c>
      <c r="C1090" s="9">
        <v>940225.0</v>
      </c>
      <c r="D1090" s="9">
        <v>49640.0</v>
      </c>
      <c r="E1090" s="9">
        <v>1204.0</v>
      </c>
      <c r="F1090" s="7" t="s">
        <v>835</v>
      </c>
      <c r="G1090" s="7" t="s">
        <v>404</v>
      </c>
      <c r="H1090" s="7" t="s">
        <v>405</v>
      </c>
      <c r="I1090" s="7" t="s">
        <v>355</v>
      </c>
      <c r="J1090" s="14"/>
      <c r="K1090" s="14"/>
      <c r="O1090" s="22"/>
      <c r="P1090" s="22"/>
      <c r="Q1090" s="23"/>
      <c r="R1090" s="23"/>
      <c r="S1090" s="14"/>
    </row>
    <row r="1091" ht="18.75" customHeight="1">
      <c r="A1091" s="7" t="s">
        <v>834</v>
      </c>
      <c r="B1091" s="7" t="s">
        <v>3875</v>
      </c>
      <c r="C1091" s="9">
        <v>635699.0</v>
      </c>
      <c r="D1091" s="9">
        <v>13400.0</v>
      </c>
      <c r="E1091" s="9">
        <v>927.0</v>
      </c>
      <c r="F1091" s="7" t="s">
        <v>835</v>
      </c>
      <c r="G1091" s="7" t="s">
        <v>404</v>
      </c>
      <c r="H1091" s="7" t="s">
        <v>405</v>
      </c>
      <c r="I1091" s="7" t="s">
        <v>355</v>
      </c>
      <c r="J1091" s="14"/>
      <c r="K1091" s="14"/>
      <c r="O1091" s="22"/>
      <c r="P1091" s="22"/>
      <c r="Q1091" s="23"/>
      <c r="R1091" s="23"/>
      <c r="S1091" s="14"/>
    </row>
    <row r="1092" ht="18.75" customHeight="1">
      <c r="A1092" s="7" t="s">
        <v>929</v>
      </c>
      <c r="B1092" s="7" t="s">
        <v>3875</v>
      </c>
      <c r="C1092" s="9">
        <v>104689.0</v>
      </c>
      <c r="D1092" s="9">
        <v>0.0</v>
      </c>
      <c r="E1092" s="9">
        <v>123.0</v>
      </c>
      <c r="F1092" s="7" t="s">
        <v>930</v>
      </c>
      <c r="G1092" s="7" t="s">
        <v>364</v>
      </c>
      <c r="H1092" s="7" t="s">
        <v>365</v>
      </c>
      <c r="I1092" s="7" t="s">
        <v>355</v>
      </c>
      <c r="J1092" s="14"/>
      <c r="K1092" s="14"/>
      <c r="O1092" s="22"/>
      <c r="P1092" s="22"/>
      <c r="Q1092" s="23"/>
      <c r="R1092" s="23"/>
      <c r="S1092" s="14"/>
    </row>
    <row r="1093" ht="18.75" customHeight="1">
      <c r="A1093" s="7" t="s">
        <v>997</v>
      </c>
      <c r="B1093" s="7" t="s">
        <v>3875</v>
      </c>
      <c r="C1093" s="9">
        <v>142123.0</v>
      </c>
      <c r="D1093" s="9">
        <v>12518.0</v>
      </c>
      <c r="E1093" s="9">
        <v>2.0</v>
      </c>
      <c r="F1093" s="7" t="s">
        <v>998</v>
      </c>
      <c r="G1093" s="7" t="s">
        <v>353</v>
      </c>
      <c r="H1093" s="7" t="s">
        <v>808</v>
      </c>
      <c r="I1093" s="7" t="s">
        <v>355</v>
      </c>
      <c r="J1093" s="14"/>
      <c r="K1093" s="14"/>
      <c r="O1093" s="22"/>
      <c r="P1093" s="22"/>
      <c r="Q1093" s="23"/>
      <c r="R1093" s="23"/>
      <c r="S1093" s="14"/>
    </row>
    <row r="1094" ht="18.75" customHeight="1">
      <c r="A1094" s="7" t="s">
        <v>995</v>
      </c>
      <c r="B1094" s="7" t="s">
        <v>3875</v>
      </c>
      <c r="C1094" s="9">
        <v>279957.0</v>
      </c>
      <c r="D1094" s="9">
        <v>0.0</v>
      </c>
      <c r="E1094" s="9">
        <v>439.0</v>
      </c>
      <c r="F1094" s="7" t="s">
        <v>996</v>
      </c>
      <c r="G1094" s="7" t="s">
        <v>416</v>
      </c>
      <c r="H1094" s="7" t="s">
        <v>725</v>
      </c>
      <c r="I1094" s="7" t="s">
        <v>355</v>
      </c>
      <c r="J1094" s="14"/>
      <c r="K1094" s="14"/>
      <c r="O1094" s="22"/>
      <c r="P1094" s="22"/>
      <c r="Q1094" s="23"/>
      <c r="R1094" s="23"/>
      <c r="S1094" s="14"/>
    </row>
    <row r="1095" ht="18.75" customHeight="1">
      <c r="A1095" s="7" t="s">
        <v>995</v>
      </c>
      <c r="B1095" s="7" t="s">
        <v>3875</v>
      </c>
      <c r="C1095" s="9">
        <v>260815.0</v>
      </c>
      <c r="D1095" s="9">
        <v>0.0</v>
      </c>
      <c r="E1095" s="9">
        <v>379.0</v>
      </c>
      <c r="F1095" s="7" t="s">
        <v>996</v>
      </c>
      <c r="G1095" s="7" t="s">
        <v>416</v>
      </c>
      <c r="H1095" s="7" t="s">
        <v>725</v>
      </c>
      <c r="I1095" s="7" t="s">
        <v>355</v>
      </c>
      <c r="J1095" s="14"/>
      <c r="K1095" s="14"/>
      <c r="O1095" s="22"/>
      <c r="P1095" s="22"/>
      <c r="Q1095" s="23"/>
      <c r="R1095" s="23"/>
      <c r="S1095" s="14"/>
    </row>
    <row r="1096" ht="18.75" customHeight="1">
      <c r="A1096" s="7" t="s">
        <v>949</v>
      </c>
      <c r="B1096" s="7" t="s">
        <v>3875</v>
      </c>
      <c r="C1096" s="9">
        <v>120296.0</v>
      </c>
      <c r="D1096" s="9">
        <v>0.0</v>
      </c>
      <c r="E1096" s="9">
        <v>837.0</v>
      </c>
      <c r="F1096" s="7" t="s">
        <v>950</v>
      </c>
      <c r="G1096" s="7" t="s">
        <v>364</v>
      </c>
      <c r="H1096" s="7" t="s">
        <v>365</v>
      </c>
      <c r="I1096" s="7" t="s">
        <v>355</v>
      </c>
      <c r="J1096" s="14"/>
      <c r="K1096" s="14"/>
      <c r="O1096" s="22"/>
      <c r="P1096" s="22"/>
      <c r="Q1096" s="23"/>
      <c r="R1096" s="23"/>
      <c r="S1096" s="14"/>
    </row>
    <row r="1097" ht="18.75" customHeight="1">
      <c r="A1097" s="7" t="s">
        <v>979</v>
      </c>
      <c r="B1097" s="7" t="s">
        <v>3875</v>
      </c>
      <c r="C1097" s="9">
        <v>161805.0</v>
      </c>
      <c r="D1097" s="9">
        <v>0.0</v>
      </c>
      <c r="E1097" s="9">
        <v>981.0</v>
      </c>
      <c r="F1097" s="7" t="s">
        <v>980</v>
      </c>
      <c r="G1097" s="7" t="s">
        <v>364</v>
      </c>
      <c r="H1097" s="7" t="s">
        <v>365</v>
      </c>
      <c r="I1097" s="7" t="s">
        <v>355</v>
      </c>
      <c r="J1097" s="14"/>
      <c r="K1097" s="14"/>
      <c r="O1097" s="22"/>
      <c r="P1097" s="22"/>
      <c r="Q1097" s="23"/>
      <c r="R1097" s="23"/>
      <c r="S1097" s="14"/>
    </row>
    <row r="1098" ht="18.75" customHeight="1">
      <c r="A1098" s="7" t="s">
        <v>870</v>
      </c>
      <c r="B1098" s="7" t="s">
        <v>3875</v>
      </c>
      <c r="C1098" s="9">
        <v>743652.0</v>
      </c>
      <c r="D1098" s="9">
        <v>0.0</v>
      </c>
      <c r="E1098" s="9">
        <v>1090.0</v>
      </c>
      <c r="F1098" s="7" t="s">
        <v>871</v>
      </c>
      <c r="G1098" s="7" t="s">
        <v>353</v>
      </c>
      <c r="H1098" s="7" t="s">
        <v>378</v>
      </c>
      <c r="I1098" s="7" t="s">
        <v>355</v>
      </c>
      <c r="J1098" s="14"/>
      <c r="K1098" s="14"/>
      <c r="O1098" s="22"/>
      <c r="P1098" s="22"/>
      <c r="Q1098" s="23"/>
      <c r="R1098" s="23"/>
      <c r="S1098" s="14"/>
    </row>
    <row r="1099" ht="18.75" customHeight="1">
      <c r="A1099" s="7" t="s">
        <v>870</v>
      </c>
      <c r="B1099" s="7" t="s">
        <v>3875</v>
      </c>
      <c r="C1099" s="9">
        <v>1045368.0</v>
      </c>
      <c r="D1099" s="9">
        <v>0.0</v>
      </c>
      <c r="E1099" s="9">
        <v>2200.0</v>
      </c>
      <c r="F1099" s="7" t="s">
        <v>871</v>
      </c>
      <c r="G1099" s="7" t="s">
        <v>353</v>
      </c>
      <c r="H1099" s="7" t="s">
        <v>378</v>
      </c>
      <c r="I1099" s="7" t="s">
        <v>355</v>
      </c>
      <c r="J1099" s="14"/>
      <c r="K1099" s="14"/>
      <c r="O1099" s="22"/>
      <c r="P1099" s="22"/>
      <c r="Q1099" s="23"/>
      <c r="R1099" s="23"/>
      <c r="S1099" s="14"/>
    </row>
    <row r="1100" ht="18.75" customHeight="1">
      <c r="A1100" s="7" t="s">
        <v>1011</v>
      </c>
      <c r="B1100" s="7" t="s">
        <v>3875</v>
      </c>
      <c r="C1100" s="9">
        <v>445858.0</v>
      </c>
      <c r="D1100" s="9">
        <v>0.0</v>
      </c>
      <c r="E1100" s="9">
        <v>511.0</v>
      </c>
      <c r="F1100" s="7" t="s">
        <v>1012</v>
      </c>
      <c r="G1100" s="7" t="s">
        <v>416</v>
      </c>
      <c r="H1100" s="7" t="s">
        <v>378</v>
      </c>
      <c r="I1100" s="7" t="s">
        <v>355</v>
      </c>
      <c r="J1100" s="14"/>
      <c r="K1100" s="14"/>
      <c r="O1100" s="22"/>
      <c r="P1100" s="22"/>
      <c r="Q1100" s="23"/>
      <c r="R1100" s="23"/>
      <c r="S1100" s="14"/>
    </row>
    <row r="1101" ht="18.75" customHeight="1">
      <c r="A1101" s="7" t="s">
        <v>1025</v>
      </c>
      <c r="B1101" s="7" t="s">
        <v>3875</v>
      </c>
      <c r="C1101" s="9">
        <v>185971.0</v>
      </c>
      <c r="D1101" s="9">
        <v>0.0</v>
      </c>
      <c r="E1101" s="9">
        <v>712.0</v>
      </c>
      <c r="F1101" s="7" t="s">
        <v>1026</v>
      </c>
      <c r="G1101" s="7" t="s">
        <v>416</v>
      </c>
      <c r="H1101" s="7" t="s">
        <v>594</v>
      </c>
      <c r="I1101" s="7" t="s">
        <v>355</v>
      </c>
      <c r="J1101" s="14"/>
      <c r="K1101" s="14"/>
      <c r="O1101" s="22"/>
      <c r="P1101" s="22"/>
      <c r="Q1101" s="23"/>
      <c r="R1101" s="23"/>
      <c r="S1101" s="14"/>
    </row>
    <row r="1102" ht="18.75" customHeight="1">
      <c r="A1102" s="7" t="s">
        <v>1015</v>
      </c>
      <c r="B1102" s="7" t="s">
        <v>3875</v>
      </c>
      <c r="C1102" s="9">
        <v>245241.0</v>
      </c>
      <c r="D1102" s="9">
        <v>0.0</v>
      </c>
      <c r="E1102" s="9">
        <v>630.0</v>
      </c>
      <c r="F1102" s="7" t="s">
        <v>1016</v>
      </c>
      <c r="G1102" s="7" t="s">
        <v>416</v>
      </c>
      <c r="H1102" s="7" t="s">
        <v>667</v>
      </c>
      <c r="I1102" s="7" t="s">
        <v>355</v>
      </c>
      <c r="J1102" s="14"/>
      <c r="K1102" s="14"/>
      <c r="O1102" s="22"/>
      <c r="P1102" s="22"/>
      <c r="Q1102" s="23"/>
      <c r="R1102" s="23"/>
      <c r="S1102" s="14"/>
    </row>
    <row r="1103" ht="18.75" customHeight="1">
      <c r="A1103" s="7" t="s">
        <v>1027</v>
      </c>
      <c r="B1103" s="7" t="s">
        <v>3875</v>
      </c>
      <c r="C1103" s="9">
        <v>423901.0</v>
      </c>
      <c r="D1103" s="9">
        <v>0.0</v>
      </c>
      <c r="E1103" s="9">
        <v>1651.0</v>
      </c>
      <c r="F1103" s="7" t="s">
        <v>1028</v>
      </c>
      <c r="G1103" s="7" t="s">
        <v>364</v>
      </c>
      <c r="H1103" s="7" t="s">
        <v>365</v>
      </c>
      <c r="I1103" s="7" t="s">
        <v>355</v>
      </c>
      <c r="J1103" s="14"/>
      <c r="K1103" s="14"/>
      <c r="O1103" s="22"/>
      <c r="P1103" s="22"/>
      <c r="Q1103" s="23"/>
      <c r="R1103" s="23"/>
      <c r="S1103" s="14"/>
    </row>
    <row r="1104" ht="18.75" customHeight="1">
      <c r="A1104" s="7" t="s">
        <v>1013</v>
      </c>
      <c r="B1104" s="7" t="s">
        <v>3875</v>
      </c>
      <c r="C1104" s="9">
        <v>81650.0</v>
      </c>
      <c r="D1104" s="9">
        <v>0.0</v>
      </c>
      <c r="E1104" s="9">
        <v>256.0</v>
      </c>
      <c r="F1104" s="7" t="s">
        <v>1014</v>
      </c>
      <c r="G1104" s="7" t="s">
        <v>416</v>
      </c>
      <c r="H1104" s="7" t="s">
        <v>725</v>
      </c>
      <c r="I1104" s="7" t="s">
        <v>355</v>
      </c>
      <c r="J1104" s="14"/>
      <c r="K1104" s="14"/>
      <c r="O1104" s="22"/>
      <c r="P1104" s="22"/>
      <c r="Q1104" s="23"/>
      <c r="R1104" s="23"/>
      <c r="S1104" s="14"/>
    </row>
    <row r="1105" ht="18.75" customHeight="1">
      <c r="A1105" s="7" t="s">
        <v>993</v>
      </c>
      <c r="B1105" s="7" t="s">
        <v>3875</v>
      </c>
      <c r="C1105" s="9">
        <v>772216.0</v>
      </c>
      <c r="D1105" s="9">
        <v>42253.0</v>
      </c>
      <c r="E1105" s="9">
        <v>1049.0</v>
      </c>
      <c r="F1105" s="7" t="s">
        <v>994</v>
      </c>
      <c r="G1105" s="7" t="s">
        <v>358</v>
      </c>
      <c r="H1105" s="7" t="s">
        <v>466</v>
      </c>
      <c r="I1105" s="7" t="s">
        <v>355</v>
      </c>
      <c r="J1105" s="14"/>
      <c r="K1105" s="14"/>
      <c r="O1105" s="22"/>
      <c r="P1105" s="22"/>
      <c r="Q1105" s="23"/>
      <c r="R1105" s="23"/>
      <c r="S1105" s="14"/>
    </row>
    <row r="1106" ht="18.75" customHeight="1">
      <c r="A1106" s="7" t="s">
        <v>993</v>
      </c>
      <c r="B1106" s="7" t="s">
        <v>3875</v>
      </c>
      <c r="C1106" s="9">
        <v>810459.0</v>
      </c>
      <c r="D1106" s="9">
        <v>64168.0</v>
      </c>
      <c r="E1106" s="9">
        <v>907.0</v>
      </c>
      <c r="F1106" s="7" t="s">
        <v>994</v>
      </c>
      <c r="G1106" s="7" t="s">
        <v>358</v>
      </c>
      <c r="H1106" s="7" t="s">
        <v>466</v>
      </c>
      <c r="I1106" s="7" t="s">
        <v>355</v>
      </c>
      <c r="J1106" s="14"/>
      <c r="K1106" s="14"/>
      <c r="O1106" s="22"/>
      <c r="P1106" s="22"/>
      <c r="Q1106" s="23"/>
      <c r="R1106" s="23"/>
      <c r="S1106" s="14"/>
    </row>
    <row r="1107" ht="18.75" customHeight="1">
      <c r="A1107" s="7" t="s">
        <v>1005</v>
      </c>
      <c r="B1107" s="7" t="s">
        <v>3875</v>
      </c>
      <c r="C1107" s="9">
        <v>367.0</v>
      </c>
      <c r="D1107" s="9">
        <v>0.0</v>
      </c>
      <c r="E1107" s="9">
        <v>0.0</v>
      </c>
      <c r="F1107" s="7" t="s">
        <v>1006</v>
      </c>
      <c r="G1107" s="7" t="s">
        <v>503</v>
      </c>
      <c r="H1107" s="7" t="s">
        <v>783</v>
      </c>
      <c r="I1107" s="7" t="s">
        <v>2117</v>
      </c>
      <c r="J1107" s="14"/>
      <c r="K1107" s="14"/>
      <c r="O1107" s="22"/>
      <c r="P1107" s="22"/>
      <c r="Q1107" s="23"/>
      <c r="R1107" s="23"/>
      <c r="S1107" s="14"/>
    </row>
    <row r="1108" ht="18.75" customHeight="1">
      <c r="A1108" s="7" t="s">
        <v>1005</v>
      </c>
      <c r="B1108" s="7" t="s">
        <v>3875</v>
      </c>
      <c r="C1108" s="9">
        <v>612.0</v>
      </c>
      <c r="D1108" s="9">
        <v>0.0</v>
      </c>
      <c r="E1108" s="9">
        <v>0.0</v>
      </c>
      <c r="F1108" s="7" t="s">
        <v>1006</v>
      </c>
      <c r="G1108" s="7" t="s">
        <v>503</v>
      </c>
      <c r="H1108" s="7" t="s">
        <v>783</v>
      </c>
      <c r="I1108" s="7" t="s">
        <v>2117</v>
      </c>
      <c r="J1108" s="14"/>
      <c r="K1108" s="14"/>
      <c r="O1108" s="22"/>
      <c r="P1108" s="22"/>
      <c r="Q1108" s="23"/>
      <c r="R1108" s="23"/>
      <c r="S1108" s="14"/>
    </row>
    <row r="1109" ht="18.75" customHeight="1">
      <c r="A1109" s="7" t="s">
        <v>1005</v>
      </c>
      <c r="B1109" s="7" t="s">
        <v>3875</v>
      </c>
      <c r="C1109" s="9">
        <v>174.0</v>
      </c>
      <c r="D1109" s="9">
        <v>0.0</v>
      </c>
      <c r="E1109" s="9">
        <v>0.0</v>
      </c>
      <c r="F1109" s="7" t="s">
        <v>1006</v>
      </c>
      <c r="G1109" s="7" t="s">
        <v>503</v>
      </c>
      <c r="H1109" s="7" t="s">
        <v>783</v>
      </c>
      <c r="I1109" s="7" t="s">
        <v>2117</v>
      </c>
      <c r="J1109" s="14"/>
      <c r="K1109" s="14"/>
      <c r="O1109" s="22"/>
      <c r="P1109" s="22"/>
      <c r="Q1109" s="23"/>
      <c r="R1109" s="23"/>
      <c r="S1109" s="14"/>
    </row>
    <row r="1110" ht="18.75" customHeight="1">
      <c r="A1110" s="7" t="s">
        <v>1005</v>
      </c>
      <c r="B1110" s="7" t="s">
        <v>3875</v>
      </c>
      <c r="C1110" s="9">
        <v>105.0</v>
      </c>
      <c r="D1110" s="9">
        <v>0.0</v>
      </c>
      <c r="E1110" s="9">
        <v>0.0</v>
      </c>
      <c r="F1110" s="7" t="s">
        <v>1006</v>
      </c>
      <c r="G1110" s="7" t="s">
        <v>503</v>
      </c>
      <c r="H1110" s="7" t="s">
        <v>783</v>
      </c>
      <c r="I1110" s="7" t="s">
        <v>2117</v>
      </c>
      <c r="J1110" s="14"/>
      <c r="K1110" s="14"/>
      <c r="O1110" s="22"/>
      <c r="P1110" s="22"/>
      <c r="Q1110" s="23"/>
      <c r="R1110" s="23"/>
      <c r="S1110" s="14"/>
    </row>
    <row r="1111" ht="18.75" customHeight="1">
      <c r="A1111" s="7" t="s">
        <v>993</v>
      </c>
      <c r="B1111" s="7" t="s">
        <v>3875</v>
      </c>
      <c r="C1111" s="9">
        <v>759400.0</v>
      </c>
      <c r="D1111" s="9">
        <v>43493.0</v>
      </c>
      <c r="E1111" s="9">
        <v>923.0</v>
      </c>
      <c r="F1111" s="7" t="s">
        <v>994</v>
      </c>
      <c r="G1111" s="7" t="s">
        <v>358</v>
      </c>
      <c r="H1111" s="7" t="s">
        <v>466</v>
      </c>
      <c r="I1111" s="7" t="s">
        <v>355</v>
      </c>
      <c r="J1111" s="14"/>
      <c r="K1111" s="14"/>
      <c r="O1111" s="22"/>
      <c r="P1111" s="22"/>
      <c r="Q1111" s="23"/>
      <c r="R1111" s="23"/>
      <c r="S1111" s="14"/>
    </row>
    <row r="1112" ht="18.75" customHeight="1">
      <c r="A1112" s="7" t="s">
        <v>1019</v>
      </c>
      <c r="B1112" s="7" t="s">
        <v>3875</v>
      </c>
      <c r="C1112" s="9">
        <v>214312.0</v>
      </c>
      <c r="D1112" s="9">
        <v>0.0</v>
      </c>
      <c r="E1112" s="9">
        <v>650.0</v>
      </c>
      <c r="F1112" s="7" t="s">
        <v>1020</v>
      </c>
      <c r="G1112" s="7" t="s">
        <v>416</v>
      </c>
      <c r="H1112" s="7" t="s">
        <v>466</v>
      </c>
      <c r="I1112" s="7" t="s">
        <v>355</v>
      </c>
      <c r="J1112" s="14"/>
      <c r="K1112" s="14"/>
      <c r="O1112" s="22"/>
      <c r="P1112" s="22"/>
      <c r="Q1112" s="23"/>
      <c r="R1112" s="23"/>
      <c r="S1112" s="14"/>
    </row>
    <row r="1113" ht="18.75" customHeight="1">
      <c r="A1113" s="7" t="s">
        <v>1023</v>
      </c>
      <c r="B1113" s="7" t="s">
        <v>3875</v>
      </c>
      <c r="C1113" s="9">
        <v>209521.0</v>
      </c>
      <c r="D1113" s="9">
        <v>0.0</v>
      </c>
      <c r="E1113" s="9">
        <v>630.0</v>
      </c>
      <c r="F1113" s="7" t="s">
        <v>1024</v>
      </c>
      <c r="G1113" s="7" t="s">
        <v>416</v>
      </c>
      <c r="H1113" s="7" t="s">
        <v>466</v>
      </c>
      <c r="I1113" s="7" t="s">
        <v>355</v>
      </c>
      <c r="J1113" s="14"/>
      <c r="K1113" s="14"/>
      <c r="O1113" s="22"/>
      <c r="P1113" s="22"/>
      <c r="Q1113" s="23"/>
      <c r="R1113" s="23"/>
      <c r="S1113" s="14"/>
    </row>
    <row r="1114" ht="18.75" customHeight="1">
      <c r="A1114" s="7" t="s">
        <v>1017</v>
      </c>
      <c r="B1114" s="7" t="s">
        <v>3875</v>
      </c>
      <c r="C1114" s="9">
        <v>270970.0</v>
      </c>
      <c r="D1114" s="9">
        <v>0.0</v>
      </c>
      <c r="E1114" s="9">
        <v>807.0</v>
      </c>
      <c r="F1114" s="7" t="s">
        <v>1018</v>
      </c>
      <c r="G1114" s="7" t="s">
        <v>416</v>
      </c>
      <c r="H1114" s="7" t="s">
        <v>466</v>
      </c>
      <c r="I1114" s="7" t="s">
        <v>355</v>
      </c>
      <c r="J1114" s="14"/>
      <c r="K1114" s="14"/>
      <c r="O1114" s="22"/>
      <c r="P1114" s="22"/>
      <c r="Q1114" s="23"/>
      <c r="R1114" s="23"/>
      <c r="S1114" s="14"/>
    </row>
    <row r="1115" ht="18.75" customHeight="1">
      <c r="A1115" s="7" t="s">
        <v>1021</v>
      </c>
      <c r="B1115" s="7" t="s">
        <v>3875</v>
      </c>
      <c r="C1115" s="9">
        <v>553580.0</v>
      </c>
      <c r="D1115" s="9">
        <v>0.0</v>
      </c>
      <c r="E1115" s="9">
        <v>628.0</v>
      </c>
      <c r="F1115" s="7" t="s">
        <v>1022</v>
      </c>
      <c r="G1115" s="7" t="s">
        <v>416</v>
      </c>
      <c r="H1115" s="7" t="s">
        <v>466</v>
      </c>
      <c r="I1115" s="7" t="s">
        <v>355</v>
      </c>
      <c r="J1115" s="14"/>
      <c r="K1115" s="14"/>
      <c r="O1115" s="22"/>
      <c r="P1115" s="22"/>
      <c r="Q1115" s="23"/>
      <c r="R1115" s="23"/>
      <c r="S1115" s="14"/>
    </row>
    <row r="1116" ht="18.75" customHeight="1">
      <c r="A1116" s="7" t="s">
        <v>961</v>
      </c>
      <c r="B1116" s="7" t="s">
        <v>3875</v>
      </c>
      <c r="C1116" s="9">
        <v>51072.0</v>
      </c>
      <c r="D1116" s="9">
        <v>8135.0</v>
      </c>
      <c r="E1116" s="9">
        <v>108.0</v>
      </c>
      <c r="F1116" s="7" t="s">
        <v>962</v>
      </c>
      <c r="G1116" s="7" t="s">
        <v>416</v>
      </c>
      <c r="H1116" s="7" t="s">
        <v>417</v>
      </c>
      <c r="I1116" s="7" t="s">
        <v>355</v>
      </c>
      <c r="J1116" s="14"/>
      <c r="K1116" s="14"/>
      <c r="O1116" s="22"/>
      <c r="P1116" s="22"/>
      <c r="Q1116" s="23"/>
      <c r="R1116" s="23"/>
      <c r="S1116" s="14"/>
    </row>
    <row r="1117" ht="18.75" customHeight="1">
      <c r="A1117" s="7" t="s">
        <v>1037</v>
      </c>
      <c r="B1117" s="7" t="s">
        <v>3875</v>
      </c>
      <c r="C1117" s="9">
        <v>103355.0</v>
      </c>
      <c r="D1117" s="9">
        <v>0.0</v>
      </c>
      <c r="E1117" s="9">
        <v>1521.0</v>
      </c>
      <c r="F1117" s="7" t="s">
        <v>1038</v>
      </c>
      <c r="G1117" s="7" t="s">
        <v>416</v>
      </c>
      <c r="H1117" s="7" t="s">
        <v>417</v>
      </c>
      <c r="I1117" s="7" t="s">
        <v>355</v>
      </c>
      <c r="J1117" s="14"/>
      <c r="K1117" s="14"/>
      <c r="O1117" s="22"/>
      <c r="P1117" s="22"/>
      <c r="Q1117" s="23"/>
      <c r="R1117" s="23"/>
      <c r="S1117" s="14"/>
    </row>
    <row r="1118" ht="18.75" customHeight="1">
      <c r="A1118" s="7" t="s">
        <v>1037</v>
      </c>
      <c r="B1118" s="7" t="s">
        <v>3875</v>
      </c>
      <c r="C1118" s="9">
        <v>228570.0</v>
      </c>
      <c r="D1118" s="9">
        <v>0.0</v>
      </c>
      <c r="E1118" s="9">
        <v>4949.0</v>
      </c>
      <c r="F1118" s="7" t="s">
        <v>1038</v>
      </c>
      <c r="G1118" s="7" t="s">
        <v>416</v>
      </c>
      <c r="H1118" s="7" t="s">
        <v>417</v>
      </c>
      <c r="I1118" s="7" t="s">
        <v>355</v>
      </c>
      <c r="J1118" s="14"/>
      <c r="K1118" s="14"/>
      <c r="O1118" s="22"/>
      <c r="P1118" s="22"/>
      <c r="Q1118" s="23"/>
      <c r="R1118" s="23"/>
      <c r="S1118" s="14"/>
    </row>
    <row r="1119" ht="18.75" customHeight="1">
      <c r="A1119" s="7" t="s">
        <v>834</v>
      </c>
      <c r="B1119" s="7" t="s">
        <v>3875</v>
      </c>
      <c r="C1119" s="9">
        <v>1366524.0</v>
      </c>
      <c r="D1119" s="9">
        <v>38055.0</v>
      </c>
      <c r="E1119" s="9">
        <v>1665.0</v>
      </c>
      <c r="F1119" s="7" t="s">
        <v>835</v>
      </c>
      <c r="G1119" s="7" t="s">
        <v>404</v>
      </c>
      <c r="H1119" s="7" t="s">
        <v>405</v>
      </c>
      <c r="I1119" s="7" t="s">
        <v>355</v>
      </c>
      <c r="J1119" s="14"/>
      <c r="K1119" s="14"/>
      <c r="O1119" s="22"/>
      <c r="P1119" s="22"/>
      <c r="Q1119" s="23"/>
      <c r="R1119" s="23"/>
      <c r="S1119" s="14"/>
    </row>
    <row r="1120" ht="18.75" customHeight="1">
      <c r="A1120" s="7" t="s">
        <v>1037</v>
      </c>
      <c r="B1120" s="7" t="s">
        <v>3875</v>
      </c>
      <c r="C1120" s="9">
        <v>101702.0</v>
      </c>
      <c r="D1120" s="9">
        <v>0.0</v>
      </c>
      <c r="E1120" s="9">
        <v>416.0</v>
      </c>
      <c r="F1120" s="7" t="s">
        <v>1038</v>
      </c>
      <c r="G1120" s="7" t="s">
        <v>416</v>
      </c>
      <c r="H1120" s="7" t="s">
        <v>417</v>
      </c>
      <c r="I1120" s="7" t="s">
        <v>355</v>
      </c>
      <c r="J1120" s="14"/>
      <c r="K1120" s="14"/>
      <c r="O1120" s="22"/>
      <c r="P1120" s="22"/>
      <c r="Q1120" s="23"/>
      <c r="R1120" s="23"/>
      <c r="S1120" s="14"/>
    </row>
    <row r="1121" ht="18.75" customHeight="1">
      <c r="A1121" s="7" t="s">
        <v>1037</v>
      </c>
      <c r="B1121" s="7" t="s">
        <v>3875</v>
      </c>
      <c r="C1121" s="9">
        <v>322502.0</v>
      </c>
      <c r="D1121" s="9">
        <v>0.0</v>
      </c>
      <c r="E1121" s="9">
        <v>1116.0</v>
      </c>
      <c r="F1121" s="7" t="s">
        <v>1038</v>
      </c>
      <c r="G1121" s="7" t="s">
        <v>416</v>
      </c>
      <c r="H1121" s="7" t="s">
        <v>417</v>
      </c>
      <c r="I1121" s="7" t="s">
        <v>355</v>
      </c>
      <c r="J1121" s="14"/>
      <c r="K1121" s="14"/>
      <c r="O1121" s="22"/>
      <c r="P1121" s="22"/>
      <c r="Q1121" s="23"/>
      <c r="R1121" s="23"/>
      <c r="S1121" s="14"/>
    </row>
    <row r="1122" ht="18.75" customHeight="1">
      <c r="A1122" s="7" t="s">
        <v>1035</v>
      </c>
      <c r="B1122" s="7" t="s">
        <v>3875</v>
      </c>
      <c r="C1122" s="9">
        <v>51494.0</v>
      </c>
      <c r="D1122" s="9">
        <v>14467.0</v>
      </c>
      <c r="E1122" s="9">
        <v>1421.0</v>
      </c>
      <c r="F1122" s="7" t="s">
        <v>1036</v>
      </c>
      <c r="G1122" s="7" t="s">
        <v>416</v>
      </c>
      <c r="H1122" s="7" t="s">
        <v>417</v>
      </c>
      <c r="I1122" s="7" t="s">
        <v>355</v>
      </c>
      <c r="J1122" s="14"/>
      <c r="K1122" s="14"/>
      <c r="O1122" s="22"/>
      <c r="P1122" s="22"/>
      <c r="Q1122" s="23"/>
      <c r="R1122" s="23"/>
      <c r="S1122" s="14"/>
    </row>
    <row r="1123" ht="18.75" customHeight="1">
      <c r="A1123" s="7" t="s">
        <v>1033</v>
      </c>
      <c r="B1123" s="7" t="s">
        <v>3875</v>
      </c>
      <c r="C1123" s="9">
        <v>38008.0</v>
      </c>
      <c r="D1123" s="9">
        <v>15125.0</v>
      </c>
      <c r="E1123" s="9">
        <v>1382.0</v>
      </c>
      <c r="F1123" s="7" t="s">
        <v>1034</v>
      </c>
      <c r="G1123" s="7" t="s">
        <v>416</v>
      </c>
      <c r="H1123" s="7" t="s">
        <v>417</v>
      </c>
      <c r="I1123" s="7" t="s">
        <v>355</v>
      </c>
      <c r="J1123" s="14"/>
      <c r="K1123" s="14"/>
      <c r="O1123" s="22"/>
      <c r="P1123" s="22"/>
      <c r="Q1123" s="23"/>
      <c r="R1123" s="23"/>
      <c r="S1123" s="14"/>
    </row>
    <row r="1124" ht="18.75" customHeight="1">
      <c r="A1124" s="7" t="s">
        <v>1041</v>
      </c>
      <c r="B1124" s="7" t="s">
        <v>3875</v>
      </c>
      <c r="C1124" s="9">
        <v>146933.0</v>
      </c>
      <c r="D1124" s="9">
        <v>0.0</v>
      </c>
      <c r="E1124" s="9">
        <v>1656.0</v>
      </c>
      <c r="F1124" s="7" t="s">
        <v>1042</v>
      </c>
      <c r="G1124" s="7" t="s">
        <v>416</v>
      </c>
      <c r="H1124" s="7" t="s">
        <v>430</v>
      </c>
      <c r="I1124" s="7" t="s">
        <v>355</v>
      </c>
      <c r="J1124" s="14"/>
      <c r="K1124" s="14"/>
      <c r="O1124" s="22"/>
      <c r="P1124" s="22"/>
      <c r="Q1124" s="23"/>
      <c r="R1124" s="23"/>
      <c r="S1124" s="14"/>
    </row>
    <row r="1125" ht="18.75" customHeight="1">
      <c r="A1125" s="7" t="s">
        <v>1041</v>
      </c>
      <c r="B1125" s="7" t="s">
        <v>3875</v>
      </c>
      <c r="C1125" s="9">
        <v>83400.0</v>
      </c>
      <c r="D1125" s="9">
        <v>0.0</v>
      </c>
      <c r="E1125" s="9">
        <v>980.0</v>
      </c>
      <c r="F1125" s="7" t="s">
        <v>1042</v>
      </c>
      <c r="G1125" s="7" t="s">
        <v>416</v>
      </c>
      <c r="H1125" s="7" t="s">
        <v>430</v>
      </c>
      <c r="I1125" s="7" t="s">
        <v>355</v>
      </c>
      <c r="J1125" s="14"/>
      <c r="K1125" s="14"/>
      <c r="O1125" s="22"/>
      <c r="P1125" s="22"/>
      <c r="Q1125" s="23"/>
      <c r="R1125" s="23"/>
      <c r="S1125" s="14"/>
    </row>
    <row r="1126" ht="18.75" customHeight="1">
      <c r="A1126" s="7" t="s">
        <v>1041</v>
      </c>
      <c r="B1126" s="7" t="s">
        <v>3875</v>
      </c>
      <c r="C1126" s="9">
        <v>83965.0</v>
      </c>
      <c r="D1126" s="9">
        <v>0.0</v>
      </c>
      <c r="E1126" s="9">
        <v>900.0</v>
      </c>
      <c r="F1126" s="7" t="s">
        <v>1042</v>
      </c>
      <c r="G1126" s="7" t="s">
        <v>416</v>
      </c>
      <c r="H1126" s="7" t="s">
        <v>430</v>
      </c>
      <c r="I1126" s="7" t="s">
        <v>355</v>
      </c>
      <c r="J1126" s="14"/>
      <c r="K1126" s="14"/>
      <c r="O1126" s="22"/>
      <c r="P1126" s="22"/>
      <c r="Q1126" s="23"/>
      <c r="R1126" s="23"/>
      <c r="S1126" s="14"/>
    </row>
    <row r="1127" ht="18.75" customHeight="1">
      <c r="A1127" s="7" t="s">
        <v>1041</v>
      </c>
      <c r="B1127" s="7" t="s">
        <v>3875</v>
      </c>
      <c r="C1127" s="9">
        <v>40018.0</v>
      </c>
      <c r="D1127" s="9">
        <v>0.0</v>
      </c>
      <c r="E1127" s="9">
        <v>145.0</v>
      </c>
      <c r="F1127" s="7" t="s">
        <v>1042</v>
      </c>
      <c r="G1127" s="7" t="s">
        <v>416</v>
      </c>
      <c r="H1127" s="7" t="s">
        <v>430</v>
      </c>
      <c r="I1127" s="7" t="s">
        <v>355</v>
      </c>
      <c r="J1127" s="14"/>
      <c r="K1127" s="14"/>
      <c r="O1127" s="22"/>
      <c r="P1127" s="22"/>
      <c r="Q1127" s="23"/>
      <c r="R1127" s="23"/>
      <c r="S1127" s="14"/>
    </row>
    <row r="1128" ht="18.75" customHeight="1">
      <c r="A1128" s="7" t="s">
        <v>941</v>
      </c>
      <c r="B1128" s="7" t="s">
        <v>3875</v>
      </c>
      <c r="C1128" s="9">
        <v>723752.0</v>
      </c>
      <c r="D1128" s="9">
        <v>15030.0</v>
      </c>
      <c r="E1128" s="9">
        <v>1230.0</v>
      </c>
      <c r="F1128" s="7" t="s">
        <v>942</v>
      </c>
      <c r="G1128" s="7" t="s">
        <v>404</v>
      </c>
      <c r="H1128" s="7" t="s">
        <v>405</v>
      </c>
      <c r="I1128" s="7" t="s">
        <v>355</v>
      </c>
      <c r="J1128" s="14"/>
      <c r="K1128" s="14"/>
      <c r="O1128" s="22"/>
      <c r="P1128" s="22"/>
      <c r="Q1128" s="23"/>
      <c r="R1128" s="23"/>
      <c r="S1128" s="14"/>
    </row>
    <row r="1129" ht="18.75" customHeight="1">
      <c r="A1129" s="7" t="s">
        <v>941</v>
      </c>
      <c r="B1129" s="7" t="s">
        <v>3875</v>
      </c>
      <c r="C1129" s="9">
        <v>1107634.0</v>
      </c>
      <c r="D1129" s="9">
        <v>88534.0</v>
      </c>
      <c r="E1129" s="9">
        <v>1195.0</v>
      </c>
      <c r="F1129" s="7" t="s">
        <v>942</v>
      </c>
      <c r="G1129" s="7" t="s">
        <v>404</v>
      </c>
      <c r="H1129" s="7" t="s">
        <v>405</v>
      </c>
      <c r="I1129" s="7" t="s">
        <v>355</v>
      </c>
      <c r="J1129" s="14"/>
      <c r="K1129" s="14"/>
      <c r="O1129" s="22"/>
      <c r="P1129" s="22"/>
      <c r="Q1129" s="23"/>
      <c r="R1129" s="23"/>
      <c r="S1129" s="14"/>
    </row>
    <row r="1130" ht="18.75" customHeight="1">
      <c r="A1130" s="7" t="s">
        <v>941</v>
      </c>
      <c r="B1130" s="7" t="s">
        <v>3875</v>
      </c>
      <c r="C1130" s="9">
        <v>603847.0</v>
      </c>
      <c r="D1130" s="9">
        <v>47697.0</v>
      </c>
      <c r="E1130" s="9">
        <v>1087.0</v>
      </c>
      <c r="F1130" s="7" t="s">
        <v>942</v>
      </c>
      <c r="G1130" s="7" t="s">
        <v>404</v>
      </c>
      <c r="H1130" s="7" t="s">
        <v>405</v>
      </c>
      <c r="I1130" s="7" t="s">
        <v>355</v>
      </c>
      <c r="J1130" s="14"/>
      <c r="K1130" s="14"/>
      <c r="O1130" s="22"/>
      <c r="P1130" s="22"/>
      <c r="Q1130" s="23"/>
      <c r="R1130" s="23"/>
      <c r="S1130" s="14"/>
    </row>
    <row r="1131" ht="18.75" customHeight="1">
      <c r="A1131" s="7" t="s">
        <v>939</v>
      </c>
      <c r="B1131" s="7" t="s">
        <v>3875</v>
      </c>
      <c r="C1131" s="9">
        <v>843118.0</v>
      </c>
      <c r="D1131" s="9">
        <v>54299.0</v>
      </c>
      <c r="E1131" s="9">
        <v>1056.0</v>
      </c>
      <c r="F1131" s="7" t="s">
        <v>940</v>
      </c>
      <c r="G1131" s="7" t="s">
        <v>404</v>
      </c>
      <c r="H1131" s="7" t="s">
        <v>405</v>
      </c>
      <c r="I1131" s="7" t="s">
        <v>355</v>
      </c>
      <c r="J1131" s="14"/>
      <c r="K1131" s="14"/>
      <c r="O1131" s="22"/>
      <c r="P1131" s="22"/>
      <c r="Q1131" s="23"/>
      <c r="R1131" s="23"/>
      <c r="S1131" s="14"/>
    </row>
    <row r="1132" ht="18.75" customHeight="1">
      <c r="A1132" s="7" t="s">
        <v>939</v>
      </c>
      <c r="B1132" s="7" t="s">
        <v>3875</v>
      </c>
      <c r="C1132" s="9">
        <v>966457.0</v>
      </c>
      <c r="D1132" s="9">
        <v>33602.0</v>
      </c>
      <c r="E1132" s="9">
        <v>705.0</v>
      </c>
      <c r="F1132" s="7" t="s">
        <v>940</v>
      </c>
      <c r="G1132" s="7" t="s">
        <v>404</v>
      </c>
      <c r="H1132" s="7" t="s">
        <v>405</v>
      </c>
      <c r="I1132" s="7" t="s">
        <v>355</v>
      </c>
      <c r="J1132" s="14"/>
      <c r="K1132" s="14"/>
      <c r="O1132" s="22"/>
      <c r="P1132" s="22"/>
      <c r="Q1132" s="23"/>
      <c r="R1132" s="23"/>
      <c r="S1132" s="14"/>
    </row>
    <row r="1133" ht="18.75" customHeight="1">
      <c r="A1133" s="7" t="s">
        <v>939</v>
      </c>
      <c r="B1133" s="7" t="s">
        <v>3875</v>
      </c>
      <c r="C1133" s="9">
        <v>971067.0</v>
      </c>
      <c r="D1133" s="9">
        <v>37425.0</v>
      </c>
      <c r="E1133" s="9">
        <v>665.0</v>
      </c>
      <c r="F1133" s="7" t="s">
        <v>940</v>
      </c>
      <c r="G1133" s="7" t="s">
        <v>404</v>
      </c>
      <c r="H1133" s="7" t="s">
        <v>405</v>
      </c>
      <c r="I1133" s="7" t="s">
        <v>355</v>
      </c>
      <c r="J1133" s="14"/>
      <c r="K1133" s="14"/>
      <c r="O1133" s="22"/>
      <c r="P1133" s="22"/>
      <c r="Q1133" s="23"/>
      <c r="R1133" s="23"/>
      <c r="S1133" s="14"/>
    </row>
    <row r="1134" ht="18.75" customHeight="1">
      <c r="A1134" s="7" t="s">
        <v>1045</v>
      </c>
      <c r="B1134" s="7" t="s">
        <v>3875</v>
      </c>
      <c r="C1134" s="9">
        <v>916397.0</v>
      </c>
      <c r="D1134" s="9">
        <v>30665.0</v>
      </c>
      <c r="E1134" s="9">
        <v>854.0</v>
      </c>
      <c r="F1134" s="7" t="s">
        <v>1046</v>
      </c>
      <c r="G1134" s="7" t="s">
        <v>364</v>
      </c>
      <c r="H1134" s="7" t="s">
        <v>504</v>
      </c>
      <c r="I1134" s="7" t="s">
        <v>355</v>
      </c>
      <c r="J1134" s="14"/>
      <c r="K1134" s="14"/>
      <c r="O1134" s="22"/>
      <c r="P1134" s="22"/>
      <c r="Q1134" s="23"/>
      <c r="R1134" s="23"/>
      <c r="S1134" s="14"/>
    </row>
    <row r="1135" ht="18.75" customHeight="1">
      <c r="A1135" s="7" t="s">
        <v>1045</v>
      </c>
      <c r="B1135" s="7" t="s">
        <v>3875</v>
      </c>
      <c r="C1135" s="9">
        <v>591382.0</v>
      </c>
      <c r="D1135" s="9">
        <v>57963.0</v>
      </c>
      <c r="E1135" s="9">
        <v>664.0</v>
      </c>
      <c r="F1135" s="7" t="s">
        <v>1046</v>
      </c>
      <c r="G1135" s="7" t="s">
        <v>364</v>
      </c>
      <c r="H1135" s="7" t="s">
        <v>504</v>
      </c>
      <c r="I1135" s="7" t="s">
        <v>355</v>
      </c>
      <c r="J1135" s="14"/>
      <c r="K1135" s="14"/>
      <c r="O1135" s="22"/>
      <c r="P1135" s="22"/>
      <c r="Q1135" s="23"/>
      <c r="R1135" s="23"/>
      <c r="S1135" s="14"/>
    </row>
    <row r="1136" ht="18.75" customHeight="1">
      <c r="A1136" s="7" t="s">
        <v>1029</v>
      </c>
      <c r="B1136" s="7" t="s">
        <v>3875</v>
      </c>
      <c r="C1136" s="9">
        <v>35184.0</v>
      </c>
      <c r="D1136" s="9">
        <v>0.0</v>
      </c>
      <c r="E1136" s="9">
        <v>1667.0</v>
      </c>
      <c r="F1136" s="7" t="s">
        <v>1030</v>
      </c>
      <c r="G1136" s="7" t="s">
        <v>404</v>
      </c>
      <c r="H1136" s="7" t="s">
        <v>667</v>
      </c>
      <c r="I1136" s="7" t="s">
        <v>355</v>
      </c>
      <c r="J1136" s="14"/>
      <c r="K1136" s="14"/>
      <c r="O1136" s="22"/>
      <c r="P1136" s="22"/>
      <c r="Q1136" s="23"/>
      <c r="R1136" s="23"/>
      <c r="S1136" s="14"/>
    </row>
    <row r="1137" ht="18.75" customHeight="1">
      <c r="A1137" s="7" t="s">
        <v>1029</v>
      </c>
      <c r="B1137" s="7" t="s">
        <v>3875</v>
      </c>
      <c r="C1137" s="9">
        <v>28602.0</v>
      </c>
      <c r="D1137" s="9">
        <v>0.0</v>
      </c>
      <c r="E1137" s="9">
        <v>1176.0</v>
      </c>
      <c r="F1137" s="7" t="s">
        <v>1030</v>
      </c>
      <c r="G1137" s="7" t="s">
        <v>404</v>
      </c>
      <c r="H1137" s="7" t="s">
        <v>667</v>
      </c>
      <c r="I1137" s="7" t="s">
        <v>355</v>
      </c>
      <c r="J1137" s="14"/>
      <c r="K1137" s="14"/>
      <c r="O1137" s="22"/>
      <c r="P1137" s="22"/>
      <c r="Q1137" s="23"/>
      <c r="R1137" s="23"/>
      <c r="S1137" s="14"/>
    </row>
    <row r="1138" ht="18.75" customHeight="1">
      <c r="A1138" s="7" t="s">
        <v>3752</v>
      </c>
      <c r="B1138" s="7" t="s">
        <v>3875</v>
      </c>
      <c r="C1138" s="9">
        <v>24206.0</v>
      </c>
      <c r="D1138" s="9">
        <v>0.0</v>
      </c>
      <c r="E1138" s="9">
        <v>136.0</v>
      </c>
      <c r="F1138" s="7" t="s">
        <v>3892</v>
      </c>
      <c r="G1138" s="7" t="s">
        <v>416</v>
      </c>
      <c r="H1138" s="7" t="s">
        <v>594</v>
      </c>
      <c r="I1138" s="7" t="s">
        <v>3886</v>
      </c>
      <c r="J1138" s="14"/>
      <c r="K1138" s="14"/>
      <c r="O1138" s="22"/>
      <c r="P1138" s="22"/>
      <c r="Q1138" s="23"/>
      <c r="R1138" s="23"/>
      <c r="S1138" s="14"/>
    </row>
    <row r="1139" ht="18.75" customHeight="1">
      <c r="A1139" s="7" t="s">
        <v>1053</v>
      </c>
      <c r="B1139" s="7" t="s">
        <v>3875</v>
      </c>
      <c r="C1139" s="9">
        <v>835816.0</v>
      </c>
      <c r="D1139" s="9">
        <v>52866.0</v>
      </c>
      <c r="E1139" s="9">
        <v>778.0</v>
      </c>
      <c r="F1139" s="7" t="s">
        <v>1054</v>
      </c>
      <c r="G1139" s="7" t="s">
        <v>353</v>
      </c>
      <c r="H1139" s="7" t="s">
        <v>378</v>
      </c>
      <c r="I1139" s="7" t="s">
        <v>355</v>
      </c>
      <c r="J1139" s="14"/>
      <c r="K1139" s="14"/>
      <c r="O1139" s="22"/>
      <c r="P1139" s="22"/>
      <c r="Q1139" s="23"/>
      <c r="R1139" s="23"/>
      <c r="S1139" s="14"/>
    </row>
    <row r="1140" ht="18.75" customHeight="1">
      <c r="A1140" s="7" t="s">
        <v>1063</v>
      </c>
      <c r="B1140" s="7" t="s">
        <v>3875</v>
      </c>
      <c r="C1140" s="9">
        <v>72802.0</v>
      </c>
      <c r="D1140" s="9">
        <v>0.0</v>
      </c>
      <c r="E1140" s="9">
        <v>283.0</v>
      </c>
      <c r="F1140" s="7" t="s">
        <v>1064</v>
      </c>
      <c r="G1140" s="7" t="s">
        <v>416</v>
      </c>
      <c r="H1140" s="7" t="s">
        <v>594</v>
      </c>
      <c r="I1140" s="7" t="s">
        <v>355</v>
      </c>
      <c r="J1140" s="14"/>
      <c r="K1140" s="14"/>
      <c r="O1140" s="22"/>
      <c r="P1140" s="22"/>
      <c r="Q1140" s="23"/>
      <c r="R1140" s="23"/>
      <c r="S1140" s="14"/>
    </row>
    <row r="1141" ht="18.75" customHeight="1">
      <c r="A1141" s="7" t="s">
        <v>1073</v>
      </c>
      <c r="B1141" s="7" t="s">
        <v>3875</v>
      </c>
      <c r="C1141" s="9">
        <v>342476.0</v>
      </c>
      <c r="D1141" s="9">
        <v>0.0</v>
      </c>
      <c r="E1141" s="9">
        <v>323.0</v>
      </c>
      <c r="F1141" s="7" t="s">
        <v>1074</v>
      </c>
      <c r="G1141" s="7" t="s">
        <v>416</v>
      </c>
      <c r="H1141" s="7" t="s">
        <v>354</v>
      </c>
      <c r="I1141" s="7" t="s">
        <v>355</v>
      </c>
      <c r="J1141" s="14"/>
      <c r="K1141" s="14"/>
      <c r="O1141" s="22"/>
      <c r="P1141" s="22"/>
      <c r="Q1141" s="23"/>
      <c r="R1141" s="23"/>
      <c r="S1141" s="14"/>
    </row>
    <row r="1142" ht="18.75" customHeight="1">
      <c r="A1142" s="7" t="s">
        <v>1033</v>
      </c>
      <c r="B1142" s="7" t="s">
        <v>3875</v>
      </c>
      <c r="C1142" s="9">
        <v>133555.0</v>
      </c>
      <c r="D1142" s="9">
        <v>18847.0</v>
      </c>
      <c r="E1142" s="9">
        <v>128.0</v>
      </c>
      <c r="F1142" s="7" t="s">
        <v>1034</v>
      </c>
      <c r="G1142" s="7" t="s">
        <v>416</v>
      </c>
      <c r="H1142" s="7" t="s">
        <v>417</v>
      </c>
      <c r="I1142" s="7" t="s">
        <v>355</v>
      </c>
      <c r="J1142" s="14"/>
      <c r="K1142" s="14"/>
      <c r="O1142" s="22"/>
      <c r="P1142" s="22"/>
      <c r="Q1142" s="23"/>
      <c r="R1142" s="23"/>
      <c r="S1142" s="14"/>
    </row>
    <row r="1143" ht="18.75" customHeight="1">
      <c r="A1143" s="7" t="s">
        <v>1083</v>
      </c>
      <c r="B1143" s="7" t="s">
        <v>3875</v>
      </c>
      <c r="C1143" s="9">
        <v>693857.0</v>
      </c>
      <c r="D1143" s="9">
        <v>24682.0</v>
      </c>
      <c r="E1143" s="9">
        <v>1351.0</v>
      </c>
      <c r="F1143" s="7" t="s">
        <v>1084</v>
      </c>
      <c r="G1143" s="7" t="s">
        <v>404</v>
      </c>
      <c r="H1143" s="7" t="s">
        <v>405</v>
      </c>
      <c r="I1143" s="7" t="s">
        <v>355</v>
      </c>
      <c r="J1143" s="14"/>
      <c r="K1143" s="14"/>
      <c r="O1143" s="22"/>
      <c r="P1143" s="22"/>
      <c r="Q1143" s="23"/>
      <c r="R1143" s="23"/>
      <c r="S1143" s="14"/>
    </row>
    <row r="1144" ht="18.75" customHeight="1">
      <c r="A1144" s="7" t="s">
        <v>1061</v>
      </c>
      <c r="B1144" s="7" t="s">
        <v>3875</v>
      </c>
      <c r="C1144" s="9">
        <v>103367.0</v>
      </c>
      <c r="D1144" s="9">
        <v>0.0</v>
      </c>
      <c r="E1144" s="9">
        <v>531.0</v>
      </c>
      <c r="F1144" s="7" t="s">
        <v>1062</v>
      </c>
      <c r="G1144" s="7" t="s">
        <v>416</v>
      </c>
      <c r="H1144" s="7" t="s">
        <v>387</v>
      </c>
      <c r="I1144" s="7" t="s">
        <v>355</v>
      </c>
      <c r="J1144" s="14"/>
      <c r="K1144" s="14"/>
      <c r="O1144" s="22"/>
      <c r="P1144" s="22"/>
      <c r="Q1144" s="23"/>
      <c r="R1144" s="23"/>
      <c r="S1144" s="14"/>
    </row>
    <row r="1145" ht="18.75" customHeight="1">
      <c r="A1145" s="7" t="s">
        <v>1067</v>
      </c>
      <c r="B1145" s="7" t="s">
        <v>3875</v>
      </c>
      <c r="C1145" s="9">
        <v>136397.0</v>
      </c>
      <c r="D1145" s="9">
        <v>0.0</v>
      </c>
      <c r="E1145" s="9">
        <v>452.0</v>
      </c>
      <c r="F1145" s="7" t="s">
        <v>1068</v>
      </c>
      <c r="G1145" s="7" t="s">
        <v>416</v>
      </c>
      <c r="H1145" s="7" t="s">
        <v>365</v>
      </c>
      <c r="I1145" s="7" t="s">
        <v>355</v>
      </c>
      <c r="J1145" s="14"/>
      <c r="K1145" s="14"/>
      <c r="O1145" s="22"/>
      <c r="P1145" s="22"/>
      <c r="Q1145" s="23"/>
      <c r="R1145" s="23"/>
      <c r="S1145" s="14"/>
    </row>
    <row r="1146" ht="18.75" customHeight="1">
      <c r="A1146" s="7" t="s">
        <v>1081</v>
      </c>
      <c r="B1146" s="7" t="s">
        <v>3875</v>
      </c>
      <c r="C1146" s="9">
        <v>79983.0</v>
      </c>
      <c r="D1146" s="9">
        <v>0.0</v>
      </c>
      <c r="E1146" s="9">
        <v>691.0</v>
      </c>
      <c r="F1146" s="7" t="s">
        <v>1082</v>
      </c>
      <c r="G1146" s="7" t="s">
        <v>364</v>
      </c>
      <c r="H1146" s="7" t="s">
        <v>365</v>
      </c>
      <c r="I1146" s="7" t="s">
        <v>355</v>
      </c>
      <c r="J1146" s="14"/>
      <c r="K1146" s="14"/>
      <c r="O1146" s="22"/>
      <c r="P1146" s="22"/>
      <c r="Q1146" s="23"/>
      <c r="R1146" s="23"/>
      <c r="S1146" s="14"/>
    </row>
    <row r="1147" ht="18.75" customHeight="1">
      <c r="A1147" s="7" t="s">
        <v>1069</v>
      </c>
      <c r="B1147" s="7" t="s">
        <v>3875</v>
      </c>
      <c r="C1147" s="9">
        <v>27190.0</v>
      </c>
      <c r="D1147" s="9">
        <v>0.0</v>
      </c>
      <c r="E1147" s="9">
        <v>120.0</v>
      </c>
      <c r="F1147" s="7" t="s">
        <v>1070</v>
      </c>
      <c r="G1147" s="7" t="s">
        <v>416</v>
      </c>
      <c r="H1147" s="7" t="s">
        <v>594</v>
      </c>
      <c r="I1147" s="7" t="s">
        <v>355</v>
      </c>
      <c r="J1147" s="14"/>
      <c r="K1147" s="14"/>
      <c r="O1147" s="22"/>
      <c r="P1147" s="22"/>
      <c r="Q1147" s="23"/>
      <c r="R1147" s="23"/>
      <c r="S1147" s="14"/>
    </row>
    <row r="1148" ht="18.75" customHeight="1">
      <c r="A1148" s="7" t="s">
        <v>1079</v>
      </c>
      <c r="B1148" s="7" t="s">
        <v>3875</v>
      </c>
      <c r="C1148" s="9">
        <v>319619.0</v>
      </c>
      <c r="D1148" s="9">
        <v>0.0</v>
      </c>
      <c r="E1148" s="9">
        <v>524.0</v>
      </c>
      <c r="F1148" s="7" t="s">
        <v>1080</v>
      </c>
      <c r="G1148" s="7" t="s">
        <v>503</v>
      </c>
      <c r="H1148" s="7" t="s">
        <v>783</v>
      </c>
      <c r="I1148" s="7" t="s">
        <v>355</v>
      </c>
      <c r="J1148" s="14"/>
      <c r="K1148" s="14"/>
      <c r="O1148" s="22"/>
      <c r="P1148" s="22"/>
      <c r="Q1148" s="23"/>
      <c r="R1148" s="23"/>
      <c r="S1148" s="14"/>
    </row>
    <row r="1149" ht="18.75" customHeight="1">
      <c r="A1149" s="7" t="s">
        <v>1079</v>
      </c>
      <c r="B1149" s="7" t="s">
        <v>3875</v>
      </c>
      <c r="C1149" s="9">
        <v>325361.0</v>
      </c>
      <c r="D1149" s="9">
        <v>0.0</v>
      </c>
      <c r="E1149" s="9">
        <v>426.0</v>
      </c>
      <c r="F1149" s="7" t="s">
        <v>1080</v>
      </c>
      <c r="G1149" s="7" t="s">
        <v>503</v>
      </c>
      <c r="H1149" s="7" t="s">
        <v>783</v>
      </c>
      <c r="I1149" s="7" t="s">
        <v>355</v>
      </c>
      <c r="J1149" s="14"/>
      <c r="K1149" s="14"/>
      <c r="O1149" s="22"/>
      <c r="P1149" s="22"/>
      <c r="Q1149" s="23"/>
      <c r="R1149" s="23"/>
      <c r="S1149" s="14"/>
    </row>
    <row r="1150" ht="18.75" customHeight="1">
      <c r="A1150" s="7" t="s">
        <v>912</v>
      </c>
      <c r="B1150" s="7" t="s">
        <v>3875</v>
      </c>
      <c r="C1150" s="9">
        <v>63952.0</v>
      </c>
      <c r="D1150" s="9">
        <v>14907.0</v>
      </c>
      <c r="E1150" s="9">
        <v>138.0</v>
      </c>
      <c r="F1150" s="7" t="s">
        <v>913</v>
      </c>
      <c r="G1150" s="7" t="s">
        <v>358</v>
      </c>
      <c r="H1150" s="7" t="s">
        <v>466</v>
      </c>
      <c r="I1150" s="7" t="s">
        <v>355</v>
      </c>
      <c r="J1150" s="14"/>
      <c r="K1150" s="14"/>
      <c r="O1150" s="22"/>
      <c r="P1150" s="22"/>
      <c r="Q1150" s="23"/>
      <c r="R1150" s="23"/>
      <c r="S1150" s="14"/>
    </row>
    <row r="1151" ht="18.75" customHeight="1">
      <c r="A1151" s="7" t="s">
        <v>912</v>
      </c>
      <c r="B1151" s="7" t="s">
        <v>3875</v>
      </c>
      <c r="C1151" s="9">
        <v>66069.0</v>
      </c>
      <c r="D1151" s="9">
        <v>10159.0</v>
      </c>
      <c r="E1151" s="9">
        <v>59.0</v>
      </c>
      <c r="F1151" s="7" t="s">
        <v>913</v>
      </c>
      <c r="G1151" s="7" t="s">
        <v>358</v>
      </c>
      <c r="H1151" s="7" t="s">
        <v>466</v>
      </c>
      <c r="I1151" s="7" t="s">
        <v>355</v>
      </c>
      <c r="J1151" s="14"/>
      <c r="K1151" s="14"/>
      <c r="O1151" s="22"/>
      <c r="P1151" s="22"/>
      <c r="Q1151" s="23"/>
      <c r="R1151" s="23"/>
      <c r="S1151" s="14"/>
    </row>
    <row r="1152" ht="18.75" customHeight="1">
      <c r="A1152" s="7" t="s">
        <v>1065</v>
      </c>
      <c r="B1152" s="7" t="s">
        <v>3875</v>
      </c>
      <c r="C1152" s="9">
        <v>118886.0</v>
      </c>
      <c r="D1152" s="9">
        <v>0.0</v>
      </c>
      <c r="E1152" s="9">
        <v>326.0</v>
      </c>
      <c r="F1152" s="7" t="s">
        <v>1066</v>
      </c>
      <c r="G1152" s="7" t="s">
        <v>416</v>
      </c>
      <c r="H1152" s="7" t="s">
        <v>413</v>
      </c>
      <c r="I1152" s="7" t="s">
        <v>355</v>
      </c>
      <c r="J1152" s="14"/>
      <c r="K1152" s="14"/>
      <c r="O1152" s="22"/>
      <c r="P1152" s="22"/>
      <c r="Q1152" s="23"/>
      <c r="R1152" s="23"/>
      <c r="S1152" s="14"/>
    </row>
    <row r="1153" ht="18.75" customHeight="1">
      <c r="A1153" s="7" t="s">
        <v>1075</v>
      </c>
      <c r="B1153" s="7" t="s">
        <v>3875</v>
      </c>
      <c r="C1153" s="9">
        <v>302190.0</v>
      </c>
      <c r="D1153" s="9">
        <v>0.0</v>
      </c>
      <c r="E1153" s="9">
        <v>375.0</v>
      </c>
      <c r="F1153" s="7" t="s">
        <v>1076</v>
      </c>
      <c r="G1153" s="7" t="s">
        <v>416</v>
      </c>
      <c r="H1153" s="7" t="s">
        <v>783</v>
      </c>
      <c r="I1153" s="7" t="s">
        <v>355</v>
      </c>
      <c r="J1153" s="14"/>
      <c r="K1153" s="14"/>
      <c r="O1153" s="22"/>
      <c r="P1153" s="22"/>
      <c r="Q1153" s="23"/>
      <c r="R1153" s="23"/>
      <c r="S1153" s="14"/>
    </row>
    <row r="1154" ht="18.75" customHeight="1">
      <c r="A1154" s="7" t="s">
        <v>1075</v>
      </c>
      <c r="B1154" s="7" t="s">
        <v>3875</v>
      </c>
      <c r="C1154" s="9">
        <v>318403.0</v>
      </c>
      <c r="D1154" s="9">
        <v>0.0</v>
      </c>
      <c r="E1154" s="9">
        <v>374.0</v>
      </c>
      <c r="F1154" s="7" t="s">
        <v>1076</v>
      </c>
      <c r="G1154" s="7" t="s">
        <v>416</v>
      </c>
      <c r="H1154" s="7" t="s">
        <v>783</v>
      </c>
      <c r="I1154" s="7" t="s">
        <v>355</v>
      </c>
      <c r="J1154" s="14"/>
      <c r="K1154" s="14"/>
      <c r="O1154" s="22"/>
      <c r="P1154" s="22"/>
      <c r="Q1154" s="23"/>
      <c r="R1154" s="23"/>
      <c r="S1154" s="14"/>
    </row>
    <row r="1155" ht="18.75" customHeight="1">
      <c r="A1155" s="7" t="s">
        <v>989</v>
      </c>
      <c r="B1155" s="7" t="s">
        <v>3875</v>
      </c>
      <c r="C1155" s="9">
        <v>90849.0</v>
      </c>
      <c r="D1155" s="9">
        <v>16302.0</v>
      </c>
      <c r="E1155" s="9">
        <v>198.0</v>
      </c>
      <c r="F1155" s="7" t="s">
        <v>990</v>
      </c>
      <c r="G1155" s="7" t="s">
        <v>353</v>
      </c>
      <c r="H1155" s="7" t="s">
        <v>378</v>
      </c>
      <c r="I1155" s="7" t="s">
        <v>355</v>
      </c>
      <c r="J1155" s="14"/>
      <c r="K1155" s="14"/>
      <c r="O1155" s="22"/>
      <c r="P1155" s="22"/>
      <c r="Q1155" s="23"/>
      <c r="R1155" s="23"/>
      <c r="S1155" s="14"/>
    </row>
    <row r="1156" ht="18.75" customHeight="1">
      <c r="A1156" s="7" t="s">
        <v>989</v>
      </c>
      <c r="B1156" s="7" t="s">
        <v>3875</v>
      </c>
      <c r="C1156" s="9">
        <v>678446.0</v>
      </c>
      <c r="D1156" s="9">
        <v>54203.0</v>
      </c>
      <c r="E1156" s="9">
        <v>634.0</v>
      </c>
      <c r="F1156" s="7" t="s">
        <v>990</v>
      </c>
      <c r="G1156" s="7" t="s">
        <v>353</v>
      </c>
      <c r="H1156" s="7" t="s">
        <v>378</v>
      </c>
      <c r="I1156" s="7" t="s">
        <v>355</v>
      </c>
      <c r="J1156" s="14"/>
      <c r="K1156" s="14"/>
      <c r="O1156" s="22"/>
      <c r="P1156" s="22"/>
      <c r="Q1156" s="23"/>
      <c r="R1156" s="23"/>
      <c r="S1156" s="14"/>
    </row>
    <row r="1157" ht="18.75" customHeight="1">
      <c r="A1157" s="7" t="s">
        <v>1071</v>
      </c>
      <c r="B1157" s="7" t="s">
        <v>3875</v>
      </c>
      <c r="C1157" s="9">
        <v>28209.0</v>
      </c>
      <c r="D1157" s="9">
        <v>0.0</v>
      </c>
      <c r="E1157" s="9">
        <v>971.0</v>
      </c>
      <c r="F1157" s="7" t="s">
        <v>1072</v>
      </c>
      <c r="G1157" s="7" t="s">
        <v>416</v>
      </c>
      <c r="H1157" s="7" t="s">
        <v>417</v>
      </c>
      <c r="I1157" s="7" t="s">
        <v>355</v>
      </c>
      <c r="J1157" s="14"/>
      <c r="K1157" s="14"/>
      <c r="O1157" s="22"/>
      <c r="P1157" s="22"/>
      <c r="Q1157" s="23"/>
      <c r="R1157" s="23"/>
      <c r="S1157" s="14"/>
    </row>
    <row r="1158" ht="18.75" customHeight="1">
      <c r="A1158" s="7" t="s">
        <v>1085</v>
      </c>
      <c r="B1158" s="7" t="s">
        <v>3875</v>
      </c>
      <c r="C1158" s="9">
        <v>56294.0</v>
      </c>
      <c r="D1158" s="9">
        <v>0.0</v>
      </c>
      <c r="E1158" s="9">
        <v>4.0</v>
      </c>
      <c r="F1158" s="7" t="s">
        <v>1086</v>
      </c>
      <c r="G1158" s="7" t="s">
        <v>364</v>
      </c>
      <c r="H1158" s="7" t="s">
        <v>365</v>
      </c>
      <c r="I1158" s="7" t="s">
        <v>355</v>
      </c>
      <c r="J1158" s="14"/>
      <c r="K1158" s="14"/>
      <c r="O1158" s="22"/>
      <c r="P1158" s="22"/>
      <c r="Q1158" s="23"/>
      <c r="R1158" s="23"/>
      <c r="S1158" s="14"/>
    </row>
    <row r="1159" ht="18.75" customHeight="1">
      <c r="A1159" s="7" t="s">
        <v>1089</v>
      </c>
      <c r="B1159" s="7" t="s">
        <v>3875</v>
      </c>
      <c r="C1159" s="9">
        <v>812015.0</v>
      </c>
      <c r="D1159" s="9">
        <v>0.0</v>
      </c>
      <c r="E1159" s="9">
        <v>1339.0</v>
      </c>
      <c r="F1159" s="7" t="s">
        <v>1090</v>
      </c>
      <c r="G1159" s="7" t="s">
        <v>364</v>
      </c>
      <c r="H1159" s="7" t="s">
        <v>365</v>
      </c>
      <c r="I1159" s="7" t="s">
        <v>355</v>
      </c>
      <c r="J1159" s="14"/>
      <c r="K1159" s="14"/>
      <c r="O1159" s="22"/>
      <c r="P1159" s="22"/>
      <c r="Q1159" s="23"/>
      <c r="R1159" s="23"/>
      <c r="S1159" s="14"/>
    </row>
    <row r="1160" ht="18.75" customHeight="1">
      <c r="A1160" s="7" t="s">
        <v>1087</v>
      </c>
      <c r="B1160" s="7" t="s">
        <v>3875</v>
      </c>
      <c r="C1160" s="9">
        <v>326295.0</v>
      </c>
      <c r="D1160" s="9">
        <v>0.0</v>
      </c>
      <c r="E1160" s="9">
        <v>802.0</v>
      </c>
      <c r="F1160" s="7" t="s">
        <v>1088</v>
      </c>
      <c r="G1160" s="7" t="s">
        <v>416</v>
      </c>
      <c r="H1160" s="7" t="s">
        <v>417</v>
      </c>
      <c r="I1160" s="7" t="s">
        <v>355</v>
      </c>
      <c r="J1160" s="14"/>
      <c r="K1160" s="14"/>
      <c r="O1160" s="22"/>
      <c r="P1160" s="22"/>
      <c r="Q1160" s="23"/>
      <c r="R1160" s="23"/>
      <c r="S1160" s="14"/>
    </row>
    <row r="1161" ht="18.75" customHeight="1">
      <c r="A1161" s="7" t="s">
        <v>1087</v>
      </c>
      <c r="B1161" s="7" t="s">
        <v>3875</v>
      </c>
      <c r="C1161" s="9">
        <v>135755.0</v>
      </c>
      <c r="D1161" s="9">
        <v>0.0</v>
      </c>
      <c r="E1161" s="9">
        <v>2598.0</v>
      </c>
      <c r="F1161" s="7" t="s">
        <v>1088</v>
      </c>
      <c r="G1161" s="7" t="s">
        <v>416</v>
      </c>
      <c r="H1161" s="7" t="s">
        <v>417</v>
      </c>
      <c r="I1161" s="7" t="s">
        <v>355</v>
      </c>
      <c r="J1161" s="14"/>
      <c r="K1161" s="14"/>
      <c r="O1161" s="22"/>
      <c r="P1161" s="22"/>
      <c r="Q1161" s="23"/>
      <c r="R1161" s="23"/>
      <c r="S1161" s="14"/>
    </row>
    <row r="1162" ht="18.75" customHeight="1">
      <c r="A1162" s="7" t="s">
        <v>1091</v>
      </c>
      <c r="B1162" s="7" t="s">
        <v>3875</v>
      </c>
      <c r="C1162" s="9">
        <v>424972.0</v>
      </c>
      <c r="D1162" s="9">
        <v>63680.0</v>
      </c>
      <c r="E1162" s="9">
        <v>2159.0</v>
      </c>
      <c r="F1162" s="7" t="s">
        <v>1092</v>
      </c>
      <c r="G1162" s="7" t="s">
        <v>358</v>
      </c>
      <c r="H1162" s="7" t="s">
        <v>466</v>
      </c>
      <c r="I1162" s="7" t="s">
        <v>355</v>
      </c>
      <c r="J1162" s="14"/>
      <c r="K1162" s="14"/>
      <c r="O1162" s="22"/>
      <c r="P1162" s="22"/>
      <c r="Q1162" s="23"/>
      <c r="R1162" s="23"/>
      <c r="S1162" s="14"/>
    </row>
    <row r="1163" ht="18.75" customHeight="1">
      <c r="A1163" s="7" t="s">
        <v>1091</v>
      </c>
      <c r="B1163" s="7" t="s">
        <v>3875</v>
      </c>
      <c r="C1163" s="9">
        <v>517972.0</v>
      </c>
      <c r="D1163" s="9">
        <v>125996.0</v>
      </c>
      <c r="E1163" s="9">
        <v>1917.0</v>
      </c>
      <c r="F1163" s="7" t="s">
        <v>1092</v>
      </c>
      <c r="G1163" s="7" t="s">
        <v>358</v>
      </c>
      <c r="H1163" s="7" t="s">
        <v>466</v>
      </c>
      <c r="I1163" s="7" t="s">
        <v>355</v>
      </c>
      <c r="J1163" s="14"/>
      <c r="K1163" s="14"/>
      <c r="O1163" s="22"/>
      <c r="P1163" s="22"/>
      <c r="Q1163" s="23"/>
      <c r="R1163" s="23"/>
      <c r="S1163" s="14"/>
    </row>
    <row r="1164" ht="18.75" customHeight="1">
      <c r="A1164" s="7" t="s">
        <v>1039</v>
      </c>
      <c r="B1164" s="7" t="s">
        <v>3875</v>
      </c>
      <c r="C1164" s="9">
        <v>722000.0</v>
      </c>
      <c r="D1164" s="9">
        <v>2069.0</v>
      </c>
      <c r="E1164" s="9">
        <v>1383.0</v>
      </c>
      <c r="F1164" s="7" t="s">
        <v>1040</v>
      </c>
      <c r="G1164" s="7" t="s">
        <v>353</v>
      </c>
      <c r="H1164" s="7" t="s">
        <v>354</v>
      </c>
      <c r="I1164" s="7" t="s">
        <v>355</v>
      </c>
      <c r="J1164" s="14"/>
      <c r="K1164" s="14"/>
      <c r="O1164" s="22"/>
      <c r="P1164" s="22"/>
      <c r="Q1164" s="23"/>
      <c r="R1164" s="23"/>
      <c r="S1164" s="14"/>
    </row>
    <row r="1165" ht="18.75" customHeight="1">
      <c r="A1165" s="7" t="s">
        <v>1039</v>
      </c>
      <c r="B1165" s="7" t="s">
        <v>3875</v>
      </c>
      <c r="C1165" s="9">
        <v>522616.0</v>
      </c>
      <c r="D1165" s="9">
        <v>1703.0</v>
      </c>
      <c r="E1165" s="9">
        <v>1346.0</v>
      </c>
      <c r="F1165" s="7" t="s">
        <v>1040</v>
      </c>
      <c r="G1165" s="7" t="s">
        <v>353</v>
      </c>
      <c r="H1165" s="7" t="s">
        <v>354</v>
      </c>
      <c r="I1165" s="7" t="s">
        <v>355</v>
      </c>
      <c r="J1165" s="14"/>
      <c r="K1165" s="14"/>
      <c r="O1165" s="22"/>
      <c r="P1165" s="22"/>
      <c r="Q1165" s="23"/>
      <c r="R1165" s="23"/>
      <c r="S1165" s="14"/>
    </row>
    <row r="1166" ht="18.75" customHeight="1">
      <c r="A1166" s="7" t="s">
        <v>1099</v>
      </c>
      <c r="B1166" s="7" t="s">
        <v>3875</v>
      </c>
      <c r="C1166" s="9">
        <v>60245.0</v>
      </c>
      <c r="D1166" s="9">
        <v>0.0</v>
      </c>
      <c r="E1166" s="9">
        <v>70.0</v>
      </c>
      <c r="F1166" s="7" t="s">
        <v>1100</v>
      </c>
      <c r="G1166" s="7" t="s">
        <v>416</v>
      </c>
      <c r="H1166" s="7" t="s">
        <v>430</v>
      </c>
      <c r="I1166" s="7" t="s">
        <v>355</v>
      </c>
      <c r="J1166" s="14"/>
      <c r="K1166" s="14"/>
      <c r="O1166" s="22"/>
      <c r="P1166" s="22"/>
      <c r="Q1166" s="23"/>
      <c r="R1166" s="23"/>
      <c r="S1166" s="14"/>
    </row>
    <row r="1167" ht="18.75" customHeight="1">
      <c r="A1167" s="7" t="s">
        <v>1099</v>
      </c>
      <c r="B1167" s="7" t="s">
        <v>3875</v>
      </c>
      <c r="C1167" s="9">
        <v>92480.0</v>
      </c>
      <c r="D1167" s="9">
        <v>0.0</v>
      </c>
      <c r="E1167" s="9">
        <v>0.0</v>
      </c>
      <c r="F1167" s="7" t="s">
        <v>1100</v>
      </c>
      <c r="G1167" s="7" t="s">
        <v>416</v>
      </c>
      <c r="H1167" s="7" t="s">
        <v>430</v>
      </c>
      <c r="I1167" s="7" t="s">
        <v>355</v>
      </c>
      <c r="J1167" s="14"/>
      <c r="K1167" s="14"/>
      <c r="O1167" s="22"/>
      <c r="P1167" s="22"/>
      <c r="Q1167" s="23"/>
      <c r="R1167" s="23"/>
      <c r="S1167" s="14"/>
    </row>
    <row r="1168" ht="18.75" customHeight="1">
      <c r="A1168" s="7" t="s">
        <v>573</v>
      </c>
      <c r="B1168" s="7" t="s">
        <v>3875</v>
      </c>
      <c r="C1168" s="9">
        <v>136354.0</v>
      </c>
      <c r="D1168" s="9">
        <v>0.0</v>
      </c>
      <c r="E1168" s="9">
        <v>0.0</v>
      </c>
      <c r="F1168" s="7" t="s">
        <v>574</v>
      </c>
      <c r="G1168" s="7" t="s">
        <v>364</v>
      </c>
      <c r="H1168" s="7" t="s">
        <v>365</v>
      </c>
      <c r="I1168" s="7" t="s">
        <v>355</v>
      </c>
      <c r="J1168" s="14"/>
      <c r="K1168" s="14"/>
      <c r="O1168" s="22"/>
      <c r="P1168" s="22"/>
      <c r="Q1168" s="23"/>
      <c r="R1168" s="23"/>
      <c r="S1168" s="14"/>
    </row>
    <row r="1169" ht="18.75" customHeight="1">
      <c r="A1169" s="7" t="s">
        <v>1123</v>
      </c>
      <c r="B1169" s="7" t="s">
        <v>3875</v>
      </c>
      <c r="C1169" s="9">
        <v>474017.0</v>
      </c>
      <c r="D1169" s="9">
        <v>15552.0</v>
      </c>
      <c r="E1169" s="9">
        <v>2.0</v>
      </c>
      <c r="F1169" s="7" t="s">
        <v>1124</v>
      </c>
      <c r="G1169" s="7" t="s">
        <v>353</v>
      </c>
      <c r="H1169" s="7" t="s">
        <v>808</v>
      </c>
      <c r="I1169" s="7" t="s">
        <v>355</v>
      </c>
      <c r="J1169" s="14"/>
      <c r="K1169" s="14"/>
      <c r="O1169" s="22"/>
      <c r="P1169" s="22"/>
      <c r="Q1169" s="23"/>
      <c r="R1169" s="23"/>
      <c r="S1169" s="14"/>
    </row>
    <row r="1170" ht="18.75" customHeight="1">
      <c r="A1170" s="7" t="s">
        <v>1029</v>
      </c>
      <c r="B1170" s="7" t="s">
        <v>3875</v>
      </c>
      <c r="C1170" s="9">
        <v>245761.0</v>
      </c>
      <c r="D1170" s="9">
        <v>15357.0</v>
      </c>
      <c r="E1170" s="9">
        <v>179.0</v>
      </c>
      <c r="F1170" s="7" t="s">
        <v>1030</v>
      </c>
      <c r="G1170" s="7" t="s">
        <v>404</v>
      </c>
      <c r="H1170" s="7" t="s">
        <v>667</v>
      </c>
      <c r="I1170" s="7" t="s">
        <v>355</v>
      </c>
      <c r="J1170" s="14"/>
      <c r="K1170" s="14"/>
      <c r="O1170" s="22"/>
      <c r="P1170" s="22"/>
      <c r="Q1170" s="23"/>
      <c r="R1170" s="23"/>
      <c r="S1170" s="14"/>
    </row>
    <row r="1171" ht="18.75" customHeight="1">
      <c r="A1171" s="7" t="s">
        <v>1029</v>
      </c>
      <c r="B1171" s="7" t="s">
        <v>3875</v>
      </c>
      <c r="C1171" s="9">
        <v>311903.0</v>
      </c>
      <c r="D1171" s="9">
        <v>21345.0</v>
      </c>
      <c r="E1171" s="9">
        <v>160.0</v>
      </c>
      <c r="F1171" s="7" t="s">
        <v>1030</v>
      </c>
      <c r="G1171" s="7" t="s">
        <v>404</v>
      </c>
      <c r="H1171" s="7" t="s">
        <v>667</v>
      </c>
      <c r="I1171" s="7" t="s">
        <v>355</v>
      </c>
      <c r="J1171" s="14"/>
      <c r="K1171" s="14"/>
      <c r="O1171" s="22"/>
      <c r="P1171" s="22"/>
      <c r="Q1171" s="23"/>
      <c r="R1171" s="23"/>
      <c r="S1171" s="14"/>
    </row>
    <row r="1172" ht="18.75" customHeight="1">
      <c r="A1172" s="7" t="s">
        <v>1113</v>
      </c>
      <c r="B1172" s="7" t="s">
        <v>3875</v>
      </c>
      <c r="C1172" s="9">
        <v>282291.0</v>
      </c>
      <c r="D1172" s="9">
        <v>0.0</v>
      </c>
      <c r="E1172" s="9">
        <v>1071.0</v>
      </c>
      <c r="F1172" s="7" t="s">
        <v>1114</v>
      </c>
      <c r="G1172" s="7" t="s">
        <v>416</v>
      </c>
      <c r="H1172" s="7" t="s">
        <v>378</v>
      </c>
      <c r="I1172" s="7" t="s">
        <v>355</v>
      </c>
      <c r="J1172" s="14"/>
      <c r="K1172" s="14"/>
      <c r="O1172" s="22"/>
      <c r="P1172" s="22"/>
      <c r="Q1172" s="23"/>
      <c r="R1172" s="23"/>
      <c r="S1172" s="14"/>
    </row>
    <row r="1173" ht="18.75" customHeight="1">
      <c r="A1173" s="7" t="s">
        <v>1109</v>
      </c>
      <c r="B1173" s="7" t="s">
        <v>3875</v>
      </c>
      <c r="C1173" s="9">
        <v>209864.0</v>
      </c>
      <c r="D1173" s="9">
        <v>0.0</v>
      </c>
      <c r="E1173" s="9">
        <v>791.0</v>
      </c>
      <c r="F1173" s="7" t="s">
        <v>1110</v>
      </c>
      <c r="G1173" s="7" t="s">
        <v>416</v>
      </c>
      <c r="H1173" s="7" t="s">
        <v>466</v>
      </c>
      <c r="I1173" s="7" t="s">
        <v>355</v>
      </c>
      <c r="J1173" s="14"/>
      <c r="K1173" s="14"/>
      <c r="O1173" s="22"/>
      <c r="P1173" s="22"/>
      <c r="Q1173" s="23"/>
      <c r="R1173" s="23"/>
      <c r="S1173" s="14"/>
    </row>
    <row r="1174" ht="18.75" customHeight="1">
      <c r="A1174" s="7" t="s">
        <v>1115</v>
      </c>
      <c r="B1174" s="7" t="s">
        <v>3875</v>
      </c>
      <c r="C1174" s="9">
        <v>592359.0</v>
      </c>
      <c r="D1174" s="9">
        <v>0.0</v>
      </c>
      <c r="E1174" s="9">
        <v>730.0</v>
      </c>
      <c r="F1174" s="7" t="s">
        <v>1116</v>
      </c>
      <c r="G1174" s="7" t="s">
        <v>416</v>
      </c>
      <c r="H1174" s="7" t="s">
        <v>725</v>
      </c>
      <c r="I1174" s="7" t="s">
        <v>355</v>
      </c>
      <c r="J1174" s="14"/>
      <c r="K1174" s="14"/>
      <c r="O1174" s="22"/>
      <c r="P1174" s="22"/>
      <c r="Q1174" s="23"/>
      <c r="R1174" s="23"/>
      <c r="S1174" s="14"/>
    </row>
    <row r="1175" ht="18.75" customHeight="1">
      <c r="A1175" s="7" t="s">
        <v>910</v>
      </c>
      <c r="B1175" s="7" t="s">
        <v>3875</v>
      </c>
      <c r="C1175" s="9">
        <v>62999.0</v>
      </c>
      <c r="D1175" s="9">
        <v>7375.0</v>
      </c>
      <c r="E1175" s="9">
        <v>70.0</v>
      </c>
      <c r="F1175" s="7" t="s">
        <v>911</v>
      </c>
      <c r="G1175" s="7" t="s">
        <v>416</v>
      </c>
      <c r="H1175" s="7" t="s">
        <v>417</v>
      </c>
      <c r="I1175" s="7" t="s">
        <v>355</v>
      </c>
      <c r="J1175" s="14"/>
      <c r="K1175" s="14"/>
      <c r="O1175" s="22"/>
      <c r="P1175" s="22"/>
      <c r="Q1175" s="23"/>
      <c r="R1175" s="23"/>
      <c r="S1175" s="14"/>
    </row>
    <row r="1176" ht="18.75" customHeight="1">
      <c r="A1176" s="7" t="s">
        <v>910</v>
      </c>
      <c r="B1176" s="7" t="s">
        <v>3875</v>
      </c>
      <c r="C1176" s="9">
        <v>134572.0</v>
      </c>
      <c r="D1176" s="9">
        <v>17361.0</v>
      </c>
      <c r="E1176" s="9">
        <v>103.0</v>
      </c>
      <c r="F1176" s="7" t="s">
        <v>911</v>
      </c>
      <c r="G1176" s="7" t="s">
        <v>416</v>
      </c>
      <c r="H1176" s="7" t="s">
        <v>417</v>
      </c>
      <c r="I1176" s="7" t="s">
        <v>355</v>
      </c>
      <c r="J1176" s="14"/>
      <c r="K1176" s="14"/>
      <c r="O1176" s="22"/>
      <c r="P1176" s="22"/>
      <c r="Q1176" s="23"/>
      <c r="R1176" s="23"/>
      <c r="S1176" s="14"/>
    </row>
    <row r="1177" ht="18.75" customHeight="1">
      <c r="A1177" s="7" t="s">
        <v>1111</v>
      </c>
      <c r="B1177" s="7" t="s">
        <v>3875</v>
      </c>
      <c r="C1177" s="9">
        <v>114121.0</v>
      </c>
      <c r="D1177" s="9">
        <v>25219.0</v>
      </c>
      <c r="E1177" s="9">
        <v>220.0</v>
      </c>
      <c r="F1177" s="7" t="s">
        <v>1112</v>
      </c>
      <c r="G1177" s="7" t="s">
        <v>416</v>
      </c>
      <c r="H1177" s="7" t="s">
        <v>417</v>
      </c>
      <c r="I1177" s="7" t="s">
        <v>355</v>
      </c>
      <c r="J1177" s="14"/>
      <c r="K1177" s="14"/>
      <c r="O1177" s="22"/>
      <c r="P1177" s="22"/>
      <c r="Q1177" s="23"/>
      <c r="R1177" s="23"/>
      <c r="S1177" s="14"/>
    </row>
    <row r="1178" ht="18.75" customHeight="1">
      <c r="A1178" s="7" t="s">
        <v>713</v>
      </c>
      <c r="B1178" s="7" t="s">
        <v>3875</v>
      </c>
      <c r="C1178" s="9">
        <v>20926.0</v>
      </c>
      <c r="D1178" s="9">
        <v>0.0</v>
      </c>
      <c r="E1178" s="9">
        <v>285.0</v>
      </c>
      <c r="F1178" s="7" t="s">
        <v>714</v>
      </c>
      <c r="G1178" s="7" t="s">
        <v>353</v>
      </c>
      <c r="H1178" s="7" t="s">
        <v>378</v>
      </c>
      <c r="I1178" s="7" t="s">
        <v>355</v>
      </c>
      <c r="J1178" s="14"/>
      <c r="K1178" s="14"/>
      <c r="O1178" s="22"/>
      <c r="P1178" s="22"/>
      <c r="Q1178" s="23"/>
      <c r="R1178" s="23"/>
      <c r="S1178" s="14"/>
    </row>
    <row r="1179" ht="18.75" customHeight="1">
      <c r="A1179" s="7" t="s">
        <v>713</v>
      </c>
      <c r="B1179" s="7" t="s">
        <v>3875</v>
      </c>
      <c r="C1179" s="9">
        <v>160899.0</v>
      </c>
      <c r="D1179" s="9">
        <v>0.0</v>
      </c>
      <c r="E1179" s="9">
        <v>318.0</v>
      </c>
      <c r="F1179" s="7" t="s">
        <v>714</v>
      </c>
      <c r="G1179" s="7" t="s">
        <v>353</v>
      </c>
      <c r="H1179" s="7" t="s">
        <v>378</v>
      </c>
      <c r="I1179" s="7" t="s">
        <v>355</v>
      </c>
      <c r="J1179" s="14"/>
      <c r="K1179" s="14"/>
      <c r="O1179" s="22"/>
      <c r="P1179" s="22"/>
      <c r="Q1179" s="23"/>
      <c r="R1179" s="23"/>
      <c r="S1179" s="14"/>
    </row>
    <row r="1180" ht="18.75" customHeight="1">
      <c r="A1180" s="7" t="s">
        <v>870</v>
      </c>
      <c r="B1180" s="7" t="s">
        <v>3875</v>
      </c>
      <c r="C1180" s="9">
        <v>1260018.0</v>
      </c>
      <c r="D1180" s="9">
        <v>0.0</v>
      </c>
      <c r="E1180" s="9">
        <v>1854.0</v>
      </c>
      <c r="F1180" s="7" t="s">
        <v>871</v>
      </c>
      <c r="G1180" s="7" t="s">
        <v>353</v>
      </c>
      <c r="H1180" s="7" t="s">
        <v>378</v>
      </c>
      <c r="I1180" s="7" t="s">
        <v>355</v>
      </c>
      <c r="J1180" s="14"/>
      <c r="K1180" s="14"/>
      <c r="O1180" s="22"/>
      <c r="P1180" s="22"/>
      <c r="Q1180" s="23"/>
      <c r="R1180" s="23"/>
      <c r="S1180" s="14"/>
    </row>
    <row r="1181" ht="18.75" customHeight="1">
      <c r="A1181" s="7" t="s">
        <v>870</v>
      </c>
      <c r="B1181" s="7" t="s">
        <v>3875</v>
      </c>
      <c r="C1181" s="9">
        <v>1890722.0</v>
      </c>
      <c r="D1181" s="9">
        <v>0.0</v>
      </c>
      <c r="E1181" s="9">
        <v>4183.0</v>
      </c>
      <c r="F1181" s="7" t="s">
        <v>871</v>
      </c>
      <c r="G1181" s="7" t="s">
        <v>353</v>
      </c>
      <c r="H1181" s="7" t="s">
        <v>378</v>
      </c>
      <c r="I1181" s="7" t="s">
        <v>355</v>
      </c>
      <c r="J1181" s="14"/>
      <c r="K1181" s="14"/>
      <c r="O1181" s="22"/>
      <c r="P1181" s="22"/>
      <c r="Q1181" s="23"/>
      <c r="R1181" s="23"/>
      <c r="S1181" s="14"/>
    </row>
    <row r="1182" ht="18.75" customHeight="1">
      <c r="A1182" s="7" t="s">
        <v>912</v>
      </c>
      <c r="B1182" s="7" t="s">
        <v>3875</v>
      </c>
      <c r="C1182" s="9">
        <v>126128.0</v>
      </c>
      <c r="D1182" s="9">
        <v>30304.0</v>
      </c>
      <c r="E1182" s="9">
        <v>369.0</v>
      </c>
      <c r="F1182" s="7" t="s">
        <v>913</v>
      </c>
      <c r="G1182" s="7" t="s">
        <v>358</v>
      </c>
      <c r="H1182" s="7" t="s">
        <v>466</v>
      </c>
      <c r="I1182" s="7" t="s">
        <v>355</v>
      </c>
      <c r="J1182" s="14"/>
      <c r="K1182" s="14"/>
      <c r="O1182" s="22"/>
      <c r="P1182" s="22"/>
      <c r="Q1182" s="23"/>
      <c r="R1182" s="23"/>
      <c r="S1182" s="14"/>
    </row>
    <row r="1183" ht="18.75" customHeight="1">
      <c r="A1183" s="7" t="s">
        <v>912</v>
      </c>
      <c r="B1183" s="7" t="s">
        <v>3875</v>
      </c>
      <c r="C1183" s="9">
        <v>501322.0</v>
      </c>
      <c r="D1183" s="9">
        <v>37981.0</v>
      </c>
      <c r="E1183" s="9">
        <v>455.0</v>
      </c>
      <c r="F1183" s="7" t="s">
        <v>913</v>
      </c>
      <c r="G1183" s="7" t="s">
        <v>358</v>
      </c>
      <c r="H1183" s="7" t="s">
        <v>466</v>
      </c>
      <c r="I1183" s="7" t="s">
        <v>355</v>
      </c>
      <c r="J1183" s="14"/>
      <c r="K1183" s="14"/>
      <c r="O1183" s="22"/>
      <c r="P1183" s="22"/>
      <c r="Q1183" s="23"/>
      <c r="R1183" s="23"/>
      <c r="S1183" s="14"/>
    </row>
    <row r="1184" ht="18.75" customHeight="1">
      <c r="A1184" s="7" t="s">
        <v>834</v>
      </c>
      <c r="B1184" s="7" t="s">
        <v>3875</v>
      </c>
      <c r="C1184" s="9">
        <v>504785.0</v>
      </c>
      <c r="D1184" s="9">
        <v>88210.0</v>
      </c>
      <c r="E1184" s="9">
        <v>459.0</v>
      </c>
      <c r="F1184" s="7" t="s">
        <v>835</v>
      </c>
      <c r="G1184" s="7" t="s">
        <v>404</v>
      </c>
      <c r="H1184" s="7" t="s">
        <v>405</v>
      </c>
      <c r="I1184" s="7" t="s">
        <v>355</v>
      </c>
      <c r="J1184" s="14"/>
      <c r="K1184" s="14"/>
      <c r="O1184" s="22"/>
      <c r="P1184" s="22"/>
      <c r="Q1184" s="23"/>
      <c r="R1184" s="23"/>
      <c r="S1184" s="14"/>
    </row>
    <row r="1185" ht="18.75" customHeight="1">
      <c r="A1185" s="7" t="s">
        <v>834</v>
      </c>
      <c r="B1185" s="7" t="s">
        <v>3875</v>
      </c>
      <c r="C1185" s="9">
        <v>651238.0</v>
      </c>
      <c r="D1185" s="9">
        <v>47984.0</v>
      </c>
      <c r="E1185" s="9">
        <v>774.0</v>
      </c>
      <c r="F1185" s="7" t="s">
        <v>835</v>
      </c>
      <c r="G1185" s="7" t="s">
        <v>404</v>
      </c>
      <c r="H1185" s="7" t="s">
        <v>405</v>
      </c>
      <c r="I1185" s="7" t="s">
        <v>355</v>
      </c>
      <c r="J1185" s="14"/>
      <c r="K1185" s="14"/>
      <c r="O1185" s="22"/>
      <c r="P1185" s="22"/>
      <c r="Q1185" s="23"/>
      <c r="R1185" s="23"/>
      <c r="S1185" s="14"/>
    </row>
    <row r="1186" ht="18.75" customHeight="1">
      <c r="A1186" s="7" t="s">
        <v>834</v>
      </c>
      <c r="B1186" s="7" t="s">
        <v>3875</v>
      </c>
      <c r="C1186" s="9">
        <v>660690.0</v>
      </c>
      <c r="D1186" s="9">
        <v>39339.0</v>
      </c>
      <c r="E1186" s="9">
        <v>732.0</v>
      </c>
      <c r="F1186" s="7" t="s">
        <v>835</v>
      </c>
      <c r="G1186" s="7" t="s">
        <v>404</v>
      </c>
      <c r="H1186" s="7" t="s">
        <v>405</v>
      </c>
      <c r="I1186" s="7" t="s">
        <v>355</v>
      </c>
      <c r="J1186" s="14"/>
      <c r="K1186" s="14"/>
      <c r="O1186" s="22"/>
      <c r="P1186" s="22"/>
      <c r="Q1186" s="23"/>
      <c r="R1186" s="23"/>
      <c r="S1186" s="14"/>
    </row>
    <row r="1187" ht="18.75" customHeight="1">
      <c r="A1187" s="7" t="s">
        <v>834</v>
      </c>
      <c r="B1187" s="7" t="s">
        <v>3875</v>
      </c>
      <c r="C1187" s="9">
        <v>463057.0</v>
      </c>
      <c r="D1187" s="9">
        <v>14709.0</v>
      </c>
      <c r="E1187" s="9">
        <v>723.0</v>
      </c>
      <c r="F1187" s="7" t="s">
        <v>835</v>
      </c>
      <c r="G1187" s="7" t="s">
        <v>404</v>
      </c>
      <c r="H1187" s="7" t="s">
        <v>405</v>
      </c>
      <c r="I1187" s="7" t="s">
        <v>355</v>
      </c>
      <c r="J1187" s="14"/>
      <c r="K1187" s="14"/>
      <c r="O1187" s="22"/>
      <c r="P1187" s="22"/>
      <c r="Q1187" s="23"/>
      <c r="R1187" s="23"/>
      <c r="S1187" s="14"/>
    </row>
    <row r="1188" ht="18.75" customHeight="1">
      <c r="A1188" s="7" t="s">
        <v>834</v>
      </c>
      <c r="B1188" s="7" t="s">
        <v>3875</v>
      </c>
      <c r="C1188" s="9">
        <v>671680.0</v>
      </c>
      <c r="D1188" s="9">
        <v>31129.0</v>
      </c>
      <c r="E1188" s="9">
        <v>756.0</v>
      </c>
      <c r="F1188" s="7" t="s">
        <v>835</v>
      </c>
      <c r="G1188" s="7" t="s">
        <v>404</v>
      </c>
      <c r="H1188" s="7" t="s">
        <v>405</v>
      </c>
      <c r="I1188" s="7" t="s">
        <v>355</v>
      </c>
      <c r="J1188" s="14"/>
      <c r="K1188" s="14"/>
      <c r="O1188" s="22"/>
      <c r="P1188" s="22"/>
      <c r="Q1188" s="23"/>
      <c r="R1188" s="23"/>
      <c r="S1188" s="14"/>
    </row>
    <row r="1189" ht="18.75" customHeight="1">
      <c r="A1189" s="7" t="s">
        <v>941</v>
      </c>
      <c r="B1189" s="7" t="s">
        <v>3875</v>
      </c>
      <c r="C1189" s="9">
        <v>307167.0</v>
      </c>
      <c r="D1189" s="9">
        <v>8043.0</v>
      </c>
      <c r="E1189" s="9">
        <v>507.0</v>
      </c>
      <c r="F1189" s="7" t="s">
        <v>942</v>
      </c>
      <c r="G1189" s="7" t="s">
        <v>404</v>
      </c>
      <c r="H1189" s="7" t="s">
        <v>405</v>
      </c>
      <c r="I1189" s="7" t="s">
        <v>355</v>
      </c>
      <c r="J1189" s="14"/>
      <c r="K1189" s="14"/>
      <c r="O1189" s="22"/>
      <c r="P1189" s="22"/>
      <c r="Q1189" s="23"/>
      <c r="R1189" s="23"/>
      <c r="S1189" s="14"/>
    </row>
    <row r="1190" ht="18.75" customHeight="1">
      <c r="A1190" s="7" t="s">
        <v>941</v>
      </c>
      <c r="B1190" s="7" t="s">
        <v>3875</v>
      </c>
      <c r="C1190" s="9">
        <v>435154.0</v>
      </c>
      <c r="D1190" s="9">
        <v>33487.0</v>
      </c>
      <c r="E1190" s="9">
        <v>436.0</v>
      </c>
      <c r="F1190" s="7" t="s">
        <v>942</v>
      </c>
      <c r="G1190" s="7" t="s">
        <v>404</v>
      </c>
      <c r="H1190" s="7" t="s">
        <v>405</v>
      </c>
      <c r="I1190" s="7" t="s">
        <v>355</v>
      </c>
      <c r="J1190" s="14"/>
      <c r="K1190" s="14"/>
      <c r="O1190" s="22"/>
      <c r="P1190" s="22"/>
      <c r="Q1190" s="23"/>
      <c r="R1190" s="23"/>
      <c r="S1190" s="14"/>
    </row>
    <row r="1191" ht="18.75" customHeight="1">
      <c r="A1191" s="7" t="s">
        <v>941</v>
      </c>
      <c r="B1191" s="7" t="s">
        <v>3875</v>
      </c>
      <c r="C1191" s="9">
        <v>229639.0</v>
      </c>
      <c r="D1191" s="9">
        <v>1045.0</v>
      </c>
      <c r="E1191" s="9">
        <v>484.0</v>
      </c>
      <c r="F1191" s="7" t="s">
        <v>942</v>
      </c>
      <c r="G1191" s="7" t="s">
        <v>404</v>
      </c>
      <c r="H1191" s="7" t="s">
        <v>405</v>
      </c>
      <c r="I1191" s="7" t="s">
        <v>355</v>
      </c>
      <c r="J1191" s="14"/>
      <c r="K1191" s="14"/>
      <c r="O1191" s="22"/>
      <c r="P1191" s="22"/>
      <c r="Q1191" s="23"/>
      <c r="R1191" s="23"/>
      <c r="S1191" s="14"/>
    </row>
    <row r="1192" ht="18.75" customHeight="1">
      <c r="A1192" s="7" t="s">
        <v>1099</v>
      </c>
      <c r="B1192" s="7" t="s">
        <v>3875</v>
      </c>
      <c r="C1192" s="9">
        <v>81208.0</v>
      </c>
      <c r="D1192" s="9">
        <v>0.0</v>
      </c>
      <c r="E1192" s="9">
        <v>86.0</v>
      </c>
      <c r="F1192" s="7" t="s">
        <v>1100</v>
      </c>
      <c r="G1192" s="7" t="s">
        <v>416</v>
      </c>
      <c r="H1192" s="7" t="s">
        <v>430</v>
      </c>
      <c r="I1192" s="7" t="s">
        <v>355</v>
      </c>
      <c r="J1192" s="14"/>
      <c r="K1192" s="14"/>
      <c r="O1192" s="22"/>
      <c r="P1192" s="22"/>
      <c r="Q1192" s="23"/>
      <c r="R1192" s="23"/>
      <c r="S1192" s="14"/>
    </row>
    <row r="1193" ht="18.75" customHeight="1">
      <c r="A1193" s="7" t="s">
        <v>1099</v>
      </c>
      <c r="B1193" s="7" t="s">
        <v>3875</v>
      </c>
      <c r="C1193" s="9">
        <v>116683.0</v>
      </c>
      <c r="D1193" s="9">
        <v>0.0</v>
      </c>
      <c r="E1193" s="9">
        <v>1.0</v>
      </c>
      <c r="F1193" s="7" t="s">
        <v>1100</v>
      </c>
      <c r="G1193" s="7" t="s">
        <v>416</v>
      </c>
      <c r="H1193" s="7" t="s">
        <v>430</v>
      </c>
      <c r="I1193" s="7" t="s">
        <v>355</v>
      </c>
      <c r="J1193" s="14"/>
      <c r="K1193" s="14"/>
      <c r="O1193" s="22"/>
      <c r="P1193" s="22"/>
      <c r="Q1193" s="23"/>
      <c r="R1193" s="23"/>
      <c r="S1193" s="14"/>
    </row>
    <row r="1194" ht="18.75" customHeight="1">
      <c r="A1194" s="7" t="s">
        <v>939</v>
      </c>
      <c r="B1194" s="7" t="s">
        <v>3875</v>
      </c>
      <c r="C1194" s="9">
        <v>682667.0</v>
      </c>
      <c r="D1194" s="9">
        <v>48117.0</v>
      </c>
      <c r="E1194" s="9">
        <v>1012.0</v>
      </c>
      <c r="F1194" s="7" t="s">
        <v>940</v>
      </c>
      <c r="G1194" s="7" t="s">
        <v>404</v>
      </c>
      <c r="H1194" s="7" t="s">
        <v>405</v>
      </c>
      <c r="I1194" s="7" t="s">
        <v>355</v>
      </c>
      <c r="J1194" s="14"/>
      <c r="K1194" s="14"/>
      <c r="O1194" s="22"/>
      <c r="P1194" s="22"/>
      <c r="Q1194" s="23"/>
      <c r="R1194" s="23"/>
      <c r="S1194" s="14"/>
    </row>
    <row r="1195" ht="18.75" customHeight="1">
      <c r="A1195" s="7" t="s">
        <v>939</v>
      </c>
      <c r="B1195" s="7" t="s">
        <v>3875</v>
      </c>
      <c r="C1195" s="9">
        <v>842604.0</v>
      </c>
      <c r="D1195" s="9">
        <v>21093.0</v>
      </c>
      <c r="E1195" s="9">
        <v>751.0</v>
      </c>
      <c r="F1195" s="7" t="s">
        <v>940</v>
      </c>
      <c r="G1195" s="7" t="s">
        <v>404</v>
      </c>
      <c r="H1195" s="7" t="s">
        <v>405</v>
      </c>
      <c r="I1195" s="7" t="s">
        <v>355</v>
      </c>
      <c r="J1195" s="14"/>
      <c r="K1195" s="14"/>
      <c r="O1195" s="22"/>
      <c r="P1195" s="22"/>
      <c r="Q1195" s="23"/>
      <c r="R1195" s="23"/>
      <c r="S1195" s="14"/>
    </row>
    <row r="1196" ht="18.75" customHeight="1">
      <c r="A1196" s="7" t="s">
        <v>939</v>
      </c>
      <c r="B1196" s="7" t="s">
        <v>3875</v>
      </c>
      <c r="C1196" s="9">
        <v>840424.0</v>
      </c>
      <c r="D1196" s="9">
        <v>27490.0</v>
      </c>
      <c r="E1196" s="9">
        <v>718.0</v>
      </c>
      <c r="F1196" s="7" t="s">
        <v>940</v>
      </c>
      <c r="G1196" s="7" t="s">
        <v>404</v>
      </c>
      <c r="H1196" s="7" t="s">
        <v>405</v>
      </c>
      <c r="I1196" s="7" t="s">
        <v>355</v>
      </c>
      <c r="J1196" s="14"/>
      <c r="K1196" s="14"/>
      <c r="O1196" s="22"/>
      <c r="P1196" s="22"/>
      <c r="Q1196" s="23"/>
      <c r="R1196" s="23"/>
      <c r="S1196" s="14"/>
    </row>
    <row r="1197" ht="18.75" customHeight="1">
      <c r="A1197" s="7" t="s">
        <v>1039</v>
      </c>
      <c r="B1197" s="7" t="s">
        <v>3875</v>
      </c>
      <c r="C1197" s="9">
        <v>1904241.0</v>
      </c>
      <c r="D1197" s="9">
        <v>22246.0</v>
      </c>
      <c r="E1197" s="9">
        <v>1988.0</v>
      </c>
      <c r="F1197" s="7" t="s">
        <v>1040</v>
      </c>
      <c r="G1197" s="7" t="s">
        <v>353</v>
      </c>
      <c r="H1197" s="7" t="s">
        <v>354</v>
      </c>
      <c r="I1197" s="7" t="s">
        <v>355</v>
      </c>
      <c r="J1197" s="14"/>
      <c r="K1197" s="14"/>
      <c r="O1197" s="22"/>
      <c r="P1197" s="22"/>
      <c r="Q1197" s="23"/>
      <c r="R1197" s="23"/>
      <c r="S1197" s="14"/>
    </row>
    <row r="1198" ht="18.75" customHeight="1">
      <c r="A1198" s="7" t="s">
        <v>1039</v>
      </c>
      <c r="B1198" s="7" t="s">
        <v>3875</v>
      </c>
      <c r="C1198" s="9">
        <v>1288243.0</v>
      </c>
      <c r="D1198" s="9">
        <v>11184.0</v>
      </c>
      <c r="E1198" s="9">
        <v>2572.0</v>
      </c>
      <c r="F1198" s="7" t="s">
        <v>1040</v>
      </c>
      <c r="G1198" s="7" t="s">
        <v>353</v>
      </c>
      <c r="H1198" s="7" t="s">
        <v>354</v>
      </c>
      <c r="I1198" s="7" t="s">
        <v>355</v>
      </c>
      <c r="J1198" s="14"/>
      <c r="K1198" s="14"/>
      <c r="O1198" s="22"/>
      <c r="P1198" s="22"/>
      <c r="Q1198" s="23"/>
      <c r="R1198" s="23"/>
      <c r="S1198" s="14"/>
    </row>
    <row r="1199" ht="18.75" customHeight="1">
      <c r="A1199" s="7" t="s">
        <v>989</v>
      </c>
      <c r="B1199" s="7" t="s">
        <v>3875</v>
      </c>
      <c r="C1199" s="9">
        <v>104237.0</v>
      </c>
      <c r="D1199" s="9">
        <v>16933.0</v>
      </c>
      <c r="E1199" s="9">
        <v>181.0</v>
      </c>
      <c r="F1199" s="7" t="s">
        <v>990</v>
      </c>
      <c r="G1199" s="7" t="s">
        <v>353</v>
      </c>
      <c r="H1199" s="7" t="s">
        <v>378</v>
      </c>
      <c r="I1199" s="7" t="s">
        <v>355</v>
      </c>
      <c r="J1199" s="14"/>
      <c r="K1199" s="14"/>
      <c r="O1199" s="22"/>
      <c r="P1199" s="22"/>
      <c r="Q1199" s="23"/>
      <c r="R1199" s="23"/>
      <c r="S1199" s="14"/>
    </row>
    <row r="1200" ht="18.75" customHeight="1">
      <c r="A1200" s="7" t="s">
        <v>989</v>
      </c>
      <c r="B1200" s="7" t="s">
        <v>3875</v>
      </c>
      <c r="C1200" s="9">
        <v>1028986.0</v>
      </c>
      <c r="D1200" s="9">
        <v>68266.0</v>
      </c>
      <c r="E1200" s="9">
        <v>907.0</v>
      </c>
      <c r="F1200" s="7" t="s">
        <v>990</v>
      </c>
      <c r="G1200" s="7" t="s">
        <v>353</v>
      </c>
      <c r="H1200" s="7" t="s">
        <v>378</v>
      </c>
      <c r="I1200" s="7" t="s">
        <v>355</v>
      </c>
      <c r="J1200" s="14"/>
      <c r="K1200" s="14"/>
      <c r="O1200" s="22"/>
      <c r="P1200" s="22"/>
      <c r="Q1200" s="23"/>
      <c r="R1200" s="23"/>
      <c r="S1200" s="14"/>
    </row>
    <row r="1201" ht="18.75" customHeight="1">
      <c r="A1201" s="7" t="s">
        <v>993</v>
      </c>
      <c r="B1201" s="7" t="s">
        <v>3875</v>
      </c>
      <c r="C1201" s="9">
        <v>198711.0</v>
      </c>
      <c r="D1201" s="9">
        <v>16805.0</v>
      </c>
      <c r="E1201" s="9">
        <v>211.0</v>
      </c>
      <c r="F1201" s="7" t="s">
        <v>994</v>
      </c>
      <c r="G1201" s="7" t="s">
        <v>358</v>
      </c>
      <c r="H1201" s="7" t="s">
        <v>466</v>
      </c>
      <c r="I1201" s="7" t="s">
        <v>355</v>
      </c>
      <c r="J1201" s="14"/>
      <c r="K1201" s="14"/>
      <c r="O1201" s="22"/>
      <c r="P1201" s="22"/>
      <c r="Q1201" s="23"/>
      <c r="R1201" s="23"/>
      <c r="S1201" s="14"/>
    </row>
    <row r="1202" ht="18.75" customHeight="1">
      <c r="A1202" s="7" t="s">
        <v>993</v>
      </c>
      <c r="B1202" s="7" t="s">
        <v>3875</v>
      </c>
      <c r="C1202" s="9">
        <v>206414.0</v>
      </c>
      <c r="D1202" s="9">
        <v>19020.0</v>
      </c>
      <c r="E1202" s="9">
        <v>167.0</v>
      </c>
      <c r="F1202" s="7" t="s">
        <v>994</v>
      </c>
      <c r="G1202" s="7" t="s">
        <v>358</v>
      </c>
      <c r="H1202" s="7" t="s">
        <v>466</v>
      </c>
      <c r="I1202" s="7" t="s">
        <v>355</v>
      </c>
      <c r="J1202" s="14"/>
      <c r="K1202" s="14"/>
      <c r="O1202" s="22"/>
      <c r="P1202" s="22"/>
      <c r="Q1202" s="23"/>
      <c r="R1202" s="23"/>
      <c r="S1202" s="14"/>
    </row>
    <row r="1203" ht="18.75" customHeight="1">
      <c r="A1203" s="7" t="s">
        <v>993</v>
      </c>
      <c r="B1203" s="7" t="s">
        <v>3875</v>
      </c>
      <c r="C1203" s="9">
        <v>193651.0</v>
      </c>
      <c r="D1203" s="9">
        <v>12095.0</v>
      </c>
      <c r="E1203" s="9">
        <v>166.0</v>
      </c>
      <c r="F1203" s="7" t="s">
        <v>994</v>
      </c>
      <c r="G1203" s="7" t="s">
        <v>358</v>
      </c>
      <c r="H1203" s="7" t="s">
        <v>466</v>
      </c>
      <c r="I1203" s="7" t="s">
        <v>355</v>
      </c>
      <c r="J1203" s="14"/>
      <c r="K1203" s="14"/>
      <c r="O1203" s="22"/>
      <c r="P1203" s="22"/>
      <c r="Q1203" s="23"/>
      <c r="R1203" s="23"/>
      <c r="S1203" s="14"/>
    </row>
    <row r="1204" ht="18.75" customHeight="1">
      <c r="A1204" s="7" t="s">
        <v>1045</v>
      </c>
      <c r="B1204" s="7" t="s">
        <v>3875</v>
      </c>
      <c r="C1204" s="9">
        <v>298591.0</v>
      </c>
      <c r="D1204" s="9">
        <v>13556.0</v>
      </c>
      <c r="E1204" s="9">
        <v>269.0</v>
      </c>
      <c r="F1204" s="7" t="s">
        <v>1046</v>
      </c>
      <c r="G1204" s="7" t="s">
        <v>364</v>
      </c>
      <c r="H1204" s="7" t="s">
        <v>504</v>
      </c>
      <c r="I1204" s="7" t="s">
        <v>355</v>
      </c>
      <c r="J1204" s="14"/>
      <c r="K1204" s="14"/>
      <c r="O1204" s="22"/>
      <c r="P1204" s="22"/>
      <c r="Q1204" s="23"/>
      <c r="R1204" s="23"/>
      <c r="S1204" s="14"/>
    </row>
    <row r="1205" ht="18.75" customHeight="1">
      <c r="A1205" s="7" t="s">
        <v>1045</v>
      </c>
      <c r="B1205" s="7" t="s">
        <v>3875</v>
      </c>
      <c r="C1205" s="9">
        <v>225683.0</v>
      </c>
      <c r="D1205" s="9">
        <v>16292.0</v>
      </c>
      <c r="E1205" s="9">
        <v>255.0</v>
      </c>
      <c r="F1205" s="7" t="s">
        <v>1046</v>
      </c>
      <c r="G1205" s="7" t="s">
        <v>364</v>
      </c>
      <c r="H1205" s="7" t="s">
        <v>504</v>
      </c>
      <c r="I1205" s="7" t="s">
        <v>355</v>
      </c>
      <c r="J1205" s="14"/>
      <c r="K1205" s="14"/>
      <c r="O1205" s="22"/>
      <c r="P1205" s="22"/>
      <c r="Q1205" s="23"/>
      <c r="R1205" s="23"/>
      <c r="S1205" s="14"/>
    </row>
    <row r="1206" ht="18.75" customHeight="1">
      <c r="A1206" s="7" t="s">
        <v>1107</v>
      </c>
      <c r="B1206" s="7" t="s">
        <v>3875</v>
      </c>
      <c r="C1206" s="9">
        <v>73258.0</v>
      </c>
      <c r="D1206" s="9">
        <v>0.0</v>
      </c>
      <c r="E1206" s="9">
        <v>457.0</v>
      </c>
      <c r="F1206" s="7" t="s">
        <v>1108</v>
      </c>
      <c r="G1206" s="7" t="s">
        <v>416</v>
      </c>
      <c r="H1206" s="7" t="s">
        <v>594</v>
      </c>
      <c r="I1206" s="7" t="s">
        <v>355</v>
      </c>
      <c r="J1206" s="14"/>
      <c r="K1206" s="14"/>
      <c r="O1206" s="22"/>
      <c r="P1206" s="22"/>
      <c r="Q1206" s="23"/>
      <c r="R1206" s="23"/>
      <c r="S1206" s="14"/>
    </row>
    <row r="1207" ht="18.75" customHeight="1">
      <c r="A1207" s="7" t="s">
        <v>1103</v>
      </c>
      <c r="B1207" s="7" t="s">
        <v>3875</v>
      </c>
      <c r="C1207" s="9">
        <v>1069183.0</v>
      </c>
      <c r="D1207" s="9">
        <v>3611.0</v>
      </c>
      <c r="E1207" s="9">
        <v>1838.0</v>
      </c>
      <c r="F1207" s="7" t="s">
        <v>1104</v>
      </c>
      <c r="G1207" s="7" t="s">
        <v>416</v>
      </c>
      <c r="H1207" s="7" t="s">
        <v>417</v>
      </c>
      <c r="I1207" s="7" t="s">
        <v>355</v>
      </c>
      <c r="J1207" s="14"/>
      <c r="K1207" s="14"/>
      <c r="O1207" s="22"/>
      <c r="P1207" s="22"/>
      <c r="Q1207" s="23"/>
      <c r="R1207" s="23"/>
      <c r="S1207" s="14"/>
    </row>
    <row r="1208" ht="18.75" customHeight="1">
      <c r="A1208" s="7" t="s">
        <v>1103</v>
      </c>
      <c r="B1208" s="7" t="s">
        <v>3875</v>
      </c>
      <c r="C1208" s="9">
        <v>626578.0</v>
      </c>
      <c r="D1208" s="9">
        <v>6446.0</v>
      </c>
      <c r="E1208" s="9">
        <v>2382.0</v>
      </c>
      <c r="F1208" s="7" t="s">
        <v>1104</v>
      </c>
      <c r="G1208" s="7" t="s">
        <v>416</v>
      </c>
      <c r="H1208" s="7" t="s">
        <v>417</v>
      </c>
      <c r="I1208" s="7" t="s">
        <v>355</v>
      </c>
      <c r="J1208" s="14"/>
      <c r="K1208" s="14"/>
      <c r="O1208" s="22"/>
      <c r="P1208" s="22"/>
      <c r="Q1208" s="23"/>
      <c r="R1208" s="23"/>
      <c r="S1208" s="14"/>
    </row>
    <row r="1209" ht="18.75" customHeight="1">
      <c r="A1209" s="7" t="s">
        <v>1079</v>
      </c>
      <c r="B1209" s="7" t="s">
        <v>3875</v>
      </c>
      <c r="C1209" s="9">
        <v>196998.0</v>
      </c>
      <c r="D1209" s="9">
        <v>0.0</v>
      </c>
      <c r="E1209" s="9">
        <v>344.0</v>
      </c>
      <c r="F1209" s="7" t="s">
        <v>1080</v>
      </c>
      <c r="G1209" s="7" t="s">
        <v>503</v>
      </c>
      <c r="H1209" s="7" t="s">
        <v>783</v>
      </c>
      <c r="I1209" s="7" t="s">
        <v>355</v>
      </c>
      <c r="J1209" s="14"/>
      <c r="K1209" s="14"/>
      <c r="O1209" s="22"/>
      <c r="P1209" s="22"/>
      <c r="Q1209" s="23"/>
      <c r="R1209" s="23"/>
      <c r="S1209" s="14"/>
    </row>
    <row r="1210" ht="18.75" customHeight="1">
      <c r="A1210" s="7" t="s">
        <v>1079</v>
      </c>
      <c r="B1210" s="7" t="s">
        <v>3875</v>
      </c>
      <c r="C1210" s="9">
        <v>205986.0</v>
      </c>
      <c r="D1210" s="9">
        <v>0.0</v>
      </c>
      <c r="E1210" s="9">
        <v>299.0</v>
      </c>
      <c r="F1210" s="7" t="s">
        <v>1080</v>
      </c>
      <c r="G1210" s="7" t="s">
        <v>503</v>
      </c>
      <c r="H1210" s="7" t="s">
        <v>783</v>
      </c>
      <c r="I1210" s="7" t="s">
        <v>355</v>
      </c>
      <c r="J1210" s="14"/>
      <c r="K1210" s="14"/>
      <c r="O1210" s="22"/>
      <c r="P1210" s="22"/>
      <c r="Q1210" s="23"/>
      <c r="R1210" s="23"/>
      <c r="S1210" s="14"/>
    </row>
    <row r="1211" ht="18.75" customHeight="1">
      <c r="A1211" s="7" t="s">
        <v>1033</v>
      </c>
      <c r="B1211" s="7" t="s">
        <v>3875</v>
      </c>
      <c r="C1211" s="9">
        <v>79597.0</v>
      </c>
      <c r="D1211" s="9">
        <v>12070.0</v>
      </c>
      <c r="E1211" s="9">
        <v>92.0</v>
      </c>
      <c r="F1211" s="7" t="s">
        <v>1034</v>
      </c>
      <c r="G1211" s="7" t="s">
        <v>416</v>
      </c>
      <c r="H1211" s="7" t="s">
        <v>417</v>
      </c>
      <c r="I1211" s="7" t="s">
        <v>355</v>
      </c>
      <c r="J1211" s="14"/>
      <c r="K1211" s="14"/>
      <c r="O1211" s="22"/>
      <c r="P1211" s="22"/>
      <c r="Q1211" s="23"/>
      <c r="R1211" s="23"/>
      <c r="S1211" s="14"/>
    </row>
    <row r="1212" ht="18.75" customHeight="1">
      <c r="A1212" s="7" t="s">
        <v>1091</v>
      </c>
      <c r="B1212" s="7" t="s">
        <v>3875</v>
      </c>
      <c r="C1212" s="9">
        <v>1121970.0</v>
      </c>
      <c r="D1212" s="9">
        <v>129227.0</v>
      </c>
      <c r="E1212" s="9">
        <v>3041.0</v>
      </c>
      <c r="F1212" s="7" t="s">
        <v>1092</v>
      </c>
      <c r="G1212" s="7" t="s">
        <v>358</v>
      </c>
      <c r="H1212" s="7" t="s">
        <v>466</v>
      </c>
      <c r="I1212" s="7" t="s">
        <v>355</v>
      </c>
      <c r="J1212" s="14"/>
      <c r="K1212" s="14"/>
      <c r="O1212" s="22"/>
      <c r="P1212" s="22"/>
      <c r="Q1212" s="23"/>
      <c r="R1212" s="23"/>
      <c r="S1212" s="14"/>
    </row>
    <row r="1213" ht="18.75" customHeight="1">
      <c r="A1213" s="7" t="s">
        <v>1091</v>
      </c>
      <c r="B1213" s="7" t="s">
        <v>3875</v>
      </c>
      <c r="C1213" s="9">
        <v>1271808.0</v>
      </c>
      <c r="D1213" s="9">
        <v>254878.0</v>
      </c>
      <c r="E1213" s="9">
        <v>2187.0</v>
      </c>
      <c r="F1213" s="7" t="s">
        <v>1092</v>
      </c>
      <c r="G1213" s="7" t="s">
        <v>358</v>
      </c>
      <c r="H1213" s="7" t="s">
        <v>466</v>
      </c>
      <c r="I1213" s="7" t="s">
        <v>355</v>
      </c>
      <c r="J1213" s="14"/>
      <c r="K1213" s="14"/>
      <c r="O1213" s="22"/>
      <c r="P1213" s="22"/>
      <c r="Q1213" s="23"/>
      <c r="R1213" s="23"/>
      <c r="S1213" s="14"/>
    </row>
    <row r="1214" ht="18.75" customHeight="1">
      <c r="A1214" s="7" t="s">
        <v>1123</v>
      </c>
      <c r="B1214" s="7" t="s">
        <v>3875</v>
      </c>
      <c r="C1214" s="9">
        <v>1198287.0</v>
      </c>
      <c r="D1214" s="9">
        <v>37493.0</v>
      </c>
      <c r="E1214" s="9">
        <v>2.0</v>
      </c>
      <c r="F1214" s="7" t="s">
        <v>1124</v>
      </c>
      <c r="G1214" s="7" t="s">
        <v>353</v>
      </c>
      <c r="H1214" s="7" t="s">
        <v>808</v>
      </c>
      <c r="I1214" s="7" t="s">
        <v>355</v>
      </c>
      <c r="J1214" s="14"/>
      <c r="K1214" s="14"/>
      <c r="O1214" s="22"/>
      <c r="P1214" s="22"/>
      <c r="Q1214" s="23"/>
      <c r="R1214" s="23"/>
      <c r="S1214" s="14"/>
    </row>
    <row r="1215" ht="18.75" customHeight="1">
      <c r="A1215" s="7" t="s">
        <v>3868</v>
      </c>
      <c r="B1215" s="7" t="s">
        <v>3875</v>
      </c>
      <c r="C1215" s="9">
        <v>66.0</v>
      </c>
      <c r="D1215" s="9">
        <v>7.0</v>
      </c>
      <c r="E1215" s="9">
        <v>0.0</v>
      </c>
      <c r="F1215" s="7" t="s">
        <v>3893</v>
      </c>
      <c r="G1215" s="7" t="s">
        <v>416</v>
      </c>
      <c r="H1215" s="7" t="s">
        <v>417</v>
      </c>
      <c r="I1215" s="7" t="s">
        <v>3886</v>
      </c>
      <c r="J1215" s="14"/>
      <c r="K1215" s="14"/>
      <c r="O1215" s="22"/>
      <c r="P1215" s="22"/>
      <c r="Q1215" s="23"/>
      <c r="R1215" s="23"/>
      <c r="S1215" s="14"/>
    </row>
    <row r="1216" ht="18.75" customHeight="1">
      <c r="A1216" s="7" t="s">
        <v>545</v>
      </c>
      <c r="B1216" s="7" t="s">
        <v>3875</v>
      </c>
      <c r="C1216" s="9">
        <v>3000486.0</v>
      </c>
      <c r="D1216" s="9">
        <v>79131.0</v>
      </c>
      <c r="E1216" s="9">
        <v>1534.0</v>
      </c>
      <c r="F1216" s="7" t="s">
        <v>546</v>
      </c>
      <c r="G1216" s="7" t="s">
        <v>404</v>
      </c>
      <c r="H1216" s="7" t="s">
        <v>405</v>
      </c>
      <c r="I1216" s="7" t="s">
        <v>2117</v>
      </c>
      <c r="J1216" s="14"/>
      <c r="K1216" s="14"/>
      <c r="O1216" s="22"/>
      <c r="P1216" s="22"/>
      <c r="Q1216" s="23"/>
      <c r="R1216" s="23"/>
      <c r="S1216" s="14"/>
    </row>
    <row r="1217" ht="18.75" customHeight="1">
      <c r="A1217" s="7" t="s">
        <v>1117</v>
      </c>
      <c r="B1217" s="7" t="s">
        <v>3875</v>
      </c>
      <c r="C1217" s="9">
        <v>163936.0</v>
      </c>
      <c r="D1217" s="9">
        <v>0.0</v>
      </c>
      <c r="E1217" s="9">
        <v>542.0</v>
      </c>
      <c r="F1217" s="7" t="s">
        <v>1118</v>
      </c>
      <c r="G1217" s="7" t="s">
        <v>416</v>
      </c>
      <c r="H1217" s="7" t="s">
        <v>466</v>
      </c>
      <c r="I1217" s="7" t="s">
        <v>355</v>
      </c>
      <c r="J1217" s="14"/>
      <c r="K1217" s="14"/>
      <c r="O1217" s="22"/>
      <c r="P1217" s="22"/>
      <c r="Q1217" s="23"/>
      <c r="R1217" s="23"/>
      <c r="S1217" s="14"/>
    </row>
    <row r="1218" ht="18.75" customHeight="1">
      <c r="A1218" s="7" t="s">
        <v>1119</v>
      </c>
      <c r="B1218" s="7" t="s">
        <v>3875</v>
      </c>
      <c r="C1218" s="9">
        <v>149887.0</v>
      </c>
      <c r="D1218" s="9">
        <v>0.0</v>
      </c>
      <c r="E1218" s="9">
        <v>706.0</v>
      </c>
      <c r="F1218" s="7" t="s">
        <v>1120</v>
      </c>
      <c r="G1218" s="7" t="s">
        <v>416</v>
      </c>
      <c r="H1218" s="7" t="s">
        <v>466</v>
      </c>
      <c r="I1218" s="7" t="s">
        <v>355</v>
      </c>
      <c r="J1218" s="14"/>
      <c r="K1218" s="14"/>
      <c r="O1218" s="22"/>
      <c r="P1218" s="22"/>
      <c r="Q1218" s="23"/>
      <c r="R1218" s="23"/>
      <c r="S1218" s="14"/>
    </row>
    <row r="1219" ht="18.75" customHeight="1">
      <c r="A1219" s="7" t="s">
        <v>1121</v>
      </c>
      <c r="B1219" s="7" t="s">
        <v>3875</v>
      </c>
      <c r="C1219" s="9">
        <v>282773.0</v>
      </c>
      <c r="D1219" s="9">
        <v>0.0</v>
      </c>
      <c r="E1219" s="9">
        <v>476.0</v>
      </c>
      <c r="F1219" s="7" t="s">
        <v>1122</v>
      </c>
      <c r="G1219" s="7" t="s">
        <v>416</v>
      </c>
      <c r="H1219" s="7" t="s">
        <v>466</v>
      </c>
      <c r="I1219" s="7" t="s">
        <v>355</v>
      </c>
      <c r="J1219" s="14"/>
      <c r="K1219" s="14"/>
      <c r="O1219" s="22"/>
      <c r="P1219" s="22"/>
      <c r="Q1219" s="23"/>
      <c r="R1219" s="23"/>
      <c r="S1219" s="14"/>
    </row>
    <row r="1220" ht="18.75" customHeight="1">
      <c r="A1220" s="7" t="s">
        <v>1071</v>
      </c>
      <c r="B1220" s="7" t="s">
        <v>3875</v>
      </c>
      <c r="C1220" s="9">
        <v>129246.0</v>
      </c>
      <c r="D1220" s="9">
        <v>20732.0</v>
      </c>
      <c r="E1220" s="9">
        <v>188.0</v>
      </c>
      <c r="F1220" s="7" t="s">
        <v>1072</v>
      </c>
      <c r="G1220" s="7" t="s">
        <v>416</v>
      </c>
      <c r="H1220" s="7" t="s">
        <v>417</v>
      </c>
      <c r="I1220" s="7" t="s">
        <v>355</v>
      </c>
      <c r="J1220" s="14"/>
      <c r="K1220" s="14"/>
      <c r="O1220" s="22"/>
      <c r="P1220" s="22"/>
      <c r="Q1220" s="23"/>
      <c r="R1220" s="23"/>
      <c r="S1220" s="14"/>
    </row>
    <row r="1221" ht="18.75" customHeight="1">
      <c r="A1221" s="7" t="s">
        <v>1125</v>
      </c>
      <c r="B1221" s="7" t="s">
        <v>3875</v>
      </c>
      <c r="C1221" s="9">
        <v>534771.0</v>
      </c>
      <c r="D1221" s="9">
        <v>0.0</v>
      </c>
      <c r="E1221" s="9">
        <v>808.0</v>
      </c>
      <c r="F1221" s="7" t="s">
        <v>1126</v>
      </c>
      <c r="G1221" s="7" t="s">
        <v>416</v>
      </c>
      <c r="H1221" s="7" t="s">
        <v>466</v>
      </c>
      <c r="I1221" s="7" t="s">
        <v>355</v>
      </c>
      <c r="J1221" s="14"/>
      <c r="K1221" s="14"/>
      <c r="O1221" s="22"/>
      <c r="P1221" s="22"/>
      <c r="Q1221" s="23"/>
      <c r="R1221" s="23"/>
      <c r="S1221" s="14"/>
    </row>
    <row r="1222" ht="18.75" customHeight="1">
      <c r="A1222" s="7" t="s">
        <v>957</v>
      </c>
      <c r="B1222" s="7" t="s">
        <v>3875</v>
      </c>
      <c r="C1222" s="9">
        <v>221752.0</v>
      </c>
      <c r="D1222" s="9">
        <v>0.0</v>
      </c>
      <c r="E1222" s="9">
        <v>2549.0</v>
      </c>
      <c r="F1222" s="7" t="s">
        <v>958</v>
      </c>
      <c r="G1222" s="7" t="s">
        <v>364</v>
      </c>
      <c r="H1222" s="7" t="s">
        <v>365</v>
      </c>
      <c r="I1222" s="7" t="s">
        <v>410</v>
      </c>
      <c r="J1222" s="14"/>
      <c r="K1222" s="14"/>
      <c r="O1222" s="22"/>
      <c r="P1222" s="22"/>
      <c r="Q1222" s="23"/>
      <c r="R1222" s="23"/>
      <c r="S1222" s="14"/>
    </row>
    <row r="1223" ht="18.75" customHeight="1">
      <c r="A1223" s="7" t="s">
        <v>1035</v>
      </c>
      <c r="B1223" s="7" t="s">
        <v>3875</v>
      </c>
      <c r="C1223" s="9">
        <v>80660.0</v>
      </c>
      <c r="D1223" s="9">
        <v>15483.0</v>
      </c>
      <c r="E1223" s="9">
        <v>155.0</v>
      </c>
      <c r="F1223" s="7" t="s">
        <v>1036</v>
      </c>
      <c r="G1223" s="7" t="s">
        <v>416</v>
      </c>
      <c r="H1223" s="7" t="s">
        <v>417</v>
      </c>
      <c r="I1223" s="7" t="s">
        <v>355</v>
      </c>
      <c r="J1223" s="14"/>
      <c r="K1223" s="14"/>
      <c r="O1223" s="22"/>
      <c r="P1223" s="22"/>
      <c r="Q1223" s="23"/>
      <c r="R1223" s="23"/>
      <c r="S1223" s="14"/>
    </row>
    <row r="1224" ht="18.75" customHeight="1">
      <c r="A1224" s="7" t="s">
        <v>1059</v>
      </c>
      <c r="B1224" s="7" t="s">
        <v>3875</v>
      </c>
      <c r="C1224" s="9">
        <v>179291.0</v>
      </c>
      <c r="D1224" s="9">
        <v>60773.0</v>
      </c>
      <c r="E1224" s="9">
        <v>14797.0</v>
      </c>
      <c r="F1224" s="7" t="s">
        <v>1060</v>
      </c>
      <c r="G1224" s="7" t="s">
        <v>358</v>
      </c>
      <c r="H1224" s="7" t="s">
        <v>466</v>
      </c>
      <c r="I1224" s="7" t="s">
        <v>355</v>
      </c>
      <c r="J1224" s="14"/>
      <c r="K1224" s="14"/>
      <c r="O1224" s="22"/>
      <c r="P1224" s="22"/>
      <c r="Q1224" s="23"/>
      <c r="R1224" s="23"/>
      <c r="S1224" s="14"/>
    </row>
    <row r="1225" ht="18.75" customHeight="1">
      <c r="A1225" s="7" t="s">
        <v>1059</v>
      </c>
      <c r="B1225" s="7" t="s">
        <v>3875</v>
      </c>
      <c r="C1225" s="9">
        <v>169788.0</v>
      </c>
      <c r="D1225" s="9">
        <v>49496.0</v>
      </c>
      <c r="E1225" s="9">
        <v>5152.0</v>
      </c>
      <c r="F1225" s="7" t="s">
        <v>1060</v>
      </c>
      <c r="G1225" s="7" t="s">
        <v>358</v>
      </c>
      <c r="H1225" s="7" t="s">
        <v>466</v>
      </c>
      <c r="I1225" s="7" t="s">
        <v>355</v>
      </c>
      <c r="J1225" s="14"/>
      <c r="K1225" s="14"/>
      <c r="O1225" s="22"/>
      <c r="P1225" s="22"/>
      <c r="Q1225" s="23"/>
      <c r="R1225" s="23"/>
      <c r="S1225" s="14"/>
    </row>
    <row r="1226" ht="18.75" customHeight="1">
      <c r="A1226" s="7" t="s">
        <v>991</v>
      </c>
      <c r="B1226" s="7" t="s">
        <v>3875</v>
      </c>
      <c r="C1226" s="9">
        <v>2056671.0</v>
      </c>
      <c r="D1226" s="9">
        <v>119731.0</v>
      </c>
      <c r="E1226" s="9">
        <v>2442.0</v>
      </c>
      <c r="F1226" s="7" t="s">
        <v>992</v>
      </c>
      <c r="G1226" s="7" t="s">
        <v>404</v>
      </c>
      <c r="H1226" s="7" t="s">
        <v>667</v>
      </c>
      <c r="I1226" s="7" t="s">
        <v>355</v>
      </c>
      <c r="J1226" s="14"/>
      <c r="K1226" s="14"/>
      <c r="O1226" s="22"/>
      <c r="P1226" s="22"/>
      <c r="Q1226" s="23"/>
      <c r="R1226" s="23"/>
      <c r="S1226" s="14"/>
    </row>
    <row r="1227" ht="18.75" customHeight="1">
      <c r="A1227" s="7" t="s">
        <v>991</v>
      </c>
      <c r="B1227" s="7" t="s">
        <v>3875</v>
      </c>
      <c r="C1227" s="9">
        <v>1278320.0</v>
      </c>
      <c r="D1227" s="9">
        <v>176869.0</v>
      </c>
      <c r="E1227" s="9">
        <v>1402.0</v>
      </c>
      <c r="F1227" s="7" t="s">
        <v>992</v>
      </c>
      <c r="G1227" s="7" t="s">
        <v>404</v>
      </c>
      <c r="H1227" s="7" t="s">
        <v>667</v>
      </c>
      <c r="I1227" s="7" t="s">
        <v>355</v>
      </c>
      <c r="J1227" s="14"/>
      <c r="K1227" s="14"/>
      <c r="O1227" s="22"/>
      <c r="P1227" s="22"/>
      <c r="Q1227" s="23"/>
      <c r="R1227" s="23"/>
      <c r="S1227" s="14"/>
    </row>
    <row r="1228" ht="18.75" customHeight="1">
      <c r="A1228" s="7" t="s">
        <v>1037</v>
      </c>
      <c r="B1228" s="7" t="s">
        <v>3875</v>
      </c>
      <c r="C1228" s="9">
        <v>92370.0</v>
      </c>
      <c r="D1228" s="9">
        <v>14116.0</v>
      </c>
      <c r="E1228" s="9">
        <v>111.0</v>
      </c>
      <c r="F1228" s="7" t="s">
        <v>1038</v>
      </c>
      <c r="G1228" s="7" t="s">
        <v>416</v>
      </c>
      <c r="H1228" s="7" t="s">
        <v>417</v>
      </c>
      <c r="I1228" s="7" t="s">
        <v>355</v>
      </c>
      <c r="J1228" s="14"/>
      <c r="K1228" s="14"/>
      <c r="O1228" s="22"/>
      <c r="P1228" s="22"/>
      <c r="Q1228" s="23"/>
      <c r="R1228" s="23"/>
      <c r="S1228" s="14"/>
    </row>
    <row r="1229" ht="18.75" customHeight="1">
      <c r="A1229" s="7" t="s">
        <v>1037</v>
      </c>
      <c r="B1229" s="7" t="s">
        <v>3875</v>
      </c>
      <c r="C1229" s="9">
        <v>172772.0</v>
      </c>
      <c r="D1229" s="9">
        <v>18497.0</v>
      </c>
      <c r="E1229" s="9">
        <v>166.0</v>
      </c>
      <c r="F1229" s="7" t="s">
        <v>1038</v>
      </c>
      <c r="G1229" s="7" t="s">
        <v>416</v>
      </c>
      <c r="H1229" s="7" t="s">
        <v>417</v>
      </c>
      <c r="I1229" s="7" t="s">
        <v>355</v>
      </c>
      <c r="J1229" s="14"/>
      <c r="K1229" s="14"/>
      <c r="O1229" s="22"/>
      <c r="P1229" s="22"/>
      <c r="Q1229" s="23"/>
      <c r="R1229" s="23"/>
      <c r="S1229" s="14"/>
    </row>
    <row r="1230" ht="18.75" customHeight="1">
      <c r="A1230" s="7" t="s">
        <v>1139</v>
      </c>
      <c r="B1230" s="7" t="s">
        <v>3875</v>
      </c>
      <c r="C1230" s="9">
        <v>534274.0</v>
      </c>
      <c r="D1230" s="9">
        <v>0.0</v>
      </c>
      <c r="E1230" s="9">
        <v>677.0</v>
      </c>
      <c r="F1230" s="7" t="s">
        <v>1140</v>
      </c>
      <c r="G1230" s="7" t="s">
        <v>416</v>
      </c>
      <c r="H1230" s="7" t="s">
        <v>725</v>
      </c>
      <c r="I1230" s="7" t="s">
        <v>355</v>
      </c>
      <c r="J1230" s="14"/>
      <c r="K1230" s="14"/>
      <c r="O1230" s="22"/>
      <c r="P1230" s="22"/>
      <c r="Q1230" s="23"/>
      <c r="R1230" s="23"/>
      <c r="S1230" s="14"/>
    </row>
    <row r="1231" ht="18.75" customHeight="1">
      <c r="A1231" s="7" t="s">
        <v>1139</v>
      </c>
      <c r="B1231" s="7" t="s">
        <v>3875</v>
      </c>
      <c r="C1231" s="9">
        <v>47664.0</v>
      </c>
      <c r="D1231" s="9">
        <v>0.0</v>
      </c>
      <c r="E1231" s="9">
        <v>238.0</v>
      </c>
      <c r="F1231" s="7" t="s">
        <v>1140</v>
      </c>
      <c r="G1231" s="7" t="s">
        <v>416</v>
      </c>
      <c r="H1231" s="7" t="s">
        <v>725</v>
      </c>
      <c r="I1231" s="7" t="s">
        <v>355</v>
      </c>
      <c r="J1231" s="14"/>
      <c r="K1231" s="14"/>
      <c r="O1231" s="22"/>
      <c r="P1231" s="22"/>
      <c r="Q1231" s="23"/>
      <c r="R1231" s="23"/>
      <c r="S1231" s="14"/>
    </row>
    <row r="1232" ht="18.75" customHeight="1">
      <c r="A1232" s="7" t="s">
        <v>1137</v>
      </c>
      <c r="B1232" s="7" t="s">
        <v>3875</v>
      </c>
      <c r="C1232" s="9">
        <v>56463.0</v>
      </c>
      <c r="D1232" s="9">
        <v>0.0</v>
      </c>
      <c r="E1232" s="9">
        <v>1715.0</v>
      </c>
      <c r="F1232" s="7" t="s">
        <v>1138</v>
      </c>
      <c r="G1232" s="7" t="s">
        <v>416</v>
      </c>
      <c r="H1232" s="7" t="s">
        <v>417</v>
      </c>
      <c r="I1232" s="7" t="s">
        <v>355</v>
      </c>
      <c r="J1232" s="14"/>
      <c r="K1232" s="14"/>
      <c r="O1232" s="22"/>
      <c r="P1232" s="22"/>
      <c r="Q1232" s="23"/>
      <c r="R1232" s="23"/>
      <c r="S1232" s="14"/>
    </row>
    <row r="1233" ht="18.75" customHeight="1">
      <c r="A1233" s="7" t="s">
        <v>1143</v>
      </c>
      <c r="B1233" s="7" t="s">
        <v>3875</v>
      </c>
      <c r="C1233" s="9">
        <v>613720.0</v>
      </c>
      <c r="D1233" s="9">
        <v>100428.0</v>
      </c>
      <c r="E1233" s="9">
        <v>889.0</v>
      </c>
      <c r="F1233" s="7" t="s">
        <v>1144</v>
      </c>
      <c r="G1233" s="7" t="s">
        <v>358</v>
      </c>
      <c r="H1233" s="7" t="s">
        <v>466</v>
      </c>
      <c r="I1233" s="7" t="s">
        <v>355</v>
      </c>
      <c r="J1233" s="14"/>
      <c r="K1233" s="14"/>
      <c r="O1233" s="22"/>
      <c r="P1233" s="22"/>
      <c r="Q1233" s="23"/>
      <c r="R1233" s="23"/>
      <c r="S1233" s="14"/>
    </row>
    <row r="1234" ht="18.75" customHeight="1">
      <c r="A1234" s="7" t="s">
        <v>1143</v>
      </c>
      <c r="B1234" s="7" t="s">
        <v>3875</v>
      </c>
      <c r="C1234" s="9">
        <v>140020.0</v>
      </c>
      <c r="D1234" s="9">
        <v>41934.0</v>
      </c>
      <c r="E1234" s="9">
        <v>456.0</v>
      </c>
      <c r="F1234" s="7" t="s">
        <v>1144</v>
      </c>
      <c r="G1234" s="7" t="s">
        <v>358</v>
      </c>
      <c r="H1234" s="7" t="s">
        <v>466</v>
      </c>
      <c r="I1234" s="7" t="s">
        <v>355</v>
      </c>
      <c r="J1234" s="14"/>
      <c r="K1234" s="14"/>
      <c r="O1234" s="22"/>
      <c r="P1234" s="22"/>
      <c r="Q1234" s="23"/>
      <c r="R1234" s="23"/>
      <c r="S1234" s="14"/>
    </row>
    <row r="1235" ht="18.75" customHeight="1">
      <c r="A1235" s="7" t="s">
        <v>1143</v>
      </c>
      <c r="B1235" s="7" t="s">
        <v>3875</v>
      </c>
      <c r="C1235" s="9">
        <v>586963.0</v>
      </c>
      <c r="D1235" s="9">
        <v>85239.0</v>
      </c>
      <c r="E1235" s="9">
        <v>815.0</v>
      </c>
      <c r="F1235" s="7" t="s">
        <v>1144</v>
      </c>
      <c r="G1235" s="7" t="s">
        <v>358</v>
      </c>
      <c r="H1235" s="7" t="s">
        <v>466</v>
      </c>
      <c r="I1235" s="7" t="s">
        <v>355</v>
      </c>
      <c r="J1235" s="14"/>
      <c r="K1235" s="14"/>
      <c r="O1235" s="22"/>
      <c r="P1235" s="22"/>
      <c r="Q1235" s="23"/>
      <c r="R1235" s="23"/>
      <c r="S1235" s="14"/>
    </row>
    <row r="1236" ht="18.75" customHeight="1">
      <c r="A1236" s="7" t="s">
        <v>1101</v>
      </c>
      <c r="B1236" s="7" t="s">
        <v>3875</v>
      </c>
      <c r="C1236" s="9">
        <v>1540715.0</v>
      </c>
      <c r="D1236" s="9">
        <v>69516.0</v>
      </c>
      <c r="E1236" s="9">
        <v>1705.0</v>
      </c>
      <c r="F1236" s="7" t="s">
        <v>1102</v>
      </c>
      <c r="G1236" s="7" t="s">
        <v>353</v>
      </c>
      <c r="H1236" s="7" t="s">
        <v>378</v>
      </c>
      <c r="I1236" s="7" t="s">
        <v>355</v>
      </c>
      <c r="J1236" s="14"/>
      <c r="K1236" s="14"/>
      <c r="O1236" s="22"/>
      <c r="P1236" s="22"/>
      <c r="Q1236" s="23"/>
      <c r="R1236" s="23"/>
      <c r="S1236" s="14"/>
    </row>
    <row r="1237" ht="18.75" customHeight="1">
      <c r="A1237" s="7" t="s">
        <v>1101</v>
      </c>
      <c r="B1237" s="7" t="s">
        <v>3875</v>
      </c>
      <c r="C1237" s="9">
        <v>978092.0</v>
      </c>
      <c r="D1237" s="9">
        <v>33149.0</v>
      </c>
      <c r="E1237" s="9">
        <v>1238.0</v>
      </c>
      <c r="F1237" s="7" t="s">
        <v>1102</v>
      </c>
      <c r="G1237" s="7" t="s">
        <v>353</v>
      </c>
      <c r="H1237" s="7" t="s">
        <v>378</v>
      </c>
      <c r="I1237" s="7" t="s">
        <v>355</v>
      </c>
      <c r="J1237" s="14"/>
      <c r="K1237" s="14"/>
      <c r="O1237" s="22"/>
      <c r="P1237" s="22"/>
      <c r="Q1237" s="23"/>
      <c r="R1237" s="23"/>
      <c r="S1237" s="14"/>
    </row>
    <row r="1238" ht="18.75" customHeight="1">
      <c r="A1238" s="7" t="s">
        <v>1101</v>
      </c>
      <c r="B1238" s="7" t="s">
        <v>3875</v>
      </c>
      <c r="C1238" s="9">
        <v>968580.0</v>
      </c>
      <c r="D1238" s="9">
        <v>46479.0</v>
      </c>
      <c r="E1238" s="9">
        <v>1208.0</v>
      </c>
      <c r="F1238" s="7" t="s">
        <v>1102</v>
      </c>
      <c r="G1238" s="7" t="s">
        <v>353</v>
      </c>
      <c r="H1238" s="7" t="s">
        <v>378</v>
      </c>
      <c r="I1238" s="7" t="s">
        <v>355</v>
      </c>
      <c r="J1238" s="14"/>
      <c r="K1238" s="14"/>
      <c r="O1238" s="22"/>
      <c r="P1238" s="22"/>
      <c r="Q1238" s="23"/>
      <c r="R1238" s="23"/>
      <c r="S1238" s="14"/>
    </row>
    <row r="1239" ht="18.75" customHeight="1">
      <c r="A1239" s="7" t="s">
        <v>529</v>
      </c>
      <c r="B1239" s="7" t="s">
        <v>3875</v>
      </c>
      <c r="C1239" s="9">
        <v>14975.0</v>
      </c>
      <c r="D1239" s="9">
        <v>0.0</v>
      </c>
      <c r="E1239" s="9">
        <v>173.0</v>
      </c>
      <c r="F1239" s="7" t="s">
        <v>530</v>
      </c>
      <c r="G1239" s="7" t="s">
        <v>358</v>
      </c>
      <c r="H1239" s="7" t="s">
        <v>387</v>
      </c>
      <c r="I1239" s="7" t="s">
        <v>355</v>
      </c>
      <c r="J1239" s="14"/>
      <c r="K1239" s="14"/>
      <c r="O1239" s="22"/>
      <c r="P1239" s="22"/>
      <c r="Q1239" s="23"/>
      <c r="R1239" s="23"/>
      <c r="S1239" s="14"/>
    </row>
    <row r="1240" ht="18.75" customHeight="1">
      <c r="A1240" s="7" t="s">
        <v>529</v>
      </c>
      <c r="B1240" s="7" t="s">
        <v>3875</v>
      </c>
      <c r="C1240" s="9">
        <v>106225.0</v>
      </c>
      <c r="D1240" s="9">
        <v>0.0</v>
      </c>
      <c r="E1240" s="9">
        <v>378.0</v>
      </c>
      <c r="F1240" s="7" t="s">
        <v>530</v>
      </c>
      <c r="G1240" s="7" t="s">
        <v>358</v>
      </c>
      <c r="H1240" s="7" t="s">
        <v>387</v>
      </c>
      <c r="I1240" s="7" t="s">
        <v>355</v>
      </c>
      <c r="J1240" s="14"/>
      <c r="K1240" s="14"/>
      <c r="O1240" s="22"/>
      <c r="P1240" s="22"/>
      <c r="Q1240" s="23"/>
      <c r="R1240" s="23"/>
      <c r="S1240" s="14"/>
    </row>
    <row r="1241" ht="18.75" customHeight="1">
      <c r="A1241" s="7" t="s">
        <v>529</v>
      </c>
      <c r="B1241" s="7" t="s">
        <v>3875</v>
      </c>
      <c r="C1241" s="9">
        <v>106510.0</v>
      </c>
      <c r="D1241" s="9">
        <v>0.0</v>
      </c>
      <c r="E1241" s="9">
        <v>436.0</v>
      </c>
      <c r="F1241" s="7" t="s">
        <v>530</v>
      </c>
      <c r="G1241" s="7" t="s">
        <v>358</v>
      </c>
      <c r="H1241" s="7" t="s">
        <v>387</v>
      </c>
      <c r="I1241" s="7" t="s">
        <v>355</v>
      </c>
      <c r="J1241" s="14"/>
      <c r="K1241" s="14"/>
      <c r="O1241" s="22"/>
      <c r="P1241" s="22"/>
      <c r="Q1241" s="23"/>
      <c r="R1241" s="23"/>
      <c r="S1241" s="14"/>
    </row>
    <row r="1242" ht="18.75" customHeight="1">
      <c r="A1242" s="7" t="s">
        <v>529</v>
      </c>
      <c r="B1242" s="7" t="s">
        <v>3875</v>
      </c>
      <c r="C1242" s="9">
        <v>79593.0</v>
      </c>
      <c r="D1242" s="9">
        <v>0.0</v>
      </c>
      <c r="E1242" s="9">
        <v>120.0</v>
      </c>
      <c r="F1242" s="7" t="s">
        <v>530</v>
      </c>
      <c r="G1242" s="7" t="s">
        <v>358</v>
      </c>
      <c r="H1242" s="7" t="s">
        <v>387</v>
      </c>
      <c r="I1242" s="7" t="s">
        <v>355</v>
      </c>
      <c r="J1242" s="14"/>
      <c r="K1242" s="14"/>
      <c r="O1242" s="22"/>
      <c r="P1242" s="22"/>
      <c r="Q1242" s="23"/>
      <c r="R1242" s="23"/>
      <c r="S1242" s="14"/>
    </row>
    <row r="1243" ht="18.75" customHeight="1">
      <c r="A1243" s="7" t="s">
        <v>529</v>
      </c>
      <c r="B1243" s="7" t="s">
        <v>3875</v>
      </c>
      <c r="C1243" s="9">
        <v>189144.0</v>
      </c>
      <c r="D1243" s="9">
        <v>0.0</v>
      </c>
      <c r="E1243" s="9">
        <v>529.0</v>
      </c>
      <c r="F1243" s="7" t="s">
        <v>530</v>
      </c>
      <c r="G1243" s="7" t="s">
        <v>358</v>
      </c>
      <c r="H1243" s="7" t="s">
        <v>387</v>
      </c>
      <c r="I1243" s="7" t="s">
        <v>355</v>
      </c>
      <c r="J1243" s="14"/>
      <c r="K1243" s="14"/>
      <c r="O1243" s="22"/>
      <c r="P1243" s="22"/>
      <c r="Q1243" s="23"/>
      <c r="R1243" s="23"/>
      <c r="S1243" s="14"/>
    </row>
    <row r="1244" ht="18.75" customHeight="1">
      <c r="A1244" s="7" t="s">
        <v>529</v>
      </c>
      <c r="B1244" s="7" t="s">
        <v>3875</v>
      </c>
      <c r="C1244" s="9">
        <v>215107.0</v>
      </c>
      <c r="D1244" s="9">
        <v>0.0</v>
      </c>
      <c r="E1244" s="9">
        <v>526.0</v>
      </c>
      <c r="F1244" s="7" t="s">
        <v>530</v>
      </c>
      <c r="G1244" s="7" t="s">
        <v>358</v>
      </c>
      <c r="H1244" s="7" t="s">
        <v>387</v>
      </c>
      <c r="I1244" s="7" t="s">
        <v>355</v>
      </c>
      <c r="J1244" s="14"/>
      <c r="K1244" s="14"/>
      <c r="O1244" s="22"/>
      <c r="P1244" s="22"/>
      <c r="Q1244" s="23"/>
      <c r="R1244" s="23"/>
      <c r="S1244" s="14"/>
    </row>
    <row r="1245" ht="18.75" customHeight="1">
      <c r="A1245" s="7" t="s">
        <v>529</v>
      </c>
      <c r="B1245" s="7" t="s">
        <v>3875</v>
      </c>
      <c r="C1245" s="9">
        <v>299346.0</v>
      </c>
      <c r="D1245" s="9">
        <v>0.0</v>
      </c>
      <c r="E1245" s="9">
        <v>574.0</v>
      </c>
      <c r="F1245" s="7" t="s">
        <v>530</v>
      </c>
      <c r="G1245" s="7" t="s">
        <v>358</v>
      </c>
      <c r="H1245" s="7" t="s">
        <v>387</v>
      </c>
      <c r="I1245" s="7" t="s">
        <v>355</v>
      </c>
      <c r="J1245" s="14"/>
      <c r="K1245" s="14"/>
      <c r="O1245" s="22"/>
      <c r="P1245" s="22"/>
      <c r="Q1245" s="23"/>
      <c r="R1245" s="23"/>
      <c r="S1245" s="14"/>
    </row>
    <row r="1246" ht="18.75" customHeight="1">
      <c r="A1246" s="7" t="s">
        <v>1087</v>
      </c>
      <c r="B1246" s="7" t="s">
        <v>3875</v>
      </c>
      <c r="C1246" s="9">
        <v>428647.0</v>
      </c>
      <c r="D1246" s="9">
        <v>13239.0</v>
      </c>
      <c r="E1246" s="9">
        <v>367.0</v>
      </c>
      <c r="F1246" s="7" t="s">
        <v>1088</v>
      </c>
      <c r="G1246" s="7" t="s">
        <v>416</v>
      </c>
      <c r="H1246" s="7" t="s">
        <v>417</v>
      </c>
      <c r="I1246" s="7" t="s">
        <v>355</v>
      </c>
      <c r="J1246" s="14"/>
      <c r="K1246" s="14"/>
      <c r="O1246" s="22"/>
      <c r="P1246" s="22"/>
      <c r="Q1246" s="23"/>
      <c r="R1246" s="23"/>
      <c r="S1246" s="14"/>
    </row>
    <row r="1247" ht="18.75" customHeight="1">
      <c r="A1247" s="7" t="s">
        <v>963</v>
      </c>
      <c r="B1247" s="7" t="s">
        <v>3875</v>
      </c>
      <c r="C1247" s="9">
        <v>137525.0</v>
      </c>
      <c r="D1247" s="9">
        <v>27959.0</v>
      </c>
      <c r="E1247" s="9">
        <v>260.0</v>
      </c>
      <c r="F1247" s="7" t="s">
        <v>964</v>
      </c>
      <c r="G1247" s="7" t="s">
        <v>416</v>
      </c>
      <c r="H1247" s="7" t="s">
        <v>417</v>
      </c>
      <c r="I1247" s="7" t="s">
        <v>355</v>
      </c>
      <c r="J1247" s="14"/>
      <c r="K1247" s="14"/>
      <c r="O1247" s="22"/>
      <c r="P1247" s="22"/>
      <c r="Q1247" s="23"/>
      <c r="R1247" s="23"/>
      <c r="S1247" s="14"/>
    </row>
    <row r="1248" ht="18.75" customHeight="1">
      <c r="A1248" s="7" t="s">
        <v>1111</v>
      </c>
      <c r="B1248" s="7" t="s">
        <v>3875</v>
      </c>
      <c r="C1248" s="9">
        <v>140893.0</v>
      </c>
      <c r="D1248" s="9">
        <v>25384.0</v>
      </c>
      <c r="E1248" s="9">
        <v>232.0</v>
      </c>
      <c r="F1248" s="7" t="s">
        <v>1112</v>
      </c>
      <c r="G1248" s="7" t="s">
        <v>416</v>
      </c>
      <c r="H1248" s="7" t="s">
        <v>417</v>
      </c>
      <c r="I1248" s="7" t="s">
        <v>355</v>
      </c>
      <c r="J1248" s="14"/>
      <c r="K1248" s="14"/>
      <c r="O1248" s="22"/>
      <c r="P1248" s="22"/>
      <c r="Q1248" s="23"/>
      <c r="R1248" s="23"/>
      <c r="S1248" s="14"/>
    </row>
    <row r="1249" ht="18.75" customHeight="1">
      <c r="A1249" s="7" t="s">
        <v>1161</v>
      </c>
      <c r="B1249" s="7" t="s">
        <v>3875</v>
      </c>
      <c r="C1249" s="9">
        <v>130389.0</v>
      </c>
      <c r="D1249" s="9">
        <v>0.0</v>
      </c>
      <c r="E1249" s="9">
        <v>489.0</v>
      </c>
      <c r="F1249" s="7" t="s">
        <v>1162</v>
      </c>
      <c r="G1249" s="7" t="s">
        <v>416</v>
      </c>
      <c r="H1249" s="7" t="s">
        <v>594</v>
      </c>
      <c r="I1249" s="7" t="s">
        <v>355</v>
      </c>
      <c r="J1249" s="14"/>
      <c r="K1249" s="14"/>
      <c r="O1249" s="22"/>
      <c r="P1249" s="22"/>
      <c r="Q1249" s="23"/>
      <c r="R1249" s="23"/>
      <c r="S1249" s="14"/>
    </row>
    <row r="1250" ht="18.75" customHeight="1">
      <c r="A1250" s="7" t="s">
        <v>1183</v>
      </c>
      <c r="B1250" s="7" t="s">
        <v>3875</v>
      </c>
      <c r="C1250" s="9">
        <v>54003.0</v>
      </c>
      <c r="D1250" s="9">
        <v>17634.0</v>
      </c>
      <c r="E1250" s="9">
        <v>1261.0</v>
      </c>
      <c r="F1250" s="7" t="s">
        <v>1184</v>
      </c>
      <c r="G1250" s="7" t="s">
        <v>416</v>
      </c>
      <c r="H1250" s="7" t="s">
        <v>417</v>
      </c>
      <c r="I1250" s="7" t="s">
        <v>355</v>
      </c>
      <c r="J1250" s="14"/>
      <c r="K1250" s="14"/>
      <c r="O1250" s="22"/>
      <c r="P1250" s="22"/>
      <c r="Q1250" s="23"/>
      <c r="R1250" s="23"/>
      <c r="S1250" s="14"/>
    </row>
    <row r="1251" ht="18.75" customHeight="1">
      <c r="A1251" s="7" t="s">
        <v>1157</v>
      </c>
      <c r="B1251" s="7" t="s">
        <v>3875</v>
      </c>
      <c r="C1251" s="9">
        <v>396656.0</v>
      </c>
      <c r="D1251" s="9">
        <v>0.0</v>
      </c>
      <c r="E1251" s="9">
        <v>492.0</v>
      </c>
      <c r="F1251" s="7" t="s">
        <v>1158</v>
      </c>
      <c r="G1251" s="7" t="s">
        <v>416</v>
      </c>
      <c r="H1251" s="7" t="s">
        <v>413</v>
      </c>
      <c r="I1251" s="7" t="s">
        <v>355</v>
      </c>
      <c r="J1251" s="14"/>
      <c r="K1251" s="14"/>
      <c r="O1251" s="22"/>
      <c r="P1251" s="22"/>
      <c r="Q1251" s="23"/>
      <c r="R1251" s="23"/>
      <c r="S1251" s="14"/>
    </row>
    <row r="1252" ht="18.75" customHeight="1">
      <c r="A1252" s="7" t="s">
        <v>1159</v>
      </c>
      <c r="B1252" s="7" t="s">
        <v>3875</v>
      </c>
      <c r="C1252" s="9">
        <v>668238.0</v>
      </c>
      <c r="D1252" s="9">
        <v>0.0</v>
      </c>
      <c r="E1252" s="9">
        <v>759.0</v>
      </c>
      <c r="F1252" s="7" t="s">
        <v>1160</v>
      </c>
      <c r="G1252" s="7" t="s">
        <v>416</v>
      </c>
      <c r="H1252" s="7" t="s">
        <v>359</v>
      </c>
      <c r="I1252" s="7" t="s">
        <v>355</v>
      </c>
      <c r="J1252" s="14"/>
      <c r="K1252" s="14"/>
      <c r="O1252" s="22"/>
      <c r="P1252" s="22"/>
      <c r="Q1252" s="23"/>
      <c r="R1252" s="23"/>
      <c r="S1252" s="14"/>
    </row>
    <row r="1253" ht="18.75" customHeight="1">
      <c r="A1253" s="7" t="s">
        <v>1127</v>
      </c>
      <c r="B1253" s="7" t="s">
        <v>3875</v>
      </c>
      <c r="C1253" s="9">
        <v>668058.0</v>
      </c>
      <c r="D1253" s="9">
        <v>0.0</v>
      </c>
      <c r="E1253" s="9">
        <v>1768.0</v>
      </c>
      <c r="F1253" s="7" t="s">
        <v>1128</v>
      </c>
      <c r="G1253" s="7" t="s">
        <v>364</v>
      </c>
      <c r="H1253" s="7" t="s">
        <v>365</v>
      </c>
      <c r="I1253" s="7" t="s">
        <v>355</v>
      </c>
      <c r="J1253" s="14"/>
      <c r="K1253" s="14"/>
      <c r="O1253" s="22"/>
      <c r="P1253" s="22"/>
      <c r="Q1253" s="23"/>
      <c r="R1253" s="23"/>
      <c r="S1253" s="14"/>
    </row>
    <row r="1254" ht="18.75" customHeight="1">
      <c r="A1254" s="7" t="s">
        <v>1127</v>
      </c>
      <c r="B1254" s="7" t="s">
        <v>3875</v>
      </c>
      <c r="C1254" s="9">
        <v>654924.0</v>
      </c>
      <c r="D1254" s="9">
        <v>0.0</v>
      </c>
      <c r="E1254" s="9">
        <v>1589.0</v>
      </c>
      <c r="F1254" s="7" t="s">
        <v>1128</v>
      </c>
      <c r="G1254" s="7" t="s">
        <v>364</v>
      </c>
      <c r="H1254" s="7" t="s">
        <v>365</v>
      </c>
      <c r="I1254" s="7" t="s">
        <v>355</v>
      </c>
      <c r="J1254" s="14"/>
      <c r="K1254" s="14"/>
      <c r="O1254" s="22"/>
      <c r="P1254" s="22"/>
      <c r="Q1254" s="23"/>
      <c r="R1254" s="23"/>
      <c r="S1254" s="14"/>
    </row>
    <row r="1255" ht="18.75" customHeight="1">
      <c r="A1255" s="7" t="s">
        <v>1191</v>
      </c>
      <c r="B1255" s="7" t="s">
        <v>3875</v>
      </c>
      <c r="C1255" s="9">
        <v>705729.0</v>
      </c>
      <c r="D1255" s="9">
        <v>0.0</v>
      </c>
      <c r="E1255" s="9">
        <v>1905.0</v>
      </c>
      <c r="F1255" s="7" t="s">
        <v>1192</v>
      </c>
      <c r="G1255" s="7" t="s">
        <v>364</v>
      </c>
      <c r="H1255" s="7" t="s">
        <v>365</v>
      </c>
      <c r="I1255" s="7" t="s">
        <v>355</v>
      </c>
      <c r="J1255" s="14"/>
      <c r="K1255" s="14"/>
      <c r="O1255" s="22"/>
      <c r="P1255" s="22"/>
      <c r="Q1255" s="23"/>
      <c r="R1255" s="23"/>
      <c r="S1255" s="14"/>
    </row>
    <row r="1256" ht="18.75" customHeight="1">
      <c r="A1256" s="7" t="s">
        <v>943</v>
      </c>
      <c r="B1256" s="7" t="s">
        <v>3875</v>
      </c>
      <c r="C1256" s="9">
        <v>497276.0</v>
      </c>
      <c r="D1256" s="9">
        <v>54327.0</v>
      </c>
      <c r="E1256" s="9">
        <v>645.0</v>
      </c>
      <c r="F1256" s="7" t="s">
        <v>944</v>
      </c>
      <c r="G1256" s="7" t="s">
        <v>353</v>
      </c>
      <c r="H1256" s="7" t="s">
        <v>378</v>
      </c>
      <c r="I1256" s="7" t="s">
        <v>355</v>
      </c>
      <c r="J1256" s="14"/>
      <c r="K1256" s="14"/>
      <c r="O1256" s="22"/>
      <c r="P1256" s="22"/>
      <c r="Q1256" s="23"/>
      <c r="R1256" s="23"/>
      <c r="S1256" s="14"/>
    </row>
    <row r="1257" ht="18.75" customHeight="1">
      <c r="A1257" s="7" t="s">
        <v>943</v>
      </c>
      <c r="B1257" s="7" t="s">
        <v>3875</v>
      </c>
      <c r="C1257" s="9">
        <v>472315.0</v>
      </c>
      <c r="D1257" s="9">
        <v>42728.0</v>
      </c>
      <c r="E1257" s="9">
        <v>643.0</v>
      </c>
      <c r="F1257" s="7" t="s">
        <v>944</v>
      </c>
      <c r="G1257" s="7" t="s">
        <v>353</v>
      </c>
      <c r="H1257" s="7" t="s">
        <v>378</v>
      </c>
      <c r="I1257" s="7" t="s">
        <v>355</v>
      </c>
      <c r="J1257" s="14"/>
      <c r="K1257" s="14"/>
      <c r="O1257" s="22"/>
      <c r="P1257" s="22"/>
      <c r="Q1257" s="23"/>
      <c r="R1257" s="23"/>
      <c r="S1257" s="14"/>
    </row>
    <row r="1258" ht="18.75" customHeight="1">
      <c r="A1258" s="7" t="s">
        <v>943</v>
      </c>
      <c r="B1258" s="7" t="s">
        <v>3875</v>
      </c>
      <c r="C1258" s="9">
        <v>203614.0</v>
      </c>
      <c r="D1258" s="9">
        <v>50538.0</v>
      </c>
      <c r="E1258" s="9">
        <v>169.0</v>
      </c>
      <c r="F1258" s="7" t="s">
        <v>944</v>
      </c>
      <c r="G1258" s="7" t="s">
        <v>353</v>
      </c>
      <c r="H1258" s="7" t="s">
        <v>378</v>
      </c>
      <c r="I1258" s="7" t="s">
        <v>355</v>
      </c>
      <c r="J1258" s="14"/>
      <c r="K1258" s="14"/>
      <c r="O1258" s="22"/>
      <c r="P1258" s="22"/>
      <c r="Q1258" s="23"/>
      <c r="R1258" s="23"/>
      <c r="S1258" s="14"/>
    </row>
    <row r="1259" ht="18.75" customHeight="1">
      <c r="A1259" s="7" t="s">
        <v>926</v>
      </c>
      <c r="B1259" s="7" t="s">
        <v>3875</v>
      </c>
      <c r="C1259" s="9">
        <v>3975860.0</v>
      </c>
      <c r="D1259" s="9">
        <v>106502.0</v>
      </c>
      <c r="E1259" s="9">
        <v>2360.0</v>
      </c>
      <c r="F1259" s="7" t="s">
        <v>927</v>
      </c>
      <c r="G1259" s="7" t="s">
        <v>503</v>
      </c>
      <c r="H1259" s="7" t="s">
        <v>928</v>
      </c>
      <c r="I1259" s="7" t="s">
        <v>355</v>
      </c>
      <c r="J1259" s="14"/>
      <c r="K1259" s="14"/>
      <c r="O1259" s="22"/>
      <c r="P1259" s="22"/>
      <c r="Q1259" s="23"/>
      <c r="R1259" s="23"/>
      <c r="S1259" s="14"/>
    </row>
    <row r="1260" ht="18.75" customHeight="1">
      <c r="A1260" s="7" t="s">
        <v>926</v>
      </c>
      <c r="B1260" s="7" t="s">
        <v>3875</v>
      </c>
      <c r="C1260" s="9">
        <v>1200184.0</v>
      </c>
      <c r="D1260" s="9">
        <v>139508.0</v>
      </c>
      <c r="E1260" s="9">
        <v>1190.0</v>
      </c>
      <c r="F1260" s="7" t="s">
        <v>927</v>
      </c>
      <c r="G1260" s="7" t="s">
        <v>503</v>
      </c>
      <c r="H1260" s="7" t="s">
        <v>928</v>
      </c>
      <c r="I1260" s="7" t="s">
        <v>355</v>
      </c>
      <c r="J1260" s="14"/>
      <c r="K1260" s="14"/>
      <c r="O1260" s="22"/>
      <c r="P1260" s="22"/>
      <c r="Q1260" s="23"/>
      <c r="R1260" s="23"/>
      <c r="S1260" s="14"/>
    </row>
    <row r="1261" ht="18.75" customHeight="1">
      <c r="A1261" s="7" t="s">
        <v>1169</v>
      </c>
      <c r="B1261" s="7" t="s">
        <v>3875</v>
      </c>
      <c r="C1261" s="9">
        <v>172415.0</v>
      </c>
      <c r="D1261" s="9">
        <v>0.0</v>
      </c>
      <c r="E1261" s="9">
        <v>693.0</v>
      </c>
      <c r="F1261" s="7" t="s">
        <v>1170</v>
      </c>
      <c r="G1261" s="7" t="s">
        <v>416</v>
      </c>
      <c r="H1261" s="7" t="s">
        <v>466</v>
      </c>
      <c r="I1261" s="7" t="s">
        <v>355</v>
      </c>
      <c r="J1261" s="14"/>
      <c r="K1261" s="14"/>
      <c r="O1261" s="22"/>
      <c r="P1261" s="22"/>
      <c r="Q1261" s="23"/>
      <c r="R1261" s="23"/>
      <c r="S1261" s="14"/>
    </row>
    <row r="1262" ht="18.75" customHeight="1">
      <c r="A1262" s="7" t="s">
        <v>1163</v>
      </c>
      <c r="B1262" s="7" t="s">
        <v>3875</v>
      </c>
      <c r="C1262" s="9">
        <v>248529.0</v>
      </c>
      <c r="D1262" s="9">
        <v>0.0</v>
      </c>
      <c r="E1262" s="9">
        <v>1009.0</v>
      </c>
      <c r="F1262" s="7" t="s">
        <v>1164</v>
      </c>
      <c r="G1262" s="7" t="s">
        <v>416</v>
      </c>
      <c r="H1262" s="7" t="s">
        <v>466</v>
      </c>
      <c r="I1262" s="7" t="s">
        <v>355</v>
      </c>
      <c r="J1262" s="14"/>
      <c r="K1262" s="14"/>
      <c r="O1262" s="22"/>
      <c r="P1262" s="22"/>
      <c r="Q1262" s="23"/>
      <c r="R1262" s="23"/>
      <c r="S1262" s="14"/>
    </row>
    <row r="1263" ht="18.75" customHeight="1">
      <c r="A1263" s="7" t="s">
        <v>1167</v>
      </c>
      <c r="B1263" s="7" t="s">
        <v>3875</v>
      </c>
      <c r="C1263" s="9">
        <v>519734.0</v>
      </c>
      <c r="D1263" s="9">
        <v>0.0</v>
      </c>
      <c r="E1263" s="9">
        <v>874.0</v>
      </c>
      <c r="F1263" s="7" t="s">
        <v>1168</v>
      </c>
      <c r="G1263" s="7" t="s">
        <v>416</v>
      </c>
      <c r="H1263" s="7" t="s">
        <v>466</v>
      </c>
      <c r="I1263" s="7" t="s">
        <v>355</v>
      </c>
      <c r="J1263" s="14"/>
      <c r="K1263" s="14"/>
      <c r="O1263" s="22"/>
      <c r="P1263" s="22"/>
      <c r="Q1263" s="23"/>
      <c r="R1263" s="23"/>
      <c r="S1263" s="14"/>
    </row>
    <row r="1264" ht="18.75" customHeight="1">
      <c r="A1264" s="7" t="s">
        <v>1171</v>
      </c>
      <c r="B1264" s="7" t="s">
        <v>3875</v>
      </c>
      <c r="C1264" s="9">
        <v>149503.0</v>
      </c>
      <c r="D1264" s="9">
        <v>0.0</v>
      </c>
      <c r="E1264" s="9">
        <v>690.0</v>
      </c>
      <c r="F1264" s="7" t="s">
        <v>1172</v>
      </c>
      <c r="G1264" s="7" t="s">
        <v>416</v>
      </c>
      <c r="H1264" s="7" t="s">
        <v>466</v>
      </c>
      <c r="I1264" s="7" t="s">
        <v>355</v>
      </c>
      <c r="J1264" s="14"/>
      <c r="K1264" s="14"/>
      <c r="O1264" s="22"/>
      <c r="P1264" s="22"/>
      <c r="Q1264" s="23"/>
      <c r="R1264" s="23"/>
      <c r="S1264" s="14"/>
    </row>
    <row r="1265" ht="18.75" customHeight="1">
      <c r="A1265" s="7" t="s">
        <v>1203</v>
      </c>
      <c r="B1265" s="7" t="s">
        <v>3875</v>
      </c>
      <c r="C1265" s="9">
        <v>442197.0</v>
      </c>
      <c r="D1265" s="9">
        <v>0.0</v>
      </c>
      <c r="E1265" s="9">
        <v>693.0</v>
      </c>
      <c r="F1265" s="7" t="s">
        <v>1204</v>
      </c>
      <c r="G1265" s="7" t="s">
        <v>364</v>
      </c>
      <c r="H1265" s="7" t="s">
        <v>365</v>
      </c>
      <c r="I1265" s="7" t="s">
        <v>355</v>
      </c>
      <c r="J1265" s="14"/>
      <c r="K1265" s="14"/>
      <c r="O1265" s="22"/>
      <c r="P1265" s="22"/>
      <c r="Q1265" s="23"/>
      <c r="R1265" s="23"/>
      <c r="S1265" s="14"/>
    </row>
    <row r="1266" ht="18.75" customHeight="1">
      <c r="A1266" s="7" t="s">
        <v>1187</v>
      </c>
      <c r="B1266" s="7" t="s">
        <v>3875</v>
      </c>
      <c r="C1266" s="9">
        <v>69201.0</v>
      </c>
      <c r="D1266" s="9">
        <v>0.0</v>
      </c>
      <c r="E1266" s="9">
        <v>2040.0</v>
      </c>
      <c r="F1266" s="7" t="s">
        <v>1188</v>
      </c>
      <c r="G1266" s="7" t="s">
        <v>416</v>
      </c>
      <c r="H1266" s="7" t="s">
        <v>417</v>
      </c>
      <c r="I1266" s="7" t="s">
        <v>355</v>
      </c>
      <c r="J1266" s="14"/>
      <c r="K1266" s="14"/>
      <c r="O1266" s="22"/>
      <c r="P1266" s="22"/>
      <c r="Q1266" s="23"/>
      <c r="R1266" s="23"/>
      <c r="S1266" s="14"/>
    </row>
    <row r="1267" ht="18.75" customHeight="1">
      <c r="A1267" s="7" t="s">
        <v>1103</v>
      </c>
      <c r="B1267" s="7" t="s">
        <v>3875</v>
      </c>
      <c r="C1267" s="9">
        <v>317495.0</v>
      </c>
      <c r="D1267" s="9">
        <v>46928.0</v>
      </c>
      <c r="E1267" s="9">
        <v>162.0</v>
      </c>
      <c r="F1267" s="7" t="s">
        <v>1104</v>
      </c>
      <c r="G1267" s="7" t="s">
        <v>416</v>
      </c>
      <c r="H1267" s="7" t="s">
        <v>417</v>
      </c>
      <c r="I1267" s="7" t="s">
        <v>355</v>
      </c>
      <c r="J1267" s="14"/>
      <c r="K1267" s="14"/>
      <c r="O1267" s="22"/>
      <c r="P1267" s="22"/>
      <c r="Q1267" s="23"/>
      <c r="R1267" s="23"/>
      <c r="S1267" s="14"/>
    </row>
    <row r="1268" ht="18.75" customHeight="1">
      <c r="A1268" s="7" t="s">
        <v>1103</v>
      </c>
      <c r="B1268" s="7" t="s">
        <v>3875</v>
      </c>
      <c r="C1268" s="9">
        <v>238618.0</v>
      </c>
      <c r="D1268" s="9">
        <v>36784.0</v>
      </c>
      <c r="E1268" s="9">
        <v>119.0</v>
      </c>
      <c r="F1268" s="7" t="s">
        <v>1104</v>
      </c>
      <c r="G1268" s="7" t="s">
        <v>416</v>
      </c>
      <c r="H1268" s="7" t="s">
        <v>417</v>
      </c>
      <c r="I1268" s="7" t="s">
        <v>355</v>
      </c>
      <c r="J1268" s="14"/>
      <c r="K1268" s="14"/>
      <c r="O1268" s="22"/>
      <c r="P1268" s="22"/>
      <c r="Q1268" s="23"/>
      <c r="R1268" s="23"/>
      <c r="S1268" s="14"/>
    </row>
    <row r="1269" ht="18.75" customHeight="1">
      <c r="A1269" s="7" t="s">
        <v>1185</v>
      </c>
      <c r="B1269" s="7" t="s">
        <v>3875</v>
      </c>
      <c r="C1269" s="9">
        <v>124316.0</v>
      </c>
      <c r="D1269" s="9">
        <v>0.0</v>
      </c>
      <c r="E1269" s="9">
        <v>4953.0</v>
      </c>
      <c r="F1269" s="7" t="s">
        <v>1186</v>
      </c>
      <c r="G1269" s="7" t="s">
        <v>416</v>
      </c>
      <c r="H1269" s="7" t="s">
        <v>417</v>
      </c>
      <c r="I1269" s="7" t="s">
        <v>355</v>
      </c>
      <c r="J1269" s="14"/>
      <c r="K1269" s="14"/>
      <c r="O1269" s="22"/>
      <c r="P1269" s="22"/>
      <c r="Q1269" s="23"/>
      <c r="R1269" s="23"/>
      <c r="S1269" s="14"/>
    </row>
    <row r="1270" ht="18.75" customHeight="1">
      <c r="A1270" s="7" t="s">
        <v>1185</v>
      </c>
      <c r="B1270" s="7" t="s">
        <v>3875</v>
      </c>
      <c r="C1270" s="9">
        <v>147872.0</v>
      </c>
      <c r="D1270" s="9">
        <v>0.0</v>
      </c>
      <c r="E1270" s="9">
        <v>4063.0</v>
      </c>
      <c r="F1270" s="7" t="s">
        <v>1186</v>
      </c>
      <c r="G1270" s="7" t="s">
        <v>416</v>
      </c>
      <c r="H1270" s="7" t="s">
        <v>417</v>
      </c>
      <c r="I1270" s="7" t="s">
        <v>355</v>
      </c>
      <c r="J1270" s="14"/>
      <c r="K1270" s="14"/>
      <c r="O1270" s="22"/>
      <c r="P1270" s="22"/>
      <c r="Q1270" s="23"/>
      <c r="R1270" s="23"/>
      <c r="S1270" s="14"/>
    </row>
    <row r="1271" ht="18.75" customHeight="1">
      <c r="A1271" s="7" t="s">
        <v>1199</v>
      </c>
      <c r="B1271" s="7" t="s">
        <v>3875</v>
      </c>
      <c r="C1271" s="9">
        <v>606452.0</v>
      </c>
      <c r="D1271" s="9">
        <v>0.0</v>
      </c>
      <c r="E1271" s="9">
        <v>814.0</v>
      </c>
      <c r="F1271" s="7" t="s">
        <v>1200</v>
      </c>
      <c r="G1271" s="7" t="s">
        <v>416</v>
      </c>
      <c r="H1271" s="7" t="s">
        <v>594</v>
      </c>
      <c r="I1271" s="7" t="s">
        <v>355</v>
      </c>
      <c r="J1271" s="14"/>
      <c r="K1271" s="14"/>
      <c r="O1271" s="22"/>
      <c r="P1271" s="22"/>
      <c r="Q1271" s="23"/>
      <c r="R1271" s="23"/>
      <c r="S1271" s="14"/>
    </row>
    <row r="1272" ht="18.75" customHeight="1">
      <c r="A1272" s="7" t="s">
        <v>831</v>
      </c>
      <c r="B1272" s="7" t="s">
        <v>3875</v>
      </c>
      <c r="C1272" s="9">
        <v>430898.0</v>
      </c>
      <c r="D1272" s="9">
        <v>0.0</v>
      </c>
      <c r="E1272" s="9">
        <v>1476.0</v>
      </c>
      <c r="F1272" s="7" t="s">
        <v>832</v>
      </c>
      <c r="G1272" s="7" t="s">
        <v>353</v>
      </c>
      <c r="H1272" s="7" t="s">
        <v>833</v>
      </c>
      <c r="I1272" s="7" t="s">
        <v>355</v>
      </c>
      <c r="J1272" s="14"/>
      <c r="K1272" s="14"/>
      <c r="O1272" s="22"/>
      <c r="P1272" s="22"/>
      <c r="Q1272" s="23"/>
      <c r="R1272" s="23"/>
      <c r="S1272" s="14"/>
    </row>
    <row r="1273" ht="18.75" customHeight="1">
      <c r="A1273" s="7" t="s">
        <v>831</v>
      </c>
      <c r="B1273" s="7" t="s">
        <v>3875</v>
      </c>
      <c r="C1273" s="9">
        <v>263904.0</v>
      </c>
      <c r="D1273" s="9">
        <v>0.0</v>
      </c>
      <c r="E1273" s="9">
        <v>487.0</v>
      </c>
      <c r="F1273" s="7" t="s">
        <v>832</v>
      </c>
      <c r="G1273" s="7" t="s">
        <v>353</v>
      </c>
      <c r="H1273" s="7" t="s">
        <v>833</v>
      </c>
      <c r="I1273" s="7" t="s">
        <v>355</v>
      </c>
      <c r="J1273" s="14"/>
      <c r="K1273" s="14"/>
      <c r="O1273" s="22"/>
      <c r="P1273" s="22"/>
      <c r="Q1273" s="23"/>
      <c r="R1273" s="23"/>
      <c r="S1273" s="14"/>
    </row>
    <row r="1274" ht="18.75" customHeight="1">
      <c r="A1274" s="7" t="s">
        <v>1209</v>
      </c>
      <c r="B1274" s="7" t="s">
        <v>3875</v>
      </c>
      <c r="C1274" s="9">
        <v>305701.0</v>
      </c>
      <c r="D1274" s="9">
        <v>0.0</v>
      </c>
      <c r="E1274" s="9">
        <v>7.0</v>
      </c>
      <c r="F1274" s="7" t="s">
        <v>1210</v>
      </c>
      <c r="G1274" s="7" t="s">
        <v>416</v>
      </c>
      <c r="H1274" s="7" t="s">
        <v>430</v>
      </c>
      <c r="I1274" s="7" t="s">
        <v>355</v>
      </c>
      <c r="J1274" s="14"/>
      <c r="K1274" s="14"/>
      <c r="O1274" s="22"/>
      <c r="P1274" s="22"/>
      <c r="Q1274" s="23"/>
      <c r="R1274" s="23"/>
      <c r="S1274" s="14"/>
    </row>
    <row r="1275" ht="18.75" customHeight="1">
      <c r="A1275" s="7" t="s">
        <v>1209</v>
      </c>
      <c r="B1275" s="7" t="s">
        <v>3875</v>
      </c>
      <c r="C1275" s="9">
        <v>224510.0</v>
      </c>
      <c r="D1275" s="9">
        <v>0.0</v>
      </c>
      <c r="E1275" s="9">
        <v>0.0</v>
      </c>
      <c r="F1275" s="7" t="s">
        <v>1210</v>
      </c>
      <c r="G1275" s="7" t="s">
        <v>416</v>
      </c>
      <c r="H1275" s="7" t="s">
        <v>430</v>
      </c>
      <c r="I1275" s="7" t="s">
        <v>355</v>
      </c>
      <c r="J1275" s="14"/>
      <c r="K1275" s="14"/>
      <c r="O1275" s="22"/>
      <c r="P1275" s="22"/>
      <c r="Q1275" s="23"/>
      <c r="R1275" s="23"/>
      <c r="S1275" s="14"/>
    </row>
    <row r="1276" ht="18.75" customHeight="1">
      <c r="A1276" s="7" t="s">
        <v>1001</v>
      </c>
      <c r="B1276" s="7" t="s">
        <v>3875</v>
      </c>
      <c r="C1276" s="9">
        <v>423420.0</v>
      </c>
      <c r="D1276" s="9">
        <v>3937.0</v>
      </c>
      <c r="E1276" s="9">
        <v>1669.0</v>
      </c>
      <c r="F1276" s="7" t="s">
        <v>1002</v>
      </c>
      <c r="G1276" s="7" t="s">
        <v>353</v>
      </c>
      <c r="H1276" s="7" t="s">
        <v>378</v>
      </c>
      <c r="I1276" s="7" t="s">
        <v>355</v>
      </c>
      <c r="J1276" s="14"/>
      <c r="K1276" s="14"/>
      <c r="O1276" s="22"/>
      <c r="P1276" s="22"/>
      <c r="Q1276" s="23"/>
      <c r="R1276" s="23"/>
      <c r="S1276" s="14"/>
    </row>
    <row r="1277" ht="18.75" customHeight="1">
      <c r="A1277" s="7" t="s">
        <v>1001</v>
      </c>
      <c r="B1277" s="7" t="s">
        <v>3875</v>
      </c>
      <c r="C1277" s="9">
        <v>420156.0</v>
      </c>
      <c r="D1277" s="9">
        <v>7149.0</v>
      </c>
      <c r="E1277" s="9">
        <v>3021.0</v>
      </c>
      <c r="F1277" s="7" t="s">
        <v>1002</v>
      </c>
      <c r="G1277" s="7" t="s">
        <v>353</v>
      </c>
      <c r="H1277" s="7" t="s">
        <v>378</v>
      </c>
      <c r="I1277" s="7" t="s">
        <v>355</v>
      </c>
      <c r="J1277" s="14"/>
      <c r="K1277" s="14"/>
      <c r="O1277" s="22"/>
      <c r="P1277" s="22"/>
      <c r="Q1277" s="23"/>
      <c r="R1277" s="23"/>
      <c r="S1277" s="14"/>
    </row>
    <row r="1278" ht="18.75" customHeight="1">
      <c r="A1278" s="7" t="s">
        <v>1229</v>
      </c>
      <c r="B1278" s="7" t="s">
        <v>3875</v>
      </c>
      <c r="C1278" s="9">
        <v>559950.0</v>
      </c>
      <c r="D1278" s="9">
        <v>0.0</v>
      </c>
      <c r="E1278" s="9">
        <v>665.0</v>
      </c>
      <c r="F1278" s="7" t="s">
        <v>1230</v>
      </c>
      <c r="G1278" s="7" t="s">
        <v>416</v>
      </c>
      <c r="H1278" s="7" t="s">
        <v>725</v>
      </c>
      <c r="I1278" s="7" t="s">
        <v>355</v>
      </c>
      <c r="J1278" s="14"/>
      <c r="K1278" s="14"/>
      <c r="O1278" s="22"/>
      <c r="P1278" s="22"/>
      <c r="Q1278" s="23"/>
      <c r="R1278" s="23"/>
      <c r="S1278" s="14"/>
    </row>
    <row r="1279" ht="18.75" customHeight="1">
      <c r="A1279" s="7" t="s">
        <v>1229</v>
      </c>
      <c r="B1279" s="7" t="s">
        <v>3875</v>
      </c>
      <c r="C1279" s="9">
        <v>463987.0</v>
      </c>
      <c r="D1279" s="9">
        <v>0.0</v>
      </c>
      <c r="E1279" s="9">
        <v>641.0</v>
      </c>
      <c r="F1279" s="7" t="s">
        <v>1230</v>
      </c>
      <c r="G1279" s="7" t="s">
        <v>416</v>
      </c>
      <c r="H1279" s="7" t="s">
        <v>725</v>
      </c>
      <c r="I1279" s="7" t="s">
        <v>355</v>
      </c>
      <c r="J1279" s="14"/>
      <c r="K1279" s="14"/>
      <c r="O1279" s="22"/>
      <c r="P1279" s="22"/>
      <c r="Q1279" s="23"/>
      <c r="R1279" s="23"/>
      <c r="S1279" s="14"/>
    </row>
    <row r="1280" ht="18.75" customHeight="1">
      <c r="A1280" s="7" t="s">
        <v>1137</v>
      </c>
      <c r="B1280" s="7" t="s">
        <v>3875</v>
      </c>
      <c r="C1280" s="9">
        <v>941175.0</v>
      </c>
      <c r="D1280" s="9">
        <v>33281.0</v>
      </c>
      <c r="E1280" s="9">
        <v>381.0</v>
      </c>
      <c r="F1280" s="7" t="s">
        <v>1138</v>
      </c>
      <c r="G1280" s="7" t="s">
        <v>416</v>
      </c>
      <c r="H1280" s="7" t="s">
        <v>417</v>
      </c>
      <c r="I1280" s="7" t="s">
        <v>355</v>
      </c>
      <c r="J1280" s="14"/>
      <c r="K1280" s="14"/>
      <c r="O1280" s="22"/>
      <c r="P1280" s="22"/>
      <c r="Q1280" s="23"/>
      <c r="R1280" s="23"/>
      <c r="S1280" s="14"/>
    </row>
    <row r="1281" ht="18.75" customHeight="1">
      <c r="A1281" s="7" t="s">
        <v>1227</v>
      </c>
      <c r="B1281" s="7" t="s">
        <v>3875</v>
      </c>
      <c r="C1281" s="9">
        <v>529484.0</v>
      </c>
      <c r="D1281" s="9">
        <v>0.0</v>
      </c>
      <c r="E1281" s="9">
        <v>929.0</v>
      </c>
      <c r="F1281" s="7" t="s">
        <v>1228</v>
      </c>
      <c r="G1281" s="7" t="s">
        <v>364</v>
      </c>
      <c r="H1281" s="7" t="s">
        <v>365</v>
      </c>
      <c r="I1281" s="7" t="s">
        <v>355</v>
      </c>
      <c r="J1281" s="14"/>
      <c r="K1281" s="14"/>
      <c r="O1281" s="22"/>
      <c r="P1281" s="22"/>
      <c r="Q1281" s="23"/>
      <c r="R1281" s="23"/>
      <c r="S1281" s="14"/>
    </row>
    <row r="1282" ht="18.75" customHeight="1">
      <c r="A1282" s="7" t="s">
        <v>1205</v>
      </c>
      <c r="B1282" s="7" t="s">
        <v>3875</v>
      </c>
      <c r="C1282" s="9">
        <v>36818.0</v>
      </c>
      <c r="D1282" s="9">
        <v>0.0</v>
      </c>
      <c r="E1282" s="9">
        <v>280.0</v>
      </c>
      <c r="F1282" s="7" t="s">
        <v>1206</v>
      </c>
      <c r="G1282" s="7" t="s">
        <v>364</v>
      </c>
      <c r="H1282" s="7" t="s">
        <v>365</v>
      </c>
      <c r="I1282" s="7" t="s">
        <v>355</v>
      </c>
      <c r="J1282" s="14"/>
      <c r="K1282" s="14"/>
      <c r="O1282" s="22"/>
      <c r="P1282" s="22"/>
      <c r="Q1282" s="23"/>
      <c r="R1282" s="23"/>
      <c r="S1282" s="14"/>
    </row>
    <row r="1283" ht="18.75" customHeight="1">
      <c r="A1283" s="7" t="s">
        <v>529</v>
      </c>
      <c r="B1283" s="7" t="s">
        <v>3875</v>
      </c>
      <c r="C1283" s="9">
        <v>105218.0</v>
      </c>
      <c r="D1283" s="9">
        <v>0.0</v>
      </c>
      <c r="E1283" s="9">
        <v>362.0</v>
      </c>
      <c r="F1283" s="7" t="s">
        <v>530</v>
      </c>
      <c r="G1283" s="7" t="s">
        <v>358</v>
      </c>
      <c r="H1283" s="7" t="s">
        <v>387</v>
      </c>
      <c r="I1283" s="7" t="s">
        <v>355</v>
      </c>
      <c r="J1283" s="14"/>
      <c r="K1283" s="14"/>
      <c r="O1283" s="22"/>
      <c r="P1283" s="22"/>
      <c r="Q1283" s="23"/>
      <c r="R1283" s="23"/>
      <c r="S1283" s="14"/>
    </row>
    <row r="1284" ht="18.75" customHeight="1">
      <c r="A1284" s="7" t="s">
        <v>529</v>
      </c>
      <c r="B1284" s="7" t="s">
        <v>3875</v>
      </c>
      <c r="C1284" s="9">
        <v>80536.0</v>
      </c>
      <c r="D1284" s="9">
        <v>0.0</v>
      </c>
      <c r="E1284" s="9">
        <v>675.0</v>
      </c>
      <c r="F1284" s="7" t="s">
        <v>530</v>
      </c>
      <c r="G1284" s="7" t="s">
        <v>358</v>
      </c>
      <c r="H1284" s="7" t="s">
        <v>387</v>
      </c>
      <c r="I1284" s="7" t="s">
        <v>355</v>
      </c>
      <c r="J1284" s="14"/>
      <c r="K1284" s="14"/>
      <c r="O1284" s="22"/>
      <c r="P1284" s="22"/>
      <c r="Q1284" s="23"/>
      <c r="R1284" s="23"/>
      <c r="S1284" s="14"/>
    </row>
    <row r="1285" ht="18.75" customHeight="1">
      <c r="A1285" s="7" t="s">
        <v>529</v>
      </c>
      <c r="B1285" s="7" t="s">
        <v>3875</v>
      </c>
      <c r="C1285" s="9">
        <v>200499.0</v>
      </c>
      <c r="D1285" s="9">
        <v>0.0</v>
      </c>
      <c r="E1285" s="9">
        <v>887.0</v>
      </c>
      <c r="F1285" s="7" t="s">
        <v>530</v>
      </c>
      <c r="G1285" s="7" t="s">
        <v>358</v>
      </c>
      <c r="H1285" s="7" t="s">
        <v>387</v>
      </c>
      <c r="I1285" s="7" t="s">
        <v>355</v>
      </c>
      <c r="J1285" s="14"/>
      <c r="K1285" s="14"/>
      <c r="O1285" s="22"/>
      <c r="P1285" s="22"/>
      <c r="Q1285" s="23"/>
      <c r="R1285" s="23"/>
      <c r="S1285" s="14"/>
    </row>
    <row r="1286" ht="18.75" customHeight="1">
      <c r="A1286" s="7" t="s">
        <v>529</v>
      </c>
      <c r="B1286" s="7" t="s">
        <v>3875</v>
      </c>
      <c r="C1286" s="9">
        <v>246816.0</v>
      </c>
      <c r="D1286" s="9">
        <v>0.0</v>
      </c>
      <c r="E1286" s="9">
        <v>745.0</v>
      </c>
      <c r="F1286" s="7" t="s">
        <v>530</v>
      </c>
      <c r="G1286" s="7" t="s">
        <v>358</v>
      </c>
      <c r="H1286" s="7" t="s">
        <v>387</v>
      </c>
      <c r="I1286" s="7" t="s">
        <v>355</v>
      </c>
      <c r="J1286" s="14"/>
      <c r="K1286" s="14"/>
      <c r="O1286" s="22"/>
      <c r="P1286" s="22"/>
      <c r="Q1286" s="23"/>
      <c r="R1286" s="23"/>
      <c r="S1286" s="14"/>
    </row>
    <row r="1287" ht="18.75" customHeight="1">
      <c r="A1287" s="7" t="s">
        <v>529</v>
      </c>
      <c r="B1287" s="7" t="s">
        <v>3875</v>
      </c>
      <c r="C1287" s="9">
        <v>484866.0</v>
      </c>
      <c r="D1287" s="9">
        <v>0.0</v>
      </c>
      <c r="E1287" s="9">
        <v>625.0</v>
      </c>
      <c r="F1287" s="7" t="s">
        <v>530</v>
      </c>
      <c r="G1287" s="7" t="s">
        <v>358</v>
      </c>
      <c r="H1287" s="7" t="s">
        <v>387</v>
      </c>
      <c r="I1287" s="7" t="s">
        <v>355</v>
      </c>
      <c r="J1287" s="14"/>
      <c r="K1287" s="14"/>
      <c r="O1287" s="22"/>
      <c r="P1287" s="22"/>
      <c r="Q1287" s="23"/>
      <c r="R1287" s="23"/>
      <c r="S1287" s="14"/>
    </row>
    <row r="1288" ht="18.75" customHeight="1">
      <c r="A1288" s="7" t="s">
        <v>1001</v>
      </c>
      <c r="B1288" s="7" t="s">
        <v>3875</v>
      </c>
      <c r="C1288" s="9">
        <v>920133.0</v>
      </c>
      <c r="D1288" s="9">
        <v>0.0</v>
      </c>
      <c r="E1288" s="9">
        <v>2998.0</v>
      </c>
      <c r="F1288" s="7" t="s">
        <v>1002</v>
      </c>
      <c r="G1288" s="7" t="s">
        <v>353</v>
      </c>
      <c r="H1288" s="7" t="s">
        <v>378</v>
      </c>
      <c r="I1288" s="7" t="s">
        <v>355</v>
      </c>
      <c r="J1288" s="14"/>
      <c r="K1288" s="14"/>
      <c r="O1288" s="22"/>
      <c r="P1288" s="22"/>
      <c r="Q1288" s="23"/>
      <c r="R1288" s="23"/>
      <c r="S1288" s="14"/>
    </row>
    <row r="1289" ht="18.75" customHeight="1">
      <c r="A1289" s="7" t="s">
        <v>1231</v>
      </c>
      <c r="B1289" s="7" t="s">
        <v>3875</v>
      </c>
      <c r="C1289" s="9">
        <v>80270.0</v>
      </c>
      <c r="D1289" s="9">
        <v>0.0</v>
      </c>
      <c r="E1289" s="9">
        <v>1704.0</v>
      </c>
      <c r="F1289" s="7" t="s">
        <v>1232</v>
      </c>
      <c r="G1289" s="7" t="s">
        <v>364</v>
      </c>
      <c r="H1289" s="7" t="s">
        <v>365</v>
      </c>
      <c r="I1289" s="7" t="s">
        <v>355</v>
      </c>
      <c r="J1289" s="14"/>
      <c r="K1289" s="14"/>
      <c r="O1289" s="22"/>
      <c r="P1289" s="22"/>
      <c r="Q1289" s="23"/>
      <c r="R1289" s="23"/>
      <c r="S1289" s="14"/>
    </row>
    <row r="1290" ht="18.75" customHeight="1">
      <c r="A1290" s="7" t="s">
        <v>882</v>
      </c>
      <c r="B1290" s="7" t="s">
        <v>3875</v>
      </c>
      <c r="C1290" s="9">
        <v>119981.0</v>
      </c>
      <c r="D1290" s="9">
        <v>0.0</v>
      </c>
      <c r="E1290" s="9">
        <v>3.0</v>
      </c>
      <c r="F1290" s="7" t="s">
        <v>883</v>
      </c>
      <c r="G1290" s="7" t="s">
        <v>364</v>
      </c>
      <c r="H1290" s="7" t="s">
        <v>365</v>
      </c>
      <c r="I1290" s="7" t="s">
        <v>2117</v>
      </c>
      <c r="J1290" s="14"/>
      <c r="K1290" s="14"/>
      <c r="O1290" s="22"/>
      <c r="P1290" s="22"/>
      <c r="Q1290" s="23"/>
      <c r="R1290" s="23"/>
      <c r="S1290" s="14"/>
    </row>
    <row r="1291" ht="18.75" customHeight="1">
      <c r="A1291" s="7" t="s">
        <v>1239</v>
      </c>
      <c r="B1291" s="7" t="s">
        <v>3875</v>
      </c>
      <c r="C1291" s="9">
        <v>183756.0</v>
      </c>
      <c r="D1291" s="9">
        <v>0.0</v>
      </c>
      <c r="E1291" s="9">
        <v>1457.0</v>
      </c>
      <c r="F1291" s="7" t="s">
        <v>1240</v>
      </c>
      <c r="G1291" s="7" t="s">
        <v>364</v>
      </c>
      <c r="H1291" s="7" t="s">
        <v>365</v>
      </c>
      <c r="I1291" s="7" t="s">
        <v>355</v>
      </c>
      <c r="J1291" s="14"/>
      <c r="K1291" s="14"/>
      <c r="O1291" s="22"/>
      <c r="P1291" s="22"/>
      <c r="Q1291" s="23"/>
      <c r="R1291" s="23"/>
      <c r="S1291" s="14"/>
    </row>
    <row r="1292" ht="18.75" customHeight="1">
      <c r="A1292" s="7" t="s">
        <v>1241</v>
      </c>
      <c r="B1292" s="7" t="s">
        <v>3875</v>
      </c>
      <c r="C1292" s="9">
        <v>402764.0</v>
      </c>
      <c r="D1292" s="9">
        <v>0.0</v>
      </c>
      <c r="E1292" s="9">
        <v>615.0</v>
      </c>
      <c r="F1292" s="7" t="s">
        <v>1242</v>
      </c>
      <c r="G1292" s="7" t="s">
        <v>364</v>
      </c>
      <c r="H1292" s="7" t="s">
        <v>365</v>
      </c>
      <c r="I1292" s="7" t="s">
        <v>355</v>
      </c>
      <c r="J1292" s="14"/>
      <c r="K1292" s="14"/>
      <c r="O1292" s="22"/>
      <c r="P1292" s="22"/>
      <c r="Q1292" s="23"/>
      <c r="R1292" s="23"/>
      <c r="S1292" s="14"/>
    </row>
    <row r="1293" ht="18.75" customHeight="1">
      <c r="A1293" s="7" t="s">
        <v>1145</v>
      </c>
      <c r="B1293" s="7" t="s">
        <v>3875</v>
      </c>
      <c r="C1293" s="9">
        <v>657369.0</v>
      </c>
      <c r="D1293" s="9">
        <v>0.0</v>
      </c>
      <c r="E1293" s="9">
        <v>822.0</v>
      </c>
      <c r="F1293" s="7" t="s">
        <v>1146</v>
      </c>
      <c r="G1293" s="7" t="s">
        <v>353</v>
      </c>
      <c r="H1293" s="7" t="s">
        <v>378</v>
      </c>
      <c r="I1293" s="7" t="s">
        <v>355</v>
      </c>
      <c r="J1293" s="14"/>
      <c r="K1293" s="14"/>
      <c r="O1293" s="22"/>
      <c r="P1293" s="22"/>
      <c r="Q1293" s="23"/>
      <c r="R1293" s="23"/>
      <c r="S1293" s="14"/>
    </row>
    <row r="1294" ht="18.75" customHeight="1">
      <c r="A1294" s="7" t="s">
        <v>1145</v>
      </c>
      <c r="B1294" s="7" t="s">
        <v>3875</v>
      </c>
      <c r="C1294" s="9">
        <v>364625.0</v>
      </c>
      <c r="D1294" s="9">
        <v>0.0</v>
      </c>
      <c r="E1294" s="9">
        <v>2254.0</v>
      </c>
      <c r="F1294" s="7" t="s">
        <v>1146</v>
      </c>
      <c r="G1294" s="7" t="s">
        <v>353</v>
      </c>
      <c r="H1294" s="7" t="s">
        <v>378</v>
      </c>
      <c r="I1294" s="7" t="s">
        <v>355</v>
      </c>
      <c r="J1294" s="14"/>
      <c r="K1294" s="14"/>
      <c r="O1294" s="22"/>
      <c r="P1294" s="22"/>
      <c r="Q1294" s="23"/>
      <c r="R1294" s="23"/>
      <c r="S1294" s="14"/>
    </row>
    <row r="1295" ht="18.75" customHeight="1">
      <c r="A1295" s="7" t="s">
        <v>1145</v>
      </c>
      <c r="B1295" s="7" t="s">
        <v>3875</v>
      </c>
      <c r="C1295" s="9">
        <v>638895.0</v>
      </c>
      <c r="D1295" s="9">
        <v>0.0</v>
      </c>
      <c r="E1295" s="9">
        <v>1012.0</v>
      </c>
      <c r="F1295" s="7" t="s">
        <v>1146</v>
      </c>
      <c r="G1295" s="7" t="s">
        <v>353</v>
      </c>
      <c r="H1295" s="7" t="s">
        <v>378</v>
      </c>
      <c r="I1295" s="7" t="s">
        <v>355</v>
      </c>
      <c r="J1295" s="14"/>
      <c r="K1295" s="14"/>
      <c r="O1295" s="22"/>
      <c r="P1295" s="22"/>
      <c r="Q1295" s="23"/>
      <c r="R1295" s="23"/>
      <c r="S1295" s="14"/>
    </row>
    <row r="1296" ht="18.75" customHeight="1">
      <c r="A1296" s="7" t="s">
        <v>1249</v>
      </c>
      <c r="B1296" s="7" t="s">
        <v>3875</v>
      </c>
      <c r="C1296" s="9">
        <v>161460.0</v>
      </c>
      <c r="D1296" s="9">
        <v>0.0</v>
      </c>
      <c r="E1296" s="9">
        <v>468.0</v>
      </c>
      <c r="F1296" s="7" t="s">
        <v>1250</v>
      </c>
      <c r="G1296" s="7" t="s">
        <v>416</v>
      </c>
      <c r="H1296" s="7" t="s">
        <v>387</v>
      </c>
      <c r="I1296" s="7" t="s">
        <v>355</v>
      </c>
      <c r="J1296" s="14"/>
      <c r="K1296" s="14"/>
      <c r="O1296" s="22"/>
      <c r="P1296" s="22"/>
      <c r="Q1296" s="23"/>
      <c r="R1296" s="23"/>
      <c r="S1296" s="14"/>
    </row>
    <row r="1297" ht="18.75" customHeight="1">
      <c r="A1297" s="7" t="s">
        <v>1265</v>
      </c>
      <c r="B1297" s="7" t="s">
        <v>3875</v>
      </c>
      <c r="C1297" s="9">
        <v>873476.0</v>
      </c>
      <c r="D1297" s="9">
        <v>0.0</v>
      </c>
      <c r="E1297" s="9">
        <v>2001.0</v>
      </c>
      <c r="F1297" s="7" t="s">
        <v>1266</v>
      </c>
      <c r="G1297" s="7" t="s">
        <v>404</v>
      </c>
      <c r="H1297" s="7" t="s">
        <v>783</v>
      </c>
      <c r="I1297" s="7" t="s">
        <v>355</v>
      </c>
      <c r="J1297" s="14"/>
      <c r="K1297" s="14"/>
      <c r="O1297" s="22"/>
      <c r="P1297" s="22"/>
      <c r="Q1297" s="23"/>
      <c r="R1297" s="23"/>
      <c r="S1297" s="14"/>
    </row>
    <row r="1298" ht="18.75" customHeight="1">
      <c r="A1298" s="7" t="s">
        <v>1265</v>
      </c>
      <c r="B1298" s="7" t="s">
        <v>3875</v>
      </c>
      <c r="C1298" s="9">
        <v>570863.0</v>
      </c>
      <c r="D1298" s="9">
        <v>0.0</v>
      </c>
      <c r="E1298" s="9">
        <v>1147.0</v>
      </c>
      <c r="F1298" s="7" t="s">
        <v>1266</v>
      </c>
      <c r="G1298" s="7" t="s">
        <v>404</v>
      </c>
      <c r="H1298" s="7" t="s">
        <v>783</v>
      </c>
      <c r="I1298" s="7" t="s">
        <v>355</v>
      </c>
      <c r="J1298" s="14"/>
      <c r="K1298" s="14"/>
      <c r="O1298" s="22"/>
      <c r="P1298" s="22"/>
      <c r="Q1298" s="23"/>
      <c r="R1298" s="23"/>
      <c r="S1298" s="14"/>
    </row>
    <row r="1299" ht="18.75" customHeight="1">
      <c r="A1299" s="7" t="s">
        <v>1271</v>
      </c>
      <c r="B1299" s="7" t="s">
        <v>3875</v>
      </c>
      <c r="C1299" s="9">
        <v>178446.0</v>
      </c>
      <c r="D1299" s="9">
        <v>0.0</v>
      </c>
      <c r="E1299" s="9">
        <v>581.0</v>
      </c>
      <c r="F1299" s="7" t="s">
        <v>1272</v>
      </c>
      <c r="G1299" s="7" t="s">
        <v>416</v>
      </c>
      <c r="H1299" s="7" t="s">
        <v>378</v>
      </c>
      <c r="I1299" s="7" t="s">
        <v>355</v>
      </c>
      <c r="J1299" s="14"/>
      <c r="K1299" s="14"/>
      <c r="O1299" s="22"/>
      <c r="P1299" s="22"/>
      <c r="Q1299" s="23"/>
      <c r="R1299" s="23"/>
      <c r="S1299" s="14"/>
    </row>
    <row r="1300" ht="18.75" customHeight="1">
      <c r="A1300" s="7" t="s">
        <v>1251</v>
      </c>
      <c r="B1300" s="7" t="s">
        <v>3875</v>
      </c>
      <c r="C1300" s="9">
        <v>81647.0</v>
      </c>
      <c r="D1300" s="9">
        <v>0.0</v>
      </c>
      <c r="E1300" s="9">
        <v>351.0</v>
      </c>
      <c r="F1300" s="7" t="s">
        <v>1252</v>
      </c>
      <c r="G1300" s="7" t="s">
        <v>416</v>
      </c>
      <c r="H1300" s="7" t="s">
        <v>594</v>
      </c>
      <c r="I1300" s="7" t="s">
        <v>355</v>
      </c>
      <c r="J1300" s="14"/>
      <c r="K1300" s="14"/>
      <c r="O1300" s="22"/>
      <c r="P1300" s="22"/>
      <c r="Q1300" s="23"/>
      <c r="R1300" s="23"/>
      <c r="S1300" s="14"/>
    </row>
    <row r="1301" ht="18.75" customHeight="1">
      <c r="A1301" s="7" t="s">
        <v>1289</v>
      </c>
      <c r="B1301" s="7" t="s">
        <v>3875</v>
      </c>
      <c r="C1301" s="9">
        <v>568457.0</v>
      </c>
      <c r="D1301" s="9">
        <v>0.0</v>
      </c>
      <c r="E1301" s="9">
        <v>1005.0</v>
      </c>
      <c r="F1301" s="7" t="s">
        <v>1290</v>
      </c>
      <c r="G1301" s="7" t="s">
        <v>364</v>
      </c>
      <c r="H1301" s="7" t="s">
        <v>365</v>
      </c>
      <c r="I1301" s="7" t="s">
        <v>355</v>
      </c>
      <c r="J1301" s="14"/>
      <c r="K1301" s="14"/>
      <c r="O1301" s="22"/>
      <c r="P1301" s="22"/>
      <c r="Q1301" s="23"/>
      <c r="R1301" s="23"/>
      <c r="S1301" s="14"/>
    </row>
    <row r="1302" ht="18.75" customHeight="1">
      <c r="A1302" s="7" t="s">
        <v>1289</v>
      </c>
      <c r="B1302" s="7" t="s">
        <v>3875</v>
      </c>
      <c r="C1302" s="9">
        <v>656109.0</v>
      </c>
      <c r="D1302" s="9">
        <v>0.0</v>
      </c>
      <c r="E1302" s="9">
        <v>736.0</v>
      </c>
      <c r="F1302" s="7" t="s">
        <v>1290</v>
      </c>
      <c r="G1302" s="7" t="s">
        <v>364</v>
      </c>
      <c r="H1302" s="7" t="s">
        <v>365</v>
      </c>
      <c r="I1302" s="7" t="s">
        <v>355</v>
      </c>
      <c r="J1302" s="14"/>
      <c r="K1302" s="14"/>
      <c r="O1302" s="22"/>
      <c r="P1302" s="22"/>
      <c r="Q1302" s="23"/>
      <c r="R1302" s="23"/>
      <c r="S1302" s="14"/>
    </row>
    <row r="1303" ht="18.75" customHeight="1">
      <c r="A1303" s="7" t="s">
        <v>1155</v>
      </c>
      <c r="B1303" s="7" t="s">
        <v>3875</v>
      </c>
      <c r="C1303" s="9">
        <v>1572853.0</v>
      </c>
      <c r="D1303" s="9">
        <v>7865.0</v>
      </c>
      <c r="E1303" s="9">
        <v>4232.0</v>
      </c>
      <c r="F1303" s="7" t="s">
        <v>1156</v>
      </c>
      <c r="G1303" s="7" t="s">
        <v>358</v>
      </c>
      <c r="H1303" s="7" t="s">
        <v>359</v>
      </c>
      <c r="I1303" s="7" t="s">
        <v>355</v>
      </c>
      <c r="J1303" s="14"/>
      <c r="K1303" s="14"/>
      <c r="O1303" s="22"/>
      <c r="P1303" s="22"/>
      <c r="Q1303" s="23"/>
      <c r="R1303" s="23"/>
      <c r="S1303" s="14"/>
    </row>
    <row r="1304" ht="18.75" customHeight="1">
      <c r="A1304" s="7" t="s">
        <v>1155</v>
      </c>
      <c r="B1304" s="7" t="s">
        <v>3875</v>
      </c>
      <c r="C1304" s="9">
        <v>1113494.0</v>
      </c>
      <c r="D1304" s="9">
        <v>2063.0</v>
      </c>
      <c r="E1304" s="9">
        <v>2731.0</v>
      </c>
      <c r="F1304" s="7" t="s">
        <v>1156</v>
      </c>
      <c r="G1304" s="7" t="s">
        <v>358</v>
      </c>
      <c r="H1304" s="7" t="s">
        <v>359</v>
      </c>
      <c r="I1304" s="7" t="s">
        <v>355</v>
      </c>
      <c r="J1304" s="14"/>
      <c r="K1304" s="14"/>
      <c r="O1304" s="22"/>
      <c r="P1304" s="22"/>
      <c r="Q1304" s="23"/>
      <c r="R1304" s="23"/>
      <c r="S1304" s="14"/>
    </row>
    <row r="1305" ht="18.75" customHeight="1">
      <c r="A1305" s="7" t="s">
        <v>1155</v>
      </c>
      <c r="B1305" s="7" t="s">
        <v>3875</v>
      </c>
      <c r="C1305" s="9">
        <v>2218384.0</v>
      </c>
      <c r="D1305" s="9">
        <v>1040.0</v>
      </c>
      <c r="E1305" s="9">
        <v>4021.0</v>
      </c>
      <c r="F1305" s="7" t="s">
        <v>1156</v>
      </c>
      <c r="G1305" s="7" t="s">
        <v>358</v>
      </c>
      <c r="H1305" s="7" t="s">
        <v>359</v>
      </c>
      <c r="I1305" s="7" t="s">
        <v>355</v>
      </c>
      <c r="J1305" s="14"/>
      <c r="K1305" s="14"/>
      <c r="O1305" s="22"/>
      <c r="P1305" s="22"/>
      <c r="Q1305" s="23"/>
      <c r="R1305" s="23"/>
      <c r="S1305" s="14"/>
    </row>
    <row r="1306" ht="18.75" customHeight="1">
      <c r="A1306" s="7" t="s">
        <v>1155</v>
      </c>
      <c r="B1306" s="7" t="s">
        <v>3875</v>
      </c>
      <c r="C1306" s="9">
        <v>1434350.0</v>
      </c>
      <c r="D1306" s="9">
        <v>13208.0</v>
      </c>
      <c r="E1306" s="9">
        <v>2831.0</v>
      </c>
      <c r="F1306" s="7" t="s">
        <v>1156</v>
      </c>
      <c r="G1306" s="7" t="s">
        <v>358</v>
      </c>
      <c r="H1306" s="7" t="s">
        <v>359</v>
      </c>
      <c r="I1306" s="7" t="s">
        <v>355</v>
      </c>
      <c r="J1306" s="14"/>
      <c r="K1306" s="14"/>
      <c r="O1306" s="22"/>
      <c r="P1306" s="22"/>
      <c r="Q1306" s="23"/>
      <c r="R1306" s="23"/>
      <c r="S1306" s="14"/>
    </row>
    <row r="1307" ht="18.75" customHeight="1">
      <c r="A1307" s="7" t="s">
        <v>1245</v>
      </c>
      <c r="B1307" s="7" t="s">
        <v>3875</v>
      </c>
      <c r="C1307" s="9">
        <v>167947.0</v>
      </c>
      <c r="D1307" s="9">
        <v>0.0</v>
      </c>
      <c r="E1307" s="9">
        <v>398.0</v>
      </c>
      <c r="F1307" s="7" t="s">
        <v>1246</v>
      </c>
      <c r="G1307" s="7" t="s">
        <v>416</v>
      </c>
      <c r="H1307" s="7" t="s">
        <v>783</v>
      </c>
      <c r="I1307" s="7" t="s">
        <v>355</v>
      </c>
      <c r="J1307" s="14"/>
      <c r="K1307" s="14"/>
      <c r="O1307" s="22"/>
      <c r="P1307" s="22"/>
      <c r="Q1307" s="23"/>
      <c r="R1307" s="23"/>
      <c r="S1307" s="14"/>
    </row>
    <row r="1308" ht="18.75" customHeight="1">
      <c r="A1308" s="7" t="s">
        <v>1245</v>
      </c>
      <c r="B1308" s="7" t="s">
        <v>3875</v>
      </c>
      <c r="C1308" s="9">
        <v>323861.0</v>
      </c>
      <c r="D1308" s="9">
        <v>0.0</v>
      </c>
      <c r="E1308" s="9">
        <v>458.0</v>
      </c>
      <c r="F1308" s="7" t="s">
        <v>1246</v>
      </c>
      <c r="G1308" s="7" t="s">
        <v>416</v>
      </c>
      <c r="H1308" s="7" t="s">
        <v>783</v>
      </c>
      <c r="I1308" s="7" t="s">
        <v>355</v>
      </c>
      <c r="J1308" s="14"/>
      <c r="K1308" s="14"/>
      <c r="O1308" s="22"/>
      <c r="P1308" s="22"/>
      <c r="Q1308" s="23"/>
      <c r="R1308" s="23"/>
      <c r="S1308" s="14"/>
    </row>
    <row r="1309" ht="18.75" customHeight="1">
      <c r="A1309" s="7" t="s">
        <v>1247</v>
      </c>
      <c r="B1309" s="7" t="s">
        <v>3875</v>
      </c>
      <c r="C1309" s="9">
        <v>150395.0</v>
      </c>
      <c r="D1309" s="9">
        <v>0.0</v>
      </c>
      <c r="E1309" s="9">
        <v>637.0</v>
      </c>
      <c r="F1309" s="7" t="s">
        <v>1248</v>
      </c>
      <c r="G1309" s="7" t="s">
        <v>416</v>
      </c>
      <c r="H1309" s="7" t="s">
        <v>365</v>
      </c>
      <c r="I1309" s="7" t="s">
        <v>355</v>
      </c>
      <c r="J1309" s="14"/>
      <c r="K1309" s="14"/>
      <c r="O1309" s="22"/>
      <c r="P1309" s="22"/>
      <c r="Q1309" s="23"/>
      <c r="R1309" s="23"/>
      <c r="S1309" s="14"/>
    </row>
    <row r="1310" ht="18.75" customHeight="1">
      <c r="A1310" s="7" t="s">
        <v>3753</v>
      </c>
      <c r="B1310" s="7" t="s">
        <v>3875</v>
      </c>
      <c r="C1310" s="9">
        <v>108153.0</v>
      </c>
      <c r="D1310" s="9">
        <v>0.0</v>
      </c>
      <c r="E1310" s="9">
        <v>398.0</v>
      </c>
      <c r="F1310" s="7" t="s">
        <v>3894</v>
      </c>
      <c r="G1310" s="7" t="s">
        <v>416</v>
      </c>
      <c r="H1310" s="7" t="s">
        <v>354</v>
      </c>
      <c r="I1310" s="7" t="s">
        <v>3886</v>
      </c>
      <c r="J1310" s="14"/>
      <c r="K1310" s="14"/>
      <c r="O1310" s="22"/>
      <c r="P1310" s="22"/>
      <c r="Q1310" s="23"/>
      <c r="R1310" s="23"/>
      <c r="S1310" s="14"/>
    </row>
    <row r="1311" ht="18.75" customHeight="1">
      <c r="A1311" s="7" t="s">
        <v>1255</v>
      </c>
      <c r="B1311" s="7" t="s">
        <v>3875</v>
      </c>
      <c r="C1311" s="9">
        <v>320469.0</v>
      </c>
      <c r="D1311" s="9">
        <v>0.0</v>
      </c>
      <c r="E1311" s="9">
        <v>309.0</v>
      </c>
      <c r="F1311" s="7" t="s">
        <v>1256</v>
      </c>
      <c r="G1311" s="7" t="s">
        <v>416</v>
      </c>
      <c r="H1311" s="7" t="s">
        <v>667</v>
      </c>
      <c r="I1311" s="7" t="s">
        <v>355</v>
      </c>
      <c r="J1311" s="14"/>
      <c r="K1311" s="14"/>
      <c r="O1311" s="22"/>
      <c r="P1311" s="22"/>
      <c r="Q1311" s="23"/>
      <c r="R1311" s="23"/>
      <c r="S1311" s="14"/>
    </row>
    <row r="1312" ht="18.75" customHeight="1">
      <c r="A1312" s="7" t="s">
        <v>1281</v>
      </c>
      <c r="B1312" s="7" t="s">
        <v>3875</v>
      </c>
      <c r="C1312" s="9">
        <v>147503.0</v>
      </c>
      <c r="D1312" s="9">
        <v>0.0</v>
      </c>
      <c r="E1312" s="9">
        <v>352.0</v>
      </c>
      <c r="F1312" s="7" t="s">
        <v>1282</v>
      </c>
      <c r="G1312" s="7" t="s">
        <v>416</v>
      </c>
      <c r="H1312" s="7" t="s">
        <v>725</v>
      </c>
      <c r="I1312" s="7" t="s">
        <v>355</v>
      </c>
      <c r="J1312" s="14"/>
      <c r="K1312" s="14"/>
      <c r="O1312" s="22"/>
      <c r="P1312" s="22"/>
      <c r="Q1312" s="23"/>
      <c r="R1312" s="23"/>
      <c r="S1312" s="14"/>
    </row>
    <row r="1313" ht="18.75" customHeight="1">
      <c r="A1313" s="7" t="s">
        <v>1243</v>
      </c>
      <c r="B1313" s="7" t="s">
        <v>3875</v>
      </c>
      <c r="C1313" s="9">
        <v>660473.0</v>
      </c>
      <c r="D1313" s="9">
        <v>17835.0</v>
      </c>
      <c r="E1313" s="9">
        <v>908.0</v>
      </c>
      <c r="F1313" s="7" t="s">
        <v>1244</v>
      </c>
      <c r="G1313" s="7" t="s">
        <v>358</v>
      </c>
      <c r="H1313" s="7" t="s">
        <v>466</v>
      </c>
      <c r="I1313" s="7" t="s">
        <v>355</v>
      </c>
      <c r="J1313" s="14"/>
      <c r="K1313" s="14"/>
      <c r="O1313" s="22"/>
      <c r="P1313" s="22"/>
      <c r="Q1313" s="23"/>
      <c r="R1313" s="23"/>
      <c r="S1313" s="14"/>
    </row>
    <row r="1314" ht="18.75" customHeight="1">
      <c r="A1314" s="7" t="s">
        <v>1243</v>
      </c>
      <c r="B1314" s="7" t="s">
        <v>3875</v>
      </c>
      <c r="C1314" s="9">
        <v>806307.0</v>
      </c>
      <c r="D1314" s="9">
        <v>46164.0</v>
      </c>
      <c r="E1314" s="9">
        <v>1057.0</v>
      </c>
      <c r="F1314" s="7" t="s">
        <v>1244</v>
      </c>
      <c r="G1314" s="7" t="s">
        <v>358</v>
      </c>
      <c r="H1314" s="7" t="s">
        <v>466</v>
      </c>
      <c r="I1314" s="7" t="s">
        <v>355</v>
      </c>
      <c r="J1314" s="14"/>
      <c r="K1314" s="14"/>
      <c r="O1314" s="22"/>
      <c r="P1314" s="22"/>
      <c r="Q1314" s="23"/>
      <c r="R1314" s="23"/>
      <c r="S1314" s="14"/>
    </row>
    <row r="1315" ht="18.75" customHeight="1">
      <c r="A1315" s="7" t="s">
        <v>1243</v>
      </c>
      <c r="B1315" s="7" t="s">
        <v>3875</v>
      </c>
      <c r="C1315" s="9">
        <v>128071.0</v>
      </c>
      <c r="D1315" s="9">
        <v>22595.0</v>
      </c>
      <c r="E1315" s="9">
        <v>312.0</v>
      </c>
      <c r="F1315" s="7" t="s">
        <v>1244</v>
      </c>
      <c r="G1315" s="7" t="s">
        <v>358</v>
      </c>
      <c r="H1315" s="7" t="s">
        <v>466</v>
      </c>
      <c r="I1315" s="7" t="s">
        <v>355</v>
      </c>
      <c r="J1315" s="14"/>
      <c r="K1315" s="14"/>
      <c r="O1315" s="22"/>
      <c r="P1315" s="22"/>
      <c r="Q1315" s="23"/>
      <c r="R1315" s="23"/>
      <c r="S1315" s="14"/>
    </row>
    <row r="1316" ht="18.75" customHeight="1">
      <c r="A1316" s="7" t="s">
        <v>1183</v>
      </c>
      <c r="B1316" s="7" t="s">
        <v>3875</v>
      </c>
      <c r="C1316" s="9">
        <v>317191.0</v>
      </c>
      <c r="D1316" s="9">
        <v>38930.0</v>
      </c>
      <c r="E1316" s="9">
        <v>216.0</v>
      </c>
      <c r="F1316" s="7" t="s">
        <v>1184</v>
      </c>
      <c r="G1316" s="7" t="s">
        <v>416</v>
      </c>
      <c r="H1316" s="7" t="s">
        <v>417</v>
      </c>
      <c r="I1316" s="7" t="s">
        <v>355</v>
      </c>
      <c r="J1316" s="14"/>
      <c r="K1316" s="14"/>
      <c r="O1316" s="22"/>
      <c r="P1316" s="22"/>
      <c r="Q1316" s="23"/>
      <c r="R1316" s="23"/>
      <c r="S1316" s="14"/>
    </row>
    <row r="1317" ht="18.75" customHeight="1">
      <c r="A1317" s="7" t="s">
        <v>1295</v>
      </c>
      <c r="B1317" s="7" t="s">
        <v>3875</v>
      </c>
      <c r="C1317" s="9">
        <v>36430.0</v>
      </c>
      <c r="D1317" s="9">
        <v>0.0</v>
      </c>
      <c r="E1317" s="9">
        <v>544.0</v>
      </c>
      <c r="F1317" s="7" t="s">
        <v>1296</v>
      </c>
      <c r="G1317" s="7" t="s">
        <v>364</v>
      </c>
      <c r="H1317" s="7" t="s">
        <v>365</v>
      </c>
      <c r="I1317" s="7" t="s">
        <v>355</v>
      </c>
      <c r="J1317" s="14"/>
      <c r="K1317" s="14"/>
      <c r="O1317" s="22"/>
      <c r="P1317" s="22"/>
      <c r="Q1317" s="23"/>
      <c r="R1317" s="23"/>
      <c r="S1317" s="14"/>
    </row>
    <row r="1318" ht="18.75" customHeight="1">
      <c r="A1318" s="7" t="s">
        <v>1293</v>
      </c>
      <c r="B1318" s="7" t="s">
        <v>3875</v>
      </c>
      <c r="C1318" s="9">
        <v>164710.0</v>
      </c>
      <c r="D1318" s="9">
        <v>0.0</v>
      </c>
      <c r="E1318" s="9">
        <v>180.0</v>
      </c>
      <c r="F1318" s="7" t="s">
        <v>1294</v>
      </c>
      <c r="G1318" s="7" t="s">
        <v>364</v>
      </c>
      <c r="H1318" s="7" t="s">
        <v>365</v>
      </c>
      <c r="I1318" s="7" t="s">
        <v>355</v>
      </c>
      <c r="J1318" s="14"/>
      <c r="K1318" s="14"/>
      <c r="O1318" s="22"/>
      <c r="P1318" s="22"/>
      <c r="Q1318" s="23"/>
      <c r="R1318" s="23"/>
      <c r="S1318" s="14"/>
    </row>
    <row r="1319" ht="18.75" customHeight="1">
      <c r="A1319" s="7" t="s">
        <v>1267</v>
      </c>
      <c r="B1319" s="7" t="s">
        <v>3875</v>
      </c>
      <c r="C1319" s="9">
        <v>20638.0</v>
      </c>
      <c r="D1319" s="9">
        <v>0.0</v>
      </c>
      <c r="E1319" s="9">
        <v>563.0</v>
      </c>
      <c r="F1319" s="7" t="s">
        <v>1268</v>
      </c>
      <c r="G1319" s="7" t="s">
        <v>416</v>
      </c>
      <c r="H1319" s="7" t="s">
        <v>417</v>
      </c>
      <c r="I1319" s="7" t="s">
        <v>355</v>
      </c>
      <c r="J1319" s="14"/>
      <c r="K1319" s="14"/>
      <c r="O1319" s="22"/>
      <c r="P1319" s="22"/>
      <c r="Q1319" s="23"/>
      <c r="R1319" s="23"/>
      <c r="S1319" s="14"/>
    </row>
    <row r="1320" ht="18.75" customHeight="1">
      <c r="A1320" s="7" t="s">
        <v>1299</v>
      </c>
      <c r="B1320" s="7" t="s">
        <v>3875</v>
      </c>
      <c r="C1320" s="9">
        <v>1022363.0</v>
      </c>
      <c r="D1320" s="9">
        <v>34755.0</v>
      </c>
      <c r="E1320" s="9">
        <v>881.0</v>
      </c>
      <c r="F1320" s="7" t="s">
        <v>1300</v>
      </c>
      <c r="G1320" s="7" t="s">
        <v>364</v>
      </c>
      <c r="H1320" s="7" t="s">
        <v>688</v>
      </c>
      <c r="I1320" s="7" t="s">
        <v>355</v>
      </c>
      <c r="J1320" s="14"/>
      <c r="K1320" s="14"/>
      <c r="O1320" s="22"/>
      <c r="P1320" s="22"/>
      <c r="Q1320" s="23"/>
      <c r="R1320" s="23"/>
      <c r="S1320" s="14"/>
    </row>
    <row r="1321" ht="18.75" customHeight="1">
      <c r="A1321" s="7" t="s">
        <v>1299</v>
      </c>
      <c r="B1321" s="7" t="s">
        <v>3875</v>
      </c>
      <c r="C1321" s="9">
        <v>702933.0</v>
      </c>
      <c r="D1321" s="9">
        <v>24048.0</v>
      </c>
      <c r="E1321" s="9">
        <v>680.0</v>
      </c>
      <c r="F1321" s="7" t="s">
        <v>1300</v>
      </c>
      <c r="G1321" s="7" t="s">
        <v>364</v>
      </c>
      <c r="H1321" s="7" t="s">
        <v>688</v>
      </c>
      <c r="I1321" s="7" t="s">
        <v>355</v>
      </c>
      <c r="J1321" s="14"/>
      <c r="K1321" s="14"/>
      <c r="O1321" s="22"/>
      <c r="P1321" s="22"/>
      <c r="Q1321" s="23"/>
      <c r="R1321" s="23"/>
      <c r="S1321" s="14"/>
    </row>
    <row r="1322" ht="18.75" customHeight="1">
      <c r="A1322" s="7" t="s">
        <v>1135</v>
      </c>
      <c r="B1322" s="7" t="s">
        <v>3875</v>
      </c>
      <c r="C1322" s="9">
        <v>887499.0</v>
      </c>
      <c r="D1322" s="9">
        <v>4493.0</v>
      </c>
      <c r="E1322" s="9">
        <v>1055.0</v>
      </c>
      <c r="F1322" s="7" t="s">
        <v>1136</v>
      </c>
      <c r="G1322" s="7" t="s">
        <v>404</v>
      </c>
      <c r="H1322" s="7" t="s">
        <v>667</v>
      </c>
      <c r="I1322" s="7" t="s">
        <v>355</v>
      </c>
      <c r="J1322" s="14"/>
      <c r="K1322" s="14"/>
      <c r="O1322" s="22"/>
      <c r="P1322" s="22"/>
      <c r="Q1322" s="23"/>
      <c r="R1322" s="23"/>
      <c r="S1322" s="14"/>
    </row>
    <row r="1323" ht="18.75" customHeight="1">
      <c r="A1323" s="7" t="s">
        <v>3754</v>
      </c>
      <c r="B1323" s="7" t="s">
        <v>3875</v>
      </c>
      <c r="C1323" s="9">
        <v>44427.0</v>
      </c>
      <c r="D1323" s="9">
        <v>20742.0</v>
      </c>
      <c r="E1323" s="9">
        <v>1951.0</v>
      </c>
      <c r="F1323" s="7" t="s">
        <v>3895</v>
      </c>
      <c r="G1323" s="7" t="s">
        <v>416</v>
      </c>
      <c r="H1323" s="7" t="s">
        <v>417</v>
      </c>
      <c r="I1323" s="7" t="s">
        <v>3886</v>
      </c>
      <c r="J1323" s="14"/>
      <c r="K1323" s="14"/>
      <c r="O1323" s="22"/>
      <c r="P1323" s="22"/>
      <c r="Q1323" s="23"/>
      <c r="R1323" s="23"/>
      <c r="S1323" s="14"/>
    </row>
    <row r="1324" ht="18.75" customHeight="1">
      <c r="A1324" s="7" t="s">
        <v>1135</v>
      </c>
      <c r="B1324" s="7" t="s">
        <v>3875</v>
      </c>
      <c r="C1324" s="9">
        <v>1187478.0</v>
      </c>
      <c r="D1324" s="9">
        <v>10191.0</v>
      </c>
      <c r="E1324" s="9">
        <v>1704.0</v>
      </c>
      <c r="F1324" s="7" t="s">
        <v>1136</v>
      </c>
      <c r="G1324" s="7" t="s">
        <v>404</v>
      </c>
      <c r="H1324" s="7" t="s">
        <v>667</v>
      </c>
      <c r="I1324" s="7" t="s">
        <v>355</v>
      </c>
      <c r="J1324" s="14"/>
      <c r="K1324" s="14"/>
      <c r="O1324" s="22"/>
      <c r="P1324" s="22"/>
      <c r="Q1324" s="23"/>
      <c r="R1324" s="23"/>
      <c r="S1324" s="14"/>
    </row>
    <row r="1325" ht="18.75" customHeight="1">
      <c r="A1325" s="7" t="s">
        <v>1261</v>
      </c>
      <c r="B1325" s="7" t="s">
        <v>3875</v>
      </c>
      <c r="C1325" s="9">
        <v>123217.0</v>
      </c>
      <c r="D1325" s="9">
        <v>0.0</v>
      </c>
      <c r="E1325" s="9">
        <v>477.0</v>
      </c>
      <c r="F1325" s="7" t="s">
        <v>1262</v>
      </c>
      <c r="G1325" s="7" t="s">
        <v>416</v>
      </c>
      <c r="H1325" s="7" t="s">
        <v>466</v>
      </c>
      <c r="I1325" s="7" t="s">
        <v>355</v>
      </c>
      <c r="J1325" s="14"/>
      <c r="K1325" s="14"/>
      <c r="O1325" s="22"/>
      <c r="P1325" s="22"/>
      <c r="Q1325" s="23"/>
      <c r="R1325" s="23"/>
      <c r="S1325" s="14"/>
    </row>
    <row r="1326" ht="18.75" customHeight="1">
      <c r="A1326" s="7" t="s">
        <v>1259</v>
      </c>
      <c r="B1326" s="7" t="s">
        <v>3875</v>
      </c>
      <c r="C1326" s="9">
        <v>106418.0</v>
      </c>
      <c r="D1326" s="9">
        <v>0.0</v>
      </c>
      <c r="E1326" s="9">
        <v>436.0</v>
      </c>
      <c r="F1326" s="7" t="s">
        <v>1260</v>
      </c>
      <c r="G1326" s="7" t="s">
        <v>416</v>
      </c>
      <c r="H1326" s="7" t="s">
        <v>466</v>
      </c>
      <c r="I1326" s="7" t="s">
        <v>355</v>
      </c>
      <c r="J1326" s="14"/>
      <c r="K1326" s="14"/>
      <c r="O1326" s="22"/>
      <c r="P1326" s="22"/>
      <c r="Q1326" s="23"/>
      <c r="R1326" s="23"/>
      <c r="S1326" s="14"/>
    </row>
    <row r="1327" ht="18.75" customHeight="1">
      <c r="A1327" s="7" t="s">
        <v>1257</v>
      </c>
      <c r="B1327" s="7" t="s">
        <v>3875</v>
      </c>
      <c r="C1327" s="9">
        <v>19358.0</v>
      </c>
      <c r="D1327" s="9">
        <v>0.0</v>
      </c>
      <c r="E1327" s="9">
        <v>49.0</v>
      </c>
      <c r="F1327" s="7" t="s">
        <v>1258</v>
      </c>
      <c r="G1327" s="7" t="s">
        <v>416</v>
      </c>
      <c r="H1327" s="7" t="s">
        <v>466</v>
      </c>
      <c r="I1327" s="7" t="s">
        <v>355</v>
      </c>
      <c r="J1327" s="14"/>
      <c r="K1327" s="14"/>
      <c r="O1327" s="22"/>
      <c r="P1327" s="22"/>
      <c r="Q1327" s="23"/>
      <c r="R1327" s="23"/>
      <c r="S1327" s="14"/>
    </row>
    <row r="1328" ht="18.75" customHeight="1">
      <c r="A1328" s="7" t="s">
        <v>1263</v>
      </c>
      <c r="B1328" s="7" t="s">
        <v>3875</v>
      </c>
      <c r="C1328" s="9">
        <v>134497.0</v>
      </c>
      <c r="D1328" s="9">
        <v>0.0</v>
      </c>
      <c r="E1328" s="9">
        <v>344.0</v>
      </c>
      <c r="F1328" s="7" t="s">
        <v>1264</v>
      </c>
      <c r="G1328" s="7" t="s">
        <v>416</v>
      </c>
      <c r="H1328" s="7" t="s">
        <v>466</v>
      </c>
      <c r="I1328" s="7" t="s">
        <v>355</v>
      </c>
      <c r="J1328" s="14"/>
      <c r="K1328" s="14"/>
      <c r="O1328" s="22"/>
      <c r="P1328" s="22"/>
      <c r="Q1328" s="23"/>
      <c r="R1328" s="23"/>
      <c r="S1328" s="14"/>
    </row>
    <row r="1329" ht="18.75" customHeight="1">
      <c r="A1329" s="7" t="s">
        <v>1129</v>
      </c>
      <c r="B1329" s="7" t="s">
        <v>3875</v>
      </c>
      <c r="C1329" s="9">
        <v>520707.0</v>
      </c>
      <c r="D1329" s="9">
        <v>0.0</v>
      </c>
      <c r="E1329" s="9">
        <v>907.0</v>
      </c>
      <c r="F1329" s="7" t="s">
        <v>1130</v>
      </c>
      <c r="G1329" s="7" t="s">
        <v>364</v>
      </c>
      <c r="H1329" s="7" t="s">
        <v>365</v>
      </c>
      <c r="I1329" s="7" t="s">
        <v>355</v>
      </c>
      <c r="J1329" s="14"/>
      <c r="K1329" s="14"/>
      <c r="O1329" s="22"/>
      <c r="P1329" s="22"/>
      <c r="Q1329" s="23"/>
      <c r="R1329" s="23"/>
      <c r="S1329" s="14"/>
    </row>
    <row r="1330" ht="18.75" customHeight="1">
      <c r="A1330" s="7" t="s">
        <v>1129</v>
      </c>
      <c r="B1330" s="7" t="s">
        <v>3875</v>
      </c>
      <c r="C1330" s="9">
        <v>541166.0</v>
      </c>
      <c r="D1330" s="9">
        <v>0.0</v>
      </c>
      <c r="E1330" s="9">
        <v>903.0</v>
      </c>
      <c r="F1330" s="7" t="s">
        <v>1130</v>
      </c>
      <c r="G1330" s="7" t="s">
        <v>364</v>
      </c>
      <c r="H1330" s="7" t="s">
        <v>365</v>
      </c>
      <c r="I1330" s="7" t="s">
        <v>355</v>
      </c>
      <c r="J1330" s="14"/>
      <c r="K1330" s="14"/>
      <c r="O1330" s="22"/>
      <c r="P1330" s="22"/>
      <c r="Q1330" s="23"/>
      <c r="R1330" s="23"/>
      <c r="S1330" s="14"/>
    </row>
    <row r="1331" ht="18.75" customHeight="1">
      <c r="A1331" s="7" t="s">
        <v>1129</v>
      </c>
      <c r="B1331" s="7" t="s">
        <v>3875</v>
      </c>
      <c r="C1331" s="9">
        <v>196281.0</v>
      </c>
      <c r="D1331" s="9">
        <v>0.0</v>
      </c>
      <c r="E1331" s="9">
        <v>641.0</v>
      </c>
      <c r="F1331" s="7" t="s">
        <v>1130</v>
      </c>
      <c r="G1331" s="7" t="s">
        <v>364</v>
      </c>
      <c r="H1331" s="7" t="s">
        <v>365</v>
      </c>
      <c r="I1331" s="7" t="s">
        <v>355</v>
      </c>
      <c r="J1331" s="14"/>
      <c r="K1331" s="14"/>
      <c r="O1331" s="22"/>
      <c r="P1331" s="22"/>
      <c r="Q1331" s="23"/>
      <c r="R1331" s="23"/>
      <c r="S1331" s="14"/>
    </row>
    <row r="1332" ht="18.75" customHeight="1">
      <c r="A1332" s="7" t="s">
        <v>408</v>
      </c>
      <c r="B1332" s="7" t="s">
        <v>3875</v>
      </c>
      <c r="C1332" s="9">
        <v>243835.0</v>
      </c>
      <c r="D1332" s="9">
        <v>67656.0</v>
      </c>
      <c r="E1332" s="9">
        <v>5400.0</v>
      </c>
      <c r="F1332" s="7" t="s">
        <v>409</v>
      </c>
      <c r="G1332" s="7" t="s">
        <v>353</v>
      </c>
      <c r="H1332" s="7" t="s">
        <v>354</v>
      </c>
      <c r="I1332" s="7" t="s">
        <v>410</v>
      </c>
      <c r="J1332" s="14"/>
      <c r="K1332" s="14"/>
      <c r="O1332" s="22"/>
      <c r="P1332" s="22"/>
      <c r="Q1332" s="23"/>
      <c r="R1332" s="23"/>
      <c r="S1332" s="14"/>
    </row>
    <row r="1333" ht="18.75" customHeight="1">
      <c r="A1333" s="7" t="s">
        <v>408</v>
      </c>
      <c r="B1333" s="7" t="s">
        <v>3875</v>
      </c>
      <c r="C1333" s="9">
        <v>130360.0</v>
      </c>
      <c r="D1333" s="9">
        <v>5193.0</v>
      </c>
      <c r="E1333" s="9">
        <v>3515.0</v>
      </c>
      <c r="F1333" s="7" t="s">
        <v>409</v>
      </c>
      <c r="G1333" s="7" t="s">
        <v>353</v>
      </c>
      <c r="H1333" s="7" t="s">
        <v>354</v>
      </c>
      <c r="I1333" s="7" t="s">
        <v>410</v>
      </c>
      <c r="J1333" s="14"/>
      <c r="K1333" s="14"/>
      <c r="O1333" s="22"/>
      <c r="P1333" s="22"/>
      <c r="Q1333" s="23"/>
      <c r="R1333" s="23"/>
      <c r="S1333" s="14"/>
    </row>
    <row r="1334" ht="18.75" customHeight="1">
      <c r="A1334" s="7" t="s">
        <v>351</v>
      </c>
      <c r="B1334" s="7" t="s">
        <v>3875</v>
      </c>
      <c r="C1334" s="9">
        <v>663102.0</v>
      </c>
      <c r="D1334" s="9">
        <v>35790.0</v>
      </c>
      <c r="E1334" s="9">
        <v>629.0</v>
      </c>
      <c r="F1334" s="7" t="s">
        <v>352</v>
      </c>
      <c r="G1334" s="7" t="s">
        <v>353</v>
      </c>
      <c r="H1334" s="7" t="s">
        <v>354</v>
      </c>
      <c r="I1334" s="7" t="s">
        <v>410</v>
      </c>
      <c r="J1334" s="14"/>
      <c r="K1334" s="14"/>
      <c r="O1334" s="22"/>
      <c r="P1334" s="22"/>
      <c r="Q1334" s="23"/>
      <c r="R1334" s="23"/>
      <c r="S1334" s="14"/>
    </row>
    <row r="1335" ht="18.75" customHeight="1">
      <c r="A1335" s="7" t="s">
        <v>351</v>
      </c>
      <c r="B1335" s="7" t="s">
        <v>3875</v>
      </c>
      <c r="C1335" s="9">
        <v>525097.0</v>
      </c>
      <c r="D1335" s="9">
        <v>3291.0</v>
      </c>
      <c r="E1335" s="9">
        <v>968.0</v>
      </c>
      <c r="F1335" s="7" t="s">
        <v>352</v>
      </c>
      <c r="G1335" s="7" t="s">
        <v>353</v>
      </c>
      <c r="H1335" s="7" t="s">
        <v>354</v>
      </c>
      <c r="I1335" s="7" t="s">
        <v>410</v>
      </c>
      <c r="J1335" s="14"/>
      <c r="K1335" s="14"/>
      <c r="O1335" s="22"/>
      <c r="P1335" s="22"/>
      <c r="Q1335" s="23"/>
      <c r="R1335" s="23"/>
      <c r="S1335" s="14"/>
    </row>
    <row r="1336" ht="18.75" customHeight="1">
      <c r="A1336" s="7" t="s">
        <v>351</v>
      </c>
      <c r="B1336" s="7" t="s">
        <v>3875</v>
      </c>
      <c r="C1336" s="9">
        <v>614253.0</v>
      </c>
      <c r="D1336" s="9">
        <v>9084.0</v>
      </c>
      <c r="E1336" s="9">
        <v>686.0</v>
      </c>
      <c r="F1336" s="7" t="s">
        <v>352</v>
      </c>
      <c r="G1336" s="7" t="s">
        <v>353</v>
      </c>
      <c r="H1336" s="7" t="s">
        <v>354</v>
      </c>
      <c r="I1336" s="7" t="s">
        <v>410</v>
      </c>
      <c r="J1336" s="14"/>
      <c r="K1336" s="14"/>
      <c r="O1336" s="22"/>
      <c r="P1336" s="22"/>
      <c r="Q1336" s="23"/>
      <c r="R1336" s="23"/>
      <c r="S1336" s="14"/>
    </row>
    <row r="1337" ht="18.75" customHeight="1">
      <c r="A1337" s="7" t="s">
        <v>351</v>
      </c>
      <c r="B1337" s="7" t="s">
        <v>3875</v>
      </c>
      <c r="C1337" s="9">
        <v>118714.0</v>
      </c>
      <c r="D1337" s="9">
        <v>30283.0</v>
      </c>
      <c r="E1337" s="9">
        <v>3576.0</v>
      </c>
      <c r="F1337" s="7" t="s">
        <v>352</v>
      </c>
      <c r="G1337" s="7" t="s">
        <v>353</v>
      </c>
      <c r="H1337" s="7" t="s">
        <v>354</v>
      </c>
      <c r="I1337" s="7" t="s">
        <v>410</v>
      </c>
      <c r="J1337" s="14"/>
      <c r="K1337" s="14"/>
      <c r="O1337" s="22"/>
      <c r="P1337" s="22"/>
      <c r="Q1337" s="23"/>
      <c r="R1337" s="23"/>
      <c r="S1337" s="14"/>
    </row>
    <row r="1338" ht="18.75" customHeight="1">
      <c r="A1338" s="7" t="s">
        <v>351</v>
      </c>
      <c r="B1338" s="7" t="s">
        <v>3875</v>
      </c>
      <c r="C1338" s="9">
        <v>37530.0</v>
      </c>
      <c r="D1338" s="9">
        <v>1540.0</v>
      </c>
      <c r="E1338" s="9">
        <v>286.0</v>
      </c>
      <c r="F1338" s="7" t="s">
        <v>352</v>
      </c>
      <c r="G1338" s="7" t="s">
        <v>353</v>
      </c>
      <c r="H1338" s="7" t="s">
        <v>354</v>
      </c>
      <c r="I1338" s="7" t="s">
        <v>410</v>
      </c>
      <c r="J1338" s="14"/>
      <c r="K1338" s="14"/>
      <c r="O1338" s="22"/>
      <c r="P1338" s="22"/>
      <c r="Q1338" s="23"/>
      <c r="R1338" s="23"/>
      <c r="S1338" s="14"/>
    </row>
    <row r="1339" ht="18.75" customHeight="1">
      <c r="A1339" s="7" t="s">
        <v>351</v>
      </c>
      <c r="B1339" s="7" t="s">
        <v>3875</v>
      </c>
      <c r="C1339" s="9">
        <v>132309.0</v>
      </c>
      <c r="D1339" s="9">
        <v>51664.0</v>
      </c>
      <c r="E1339" s="9">
        <v>3702.0</v>
      </c>
      <c r="F1339" s="7" t="s">
        <v>352</v>
      </c>
      <c r="G1339" s="7" t="s">
        <v>353</v>
      </c>
      <c r="H1339" s="7" t="s">
        <v>354</v>
      </c>
      <c r="I1339" s="7" t="s">
        <v>410</v>
      </c>
      <c r="J1339" s="14"/>
      <c r="K1339" s="14"/>
      <c r="O1339" s="22"/>
      <c r="P1339" s="22"/>
      <c r="Q1339" s="23"/>
      <c r="R1339" s="23"/>
      <c r="S1339" s="14"/>
    </row>
    <row r="1340" ht="18.75" customHeight="1">
      <c r="A1340" s="7" t="s">
        <v>1253</v>
      </c>
      <c r="B1340" s="7" t="s">
        <v>3875</v>
      </c>
      <c r="C1340" s="9">
        <v>96246.0</v>
      </c>
      <c r="D1340" s="9">
        <v>0.0</v>
      </c>
      <c r="E1340" s="9">
        <v>363.0</v>
      </c>
      <c r="F1340" s="7" t="s">
        <v>1254</v>
      </c>
      <c r="G1340" s="7" t="s">
        <v>416</v>
      </c>
      <c r="H1340" s="7" t="s">
        <v>594</v>
      </c>
      <c r="I1340" s="7" t="s">
        <v>355</v>
      </c>
      <c r="J1340" s="14"/>
      <c r="K1340" s="14"/>
      <c r="O1340" s="22"/>
      <c r="P1340" s="22"/>
      <c r="Q1340" s="23"/>
      <c r="R1340" s="23"/>
      <c r="S1340" s="14"/>
    </row>
    <row r="1341" ht="18.75" customHeight="1">
      <c r="A1341" s="7" t="s">
        <v>1201</v>
      </c>
      <c r="B1341" s="7" t="s">
        <v>3875</v>
      </c>
      <c r="C1341" s="9">
        <v>972847.0</v>
      </c>
      <c r="D1341" s="9">
        <v>0.0</v>
      </c>
      <c r="E1341" s="9">
        <v>3201.0</v>
      </c>
      <c r="F1341" s="7" t="s">
        <v>1202</v>
      </c>
      <c r="G1341" s="7" t="s">
        <v>364</v>
      </c>
      <c r="H1341" s="7" t="s">
        <v>365</v>
      </c>
      <c r="I1341" s="7" t="s">
        <v>355</v>
      </c>
      <c r="J1341" s="14"/>
      <c r="K1341" s="14"/>
      <c r="O1341" s="22"/>
      <c r="P1341" s="22"/>
      <c r="Q1341" s="23"/>
      <c r="R1341" s="23"/>
      <c r="S1341" s="14"/>
    </row>
    <row r="1342" ht="18.75" customHeight="1">
      <c r="A1342" s="7" t="s">
        <v>1201</v>
      </c>
      <c r="B1342" s="7" t="s">
        <v>3875</v>
      </c>
      <c r="C1342" s="9">
        <v>1502675.0</v>
      </c>
      <c r="D1342" s="9">
        <v>0.0</v>
      </c>
      <c r="E1342" s="9">
        <v>7215.0</v>
      </c>
      <c r="F1342" s="7" t="s">
        <v>1202</v>
      </c>
      <c r="G1342" s="7" t="s">
        <v>364</v>
      </c>
      <c r="H1342" s="7" t="s">
        <v>365</v>
      </c>
      <c r="I1342" s="7" t="s">
        <v>355</v>
      </c>
      <c r="J1342" s="14"/>
      <c r="K1342" s="14"/>
      <c r="O1342" s="22"/>
      <c r="P1342" s="22"/>
      <c r="Q1342" s="23"/>
      <c r="R1342" s="23"/>
      <c r="S1342" s="14"/>
    </row>
    <row r="1343" ht="18.75" customHeight="1">
      <c r="A1343" s="7" t="s">
        <v>1297</v>
      </c>
      <c r="B1343" s="7" t="s">
        <v>3875</v>
      </c>
      <c r="C1343" s="9">
        <v>383485.0</v>
      </c>
      <c r="D1343" s="9">
        <v>11451.0</v>
      </c>
      <c r="E1343" s="9">
        <v>642.0</v>
      </c>
      <c r="F1343" s="7" t="s">
        <v>1298</v>
      </c>
      <c r="G1343" s="7" t="s">
        <v>404</v>
      </c>
      <c r="H1343" s="7" t="s">
        <v>405</v>
      </c>
      <c r="I1343" s="7" t="s">
        <v>355</v>
      </c>
      <c r="J1343" s="14"/>
      <c r="K1343" s="14"/>
      <c r="O1343" s="22"/>
      <c r="P1343" s="22"/>
      <c r="Q1343" s="23"/>
      <c r="R1343" s="23"/>
      <c r="S1343" s="14"/>
    </row>
    <row r="1344" ht="18.75" customHeight="1">
      <c r="A1344" s="7" t="s">
        <v>1297</v>
      </c>
      <c r="B1344" s="7" t="s">
        <v>3875</v>
      </c>
      <c r="C1344" s="9">
        <v>228943.0</v>
      </c>
      <c r="D1344" s="9">
        <v>12042.0</v>
      </c>
      <c r="E1344" s="9">
        <v>387.0</v>
      </c>
      <c r="F1344" s="7" t="s">
        <v>1298</v>
      </c>
      <c r="G1344" s="7" t="s">
        <v>404</v>
      </c>
      <c r="H1344" s="7" t="s">
        <v>405</v>
      </c>
      <c r="I1344" s="7" t="s">
        <v>355</v>
      </c>
      <c r="J1344" s="14"/>
      <c r="K1344" s="14"/>
      <c r="O1344" s="22"/>
      <c r="P1344" s="22"/>
      <c r="Q1344" s="23"/>
      <c r="R1344" s="23"/>
      <c r="S1344" s="14"/>
    </row>
    <row r="1345" ht="18.75" customHeight="1">
      <c r="A1345" s="7" t="s">
        <v>1193</v>
      </c>
      <c r="B1345" s="7" t="s">
        <v>3875</v>
      </c>
      <c r="C1345" s="9">
        <v>365908.0</v>
      </c>
      <c r="D1345" s="9">
        <v>0.0</v>
      </c>
      <c r="E1345" s="9">
        <v>582.0</v>
      </c>
      <c r="F1345" s="7" t="s">
        <v>1194</v>
      </c>
      <c r="G1345" s="7" t="s">
        <v>353</v>
      </c>
      <c r="H1345" s="7" t="s">
        <v>378</v>
      </c>
      <c r="I1345" s="7" t="s">
        <v>355</v>
      </c>
      <c r="J1345" s="14"/>
      <c r="K1345" s="14"/>
      <c r="O1345" s="22"/>
      <c r="P1345" s="22"/>
      <c r="Q1345" s="23"/>
      <c r="R1345" s="23"/>
      <c r="S1345" s="14"/>
    </row>
    <row r="1346" ht="18.75" customHeight="1">
      <c r="A1346" s="7" t="s">
        <v>1193</v>
      </c>
      <c r="B1346" s="7" t="s">
        <v>3875</v>
      </c>
      <c r="C1346" s="9">
        <v>368354.0</v>
      </c>
      <c r="D1346" s="9">
        <v>0.0</v>
      </c>
      <c r="E1346" s="9">
        <v>481.0</v>
      </c>
      <c r="F1346" s="7" t="s">
        <v>1194</v>
      </c>
      <c r="G1346" s="7" t="s">
        <v>353</v>
      </c>
      <c r="H1346" s="7" t="s">
        <v>378</v>
      </c>
      <c r="I1346" s="7" t="s">
        <v>355</v>
      </c>
      <c r="J1346" s="14"/>
      <c r="K1346" s="14"/>
      <c r="O1346" s="22"/>
      <c r="P1346" s="22"/>
      <c r="Q1346" s="23"/>
      <c r="R1346" s="23"/>
      <c r="S1346" s="14"/>
    </row>
    <row r="1347" ht="18.75" customHeight="1">
      <c r="A1347" s="7" t="s">
        <v>1313</v>
      </c>
      <c r="B1347" s="7" t="s">
        <v>3875</v>
      </c>
      <c r="C1347" s="9">
        <v>808837.0</v>
      </c>
      <c r="D1347" s="9">
        <v>85904.0</v>
      </c>
      <c r="E1347" s="9">
        <v>3.0</v>
      </c>
      <c r="F1347" s="7" t="s">
        <v>1314</v>
      </c>
      <c r="G1347" s="7" t="s">
        <v>416</v>
      </c>
      <c r="H1347" s="7" t="s">
        <v>430</v>
      </c>
      <c r="I1347" s="7" t="s">
        <v>355</v>
      </c>
      <c r="J1347" s="14"/>
      <c r="K1347" s="14"/>
      <c r="O1347" s="22"/>
      <c r="P1347" s="22"/>
      <c r="Q1347" s="23"/>
      <c r="R1347" s="23"/>
      <c r="S1347" s="14"/>
    </row>
    <row r="1348" ht="18.75" customHeight="1">
      <c r="A1348" s="7" t="s">
        <v>1313</v>
      </c>
      <c r="B1348" s="7" t="s">
        <v>3875</v>
      </c>
      <c r="C1348" s="9">
        <v>1162262.0</v>
      </c>
      <c r="D1348" s="9">
        <v>35532.0</v>
      </c>
      <c r="E1348" s="9">
        <v>617.0</v>
      </c>
      <c r="F1348" s="7" t="s">
        <v>1314</v>
      </c>
      <c r="G1348" s="7" t="s">
        <v>416</v>
      </c>
      <c r="H1348" s="7" t="s">
        <v>430</v>
      </c>
      <c r="I1348" s="7" t="s">
        <v>355</v>
      </c>
      <c r="J1348" s="14"/>
      <c r="K1348" s="14"/>
      <c r="O1348" s="22"/>
      <c r="P1348" s="22"/>
      <c r="Q1348" s="23"/>
      <c r="R1348" s="23"/>
      <c r="S1348" s="14"/>
    </row>
    <row r="1349" ht="18.75" customHeight="1">
      <c r="A1349" s="7" t="s">
        <v>1195</v>
      </c>
      <c r="B1349" s="7" t="s">
        <v>3875</v>
      </c>
      <c r="C1349" s="9">
        <v>99676.0</v>
      </c>
      <c r="D1349" s="9">
        <v>0.0</v>
      </c>
      <c r="E1349" s="9">
        <v>726.0</v>
      </c>
      <c r="F1349" s="7" t="s">
        <v>1196</v>
      </c>
      <c r="G1349" s="7" t="s">
        <v>364</v>
      </c>
      <c r="H1349" s="7" t="s">
        <v>365</v>
      </c>
      <c r="I1349" s="7" t="s">
        <v>355</v>
      </c>
      <c r="J1349" s="14"/>
      <c r="K1349" s="14"/>
      <c r="O1349" s="22"/>
      <c r="P1349" s="22"/>
      <c r="Q1349" s="23"/>
      <c r="R1349" s="23"/>
      <c r="S1349" s="14"/>
    </row>
    <row r="1350" ht="18.75" customHeight="1">
      <c r="A1350" s="7" t="s">
        <v>1315</v>
      </c>
      <c r="B1350" s="7" t="s">
        <v>3875</v>
      </c>
      <c r="C1350" s="9">
        <v>539252.0</v>
      </c>
      <c r="D1350" s="9">
        <v>0.0</v>
      </c>
      <c r="E1350" s="9">
        <v>579.0</v>
      </c>
      <c r="F1350" s="7" t="s">
        <v>1316</v>
      </c>
      <c r="G1350" s="7" t="s">
        <v>416</v>
      </c>
      <c r="H1350" s="7" t="s">
        <v>725</v>
      </c>
      <c r="I1350" s="7" t="s">
        <v>355</v>
      </c>
      <c r="J1350" s="14"/>
      <c r="K1350" s="14"/>
      <c r="O1350" s="22"/>
      <c r="P1350" s="22"/>
      <c r="Q1350" s="23"/>
      <c r="R1350" s="23"/>
      <c r="S1350" s="14"/>
    </row>
    <row r="1351" ht="18.75" customHeight="1">
      <c r="A1351" s="7" t="s">
        <v>1315</v>
      </c>
      <c r="B1351" s="7" t="s">
        <v>3875</v>
      </c>
      <c r="C1351" s="9">
        <v>593712.0</v>
      </c>
      <c r="D1351" s="9">
        <v>0.0</v>
      </c>
      <c r="E1351" s="9">
        <v>1280.0</v>
      </c>
      <c r="F1351" s="7" t="s">
        <v>1316</v>
      </c>
      <c r="G1351" s="7" t="s">
        <v>416</v>
      </c>
      <c r="H1351" s="7" t="s">
        <v>725</v>
      </c>
      <c r="I1351" s="7" t="s">
        <v>355</v>
      </c>
      <c r="J1351" s="14"/>
      <c r="K1351" s="14"/>
      <c r="O1351" s="22"/>
      <c r="P1351" s="22"/>
      <c r="Q1351" s="23"/>
      <c r="R1351" s="23"/>
      <c r="S1351" s="14"/>
    </row>
    <row r="1352" ht="18.75" customHeight="1">
      <c r="A1352" s="7" t="s">
        <v>1185</v>
      </c>
      <c r="B1352" s="7" t="s">
        <v>3875</v>
      </c>
      <c r="C1352" s="9">
        <v>137541.0</v>
      </c>
      <c r="D1352" s="9">
        <v>18455.0</v>
      </c>
      <c r="E1352" s="9">
        <v>117.0</v>
      </c>
      <c r="F1352" s="7" t="s">
        <v>1186</v>
      </c>
      <c r="G1352" s="7" t="s">
        <v>416</v>
      </c>
      <c r="H1352" s="7" t="s">
        <v>417</v>
      </c>
      <c r="I1352" s="7" t="s">
        <v>355</v>
      </c>
      <c r="J1352" s="14"/>
      <c r="K1352" s="14"/>
      <c r="O1352" s="22"/>
      <c r="P1352" s="22"/>
      <c r="Q1352" s="23"/>
      <c r="R1352" s="23"/>
      <c r="S1352" s="14"/>
    </row>
    <row r="1353" ht="18.75" customHeight="1">
      <c r="A1353" s="7" t="s">
        <v>1131</v>
      </c>
      <c r="B1353" s="7" t="s">
        <v>3875</v>
      </c>
      <c r="C1353" s="9">
        <v>3427283.0</v>
      </c>
      <c r="D1353" s="9">
        <v>199775.0</v>
      </c>
      <c r="E1353" s="9">
        <v>7392.0</v>
      </c>
      <c r="F1353" s="7" t="s">
        <v>1132</v>
      </c>
      <c r="G1353" s="7" t="s">
        <v>404</v>
      </c>
      <c r="H1353" s="7" t="s">
        <v>760</v>
      </c>
      <c r="I1353" s="7" t="s">
        <v>355</v>
      </c>
      <c r="J1353" s="14"/>
      <c r="K1353" s="14"/>
      <c r="O1353" s="22"/>
      <c r="P1353" s="22"/>
      <c r="Q1353" s="23"/>
      <c r="R1353" s="23"/>
      <c r="S1353" s="14"/>
    </row>
    <row r="1354" ht="18.75" customHeight="1">
      <c r="A1354" s="7" t="s">
        <v>1185</v>
      </c>
      <c r="B1354" s="7" t="s">
        <v>3875</v>
      </c>
      <c r="C1354" s="9">
        <v>235337.0</v>
      </c>
      <c r="D1354" s="9">
        <v>6892.0</v>
      </c>
      <c r="E1354" s="9">
        <v>263.0</v>
      </c>
      <c r="F1354" s="7" t="s">
        <v>1186</v>
      </c>
      <c r="G1354" s="7" t="s">
        <v>416</v>
      </c>
      <c r="H1354" s="7" t="s">
        <v>417</v>
      </c>
      <c r="I1354" s="7" t="s">
        <v>355</v>
      </c>
      <c r="J1354" s="14"/>
      <c r="K1354" s="14"/>
      <c r="O1354" s="22"/>
      <c r="P1354" s="22"/>
      <c r="Q1354" s="23"/>
      <c r="R1354" s="23"/>
      <c r="S1354" s="14"/>
    </row>
    <row r="1355" ht="18.75" customHeight="1">
      <c r="A1355" s="7" t="s">
        <v>1223</v>
      </c>
      <c r="B1355" s="7" t="s">
        <v>3875</v>
      </c>
      <c r="C1355" s="9">
        <v>474162.0</v>
      </c>
      <c r="D1355" s="9">
        <v>0.0</v>
      </c>
      <c r="E1355" s="9">
        <v>658.0</v>
      </c>
      <c r="F1355" s="7" t="s">
        <v>1224</v>
      </c>
      <c r="G1355" s="7" t="s">
        <v>353</v>
      </c>
      <c r="H1355" s="7" t="s">
        <v>378</v>
      </c>
      <c r="I1355" s="7" t="s">
        <v>355</v>
      </c>
      <c r="J1355" s="14"/>
      <c r="K1355" s="14"/>
      <c r="O1355" s="22"/>
      <c r="P1355" s="22"/>
      <c r="Q1355" s="23"/>
      <c r="R1355" s="23"/>
      <c r="S1355" s="14"/>
    </row>
    <row r="1356" ht="18.75" customHeight="1">
      <c r="A1356" s="7" t="s">
        <v>1223</v>
      </c>
      <c r="B1356" s="7" t="s">
        <v>3875</v>
      </c>
      <c r="C1356" s="9">
        <v>359413.0</v>
      </c>
      <c r="D1356" s="9">
        <v>0.0</v>
      </c>
      <c r="E1356" s="9">
        <v>476.0</v>
      </c>
      <c r="F1356" s="7" t="s">
        <v>1224</v>
      </c>
      <c r="G1356" s="7" t="s">
        <v>353</v>
      </c>
      <c r="H1356" s="7" t="s">
        <v>378</v>
      </c>
      <c r="I1356" s="7" t="s">
        <v>355</v>
      </c>
      <c r="J1356" s="14"/>
      <c r="K1356" s="14"/>
      <c r="O1356" s="22"/>
      <c r="P1356" s="22"/>
      <c r="Q1356" s="23"/>
      <c r="R1356" s="23"/>
      <c r="S1356" s="14"/>
    </row>
    <row r="1357" ht="18.75" customHeight="1">
      <c r="A1357" s="14"/>
      <c r="B1357" s="7" t="s">
        <v>3875</v>
      </c>
      <c r="C1357" s="9">
        <v>0.0</v>
      </c>
      <c r="D1357" s="9">
        <v>0.0</v>
      </c>
      <c r="E1357" s="9">
        <v>0.0</v>
      </c>
      <c r="F1357" s="14"/>
      <c r="G1357" s="14"/>
      <c r="H1357" s="14"/>
      <c r="I1357" s="14"/>
      <c r="J1357" s="14"/>
      <c r="K1357" s="14"/>
      <c r="O1357" s="22"/>
      <c r="P1357" s="22"/>
      <c r="Q1357" s="23"/>
      <c r="R1357" s="23"/>
      <c r="S1357" s="14"/>
    </row>
    <row r="1358" ht="18.75" customHeight="1">
      <c r="A1358" s="7" t="s">
        <v>1233</v>
      </c>
      <c r="B1358" s="7" t="s">
        <v>3875</v>
      </c>
      <c r="C1358" s="9">
        <v>68741.0</v>
      </c>
      <c r="D1358" s="9">
        <v>2834.0</v>
      </c>
      <c r="E1358" s="9">
        <v>239.0</v>
      </c>
      <c r="F1358" s="7" t="s">
        <v>1234</v>
      </c>
      <c r="G1358" s="7" t="s">
        <v>404</v>
      </c>
      <c r="H1358" s="7" t="s">
        <v>405</v>
      </c>
      <c r="I1358" s="7" t="s">
        <v>355</v>
      </c>
      <c r="J1358" s="14"/>
      <c r="K1358" s="14"/>
      <c r="O1358" s="22"/>
      <c r="P1358" s="22"/>
      <c r="Q1358" s="23"/>
      <c r="R1358" s="23"/>
      <c r="S1358" s="14"/>
    </row>
    <row r="1359" ht="18.75" customHeight="1">
      <c r="A1359" s="7" t="s">
        <v>1233</v>
      </c>
      <c r="B1359" s="7" t="s">
        <v>3875</v>
      </c>
      <c r="C1359" s="9">
        <v>493389.0</v>
      </c>
      <c r="D1359" s="9">
        <v>6979.0</v>
      </c>
      <c r="E1359" s="9">
        <v>647.0</v>
      </c>
      <c r="F1359" s="7" t="s">
        <v>1234</v>
      </c>
      <c r="G1359" s="7" t="s">
        <v>404</v>
      </c>
      <c r="H1359" s="7" t="s">
        <v>405</v>
      </c>
      <c r="I1359" s="7" t="s">
        <v>355</v>
      </c>
      <c r="J1359" s="14"/>
      <c r="K1359" s="14"/>
      <c r="O1359" s="22"/>
      <c r="P1359" s="22"/>
      <c r="Q1359" s="23"/>
      <c r="R1359" s="23"/>
      <c r="S1359" s="14"/>
    </row>
    <row r="1360" ht="18.75" customHeight="1">
      <c r="A1360" s="7" t="s">
        <v>1265</v>
      </c>
      <c r="B1360" s="7" t="s">
        <v>3875</v>
      </c>
      <c r="C1360" s="9">
        <v>237181.0</v>
      </c>
      <c r="D1360" s="9">
        <v>973.0</v>
      </c>
      <c r="E1360" s="9">
        <v>445.0</v>
      </c>
      <c r="F1360" s="7" t="s">
        <v>1266</v>
      </c>
      <c r="G1360" s="7" t="s">
        <v>404</v>
      </c>
      <c r="H1360" s="7" t="s">
        <v>783</v>
      </c>
      <c r="I1360" s="7" t="s">
        <v>355</v>
      </c>
      <c r="J1360" s="14"/>
      <c r="K1360" s="14"/>
      <c r="O1360" s="22"/>
      <c r="P1360" s="22"/>
      <c r="Q1360" s="23"/>
      <c r="R1360" s="23"/>
      <c r="S1360" s="14"/>
    </row>
    <row r="1361" ht="18.75" customHeight="1">
      <c r="A1361" s="7" t="s">
        <v>529</v>
      </c>
      <c r="B1361" s="7" t="s">
        <v>3875</v>
      </c>
      <c r="C1361" s="9">
        <v>76991.0</v>
      </c>
      <c r="D1361" s="9">
        <v>0.0</v>
      </c>
      <c r="E1361" s="9">
        <v>393.0</v>
      </c>
      <c r="F1361" s="7" t="s">
        <v>530</v>
      </c>
      <c r="G1361" s="7" t="s">
        <v>358</v>
      </c>
      <c r="H1361" s="7" t="s">
        <v>387</v>
      </c>
      <c r="I1361" s="7" t="s">
        <v>355</v>
      </c>
      <c r="J1361" s="14"/>
      <c r="K1361" s="14"/>
      <c r="O1361" s="22"/>
      <c r="P1361" s="22"/>
      <c r="Q1361" s="23"/>
      <c r="R1361" s="23"/>
      <c r="S1361" s="14"/>
    </row>
    <row r="1362" ht="18.75" customHeight="1">
      <c r="A1362" s="7" t="s">
        <v>529</v>
      </c>
      <c r="B1362" s="7" t="s">
        <v>3875</v>
      </c>
      <c r="C1362" s="9">
        <v>42831.0</v>
      </c>
      <c r="D1362" s="9">
        <v>0.0</v>
      </c>
      <c r="E1362" s="9">
        <v>233.0</v>
      </c>
      <c r="F1362" s="7" t="s">
        <v>530</v>
      </c>
      <c r="G1362" s="7" t="s">
        <v>358</v>
      </c>
      <c r="H1362" s="7" t="s">
        <v>387</v>
      </c>
      <c r="I1362" s="7" t="s">
        <v>355</v>
      </c>
      <c r="J1362" s="14"/>
      <c r="K1362" s="14"/>
      <c r="O1362" s="22"/>
      <c r="P1362" s="22"/>
      <c r="Q1362" s="23"/>
      <c r="R1362" s="23"/>
      <c r="S1362" s="14"/>
    </row>
    <row r="1363" ht="18.75" customHeight="1">
      <c r="A1363" s="7" t="s">
        <v>529</v>
      </c>
      <c r="B1363" s="7" t="s">
        <v>3875</v>
      </c>
      <c r="C1363" s="9">
        <v>90091.0</v>
      </c>
      <c r="D1363" s="9">
        <v>0.0</v>
      </c>
      <c r="E1363" s="9">
        <v>319.0</v>
      </c>
      <c r="F1363" s="7" t="s">
        <v>530</v>
      </c>
      <c r="G1363" s="7" t="s">
        <v>358</v>
      </c>
      <c r="H1363" s="7" t="s">
        <v>387</v>
      </c>
      <c r="I1363" s="7" t="s">
        <v>355</v>
      </c>
      <c r="J1363" s="14"/>
      <c r="K1363" s="14"/>
      <c r="O1363" s="22"/>
      <c r="P1363" s="22"/>
      <c r="Q1363" s="23"/>
      <c r="R1363" s="23"/>
      <c r="S1363" s="14"/>
    </row>
    <row r="1364" ht="18.75" customHeight="1">
      <c r="A1364" s="7" t="s">
        <v>529</v>
      </c>
      <c r="B1364" s="7" t="s">
        <v>3875</v>
      </c>
      <c r="C1364" s="9">
        <v>40015.0</v>
      </c>
      <c r="D1364" s="9">
        <v>0.0</v>
      </c>
      <c r="E1364" s="9">
        <v>210.0</v>
      </c>
      <c r="F1364" s="7" t="s">
        <v>530</v>
      </c>
      <c r="G1364" s="7" t="s">
        <v>358</v>
      </c>
      <c r="H1364" s="7" t="s">
        <v>387</v>
      </c>
      <c r="I1364" s="7" t="s">
        <v>355</v>
      </c>
      <c r="J1364" s="14"/>
      <c r="K1364" s="14"/>
      <c r="O1364" s="22"/>
      <c r="P1364" s="22"/>
      <c r="Q1364" s="23"/>
      <c r="R1364" s="23"/>
      <c r="S1364" s="14"/>
    </row>
    <row r="1365" ht="18.75" customHeight="1">
      <c r="A1365" s="7" t="s">
        <v>1307</v>
      </c>
      <c r="B1365" s="7" t="s">
        <v>3875</v>
      </c>
      <c r="C1365" s="9">
        <v>217532.0</v>
      </c>
      <c r="D1365" s="9">
        <v>0.0</v>
      </c>
      <c r="E1365" s="9">
        <v>292.0</v>
      </c>
      <c r="F1365" s="7" t="s">
        <v>1308</v>
      </c>
      <c r="G1365" s="7" t="s">
        <v>416</v>
      </c>
      <c r="H1365" s="7" t="s">
        <v>417</v>
      </c>
      <c r="I1365" s="7" t="s">
        <v>355</v>
      </c>
      <c r="J1365" s="14"/>
      <c r="K1365" s="14"/>
      <c r="O1365" s="22"/>
      <c r="P1365" s="22"/>
      <c r="Q1365" s="23"/>
      <c r="R1365" s="23"/>
      <c r="S1365" s="14"/>
    </row>
    <row r="1366" ht="18.75" customHeight="1">
      <c r="A1366" s="7" t="s">
        <v>1307</v>
      </c>
      <c r="B1366" s="7" t="s">
        <v>3875</v>
      </c>
      <c r="C1366" s="9">
        <v>217431.0</v>
      </c>
      <c r="D1366" s="9">
        <v>0.0</v>
      </c>
      <c r="E1366" s="9">
        <v>329.0</v>
      </c>
      <c r="F1366" s="7" t="s">
        <v>1308</v>
      </c>
      <c r="G1366" s="7" t="s">
        <v>416</v>
      </c>
      <c r="H1366" s="7" t="s">
        <v>417</v>
      </c>
      <c r="I1366" s="7" t="s">
        <v>355</v>
      </c>
      <c r="J1366" s="14"/>
      <c r="K1366" s="14"/>
      <c r="O1366" s="22"/>
      <c r="P1366" s="22"/>
      <c r="Q1366" s="23"/>
      <c r="R1366" s="23"/>
      <c r="S1366" s="14"/>
    </row>
    <row r="1367" ht="18.75" customHeight="1">
      <c r="A1367" s="7" t="s">
        <v>1307</v>
      </c>
      <c r="B1367" s="7" t="s">
        <v>3875</v>
      </c>
      <c r="C1367" s="9">
        <v>45694.0</v>
      </c>
      <c r="D1367" s="9">
        <v>0.0</v>
      </c>
      <c r="E1367" s="9">
        <v>2547.0</v>
      </c>
      <c r="F1367" s="7" t="s">
        <v>1308</v>
      </c>
      <c r="G1367" s="7" t="s">
        <v>416</v>
      </c>
      <c r="H1367" s="7" t="s">
        <v>417</v>
      </c>
      <c r="I1367" s="7" t="s">
        <v>355</v>
      </c>
      <c r="J1367" s="14"/>
      <c r="K1367" s="14"/>
      <c r="O1367" s="22"/>
      <c r="P1367" s="22"/>
      <c r="Q1367" s="23"/>
      <c r="R1367" s="23"/>
      <c r="S1367" s="14"/>
    </row>
    <row r="1368" ht="18.75" customHeight="1">
      <c r="A1368" s="7" t="s">
        <v>1307</v>
      </c>
      <c r="B1368" s="7" t="s">
        <v>3875</v>
      </c>
      <c r="C1368" s="9">
        <v>39449.0</v>
      </c>
      <c r="D1368" s="9">
        <v>0.0</v>
      </c>
      <c r="E1368" s="9">
        <v>2616.0</v>
      </c>
      <c r="F1368" s="7" t="s">
        <v>1308</v>
      </c>
      <c r="G1368" s="7" t="s">
        <v>416</v>
      </c>
      <c r="H1368" s="7" t="s">
        <v>417</v>
      </c>
      <c r="I1368" s="7" t="s">
        <v>355</v>
      </c>
      <c r="J1368" s="14"/>
      <c r="K1368" s="14"/>
      <c r="O1368" s="22"/>
      <c r="P1368" s="22"/>
      <c r="Q1368" s="23"/>
      <c r="R1368" s="23"/>
      <c r="S1368" s="14"/>
    </row>
    <row r="1369" ht="18.75" customHeight="1">
      <c r="A1369" s="7" t="s">
        <v>1077</v>
      </c>
      <c r="B1369" s="7" t="s">
        <v>3875</v>
      </c>
      <c r="C1369" s="9">
        <v>480524.0</v>
      </c>
      <c r="D1369" s="9">
        <v>5154.0</v>
      </c>
      <c r="E1369" s="9">
        <v>680.0</v>
      </c>
      <c r="F1369" s="7" t="s">
        <v>1078</v>
      </c>
      <c r="G1369" s="7" t="s">
        <v>353</v>
      </c>
      <c r="H1369" s="7" t="s">
        <v>378</v>
      </c>
      <c r="I1369" s="7" t="s">
        <v>355</v>
      </c>
      <c r="J1369" s="14"/>
      <c r="K1369" s="14"/>
      <c r="O1369" s="22"/>
      <c r="P1369" s="22"/>
      <c r="Q1369" s="23"/>
      <c r="R1369" s="23"/>
      <c r="S1369" s="14"/>
    </row>
    <row r="1370" ht="18.75" customHeight="1">
      <c r="A1370" s="7" t="s">
        <v>1077</v>
      </c>
      <c r="B1370" s="7" t="s">
        <v>3875</v>
      </c>
      <c r="C1370" s="9">
        <v>242303.0</v>
      </c>
      <c r="D1370" s="9">
        <v>2236.0</v>
      </c>
      <c r="E1370" s="9">
        <v>352.0</v>
      </c>
      <c r="F1370" s="7" t="s">
        <v>1078</v>
      </c>
      <c r="G1370" s="7" t="s">
        <v>353</v>
      </c>
      <c r="H1370" s="7" t="s">
        <v>378</v>
      </c>
      <c r="I1370" s="7" t="s">
        <v>355</v>
      </c>
      <c r="J1370" s="14"/>
      <c r="K1370" s="14"/>
      <c r="O1370" s="22"/>
      <c r="P1370" s="22"/>
      <c r="Q1370" s="23"/>
      <c r="R1370" s="23"/>
      <c r="S1370" s="14"/>
    </row>
    <row r="1371" ht="18.75" customHeight="1">
      <c r="A1371" s="7" t="s">
        <v>1187</v>
      </c>
      <c r="B1371" s="7" t="s">
        <v>3875</v>
      </c>
      <c r="C1371" s="9">
        <v>292651.0</v>
      </c>
      <c r="D1371" s="9">
        <v>25078.0</v>
      </c>
      <c r="E1371" s="9">
        <v>266.0</v>
      </c>
      <c r="F1371" s="7" t="s">
        <v>1188</v>
      </c>
      <c r="G1371" s="7" t="s">
        <v>416</v>
      </c>
      <c r="H1371" s="7" t="s">
        <v>417</v>
      </c>
      <c r="I1371" s="7" t="s">
        <v>355</v>
      </c>
      <c r="J1371" s="14"/>
      <c r="K1371" s="14"/>
      <c r="O1371" s="22"/>
      <c r="P1371" s="22"/>
      <c r="Q1371" s="23"/>
      <c r="R1371" s="23"/>
      <c r="S1371" s="14"/>
    </row>
    <row r="1372" ht="18.75" customHeight="1">
      <c r="A1372" s="7" t="s">
        <v>1333</v>
      </c>
      <c r="B1372" s="7" t="s">
        <v>3875</v>
      </c>
      <c r="C1372" s="9">
        <v>98318.0</v>
      </c>
      <c r="D1372" s="9">
        <v>0.0</v>
      </c>
      <c r="E1372" s="9">
        <v>495.0</v>
      </c>
      <c r="F1372" s="7" t="s">
        <v>1334</v>
      </c>
      <c r="G1372" s="7" t="s">
        <v>416</v>
      </c>
      <c r="H1372" s="7" t="s">
        <v>594</v>
      </c>
      <c r="I1372" s="7" t="s">
        <v>355</v>
      </c>
      <c r="J1372" s="14"/>
      <c r="K1372" s="14"/>
      <c r="O1372" s="22"/>
      <c r="P1372" s="22"/>
      <c r="Q1372" s="23"/>
      <c r="R1372" s="23"/>
      <c r="S1372" s="14"/>
    </row>
    <row r="1373" ht="18.75" customHeight="1">
      <c r="A1373" s="7" t="s">
        <v>1335</v>
      </c>
      <c r="B1373" s="7" t="s">
        <v>3875</v>
      </c>
      <c r="C1373" s="9">
        <v>43755.0</v>
      </c>
      <c r="D1373" s="9">
        <v>0.0</v>
      </c>
      <c r="E1373" s="9">
        <v>219.0</v>
      </c>
      <c r="F1373" s="7" t="s">
        <v>1336</v>
      </c>
      <c r="G1373" s="7" t="s">
        <v>416</v>
      </c>
      <c r="H1373" s="7" t="s">
        <v>594</v>
      </c>
      <c r="I1373" s="7" t="s">
        <v>355</v>
      </c>
      <c r="J1373" s="14"/>
      <c r="K1373" s="14"/>
      <c r="O1373" s="22"/>
      <c r="P1373" s="22"/>
      <c r="Q1373" s="23"/>
      <c r="R1373" s="23"/>
      <c r="S1373" s="14"/>
    </row>
    <row r="1374" ht="18.75" customHeight="1">
      <c r="A1374" s="7" t="s">
        <v>1337</v>
      </c>
      <c r="B1374" s="7" t="s">
        <v>3875</v>
      </c>
      <c r="C1374" s="9">
        <v>140394.0</v>
      </c>
      <c r="D1374" s="9">
        <v>0.0</v>
      </c>
      <c r="E1374" s="9">
        <v>582.0</v>
      </c>
      <c r="F1374" s="7" t="s">
        <v>1338</v>
      </c>
      <c r="G1374" s="7" t="s">
        <v>353</v>
      </c>
      <c r="H1374" s="7" t="s">
        <v>378</v>
      </c>
      <c r="I1374" s="7" t="s">
        <v>355</v>
      </c>
      <c r="J1374" s="14"/>
      <c r="K1374" s="14"/>
      <c r="O1374" s="22"/>
      <c r="P1374" s="22"/>
      <c r="Q1374" s="23"/>
      <c r="R1374" s="23"/>
      <c r="S1374" s="14"/>
    </row>
    <row r="1375" ht="18.75" customHeight="1">
      <c r="A1375" s="7" t="s">
        <v>1311</v>
      </c>
      <c r="B1375" s="7" t="s">
        <v>3875</v>
      </c>
      <c r="C1375" s="9">
        <v>18221.0</v>
      </c>
      <c r="D1375" s="9">
        <v>0.0</v>
      </c>
      <c r="E1375" s="9">
        <v>261.0</v>
      </c>
      <c r="F1375" s="7" t="s">
        <v>1312</v>
      </c>
      <c r="G1375" s="7" t="s">
        <v>364</v>
      </c>
      <c r="H1375" s="7" t="s">
        <v>365</v>
      </c>
      <c r="I1375" s="7" t="s">
        <v>355</v>
      </c>
      <c r="J1375" s="14"/>
      <c r="K1375" s="14"/>
      <c r="O1375" s="22"/>
      <c r="P1375" s="22"/>
      <c r="Q1375" s="23"/>
      <c r="R1375" s="23"/>
      <c r="S1375" s="14"/>
    </row>
    <row r="1376" ht="18.75" customHeight="1">
      <c r="A1376" s="7" t="s">
        <v>1339</v>
      </c>
      <c r="B1376" s="7" t="s">
        <v>3875</v>
      </c>
      <c r="C1376" s="9">
        <v>142535.0</v>
      </c>
      <c r="D1376" s="9">
        <v>0.0</v>
      </c>
      <c r="E1376" s="9">
        <v>426.0</v>
      </c>
      <c r="F1376" s="7" t="s">
        <v>1340</v>
      </c>
      <c r="G1376" s="7" t="s">
        <v>416</v>
      </c>
      <c r="H1376" s="7" t="s">
        <v>354</v>
      </c>
      <c r="I1376" s="7" t="s">
        <v>355</v>
      </c>
      <c r="J1376" s="14"/>
      <c r="K1376" s="14"/>
      <c r="O1376" s="22"/>
      <c r="P1376" s="22"/>
      <c r="Q1376" s="23"/>
      <c r="R1376" s="23"/>
      <c r="S1376" s="14"/>
    </row>
    <row r="1377" ht="18.75" customHeight="1">
      <c r="A1377" s="7" t="s">
        <v>1331</v>
      </c>
      <c r="B1377" s="7" t="s">
        <v>3875</v>
      </c>
      <c r="C1377" s="9">
        <v>126204.0</v>
      </c>
      <c r="D1377" s="9">
        <v>0.0</v>
      </c>
      <c r="E1377" s="9">
        <v>459.0</v>
      </c>
      <c r="F1377" s="7" t="s">
        <v>1332</v>
      </c>
      <c r="G1377" s="7" t="s">
        <v>416</v>
      </c>
      <c r="H1377" s="7" t="s">
        <v>359</v>
      </c>
      <c r="I1377" s="7" t="s">
        <v>355</v>
      </c>
      <c r="J1377" s="14"/>
      <c r="K1377" s="14"/>
      <c r="O1377" s="22"/>
      <c r="P1377" s="22"/>
      <c r="Q1377" s="23"/>
      <c r="R1377" s="23"/>
      <c r="S1377" s="14"/>
    </row>
    <row r="1378" ht="18.75" customHeight="1">
      <c r="A1378" s="7" t="s">
        <v>1345</v>
      </c>
      <c r="B1378" s="7" t="s">
        <v>3875</v>
      </c>
      <c r="C1378" s="9">
        <v>12133.0</v>
      </c>
      <c r="D1378" s="9">
        <v>0.0</v>
      </c>
      <c r="E1378" s="9">
        <v>642.0</v>
      </c>
      <c r="F1378" s="7" t="s">
        <v>1346</v>
      </c>
      <c r="G1378" s="7" t="s">
        <v>416</v>
      </c>
      <c r="H1378" s="7" t="s">
        <v>417</v>
      </c>
      <c r="I1378" s="7" t="s">
        <v>355</v>
      </c>
      <c r="J1378" s="14"/>
      <c r="K1378" s="14"/>
      <c r="O1378" s="22"/>
      <c r="P1378" s="22"/>
      <c r="Q1378" s="23"/>
      <c r="R1378" s="23"/>
      <c r="S1378" s="14"/>
    </row>
    <row r="1379" ht="18.75" customHeight="1">
      <c r="A1379" s="7" t="s">
        <v>1305</v>
      </c>
      <c r="B1379" s="7" t="s">
        <v>3875</v>
      </c>
      <c r="C1379" s="9">
        <v>372141.0</v>
      </c>
      <c r="D1379" s="9">
        <v>75.0</v>
      </c>
      <c r="E1379" s="9">
        <v>452.0</v>
      </c>
      <c r="F1379" s="7" t="s">
        <v>1306</v>
      </c>
      <c r="G1379" s="7" t="s">
        <v>353</v>
      </c>
      <c r="H1379" s="7" t="s">
        <v>378</v>
      </c>
      <c r="I1379" s="7" t="s">
        <v>355</v>
      </c>
      <c r="J1379" s="14"/>
      <c r="K1379" s="14"/>
      <c r="O1379" s="22"/>
      <c r="P1379" s="22"/>
      <c r="Q1379" s="23"/>
      <c r="R1379" s="23"/>
      <c r="S1379" s="14"/>
    </row>
    <row r="1380" ht="18.75" customHeight="1">
      <c r="A1380" s="7" t="s">
        <v>1305</v>
      </c>
      <c r="B1380" s="7" t="s">
        <v>3875</v>
      </c>
      <c r="C1380" s="9">
        <v>232700.0</v>
      </c>
      <c r="D1380" s="9">
        <v>580.0</v>
      </c>
      <c r="E1380" s="9">
        <v>397.0</v>
      </c>
      <c r="F1380" s="7" t="s">
        <v>1306</v>
      </c>
      <c r="G1380" s="7" t="s">
        <v>353</v>
      </c>
      <c r="H1380" s="7" t="s">
        <v>378</v>
      </c>
      <c r="I1380" s="7" t="s">
        <v>355</v>
      </c>
      <c r="J1380" s="14"/>
      <c r="K1380" s="14"/>
      <c r="O1380" s="22"/>
      <c r="P1380" s="22"/>
      <c r="Q1380" s="23"/>
      <c r="R1380" s="23"/>
      <c r="S1380" s="14"/>
    </row>
    <row r="1381" ht="18.75" customHeight="1">
      <c r="A1381" s="7" t="s">
        <v>1349</v>
      </c>
      <c r="B1381" s="7" t="s">
        <v>3875</v>
      </c>
      <c r="C1381" s="9">
        <v>40513.0</v>
      </c>
      <c r="D1381" s="9">
        <v>0.0</v>
      </c>
      <c r="E1381" s="9">
        <v>581.0</v>
      </c>
      <c r="F1381" s="7" t="s">
        <v>1350</v>
      </c>
      <c r="G1381" s="7" t="s">
        <v>364</v>
      </c>
      <c r="H1381" s="7" t="s">
        <v>365</v>
      </c>
      <c r="I1381" s="7" t="s">
        <v>355</v>
      </c>
      <c r="J1381" s="14"/>
      <c r="K1381" s="14"/>
      <c r="O1381" s="22"/>
      <c r="P1381" s="22"/>
      <c r="Q1381" s="23"/>
      <c r="R1381" s="23"/>
      <c r="S1381" s="14"/>
    </row>
    <row r="1382" ht="18.75" customHeight="1">
      <c r="A1382" s="7" t="s">
        <v>1359</v>
      </c>
      <c r="B1382" s="7" t="s">
        <v>3875</v>
      </c>
      <c r="C1382" s="9">
        <v>84681.0</v>
      </c>
      <c r="D1382" s="9">
        <v>0.0</v>
      </c>
      <c r="E1382" s="9">
        <v>228.0</v>
      </c>
      <c r="F1382" s="7" t="s">
        <v>1360</v>
      </c>
      <c r="G1382" s="7" t="s">
        <v>416</v>
      </c>
      <c r="H1382" s="7" t="s">
        <v>466</v>
      </c>
      <c r="I1382" s="7" t="s">
        <v>355</v>
      </c>
      <c r="J1382" s="14"/>
      <c r="K1382" s="14"/>
      <c r="O1382" s="22"/>
      <c r="P1382" s="22"/>
      <c r="Q1382" s="23"/>
      <c r="R1382" s="23"/>
      <c r="S1382" s="14"/>
    </row>
    <row r="1383" ht="18.75" customHeight="1">
      <c r="A1383" s="7" t="s">
        <v>1355</v>
      </c>
      <c r="B1383" s="7" t="s">
        <v>3875</v>
      </c>
      <c r="C1383" s="9">
        <v>90039.0</v>
      </c>
      <c r="D1383" s="9">
        <v>0.0</v>
      </c>
      <c r="E1383" s="9">
        <v>229.0</v>
      </c>
      <c r="F1383" s="7" t="s">
        <v>1356</v>
      </c>
      <c r="G1383" s="7" t="s">
        <v>416</v>
      </c>
      <c r="H1383" s="7" t="s">
        <v>466</v>
      </c>
      <c r="I1383" s="7" t="s">
        <v>355</v>
      </c>
      <c r="J1383" s="14"/>
      <c r="K1383" s="14"/>
      <c r="O1383" s="22"/>
      <c r="P1383" s="22"/>
      <c r="Q1383" s="23"/>
      <c r="R1383" s="23"/>
      <c r="S1383" s="14"/>
    </row>
    <row r="1384" ht="18.75" customHeight="1">
      <c r="A1384" s="7" t="s">
        <v>1357</v>
      </c>
      <c r="B1384" s="7" t="s">
        <v>3875</v>
      </c>
      <c r="C1384" s="9">
        <v>164487.0</v>
      </c>
      <c r="D1384" s="9">
        <v>0.0</v>
      </c>
      <c r="E1384" s="9">
        <v>174.0</v>
      </c>
      <c r="F1384" s="7" t="s">
        <v>1358</v>
      </c>
      <c r="G1384" s="7" t="s">
        <v>416</v>
      </c>
      <c r="H1384" s="7" t="s">
        <v>466</v>
      </c>
      <c r="I1384" s="7" t="s">
        <v>355</v>
      </c>
      <c r="J1384" s="14"/>
      <c r="K1384" s="14"/>
      <c r="O1384" s="22"/>
      <c r="P1384" s="22"/>
      <c r="Q1384" s="23"/>
      <c r="R1384" s="23"/>
      <c r="S1384" s="14"/>
    </row>
    <row r="1385" ht="18.75" customHeight="1">
      <c r="A1385" s="7" t="s">
        <v>1353</v>
      </c>
      <c r="B1385" s="7" t="s">
        <v>3875</v>
      </c>
      <c r="C1385" s="9">
        <v>105912.0</v>
      </c>
      <c r="D1385" s="9">
        <v>0.0</v>
      </c>
      <c r="E1385" s="9">
        <v>254.0</v>
      </c>
      <c r="F1385" s="7" t="s">
        <v>1354</v>
      </c>
      <c r="G1385" s="7" t="s">
        <v>416</v>
      </c>
      <c r="H1385" s="7" t="s">
        <v>466</v>
      </c>
      <c r="I1385" s="7" t="s">
        <v>355</v>
      </c>
      <c r="J1385" s="14"/>
      <c r="K1385" s="14"/>
      <c r="O1385" s="22"/>
      <c r="P1385" s="22"/>
      <c r="Q1385" s="23"/>
      <c r="R1385" s="23"/>
      <c r="S1385" s="14"/>
    </row>
    <row r="1386" ht="18.75" customHeight="1">
      <c r="A1386" s="7" t="s">
        <v>1351</v>
      </c>
      <c r="B1386" s="7" t="s">
        <v>3875</v>
      </c>
      <c r="C1386" s="9">
        <v>13747.0</v>
      </c>
      <c r="D1386" s="9">
        <v>6049.0</v>
      </c>
      <c r="E1386" s="9">
        <v>820.0</v>
      </c>
      <c r="F1386" s="7" t="s">
        <v>1352</v>
      </c>
      <c r="G1386" s="7" t="s">
        <v>416</v>
      </c>
      <c r="H1386" s="7" t="s">
        <v>417</v>
      </c>
      <c r="I1386" s="7" t="s">
        <v>355</v>
      </c>
      <c r="J1386" s="14"/>
      <c r="K1386" s="14"/>
      <c r="O1386" s="22"/>
      <c r="P1386" s="22"/>
      <c r="Q1386" s="23"/>
      <c r="R1386" s="23"/>
      <c r="S1386" s="14"/>
    </row>
    <row r="1387" ht="18.75" customHeight="1">
      <c r="A1387" s="7" t="s">
        <v>1149</v>
      </c>
      <c r="B1387" s="7" t="s">
        <v>3875</v>
      </c>
      <c r="C1387" s="9">
        <v>2104672.0</v>
      </c>
      <c r="D1387" s="9">
        <v>94853.0</v>
      </c>
      <c r="E1387" s="9">
        <v>1695.0</v>
      </c>
      <c r="F1387" s="7" t="s">
        <v>1150</v>
      </c>
      <c r="G1387" s="7" t="s">
        <v>404</v>
      </c>
      <c r="H1387" s="7" t="s">
        <v>667</v>
      </c>
      <c r="I1387" s="7" t="s">
        <v>355</v>
      </c>
      <c r="J1387" s="14"/>
      <c r="K1387" s="14"/>
      <c r="O1387" s="22"/>
      <c r="P1387" s="22"/>
      <c r="Q1387" s="23"/>
      <c r="R1387" s="23"/>
      <c r="S1387" s="14"/>
    </row>
    <row r="1388" ht="18.75" customHeight="1">
      <c r="A1388" s="7" t="s">
        <v>385</v>
      </c>
      <c r="B1388" s="7" t="s">
        <v>3875</v>
      </c>
      <c r="C1388" s="9">
        <v>155742.0</v>
      </c>
      <c r="D1388" s="9">
        <v>0.0</v>
      </c>
      <c r="E1388" s="9">
        <v>299.0</v>
      </c>
      <c r="F1388" s="7" t="s">
        <v>386</v>
      </c>
      <c r="G1388" s="7" t="s">
        <v>358</v>
      </c>
      <c r="H1388" s="7" t="s">
        <v>387</v>
      </c>
      <c r="I1388" s="7" t="s">
        <v>355</v>
      </c>
      <c r="J1388" s="14"/>
      <c r="K1388" s="14"/>
      <c r="O1388" s="22"/>
      <c r="P1388" s="22"/>
      <c r="Q1388" s="23"/>
      <c r="R1388" s="23"/>
      <c r="S1388" s="14"/>
    </row>
    <row r="1389" ht="18.75" customHeight="1">
      <c r="A1389" s="7" t="s">
        <v>1365</v>
      </c>
      <c r="B1389" s="7" t="s">
        <v>3875</v>
      </c>
      <c r="C1389" s="9">
        <v>273941.0</v>
      </c>
      <c r="D1389" s="9">
        <v>0.0</v>
      </c>
      <c r="E1389" s="9">
        <v>361.0</v>
      </c>
      <c r="F1389" s="7" t="s">
        <v>1366</v>
      </c>
      <c r="G1389" s="7" t="s">
        <v>353</v>
      </c>
      <c r="H1389" s="7" t="s">
        <v>725</v>
      </c>
      <c r="I1389" s="7" t="s">
        <v>355</v>
      </c>
      <c r="J1389" s="14"/>
      <c r="K1389" s="14"/>
      <c r="O1389" s="22"/>
      <c r="P1389" s="22"/>
      <c r="Q1389" s="23"/>
      <c r="R1389" s="23"/>
      <c r="S1389" s="14"/>
    </row>
    <row r="1390" ht="18.75" customHeight="1">
      <c r="A1390" s="7" t="s">
        <v>1267</v>
      </c>
      <c r="B1390" s="7" t="s">
        <v>3875</v>
      </c>
      <c r="C1390" s="9">
        <v>131446.0</v>
      </c>
      <c r="D1390" s="9">
        <v>13898.0</v>
      </c>
      <c r="E1390" s="9">
        <v>116.0</v>
      </c>
      <c r="F1390" s="7" t="s">
        <v>1268</v>
      </c>
      <c r="G1390" s="7" t="s">
        <v>416</v>
      </c>
      <c r="H1390" s="7" t="s">
        <v>417</v>
      </c>
      <c r="I1390" s="7" t="s">
        <v>355</v>
      </c>
      <c r="J1390" s="14"/>
      <c r="K1390" s="14"/>
      <c r="O1390" s="22"/>
      <c r="P1390" s="22"/>
      <c r="Q1390" s="23"/>
      <c r="R1390" s="23"/>
      <c r="S1390" s="14"/>
    </row>
    <row r="1391" ht="18.75" customHeight="1">
      <c r="A1391" s="7" t="s">
        <v>1131</v>
      </c>
      <c r="B1391" s="7" t="s">
        <v>3875</v>
      </c>
      <c r="C1391" s="9">
        <v>766683.0</v>
      </c>
      <c r="D1391" s="9">
        <v>77536.0</v>
      </c>
      <c r="E1391" s="9">
        <v>863.0</v>
      </c>
      <c r="F1391" s="7" t="s">
        <v>1132</v>
      </c>
      <c r="G1391" s="7" t="s">
        <v>404</v>
      </c>
      <c r="H1391" s="7" t="s">
        <v>760</v>
      </c>
      <c r="I1391" s="7" t="s">
        <v>355</v>
      </c>
      <c r="J1391" s="14"/>
      <c r="K1391" s="14"/>
      <c r="O1391" s="22"/>
      <c r="P1391" s="22"/>
      <c r="Q1391" s="23"/>
      <c r="R1391" s="23"/>
      <c r="S1391" s="14"/>
    </row>
    <row r="1392" ht="18.75" customHeight="1">
      <c r="A1392" s="7" t="s">
        <v>529</v>
      </c>
      <c r="B1392" s="7" t="s">
        <v>3875</v>
      </c>
      <c r="C1392" s="9">
        <v>43970.0</v>
      </c>
      <c r="D1392" s="9">
        <v>0.0</v>
      </c>
      <c r="E1392" s="9">
        <v>213.0</v>
      </c>
      <c r="F1392" s="7" t="s">
        <v>530</v>
      </c>
      <c r="G1392" s="7" t="s">
        <v>358</v>
      </c>
      <c r="H1392" s="7" t="s">
        <v>387</v>
      </c>
      <c r="I1392" s="7" t="s">
        <v>355</v>
      </c>
      <c r="J1392" s="14"/>
      <c r="K1392" s="14"/>
      <c r="O1392" s="22"/>
      <c r="P1392" s="22"/>
      <c r="Q1392" s="23"/>
      <c r="R1392" s="23"/>
      <c r="S1392" s="14"/>
    </row>
    <row r="1393" ht="18.75" customHeight="1">
      <c r="A1393" s="7" t="s">
        <v>529</v>
      </c>
      <c r="B1393" s="7" t="s">
        <v>3875</v>
      </c>
      <c r="C1393" s="9">
        <v>57212.0</v>
      </c>
      <c r="D1393" s="9">
        <v>0.0</v>
      </c>
      <c r="E1393" s="9">
        <v>193.0</v>
      </c>
      <c r="F1393" s="7" t="s">
        <v>530</v>
      </c>
      <c r="G1393" s="7" t="s">
        <v>358</v>
      </c>
      <c r="H1393" s="7" t="s">
        <v>387</v>
      </c>
      <c r="I1393" s="7" t="s">
        <v>355</v>
      </c>
      <c r="J1393" s="14"/>
      <c r="K1393" s="14"/>
      <c r="O1393" s="22"/>
      <c r="P1393" s="22"/>
      <c r="Q1393" s="23"/>
      <c r="R1393" s="23"/>
      <c r="S1393" s="14"/>
    </row>
    <row r="1394" ht="18.75" customHeight="1">
      <c r="A1394" s="7" t="s">
        <v>529</v>
      </c>
      <c r="B1394" s="7" t="s">
        <v>3875</v>
      </c>
      <c r="C1394" s="9">
        <v>46607.0</v>
      </c>
      <c r="D1394" s="9">
        <v>0.0</v>
      </c>
      <c r="E1394" s="9">
        <v>162.0</v>
      </c>
      <c r="F1394" s="7" t="s">
        <v>530</v>
      </c>
      <c r="G1394" s="7" t="s">
        <v>358</v>
      </c>
      <c r="H1394" s="7" t="s">
        <v>387</v>
      </c>
      <c r="I1394" s="7" t="s">
        <v>355</v>
      </c>
      <c r="J1394" s="14"/>
      <c r="K1394" s="14"/>
      <c r="O1394" s="22"/>
      <c r="P1394" s="22"/>
      <c r="Q1394" s="23"/>
      <c r="R1394" s="23"/>
      <c r="S1394" s="14"/>
    </row>
    <row r="1395" ht="18.75" customHeight="1">
      <c r="A1395" s="7" t="s">
        <v>529</v>
      </c>
      <c r="B1395" s="7" t="s">
        <v>3875</v>
      </c>
      <c r="C1395" s="9">
        <v>62833.0</v>
      </c>
      <c r="D1395" s="9">
        <v>0.0</v>
      </c>
      <c r="E1395" s="9">
        <v>217.0</v>
      </c>
      <c r="F1395" s="7" t="s">
        <v>530</v>
      </c>
      <c r="G1395" s="7" t="s">
        <v>358</v>
      </c>
      <c r="H1395" s="7" t="s">
        <v>387</v>
      </c>
      <c r="I1395" s="7" t="s">
        <v>355</v>
      </c>
      <c r="J1395" s="14"/>
      <c r="K1395" s="14"/>
      <c r="O1395" s="22"/>
      <c r="P1395" s="22"/>
      <c r="Q1395" s="23"/>
      <c r="R1395" s="23"/>
      <c r="S1395" s="14"/>
    </row>
    <row r="1396" ht="18.75" customHeight="1">
      <c r="A1396" s="7" t="s">
        <v>529</v>
      </c>
      <c r="B1396" s="7" t="s">
        <v>3875</v>
      </c>
      <c r="C1396" s="9">
        <v>75030.0</v>
      </c>
      <c r="D1396" s="9">
        <v>0.0</v>
      </c>
      <c r="E1396" s="9">
        <v>348.0</v>
      </c>
      <c r="F1396" s="7" t="s">
        <v>530</v>
      </c>
      <c r="G1396" s="7" t="s">
        <v>358</v>
      </c>
      <c r="H1396" s="7" t="s">
        <v>387</v>
      </c>
      <c r="I1396" s="7" t="s">
        <v>355</v>
      </c>
      <c r="J1396" s="14"/>
      <c r="K1396" s="14"/>
      <c r="O1396" s="22"/>
      <c r="P1396" s="22"/>
      <c r="Q1396" s="23"/>
      <c r="R1396" s="23"/>
      <c r="S1396" s="14"/>
    </row>
    <row r="1397" ht="18.75" customHeight="1">
      <c r="A1397" s="7" t="s">
        <v>1279</v>
      </c>
      <c r="B1397" s="7" t="s">
        <v>3875</v>
      </c>
      <c r="C1397" s="9">
        <v>195989.0</v>
      </c>
      <c r="D1397" s="9">
        <v>0.0</v>
      </c>
      <c r="E1397" s="9">
        <v>1102.0</v>
      </c>
      <c r="F1397" s="7" t="s">
        <v>1280</v>
      </c>
      <c r="G1397" s="7" t="s">
        <v>353</v>
      </c>
      <c r="H1397" s="7" t="s">
        <v>378</v>
      </c>
      <c r="I1397" s="7" t="s">
        <v>355</v>
      </c>
      <c r="J1397" s="14"/>
      <c r="K1397" s="14"/>
      <c r="O1397" s="22"/>
      <c r="P1397" s="22"/>
      <c r="Q1397" s="23"/>
      <c r="R1397" s="23"/>
      <c r="S1397" s="14"/>
    </row>
    <row r="1398" ht="18.75" customHeight="1">
      <c r="A1398" s="7" t="s">
        <v>1371</v>
      </c>
      <c r="B1398" s="7" t="s">
        <v>3875</v>
      </c>
      <c r="C1398" s="9">
        <v>295366.0</v>
      </c>
      <c r="D1398" s="9">
        <v>13754.0</v>
      </c>
      <c r="E1398" s="9">
        <v>329.0</v>
      </c>
      <c r="F1398" s="7" t="s">
        <v>1372</v>
      </c>
      <c r="G1398" s="7" t="s">
        <v>358</v>
      </c>
      <c r="H1398" s="7" t="s">
        <v>466</v>
      </c>
      <c r="I1398" s="7" t="s">
        <v>355</v>
      </c>
      <c r="J1398" s="14"/>
      <c r="K1398" s="14"/>
      <c r="O1398" s="22"/>
      <c r="P1398" s="22"/>
      <c r="Q1398" s="23"/>
      <c r="R1398" s="23"/>
      <c r="S1398" s="14"/>
    </row>
    <row r="1399" ht="18.75" customHeight="1">
      <c r="A1399" s="7" t="s">
        <v>1371</v>
      </c>
      <c r="B1399" s="7" t="s">
        <v>3875</v>
      </c>
      <c r="C1399" s="9">
        <v>265158.0</v>
      </c>
      <c r="D1399" s="9">
        <v>10676.0</v>
      </c>
      <c r="E1399" s="9">
        <v>398.0</v>
      </c>
      <c r="F1399" s="7" t="s">
        <v>1372</v>
      </c>
      <c r="G1399" s="7" t="s">
        <v>358</v>
      </c>
      <c r="H1399" s="7" t="s">
        <v>466</v>
      </c>
      <c r="I1399" s="7" t="s">
        <v>355</v>
      </c>
      <c r="J1399" s="14"/>
      <c r="K1399" s="14"/>
      <c r="O1399" s="22"/>
      <c r="P1399" s="22"/>
      <c r="Q1399" s="23"/>
      <c r="R1399" s="23"/>
      <c r="S1399" s="14"/>
    </row>
    <row r="1400" ht="18.75" customHeight="1">
      <c r="A1400" s="7" t="s">
        <v>1131</v>
      </c>
      <c r="B1400" s="7" t="s">
        <v>3875</v>
      </c>
      <c r="C1400" s="9">
        <v>2286678.0</v>
      </c>
      <c r="D1400" s="9">
        <v>142567.0</v>
      </c>
      <c r="E1400" s="9">
        <v>2407.0</v>
      </c>
      <c r="F1400" s="7" t="s">
        <v>1132</v>
      </c>
      <c r="G1400" s="7" t="s">
        <v>404</v>
      </c>
      <c r="H1400" s="7" t="s">
        <v>760</v>
      </c>
      <c r="I1400" s="7" t="s">
        <v>355</v>
      </c>
      <c r="J1400" s="14"/>
      <c r="K1400" s="14"/>
      <c r="O1400" s="22"/>
      <c r="P1400" s="22"/>
      <c r="Q1400" s="23"/>
      <c r="R1400" s="23"/>
      <c r="S1400" s="14"/>
    </row>
    <row r="1401" ht="18.75" customHeight="1">
      <c r="A1401" s="7" t="s">
        <v>1369</v>
      </c>
      <c r="B1401" s="7" t="s">
        <v>3875</v>
      </c>
      <c r="C1401" s="9">
        <v>106411.0</v>
      </c>
      <c r="D1401" s="9">
        <v>0.0</v>
      </c>
      <c r="E1401" s="9">
        <v>120.0</v>
      </c>
      <c r="F1401" s="7" t="s">
        <v>1370</v>
      </c>
      <c r="G1401" s="7" t="s">
        <v>353</v>
      </c>
      <c r="H1401" s="7" t="s">
        <v>378</v>
      </c>
      <c r="I1401" s="7" t="s">
        <v>355</v>
      </c>
      <c r="J1401" s="14"/>
      <c r="K1401" s="14"/>
      <c r="O1401" s="22"/>
      <c r="P1401" s="22"/>
      <c r="Q1401" s="23"/>
      <c r="R1401" s="23"/>
      <c r="S1401" s="14"/>
    </row>
    <row r="1402" ht="18.75" customHeight="1">
      <c r="A1402" s="7" t="s">
        <v>1369</v>
      </c>
      <c r="B1402" s="7" t="s">
        <v>3875</v>
      </c>
      <c r="C1402" s="9">
        <v>100250.0</v>
      </c>
      <c r="D1402" s="9">
        <v>0.0</v>
      </c>
      <c r="E1402" s="9">
        <v>169.0</v>
      </c>
      <c r="F1402" s="7" t="s">
        <v>1370</v>
      </c>
      <c r="G1402" s="7" t="s">
        <v>353</v>
      </c>
      <c r="H1402" s="7" t="s">
        <v>378</v>
      </c>
      <c r="I1402" s="7" t="s">
        <v>355</v>
      </c>
      <c r="J1402" s="14"/>
      <c r="K1402" s="14"/>
      <c r="O1402" s="22"/>
      <c r="P1402" s="22"/>
      <c r="Q1402" s="23"/>
      <c r="R1402" s="23"/>
      <c r="S1402" s="14"/>
    </row>
    <row r="1403" ht="18.75" customHeight="1">
      <c r="A1403" s="7" t="s">
        <v>991</v>
      </c>
      <c r="B1403" s="7" t="s">
        <v>3875</v>
      </c>
      <c r="C1403" s="9">
        <v>243989.0</v>
      </c>
      <c r="D1403" s="9">
        <v>50926.0</v>
      </c>
      <c r="E1403" s="9">
        <v>297.0</v>
      </c>
      <c r="F1403" s="7" t="s">
        <v>992</v>
      </c>
      <c r="G1403" s="7" t="s">
        <v>404</v>
      </c>
      <c r="H1403" s="7" t="s">
        <v>667</v>
      </c>
      <c r="I1403" s="7" t="s">
        <v>355</v>
      </c>
      <c r="J1403" s="14"/>
      <c r="K1403" s="14"/>
      <c r="O1403" s="22"/>
      <c r="P1403" s="22"/>
      <c r="Q1403" s="23"/>
      <c r="R1403" s="23"/>
      <c r="S1403" s="14"/>
    </row>
    <row r="1404" ht="18.75" customHeight="1">
      <c r="A1404" s="7" t="s">
        <v>1391</v>
      </c>
      <c r="B1404" s="7" t="s">
        <v>3875</v>
      </c>
      <c r="C1404" s="9">
        <v>185914.0</v>
      </c>
      <c r="D1404" s="9">
        <v>15107.0</v>
      </c>
      <c r="E1404" s="9">
        <v>246.0</v>
      </c>
      <c r="F1404" s="7" t="s">
        <v>1392</v>
      </c>
      <c r="G1404" s="7" t="s">
        <v>353</v>
      </c>
      <c r="H1404" s="7" t="s">
        <v>378</v>
      </c>
      <c r="I1404" s="7" t="s">
        <v>355</v>
      </c>
      <c r="J1404" s="14"/>
      <c r="K1404" s="14"/>
      <c r="O1404" s="22"/>
      <c r="P1404" s="22"/>
      <c r="Q1404" s="23"/>
      <c r="R1404" s="23"/>
      <c r="S1404" s="14"/>
    </row>
    <row r="1405" ht="18.75" customHeight="1">
      <c r="A1405" s="7" t="s">
        <v>1391</v>
      </c>
      <c r="B1405" s="7" t="s">
        <v>3875</v>
      </c>
      <c r="C1405" s="9">
        <v>95911.0</v>
      </c>
      <c r="D1405" s="9">
        <v>8377.0</v>
      </c>
      <c r="E1405" s="9">
        <v>154.0</v>
      </c>
      <c r="F1405" s="7" t="s">
        <v>1392</v>
      </c>
      <c r="G1405" s="7" t="s">
        <v>353</v>
      </c>
      <c r="H1405" s="7" t="s">
        <v>378</v>
      </c>
      <c r="I1405" s="7" t="s">
        <v>355</v>
      </c>
      <c r="J1405" s="14"/>
      <c r="K1405" s="14"/>
      <c r="O1405" s="22"/>
      <c r="P1405" s="22"/>
      <c r="Q1405" s="23"/>
      <c r="R1405" s="23"/>
      <c r="S1405" s="14"/>
    </row>
    <row r="1406" ht="18.75" customHeight="1">
      <c r="A1406" s="7" t="s">
        <v>1283</v>
      </c>
      <c r="B1406" s="7" t="s">
        <v>3875</v>
      </c>
      <c r="C1406" s="9">
        <v>756738.0</v>
      </c>
      <c r="D1406" s="9">
        <v>0.0</v>
      </c>
      <c r="E1406" s="9">
        <v>1815.0</v>
      </c>
      <c r="F1406" s="7" t="s">
        <v>1284</v>
      </c>
      <c r="G1406" s="7" t="s">
        <v>503</v>
      </c>
      <c r="H1406" s="7" t="s">
        <v>928</v>
      </c>
      <c r="I1406" s="7" t="s">
        <v>355</v>
      </c>
      <c r="J1406" s="14"/>
      <c r="K1406" s="14"/>
      <c r="O1406" s="22"/>
      <c r="P1406" s="22"/>
      <c r="Q1406" s="23"/>
      <c r="R1406" s="23"/>
      <c r="S1406" s="14"/>
    </row>
    <row r="1407" ht="18.75" customHeight="1">
      <c r="A1407" s="7" t="s">
        <v>709</v>
      </c>
      <c r="B1407" s="7" t="s">
        <v>3875</v>
      </c>
      <c r="C1407" s="9">
        <v>222078.0</v>
      </c>
      <c r="D1407" s="9">
        <v>578.0</v>
      </c>
      <c r="E1407" s="9">
        <v>10791.0</v>
      </c>
      <c r="F1407" s="7" t="s">
        <v>710</v>
      </c>
      <c r="G1407" s="7" t="s">
        <v>404</v>
      </c>
      <c r="H1407" s="7" t="s">
        <v>667</v>
      </c>
      <c r="I1407" s="7" t="s">
        <v>410</v>
      </c>
      <c r="J1407" s="14"/>
      <c r="K1407" s="14"/>
      <c r="O1407" s="22"/>
      <c r="P1407" s="22"/>
      <c r="Q1407" s="23"/>
      <c r="R1407" s="23"/>
      <c r="S1407" s="14"/>
    </row>
    <row r="1408" ht="18.75" customHeight="1">
      <c r="A1408" s="7" t="s">
        <v>709</v>
      </c>
      <c r="B1408" s="7" t="s">
        <v>3875</v>
      </c>
      <c r="C1408" s="9">
        <v>99341.0</v>
      </c>
      <c r="D1408" s="9">
        <v>3932.0</v>
      </c>
      <c r="E1408" s="9">
        <v>5818.0</v>
      </c>
      <c r="F1408" s="7" t="s">
        <v>710</v>
      </c>
      <c r="G1408" s="7" t="s">
        <v>404</v>
      </c>
      <c r="H1408" s="7" t="s">
        <v>667</v>
      </c>
      <c r="I1408" s="7" t="s">
        <v>410</v>
      </c>
      <c r="J1408" s="14"/>
      <c r="K1408" s="14"/>
      <c r="O1408" s="22"/>
      <c r="P1408" s="22"/>
      <c r="Q1408" s="23"/>
      <c r="R1408" s="23"/>
      <c r="S1408" s="14"/>
    </row>
    <row r="1409" ht="18.75" customHeight="1">
      <c r="A1409" s="7" t="s">
        <v>573</v>
      </c>
      <c r="B1409" s="7" t="s">
        <v>3875</v>
      </c>
      <c r="C1409" s="9">
        <v>82335.0</v>
      </c>
      <c r="D1409" s="9">
        <v>0.0</v>
      </c>
      <c r="E1409" s="9">
        <v>0.0</v>
      </c>
      <c r="F1409" s="7" t="s">
        <v>574</v>
      </c>
      <c r="G1409" s="7" t="s">
        <v>364</v>
      </c>
      <c r="H1409" s="7" t="s">
        <v>365</v>
      </c>
      <c r="I1409" s="7" t="s">
        <v>355</v>
      </c>
      <c r="J1409" s="14"/>
      <c r="K1409" s="14"/>
      <c r="O1409" s="22"/>
      <c r="P1409" s="22"/>
      <c r="Q1409" s="23"/>
      <c r="R1409" s="23"/>
      <c r="S1409" s="14"/>
    </row>
    <row r="1410" ht="18.75" customHeight="1">
      <c r="A1410" s="7" t="s">
        <v>1059</v>
      </c>
      <c r="B1410" s="7" t="s">
        <v>3875</v>
      </c>
      <c r="C1410" s="9">
        <v>317596.0</v>
      </c>
      <c r="D1410" s="9">
        <v>73244.0</v>
      </c>
      <c r="E1410" s="9">
        <v>24599.0</v>
      </c>
      <c r="F1410" s="7" t="s">
        <v>1060</v>
      </c>
      <c r="G1410" s="7" t="s">
        <v>358</v>
      </c>
      <c r="H1410" s="7" t="s">
        <v>466</v>
      </c>
      <c r="I1410" s="7" t="s">
        <v>355</v>
      </c>
      <c r="J1410" s="14"/>
      <c r="K1410" s="14"/>
      <c r="O1410" s="22"/>
      <c r="P1410" s="22"/>
      <c r="Q1410" s="23"/>
      <c r="R1410" s="23"/>
      <c r="S1410" s="14"/>
    </row>
    <row r="1411" ht="18.75" customHeight="1">
      <c r="A1411" s="7" t="s">
        <v>1059</v>
      </c>
      <c r="B1411" s="7" t="s">
        <v>3875</v>
      </c>
      <c r="C1411" s="9">
        <v>235497.0</v>
      </c>
      <c r="D1411" s="9">
        <v>57690.0</v>
      </c>
      <c r="E1411" s="9">
        <v>7459.0</v>
      </c>
      <c r="F1411" s="7" t="s">
        <v>1060</v>
      </c>
      <c r="G1411" s="7" t="s">
        <v>358</v>
      </c>
      <c r="H1411" s="7" t="s">
        <v>466</v>
      </c>
      <c r="I1411" s="7" t="s">
        <v>355</v>
      </c>
      <c r="J1411" s="14"/>
      <c r="K1411" s="14"/>
      <c r="O1411" s="22"/>
      <c r="P1411" s="22"/>
      <c r="Q1411" s="23"/>
      <c r="R1411" s="23"/>
      <c r="S1411" s="14"/>
    </row>
    <row r="1412" ht="18.75" customHeight="1">
      <c r="A1412" s="7" t="s">
        <v>957</v>
      </c>
      <c r="B1412" s="7" t="s">
        <v>3875</v>
      </c>
      <c r="C1412" s="9">
        <v>202105.0</v>
      </c>
      <c r="D1412" s="9">
        <v>0.0</v>
      </c>
      <c r="E1412" s="9">
        <v>1914.0</v>
      </c>
      <c r="F1412" s="7" t="s">
        <v>958</v>
      </c>
      <c r="G1412" s="7" t="s">
        <v>364</v>
      </c>
      <c r="H1412" s="7" t="s">
        <v>365</v>
      </c>
      <c r="I1412" s="7" t="s">
        <v>410</v>
      </c>
      <c r="J1412" s="14"/>
      <c r="K1412" s="14"/>
      <c r="O1412" s="22"/>
      <c r="P1412" s="22"/>
      <c r="Q1412" s="23"/>
      <c r="R1412" s="23"/>
      <c r="S1412" s="14"/>
    </row>
    <row r="1413" ht="18.75" customHeight="1">
      <c r="A1413" s="7" t="s">
        <v>1077</v>
      </c>
      <c r="B1413" s="7" t="s">
        <v>3875</v>
      </c>
      <c r="C1413" s="9">
        <v>307285.0</v>
      </c>
      <c r="D1413" s="9">
        <v>23161.0</v>
      </c>
      <c r="E1413" s="9">
        <v>400.0</v>
      </c>
      <c r="F1413" s="7" t="s">
        <v>1078</v>
      </c>
      <c r="G1413" s="7" t="s">
        <v>353</v>
      </c>
      <c r="H1413" s="7" t="s">
        <v>378</v>
      </c>
      <c r="I1413" s="7" t="s">
        <v>355</v>
      </c>
      <c r="J1413" s="14"/>
      <c r="K1413" s="14"/>
      <c r="O1413" s="22"/>
      <c r="P1413" s="22"/>
      <c r="Q1413" s="23"/>
      <c r="R1413" s="23"/>
      <c r="S1413" s="14"/>
    </row>
    <row r="1414" ht="18.75" customHeight="1">
      <c r="A1414" s="7" t="s">
        <v>1077</v>
      </c>
      <c r="B1414" s="7" t="s">
        <v>3875</v>
      </c>
      <c r="C1414" s="9">
        <v>304595.0</v>
      </c>
      <c r="D1414" s="9">
        <v>822.0</v>
      </c>
      <c r="E1414" s="9">
        <v>467.0</v>
      </c>
      <c r="F1414" s="7" t="s">
        <v>1078</v>
      </c>
      <c r="G1414" s="7" t="s">
        <v>353</v>
      </c>
      <c r="H1414" s="7" t="s">
        <v>378</v>
      </c>
      <c r="I1414" s="7" t="s">
        <v>355</v>
      </c>
      <c r="J1414" s="14"/>
      <c r="K1414" s="14"/>
      <c r="O1414" s="22"/>
      <c r="P1414" s="22"/>
      <c r="Q1414" s="23"/>
      <c r="R1414" s="23"/>
      <c r="S1414" s="14"/>
    </row>
    <row r="1415" ht="18.75" customHeight="1">
      <c r="A1415" s="7" t="s">
        <v>1129</v>
      </c>
      <c r="B1415" s="7" t="s">
        <v>3875</v>
      </c>
      <c r="C1415" s="9">
        <v>264777.0</v>
      </c>
      <c r="D1415" s="9">
        <v>0.0</v>
      </c>
      <c r="E1415" s="9">
        <v>355.0</v>
      </c>
      <c r="F1415" s="7" t="s">
        <v>1130</v>
      </c>
      <c r="G1415" s="7" t="s">
        <v>364</v>
      </c>
      <c r="H1415" s="7" t="s">
        <v>365</v>
      </c>
      <c r="I1415" s="7" t="s">
        <v>355</v>
      </c>
      <c r="J1415" s="14"/>
      <c r="K1415" s="14"/>
      <c r="O1415" s="22"/>
      <c r="P1415" s="22"/>
      <c r="Q1415" s="23"/>
      <c r="R1415" s="23"/>
      <c r="S1415" s="14"/>
    </row>
    <row r="1416" ht="18.75" customHeight="1">
      <c r="A1416" s="7" t="s">
        <v>1129</v>
      </c>
      <c r="B1416" s="7" t="s">
        <v>3875</v>
      </c>
      <c r="C1416" s="9">
        <v>359788.0</v>
      </c>
      <c r="D1416" s="9">
        <v>0.0</v>
      </c>
      <c r="E1416" s="9">
        <v>532.0</v>
      </c>
      <c r="F1416" s="7" t="s">
        <v>1130</v>
      </c>
      <c r="G1416" s="7" t="s">
        <v>364</v>
      </c>
      <c r="H1416" s="7" t="s">
        <v>365</v>
      </c>
      <c r="I1416" s="7" t="s">
        <v>355</v>
      </c>
      <c r="J1416" s="14"/>
      <c r="K1416" s="14"/>
      <c r="O1416" s="22"/>
      <c r="P1416" s="22"/>
      <c r="Q1416" s="23"/>
      <c r="R1416" s="23"/>
      <c r="S1416" s="14"/>
    </row>
    <row r="1417" ht="18.75" customHeight="1">
      <c r="A1417" s="7" t="s">
        <v>1129</v>
      </c>
      <c r="B1417" s="7" t="s">
        <v>3875</v>
      </c>
      <c r="C1417" s="9">
        <v>69854.0</v>
      </c>
      <c r="D1417" s="9">
        <v>0.0</v>
      </c>
      <c r="E1417" s="9">
        <v>268.0</v>
      </c>
      <c r="F1417" s="7" t="s">
        <v>1130</v>
      </c>
      <c r="G1417" s="7" t="s">
        <v>364</v>
      </c>
      <c r="H1417" s="7" t="s">
        <v>365</v>
      </c>
      <c r="I1417" s="7" t="s">
        <v>355</v>
      </c>
      <c r="J1417" s="14"/>
      <c r="K1417" s="14"/>
      <c r="O1417" s="22"/>
      <c r="P1417" s="22"/>
      <c r="Q1417" s="23"/>
      <c r="R1417" s="23"/>
      <c r="S1417" s="14"/>
    </row>
    <row r="1418" ht="18.75" customHeight="1">
      <c r="A1418" s="7" t="s">
        <v>1135</v>
      </c>
      <c r="B1418" s="7" t="s">
        <v>3875</v>
      </c>
      <c r="C1418" s="9">
        <v>734165.0</v>
      </c>
      <c r="D1418" s="9">
        <v>1114.0</v>
      </c>
      <c r="E1418" s="9">
        <v>796.0</v>
      </c>
      <c r="F1418" s="7" t="s">
        <v>1136</v>
      </c>
      <c r="G1418" s="7" t="s">
        <v>404</v>
      </c>
      <c r="H1418" s="7" t="s">
        <v>667</v>
      </c>
      <c r="I1418" s="7" t="s">
        <v>355</v>
      </c>
      <c r="J1418" s="14"/>
      <c r="K1418" s="14"/>
      <c r="O1418" s="22"/>
      <c r="P1418" s="22"/>
      <c r="Q1418" s="23"/>
      <c r="R1418" s="23"/>
      <c r="S1418" s="14"/>
    </row>
    <row r="1419" ht="18.75" customHeight="1">
      <c r="A1419" s="7" t="s">
        <v>1135</v>
      </c>
      <c r="B1419" s="7" t="s">
        <v>3875</v>
      </c>
      <c r="C1419" s="9">
        <v>741958.0</v>
      </c>
      <c r="D1419" s="9">
        <v>136.0</v>
      </c>
      <c r="E1419" s="9">
        <v>869.0</v>
      </c>
      <c r="F1419" s="7" t="s">
        <v>1136</v>
      </c>
      <c r="G1419" s="7" t="s">
        <v>404</v>
      </c>
      <c r="H1419" s="7" t="s">
        <v>667</v>
      </c>
      <c r="I1419" s="7" t="s">
        <v>355</v>
      </c>
      <c r="J1419" s="14"/>
      <c r="K1419" s="14"/>
      <c r="O1419" s="22"/>
      <c r="P1419" s="22"/>
      <c r="Q1419" s="23"/>
      <c r="R1419" s="23"/>
      <c r="S1419" s="14"/>
    </row>
    <row r="1420" ht="18.75" customHeight="1">
      <c r="A1420" s="7" t="s">
        <v>1149</v>
      </c>
      <c r="B1420" s="7" t="s">
        <v>3875</v>
      </c>
      <c r="C1420" s="9">
        <v>4034214.0</v>
      </c>
      <c r="D1420" s="9">
        <v>34890.0</v>
      </c>
      <c r="E1420" s="9">
        <v>5027.0</v>
      </c>
      <c r="F1420" s="7" t="s">
        <v>1150</v>
      </c>
      <c r="G1420" s="7" t="s">
        <v>404</v>
      </c>
      <c r="H1420" s="7" t="s">
        <v>667</v>
      </c>
      <c r="I1420" s="7" t="s">
        <v>355</v>
      </c>
      <c r="J1420" s="14"/>
      <c r="K1420" s="14"/>
      <c r="O1420" s="22"/>
      <c r="P1420" s="22"/>
      <c r="Q1420" s="23"/>
      <c r="R1420" s="23"/>
      <c r="S1420" s="14"/>
    </row>
    <row r="1421" ht="18.75" customHeight="1">
      <c r="A1421" s="7" t="s">
        <v>1155</v>
      </c>
      <c r="B1421" s="7" t="s">
        <v>3875</v>
      </c>
      <c r="C1421" s="9">
        <v>1097983.0</v>
      </c>
      <c r="D1421" s="9">
        <v>64294.0</v>
      </c>
      <c r="E1421" s="9">
        <v>1280.0</v>
      </c>
      <c r="F1421" s="7" t="s">
        <v>1156</v>
      </c>
      <c r="G1421" s="7" t="s">
        <v>358</v>
      </c>
      <c r="H1421" s="7" t="s">
        <v>359</v>
      </c>
      <c r="I1421" s="7" t="s">
        <v>355</v>
      </c>
      <c r="J1421" s="14"/>
      <c r="K1421" s="14"/>
      <c r="O1421" s="22"/>
      <c r="P1421" s="22"/>
      <c r="Q1421" s="23"/>
      <c r="R1421" s="23"/>
      <c r="S1421" s="14"/>
    </row>
    <row r="1422" ht="18.75" customHeight="1">
      <c r="A1422" s="7" t="s">
        <v>1155</v>
      </c>
      <c r="B1422" s="7" t="s">
        <v>3875</v>
      </c>
      <c r="C1422" s="9">
        <v>766107.0</v>
      </c>
      <c r="D1422" s="9">
        <v>18803.0</v>
      </c>
      <c r="E1422" s="9">
        <v>1670.0</v>
      </c>
      <c r="F1422" s="7" t="s">
        <v>1156</v>
      </c>
      <c r="G1422" s="7" t="s">
        <v>358</v>
      </c>
      <c r="H1422" s="7" t="s">
        <v>359</v>
      </c>
      <c r="I1422" s="7" t="s">
        <v>355</v>
      </c>
      <c r="J1422" s="14"/>
      <c r="K1422" s="14"/>
      <c r="O1422" s="22"/>
      <c r="P1422" s="22"/>
      <c r="Q1422" s="23"/>
      <c r="R1422" s="23"/>
      <c r="S1422" s="14"/>
    </row>
    <row r="1423" ht="18.75" customHeight="1">
      <c r="A1423" s="7" t="s">
        <v>1155</v>
      </c>
      <c r="B1423" s="7" t="s">
        <v>3875</v>
      </c>
      <c r="C1423" s="9">
        <v>1459449.0</v>
      </c>
      <c r="D1423" s="9">
        <v>103849.0</v>
      </c>
      <c r="E1423" s="9">
        <v>1222.0</v>
      </c>
      <c r="F1423" s="7" t="s">
        <v>1156</v>
      </c>
      <c r="G1423" s="7" t="s">
        <v>358</v>
      </c>
      <c r="H1423" s="7" t="s">
        <v>359</v>
      </c>
      <c r="I1423" s="7" t="s">
        <v>355</v>
      </c>
      <c r="J1423" s="14"/>
      <c r="K1423" s="14"/>
      <c r="O1423" s="22"/>
      <c r="P1423" s="22"/>
      <c r="Q1423" s="23"/>
      <c r="R1423" s="23"/>
      <c r="S1423" s="14"/>
    </row>
    <row r="1424" ht="18.75" customHeight="1">
      <c r="A1424" s="7" t="s">
        <v>1155</v>
      </c>
      <c r="B1424" s="7" t="s">
        <v>3875</v>
      </c>
      <c r="C1424" s="9">
        <v>962203.0</v>
      </c>
      <c r="D1424" s="9">
        <v>49509.0</v>
      </c>
      <c r="E1424" s="9">
        <v>1207.0</v>
      </c>
      <c r="F1424" s="7" t="s">
        <v>1156</v>
      </c>
      <c r="G1424" s="7" t="s">
        <v>358</v>
      </c>
      <c r="H1424" s="7" t="s">
        <v>359</v>
      </c>
      <c r="I1424" s="7" t="s">
        <v>355</v>
      </c>
      <c r="J1424" s="14"/>
      <c r="K1424" s="14"/>
      <c r="O1424" s="22"/>
      <c r="P1424" s="22"/>
      <c r="Q1424" s="23"/>
      <c r="R1424" s="23"/>
      <c r="S1424" s="14"/>
    </row>
    <row r="1425" ht="18.75" customHeight="1">
      <c r="A1425" s="7" t="s">
        <v>1193</v>
      </c>
      <c r="B1425" s="7" t="s">
        <v>3875</v>
      </c>
      <c r="C1425" s="9">
        <v>323622.0</v>
      </c>
      <c r="D1425" s="9">
        <v>0.0</v>
      </c>
      <c r="E1425" s="9">
        <v>577.0</v>
      </c>
      <c r="F1425" s="7" t="s">
        <v>1194</v>
      </c>
      <c r="G1425" s="7" t="s">
        <v>353</v>
      </c>
      <c r="H1425" s="7" t="s">
        <v>378</v>
      </c>
      <c r="I1425" s="7" t="s">
        <v>355</v>
      </c>
      <c r="J1425" s="14"/>
      <c r="K1425" s="14"/>
      <c r="O1425" s="22"/>
      <c r="P1425" s="22"/>
      <c r="Q1425" s="23"/>
      <c r="R1425" s="23"/>
      <c r="S1425" s="14"/>
    </row>
    <row r="1426" ht="18.75" customHeight="1">
      <c r="A1426" s="7" t="s">
        <v>1193</v>
      </c>
      <c r="B1426" s="7" t="s">
        <v>3875</v>
      </c>
      <c r="C1426" s="9">
        <v>326081.0</v>
      </c>
      <c r="D1426" s="9">
        <v>0.0</v>
      </c>
      <c r="E1426" s="9">
        <v>475.0</v>
      </c>
      <c r="F1426" s="7" t="s">
        <v>1194</v>
      </c>
      <c r="G1426" s="7" t="s">
        <v>353</v>
      </c>
      <c r="H1426" s="7" t="s">
        <v>378</v>
      </c>
      <c r="I1426" s="7" t="s">
        <v>355</v>
      </c>
      <c r="J1426" s="14"/>
      <c r="K1426" s="14"/>
      <c r="O1426" s="22"/>
      <c r="P1426" s="22"/>
      <c r="Q1426" s="23"/>
      <c r="R1426" s="23"/>
      <c r="S1426" s="14"/>
    </row>
    <row r="1427" ht="18.75" customHeight="1">
      <c r="A1427" s="7" t="s">
        <v>1195</v>
      </c>
      <c r="B1427" s="7" t="s">
        <v>3875</v>
      </c>
      <c r="C1427" s="9">
        <v>43414.0</v>
      </c>
      <c r="D1427" s="9">
        <v>0.0</v>
      </c>
      <c r="E1427" s="9">
        <v>453.0</v>
      </c>
      <c r="F1427" s="7" t="s">
        <v>1196</v>
      </c>
      <c r="G1427" s="7" t="s">
        <v>364</v>
      </c>
      <c r="H1427" s="7" t="s">
        <v>365</v>
      </c>
      <c r="I1427" s="7" t="s">
        <v>355</v>
      </c>
      <c r="J1427" s="14"/>
      <c r="K1427" s="14"/>
      <c r="O1427" s="22"/>
      <c r="P1427" s="22"/>
      <c r="Q1427" s="23"/>
      <c r="R1427" s="23"/>
      <c r="S1427" s="14"/>
    </row>
    <row r="1428" ht="18.75" customHeight="1">
      <c r="A1428" s="7" t="s">
        <v>1289</v>
      </c>
      <c r="B1428" s="7" t="s">
        <v>3875</v>
      </c>
      <c r="C1428" s="9">
        <v>263575.0</v>
      </c>
      <c r="D1428" s="9">
        <v>0.0</v>
      </c>
      <c r="E1428" s="9">
        <v>480.0</v>
      </c>
      <c r="F1428" s="7" t="s">
        <v>1290</v>
      </c>
      <c r="G1428" s="7" t="s">
        <v>364</v>
      </c>
      <c r="H1428" s="7" t="s">
        <v>365</v>
      </c>
      <c r="I1428" s="7" t="s">
        <v>355</v>
      </c>
      <c r="J1428" s="14"/>
      <c r="K1428" s="14"/>
      <c r="O1428" s="22"/>
      <c r="P1428" s="22"/>
      <c r="Q1428" s="23"/>
      <c r="R1428" s="23"/>
      <c r="S1428" s="14"/>
    </row>
    <row r="1429" ht="18.75" customHeight="1">
      <c r="A1429" s="7" t="s">
        <v>1289</v>
      </c>
      <c r="B1429" s="7" t="s">
        <v>3875</v>
      </c>
      <c r="C1429" s="9">
        <v>317187.0</v>
      </c>
      <c r="D1429" s="9">
        <v>0.0</v>
      </c>
      <c r="E1429" s="9">
        <v>323.0</v>
      </c>
      <c r="F1429" s="7" t="s">
        <v>1290</v>
      </c>
      <c r="G1429" s="7" t="s">
        <v>364</v>
      </c>
      <c r="H1429" s="7" t="s">
        <v>365</v>
      </c>
      <c r="I1429" s="7" t="s">
        <v>355</v>
      </c>
      <c r="J1429" s="14"/>
      <c r="K1429" s="14"/>
      <c r="O1429" s="22"/>
      <c r="P1429" s="22"/>
      <c r="Q1429" s="23"/>
      <c r="R1429" s="23"/>
      <c r="S1429" s="14"/>
    </row>
    <row r="1430" ht="18.75" customHeight="1">
      <c r="A1430" s="7" t="s">
        <v>1293</v>
      </c>
      <c r="B1430" s="7" t="s">
        <v>3875</v>
      </c>
      <c r="C1430" s="9">
        <v>1141707.0</v>
      </c>
      <c r="D1430" s="9">
        <v>0.0</v>
      </c>
      <c r="E1430" s="9">
        <v>1404.0</v>
      </c>
      <c r="F1430" s="7" t="s">
        <v>1294</v>
      </c>
      <c r="G1430" s="7" t="s">
        <v>364</v>
      </c>
      <c r="H1430" s="7" t="s">
        <v>365</v>
      </c>
      <c r="I1430" s="7" t="s">
        <v>355</v>
      </c>
      <c r="J1430" s="14"/>
      <c r="K1430" s="14"/>
      <c r="O1430" s="22"/>
      <c r="P1430" s="22"/>
      <c r="Q1430" s="23"/>
      <c r="R1430" s="23"/>
      <c r="S1430" s="14"/>
    </row>
    <row r="1431" ht="18.75" customHeight="1">
      <c r="A1431" s="7" t="s">
        <v>1187</v>
      </c>
      <c r="B1431" s="7" t="s">
        <v>3875</v>
      </c>
      <c r="C1431" s="9">
        <v>139539.0</v>
      </c>
      <c r="D1431" s="9">
        <v>14204.0</v>
      </c>
      <c r="E1431" s="9">
        <v>168.0</v>
      </c>
      <c r="F1431" s="7" t="s">
        <v>1188</v>
      </c>
      <c r="G1431" s="7" t="s">
        <v>416</v>
      </c>
      <c r="H1431" s="7" t="s">
        <v>417</v>
      </c>
      <c r="I1431" s="7" t="s">
        <v>355</v>
      </c>
      <c r="J1431" s="14"/>
      <c r="K1431" s="14"/>
      <c r="O1431" s="22"/>
      <c r="P1431" s="22"/>
      <c r="Q1431" s="23"/>
      <c r="R1431" s="23"/>
      <c r="S1431" s="14"/>
    </row>
    <row r="1432" ht="18.75" customHeight="1">
      <c r="A1432" s="7" t="s">
        <v>1267</v>
      </c>
      <c r="B1432" s="7" t="s">
        <v>3875</v>
      </c>
      <c r="C1432" s="9">
        <v>181652.0</v>
      </c>
      <c r="D1432" s="9">
        <v>18780.0</v>
      </c>
      <c r="E1432" s="9">
        <v>174.0</v>
      </c>
      <c r="F1432" s="7" t="s">
        <v>1268</v>
      </c>
      <c r="G1432" s="7" t="s">
        <v>416</v>
      </c>
      <c r="H1432" s="7" t="s">
        <v>417</v>
      </c>
      <c r="I1432" s="7" t="s">
        <v>355</v>
      </c>
      <c r="J1432" s="14"/>
      <c r="K1432" s="14"/>
      <c r="O1432" s="22"/>
      <c r="P1432" s="22"/>
      <c r="Q1432" s="23"/>
      <c r="R1432" s="23"/>
      <c r="S1432" s="14"/>
    </row>
    <row r="1433" ht="18.75" customHeight="1">
      <c r="A1433" s="7" t="s">
        <v>1131</v>
      </c>
      <c r="B1433" s="7" t="s">
        <v>3875</v>
      </c>
      <c r="C1433" s="9">
        <v>0.0</v>
      </c>
      <c r="D1433" s="9">
        <v>0.0</v>
      </c>
      <c r="E1433" s="9">
        <v>0.0</v>
      </c>
      <c r="F1433" s="7" t="s">
        <v>1132</v>
      </c>
      <c r="G1433" s="7" t="s">
        <v>404</v>
      </c>
      <c r="H1433" s="7" t="s">
        <v>760</v>
      </c>
      <c r="I1433" s="7" t="s">
        <v>355</v>
      </c>
      <c r="J1433" s="14"/>
      <c r="K1433" s="14"/>
      <c r="O1433" s="22"/>
      <c r="P1433" s="22"/>
      <c r="Q1433" s="23"/>
      <c r="R1433" s="23"/>
      <c r="S1433" s="14"/>
    </row>
    <row r="1434" ht="18.75" customHeight="1">
      <c r="A1434" s="7" t="s">
        <v>1399</v>
      </c>
      <c r="B1434" s="7" t="s">
        <v>3875</v>
      </c>
      <c r="C1434" s="9">
        <v>15305.0</v>
      </c>
      <c r="D1434" s="9">
        <v>0.0</v>
      </c>
      <c r="E1434" s="9">
        <v>749.0</v>
      </c>
      <c r="F1434" s="7" t="s">
        <v>1400</v>
      </c>
      <c r="G1434" s="7" t="s">
        <v>416</v>
      </c>
      <c r="H1434" s="7" t="s">
        <v>417</v>
      </c>
      <c r="I1434" s="7" t="s">
        <v>355</v>
      </c>
      <c r="J1434" s="14"/>
      <c r="K1434" s="14"/>
      <c r="O1434" s="22"/>
      <c r="P1434" s="22"/>
      <c r="Q1434" s="23"/>
      <c r="R1434" s="23"/>
      <c r="S1434" s="14"/>
    </row>
    <row r="1435" ht="18.75" customHeight="1">
      <c r="A1435" s="7" t="s">
        <v>1307</v>
      </c>
      <c r="B1435" s="7" t="s">
        <v>3875</v>
      </c>
      <c r="C1435" s="9">
        <v>550367.0</v>
      </c>
      <c r="D1435" s="9">
        <v>19973.0</v>
      </c>
      <c r="E1435" s="9">
        <v>638.0</v>
      </c>
      <c r="F1435" s="7" t="s">
        <v>1308</v>
      </c>
      <c r="G1435" s="7" t="s">
        <v>416</v>
      </c>
      <c r="H1435" s="7" t="s">
        <v>417</v>
      </c>
      <c r="I1435" s="7" t="s">
        <v>355</v>
      </c>
      <c r="J1435" s="14"/>
      <c r="K1435" s="14"/>
      <c r="O1435" s="22"/>
      <c r="P1435" s="22"/>
      <c r="Q1435" s="23"/>
      <c r="R1435" s="23"/>
      <c r="S1435" s="14"/>
    </row>
    <row r="1436" ht="18.75" customHeight="1">
      <c r="A1436" s="7" t="s">
        <v>1307</v>
      </c>
      <c r="B1436" s="7" t="s">
        <v>3875</v>
      </c>
      <c r="C1436" s="9">
        <v>544665.0</v>
      </c>
      <c r="D1436" s="9">
        <v>18964.0</v>
      </c>
      <c r="E1436" s="9">
        <v>732.0</v>
      </c>
      <c r="F1436" s="7" t="s">
        <v>1308</v>
      </c>
      <c r="G1436" s="7" t="s">
        <v>416</v>
      </c>
      <c r="H1436" s="7" t="s">
        <v>417</v>
      </c>
      <c r="I1436" s="7" t="s">
        <v>355</v>
      </c>
      <c r="J1436" s="14"/>
      <c r="K1436" s="14"/>
      <c r="O1436" s="22"/>
      <c r="P1436" s="22"/>
      <c r="Q1436" s="23"/>
      <c r="R1436" s="23"/>
      <c r="S1436" s="14"/>
    </row>
    <row r="1437" ht="18.75" customHeight="1">
      <c r="A1437" s="7" t="s">
        <v>1397</v>
      </c>
      <c r="B1437" s="7" t="s">
        <v>3875</v>
      </c>
      <c r="C1437" s="9">
        <v>38942.0</v>
      </c>
      <c r="D1437" s="9">
        <v>18143.0</v>
      </c>
      <c r="E1437" s="9">
        <v>1758.0</v>
      </c>
      <c r="F1437" s="7" t="s">
        <v>1398</v>
      </c>
      <c r="G1437" s="7" t="s">
        <v>416</v>
      </c>
      <c r="H1437" s="7" t="s">
        <v>417</v>
      </c>
      <c r="I1437" s="7" t="s">
        <v>355</v>
      </c>
      <c r="J1437" s="14"/>
      <c r="K1437" s="14"/>
      <c r="O1437" s="22"/>
      <c r="P1437" s="22"/>
      <c r="Q1437" s="23"/>
      <c r="R1437" s="23"/>
      <c r="S1437" s="14"/>
    </row>
    <row r="1438" ht="18.75" customHeight="1">
      <c r="A1438" s="7" t="s">
        <v>1409</v>
      </c>
      <c r="B1438" s="7" t="s">
        <v>3875</v>
      </c>
      <c r="C1438" s="9">
        <v>144196.0</v>
      </c>
      <c r="D1438" s="9">
        <v>0.0</v>
      </c>
      <c r="E1438" s="9">
        <v>514.0</v>
      </c>
      <c r="F1438" s="7" t="s">
        <v>1410</v>
      </c>
      <c r="G1438" s="7" t="s">
        <v>416</v>
      </c>
      <c r="H1438" s="7" t="s">
        <v>365</v>
      </c>
      <c r="I1438" s="7" t="s">
        <v>355</v>
      </c>
      <c r="J1438" s="14"/>
      <c r="K1438" s="14"/>
      <c r="O1438" s="22"/>
      <c r="P1438" s="22"/>
      <c r="Q1438" s="23"/>
      <c r="R1438" s="23"/>
      <c r="S1438" s="14"/>
    </row>
    <row r="1439" ht="18.75" customHeight="1">
      <c r="A1439" s="7" t="s">
        <v>1407</v>
      </c>
      <c r="B1439" s="7" t="s">
        <v>3875</v>
      </c>
      <c r="C1439" s="9">
        <v>2969.0</v>
      </c>
      <c r="D1439" s="9">
        <v>0.0</v>
      </c>
      <c r="E1439" s="9">
        <v>9.0</v>
      </c>
      <c r="F1439" s="7" t="s">
        <v>1408</v>
      </c>
      <c r="G1439" s="7" t="s">
        <v>416</v>
      </c>
      <c r="H1439" s="7" t="s">
        <v>594</v>
      </c>
      <c r="I1439" s="7" t="s">
        <v>355</v>
      </c>
      <c r="J1439" s="14"/>
      <c r="K1439" s="14"/>
      <c r="O1439" s="22"/>
      <c r="P1439" s="22"/>
      <c r="Q1439" s="23"/>
      <c r="R1439" s="23"/>
      <c r="S1439" s="14"/>
    </row>
    <row r="1440" ht="18.75" customHeight="1">
      <c r="A1440" s="7" t="s">
        <v>1403</v>
      </c>
      <c r="B1440" s="7" t="s">
        <v>3875</v>
      </c>
      <c r="C1440" s="9">
        <v>755385.0</v>
      </c>
      <c r="D1440" s="9">
        <v>0.0</v>
      </c>
      <c r="E1440" s="9">
        <v>763.0</v>
      </c>
      <c r="F1440" s="7" t="s">
        <v>1404</v>
      </c>
      <c r="G1440" s="7" t="s">
        <v>416</v>
      </c>
      <c r="H1440" s="7" t="s">
        <v>928</v>
      </c>
      <c r="I1440" s="7" t="s">
        <v>355</v>
      </c>
      <c r="J1440" s="14"/>
      <c r="K1440" s="14"/>
      <c r="O1440" s="22"/>
      <c r="P1440" s="22"/>
      <c r="Q1440" s="23"/>
      <c r="R1440" s="23"/>
      <c r="S1440" s="14"/>
    </row>
    <row r="1441" ht="18.75" customHeight="1">
      <c r="A1441" s="7" t="s">
        <v>1405</v>
      </c>
      <c r="B1441" s="7" t="s">
        <v>3875</v>
      </c>
      <c r="C1441" s="9">
        <v>240458.0</v>
      </c>
      <c r="D1441" s="9">
        <v>0.0</v>
      </c>
      <c r="E1441" s="9">
        <v>849.0</v>
      </c>
      <c r="F1441" s="7" t="s">
        <v>1406</v>
      </c>
      <c r="G1441" s="7" t="s">
        <v>416</v>
      </c>
      <c r="H1441" s="7" t="s">
        <v>667</v>
      </c>
      <c r="I1441" s="7" t="s">
        <v>355</v>
      </c>
      <c r="J1441" s="14"/>
      <c r="K1441" s="14"/>
      <c r="O1441" s="22"/>
      <c r="P1441" s="22"/>
      <c r="Q1441" s="23"/>
      <c r="R1441" s="23"/>
      <c r="S1441" s="14"/>
    </row>
    <row r="1442" ht="18.75" customHeight="1">
      <c r="A1442" s="7" t="s">
        <v>1413</v>
      </c>
      <c r="B1442" s="7" t="s">
        <v>3875</v>
      </c>
      <c r="C1442" s="9">
        <v>80850.0</v>
      </c>
      <c r="D1442" s="9">
        <v>0.0</v>
      </c>
      <c r="E1442" s="9">
        <v>178.0</v>
      </c>
      <c r="F1442" s="7" t="s">
        <v>1414</v>
      </c>
      <c r="G1442" s="7" t="s">
        <v>416</v>
      </c>
      <c r="H1442" s="7" t="s">
        <v>725</v>
      </c>
      <c r="I1442" s="7" t="s">
        <v>355</v>
      </c>
      <c r="J1442" s="14"/>
      <c r="K1442" s="14"/>
      <c r="O1442" s="22"/>
      <c r="P1442" s="22"/>
      <c r="Q1442" s="23"/>
      <c r="R1442" s="23"/>
      <c r="S1442" s="14"/>
    </row>
    <row r="1443" ht="18.75" customHeight="1">
      <c r="A1443" s="7" t="s">
        <v>1411</v>
      </c>
      <c r="B1443" s="7" t="s">
        <v>3875</v>
      </c>
      <c r="C1443" s="9">
        <v>137796.0</v>
      </c>
      <c r="D1443" s="9">
        <v>0.0</v>
      </c>
      <c r="E1443" s="9">
        <v>630.0</v>
      </c>
      <c r="F1443" s="7" t="s">
        <v>1412</v>
      </c>
      <c r="G1443" s="7" t="s">
        <v>416</v>
      </c>
      <c r="H1443" s="7" t="s">
        <v>378</v>
      </c>
      <c r="I1443" s="7" t="s">
        <v>355</v>
      </c>
      <c r="J1443" s="14"/>
      <c r="K1443" s="14"/>
      <c r="O1443" s="22"/>
      <c r="P1443" s="22"/>
      <c r="Q1443" s="23"/>
      <c r="R1443" s="23"/>
      <c r="S1443" s="14"/>
    </row>
    <row r="1444" ht="18.75" customHeight="1">
      <c r="A1444" s="7" t="s">
        <v>1347</v>
      </c>
      <c r="B1444" s="7" t="s">
        <v>3875</v>
      </c>
      <c r="C1444" s="9">
        <v>115984.0</v>
      </c>
      <c r="D1444" s="9">
        <v>0.0</v>
      </c>
      <c r="E1444" s="9">
        <v>994.0</v>
      </c>
      <c r="F1444" s="7" t="s">
        <v>1348</v>
      </c>
      <c r="G1444" s="7" t="s">
        <v>364</v>
      </c>
      <c r="H1444" s="7" t="s">
        <v>365</v>
      </c>
      <c r="I1444" s="7" t="s">
        <v>355</v>
      </c>
      <c r="J1444" s="14"/>
      <c r="K1444" s="14"/>
      <c r="O1444" s="22"/>
      <c r="P1444" s="22"/>
      <c r="Q1444" s="23"/>
      <c r="R1444" s="23"/>
      <c r="S1444" s="14"/>
    </row>
    <row r="1445" ht="18.75" customHeight="1">
      <c r="A1445" s="7" t="s">
        <v>1373</v>
      </c>
      <c r="B1445" s="7" t="s">
        <v>3875</v>
      </c>
      <c r="C1445" s="9">
        <v>1560425.0</v>
      </c>
      <c r="D1445" s="9">
        <v>24788.0</v>
      </c>
      <c r="E1445" s="9">
        <v>2354.0</v>
      </c>
      <c r="F1445" s="7" t="s">
        <v>1374</v>
      </c>
      <c r="G1445" s="7" t="s">
        <v>364</v>
      </c>
      <c r="H1445" s="7" t="s">
        <v>365</v>
      </c>
      <c r="I1445" s="7" t="s">
        <v>355</v>
      </c>
      <c r="J1445" s="14"/>
      <c r="K1445" s="14"/>
      <c r="O1445" s="22"/>
      <c r="P1445" s="22"/>
      <c r="Q1445" s="23"/>
      <c r="R1445" s="23"/>
      <c r="S1445" s="14"/>
    </row>
    <row r="1446" ht="18.75" customHeight="1">
      <c r="A1446" s="7" t="s">
        <v>1373</v>
      </c>
      <c r="B1446" s="7" t="s">
        <v>3875</v>
      </c>
      <c r="C1446" s="9">
        <v>304015.0</v>
      </c>
      <c r="D1446" s="9">
        <v>25534.0</v>
      </c>
      <c r="E1446" s="9">
        <v>423.0</v>
      </c>
      <c r="F1446" s="7" t="s">
        <v>1374</v>
      </c>
      <c r="G1446" s="7" t="s">
        <v>364</v>
      </c>
      <c r="H1446" s="7" t="s">
        <v>365</v>
      </c>
      <c r="I1446" s="7" t="s">
        <v>355</v>
      </c>
      <c r="J1446" s="14"/>
      <c r="K1446" s="14"/>
      <c r="O1446" s="22"/>
      <c r="P1446" s="22"/>
      <c r="Q1446" s="23"/>
      <c r="R1446" s="23"/>
      <c r="S1446" s="14"/>
    </row>
    <row r="1447" ht="18.75" customHeight="1">
      <c r="A1447" s="7" t="s">
        <v>1283</v>
      </c>
      <c r="B1447" s="7" t="s">
        <v>3875</v>
      </c>
      <c r="C1447" s="9">
        <v>1437042.0</v>
      </c>
      <c r="D1447" s="9">
        <v>0.0</v>
      </c>
      <c r="E1447" s="9">
        <v>3021.0</v>
      </c>
      <c r="F1447" s="7" t="s">
        <v>1284</v>
      </c>
      <c r="G1447" s="7" t="s">
        <v>503</v>
      </c>
      <c r="H1447" s="7" t="s">
        <v>928</v>
      </c>
      <c r="I1447" s="7" t="s">
        <v>355</v>
      </c>
      <c r="J1447" s="14"/>
      <c r="K1447" s="14"/>
      <c r="O1447" s="22"/>
      <c r="P1447" s="22"/>
      <c r="Q1447" s="23"/>
      <c r="R1447" s="23"/>
      <c r="S1447" s="14"/>
    </row>
    <row r="1448" ht="18.75" customHeight="1">
      <c r="A1448" s="7" t="s">
        <v>1223</v>
      </c>
      <c r="B1448" s="7" t="s">
        <v>3875</v>
      </c>
      <c r="C1448" s="9">
        <v>450199.0</v>
      </c>
      <c r="D1448" s="9">
        <v>0.0</v>
      </c>
      <c r="E1448" s="9">
        <v>840.0</v>
      </c>
      <c r="F1448" s="7" t="s">
        <v>1224</v>
      </c>
      <c r="G1448" s="7" t="s">
        <v>353</v>
      </c>
      <c r="H1448" s="7" t="s">
        <v>378</v>
      </c>
      <c r="I1448" s="7" t="s">
        <v>355</v>
      </c>
      <c r="J1448" s="14"/>
      <c r="K1448" s="14"/>
      <c r="O1448" s="22"/>
      <c r="P1448" s="22"/>
      <c r="Q1448" s="23"/>
      <c r="R1448" s="23"/>
      <c r="S1448" s="14"/>
    </row>
    <row r="1449" ht="18.75" customHeight="1">
      <c r="A1449" s="7" t="s">
        <v>1223</v>
      </c>
      <c r="B1449" s="7" t="s">
        <v>3875</v>
      </c>
      <c r="C1449" s="9">
        <v>338471.0</v>
      </c>
      <c r="D1449" s="9">
        <v>0.0</v>
      </c>
      <c r="E1449" s="9">
        <v>685.0</v>
      </c>
      <c r="F1449" s="7" t="s">
        <v>1224</v>
      </c>
      <c r="G1449" s="7" t="s">
        <v>353</v>
      </c>
      <c r="H1449" s="7" t="s">
        <v>378</v>
      </c>
      <c r="I1449" s="7" t="s">
        <v>355</v>
      </c>
      <c r="J1449" s="14"/>
      <c r="K1449" s="14"/>
      <c r="O1449" s="22"/>
      <c r="P1449" s="22"/>
      <c r="Q1449" s="23"/>
      <c r="R1449" s="23"/>
      <c r="S1449" s="14"/>
    </row>
    <row r="1450" ht="18.75" customHeight="1">
      <c r="A1450" s="7" t="s">
        <v>408</v>
      </c>
      <c r="B1450" s="7" t="s">
        <v>3875</v>
      </c>
      <c r="C1450" s="9">
        <v>146513.0</v>
      </c>
      <c r="D1450" s="9">
        <v>4559.0</v>
      </c>
      <c r="E1450" s="9">
        <v>2254.0</v>
      </c>
      <c r="F1450" s="7" t="s">
        <v>409</v>
      </c>
      <c r="G1450" s="7" t="s">
        <v>353</v>
      </c>
      <c r="H1450" s="7" t="s">
        <v>354</v>
      </c>
      <c r="I1450" s="7" t="s">
        <v>410</v>
      </c>
      <c r="J1450" s="14"/>
      <c r="K1450" s="14"/>
      <c r="O1450" s="22"/>
      <c r="P1450" s="22"/>
      <c r="Q1450" s="23"/>
      <c r="R1450" s="23"/>
      <c r="S1450" s="14"/>
    </row>
    <row r="1451" ht="18.75" customHeight="1">
      <c r="A1451" s="7" t="s">
        <v>408</v>
      </c>
      <c r="B1451" s="7" t="s">
        <v>3875</v>
      </c>
      <c r="C1451" s="9">
        <v>49774.0</v>
      </c>
      <c r="D1451" s="9">
        <v>1587.0</v>
      </c>
      <c r="E1451" s="9">
        <v>1629.0</v>
      </c>
      <c r="F1451" s="7" t="s">
        <v>409</v>
      </c>
      <c r="G1451" s="7" t="s">
        <v>353</v>
      </c>
      <c r="H1451" s="7" t="s">
        <v>354</v>
      </c>
      <c r="I1451" s="7" t="s">
        <v>410</v>
      </c>
      <c r="J1451" s="14"/>
      <c r="K1451" s="14"/>
      <c r="O1451" s="22"/>
      <c r="P1451" s="22"/>
      <c r="Q1451" s="23"/>
      <c r="R1451" s="23"/>
      <c r="S1451" s="14"/>
    </row>
    <row r="1452" ht="18.75" customHeight="1">
      <c r="A1452" s="7" t="s">
        <v>351</v>
      </c>
      <c r="B1452" s="7" t="s">
        <v>3875</v>
      </c>
      <c r="C1452" s="9">
        <v>296307.0</v>
      </c>
      <c r="D1452" s="9">
        <v>1378.0</v>
      </c>
      <c r="E1452" s="9">
        <v>411.0</v>
      </c>
      <c r="F1452" s="7" t="s">
        <v>352</v>
      </c>
      <c r="G1452" s="7" t="s">
        <v>353</v>
      </c>
      <c r="H1452" s="7" t="s">
        <v>354</v>
      </c>
      <c r="I1452" s="7" t="s">
        <v>410</v>
      </c>
      <c r="J1452" s="14"/>
      <c r="K1452" s="14"/>
      <c r="O1452" s="22"/>
      <c r="P1452" s="22"/>
      <c r="Q1452" s="23"/>
      <c r="R1452" s="23"/>
      <c r="S1452" s="14"/>
    </row>
    <row r="1453" ht="18.75" customHeight="1">
      <c r="A1453" s="7" t="s">
        <v>351</v>
      </c>
      <c r="B1453" s="7" t="s">
        <v>3875</v>
      </c>
      <c r="C1453" s="9">
        <v>249823.0</v>
      </c>
      <c r="D1453" s="9">
        <v>1550.0</v>
      </c>
      <c r="E1453" s="9">
        <v>412.0</v>
      </c>
      <c r="F1453" s="7" t="s">
        <v>352</v>
      </c>
      <c r="G1453" s="7" t="s">
        <v>353</v>
      </c>
      <c r="H1453" s="7" t="s">
        <v>354</v>
      </c>
      <c r="I1453" s="7" t="s">
        <v>410</v>
      </c>
      <c r="J1453" s="14"/>
      <c r="K1453" s="14"/>
      <c r="O1453" s="22"/>
      <c r="P1453" s="22"/>
      <c r="Q1453" s="23"/>
      <c r="R1453" s="23"/>
      <c r="S1453" s="14"/>
    </row>
    <row r="1454" ht="18.75" customHeight="1">
      <c r="A1454" s="7" t="s">
        <v>351</v>
      </c>
      <c r="B1454" s="7" t="s">
        <v>3875</v>
      </c>
      <c r="C1454" s="9">
        <v>113377.0</v>
      </c>
      <c r="D1454" s="9">
        <v>531.0</v>
      </c>
      <c r="E1454" s="9">
        <v>118.0</v>
      </c>
      <c r="F1454" s="7" t="s">
        <v>352</v>
      </c>
      <c r="G1454" s="7" t="s">
        <v>353</v>
      </c>
      <c r="H1454" s="7" t="s">
        <v>354</v>
      </c>
      <c r="I1454" s="7" t="s">
        <v>410</v>
      </c>
      <c r="J1454" s="14"/>
      <c r="K1454" s="14"/>
      <c r="O1454" s="22"/>
      <c r="P1454" s="22"/>
      <c r="Q1454" s="23"/>
      <c r="R1454" s="23"/>
      <c r="S1454" s="14"/>
    </row>
    <row r="1455" ht="18.75" customHeight="1">
      <c r="A1455" s="7" t="s">
        <v>351</v>
      </c>
      <c r="B1455" s="7" t="s">
        <v>3875</v>
      </c>
      <c r="C1455" s="9">
        <v>39184.0</v>
      </c>
      <c r="D1455" s="9">
        <v>12241.0</v>
      </c>
      <c r="E1455" s="9">
        <v>1186.0</v>
      </c>
      <c r="F1455" s="7" t="s">
        <v>352</v>
      </c>
      <c r="G1455" s="7" t="s">
        <v>353</v>
      </c>
      <c r="H1455" s="7" t="s">
        <v>354</v>
      </c>
      <c r="I1455" s="7" t="s">
        <v>410</v>
      </c>
      <c r="J1455" s="14"/>
      <c r="K1455" s="14"/>
      <c r="O1455" s="22"/>
      <c r="P1455" s="22"/>
      <c r="Q1455" s="23"/>
      <c r="R1455" s="23"/>
      <c r="S1455" s="14"/>
    </row>
    <row r="1456" ht="18.75" customHeight="1">
      <c r="A1456" s="7" t="s">
        <v>351</v>
      </c>
      <c r="B1456" s="7" t="s">
        <v>3875</v>
      </c>
      <c r="C1456" s="9">
        <v>22407.0</v>
      </c>
      <c r="D1456" s="9">
        <v>543.0</v>
      </c>
      <c r="E1456" s="9">
        <v>138.0</v>
      </c>
      <c r="F1456" s="7" t="s">
        <v>352</v>
      </c>
      <c r="G1456" s="7" t="s">
        <v>353</v>
      </c>
      <c r="H1456" s="7" t="s">
        <v>354</v>
      </c>
      <c r="I1456" s="7" t="s">
        <v>410</v>
      </c>
      <c r="J1456" s="14"/>
      <c r="K1456" s="14"/>
      <c r="O1456" s="22"/>
      <c r="P1456" s="22"/>
      <c r="Q1456" s="23"/>
      <c r="R1456" s="23"/>
      <c r="S1456" s="14"/>
    </row>
    <row r="1457" ht="18.75" customHeight="1">
      <c r="A1457" s="7" t="s">
        <v>351</v>
      </c>
      <c r="B1457" s="7" t="s">
        <v>3875</v>
      </c>
      <c r="C1457" s="9">
        <v>93832.0</v>
      </c>
      <c r="D1457" s="9">
        <v>25932.0</v>
      </c>
      <c r="E1457" s="9">
        <v>2334.0</v>
      </c>
      <c r="F1457" s="7" t="s">
        <v>352</v>
      </c>
      <c r="G1457" s="7" t="s">
        <v>353</v>
      </c>
      <c r="H1457" s="7" t="s">
        <v>354</v>
      </c>
      <c r="I1457" s="7" t="s">
        <v>410</v>
      </c>
      <c r="J1457" s="14"/>
      <c r="K1457" s="14"/>
      <c r="O1457" s="22"/>
      <c r="P1457" s="22"/>
      <c r="Q1457" s="23"/>
      <c r="R1457" s="23"/>
      <c r="S1457" s="14"/>
    </row>
    <row r="1458" ht="18.75" customHeight="1">
      <c r="A1458" s="7" t="s">
        <v>1305</v>
      </c>
      <c r="B1458" s="7" t="s">
        <v>3875</v>
      </c>
      <c r="C1458" s="9">
        <v>403329.0</v>
      </c>
      <c r="D1458" s="9">
        <v>52.0</v>
      </c>
      <c r="E1458" s="9">
        <v>556.0</v>
      </c>
      <c r="F1458" s="7" t="s">
        <v>1306</v>
      </c>
      <c r="G1458" s="7" t="s">
        <v>353</v>
      </c>
      <c r="H1458" s="7" t="s">
        <v>378</v>
      </c>
      <c r="I1458" s="7" t="s">
        <v>355</v>
      </c>
      <c r="J1458" s="14"/>
      <c r="K1458" s="14"/>
      <c r="O1458" s="22"/>
      <c r="P1458" s="22"/>
      <c r="Q1458" s="23"/>
      <c r="R1458" s="23"/>
      <c r="S1458" s="14"/>
    </row>
    <row r="1459" ht="18.75" customHeight="1">
      <c r="A1459" s="7" t="s">
        <v>1305</v>
      </c>
      <c r="B1459" s="7" t="s">
        <v>3875</v>
      </c>
      <c r="C1459" s="9">
        <v>243125.0</v>
      </c>
      <c r="D1459" s="9">
        <v>678.0</v>
      </c>
      <c r="E1459" s="9">
        <v>428.0</v>
      </c>
      <c r="F1459" s="7" t="s">
        <v>1306</v>
      </c>
      <c r="G1459" s="7" t="s">
        <v>353</v>
      </c>
      <c r="H1459" s="7" t="s">
        <v>378</v>
      </c>
      <c r="I1459" s="7" t="s">
        <v>355</v>
      </c>
      <c r="J1459" s="14"/>
      <c r="K1459" s="14"/>
      <c r="O1459" s="22"/>
      <c r="P1459" s="22"/>
      <c r="Q1459" s="23"/>
      <c r="R1459" s="23"/>
      <c r="S1459" s="14"/>
    </row>
    <row r="1460" ht="18.75" customHeight="1">
      <c r="A1460" s="7" t="s">
        <v>1299</v>
      </c>
      <c r="B1460" s="7" t="s">
        <v>3875</v>
      </c>
      <c r="C1460" s="9">
        <v>996029.0</v>
      </c>
      <c r="D1460" s="9">
        <v>43718.0</v>
      </c>
      <c r="E1460" s="9">
        <v>843.0</v>
      </c>
      <c r="F1460" s="7" t="s">
        <v>1300</v>
      </c>
      <c r="G1460" s="7" t="s">
        <v>364</v>
      </c>
      <c r="H1460" s="7" t="s">
        <v>688</v>
      </c>
      <c r="I1460" s="7" t="s">
        <v>355</v>
      </c>
      <c r="J1460" s="14"/>
      <c r="K1460" s="14"/>
      <c r="O1460" s="22"/>
      <c r="P1460" s="22"/>
      <c r="Q1460" s="23"/>
      <c r="R1460" s="23"/>
      <c r="S1460" s="14"/>
    </row>
    <row r="1461" ht="18.75" customHeight="1">
      <c r="A1461" s="7" t="s">
        <v>1299</v>
      </c>
      <c r="B1461" s="7" t="s">
        <v>3875</v>
      </c>
      <c r="C1461" s="9">
        <v>756168.0</v>
      </c>
      <c r="D1461" s="9">
        <v>22176.0</v>
      </c>
      <c r="E1461" s="9">
        <v>695.0</v>
      </c>
      <c r="F1461" s="7" t="s">
        <v>1300</v>
      </c>
      <c r="G1461" s="7" t="s">
        <v>364</v>
      </c>
      <c r="H1461" s="7" t="s">
        <v>688</v>
      </c>
      <c r="I1461" s="7" t="s">
        <v>355</v>
      </c>
      <c r="J1461" s="14"/>
      <c r="K1461" s="14"/>
      <c r="O1461" s="22"/>
      <c r="P1461" s="22"/>
      <c r="Q1461" s="23"/>
      <c r="R1461" s="23"/>
      <c r="S1461" s="14"/>
    </row>
    <row r="1462" ht="18.75" customHeight="1">
      <c r="A1462" s="7" t="s">
        <v>1131</v>
      </c>
      <c r="B1462" s="7" t="s">
        <v>3875</v>
      </c>
      <c r="C1462" s="9">
        <v>670842.0</v>
      </c>
      <c r="D1462" s="9">
        <v>55515.0</v>
      </c>
      <c r="E1462" s="9">
        <v>670.0</v>
      </c>
      <c r="F1462" s="7" t="s">
        <v>1132</v>
      </c>
      <c r="G1462" s="7" t="s">
        <v>404</v>
      </c>
      <c r="H1462" s="7" t="s">
        <v>760</v>
      </c>
      <c r="I1462" s="7" t="s">
        <v>355</v>
      </c>
      <c r="J1462" s="14"/>
      <c r="K1462" s="14"/>
      <c r="O1462" s="22"/>
      <c r="P1462" s="22"/>
      <c r="Q1462" s="23"/>
      <c r="R1462" s="23"/>
      <c r="S1462" s="14"/>
    </row>
    <row r="1463" ht="18.75" customHeight="1">
      <c r="A1463" s="7" t="s">
        <v>1371</v>
      </c>
      <c r="B1463" s="7" t="s">
        <v>3875</v>
      </c>
      <c r="C1463" s="9">
        <v>1721058.0</v>
      </c>
      <c r="D1463" s="9">
        <v>35382.0</v>
      </c>
      <c r="E1463" s="9">
        <v>2066.0</v>
      </c>
      <c r="F1463" s="7" t="s">
        <v>1372</v>
      </c>
      <c r="G1463" s="7" t="s">
        <v>358</v>
      </c>
      <c r="H1463" s="7" t="s">
        <v>466</v>
      </c>
      <c r="I1463" s="7" t="s">
        <v>355</v>
      </c>
      <c r="J1463" s="14"/>
      <c r="K1463" s="14"/>
      <c r="O1463" s="22"/>
      <c r="P1463" s="22"/>
      <c r="Q1463" s="23"/>
      <c r="R1463" s="23"/>
      <c r="S1463" s="14"/>
    </row>
    <row r="1464" ht="18.75" customHeight="1">
      <c r="A1464" s="7" t="s">
        <v>1371</v>
      </c>
      <c r="B1464" s="7" t="s">
        <v>3875</v>
      </c>
      <c r="C1464" s="9">
        <v>1288620.0</v>
      </c>
      <c r="D1464" s="9">
        <v>26743.0</v>
      </c>
      <c r="E1464" s="9">
        <v>2280.0</v>
      </c>
      <c r="F1464" s="7" t="s">
        <v>1372</v>
      </c>
      <c r="G1464" s="7" t="s">
        <v>358</v>
      </c>
      <c r="H1464" s="7" t="s">
        <v>466</v>
      </c>
      <c r="I1464" s="7" t="s">
        <v>355</v>
      </c>
      <c r="J1464" s="14"/>
      <c r="K1464" s="14"/>
      <c r="O1464" s="22"/>
      <c r="P1464" s="22"/>
      <c r="Q1464" s="23"/>
      <c r="R1464" s="23"/>
      <c r="S1464" s="14"/>
    </row>
    <row r="1465" ht="18.75" customHeight="1">
      <c r="A1465" s="7" t="s">
        <v>1001</v>
      </c>
      <c r="B1465" s="7" t="s">
        <v>3875</v>
      </c>
      <c r="C1465" s="9">
        <v>240163.0</v>
      </c>
      <c r="D1465" s="9">
        <v>606.0</v>
      </c>
      <c r="E1465" s="9">
        <v>892.0</v>
      </c>
      <c r="F1465" s="7" t="s">
        <v>1002</v>
      </c>
      <c r="G1465" s="7" t="s">
        <v>353</v>
      </c>
      <c r="H1465" s="7" t="s">
        <v>378</v>
      </c>
      <c r="I1465" s="7" t="s">
        <v>355</v>
      </c>
      <c r="J1465" s="14"/>
      <c r="K1465" s="14"/>
      <c r="O1465" s="22"/>
      <c r="P1465" s="22"/>
      <c r="Q1465" s="23"/>
      <c r="R1465" s="23"/>
      <c r="S1465" s="14"/>
    </row>
    <row r="1466" ht="18.75" customHeight="1">
      <c r="A1466" s="7" t="s">
        <v>1001</v>
      </c>
      <c r="B1466" s="7" t="s">
        <v>3875</v>
      </c>
      <c r="C1466" s="9">
        <v>251907.0</v>
      </c>
      <c r="D1466" s="9">
        <v>2850.0</v>
      </c>
      <c r="E1466" s="9">
        <v>1051.0</v>
      </c>
      <c r="F1466" s="7" t="s">
        <v>1002</v>
      </c>
      <c r="G1466" s="7" t="s">
        <v>353</v>
      </c>
      <c r="H1466" s="7" t="s">
        <v>378</v>
      </c>
      <c r="I1466" s="7" t="s">
        <v>355</v>
      </c>
      <c r="J1466" s="14"/>
      <c r="K1466" s="14"/>
      <c r="O1466" s="22"/>
      <c r="P1466" s="22"/>
      <c r="Q1466" s="23"/>
      <c r="R1466" s="23"/>
      <c r="S1466" s="14"/>
    </row>
    <row r="1467" ht="18.75" customHeight="1">
      <c r="A1467" s="7" t="s">
        <v>1001</v>
      </c>
      <c r="B1467" s="7" t="s">
        <v>3875</v>
      </c>
      <c r="C1467" s="9">
        <v>267345.0</v>
      </c>
      <c r="D1467" s="9">
        <v>0.0</v>
      </c>
      <c r="E1467" s="9">
        <v>796.0</v>
      </c>
      <c r="F1467" s="7" t="s">
        <v>1002</v>
      </c>
      <c r="G1467" s="7" t="s">
        <v>353</v>
      </c>
      <c r="H1467" s="7" t="s">
        <v>378</v>
      </c>
      <c r="I1467" s="7" t="s">
        <v>355</v>
      </c>
      <c r="J1467" s="14"/>
      <c r="K1467" s="14"/>
      <c r="O1467" s="22"/>
      <c r="P1467" s="22"/>
      <c r="Q1467" s="23"/>
      <c r="R1467" s="23"/>
      <c r="S1467" s="14"/>
    </row>
    <row r="1468" ht="18.75" customHeight="1">
      <c r="A1468" s="7" t="s">
        <v>1279</v>
      </c>
      <c r="B1468" s="7" t="s">
        <v>3875</v>
      </c>
      <c r="C1468" s="9">
        <v>399476.0</v>
      </c>
      <c r="D1468" s="9">
        <v>5015.0</v>
      </c>
      <c r="E1468" s="9">
        <v>1932.0</v>
      </c>
      <c r="F1468" s="7" t="s">
        <v>1280</v>
      </c>
      <c r="G1468" s="7" t="s">
        <v>353</v>
      </c>
      <c r="H1468" s="7" t="s">
        <v>378</v>
      </c>
      <c r="I1468" s="7" t="s">
        <v>355</v>
      </c>
      <c r="J1468" s="14"/>
      <c r="K1468" s="14"/>
      <c r="O1468" s="22"/>
      <c r="P1468" s="22"/>
      <c r="Q1468" s="23"/>
      <c r="R1468" s="23"/>
      <c r="S1468" s="14"/>
    </row>
    <row r="1469" ht="18.75" customHeight="1">
      <c r="A1469" s="7" t="s">
        <v>1369</v>
      </c>
      <c r="B1469" s="7" t="s">
        <v>3875</v>
      </c>
      <c r="C1469" s="9">
        <v>809241.0</v>
      </c>
      <c r="D1469" s="9">
        <v>0.0</v>
      </c>
      <c r="E1469" s="9">
        <v>1002.0</v>
      </c>
      <c r="F1469" s="7" t="s">
        <v>1370</v>
      </c>
      <c r="G1469" s="7" t="s">
        <v>353</v>
      </c>
      <c r="H1469" s="7" t="s">
        <v>378</v>
      </c>
      <c r="I1469" s="7" t="s">
        <v>355</v>
      </c>
      <c r="J1469" s="14"/>
      <c r="K1469" s="14"/>
      <c r="O1469" s="22"/>
      <c r="P1469" s="22"/>
      <c r="Q1469" s="23"/>
      <c r="R1469" s="23"/>
      <c r="S1469" s="14"/>
    </row>
    <row r="1470" ht="18.75" customHeight="1">
      <c r="A1470" s="7" t="s">
        <v>1369</v>
      </c>
      <c r="B1470" s="7" t="s">
        <v>3875</v>
      </c>
      <c r="C1470" s="9">
        <v>399970.0</v>
      </c>
      <c r="D1470" s="9">
        <v>0.0</v>
      </c>
      <c r="E1470" s="9">
        <v>694.0</v>
      </c>
      <c r="F1470" s="7" t="s">
        <v>1370</v>
      </c>
      <c r="G1470" s="7" t="s">
        <v>353</v>
      </c>
      <c r="H1470" s="7" t="s">
        <v>378</v>
      </c>
      <c r="I1470" s="7" t="s">
        <v>355</v>
      </c>
      <c r="J1470" s="14"/>
      <c r="K1470" s="14"/>
      <c r="O1470" s="22"/>
      <c r="P1470" s="22"/>
      <c r="Q1470" s="23"/>
      <c r="R1470" s="23"/>
      <c r="S1470" s="14"/>
    </row>
    <row r="1471" ht="18.75" customHeight="1">
      <c r="A1471" s="7" t="s">
        <v>1391</v>
      </c>
      <c r="B1471" s="7" t="s">
        <v>3875</v>
      </c>
      <c r="C1471" s="9">
        <v>1248574.0</v>
      </c>
      <c r="D1471" s="9">
        <v>17408.0</v>
      </c>
      <c r="E1471" s="9">
        <v>1698.0</v>
      </c>
      <c r="F1471" s="7" t="s">
        <v>1392</v>
      </c>
      <c r="G1471" s="7" t="s">
        <v>353</v>
      </c>
      <c r="H1471" s="7" t="s">
        <v>378</v>
      </c>
      <c r="I1471" s="7" t="s">
        <v>355</v>
      </c>
      <c r="J1471" s="14"/>
      <c r="K1471" s="14"/>
      <c r="O1471" s="22"/>
      <c r="P1471" s="22"/>
      <c r="Q1471" s="23"/>
      <c r="R1471" s="23"/>
      <c r="S1471" s="14"/>
    </row>
    <row r="1472" ht="18.75" customHeight="1">
      <c r="A1472" s="7" t="s">
        <v>1391</v>
      </c>
      <c r="B1472" s="7" t="s">
        <v>3875</v>
      </c>
      <c r="C1472" s="9">
        <v>715442.0</v>
      </c>
      <c r="D1472" s="9">
        <v>18605.0</v>
      </c>
      <c r="E1472" s="9">
        <v>845.0</v>
      </c>
      <c r="F1472" s="7" t="s">
        <v>1392</v>
      </c>
      <c r="G1472" s="7" t="s">
        <v>353</v>
      </c>
      <c r="H1472" s="7" t="s">
        <v>378</v>
      </c>
      <c r="I1472" s="7" t="s">
        <v>355</v>
      </c>
      <c r="J1472" s="14"/>
      <c r="K1472" s="14"/>
      <c r="O1472" s="22"/>
      <c r="P1472" s="22"/>
      <c r="Q1472" s="23"/>
      <c r="R1472" s="23"/>
      <c r="S1472" s="14"/>
    </row>
    <row r="1473" ht="18.75" customHeight="1">
      <c r="A1473" s="7" t="s">
        <v>529</v>
      </c>
      <c r="B1473" s="7" t="s">
        <v>3875</v>
      </c>
      <c r="C1473" s="9">
        <v>24662.0</v>
      </c>
      <c r="D1473" s="9">
        <v>0.0</v>
      </c>
      <c r="E1473" s="9">
        <v>78.0</v>
      </c>
      <c r="F1473" s="7" t="s">
        <v>530</v>
      </c>
      <c r="G1473" s="7" t="s">
        <v>358</v>
      </c>
      <c r="H1473" s="7" t="s">
        <v>387</v>
      </c>
      <c r="I1473" s="7" t="s">
        <v>355</v>
      </c>
      <c r="J1473" s="14"/>
      <c r="K1473" s="14"/>
      <c r="O1473" s="22"/>
      <c r="P1473" s="22"/>
      <c r="Q1473" s="23"/>
      <c r="R1473" s="23"/>
      <c r="S1473" s="14"/>
    </row>
    <row r="1474" ht="18.75" customHeight="1">
      <c r="A1474" s="7" t="s">
        <v>529</v>
      </c>
      <c r="B1474" s="7" t="s">
        <v>3875</v>
      </c>
      <c r="C1474" s="9">
        <v>47631.0</v>
      </c>
      <c r="D1474" s="9">
        <v>0.0</v>
      </c>
      <c r="E1474" s="9">
        <v>152.0</v>
      </c>
      <c r="F1474" s="7" t="s">
        <v>530</v>
      </c>
      <c r="G1474" s="7" t="s">
        <v>358</v>
      </c>
      <c r="H1474" s="7" t="s">
        <v>387</v>
      </c>
      <c r="I1474" s="7" t="s">
        <v>355</v>
      </c>
      <c r="J1474" s="14"/>
      <c r="K1474" s="14"/>
      <c r="O1474" s="22"/>
      <c r="P1474" s="22"/>
      <c r="Q1474" s="23"/>
      <c r="R1474" s="23"/>
      <c r="S1474" s="14"/>
    </row>
    <row r="1475" ht="18.75" customHeight="1">
      <c r="A1475" s="7" t="s">
        <v>529</v>
      </c>
      <c r="B1475" s="7" t="s">
        <v>3875</v>
      </c>
      <c r="C1475" s="9">
        <v>81964.0</v>
      </c>
      <c r="D1475" s="9">
        <v>0.0</v>
      </c>
      <c r="E1475" s="9">
        <v>356.0</v>
      </c>
      <c r="F1475" s="7" t="s">
        <v>530</v>
      </c>
      <c r="G1475" s="7" t="s">
        <v>358</v>
      </c>
      <c r="H1475" s="7" t="s">
        <v>387</v>
      </c>
      <c r="I1475" s="7" t="s">
        <v>355</v>
      </c>
      <c r="J1475" s="14"/>
      <c r="K1475" s="14"/>
      <c r="O1475" s="22"/>
      <c r="P1475" s="22"/>
      <c r="Q1475" s="23"/>
      <c r="R1475" s="23"/>
      <c r="S1475" s="14"/>
    </row>
    <row r="1476" ht="18.75" customHeight="1">
      <c r="A1476" s="7" t="s">
        <v>991</v>
      </c>
      <c r="B1476" s="7" t="s">
        <v>3875</v>
      </c>
      <c r="C1476" s="9">
        <v>137713.0</v>
      </c>
      <c r="D1476" s="9">
        <v>26355.0</v>
      </c>
      <c r="E1476" s="9">
        <v>88.0</v>
      </c>
      <c r="F1476" s="7" t="s">
        <v>992</v>
      </c>
      <c r="G1476" s="7" t="s">
        <v>404</v>
      </c>
      <c r="H1476" s="7" t="s">
        <v>667</v>
      </c>
      <c r="I1476" s="7" t="s">
        <v>355</v>
      </c>
      <c r="J1476" s="14"/>
      <c r="K1476" s="14"/>
      <c r="O1476" s="22"/>
      <c r="P1476" s="22"/>
      <c r="Q1476" s="23"/>
      <c r="R1476" s="23"/>
      <c r="S1476" s="14"/>
    </row>
    <row r="1477" ht="18.75" customHeight="1">
      <c r="A1477" s="7" t="s">
        <v>1439</v>
      </c>
      <c r="B1477" s="7" t="s">
        <v>3875</v>
      </c>
      <c r="C1477" s="9">
        <v>33308.0</v>
      </c>
      <c r="D1477" s="9">
        <v>0.0</v>
      </c>
      <c r="E1477" s="9">
        <v>798.0</v>
      </c>
      <c r="F1477" s="7" t="s">
        <v>1440</v>
      </c>
      <c r="G1477" s="7" t="s">
        <v>364</v>
      </c>
      <c r="H1477" s="7" t="s">
        <v>365</v>
      </c>
      <c r="I1477" s="7" t="s">
        <v>355</v>
      </c>
      <c r="J1477" s="14"/>
      <c r="K1477" s="14"/>
      <c r="O1477" s="22"/>
      <c r="P1477" s="22"/>
      <c r="Q1477" s="23"/>
      <c r="R1477" s="23"/>
      <c r="S1477" s="14"/>
    </row>
    <row r="1478" ht="18.75" customHeight="1">
      <c r="A1478" s="7" t="s">
        <v>1437</v>
      </c>
      <c r="B1478" s="7" t="s">
        <v>3875</v>
      </c>
      <c r="C1478" s="9">
        <v>574425.0</v>
      </c>
      <c r="D1478" s="9">
        <v>47845.0</v>
      </c>
      <c r="E1478" s="9">
        <v>1277.0</v>
      </c>
      <c r="F1478" s="7" t="s">
        <v>1438</v>
      </c>
      <c r="G1478" s="7" t="s">
        <v>358</v>
      </c>
      <c r="H1478" s="7" t="s">
        <v>466</v>
      </c>
      <c r="I1478" s="7" t="s">
        <v>355</v>
      </c>
      <c r="J1478" s="14"/>
      <c r="K1478" s="14"/>
      <c r="O1478" s="22"/>
      <c r="P1478" s="22"/>
      <c r="Q1478" s="23"/>
      <c r="R1478" s="23"/>
      <c r="S1478" s="14"/>
    </row>
    <row r="1479" ht="18.75" customHeight="1">
      <c r="A1479" s="7" t="s">
        <v>1435</v>
      </c>
      <c r="B1479" s="7" t="s">
        <v>3875</v>
      </c>
      <c r="C1479" s="9">
        <v>521081.0</v>
      </c>
      <c r="D1479" s="9">
        <v>56922.0</v>
      </c>
      <c r="E1479" s="9">
        <v>1173.0</v>
      </c>
      <c r="F1479" s="7" t="s">
        <v>1436</v>
      </c>
      <c r="G1479" s="7" t="s">
        <v>358</v>
      </c>
      <c r="H1479" s="7" t="s">
        <v>466</v>
      </c>
      <c r="I1479" s="7" t="s">
        <v>355</v>
      </c>
      <c r="J1479" s="14"/>
      <c r="K1479" s="14"/>
      <c r="O1479" s="22"/>
      <c r="P1479" s="22"/>
      <c r="Q1479" s="23"/>
      <c r="R1479" s="23"/>
      <c r="S1479" s="14"/>
    </row>
    <row r="1480" ht="18.75" customHeight="1">
      <c r="A1480" s="7" t="s">
        <v>1435</v>
      </c>
      <c r="B1480" s="7" t="s">
        <v>3875</v>
      </c>
      <c r="C1480" s="9">
        <v>555599.0</v>
      </c>
      <c r="D1480" s="9">
        <v>64439.0</v>
      </c>
      <c r="E1480" s="9">
        <v>1202.0</v>
      </c>
      <c r="F1480" s="7" t="s">
        <v>1436</v>
      </c>
      <c r="G1480" s="7" t="s">
        <v>358</v>
      </c>
      <c r="H1480" s="7" t="s">
        <v>466</v>
      </c>
      <c r="I1480" s="7" t="s">
        <v>355</v>
      </c>
      <c r="J1480" s="14"/>
      <c r="K1480" s="14"/>
      <c r="O1480" s="22"/>
      <c r="P1480" s="22"/>
      <c r="Q1480" s="23"/>
      <c r="R1480" s="23"/>
      <c r="S1480" s="14"/>
    </row>
    <row r="1481" ht="18.75" customHeight="1">
      <c r="A1481" s="7" t="s">
        <v>1437</v>
      </c>
      <c r="B1481" s="7" t="s">
        <v>3875</v>
      </c>
      <c r="C1481" s="9">
        <v>546529.0</v>
      </c>
      <c r="D1481" s="9">
        <v>40552.0</v>
      </c>
      <c r="E1481" s="9">
        <v>948.0</v>
      </c>
      <c r="F1481" s="7" t="s">
        <v>1438</v>
      </c>
      <c r="G1481" s="7" t="s">
        <v>358</v>
      </c>
      <c r="H1481" s="7" t="s">
        <v>466</v>
      </c>
      <c r="I1481" s="7" t="s">
        <v>355</v>
      </c>
      <c r="J1481" s="14"/>
      <c r="K1481" s="14"/>
      <c r="O1481" s="22"/>
      <c r="P1481" s="22"/>
      <c r="Q1481" s="23"/>
      <c r="R1481" s="23"/>
      <c r="S1481" s="14"/>
    </row>
    <row r="1482" ht="18.75" customHeight="1">
      <c r="A1482" s="7" t="s">
        <v>1417</v>
      </c>
      <c r="B1482" s="7" t="s">
        <v>3875</v>
      </c>
      <c r="C1482" s="9">
        <v>313207.0</v>
      </c>
      <c r="D1482" s="9">
        <v>0.0</v>
      </c>
      <c r="E1482" s="9">
        <v>415.0</v>
      </c>
      <c r="F1482" s="7" t="s">
        <v>1418</v>
      </c>
      <c r="G1482" s="7" t="s">
        <v>416</v>
      </c>
      <c r="H1482" s="7" t="s">
        <v>466</v>
      </c>
      <c r="I1482" s="7" t="s">
        <v>355</v>
      </c>
      <c r="J1482" s="14"/>
      <c r="K1482" s="14"/>
      <c r="O1482" s="22"/>
      <c r="P1482" s="22"/>
      <c r="Q1482" s="23"/>
      <c r="R1482" s="23"/>
      <c r="S1482" s="14"/>
    </row>
    <row r="1483" ht="18.75" customHeight="1">
      <c r="A1483" s="7" t="s">
        <v>1415</v>
      </c>
      <c r="B1483" s="7" t="s">
        <v>3875</v>
      </c>
      <c r="C1483" s="9">
        <v>160512.0</v>
      </c>
      <c r="D1483" s="9">
        <v>0.0</v>
      </c>
      <c r="E1483" s="9">
        <v>293.0</v>
      </c>
      <c r="F1483" s="7" t="s">
        <v>1416</v>
      </c>
      <c r="G1483" s="7" t="s">
        <v>416</v>
      </c>
      <c r="H1483" s="7" t="s">
        <v>466</v>
      </c>
      <c r="I1483" s="7" t="s">
        <v>355</v>
      </c>
      <c r="J1483" s="14"/>
      <c r="K1483" s="14"/>
      <c r="O1483" s="22"/>
      <c r="P1483" s="22"/>
      <c r="Q1483" s="23"/>
      <c r="R1483" s="23"/>
      <c r="S1483" s="14"/>
    </row>
    <row r="1484" ht="18.75" customHeight="1">
      <c r="A1484" s="7" t="s">
        <v>1421</v>
      </c>
      <c r="B1484" s="7" t="s">
        <v>3875</v>
      </c>
      <c r="C1484" s="9">
        <v>128925.0</v>
      </c>
      <c r="D1484" s="9">
        <v>0.0</v>
      </c>
      <c r="E1484" s="9">
        <v>480.0</v>
      </c>
      <c r="F1484" s="7" t="s">
        <v>1422</v>
      </c>
      <c r="G1484" s="7" t="s">
        <v>416</v>
      </c>
      <c r="H1484" s="7" t="s">
        <v>466</v>
      </c>
      <c r="I1484" s="7" t="s">
        <v>355</v>
      </c>
      <c r="J1484" s="14"/>
      <c r="K1484" s="14"/>
      <c r="O1484" s="22"/>
      <c r="P1484" s="22"/>
      <c r="Q1484" s="23"/>
      <c r="R1484" s="23"/>
      <c r="S1484" s="14"/>
    </row>
    <row r="1485" ht="18.75" customHeight="1">
      <c r="A1485" s="7" t="s">
        <v>1433</v>
      </c>
      <c r="B1485" s="7" t="s">
        <v>3875</v>
      </c>
      <c r="C1485" s="9">
        <v>462114.0</v>
      </c>
      <c r="D1485" s="9">
        <v>0.0</v>
      </c>
      <c r="E1485" s="9">
        <v>487.0</v>
      </c>
      <c r="F1485" s="7" t="s">
        <v>1434</v>
      </c>
      <c r="G1485" s="7" t="s">
        <v>416</v>
      </c>
      <c r="H1485" s="7" t="s">
        <v>354</v>
      </c>
      <c r="I1485" s="7" t="s">
        <v>355</v>
      </c>
      <c r="J1485" s="14"/>
      <c r="K1485" s="14"/>
      <c r="O1485" s="22"/>
      <c r="P1485" s="22"/>
      <c r="Q1485" s="23"/>
      <c r="R1485" s="23"/>
      <c r="S1485" s="14"/>
    </row>
    <row r="1486" ht="18.75" customHeight="1">
      <c r="A1486" s="7" t="s">
        <v>1419</v>
      </c>
      <c r="B1486" s="7" t="s">
        <v>3875</v>
      </c>
      <c r="C1486" s="9">
        <v>159514.0</v>
      </c>
      <c r="D1486" s="9">
        <v>0.0</v>
      </c>
      <c r="E1486" s="9">
        <v>464.0</v>
      </c>
      <c r="F1486" s="7" t="s">
        <v>1420</v>
      </c>
      <c r="G1486" s="7" t="s">
        <v>416</v>
      </c>
      <c r="H1486" s="7" t="s">
        <v>466</v>
      </c>
      <c r="I1486" s="7" t="s">
        <v>355</v>
      </c>
      <c r="J1486" s="14"/>
      <c r="K1486" s="14"/>
      <c r="O1486" s="22"/>
      <c r="P1486" s="22"/>
      <c r="Q1486" s="23"/>
      <c r="R1486" s="23"/>
      <c r="S1486" s="14"/>
    </row>
    <row r="1487" ht="18.75" customHeight="1">
      <c r="A1487" s="7" t="s">
        <v>1345</v>
      </c>
      <c r="B1487" s="7" t="s">
        <v>3875</v>
      </c>
      <c r="C1487" s="9">
        <v>204921.0</v>
      </c>
      <c r="D1487" s="9">
        <v>27159.0</v>
      </c>
      <c r="E1487" s="9">
        <v>399.0</v>
      </c>
      <c r="F1487" s="7" t="s">
        <v>1346</v>
      </c>
      <c r="G1487" s="7" t="s">
        <v>416</v>
      </c>
      <c r="H1487" s="7" t="s">
        <v>417</v>
      </c>
      <c r="I1487" s="7" t="s">
        <v>355</v>
      </c>
      <c r="J1487" s="14"/>
      <c r="K1487" s="14"/>
      <c r="O1487" s="22"/>
      <c r="P1487" s="22"/>
      <c r="Q1487" s="23"/>
      <c r="R1487" s="23"/>
      <c r="S1487" s="14"/>
    </row>
    <row r="1488" ht="18.75" customHeight="1">
      <c r="A1488" s="7" t="s">
        <v>1351</v>
      </c>
      <c r="B1488" s="7" t="s">
        <v>3875</v>
      </c>
      <c r="C1488" s="9">
        <v>567441.0</v>
      </c>
      <c r="D1488" s="9">
        <v>14814.0</v>
      </c>
      <c r="E1488" s="9">
        <v>685.0</v>
      </c>
      <c r="F1488" s="7" t="s">
        <v>1352</v>
      </c>
      <c r="G1488" s="7" t="s">
        <v>416</v>
      </c>
      <c r="H1488" s="7" t="s">
        <v>417</v>
      </c>
      <c r="I1488" s="7" t="s">
        <v>355</v>
      </c>
      <c r="J1488" s="14"/>
      <c r="K1488" s="14"/>
      <c r="O1488" s="22"/>
      <c r="P1488" s="22"/>
      <c r="Q1488" s="23"/>
      <c r="R1488" s="23"/>
      <c r="S1488" s="14"/>
    </row>
    <row r="1489" ht="18.75" customHeight="1">
      <c r="A1489" s="7" t="s">
        <v>565</v>
      </c>
      <c r="B1489" s="7" t="s">
        <v>3875</v>
      </c>
      <c r="C1489" s="9">
        <v>849911.0</v>
      </c>
      <c r="D1489" s="9">
        <v>49464.0</v>
      </c>
      <c r="E1489" s="9">
        <v>778.0</v>
      </c>
      <c r="F1489" s="7" t="s">
        <v>566</v>
      </c>
      <c r="G1489" s="7" t="s">
        <v>364</v>
      </c>
      <c r="H1489" s="7" t="s">
        <v>365</v>
      </c>
      <c r="I1489" s="7" t="s">
        <v>355</v>
      </c>
      <c r="J1489" s="14"/>
      <c r="K1489" s="14"/>
      <c r="O1489" s="22"/>
      <c r="P1489" s="22"/>
      <c r="Q1489" s="23"/>
      <c r="R1489" s="23"/>
      <c r="S1489" s="14"/>
    </row>
    <row r="1490" ht="18.75" customHeight="1">
      <c r="A1490" s="7" t="s">
        <v>1449</v>
      </c>
      <c r="B1490" s="7" t="s">
        <v>3875</v>
      </c>
      <c r="C1490" s="9">
        <v>32890.0</v>
      </c>
      <c r="D1490" s="9">
        <v>0.0</v>
      </c>
      <c r="E1490" s="9">
        <v>141.0</v>
      </c>
      <c r="F1490" s="7" t="s">
        <v>1450</v>
      </c>
      <c r="G1490" s="7" t="s">
        <v>416</v>
      </c>
      <c r="H1490" s="7" t="s">
        <v>594</v>
      </c>
      <c r="I1490" s="7" t="s">
        <v>355</v>
      </c>
      <c r="J1490" s="14"/>
      <c r="K1490" s="14"/>
      <c r="O1490" s="22"/>
      <c r="P1490" s="22"/>
      <c r="Q1490" s="23"/>
      <c r="R1490" s="23"/>
      <c r="S1490" s="14"/>
    </row>
    <row r="1491" ht="18.75" customHeight="1">
      <c r="A1491" s="7" t="s">
        <v>1447</v>
      </c>
      <c r="B1491" s="7" t="s">
        <v>3875</v>
      </c>
      <c r="C1491" s="9">
        <v>103062.0</v>
      </c>
      <c r="D1491" s="9">
        <v>0.0</v>
      </c>
      <c r="E1491" s="9">
        <v>411.0</v>
      </c>
      <c r="F1491" s="7" t="s">
        <v>1448</v>
      </c>
      <c r="G1491" s="7" t="s">
        <v>416</v>
      </c>
      <c r="H1491" s="7" t="s">
        <v>725</v>
      </c>
      <c r="I1491" s="7" t="s">
        <v>355</v>
      </c>
      <c r="J1491" s="14"/>
      <c r="K1491" s="14"/>
      <c r="O1491" s="22"/>
      <c r="P1491" s="22"/>
      <c r="Q1491" s="23"/>
      <c r="R1491" s="23"/>
      <c r="S1491" s="14"/>
    </row>
    <row r="1492" ht="18.75" customHeight="1">
      <c r="A1492" s="7" t="s">
        <v>1447</v>
      </c>
      <c r="B1492" s="7" t="s">
        <v>3875</v>
      </c>
      <c r="C1492" s="9">
        <v>312607.0</v>
      </c>
      <c r="D1492" s="9">
        <v>0.0</v>
      </c>
      <c r="E1492" s="9">
        <v>538.0</v>
      </c>
      <c r="F1492" s="7" t="s">
        <v>1448</v>
      </c>
      <c r="G1492" s="7" t="s">
        <v>416</v>
      </c>
      <c r="H1492" s="7" t="s">
        <v>725</v>
      </c>
      <c r="I1492" s="7" t="s">
        <v>355</v>
      </c>
      <c r="J1492" s="14"/>
      <c r="K1492" s="14"/>
      <c r="O1492" s="22"/>
      <c r="P1492" s="22"/>
      <c r="Q1492" s="23"/>
      <c r="R1492" s="23"/>
      <c r="S1492" s="14"/>
    </row>
    <row r="1493" ht="18.75" customHeight="1">
      <c r="A1493" s="7" t="s">
        <v>1465</v>
      </c>
      <c r="B1493" s="7" t="s">
        <v>3875</v>
      </c>
      <c r="C1493" s="9">
        <v>250676.0</v>
      </c>
      <c r="D1493" s="9">
        <v>12309.0</v>
      </c>
      <c r="E1493" s="9">
        <v>2.0</v>
      </c>
      <c r="F1493" s="7" t="s">
        <v>1466</v>
      </c>
      <c r="G1493" s="7" t="s">
        <v>353</v>
      </c>
      <c r="H1493" s="7" t="s">
        <v>808</v>
      </c>
      <c r="I1493" s="7" t="s">
        <v>355</v>
      </c>
      <c r="J1493" s="14"/>
      <c r="K1493" s="14"/>
      <c r="O1493" s="22"/>
      <c r="P1493" s="22"/>
      <c r="Q1493" s="23"/>
      <c r="R1493" s="23"/>
      <c r="S1493" s="14"/>
    </row>
    <row r="1494" ht="18.75" customHeight="1">
      <c r="A1494" s="7" t="s">
        <v>1277</v>
      </c>
      <c r="B1494" s="7" t="s">
        <v>3875</v>
      </c>
      <c r="C1494" s="9">
        <v>887111.0</v>
      </c>
      <c r="D1494" s="9">
        <v>18335.0</v>
      </c>
      <c r="E1494" s="9">
        <v>1287.0</v>
      </c>
      <c r="F1494" s="7" t="s">
        <v>1278</v>
      </c>
      <c r="G1494" s="7" t="s">
        <v>353</v>
      </c>
      <c r="H1494" s="7" t="s">
        <v>378</v>
      </c>
      <c r="I1494" s="7" t="s">
        <v>355</v>
      </c>
      <c r="J1494" s="14"/>
      <c r="K1494" s="14"/>
      <c r="O1494" s="22"/>
      <c r="P1494" s="22"/>
      <c r="Q1494" s="23"/>
      <c r="R1494" s="23"/>
      <c r="S1494" s="14"/>
    </row>
    <row r="1495" ht="18.75" customHeight="1">
      <c r="A1495" s="7" t="s">
        <v>1277</v>
      </c>
      <c r="B1495" s="7" t="s">
        <v>3875</v>
      </c>
      <c r="C1495" s="9">
        <v>441221.0</v>
      </c>
      <c r="D1495" s="9">
        <v>22557.0</v>
      </c>
      <c r="E1495" s="9">
        <v>681.0</v>
      </c>
      <c r="F1495" s="7" t="s">
        <v>1278</v>
      </c>
      <c r="G1495" s="7" t="s">
        <v>353</v>
      </c>
      <c r="H1495" s="7" t="s">
        <v>378</v>
      </c>
      <c r="I1495" s="7" t="s">
        <v>355</v>
      </c>
      <c r="J1495" s="14"/>
      <c r="K1495" s="14"/>
      <c r="O1495" s="22"/>
      <c r="P1495" s="22"/>
      <c r="Q1495" s="23"/>
      <c r="R1495" s="23"/>
      <c r="S1495" s="14"/>
    </row>
    <row r="1496" ht="18.75" customHeight="1">
      <c r="A1496" s="7" t="s">
        <v>1275</v>
      </c>
      <c r="B1496" s="7" t="s">
        <v>3875</v>
      </c>
      <c r="C1496" s="9">
        <v>1783891.0</v>
      </c>
      <c r="D1496" s="9">
        <v>87304.0</v>
      </c>
      <c r="E1496" s="9">
        <v>2424.0</v>
      </c>
      <c r="F1496" s="7" t="s">
        <v>1276</v>
      </c>
      <c r="G1496" s="7" t="s">
        <v>353</v>
      </c>
      <c r="H1496" s="7" t="s">
        <v>378</v>
      </c>
      <c r="I1496" s="7" t="s">
        <v>355</v>
      </c>
      <c r="J1496" s="14"/>
      <c r="K1496" s="14"/>
      <c r="O1496" s="22"/>
      <c r="P1496" s="22"/>
      <c r="Q1496" s="23"/>
      <c r="R1496" s="23"/>
      <c r="S1496" s="14"/>
    </row>
    <row r="1497" ht="18.75" customHeight="1">
      <c r="A1497" s="7" t="s">
        <v>1275</v>
      </c>
      <c r="B1497" s="7" t="s">
        <v>3875</v>
      </c>
      <c r="C1497" s="9">
        <v>1245249.0</v>
      </c>
      <c r="D1497" s="9">
        <v>84676.0</v>
      </c>
      <c r="E1497" s="9">
        <v>1473.0</v>
      </c>
      <c r="F1497" s="7" t="s">
        <v>1276</v>
      </c>
      <c r="G1497" s="7" t="s">
        <v>353</v>
      </c>
      <c r="H1497" s="7" t="s">
        <v>378</v>
      </c>
      <c r="I1497" s="7" t="s">
        <v>355</v>
      </c>
      <c r="J1497" s="14"/>
      <c r="K1497" s="14"/>
      <c r="O1497" s="22"/>
      <c r="P1497" s="22"/>
      <c r="Q1497" s="23"/>
      <c r="R1497" s="23"/>
      <c r="S1497" s="14"/>
    </row>
    <row r="1498" ht="18.75" customHeight="1">
      <c r="A1498" s="7" t="s">
        <v>1453</v>
      </c>
      <c r="B1498" s="7" t="s">
        <v>3875</v>
      </c>
      <c r="C1498" s="9">
        <v>610566.0</v>
      </c>
      <c r="D1498" s="9">
        <v>25717.0</v>
      </c>
      <c r="E1498" s="9">
        <v>1485.0</v>
      </c>
      <c r="F1498" s="7" t="s">
        <v>1454</v>
      </c>
      <c r="G1498" s="7" t="s">
        <v>358</v>
      </c>
      <c r="H1498" s="7" t="s">
        <v>466</v>
      </c>
      <c r="I1498" s="7" t="s">
        <v>355</v>
      </c>
      <c r="J1498" s="14"/>
      <c r="K1498" s="14"/>
      <c r="O1498" s="22"/>
      <c r="P1498" s="22"/>
      <c r="Q1498" s="23"/>
      <c r="R1498" s="23"/>
      <c r="S1498" s="14"/>
    </row>
    <row r="1499" ht="18.75" customHeight="1">
      <c r="A1499" s="7" t="s">
        <v>1453</v>
      </c>
      <c r="B1499" s="7" t="s">
        <v>3875</v>
      </c>
      <c r="C1499" s="9">
        <v>591129.0</v>
      </c>
      <c r="D1499" s="9">
        <v>24509.0</v>
      </c>
      <c r="E1499" s="9">
        <v>2365.0</v>
      </c>
      <c r="F1499" s="7" t="s">
        <v>1454</v>
      </c>
      <c r="G1499" s="7" t="s">
        <v>358</v>
      </c>
      <c r="H1499" s="7" t="s">
        <v>466</v>
      </c>
      <c r="I1499" s="7" t="s">
        <v>355</v>
      </c>
      <c r="J1499" s="14"/>
      <c r="K1499" s="14"/>
      <c r="O1499" s="22"/>
      <c r="P1499" s="22"/>
      <c r="Q1499" s="23"/>
      <c r="R1499" s="23"/>
      <c r="S1499" s="14"/>
    </row>
    <row r="1500" ht="18.75" customHeight="1">
      <c r="A1500" s="7" t="s">
        <v>1455</v>
      </c>
      <c r="B1500" s="7" t="s">
        <v>3875</v>
      </c>
      <c r="C1500" s="9">
        <v>28940.0</v>
      </c>
      <c r="D1500" s="9">
        <v>0.0</v>
      </c>
      <c r="E1500" s="9">
        <v>1987.0</v>
      </c>
      <c r="F1500" s="7" t="s">
        <v>1456</v>
      </c>
      <c r="G1500" s="7" t="s">
        <v>416</v>
      </c>
      <c r="H1500" s="7" t="s">
        <v>417</v>
      </c>
      <c r="I1500" s="7" t="s">
        <v>355</v>
      </c>
      <c r="J1500" s="14"/>
      <c r="K1500" s="14"/>
      <c r="O1500" s="22"/>
      <c r="P1500" s="22"/>
      <c r="Q1500" s="23"/>
      <c r="R1500" s="23"/>
      <c r="S1500" s="14"/>
    </row>
    <row r="1501" ht="18.75" customHeight="1">
      <c r="A1501" s="7" t="s">
        <v>1469</v>
      </c>
      <c r="B1501" s="7" t="s">
        <v>3875</v>
      </c>
      <c r="C1501" s="9">
        <v>954502.0</v>
      </c>
      <c r="D1501" s="9">
        <v>0.0</v>
      </c>
      <c r="E1501" s="9">
        <v>2157.0</v>
      </c>
      <c r="F1501" s="7" t="s">
        <v>1470</v>
      </c>
      <c r="G1501" s="7" t="s">
        <v>353</v>
      </c>
      <c r="H1501" s="7" t="s">
        <v>808</v>
      </c>
      <c r="I1501" s="7" t="s">
        <v>355</v>
      </c>
      <c r="J1501" s="14"/>
      <c r="K1501" s="14"/>
      <c r="O1501" s="22"/>
      <c r="P1501" s="22"/>
      <c r="Q1501" s="23"/>
      <c r="R1501" s="23"/>
      <c r="S1501" s="14"/>
    </row>
    <row r="1502" ht="18.75" customHeight="1">
      <c r="A1502" s="7" t="s">
        <v>1451</v>
      </c>
      <c r="B1502" s="7" t="s">
        <v>3875</v>
      </c>
      <c r="C1502" s="9">
        <v>648571.0</v>
      </c>
      <c r="D1502" s="9">
        <v>0.0</v>
      </c>
      <c r="E1502" s="9">
        <v>1084.0</v>
      </c>
      <c r="F1502" s="7" t="s">
        <v>1452</v>
      </c>
      <c r="G1502" s="7" t="s">
        <v>364</v>
      </c>
      <c r="H1502" s="7" t="s">
        <v>365</v>
      </c>
      <c r="I1502" s="7" t="s">
        <v>355</v>
      </c>
      <c r="J1502" s="14"/>
      <c r="K1502" s="14"/>
      <c r="O1502" s="22"/>
      <c r="P1502" s="22"/>
      <c r="Q1502" s="23"/>
      <c r="R1502" s="23"/>
      <c r="S1502" s="14"/>
    </row>
    <row r="1503" ht="18.75" customHeight="1">
      <c r="A1503" s="7" t="s">
        <v>1443</v>
      </c>
      <c r="B1503" s="7" t="s">
        <v>3875</v>
      </c>
      <c r="C1503" s="9">
        <v>446898.0</v>
      </c>
      <c r="D1503" s="9">
        <v>0.0</v>
      </c>
      <c r="E1503" s="9">
        <v>832.0</v>
      </c>
      <c r="F1503" s="7" t="s">
        <v>1444</v>
      </c>
      <c r="G1503" s="7" t="s">
        <v>404</v>
      </c>
      <c r="H1503" s="7" t="s">
        <v>783</v>
      </c>
      <c r="I1503" s="7" t="s">
        <v>355</v>
      </c>
      <c r="J1503" s="14"/>
      <c r="K1503" s="14"/>
      <c r="O1503" s="22"/>
      <c r="P1503" s="22"/>
      <c r="Q1503" s="23"/>
      <c r="R1503" s="23"/>
      <c r="S1503" s="14"/>
    </row>
    <row r="1504" ht="18.75" customHeight="1">
      <c r="A1504" s="7" t="s">
        <v>1443</v>
      </c>
      <c r="B1504" s="7" t="s">
        <v>3875</v>
      </c>
      <c r="C1504" s="9">
        <v>496577.0</v>
      </c>
      <c r="D1504" s="9">
        <v>0.0</v>
      </c>
      <c r="E1504" s="9">
        <v>825.0</v>
      </c>
      <c r="F1504" s="7" t="s">
        <v>1444</v>
      </c>
      <c r="G1504" s="7" t="s">
        <v>404</v>
      </c>
      <c r="H1504" s="7" t="s">
        <v>783</v>
      </c>
      <c r="I1504" s="7" t="s">
        <v>355</v>
      </c>
      <c r="J1504" s="14"/>
      <c r="K1504" s="14"/>
      <c r="O1504" s="22"/>
      <c r="P1504" s="22"/>
      <c r="Q1504" s="23"/>
      <c r="R1504" s="23"/>
      <c r="S1504" s="14"/>
    </row>
    <row r="1505" ht="18.75" customHeight="1">
      <c r="A1505" s="7" t="s">
        <v>1443</v>
      </c>
      <c r="B1505" s="7" t="s">
        <v>3875</v>
      </c>
      <c r="C1505" s="9">
        <v>42696.0</v>
      </c>
      <c r="D1505" s="9">
        <v>0.0</v>
      </c>
      <c r="E1505" s="9">
        <v>1546.0</v>
      </c>
      <c r="F1505" s="7" t="s">
        <v>1444</v>
      </c>
      <c r="G1505" s="7" t="s">
        <v>404</v>
      </c>
      <c r="H1505" s="7" t="s">
        <v>783</v>
      </c>
      <c r="I1505" s="7" t="s">
        <v>355</v>
      </c>
      <c r="J1505" s="14"/>
      <c r="K1505" s="14"/>
      <c r="O1505" s="22"/>
      <c r="P1505" s="22"/>
      <c r="Q1505" s="23"/>
      <c r="R1505" s="23"/>
      <c r="S1505" s="14"/>
    </row>
    <row r="1506" ht="18.75" customHeight="1">
      <c r="A1506" s="7" t="s">
        <v>1443</v>
      </c>
      <c r="B1506" s="7" t="s">
        <v>3875</v>
      </c>
      <c r="C1506" s="9">
        <v>123324.0</v>
      </c>
      <c r="D1506" s="9">
        <v>0.0</v>
      </c>
      <c r="E1506" s="9">
        <v>4667.0</v>
      </c>
      <c r="F1506" s="7" t="s">
        <v>1444</v>
      </c>
      <c r="G1506" s="7" t="s">
        <v>404</v>
      </c>
      <c r="H1506" s="7" t="s">
        <v>783</v>
      </c>
      <c r="I1506" s="7" t="s">
        <v>355</v>
      </c>
      <c r="J1506" s="14"/>
      <c r="K1506" s="14"/>
      <c r="O1506" s="22"/>
      <c r="P1506" s="22"/>
      <c r="Q1506" s="23"/>
      <c r="R1506" s="23"/>
      <c r="S1506" s="14"/>
    </row>
    <row r="1507" ht="18.75" customHeight="1">
      <c r="A1507" s="7" t="s">
        <v>1443</v>
      </c>
      <c r="B1507" s="7" t="s">
        <v>3875</v>
      </c>
      <c r="C1507" s="9">
        <v>146626.0</v>
      </c>
      <c r="D1507" s="9">
        <v>0.0</v>
      </c>
      <c r="E1507" s="9">
        <v>5180.0</v>
      </c>
      <c r="F1507" s="7" t="s">
        <v>1444</v>
      </c>
      <c r="G1507" s="7" t="s">
        <v>404</v>
      </c>
      <c r="H1507" s="7" t="s">
        <v>783</v>
      </c>
      <c r="I1507" s="7" t="s">
        <v>355</v>
      </c>
      <c r="J1507" s="14"/>
      <c r="K1507" s="14"/>
      <c r="O1507" s="22"/>
      <c r="P1507" s="22"/>
      <c r="Q1507" s="23"/>
      <c r="R1507" s="23"/>
      <c r="S1507" s="14"/>
    </row>
    <row r="1508" ht="18.75" customHeight="1">
      <c r="A1508" s="7" t="s">
        <v>1397</v>
      </c>
      <c r="B1508" s="7" t="s">
        <v>3875</v>
      </c>
      <c r="C1508" s="9">
        <v>99834.0</v>
      </c>
      <c r="D1508" s="9">
        <v>15896.0</v>
      </c>
      <c r="E1508" s="9">
        <v>180.0</v>
      </c>
      <c r="F1508" s="7" t="s">
        <v>1398</v>
      </c>
      <c r="G1508" s="7" t="s">
        <v>416</v>
      </c>
      <c r="H1508" s="7" t="s">
        <v>417</v>
      </c>
      <c r="I1508" s="7" t="s">
        <v>355</v>
      </c>
      <c r="J1508" s="14"/>
      <c r="K1508" s="14"/>
      <c r="O1508" s="22"/>
      <c r="P1508" s="22"/>
      <c r="Q1508" s="23"/>
      <c r="R1508" s="23"/>
      <c r="S1508" s="14"/>
    </row>
    <row r="1509" ht="18.75" customHeight="1">
      <c r="A1509" s="7" t="s">
        <v>529</v>
      </c>
      <c r="B1509" s="7" t="s">
        <v>3875</v>
      </c>
      <c r="C1509" s="9">
        <v>68298.0</v>
      </c>
      <c r="D1509" s="9">
        <v>0.0</v>
      </c>
      <c r="E1509" s="9">
        <v>397.0</v>
      </c>
      <c r="F1509" s="7" t="s">
        <v>530</v>
      </c>
      <c r="G1509" s="7" t="s">
        <v>358</v>
      </c>
      <c r="H1509" s="7" t="s">
        <v>387</v>
      </c>
      <c r="I1509" s="7" t="s">
        <v>355</v>
      </c>
      <c r="J1509" s="14"/>
      <c r="K1509" s="14"/>
      <c r="O1509" s="22"/>
      <c r="P1509" s="22"/>
      <c r="Q1509" s="23"/>
      <c r="R1509" s="23"/>
      <c r="S1509" s="14"/>
    </row>
    <row r="1510" ht="18.75" customHeight="1">
      <c r="A1510" s="7" t="s">
        <v>529</v>
      </c>
      <c r="B1510" s="7" t="s">
        <v>3875</v>
      </c>
      <c r="C1510" s="9">
        <v>42501.0</v>
      </c>
      <c r="D1510" s="9">
        <v>0.0</v>
      </c>
      <c r="E1510" s="9">
        <v>350.0</v>
      </c>
      <c r="F1510" s="7" t="s">
        <v>530</v>
      </c>
      <c r="G1510" s="7" t="s">
        <v>358</v>
      </c>
      <c r="H1510" s="7" t="s">
        <v>387</v>
      </c>
      <c r="I1510" s="7" t="s">
        <v>355</v>
      </c>
      <c r="J1510" s="14"/>
      <c r="K1510" s="14"/>
      <c r="O1510" s="22"/>
      <c r="P1510" s="22"/>
      <c r="Q1510" s="23"/>
      <c r="R1510" s="23"/>
      <c r="S1510" s="14"/>
    </row>
    <row r="1511" ht="18.75" customHeight="1">
      <c r="A1511" s="7" t="s">
        <v>529</v>
      </c>
      <c r="B1511" s="7" t="s">
        <v>3875</v>
      </c>
      <c r="C1511" s="9">
        <v>124507.0</v>
      </c>
      <c r="D1511" s="9">
        <v>0.0</v>
      </c>
      <c r="E1511" s="9">
        <v>439.0</v>
      </c>
      <c r="F1511" s="7" t="s">
        <v>530</v>
      </c>
      <c r="G1511" s="7" t="s">
        <v>358</v>
      </c>
      <c r="H1511" s="7" t="s">
        <v>387</v>
      </c>
      <c r="I1511" s="7" t="s">
        <v>355</v>
      </c>
      <c r="J1511" s="14"/>
      <c r="K1511" s="14"/>
      <c r="O1511" s="22"/>
      <c r="P1511" s="22"/>
      <c r="Q1511" s="23"/>
      <c r="R1511" s="23"/>
      <c r="S1511" s="14"/>
    </row>
    <row r="1512" ht="18.75" customHeight="1">
      <c r="A1512" s="7" t="s">
        <v>529</v>
      </c>
      <c r="B1512" s="7" t="s">
        <v>3875</v>
      </c>
      <c r="C1512" s="9">
        <v>60463.0</v>
      </c>
      <c r="D1512" s="9">
        <v>0.0</v>
      </c>
      <c r="E1512" s="9">
        <v>510.0</v>
      </c>
      <c r="F1512" s="7" t="s">
        <v>530</v>
      </c>
      <c r="G1512" s="7" t="s">
        <v>358</v>
      </c>
      <c r="H1512" s="7" t="s">
        <v>387</v>
      </c>
      <c r="I1512" s="7" t="s">
        <v>355</v>
      </c>
      <c r="J1512" s="14"/>
      <c r="K1512" s="14"/>
      <c r="O1512" s="22"/>
      <c r="P1512" s="22"/>
      <c r="Q1512" s="23"/>
      <c r="R1512" s="23"/>
      <c r="S1512" s="14"/>
    </row>
    <row r="1513" ht="18.75" customHeight="1">
      <c r="A1513" s="7" t="s">
        <v>1387</v>
      </c>
      <c r="B1513" s="7" t="s">
        <v>3875</v>
      </c>
      <c r="C1513" s="9">
        <v>807270.0</v>
      </c>
      <c r="D1513" s="9">
        <v>0.0</v>
      </c>
      <c r="E1513" s="9">
        <v>2267.0</v>
      </c>
      <c r="F1513" s="7" t="s">
        <v>1388</v>
      </c>
      <c r="G1513" s="7" t="s">
        <v>353</v>
      </c>
      <c r="H1513" s="7" t="s">
        <v>725</v>
      </c>
      <c r="I1513" s="7" t="s">
        <v>355</v>
      </c>
      <c r="J1513" s="14"/>
      <c r="K1513" s="14"/>
      <c r="O1513" s="22"/>
      <c r="P1513" s="22"/>
      <c r="Q1513" s="23"/>
      <c r="R1513" s="23"/>
      <c r="S1513" s="14"/>
    </row>
    <row r="1514" ht="18.75" customHeight="1">
      <c r="A1514" s="7" t="s">
        <v>529</v>
      </c>
      <c r="B1514" s="7" t="s">
        <v>3875</v>
      </c>
      <c r="C1514" s="9">
        <v>84215.0</v>
      </c>
      <c r="D1514" s="9">
        <v>0.0</v>
      </c>
      <c r="E1514" s="9">
        <v>411.0</v>
      </c>
      <c r="F1514" s="7" t="s">
        <v>530</v>
      </c>
      <c r="G1514" s="7" t="s">
        <v>358</v>
      </c>
      <c r="H1514" s="7" t="s">
        <v>387</v>
      </c>
      <c r="I1514" s="7" t="s">
        <v>355</v>
      </c>
      <c r="J1514" s="14"/>
      <c r="K1514" s="14"/>
      <c r="O1514" s="22"/>
      <c r="P1514" s="22"/>
      <c r="Q1514" s="23"/>
      <c r="R1514" s="23"/>
      <c r="S1514" s="14"/>
    </row>
    <row r="1515" ht="18.75" customHeight="1">
      <c r="A1515" s="7" t="s">
        <v>529</v>
      </c>
      <c r="B1515" s="7" t="s">
        <v>3875</v>
      </c>
      <c r="C1515" s="9">
        <v>135167.0</v>
      </c>
      <c r="D1515" s="9">
        <v>0.0</v>
      </c>
      <c r="E1515" s="9">
        <v>708.0</v>
      </c>
      <c r="F1515" s="7" t="s">
        <v>530</v>
      </c>
      <c r="G1515" s="7" t="s">
        <v>358</v>
      </c>
      <c r="H1515" s="7" t="s">
        <v>387</v>
      </c>
      <c r="I1515" s="7" t="s">
        <v>355</v>
      </c>
      <c r="J1515" s="14"/>
      <c r="K1515" s="14"/>
      <c r="O1515" s="22"/>
      <c r="P1515" s="22"/>
      <c r="Q1515" s="23"/>
      <c r="R1515" s="23"/>
      <c r="S1515" s="14"/>
    </row>
    <row r="1516" ht="18.75" customHeight="1">
      <c r="A1516" s="7" t="s">
        <v>1487</v>
      </c>
      <c r="B1516" s="7" t="s">
        <v>3875</v>
      </c>
      <c r="C1516" s="9">
        <v>180622.0</v>
      </c>
      <c r="D1516" s="9">
        <v>0.0</v>
      </c>
      <c r="E1516" s="9">
        <v>460.0</v>
      </c>
      <c r="F1516" s="7" t="s">
        <v>1488</v>
      </c>
      <c r="G1516" s="7" t="s">
        <v>416</v>
      </c>
      <c r="H1516" s="7" t="s">
        <v>466</v>
      </c>
      <c r="I1516" s="7" t="s">
        <v>355</v>
      </c>
      <c r="J1516" s="14"/>
      <c r="K1516" s="14"/>
      <c r="O1516" s="22"/>
      <c r="P1516" s="22"/>
      <c r="Q1516" s="23"/>
      <c r="R1516" s="23"/>
      <c r="S1516" s="14"/>
    </row>
    <row r="1517" ht="18.75" customHeight="1">
      <c r="A1517" s="14"/>
      <c r="B1517" s="7" t="s">
        <v>3875</v>
      </c>
      <c r="C1517" s="9">
        <v>0.0</v>
      </c>
      <c r="D1517" s="9">
        <v>0.0</v>
      </c>
      <c r="E1517" s="9">
        <v>0.0</v>
      </c>
      <c r="F1517" s="14"/>
      <c r="G1517" s="14"/>
      <c r="H1517" s="14"/>
      <c r="I1517" s="14"/>
      <c r="J1517" s="14"/>
      <c r="K1517" s="14"/>
      <c r="O1517" s="22"/>
      <c r="P1517" s="22"/>
      <c r="Q1517" s="23"/>
      <c r="R1517" s="23"/>
      <c r="S1517" s="14"/>
    </row>
    <row r="1518" ht="18.75" customHeight="1">
      <c r="A1518" s="7" t="s">
        <v>1489</v>
      </c>
      <c r="B1518" s="7" t="s">
        <v>3875</v>
      </c>
      <c r="C1518" s="9">
        <v>24980.0</v>
      </c>
      <c r="D1518" s="9">
        <v>0.0</v>
      </c>
      <c r="E1518" s="9">
        <v>140.0</v>
      </c>
      <c r="F1518" s="7" t="s">
        <v>1490</v>
      </c>
      <c r="G1518" s="7" t="s">
        <v>416</v>
      </c>
      <c r="H1518" s="7" t="s">
        <v>594</v>
      </c>
      <c r="I1518" s="7" t="s">
        <v>355</v>
      </c>
      <c r="J1518" s="14"/>
      <c r="K1518" s="14"/>
      <c r="O1518" s="22"/>
      <c r="P1518" s="22"/>
      <c r="Q1518" s="23"/>
      <c r="R1518" s="23"/>
      <c r="S1518" s="14"/>
    </row>
    <row r="1519" ht="18.75" customHeight="1">
      <c r="A1519" s="7" t="s">
        <v>3755</v>
      </c>
      <c r="B1519" s="7" t="s">
        <v>3875</v>
      </c>
      <c r="C1519" s="9">
        <v>1173.0</v>
      </c>
      <c r="D1519" s="9">
        <v>0.0</v>
      </c>
      <c r="E1519" s="9">
        <v>49.0</v>
      </c>
      <c r="F1519" s="7" t="s">
        <v>3896</v>
      </c>
      <c r="G1519" s="7" t="s">
        <v>416</v>
      </c>
      <c r="H1519" s="7" t="s">
        <v>417</v>
      </c>
      <c r="I1519" s="7" t="s">
        <v>3886</v>
      </c>
      <c r="J1519" s="14"/>
      <c r="K1519" s="14"/>
      <c r="O1519" s="22"/>
      <c r="P1519" s="22"/>
      <c r="Q1519" s="23"/>
      <c r="R1519" s="23"/>
      <c r="S1519" s="14"/>
    </row>
    <row r="1520" ht="18.75" customHeight="1">
      <c r="A1520" s="7" t="s">
        <v>3755</v>
      </c>
      <c r="B1520" s="7" t="s">
        <v>3875</v>
      </c>
      <c r="C1520" s="9">
        <v>54848.0</v>
      </c>
      <c r="D1520" s="9">
        <v>0.0</v>
      </c>
      <c r="E1520" s="9">
        <v>2200.0</v>
      </c>
      <c r="F1520" s="7" t="s">
        <v>3896</v>
      </c>
      <c r="G1520" s="7" t="s">
        <v>416</v>
      </c>
      <c r="H1520" s="7" t="s">
        <v>417</v>
      </c>
      <c r="I1520" s="7" t="s">
        <v>3886</v>
      </c>
      <c r="J1520" s="14"/>
      <c r="K1520" s="14"/>
      <c r="O1520" s="22"/>
      <c r="P1520" s="22"/>
      <c r="Q1520" s="23"/>
      <c r="R1520" s="23"/>
      <c r="S1520" s="14"/>
    </row>
    <row r="1521" ht="18.75" customHeight="1">
      <c r="A1521" s="7" t="s">
        <v>1427</v>
      </c>
      <c r="B1521" s="7" t="s">
        <v>3875</v>
      </c>
      <c r="C1521" s="9">
        <v>922615.0</v>
      </c>
      <c r="D1521" s="9">
        <v>50073.0</v>
      </c>
      <c r="E1521" s="9">
        <v>1652.0</v>
      </c>
      <c r="F1521" s="7" t="s">
        <v>1428</v>
      </c>
      <c r="G1521" s="7" t="s">
        <v>358</v>
      </c>
      <c r="H1521" s="7" t="s">
        <v>466</v>
      </c>
      <c r="I1521" s="7" t="s">
        <v>355</v>
      </c>
      <c r="J1521" s="14"/>
      <c r="K1521" s="14"/>
      <c r="O1521" s="22"/>
      <c r="P1521" s="22"/>
      <c r="Q1521" s="23"/>
      <c r="R1521" s="23"/>
      <c r="S1521" s="14"/>
    </row>
    <row r="1522" ht="18.75" customHeight="1">
      <c r="A1522" s="7" t="s">
        <v>1455</v>
      </c>
      <c r="B1522" s="7" t="s">
        <v>3875</v>
      </c>
      <c r="C1522" s="9">
        <v>12053.0</v>
      </c>
      <c r="D1522" s="9">
        <v>0.0</v>
      </c>
      <c r="E1522" s="9">
        <v>554.0</v>
      </c>
      <c r="F1522" s="7" t="s">
        <v>1456</v>
      </c>
      <c r="G1522" s="7" t="s">
        <v>416</v>
      </c>
      <c r="H1522" s="7" t="s">
        <v>417</v>
      </c>
      <c r="I1522" s="7" t="s">
        <v>355</v>
      </c>
      <c r="J1522" s="14"/>
      <c r="K1522" s="14"/>
      <c r="O1522" s="22"/>
      <c r="P1522" s="22"/>
      <c r="Q1522" s="23"/>
      <c r="R1522" s="23"/>
      <c r="S1522" s="14"/>
    </row>
    <row r="1523" ht="18.75" customHeight="1">
      <c r="A1523" s="7" t="s">
        <v>3755</v>
      </c>
      <c r="B1523" s="7" t="s">
        <v>3875</v>
      </c>
      <c r="C1523" s="9">
        <v>159821.0</v>
      </c>
      <c r="D1523" s="9">
        <v>0.0</v>
      </c>
      <c r="E1523" s="9">
        <v>630.0</v>
      </c>
      <c r="F1523" s="7" t="s">
        <v>3896</v>
      </c>
      <c r="G1523" s="7" t="s">
        <v>416</v>
      </c>
      <c r="H1523" s="7" t="s">
        <v>417</v>
      </c>
      <c r="I1523" s="7" t="s">
        <v>3886</v>
      </c>
      <c r="J1523" s="14"/>
      <c r="K1523" s="14"/>
      <c r="O1523" s="22"/>
      <c r="P1523" s="22"/>
      <c r="Q1523" s="23"/>
      <c r="R1523" s="23"/>
      <c r="S1523" s="14"/>
    </row>
    <row r="1524" ht="18.75" customHeight="1">
      <c r="A1524" s="7" t="s">
        <v>926</v>
      </c>
      <c r="B1524" s="7" t="s">
        <v>3875</v>
      </c>
      <c r="C1524" s="9">
        <v>316893.0</v>
      </c>
      <c r="D1524" s="9">
        <v>10931.0</v>
      </c>
      <c r="E1524" s="9">
        <v>114.0</v>
      </c>
      <c r="F1524" s="7" t="s">
        <v>927</v>
      </c>
      <c r="G1524" s="7" t="s">
        <v>503</v>
      </c>
      <c r="H1524" s="7" t="s">
        <v>928</v>
      </c>
      <c r="I1524" s="7" t="s">
        <v>355</v>
      </c>
      <c r="J1524" s="14"/>
      <c r="K1524" s="14"/>
      <c r="O1524" s="22"/>
      <c r="P1524" s="22"/>
      <c r="Q1524" s="23"/>
      <c r="R1524" s="23"/>
      <c r="S1524" s="14"/>
    </row>
    <row r="1525" ht="18.75" customHeight="1">
      <c r="A1525" s="7" t="s">
        <v>926</v>
      </c>
      <c r="B1525" s="7" t="s">
        <v>3875</v>
      </c>
      <c r="C1525" s="9">
        <v>267075.0</v>
      </c>
      <c r="D1525" s="9">
        <v>23565.0</v>
      </c>
      <c r="E1525" s="9">
        <v>179.0</v>
      </c>
      <c r="F1525" s="7" t="s">
        <v>927</v>
      </c>
      <c r="G1525" s="7" t="s">
        <v>503</v>
      </c>
      <c r="H1525" s="7" t="s">
        <v>928</v>
      </c>
      <c r="I1525" s="7" t="s">
        <v>355</v>
      </c>
      <c r="J1525" s="14"/>
      <c r="K1525" s="14"/>
      <c r="O1525" s="22"/>
      <c r="P1525" s="22"/>
      <c r="Q1525" s="23"/>
      <c r="R1525" s="23"/>
      <c r="S1525" s="14"/>
    </row>
    <row r="1526" ht="18.75" customHeight="1">
      <c r="A1526" s="7" t="s">
        <v>1495</v>
      </c>
      <c r="B1526" s="7" t="s">
        <v>3875</v>
      </c>
      <c r="C1526" s="9">
        <v>889494.0</v>
      </c>
      <c r="D1526" s="9">
        <v>89992.0</v>
      </c>
      <c r="E1526" s="9">
        <v>1826.0</v>
      </c>
      <c r="F1526" s="7" t="s">
        <v>1496</v>
      </c>
      <c r="G1526" s="7" t="s">
        <v>503</v>
      </c>
      <c r="H1526" s="7" t="s">
        <v>504</v>
      </c>
      <c r="I1526" s="7" t="s">
        <v>355</v>
      </c>
      <c r="J1526" s="14"/>
      <c r="K1526" s="14"/>
      <c r="O1526" s="22"/>
      <c r="P1526" s="22"/>
      <c r="Q1526" s="23"/>
      <c r="R1526" s="23"/>
      <c r="S1526" s="14"/>
    </row>
    <row r="1527" ht="18.75" customHeight="1">
      <c r="A1527" s="7" t="s">
        <v>1477</v>
      </c>
      <c r="B1527" s="7" t="s">
        <v>3875</v>
      </c>
      <c r="C1527" s="9">
        <v>112041.0</v>
      </c>
      <c r="D1527" s="9">
        <v>0.0</v>
      </c>
      <c r="E1527" s="9">
        <v>467.0</v>
      </c>
      <c r="F1527" s="7" t="s">
        <v>1478</v>
      </c>
      <c r="G1527" s="7" t="s">
        <v>416</v>
      </c>
      <c r="H1527" s="7" t="s">
        <v>466</v>
      </c>
      <c r="I1527" s="7" t="s">
        <v>355</v>
      </c>
      <c r="J1527" s="14"/>
      <c r="K1527" s="14"/>
      <c r="O1527" s="22"/>
      <c r="P1527" s="22"/>
      <c r="Q1527" s="23"/>
      <c r="R1527" s="23"/>
      <c r="S1527" s="14"/>
    </row>
    <row r="1528" ht="18.75" customHeight="1">
      <c r="A1528" s="7" t="s">
        <v>1473</v>
      </c>
      <c r="B1528" s="7" t="s">
        <v>3875</v>
      </c>
      <c r="C1528" s="9">
        <v>327232.0</v>
      </c>
      <c r="D1528" s="9">
        <v>0.0</v>
      </c>
      <c r="E1528" s="9">
        <v>359.0</v>
      </c>
      <c r="F1528" s="7" t="s">
        <v>1474</v>
      </c>
      <c r="G1528" s="7" t="s">
        <v>416</v>
      </c>
      <c r="H1528" s="7" t="s">
        <v>466</v>
      </c>
      <c r="I1528" s="7" t="s">
        <v>355</v>
      </c>
      <c r="J1528" s="14"/>
      <c r="K1528" s="14"/>
      <c r="O1528" s="22"/>
      <c r="P1528" s="22"/>
      <c r="Q1528" s="23"/>
      <c r="R1528" s="23"/>
      <c r="S1528" s="14"/>
    </row>
    <row r="1529" ht="18.75" customHeight="1">
      <c r="A1529" s="7" t="s">
        <v>1479</v>
      </c>
      <c r="B1529" s="7" t="s">
        <v>3875</v>
      </c>
      <c r="C1529" s="9">
        <v>148414.0</v>
      </c>
      <c r="D1529" s="9">
        <v>0.0</v>
      </c>
      <c r="E1529" s="9">
        <v>557.0</v>
      </c>
      <c r="F1529" s="7" t="s">
        <v>1480</v>
      </c>
      <c r="G1529" s="7" t="s">
        <v>416</v>
      </c>
      <c r="H1529" s="7" t="s">
        <v>466</v>
      </c>
      <c r="I1529" s="7" t="s">
        <v>355</v>
      </c>
      <c r="J1529" s="14"/>
      <c r="K1529" s="14"/>
      <c r="O1529" s="22"/>
      <c r="P1529" s="22"/>
      <c r="Q1529" s="23"/>
      <c r="R1529" s="23"/>
      <c r="S1529" s="14"/>
    </row>
    <row r="1530" ht="18.75" customHeight="1">
      <c r="A1530" s="7" t="s">
        <v>1475</v>
      </c>
      <c r="B1530" s="7" t="s">
        <v>3875</v>
      </c>
      <c r="C1530" s="9">
        <v>106346.0</v>
      </c>
      <c r="D1530" s="9">
        <v>0.0</v>
      </c>
      <c r="E1530" s="9">
        <v>415.0</v>
      </c>
      <c r="F1530" s="7" t="s">
        <v>1476</v>
      </c>
      <c r="G1530" s="7" t="s">
        <v>416</v>
      </c>
      <c r="H1530" s="7" t="s">
        <v>466</v>
      </c>
      <c r="I1530" s="7" t="s">
        <v>355</v>
      </c>
      <c r="J1530" s="14"/>
      <c r="K1530" s="14"/>
      <c r="O1530" s="22"/>
      <c r="P1530" s="22"/>
      <c r="Q1530" s="23"/>
      <c r="R1530" s="23"/>
      <c r="S1530" s="14"/>
    </row>
    <row r="1531" ht="18.75" customHeight="1">
      <c r="A1531" s="7" t="s">
        <v>1499</v>
      </c>
      <c r="B1531" s="7" t="s">
        <v>3875</v>
      </c>
      <c r="C1531" s="9">
        <v>81819.0</v>
      </c>
      <c r="D1531" s="9">
        <v>0.0</v>
      </c>
      <c r="E1531" s="9">
        <v>298.0</v>
      </c>
      <c r="F1531" s="7" t="s">
        <v>1500</v>
      </c>
      <c r="G1531" s="7" t="s">
        <v>416</v>
      </c>
      <c r="H1531" s="7" t="s">
        <v>413</v>
      </c>
      <c r="I1531" s="7" t="s">
        <v>355</v>
      </c>
      <c r="J1531" s="14"/>
      <c r="K1531" s="14"/>
      <c r="O1531" s="22"/>
      <c r="P1531" s="22"/>
      <c r="Q1531" s="23"/>
      <c r="R1531" s="23"/>
      <c r="S1531" s="14"/>
    </row>
    <row r="1532" ht="18.75" customHeight="1">
      <c r="A1532" s="7" t="s">
        <v>1501</v>
      </c>
      <c r="B1532" s="7" t="s">
        <v>3875</v>
      </c>
      <c r="C1532" s="9">
        <v>32076.0</v>
      </c>
      <c r="D1532" s="9">
        <v>0.0</v>
      </c>
      <c r="E1532" s="9">
        <v>149.0</v>
      </c>
      <c r="F1532" s="7" t="s">
        <v>1502</v>
      </c>
      <c r="G1532" s="7" t="s">
        <v>416</v>
      </c>
      <c r="H1532" s="7" t="s">
        <v>594</v>
      </c>
      <c r="I1532" s="7" t="s">
        <v>355</v>
      </c>
      <c r="J1532" s="14"/>
      <c r="K1532" s="14"/>
      <c r="O1532" s="22"/>
      <c r="P1532" s="22"/>
      <c r="Q1532" s="23"/>
      <c r="R1532" s="23"/>
      <c r="S1532" s="14"/>
    </row>
    <row r="1533" ht="18.75" customHeight="1">
      <c r="A1533" s="7" t="s">
        <v>1443</v>
      </c>
      <c r="B1533" s="7" t="s">
        <v>3875</v>
      </c>
      <c r="C1533" s="9">
        <v>124594.0</v>
      </c>
      <c r="D1533" s="9">
        <v>15918.0</v>
      </c>
      <c r="E1533" s="9">
        <v>107.0</v>
      </c>
      <c r="F1533" s="7" t="s">
        <v>1444</v>
      </c>
      <c r="G1533" s="7" t="s">
        <v>404</v>
      </c>
      <c r="H1533" s="7" t="s">
        <v>783</v>
      </c>
      <c r="I1533" s="7" t="s">
        <v>355</v>
      </c>
      <c r="J1533" s="14"/>
      <c r="K1533" s="14"/>
      <c r="O1533" s="22"/>
      <c r="P1533" s="22"/>
      <c r="Q1533" s="23"/>
      <c r="R1533" s="23"/>
      <c r="S1533" s="14"/>
    </row>
    <row r="1534" ht="18.75" customHeight="1">
      <c r="A1534" s="7" t="s">
        <v>1443</v>
      </c>
      <c r="B1534" s="7" t="s">
        <v>3875</v>
      </c>
      <c r="C1534" s="9">
        <v>149768.0</v>
      </c>
      <c r="D1534" s="9">
        <v>34719.0</v>
      </c>
      <c r="E1534" s="9">
        <v>85.0</v>
      </c>
      <c r="F1534" s="7" t="s">
        <v>1444</v>
      </c>
      <c r="G1534" s="7" t="s">
        <v>404</v>
      </c>
      <c r="H1534" s="7" t="s">
        <v>783</v>
      </c>
      <c r="I1534" s="7" t="s">
        <v>355</v>
      </c>
      <c r="J1534" s="14"/>
      <c r="K1534" s="14"/>
      <c r="O1534" s="22"/>
      <c r="P1534" s="22"/>
      <c r="Q1534" s="23"/>
      <c r="R1534" s="23"/>
      <c r="S1534" s="14"/>
    </row>
    <row r="1535" ht="18.75" customHeight="1">
      <c r="A1535" s="7" t="s">
        <v>1495</v>
      </c>
      <c r="B1535" s="7" t="s">
        <v>3875</v>
      </c>
      <c r="C1535" s="9">
        <v>707190.0</v>
      </c>
      <c r="D1535" s="9">
        <v>84037.0</v>
      </c>
      <c r="E1535" s="9">
        <v>1269.0</v>
      </c>
      <c r="F1535" s="7" t="s">
        <v>1496</v>
      </c>
      <c r="G1535" s="7" t="s">
        <v>503</v>
      </c>
      <c r="H1535" s="7" t="s">
        <v>504</v>
      </c>
      <c r="I1535" s="7" t="s">
        <v>355</v>
      </c>
      <c r="J1535" s="14"/>
      <c r="K1535" s="14"/>
      <c r="O1535" s="22"/>
      <c r="P1535" s="22"/>
      <c r="Q1535" s="23"/>
      <c r="R1535" s="23"/>
      <c r="S1535" s="14"/>
    </row>
    <row r="1536" ht="18.75" customHeight="1">
      <c r="A1536" s="7" t="s">
        <v>1525</v>
      </c>
      <c r="B1536" s="7" t="s">
        <v>3875</v>
      </c>
      <c r="C1536" s="9">
        <v>474635.0</v>
      </c>
      <c r="D1536" s="9">
        <v>23216.0</v>
      </c>
      <c r="E1536" s="9">
        <v>360.0</v>
      </c>
      <c r="F1536" s="7" t="s">
        <v>1526</v>
      </c>
      <c r="G1536" s="7" t="s">
        <v>503</v>
      </c>
      <c r="H1536" s="7" t="s">
        <v>688</v>
      </c>
      <c r="I1536" s="7" t="s">
        <v>355</v>
      </c>
      <c r="J1536" s="14"/>
      <c r="K1536" s="14"/>
      <c r="O1536" s="22"/>
      <c r="P1536" s="22"/>
      <c r="Q1536" s="23"/>
      <c r="R1536" s="23"/>
      <c r="S1536" s="14"/>
    </row>
    <row r="1537" ht="18.75" customHeight="1">
      <c r="A1537" s="7" t="s">
        <v>1399</v>
      </c>
      <c r="B1537" s="7" t="s">
        <v>3875</v>
      </c>
      <c r="C1537" s="9">
        <v>163514.0</v>
      </c>
      <c r="D1537" s="9">
        <v>9853.0</v>
      </c>
      <c r="E1537" s="9">
        <v>318.0</v>
      </c>
      <c r="F1537" s="7" t="s">
        <v>1400</v>
      </c>
      <c r="G1537" s="7" t="s">
        <v>416</v>
      </c>
      <c r="H1537" s="7" t="s">
        <v>417</v>
      </c>
      <c r="I1537" s="7" t="s">
        <v>355</v>
      </c>
      <c r="J1537" s="14"/>
      <c r="K1537" s="14"/>
      <c r="O1537" s="22"/>
      <c r="P1537" s="22"/>
      <c r="Q1537" s="23"/>
      <c r="R1537" s="23"/>
      <c r="S1537" s="14"/>
    </row>
    <row r="1538" ht="18.75" customHeight="1">
      <c r="A1538" s="7" t="s">
        <v>3755</v>
      </c>
      <c r="B1538" s="7" t="s">
        <v>3875</v>
      </c>
      <c r="C1538" s="9">
        <v>0.0</v>
      </c>
      <c r="D1538" s="9">
        <v>0.0</v>
      </c>
      <c r="E1538" s="9">
        <v>0.0</v>
      </c>
      <c r="F1538" s="7" t="s">
        <v>3896</v>
      </c>
      <c r="G1538" s="7" t="s">
        <v>416</v>
      </c>
      <c r="H1538" s="7" t="s">
        <v>417</v>
      </c>
      <c r="I1538" s="7" t="s">
        <v>3886</v>
      </c>
      <c r="J1538" s="14"/>
      <c r="K1538" s="14"/>
      <c r="O1538" s="22"/>
      <c r="P1538" s="22"/>
      <c r="Q1538" s="23"/>
      <c r="R1538" s="23"/>
      <c r="S1538" s="14"/>
    </row>
    <row r="1539" ht="18.75" customHeight="1">
      <c r="A1539" s="7" t="s">
        <v>1155</v>
      </c>
      <c r="B1539" s="7" t="s">
        <v>3875</v>
      </c>
      <c r="C1539" s="9">
        <v>0.0</v>
      </c>
      <c r="D1539" s="9">
        <v>0.0</v>
      </c>
      <c r="E1539" s="9">
        <v>0.0</v>
      </c>
      <c r="F1539" s="7" t="s">
        <v>1156</v>
      </c>
      <c r="G1539" s="7" t="s">
        <v>358</v>
      </c>
      <c r="H1539" s="7" t="s">
        <v>359</v>
      </c>
      <c r="I1539" s="7" t="s">
        <v>355</v>
      </c>
      <c r="J1539" s="14"/>
      <c r="K1539" s="14"/>
      <c r="O1539" s="22"/>
      <c r="P1539" s="22"/>
      <c r="Q1539" s="23"/>
      <c r="R1539" s="23"/>
      <c r="S1539" s="14"/>
    </row>
    <row r="1540" ht="18.75" customHeight="1">
      <c r="A1540" s="7" t="s">
        <v>529</v>
      </c>
      <c r="B1540" s="7" t="s">
        <v>3875</v>
      </c>
      <c r="C1540" s="9">
        <v>206450.0</v>
      </c>
      <c r="D1540" s="9">
        <v>0.0</v>
      </c>
      <c r="E1540" s="9">
        <v>226.0</v>
      </c>
      <c r="F1540" s="7" t="s">
        <v>530</v>
      </c>
      <c r="G1540" s="7" t="s">
        <v>358</v>
      </c>
      <c r="H1540" s="7" t="s">
        <v>387</v>
      </c>
      <c r="I1540" s="7" t="s">
        <v>355</v>
      </c>
      <c r="J1540" s="14"/>
      <c r="K1540" s="14"/>
      <c r="O1540" s="22"/>
      <c r="P1540" s="22"/>
      <c r="Q1540" s="23"/>
      <c r="R1540" s="23"/>
      <c r="S1540" s="14"/>
    </row>
    <row r="1541" ht="18.75" customHeight="1">
      <c r="A1541" s="7" t="s">
        <v>529</v>
      </c>
      <c r="B1541" s="7" t="s">
        <v>3875</v>
      </c>
      <c r="C1541" s="9">
        <v>142221.0</v>
      </c>
      <c r="D1541" s="9">
        <v>0.0</v>
      </c>
      <c r="E1541" s="9">
        <v>463.0</v>
      </c>
      <c r="F1541" s="7" t="s">
        <v>530</v>
      </c>
      <c r="G1541" s="7" t="s">
        <v>358</v>
      </c>
      <c r="H1541" s="7" t="s">
        <v>387</v>
      </c>
      <c r="I1541" s="7" t="s">
        <v>355</v>
      </c>
      <c r="J1541" s="14"/>
      <c r="K1541" s="14"/>
      <c r="O1541" s="22"/>
      <c r="P1541" s="22"/>
      <c r="Q1541" s="23"/>
      <c r="R1541" s="23"/>
      <c r="S1541" s="14"/>
    </row>
    <row r="1542" ht="18.75" customHeight="1">
      <c r="A1542" s="7" t="s">
        <v>529</v>
      </c>
      <c r="B1542" s="7" t="s">
        <v>3875</v>
      </c>
      <c r="C1542" s="9">
        <v>64713.0</v>
      </c>
      <c r="D1542" s="9">
        <v>0.0</v>
      </c>
      <c r="E1542" s="9">
        <v>312.0</v>
      </c>
      <c r="F1542" s="7" t="s">
        <v>530</v>
      </c>
      <c r="G1542" s="7" t="s">
        <v>358</v>
      </c>
      <c r="H1542" s="7" t="s">
        <v>387</v>
      </c>
      <c r="I1542" s="7" t="s">
        <v>355</v>
      </c>
      <c r="J1542" s="14"/>
      <c r="K1542" s="14"/>
      <c r="O1542" s="22"/>
      <c r="P1542" s="22"/>
      <c r="Q1542" s="23"/>
      <c r="R1542" s="23"/>
      <c r="S1542" s="14"/>
    </row>
    <row r="1543" ht="18.75" customHeight="1">
      <c r="A1543" s="7" t="s">
        <v>529</v>
      </c>
      <c r="B1543" s="7" t="s">
        <v>3875</v>
      </c>
      <c r="C1543" s="9">
        <v>77576.0</v>
      </c>
      <c r="D1543" s="9">
        <v>0.0</v>
      </c>
      <c r="E1543" s="9">
        <v>288.0</v>
      </c>
      <c r="F1543" s="7" t="s">
        <v>530</v>
      </c>
      <c r="G1543" s="7" t="s">
        <v>358</v>
      </c>
      <c r="H1543" s="7" t="s">
        <v>387</v>
      </c>
      <c r="I1543" s="7" t="s">
        <v>355</v>
      </c>
      <c r="J1543" s="14"/>
      <c r="K1543" s="14"/>
      <c r="O1543" s="22"/>
      <c r="P1543" s="22"/>
      <c r="Q1543" s="23"/>
      <c r="R1543" s="23"/>
      <c r="S1543" s="14"/>
    </row>
    <row r="1544" ht="18.75" customHeight="1">
      <c r="A1544" s="7" t="s">
        <v>529</v>
      </c>
      <c r="B1544" s="7" t="s">
        <v>3875</v>
      </c>
      <c r="C1544" s="9">
        <v>87905.0</v>
      </c>
      <c r="D1544" s="9">
        <v>0.0</v>
      </c>
      <c r="E1544" s="9">
        <v>306.0</v>
      </c>
      <c r="F1544" s="7" t="s">
        <v>530</v>
      </c>
      <c r="G1544" s="7" t="s">
        <v>358</v>
      </c>
      <c r="H1544" s="7" t="s">
        <v>387</v>
      </c>
      <c r="I1544" s="7" t="s">
        <v>355</v>
      </c>
      <c r="J1544" s="14"/>
      <c r="K1544" s="14"/>
      <c r="O1544" s="22"/>
      <c r="P1544" s="22"/>
      <c r="Q1544" s="23"/>
      <c r="R1544" s="23"/>
      <c r="S1544" s="14"/>
    </row>
    <row r="1545" ht="18.75" customHeight="1">
      <c r="A1545" s="7" t="s">
        <v>529</v>
      </c>
      <c r="B1545" s="7" t="s">
        <v>3875</v>
      </c>
      <c r="C1545" s="9">
        <v>81818.0</v>
      </c>
      <c r="D1545" s="9">
        <v>0.0</v>
      </c>
      <c r="E1545" s="9">
        <v>395.0</v>
      </c>
      <c r="F1545" s="7" t="s">
        <v>530</v>
      </c>
      <c r="G1545" s="7" t="s">
        <v>358</v>
      </c>
      <c r="H1545" s="7" t="s">
        <v>387</v>
      </c>
      <c r="I1545" s="7" t="s">
        <v>355</v>
      </c>
      <c r="J1545" s="14"/>
      <c r="K1545" s="14"/>
      <c r="O1545" s="22"/>
      <c r="P1545" s="22"/>
      <c r="Q1545" s="23"/>
      <c r="R1545" s="23"/>
      <c r="S1545" s="14"/>
    </row>
    <row r="1546" ht="18.75" customHeight="1">
      <c r="A1546" s="7" t="s">
        <v>1361</v>
      </c>
      <c r="B1546" s="7" t="s">
        <v>3875</v>
      </c>
      <c r="C1546" s="9">
        <v>505756.0</v>
      </c>
      <c r="D1546" s="9">
        <v>0.0</v>
      </c>
      <c r="E1546" s="9">
        <v>960.0</v>
      </c>
      <c r="F1546" s="7" t="s">
        <v>1362</v>
      </c>
      <c r="G1546" s="7" t="s">
        <v>353</v>
      </c>
      <c r="H1546" s="7" t="s">
        <v>378</v>
      </c>
      <c r="I1546" s="7" t="s">
        <v>355</v>
      </c>
      <c r="J1546" s="14"/>
      <c r="K1546" s="14"/>
      <c r="O1546" s="22"/>
      <c r="P1546" s="22"/>
      <c r="Q1546" s="23"/>
      <c r="R1546" s="23"/>
      <c r="S1546" s="14"/>
    </row>
    <row r="1547" ht="18.75" customHeight="1">
      <c r="A1547" s="7" t="s">
        <v>1361</v>
      </c>
      <c r="B1547" s="7" t="s">
        <v>3875</v>
      </c>
      <c r="C1547" s="9">
        <v>246442.0</v>
      </c>
      <c r="D1547" s="9">
        <v>0.0</v>
      </c>
      <c r="E1547" s="9">
        <v>328.0</v>
      </c>
      <c r="F1547" s="7" t="s">
        <v>1362</v>
      </c>
      <c r="G1547" s="7" t="s">
        <v>353</v>
      </c>
      <c r="H1547" s="7" t="s">
        <v>378</v>
      </c>
      <c r="I1547" s="7" t="s">
        <v>355</v>
      </c>
      <c r="J1547" s="14"/>
      <c r="K1547" s="14"/>
      <c r="O1547" s="22"/>
      <c r="P1547" s="22"/>
      <c r="Q1547" s="23"/>
      <c r="R1547" s="23"/>
      <c r="S1547" s="14"/>
    </row>
    <row r="1548" ht="18.75" customHeight="1">
      <c r="A1548" s="7" t="s">
        <v>1425</v>
      </c>
      <c r="B1548" s="7" t="s">
        <v>3875</v>
      </c>
      <c r="C1548" s="9">
        <v>297042.0</v>
      </c>
      <c r="D1548" s="9">
        <v>13307.0</v>
      </c>
      <c r="E1548" s="9">
        <v>324.0</v>
      </c>
      <c r="F1548" s="7" t="s">
        <v>1426</v>
      </c>
      <c r="G1548" s="7" t="s">
        <v>358</v>
      </c>
      <c r="H1548" s="7" t="s">
        <v>466</v>
      </c>
      <c r="I1548" s="7" t="s">
        <v>355</v>
      </c>
      <c r="J1548" s="14"/>
      <c r="K1548" s="14"/>
      <c r="O1548" s="22"/>
      <c r="P1548" s="22"/>
      <c r="Q1548" s="23"/>
      <c r="R1548" s="23"/>
      <c r="S1548" s="14"/>
    </row>
    <row r="1549" ht="18.75" customHeight="1">
      <c r="A1549" s="7" t="s">
        <v>1425</v>
      </c>
      <c r="B1549" s="7" t="s">
        <v>3875</v>
      </c>
      <c r="C1549" s="9">
        <v>342714.0</v>
      </c>
      <c r="D1549" s="9">
        <v>629.0</v>
      </c>
      <c r="E1549" s="9">
        <v>767.0</v>
      </c>
      <c r="F1549" s="7" t="s">
        <v>1426</v>
      </c>
      <c r="G1549" s="7" t="s">
        <v>358</v>
      </c>
      <c r="H1549" s="7" t="s">
        <v>466</v>
      </c>
      <c r="I1549" s="7" t="s">
        <v>355</v>
      </c>
      <c r="J1549" s="14"/>
      <c r="K1549" s="14"/>
      <c r="O1549" s="22"/>
      <c r="P1549" s="22"/>
      <c r="Q1549" s="23"/>
      <c r="R1549" s="23"/>
      <c r="S1549" s="14"/>
    </row>
    <row r="1550" ht="18.75" customHeight="1">
      <c r="A1550" s="7" t="s">
        <v>1531</v>
      </c>
      <c r="B1550" s="7" t="s">
        <v>3875</v>
      </c>
      <c r="C1550" s="9">
        <v>171506.0</v>
      </c>
      <c r="D1550" s="9">
        <v>0.0</v>
      </c>
      <c r="E1550" s="9">
        <v>5882.0</v>
      </c>
      <c r="F1550" s="7" t="s">
        <v>1532</v>
      </c>
      <c r="G1550" s="7" t="s">
        <v>404</v>
      </c>
      <c r="H1550" s="7" t="s">
        <v>405</v>
      </c>
      <c r="I1550" s="7" t="s">
        <v>355</v>
      </c>
      <c r="J1550" s="14"/>
      <c r="K1550" s="14"/>
      <c r="O1550" s="22"/>
      <c r="P1550" s="22"/>
      <c r="Q1550" s="23"/>
      <c r="R1550" s="23"/>
      <c r="S1550" s="14"/>
    </row>
    <row r="1551" ht="18.75" customHeight="1">
      <c r="A1551" s="7" t="s">
        <v>1541</v>
      </c>
      <c r="B1551" s="7" t="s">
        <v>3875</v>
      </c>
      <c r="C1551" s="9">
        <v>339735.0</v>
      </c>
      <c r="D1551" s="9">
        <v>0.0</v>
      </c>
      <c r="E1551" s="9">
        <v>479.0</v>
      </c>
      <c r="F1551" s="7" t="s">
        <v>1542</v>
      </c>
      <c r="G1551" s="7" t="s">
        <v>416</v>
      </c>
      <c r="H1551" s="7" t="s">
        <v>378</v>
      </c>
      <c r="I1551" s="7" t="s">
        <v>355</v>
      </c>
      <c r="J1551" s="14"/>
      <c r="K1551" s="14"/>
      <c r="O1551" s="22"/>
      <c r="P1551" s="22"/>
      <c r="Q1551" s="23"/>
      <c r="R1551" s="23"/>
      <c r="S1551" s="14"/>
    </row>
    <row r="1552" ht="18.75" customHeight="1">
      <c r="A1552" s="7" t="s">
        <v>1455</v>
      </c>
      <c r="B1552" s="7" t="s">
        <v>3875</v>
      </c>
      <c r="C1552" s="9">
        <v>642266.0</v>
      </c>
      <c r="D1552" s="9">
        <v>20405.0</v>
      </c>
      <c r="E1552" s="9">
        <v>494.0</v>
      </c>
      <c r="F1552" s="7" t="s">
        <v>1456</v>
      </c>
      <c r="G1552" s="7" t="s">
        <v>416</v>
      </c>
      <c r="H1552" s="7" t="s">
        <v>417</v>
      </c>
      <c r="I1552" s="7" t="s">
        <v>355</v>
      </c>
      <c r="J1552" s="14"/>
      <c r="K1552" s="14"/>
      <c r="O1552" s="22"/>
      <c r="P1552" s="22"/>
      <c r="Q1552" s="23"/>
      <c r="R1552" s="23"/>
      <c r="S1552" s="14"/>
    </row>
    <row r="1553" ht="18.75" customHeight="1">
      <c r="A1553" s="7" t="s">
        <v>1543</v>
      </c>
      <c r="B1553" s="7" t="s">
        <v>3875</v>
      </c>
      <c r="C1553" s="9">
        <v>222274.0</v>
      </c>
      <c r="D1553" s="9">
        <v>0.0</v>
      </c>
      <c r="E1553" s="9">
        <v>211.0</v>
      </c>
      <c r="F1553" s="7" t="s">
        <v>1544</v>
      </c>
      <c r="G1553" s="7" t="s">
        <v>416</v>
      </c>
      <c r="H1553" s="7" t="s">
        <v>594</v>
      </c>
      <c r="I1553" s="7" t="s">
        <v>355</v>
      </c>
      <c r="J1553" s="14"/>
      <c r="K1553" s="14"/>
      <c r="O1553" s="22"/>
      <c r="P1553" s="22"/>
      <c r="Q1553" s="23"/>
      <c r="R1553" s="23"/>
      <c r="S1553" s="14"/>
    </row>
    <row r="1554" ht="18.75" customHeight="1">
      <c r="A1554" s="7" t="s">
        <v>1135</v>
      </c>
      <c r="B1554" s="7" t="s">
        <v>3875</v>
      </c>
      <c r="C1554" s="9">
        <v>88704.0</v>
      </c>
      <c r="D1554" s="9">
        <v>4617.0</v>
      </c>
      <c r="E1554" s="9">
        <v>26.0</v>
      </c>
      <c r="F1554" s="7" t="s">
        <v>1136</v>
      </c>
      <c r="G1554" s="7" t="s">
        <v>404</v>
      </c>
      <c r="H1554" s="7" t="s">
        <v>667</v>
      </c>
      <c r="I1554" s="7" t="s">
        <v>355</v>
      </c>
      <c r="J1554" s="14"/>
      <c r="K1554" s="14"/>
      <c r="O1554" s="22"/>
      <c r="P1554" s="22"/>
      <c r="Q1554" s="23"/>
      <c r="R1554" s="23"/>
      <c r="S1554" s="14"/>
    </row>
    <row r="1555" ht="18.75" customHeight="1">
      <c r="A1555" s="7" t="s">
        <v>1291</v>
      </c>
      <c r="B1555" s="7" t="s">
        <v>3875</v>
      </c>
      <c r="C1555" s="9">
        <v>86914.0</v>
      </c>
      <c r="D1555" s="9">
        <v>0.0</v>
      </c>
      <c r="E1555" s="9">
        <v>2718.0</v>
      </c>
      <c r="F1555" s="7" t="s">
        <v>1292</v>
      </c>
      <c r="G1555" s="7" t="s">
        <v>353</v>
      </c>
      <c r="H1555" s="7" t="s">
        <v>354</v>
      </c>
      <c r="I1555" s="7" t="s">
        <v>410</v>
      </c>
      <c r="J1555" s="14"/>
      <c r="K1555" s="14"/>
      <c r="O1555" s="22"/>
      <c r="P1555" s="22"/>
      <c r="Q1555" s="23"/>
      <c r="R1555" s="23"/>
      <c r="S1555" s="14"/>
    </row>
    <row r="1556" ht="18.75" customHeight="1">
      <c r="A1556" s="7" t="s">
        <v>1549</v>
      </c>
      <c r="B1556" s="7" t="s">
        <v>3875</v>
      </c>
      <c r="C1556" s="9">
        <v>70194.0</v>
      </c>
      <c r="D1556" s="9">
        <v>0.0</v>
      </c>
      <c r="E1556" s="9">
        <v>720.0</v>
      </c>
      <c r="F1556" s="7" t="s">
        <v>1550</v>
      </c>
      <c r="G1556" s="7" t="s">
        <v>364</v>
      </c>
      <c r="H1556" s="7" t="s">
        <v>365</v>
      </c>
      <c r="I1556" s="7" t="s">
        <v>355</v>
      </c>
      <c r="J1556" s="14"/>
      <c r="K1556" s="14"/>
      <c r="O1556" s="22"/>
      <c r="P1556" s="22"/>
      <c r="Q1556" s="23"/>
      <c r="R1556" s="23"/>
      <c r="S1556" s="14"/>
    </row>
    <row r="1557" ht="18.75" customHeight="1">
      <c r="A1557" s="7" t="s">
        <v>1539</v>
      </c>
      <c r="B1557" s="7" t="s">
        <v>3875</v>
      </c>
      <c r="C1557" s="9">
        <v>13497.0</v>
      </c>
      <c r="D1557" s="9">
        <v>0.0</v>
      </c>
      <c r="E1557" s="9">
        <v>629.0</v>
      </c>
      <c r="F1557" s="7" t="s">
        <v>1540</v>
      </c>
      <c r="G1557" s="7" t="s">
        <v>416</v>
      </c>
      <c r="H1557" s="7" t="s">
        <v>417</v>
      </c>
      <c r="I1557" s="7" t="s">
        <v>355</v>
      </c>
      <c r="J1557" s="14"/>
      <c r="K1557" s="14"/>
      <c r="O1557" s="22"/>
      <c r="P1557" s="22"/>
      <c r="Q1557" s="23"/>
      <c r="R1557" s="23"/>
      <c r="S1557" s="14"/>
    </row>
    <row r="1558" ht="18.75" customHeight="1">
      <c r="A1558" s="7" t="s">
        <v>1551</v>
      </c>
      <c r="B1558" s="7" t="s">
        <v>3875</v>
      </c>
      <c r="C1558" s="9">
        <v>16429.0</v>
      </c>
      <c r="D1558" s="9">
        <v>0.0</v>
      </c>
      <c r="E1558" s="9">
        <v>285.0</v>
      </c>
      <c r="F1558" s="7" t="s">
        <v>1552</v>
      </c>
      <c r="G1558" s="7" t="s">
        <v>364</v>
      </c>
      <c r="H1558" s="7" t="s">
        <v>365</v>
      </c>
      <c r="I1558" s="7" t="s">
        <v>355</v>
      </c>
      <c r="J1558" s="14"/>
      <c r="K1558" s="14"/>
      <c r="O1558" s="22"/>
      <c r="P1558" s="22"/>
      <c r="Q1558" s="23"/>
      <c r="R1558" s="23"/>
      <c r="S1558" s="14"/>
    </row>
    <row r="1559" ht="18.75" customHeight="1">
      <c r="A1559" s="7" t="s">
        <v>1509</v>
      </c>
      <c r="B1559" s="7" t="s">
        <v>3875</v>
      </c>
      <c r="C1559" s="9">
        <v>330981.0</v>
      </c>
      <c r="D1559" s="9">
        <v>0.0</v>
      </c>
      <c r="E1559" s="9">
        <v>1056.0</v>
      </c>
      <c r="F1559" s="7" t="s">
        <v>1510</v>
      </c>
      <c r="G1559" s="7" t="s">
        <v>353</v>
      </c>
      <c r="H1559" s="7" t="s">
        <v>725</v>
      </c>
      <c r="I1559" s="7" t="s">
        <v>355</v>
      </c>
      <c r="J1559" s="14"/>
      <c r="K1559" s="14"/>
      <c r="O1559" s="22"/>
      <c r="P1559" s="22"/>
      <c r="Q1559" s="23"/>
      <c r="R1559" s="23"/>
      <c r="S1559" s="14"/>
    </row>
    <row r="1560" ht="18.75" customHeight="1">
      <c r="A1560" s="7" t="s">
        <v>1393</v>
      </c>
      <c r="B1560" s="7" t="s">
        <v>3875</v>
      </c>
      <c r="C1560" s="9">
        <v>264133.0</v>
      </c>
      <c r="D1560" s="9">
        <v>30698.0</v>
      </c>
      <c r="E1560" s="9">
        <v>663.0</v>
      </c>
      <c r="F1560" s="7" t="s">
        <v>1394</v>
      </c>
      <c r="G1560" s="7" t="s">
        <v>353</v>
      </c>
      <c r="H1560" s="7" t="s">
        <v>378</v>
      </c>
      <c r="I1560" s="7" t="s">
        <v>355</v>
      </c>
      <c r="J1560" s="14"/>
      <c r="K1560" s="14"/>
      <c r="O1560" s="22"/>
      <c r="P1560" s="22"/>
      <c r="Q1560" s="23"/>
      <c r="R1560" s="23"/>
      <c r="S1560" s="14"/>
    </row>
    <row r="1561" ht="18.75" customHeight="1">
      <c r="A1561" s="7" t="s">
        <v>1393</v>
      </c>
      <c r="B1561" s="7" t="s">
        <v>3875</v>
      </c>
      <c r="C1561" s="9">
        <v>112683.0</v>
      </c>
      <c r="D1561" s="9">
        <v>13291.0</v>
      </c>
      <c r="E1561" s="9">
        <v>179.0</v>
      </c>
      <c r="F1561" s="7" t="s">
        <v>1394</v>
      </c>
      <c r="G1561" s="7" t="s">
        <v>353</v>
      </c>
      <c r="H1561" s="7" t="s">
        <v>378</v>
      </c>
      <c r="I1561" s="7" t="s">
        <v>355</v>
      </c>
      <c r="J1561" s="14"/>
      <c r="K1561" s="14"/>
      <c r="O1561" s="22"/>
      <c r="P1561" s="22"/>
      <c r="Q1561" s="23"/>
      <c r="R1561" s="23"/>
      <c r="S1561" s="14"/>
    </row>
    <row r="1562" ht="18.75" customHeight="1">
      <c r="A1562" s="7" t="s">
        <v>1471</v>
      </c>
      <c r="B1562" s="7" t="s">
        <v>3875</v>
      </c>
      <c r="C1562" s="9">
        <v>1206197.0</v>
      </c>
      <c r="D1562" s="9">
        <v>34868.0</v>
      </c>
      <c r="E1562" s="9">
        <v>2810.0</v>
      </c>
      <c r="F1562" s="7" t="s">
        <v>1472</v>
      </c>
      <c r="G1562" s="7" t="s">
        <v>404</v>
      </c>
      <c r="H1562" s="7" t="s">
        <v>405</v>
      </c>
      <c r="I1562" s="7" t="s">
        <v>355</v>
      </c>
      <c r="J1562" s="14"/>
      <c r="K1562" s="14"/>
      <c r="O1562" s="22"/>
      <c r="P1562" s="22"/>
      <c r="Q1562" s="23"/>
      <c r="R1562" s="23"/>
      <c r="S1562" s="14"/>
    </row>
    <row r="1563" ht="18.75" customHeight="1">
      <c r="A1563" s="7" t="s">
        <v>1567</v>
      </c>
      <c r="B1563" s="7" t="s">
        <v>3875</v>
      </c>
      <c r="C1563" s="9">
        <v>5403990.0</v>
      </c>
      <c r="D1563" s="9">
        <v>284872.0</v>
      </c>
      <c r="E1563" s="9">
        <v>10524.0</v>
      </c>
      <c r="F1563" s="7" t="s">
        <v>1568</v>
      </c>
      <c r="G1563" s="7" t="s">
        <v>358</v>
      </c>
      <c r="H1563" s="7" t="s">
        <v>466</v>
      </c>
      <c r="I1563" s="7" t="s">
        <v>355</v>
      </c>
      <c r="J1563" s="14"/>
      <c r="K1563" s="14"/>
      <c r="O1563" s="22"/>
      <c r="P1563" s="22"/>
      <c r="Q1563" s="23"/>
      <c r="R1563" s="23"/>
      <c r="S1563" s="14"/>
    </row>
    <row r="1564" ht="18.75" customHeight="1">
      <c r="A1564" s="7" t="s">
        <v>1537</v>
      </c>
      <c r="B1564" s="7" t="s">
        <v>3875</v>
      </c>
      <c r="C1564" s="9">
        <v>70445.0</v>
      </c>
      <c r="D1564" s="9">
        <v>0.0</v>
      </c>
      <c r="E1564" s="9">
        <v>3113.0</v>
      </c>
      <c r="F1564" s="7" t="s">
        <v>1538</v>
      </c>
      <c r="G1564" s="7" t="s">
        <v>416</v>
      </c>
      <c r="H1564" s="7" t="s">
        <v>417</v>
      </c>
      <c r="I1564" s="7" t="s">
        <v>355</v>
      </c>
      <c r="J1564" s="14"/>
      <c r="K1564" s="14"/>
      <c r="O1564" s="22"/>
      <c r="P1564" s="22"/>
      <c r="Q1564" s="23"/>
      <c r="R1564" s="23"/>
      <c r="S1564" s="14"/>
    </row>
    <row r="1565" ht="18.75" customHeight="1">
      <c r="A1565" s="7" t="s">
        <v>1537</v>
      </c>
      <c r="B1565" s="7" t="s">
        <v>3875</v>
      </c>
      <c r="C1565" s="9">
        <v>93133.0</v>
      </c>
      <c r="D1565" s="9">
        <v>0.0</v>
      </c>
      <c r="E1565" s="9">
        <v>4336.0</v>
      </c>
      <c r="F1565" s="7" t="s">
        <v>1538</v>
      </c>
      <c r="G1565" s="7" t="s">
        <v>416</v>
      </c>
      <c r="H1565" s="7" t="s">
        <v>417</v>
      </c>
      <c r="I1565" s="7" t="s">
        <v>355</v>
      </c>
      <c r="J1565" s="14"/>
      <c r="K1565" s="14"/>
      <c r="O1565" s="22"/>
      <c r="P1565" s="22"/>
      <c r="Q1565" s="23"/>
      <c r="R1565" s="23"/>
      <c r="S1565" s="14"/>
    </row>
    <row r="1566" ht="18.75" customHeight="1">
      <c r="A1566" s="7" t="s">
        <v>1533</v>
      </c>
      <c r="B1566" s="7" t="s">
        <v>3875</v>
      </c>
      <c r="C1566" s="9">
        <v>329138.0</v>
      </c>
      <c r="D1566" s="9">
        <v>11001.0</v>
      </c>
      <c r="E1566" s="9">
        <v>391.0</v>
      </c>
      <c r="F1566" s="7" t="s">
        <v>1534</v>
      </c>
      <c r="G1566" s="7" t="s">
        <v>358</v>
      </c>
      <c r="H1566" s="7" t="s">
        <v>466</v>
      </c>
      <c r="I1566" s="7" t="s">
        <v>355</v>
      </c>
      <c r="J1566" s="14"/>
      <c r="K1566" s="14"/>
      <c r="O1566" s="22"/>
      <c r="P1566" s="22"/>
      <c r="Q1566" s="23"/>
      <c r="R1566" s="23"/>
      <c r="S1566" s="14"/>
    </row>
    <row r="1567" ht="18.75" customHeight="1">
      <c r="A1567" s="7" t="s">
        <v>1533</v>
      </c>
      <c r="B1567" s="7" t="s">
        <v>3875</v>
      </c>
      <c r="C1567" s="9">
        <v>378948.0</v>
      </c>
      <c r="D1567" s="9">
        <v>45402.0</v>
      </c>
      <c r="E1567" s="9">
        <v>589.0</v>
      </c>
      <c r="F1567" s="7" t="s">
        <v>1534</v>
      </c>
      <c r="G1567" s="7" t="s">
        <v>358</v>
      </c>
      <c r="H1567" s="7" t="s">
        <v>466</v>
      </c>
      <c r="I1567" s="7" t="s">
        <v>355</v>
      </c>
      <c r="J1567" s="14"/>
      <c r="K1567" s="14"/>
      <c r="O1567" s="22"/>
      <c r="P1567" s="22"/>
      <c r="Q1567" s="23"/>
      <c r="R1567" s="23"/>
      <c r="S1567" s="14"/>
    </row>
    <row r="1568" ht="18.75" customHeight="1">
      <c r="A1568" s="7" t="s">
        <v>1563</v>
      </c>
      <c r="B1568" s="7" t="s">
        <v>3875</v>
      </c>
      <c r="C1568" s="9">
        <v>169941.0</v>
      </c>
      <c r="D1568" s="9">
        <v>0.0</v>
      </c>
      <c r="E1568" s="9">
        <v>593.0</v>
      </c>
      <c r="F1568" s="7" t="s">
        <v>1564</v>
      </c>
      <c r="G1568" s="7" t="s">
        <v>416</v>
      </c>
      <c r="H1568" s="7" t="s">
        <v>466</v>
      </c>
      <c r="I1568" s="7" t="s">
        <v>355</v>
      </c>
      <c r="J1568" s="14"/>
      <c r="K1568" s="14"/>
      <c r="O1568" s="22"/>
      <c r="P1568" s="22"/>
      <c r="Q1568" s="23"/>
      <c r="R1568" s="23"/>
      <c r="S1568" s="14"/>
    </row>
    <row r="1569" ht="18.75" customHeight="1">
      <c r="A1569" s="7" t="s">
        <v>1565</v>
      </c>
      <c r="B1569" s="7" t="s">
        <v>3875</v>
      </c>
      <c r="C1569" s="9">
        <v>144522.0</v>
      </c>
      <c r="D1569" s="9">
        <v>0.0</v>
      </c>
      <c r="E1569" s="9">
        <v>449.0</v>
      </c>
      <c r="F1569" s="7" t="s">
        <v>1566</v>
      </c>
      <c r="G1569" s="7" t="s">
        <v>416</v>
      </c>
      <c r="H1569" s="7" t="s">
        <v>466</v>
      </c>
      <c r="I1569" s="7" t="s">
        <v>355</v>
      </c>
      <c r="J1569" s="14"/>
      <c r="K1569" s="14"/>
      <c r="O1569" s="22"/>
      <c r="P1569" s="22"/>
      <c r="Q1569" s="23"/>
      <c r="R1569" s="23"/>
      <c r="S1569" s="14"/>
    </row>
    <row r="1570" ht="18.75" customHeight="1">
      <c r="A1570" s="7" t="s">
        <v>1557</v>
      </c>
      <c r="B1570" s="7" t="s">
        <v>3875</v>
      </c>
      <c r="C1570" s="9">
        <v>117543.0</v>
      </c>
      <c r="D1570" s="9">
        <v>0.0</v>
      </c>
      <c r="E1570" s="9">
        <v>415.0</v>
      </c>
      <c r="F1570" s="7" t="s">
        <v>1558</v>
      </c>
      <c r="G1570" s="7" t="s">
        <v>416</v>
      </c>
      <c r="H1570" s="7" t="s">
        <v>466</v>
      </c>
      <c r="I1570" s="7" t="s">
        <v>355</v>
      </c>
      <c r="J1570" s="14"/>
      <c r="K1570" s="14"/>
      <c r="O1570" s="22"/>
      <c r="P1570" s="22"/>
      <c r="Q1570" s="23"/>
      <c r="R1570" s="23"/>
      <c r="S1570" s="14"/>
    </row>
    <row r="1571" ht="18.75" customHeight="1">
      <c r="A1571" s="7" t="s">
        <v>1559</v>
      </c>
      <c r="B1571" s="7" t="s">
        <v>3875</v>
      </c>
      <c r="C1571" s="9">
        <v>145485.0</v>
      </c>
      <c r="D1571" s="9">
        <v>0.0</v>
      </c>
      <c r="E1571" s="9">
        <v>513.0</v>
      </c>
      <c r="F1571" s="7" t="s">
        <v>1560</v>
      </c>
      <c r="G1571" s="7" t="s">
        <v>416</v>
      </c>
      <c r="H1571" s="7" t="s">
        <v>466</v>
      </c>
      <c r="I1571" s="7" t="s">
        <v>355</v>
      </c>
      <c r="J1571" s="14"/>
      <c r="K1571" s="14"/>
      <c r="O1571" s="22"/>
      <c r="P1571" s="22"/>
      <c r="Q1571" s="23"/>
      <c r="R1571" s="23"/>
      <c r="S1571" s="14"/>
    </row>
    <row r="1572" ht="18.75" customHeight="1">
      <c r="A1572" s="7" t="s">
        <v>1395</v>
      </c>
      <c r="B1572" s="7" t="s">
        <v>3875</v>
      </c>
      <c r="C1572" s="9">
        <v>460156.0</v>
      </c>
      <c r="D1572" s="9">
        <v>58831.0</v>
      </c>
      <c r="E1572" s="9">
        <v>761.0</v>
      </c>
      <c r="F1572" s="7" t="s">
        <v>1396</v>
      </c>
      <c r="G1572" s="7" t="s">
        <v>358</v>
      </c>
      <c r="H1572" s="7" t="s">
        <v>466</v>
      </c>
      <c r="I1572" s="7" t="s">
        <v>355</v>
      </c>
      <c r="J1572" s="14"/>
      <c r="K1572" s="14"/>
      <c r="O1572" s="22"/>
      <c r="P1572" s="22"/>
      <c r="Q1572" s="23"/>
      <c r="R1572" s="23"/>
      <c r="S1572" s="14"/>
    </row>
    <row r="1573" ht="18.75" customHeight="1">
      <c r="A1573" s="7" t="s">
        <v>1395</v>
      </c>
      <c r="B1573" s="7" t="s">
        <v>3875</v>
      </c>
      <c r="C1573" s="9">
        <v>482296.0</v>
      </c>
      <c r="D1573" s="9">
        <v>7955.0</v>
      </c>
      <c r="E1573" s="9">
        <v>423.0</v>
      </c>
      <c r="F1573" s="7" t="s">
        <v>1396</v>
      </c>
      <c r="G1573" s="7" t="s">
        <v>358</v>
      </c>
      <c r="H1573" s="7" t="s">
        <v>466</v>
      </c>
      <c r="I1573" s="7" t="s">
        <v>355</v>
      </c>
      <c r="J1573" s="14"/>
      <c r="K1573" s="14"/>
      <c r="O1573" s="22"/>
      <c r="P1573" s="22"/>
      <c r="Q1573" s="23"/>
      <c r="R1573" s="23"/>
      <c r="S1573" s="14"/>
    </row>
    <row r="1574" ht="18.75" customHeight="1">
      <c r="A1574" s="7" t="s">
        <v>1561</v>
      </c>
      <c r="B1574" s="7" t="s">
        <v>3875</v>
      </c>
      <c r="C1574" s="9">
        <v>432879.0</v>
      </c>
      <c r="D1574" s="9">
        <v>2584.0</v>
      </c>
      <c r="E1574" s="9">
        <v>470.0</v>
      </c>
      <c r="F1574" s="7" t="s">
        <v>1562</v>
      </c>
      <c r="G1574" s="7" t="s">
        <v>358</v>
      </c>
      <c r="H1574" s="7" t="s">
        <v>466</v>
      </c>
      <c r="I1574" s="7" t="s">
        <v>355</v>
      </c>
      <c r="J1574" s="14"/>
      <c r="K1574" s="14"/>
      <c r="O1574" s="22"/>
      <c r="P1574" s="22"/>
      <c r="Q1574" s="23"/>
      <c r="R1574" s="23"/>
      <c r="S1574" s="14"/>
    </row>
    <row r="1575" ht="18.75" customHeight="1">
      <c r="A1575" s="7" t="s">
        <v>1561</v>
      </c>
      <c r="B1575" s="7" t="s">
        <v>3875</v>
      </c>
      <c r="C1575" s="9">
        <v>350978.0</v>
      </c>
      <c r="D1575" s="9">
        <v>3829.0</v>
      </c>
      <c r="E1575" s="9">
        <v>670.0</v>
      </c>
      <c r="F1575" s="7" t="s">
        <v>1562</v>
      </c>
      <c r="G1575" s="7" t="s">
        <v>358</v>
      </c>
      <c r="H1575" s="7" t="s">
        <v>466</v>
      </c>
      <c r="I1575" s="7" t="s">
        <v>355</v>
      </c>
      <c r="J1575" s="14"/>
      <c r="K1575" s="14"/>
      <c r="O1575" s="22"/>
      <c r="P1575" s="22"/>
      <c r="Q1575" s="23"/>
      <c r="R1575" s="23"/>
      <c r="S1575" s="14"/>
    </row>
    <row r="1576" ht="18.75" customHeight="1">
      <c r="A1576" s="7" t="s">
        <v>1577</v>
      </c>
      <c r="B1576" s="7" t="s">
        <v>3875</v>
      </c>
      <c r="C1576" s="9">
        <v>71466.0</v>
      </c>
      <c r="D1576" s="9">
        <v>0.0</v>
      </c>
      <c r="E1576" s="9">
        <v>299.0</v>
      </c>
      <c r="F1576" s="7" t="s">
        <v>1578</v>
      </c>
      <c r="G1576" s="7" t="s">
        <v>404</v>
      </c>
      <c r="H1576" s="7" t="s">
        <v>405</v>
      </c>
      <c r="I1576" s="7" t="s">
        <v>355</v>
      </c>
      <c r="J1576" s="14"/>
      <c r="K1576" s="14"/>
      <c r="O1576" s="22"/>
      <c r="P1576" s="22"/>
      <c r="Q1576" s="23"/>
      <c r="R1576" s="23"/>
      <c r="S1576" s="14"/>
    </row>
    <row r="1577" ht="18.75" customHeight="1">
      <c r="A1577" s="7" t="s">
        <v>1571</v>
      </c>
      <c r="B1577" s="7" t="s">
        <v>3875</v>
      </c>
      <c r="C1577" s="9">
        <v>96756.0</v>
      </c>
      <c r="D1577" s="9">
        <v>0.0</v>
      </c>
      <c r="E1577" s="9">
        <v>4685.0</v>
      </c>
      <c r="F1577" s="7" t="s">
        <v>1572</v>
      </c>
      <c r="G1577" s="7" t="s">
        <v>404</v>
      </c>
      <c r="H1577" s="7" t="s">
        <v>405</v>
      </c>
      <c r="I1577" s="7" t="s">
        <v>355</v>
      </c>
      <c r="J1577" s="14"/>
      <c r="K1577" s="14"/>
      <c r="O1577" s="22"/>
      <c r="P1577" s="22"/>
      <c r="Q1577" s="23"/>
      <c r="R1577" s="23"/>
      <c r="S1577" s="14"/>
    </row>
    <row r="1578" ht="18.75" customHeight="1">
      <c r="A1578" s="7" t="s">
        <v>1573</v>
      </c>
      <c r="B1578" s="7" t="s">
        <v>3875</v>
      </c>
      <c r="C1578" s="9">
        <v>75987.0</v>
      </c>
      <c r="D1578" s="9">
        <v>0.0</v>
      </c>
      <c r="E1578" s="9">
        <v>4120.0</v>
      </c>
      <c r="F1578" s="7" t="s">
        <v>1574</v>
      </c>
      <c r="G1578" s="7" t="s">
        <v>404</v>
      </c>
      <c r="H1578" s="7" t="s">
        <v>405</v>
      </c>
      <c r="I1578" s="7" t="s">
        <v>355</v>
      </c>
      <c r="J1578" s="14"/>
      <c r="K1578" s="14"/>
      <c r="O1578" s="22"/>
      <c r="P1578" s="22"/>
      <c r="Q1578" s="23"/>
      <c r="R1578" s="23"/>
      <c r="S1578" s="14"/>
    </row>
    <row r="1579" ht="18.75" customHeight="1">
      <c r="A1579" s="7" t="s">
        <v>1569</v>
      </c>
      <c r="B1579" s="7" t="s">
        <v>3875</v>
      </c>
      <c r="C1579" s="9">
        <v>93606.0</v>
      </c>
      <c r="D1579" s="9">
        <v>0.0</v>
      </c>
      <c r="E1579" s="9">
        <v>281.0</v>
      </c>
      <c r="F1579" s="7" t="s">
        <v>1570</v>
      </c>
      <c r="G1579" s="7" t="s">
        <v>404</v>
      </c>
      <c r="H1579" s="7" t="s">
        <v>405</v>
      </c>
      <c r="I1579" s="7" t="s">
        <v>355</v>
      </c>
      <c r="J1579" s="14"/>
      <c r="K1579" s="14"/>
      <c r="O1579" s="22"/>
      <c r="P1579" s="22"/>
      <c r="Q1579" s="23"/>
      <c r="R1579" s="23"/>
      <c r="S1579" s="14"/>
    </row>
    <row r="1580" ht="18.75" customHeight="1">
      <c r="A1580" s="7" t="s">
        <v>1347</v>
      </c>
      <c r="B1580" s="7" t="s">
        <v>3875</v>
      </c>
      <c r="C1580" s="9">
        <v>66094.0</v>
      </c>
      <c r="D1580" s="9">
        <v>0.0</v>
      </c>
      <c r="E1580" s="9">
        <v>494.0</v>
      </c>
      <c r="F1580" s="7" t="s">
        <v>1348</v>
      </c>
      <c r="G1580" s="7" t="s">
        <v>364</v>
      </c>
      <c r="H1580" s="7" t="s">
        <v>365</v>
      </c>
      <c r="I1580" s="7" t="s">
        <v>355</v>
      </c>
      <c r="J1580" s="14"/>
      <c r="K1580" s="14"/>
      <c r="O1580" s="22"/>
      <c r="P1580" s="22"/>
      <c r="Q1580" s="23"/>
      <c r="R1580" s="23"/>
      <c r="S1580" s="14"/>
    </row>
    <row r="1581" ht="18.75" customHeight="1">
      <c r="A1581" s="7" t="s">
        <v>1545</v>
      </c>
      <c r="B1581" s="7" t="s">
        <v>3875</v>
      </c>
      <c r="C1581" s="9">
        <v>53018.0</v>
      </c>
      <c r="D1581" s="9">
        <v>0.0</v>
      </c>
      <c r="E1581" s="9">
        <v>301.0</v>
      </c>
      <c r="F1581" s="7" t="s">
        <v>1546</v>
      </c>
      <c r="G1581" s="7" t="s">
        <v>416</v>
      </c>
      <c r="H1581" s="7" t="s">
        <v>594</v>
      </c>
      <c r="I1581" s="7" t="s">
        <v>355</v>
      </c>
      <c r="J1581" s="14"/>
      <c r="K1581" s="14"/>
      <c r="O1581" s="22"/>
      <c r="P1581" s="22"/>
      <c r="Q1581" s="23"/>
      <c r="R1581" s="23"/>
      <c r="S1581" s="14"/>
    </row>
    <row r="1582" ht="18.75" customHeight="1">
      <c r="A1582" s="7" t="s">
        <v>1401</v>
      </c>
      <c r="B1582" s="7" t="s">
        <v>3875</v>
      </c>
      <c r="C1582" s="9">
        <v>81752.0</v>
      </c>
      <c r="D1582" s="9">
        <v>36.0</v>
      </c>
      <c r="E1582" s="9">
        <v>183.0</v>
      </c>
      <c r="F1582" s="7" t="s">
        <v>1402</v>
      </c>
      <c r="G1582" s="7" t="s">
        <v>358</v>
      </c>
      <c r="H1582" s="7" t="s">
        <v>466</v>
      </c>
      <c r="I1582" s="7" t="s">
        <v>410</v>
      </c>
      <c r="J1582" s="14"/>
      <c r="K1582" s="14"/>
      <c r="O1582" s="22"/>
      <c r="P1582" s="22"/>
      <c r="Q1582" s="23"/>
      <c r="R1582" s="23"/>
      <c r="S1582" s="14"/>
    </row>
    <row r="1583" ht="18.75" customHeight="1">
      <c r="A1583" s="7" t="s">
        <v>1577</v>
      </c>
      <c r="B1583" s="7" t="s">
        <v>3875</v>
      </c>
      <c r="C1583" s="9">
        <v>286761.0</v>
      </c>
      <c r="D1583" s="9">
        <v>0.0</v>
      </c>
      <c r="E1583" s="9">
        <v>15482.0</v>
      </c>
      <c r="F1583" s="7" t="s">
        <v>1578</v>
      </c>
      <c r="G1583" s="7" t="s">
        <v>404</v>
      </c>
      <c r="H1583" s="7" t="s">
        <v>405</v>
      </c>
      <c r="I1583" s="7" t="s">
        <v>355</v>
      </c>
      <c r="J1583" s="14"/>
      <c r="K1583" s="14"/>
      <c r="O1583" s="22"/>
      <c r="P1583" s="22"/>
      <c r="Q1583" s="23"/>
      <c r="R1583" s="23"/>
      <c r="S1583" s="14"/>
    </row>
    <row r="1584" ht="18.75" customHeight="1">
      <c r="A1584" s="7" t="s">
        <v>1569</v>
      </c>
      <c r="B1584" s="7" t="s">
        <v>3875</v>
      </c>
      <c r="C1584" s="9">
        <v>115626.0</v>
      </c>
      <c r="D1584" s="9">
        <v>0.0</v>
      </c>
      <c r="E1584" s="9">
        <v>4499.0</v>
      </c>
      <c r="F1584" s="7" t="s">
        <v>1570</v>
      </c>
      <c r="G1584" s="7" t="s">
        <v>404</v>
      </c>
      <c r="H1584" s="7" t="s">
        <v>405</v>
      </c>
      <c r="I1584" s="7" t="s">
        <v>355</v>
      </c>
      <c r="J1584" s="14"/>
      <c r="K1584" s="14"/>
      <c r="O1584" s="22"/>
      <c r="P1584" s="22"/>
      <c r="Q1584" s="23"/>
      <c r="R1584" s="23"/>
      <c r="S1584" s="14"/>
    </row>
    <row r="1585" ht="18.75" customHeight="1">
      <c r="A1585" s="7" t="s">
        <v>1401</v>
      </c>
      <c r="B1585" s="7" t="s">
        <v>3875</v>
      </c>
      <c r="C1585" s="9">
        <v>7890565.0</v>
      </c>
      <c r="D1585" s="9">
        <v>346104.0</v>
      </c>
      <c r="E1585" s="9">
        <v>16311.0</v>
      </c>
      <c r="F1585" s="7" t="s">
        <v>1402</v>
      </c>
      <c r="G1585" s="7" t="s">
        <v>358</v>
      </c>
      <c r="H1585" s="7" t="s">
        <v>466</v>
      </c>
      <c r="I1585" s="7" t="s">
        <v>410</v>
      </c>
      <c r="J1585" s="14"/>
      <c r="K1585" s="14"/>
      <c r="O1585" s="22"/>
      <c r="P1585" s="22"/>
      <c r="Q1585" s="23"/>
      <c r="R1585" s="23"/>
      <c r="S1585" s="14"/>
    </row>
    <row r="1586" ht="18.75" customHeight="1">
      <c r="A1586" s="7" t="s">
        <v>3897</v>
      </c>
      <c r="B1586" s="7" t="s">
        <v>3875</v>
      </c>
      <c r="C1586" s="9">
        <v>44383.0</v>
      </c>
      <c r="D1586" s="9">
        <v>0.0</v>
      </c>
      <c r="E1586" s="9">
        <v>826.0</v>
      </c>
      <c r="F1586" s="7" t="s">
        <v>3898</v>
      </c>
      <c r="G1586" s="7" t="s">
        <v>416</v>
      </c>
      <c r="H1586" s="7" t="s">
        <v>417</v>
      </c>
      <c r="I1586" s="7" t="s">
        <v>3886</v>
      </c>
      <c r="J1586" s="14"/>
      <c r="K1586" s="14"/>
      <c r="O1586" s="22"/>
      <c r="P1586" s="22"/>
      <c r="Q1586" s="23"/>
      <c r="R1586" s="23"/>
      <c r="S1586" s="14"/>
    </row>
    <row r="1587" ht="18.75" customHeight="1">
      <c r="A1587" s="7" t="s">
        <v>529</v>
      </c>
      <c r="B1587" s="7" t="s">
        <v>3875</v>
      </c>
      <c r="C1587" s="9">
        <v>113774.0</v>
      </c>
      <c r="D1587" s="9">
        <v>0.0</v>
      </c>
      <c r="E1587" s="9">
        <v>568.0</v>
      </c>
      <c r="F1587" s="7" t="s">
        <v>530</v>
      </c>
      <c r="G1587" s="7" t="s">
        <v>358</v>
      </c>
      <c r="H1587" s="7" t="s">
        <v>387</v>
      </c>
      <c r="I1587" s="7" t="s">
        <v>355</v>
      </c>
      <c r="J1587" s="14"/>
      <c r="K1587" s="14"/>
      <c r="O1587" s="22"/>
      <c r="P1587" s="22"/>
      <c r="Q1587" s="23"/>
      <c r="R1587" s="23"/>
      <c r="S1587" s="14"/>
    </row>
    <row r="1588" ht="18.75" customHeight="1">
      <c r="A1588" s="7" t="s">
        <v>529</v>
      </c>
      <c r="B1588" s="7" t="s">
        <v>3875</v>
      </c>
      <c r="C1588" s="9">
        <v>112850.0</v>
      </c>
      <c r="D1588" s="9">
        <v>0.0</v>
      </c>
      <c r="E1588" s="9">
        <v>436.0</v>
      </c>
      <c r="F1588" s="7" t="s">
        <v>530</v>
      </c>
      <c r="G1588" s="7" t="s">
        <v>358</v>
      </c>
      <c r="H1588" s="7" t="s">
        <v>387</v>
      </c>
      <c r="I1588" s="7" t="s">
        <v>355</v>
      </c>
      <c r="J1588" s="14"/>
      <c r="K1588" s="14"/>
      <c r="O1588" s="22"/>
      <c r="P1588" s="22"/>
      <c r="Q1588" s="23"/>
      <c r="R1588" s="23"/>
      <c r="S1588" s="14"/>
    </row>
    <row r="1589" ht="18.75" customHeight="1">
      <c r="A1589" s="7" t="s">
        <v>529</v>
      </c>
      <c r="B1589" s="7" t="s">
        <v>3875</v>
      </c>
      <c r="C1589" s="9">
        <v>138870.0</v>
      </c>
      <c r="D1589" s="9">
        <v>0.0</v>
      </c>
      <c r="E1589" s="9">
        <v>427.0</v>
      </c>
      <c r="F1589" s="7" t="s">
        <v>530</v>
      </c>
      <c r="G1589" s="7" t="s">
        <v>358</v>
      </c>
      <c r="H1589" s="7" t="s">
        <v>387</v>
      </c>
      <c r="I1589" s="7" t="s">
        <v>355</v>
      </c>
      <c r="J1589" s="14"/>
      <c r="K1589" s="14"/>
      <c r="O1589" s="22"/>
      <c r="P1589" s="22"/>
      <c r="Q1589" s="23"/>
      <c r="R1589" s="23"/>
      <c r="S1589" s="14"/>
    </row>
    <row r="1590" ht="18.75" customHeight="1">
      <c r="A1590" s="7" t="s">
        <v>529</v>
      </c>
      <c r="B1590" s="7" t="s">
        <v>3875</v>
      </c>
      <c r="C1590" s="9">
        <v>138864.0</v>
      </c>
      <c r="D1590" s="9">
        <v>0.0</v>
      </c>
      <c r="E1590" s="9">
        <v>506.0</v>
      </c>
      <c r="F1590" s="7" t="s">
        <v>530</v>
      </c>
      <c r="G1590" s="7" t="s">
        <v>358</v>
      </c>
      <c r="H1590" s="7" t="s">
        <v>387</v>
      </c>
      <c r="I1590" s="7" t="s">
        <v>355</v>
      </c>
      <c r="J1590" s="14"/>
      <c r="K1590" s="14"/>
      <c r="O1590" s="22"/>
      <c r="P1590" s="22"/>
      <c r="Q1590" s="23"/>
      <c r="R1590" s="23"/>
      <c r="S1590" s="14"/>
    </row>
    <row r="1591" ht="18.75" customHeight="1">
      <c r="A1591" s="7" t="s">
        <v>1523</v>
      </c>
      <c r="B1591" s="7" t="s">
        <v>3875</v>
      </c>
      <c r="C1591" s="9">
        <v>1355302.0</v>
      </c>
      <c r="D1591" s="9">
        <v>41095.0</v>
      </c>
      <c r="E1591" s="9">
        <v>1705.0</v>
      </c>
      <c r="F1591" s="7" t="s">
        <v>1524</v>
      </c>
      <c r="G1591" s="7" t="s">
        <v>364</v>
      </c>
      <c r="H1591" s="7" t="s">
        <v>365</v>
      </c>
      <c r="I1591" s="7" t="s">
        <v>410</v>
      </c>
      <c r="J1591" s="14"/>
      <c r="K1591" s="14"/>
      <c r="O1591" s="22"/>
      <c r="P1591" s="22"/>
      <c r="Q1591" s="23"/>
      <c r="R1591" s="23"/>
      <c r="S1591" s="14"/>
    </row>
    <row r="1592" ht="18.75" customHeight="1">
      <c r="A1592" s="7" t="s">
        <v>1599</v>
      </c>
      <c r="B1592" s="7" t="s">
        <v>3875</v>
      </c>
      <c r="C1592" s="9">
        <v>63804.0</v>
      </c>
      <c r="D1592" s="9">
        <v>0.0</v>
      </c>
      <c r="E1592" s="9">
        <v>886.0</v>
      </c>
      <c r="F1592" s="7" t="s">
        <v>1600</v>
      </c>
      <c r="G1592" s="7" t="s">
        <v>364</v>
      </c>
      <c r="H1592" s="7" t="s">
        <v>365</v>
      </c>
      <c r="I1592" s="7" t="s">
        <v>355</v>
      </c>
      <c r="J1592" s="14"/>
      <c r="K1592" s="14"/>
      <c r="O1592" s="22"/>
      <c r="P1592" s="22"/>
      <c r="Q1592" s="23"/>
      <c r="R1592" s="23"/>
      <c r="S1592" s="14"/>
    </row>
    <row r="1593" ht="18.75" customHeight="1">
      <c r="A1593" s="7" t="s">
        <v>1599</v>
      </c>
      <c r="B1593" s="7" t="s">
        <v>3875</v>
      </c>
      <c r="C1593" s="9">
        <v>69432.0</v>
      </c>
      <c r="D1593" s="9">
        <v>0.0</v>
      </c>
      <c r="E1593" s="9">
        <v>853.0</v>
      </c>
      <c r="F1593" s="7" t="s">
        <v>1600</v>
      </c>
      <c r="G1593" s="7" t="s">
        <v>364</v>
      </c>
      <c r="H1593" s="7" t="s">
        <v>365</v>
      </c>
      <c r="I1593" s="7" t="s">
        <v>355</v>
      </c>
      <c r="J1593" s="14"/>
      <c r="K1593" s="14"/>
      <c r="O1593" s="22"/>
      <c r="P1593" s="22"/>
      <c r="Q1593" s="23"/>
      <c r="R1593" s="23"/>
      <c r="S1593" s="14"/>
    </row>
    <row r="1594" ht="18.75" customHeight="1">
      <c r="A1594" s="7" t="s">
        <v>1575</v>
      </c>
      <c r="B1594" s="7" t="s">
        <v>3875</v>
      </c>
      <c r="C1594" s="9">
        <v>49016.0</v>
      </c>
      <c r="D1594" s="9">
        <v>0.0</v>
      </c>
      <c r="E1594" s="9">
        <v>802.0</v>
      </c>
      <c r="F1594" s="7" t="s">
        <v>1576</v>
      </c>
      <c r="G1594" s="7" t="s">
        <v>404</v>
      </c>
      <c r="H1594" s="7" t="s">
        <v>405</v>
      </c>
      <c r="I1594" s="7" t="s">
        <v>355</v>
      </c>
      <c r="J1594" s="14"/>
      <c r="K1594" s="14"/>
      <c r="O1594" s="22"/>
      <c r="P1594" s="22"/>
      <c r="Q1594" s="23"/>
      <c r="R1594" s="23"/>
      <c r="S1594" s="14"/>
    </row>
    <row r="1595" ht="18.75" customHeight="1">
      <c r="A1595" s="7" t="s">
        <v>1575</v>
      </c>
      <c r="B1595" s="7" t="s">
        <v>3875</v>
      </c>
      <c r="C1595" s="9">
        <v>322802.0</v>
      </c>
      <c r="D1595" s="9">
        <v>0.0</v>
      </c>
      <c r="E1595" s="9">
        <v>1022.0</v>
      </c>
      <c r="F1595" s="7" t="s">
        <v>1576</v>
      </c>
      <c r="G1595" s="7" t="s">
        <v>404</v>
      </c>
      <c r="H1595" s="7" t="s">
        <v>405</v>
      </c>
      <c r="I1595" s="7" t="s">
        <v>355</v>
      </c>
      <c r="J1595" s="14"/>
      <c r="K1595" s="14"/>
      <c r="O1595" s="22"/>
      <c r="P1595" s="22"/>
      <c r="Q1595" s="23"/>
      <c r="R1595" s="23"/>
      <c r="S1595" s="14"/>
    </row>
    <row r="1596" ht="18.75" customHeight="1">
      <c r="A1596" s="7" t="s">
        <v>1633</v>
      </c>
      <c r="B1596" s="7" t="s">
        <v>3875</v>
      </c>
      <c r="C1596" s="9">
        <v>341482.0</v>
      </c>
      <c r="D1596" s="9">
        <v>0.0</v>
      </c>
      <c r="E1596" s="9">
        <v>542.0</v>
      </c>
      <c r="F1596" s="7" t="s">
        <v>1634</v>
      </c>
      <c r="G1596" s="7" t="s">
        <v>364</v>
      </c>
      <c r="H1596" s="7" t="s">
        <v>365</v>
      </c>
      <c r="I1596" s="7" t="s">
        <v>355</v>
      </c>
      <c r="J1596" s="14"/>
      <c r="K1596" s="14"/>
      <c r="O1596" s="22"/>
      <c r="P1596" s="22"/>
      <c r="Q1596" s="23"/>
      <c r="R1596" s="23"/>
      <c r="S1596" s="14"/>
    </row>
    <row r="1597" ht="18.75" customHeight="1">
      <c r="A1597" s="7" t="s">
        <v>1631</v>
      </c>
      <c r="B1597" s="7" t="s">
        <v>3875</v>
      </c>
      <c r="C1597" s="9">
        <v>4798.0</v>
      </c>
      <c r="D1597" s="9">
        <v>0.0</v>
      </c>
      <c r="E1597" s="9">
        <v>286.0</v>
      </c>
      <c r="F1597" s="7" t="s">
        <v>1632</v>
      </c>
      <c r="G1597" s="7" t="s">
        <v>416</v>
      </c>
      <c r="H1597" s="7" t="s">
        <v>417</v>
      </c>
      <c r="I1597" s="7" t="s">
        <v>355</v>
      </c>
      <c r="J1597" s="14"/>
      <c r="K1597" s="14"/>
      <c r="O1597" s="22"/>
      <c r="P1597" s="22"/>
      <c r="Q1597" s="23"/>
      <c r="R1597" s="23"/>
      <c r="S1597" s="14"/>
    </row>
    <row r="1598" ht="18.75" customHeight="1">
      <c r="A1598" s="7" t="s">
        <v>1621</v>
      </c>
      <c r="B1598" s="7" t="s">
        <v>3875</v>
      </c>
      <c r="C1598" s="9">
        <v>231363.0</v>
      </c>
      <c r="D1598" s="9">
        <v>0.0</v>
      </c>
      <c r="E1598" s="9">
        <v>717.0</v>
      </c>
      <c r="F1598" s="7" t="s">
        <v>1622</v>
      </c>
      <c r="G1598" s="7" t="s">
        <v>364</v>
      </c>
      <c r="H1598" s="7" t="s">
        <v>365</v>
      </c>
      <c r="I1598" s="7" t="s">
        <v>355</v>
      </c>
      <c r="J1598" s="14"/>
      <c r="K1598" s="14"/>
      <c r="O1598" s="22"/>
      <c r="P1598" s="22"/>
      <c r="Q1598" s="23"/>
      <c r="R1598" s="23"/>
      <c r="S1598" s="14"/>
    </row>
    <row r="1599" ht="18.75" customHeight="1">
      <c r="A1599" s="7" t="s">
        <v>1619</v>
      </c>
      <c r="B1599" s="7" t="s">
        <v>3875</v>
      </c>
      <c r="C1599" s="9">
        <v>17564.0</v>
      </c>
      <c r="D1599" s="9">
        <v>0.0</v>
      </c>
      <c r="E1599" s="9">
        <v>145.0</v>
      </c>
      <c r="F1599" s="7" t="s">
        <v>1620</v>
      </c>
      <c r="G1599" s="7" t="s">
        <v>364</v>
      </c>
      <c r="H1599" s="7" t="s">
        <v>365</v>
      </c>
      <c r="I1599" s="7" t="s">
        <v>355</v>
      </c>
      <c r="J1599" s="14"/>
      <c r="K1599" s="14"/>
      <c r="O1599" s="22"/>
      <c r="P1599" s="22"/>
      <c r="Q1599" s="23"/>
      <c r="R1599" s="23"/>
      <c r="S1599" s="14"/>
    </row>
    <row r="1600" ht="18.75" customHeight="1">
      <c r="A1600" s="7" t="s">
        <v>870</v>
      </c>
      <c r="B1600" s="7" t="s">
        <v>3875</v>
      </c>
      <c r="C1600" s="9">
        <v>193696.0</v>
      </c>
      <c r="D1600" s="9">
        <v>0.0</v>
      </c>
      <c r="E1600" s="9">
        <v>359.0</v>
      </c>
      <c r="F1600" s="7" t="s">
        <v>871</v>
      </c>
      <c r="G1600" s="7" t="s">
        <v>353</v>
      </c>
      <c r="H1600" s="7" t="s">
        <v>378</v>
      </c>
      <c r="I1600" s="7" t="s">
        <v>355</v>
      </c>
      <c r="J1600" s="14"/>
      <c r="K1600" s="14"/>
      <c r="O1600" s="22"/>
      <c r="P1600" s="22"/>
      <c r="Q1600" s="23"/>
      <c r="R1600" s="23"/>
      <c r="S1600" s="14"/>
    </row>
    <row r="1601" ht="18.75" customHeight="1">
      <c r="A1601" s="7" t="s">
        <v>870</v>
      </c>
      <c r="B1601" s="7" t="s">
        <v>3875</v>
      </c>
      <c r="C1601" s="9">
        <v>390630.0</v>
      </c>
      <c r="D1601" s="9">
        <v>0.0</v>
      </c>
      <c r="E1601" s="9">
        <v>672.0</v>
      </c>
      <c r="F1601" s="7" t="s">
        <v>871</v>
      </c>
      <c r="G1601" s="7" t="s">
        <v>353</v>
      </c>
      <c r="H1601" s="7" t="s">
        <v>378</v>
      </c>
      <c r="I1601" s="7" t="s">
        <v>355</v>
      </c>
      <c r="J1601" s="14"/>
      <c r="K1601" s="14"/>
      <c r="O1601" s="22"/>
      <c r="P1601" s="22"/>
      <c r="Q1601" s="23"/>
      <c r="R1601" s="23"/>
      <c r="S1601" s="14"/>
    </row>
    <row r="1602" ht="18.75" customHeight="1">
      <c r="A1602" s="7" t="s">
        <v>1617</v>
      </c>
      <c r="B1602" s="7" t="s">
        <v>3875</v>
      </c>
      <c r="C1602" s="9">
        <v>429369.0</v>
      </c>
      <c r="D1602" s="9">
        <v>0.0</v>
      </c>
      <c r="E1602" s="9">
        <v>499.0</v>
      </c>
      <c r="F1602" s="7" t="s">
        <v>1618</v>
      </c>
      <c r="G1602" s="7" t="s">
        <v>416</v>
      </c>
      <c r="H1602" s="7" t="s">
        <v>413</v>
      </c>
      <c r="I1602" s="7" t="s">
        <v>355</v>
      </c>
      <c r="J1602" s="14"/>
      <c r="K1602" s="14"/>
      <c r="O1602" s="22"/>
      <c r="P1602" s="22"/>
      <c r="Q1602" s="23"/>
      <c r="R1602" s="23"/>
      <c r="S1602" s="14"/>
    </row>
    <row r="1603" ht="18.75" customHeight="1">
      <c r="A1603" s="7" t="s">
        <v>1309</v>
      </c>
      <c r="B1603" s="7" t="s">
        <v>3875</v>
      </c>
      <c r="C1603" s="9">
        <v>63766.0</v>
      </c>
      <c r="D1603" s="9">
        <v>0.0</v>
      </c>
      <c r="E1603" s="9">
        <v>367.0</v>
      </c>
      <c r="F1603" s="7" t="s">
        <v>1310</v>
      </c>
      <c r="G1603" s="7" t="s">
        <v>353</v>
      </c>
      <c r="H1603" s="7" t="s">
        <v>378</v>
      </c>
      <c r="I1603" s="7" t="s">
        <v>355</v>
      </c>
      <c r="J1603" s="14"/>
      <c r="K1603" s="14"/>
      <c r="O1603" s="22"/>
      <c r="P1603" s="22"/>
      <c r="Q1603" s="23"/>
      <c r="R1603" s="23"/>
      <c r="S1603" s="14"/>
    </row>
    <row r="1604" ht="18.75" customHeight="1">
      <c r="A1604" s="7" t="s">
        <v>1603</v>
      </c>
      <c r="B1604" s="7" t="s">
        <v>3875</v>
      </c>
      <c r="C1604" s="9">
        <v>294198.0</v>
      </c>
      <c r="D1604" s="9">
        <v>0.0</v>
      </c>
      <c r="E1604" s="9">
        <v>345.0</v>
      </c>
      <c r="F1604" s="7" t="s">
        <v>1604</v>
      </c>
      <c r="G1604" s="7" t="s">
        <v>416</v>
      </c>
      <c r="H1604" s="7" t="s">
        <v>667</v>
      </c>
      <c r="I1604" s="7" t="s">
        <v>355</v>
      </c>
      <c r="J1604" s="14"/>
      <c r="K1604" s="14"/>
      <c r="O1604" s="22"/>
      <c r="P1604" s="22"/>
      <c r="Q1604" s="23"/>
      <c r="R1604" s="23"/>
      <c r="S1604" s="14"/>
    </row>
    <row r="1605" ht="18.75" customHeight="1">
      <c r="A1605" s="7" t="s">
        <v>1309</v>
      </c>
      <c r="B1605" s="7" t="s">
        <v>3875</v>
      </c>
      <c r="C1605" s="9">
        <v>45577.0</v>
      </c>
      <c r="D1605" s="9">
        <v>0.0</v>
      </c>
      <c r="E1605" s="9">
        <v>323.0</v>
      </c>
      <c r="F1605" s="7" t="s">
        <v>1310</v>
      </c>
      <c r="G1605" s="7" t="s">
        <v>353</v>
      </c>
      <c r="H1605" s="7" t="s">
        <v>378</v>
      </c>
      <c r="I1605" s="7" t="s">
        <v>355</v>
      </c>
      <c r="J1605" s="14"/>
      <c r="K1605" s="14"/>
      <c r="O1605" s="22"/>
      <c r="P1605" s="22"/>
      <c r="Q1605" s="23"/>
      <c r="R1605" s="23"/>
      <c r="S1605" s="14"/>
    </row>
    <row r="1606" ht="18.75" customHeight="1">
      <c r="A1606" s="7" t="s">
        <v>1623</v>
      </c>
      <c r="B1606" s="7" t="s">
        <v>3875</v>
      </c>
      <c r="C1606" s="9">
        <v>157612.0</v>
      </c>
      <c r="D1606" s="9">
        <v>0.0</v>
      </c>
      <c r="E1606" s="9">
        <v>448.0</v>
      </c>
      <c r="F1606" s="7" t="s">
        <v>1624</v>
      </c>
      <c r="G1606" s="7" t="s">
        <v>416</v>
      </c>
      <c r="H1606" s="7" t="s">
        <v>466</v>
      </c>
      <c r="I1606" s="7" t="s">
        <v>355</v>
      </c>
      <c r="J1606" s="14"/>
      <c r="K1606" s="14"/>
      <c r="O1606" s="22"/>
      <c r="P1606" s="22"/>
      <c r="Q1606" s="23"/>
      <c r="R1606" s="23"/>
      <c r="S1606" s="14"/>
    </row>
    <row r="1607" ht="18.75" customHeight="1">
      <c r="A1607" s="7" t="s">
        <v>1613</v>
      </c>
      <c r="B1607" s="7" t="s">
        <v>3875</v>
      </c>
      <c r="C1607" s="9">
        <v>104469.0</v>
      </c>
      <c r="D1607" s="9">
        <v>0.0</v>
      </c>
      <c r="E1607" s="9">
        <v>356.0</v>
      </c>
      <c r="F1607" s="7" t="s">
        <v>1614</v>
      </c>
      <c r="G1607" s="7" t="s">
        <v>416</v>
      </c>
      <c r="H1607" s="7" t="s">
        <v>365</v>
      </c>
      <c r="I1607" s="7" t="s">
        <v>355</v>
      </c>
      <c r="J1607" s="14"/>
      <c r="K1607" s="14"/>
      <c r="O1607" s="22"/>
      <c r="P1607" s="22"/>
      <c r="Q1607" s="23"/>
      <c r="R1607" s="23"/>
      <c r="S1607" s="14"/>
    </row>
    <row r="1608" ht="18.75" customHeight="1">
      <c r="A1608" s="7" t="s">
        <v>1605</v>
      </c>
      <c r="B1608" s="7" t="s">
        <v>3875</v>
      </c>
      <c r="C1608" s="9">
        <v>29434.0</v>
      </c>
      <c r="D1608" s="9">
        <v>8306.0</v>
      </c>
      <c r="E1608" s="9">
        <v>1064.0</v>
      </c>
      <c r="F1608" s="7" t="s">
        <v>1606</v>
      </c>
      <c r="G1608" s="7" t="s">
        <v>416</v>
      </c>
      <c r="H1608" s="7" t="s">
        <v>417</v>
      </c>
      <c r="I1608" s="7" t="s">
        <v>355</v>
      </c>
      <c r="J1608" s="14"/>
      <c r="K1608" s="14"/>
      <c r="O1608" s="22"/>
      <c r="P1608" s="22"/>
      <c r="Q1608" s="23"/>
      <c r="R1608" s="23"/>
      <c r="S1608" s="14"/>
    </row>
    <row r="1609" ht="18.75" customHeight="1">
      <c r="A1609" s="7" t="s">
        <v>1627</v>
      </c>
      <c r="B1609" s="7" t="s">
        <v>3875</v>
      </c>
      <c r="C1609" s="9">
        <v>402288.0</v>
      </c>
      <c r="D1609" s="9">
        <v>0.0</v>
      </c>
      <c r="E1609" s="9">
        <v>480.0</v>
      </c>
      <c r="F1609" s="7" t="s">
        <v>1628</v>
      </c>
      <c r="G1609" s="7" t="s">
        <v>416</v>
      </c>
      <c r="H1609" s="7" t="s">
        <v>466</v>
      </c>
      <c r="I1609" s="7" t="s">
        <v>355</v>
      </c>
      <c r="J1609" s="14"/>
      <c r="K1609" s="14"/>
      <c r="O1609" s="22"/>
      <c r="P1609" s="22"/>
      <c r="Q1609" s="23"/>
      <c r="R1609" s="23"/>
      <c r="S1609" s="14"/>
    </row>
    <row r="1610" ht="18.75" customHeight="1">
      <c r="A1610" s="7" t="s">
        <v>1625</v>
      </c>
      <c r="B1610" s="7" t="s">
        <v>3875</v>
      </c>
      <c r="C1610" s="9">
        <v>153670.0</v>
      </c>
      <c r="D1610" s="9">
        <v>0.0</v>
      </c>
      <c r="E1610" s="9">
        <v>461.0</v>
      </c>
      <c r="F1610" s="7" t="s">
        <v>1626</v>
      </c>
      <c r="G1610" s="7" t="s">
        <v>416</v>
      </c>
      <c r="H1610" s="7" t="s">
        <v>466</v>
      </c>
      <c r="I1610" s="7" t="s">
        <v>355</v>
      </c>
      <c r="J1610" s="14"/>
      <c r="K1610" s="14"/>
      <c r="O1610" s="22"/>
      <c r="P1610" s="22"/>
      <c r="Q1610" s="23"/>
      <c r="R1610" s="23"/>
      <c r="S1610" s="14"/>
    </row>
    <row r="1611" ht="18.75" customHeight="1">
      <c r="A1611" s="7" t="s">
        <v>1609</v>
      </c>
      <c r="B1611" s="7" t="s">
        <v>3875</v>
      </c>
      <c r="C1611" s="9">
        <v>144574.0</v>
      </c>
      <c r="D1611" s="9">
        <v>0.0</v>
      </c>
      <c r="E1611" s="9">
        <v>501.0</v>
      </c>
      <c r="F1611" s="7" t="s">
        <v>1610</v>
      </c>
      <c r="G1611" s="7" t="s">
        <v>416</v>
      </c>
      <c r="H1611" s="7" t="s">
        <v>359</v>
      </c>
      <c r="I1611" s="7" t="s">
        <v>355</v>
      </c>
      <c r="J1611" s="14"/>
      <c r="K1611" s="14"/>
      <c r="O1611" s="22"/>
      <c r="P1611" s="22"/>
      <c r="Q1611" s="23"/>
      <c r="R1611" s="23"/>
      <c r="S1611" s="14"/>
    </row>
    <row r="1612" ht="18.75" customHeight="1">
      <c r="A1612" s="7" t="s">
        <v>1423</v>
      </c>
      <c r="B1612" s="7" t="s">
        <v>3875</v>
      </c>
      <c r="C1612" s="9">
        <v>729659.0</v>
      </c>
      <c r="D1612" s="9">
        <v>1171.0</v>
      </c>
      <c r="E1612" s="9">
        <v>1658.0</v>
      </c>
      <c r="F1612" s="7" t="s">
        <v>1424</v>
      </c>
      <c r="G1612" s="7" t="s">
        <v>358</v>
      </c>
      <c r="H1612" s="7" t="s">
        <v>466</v>
      </c>
      <c r="I1612" s="7" t="s">
        <v>355</v>
      </c>
      <c r="J1612" s="14"/>
      <c r="K1612" s="14"/>
      <c r="O1612" s="22"/>
      <c r="P1612" s="22"/>
      <c r="Q1612" s="23"/>
      <c r="R1612" s="23"/>
      <c r="S1612" s="14"/>
    </row>
    <row r="1613" ht="18.75" customHeight="1">
      <c r="A1613" s="7" t="s">
        <v>1423</v>
      </c>
      <c r="B1613" s="7" t="s">
        <v>3875</v>
      </c>
      <c r="C1613" s="9">
        <v>346934.0</v>
      </c>
      <c r="D1613" s="9">
        <v>1149.0</v>
      </c>
      <c r="E1613" s="9">
        <v>667.0</v>
      </c>
      <c r="F1613" s="7" t="s">
        <v>1424</v>
      </c>
      <c r="G1613" s="7" t="s">
        <v>358</v>
      </c>
      <c r="H1613" s="7" t="s">
        <v>466</v>
      </c>
      <c r="I1613" s="7" t="s">
        <v>355</v>
      </c>
      <c r="J1613" s="14"/>
      <c r="K1613" s="14"/>
      <c r="O1613" s="22"/>
      <c r="P1613" s="22"/>
      <c r="Q1613" s="23"/>
      <c r="R1613" s="23"/>
      <c r="S1613" s="14"/>
    </row>
    <row r="1614" ht="18.75" customHeight="1">
      <c r="A1614" s="7" t="s">
        <v>1423</v>
      </c>
      <c r="B1614" s="7" t="s">
        <v>3875</v>
      </c>
      <c r="C1614" s="9">
        <v>341583.0</v>
      </c>
      <c r="D1614" s="9">
        <v>19666.0</v>
      </c>
      <c r="E1614" s="9">
        <v>624.0</v>
      </c>
      <c r="F1614" s="7" t="s">
        <v>1424</v>
      </c>
      <c r="G1614" s="7" t="s">
        <v>358</v>
      </c>
      <c r="H1614" s="7" t="s">
        <v>466</v>
      </c>
      <c r="I1614" s="7" t="s">
        <v>355</v>
      </c>
      <c r="J1614" s="14"/>
      <c r="K1614" s="14"/>
      <c r="O1614" s="22"/>
      <c r="P1614" s="22"/>
      <c r="Q1614" s="23"/>
      <c r="R1614" s="23"/>
      <c r="S1614" s="14"/>
    </row>
    <row r="1615" ht="18.75" customHeight="1">
      <c r="A1615" s="7" t="s">
        <v>1607</v>
      </c>
      <c r="B1615" s="7" t="s">
        <v>3875</v>
      </c>
      <c r="C1615" s="9">
        <v>231562.0</v>
      </c>
      <c r="D1615" s="9">
        <v>0.0</v>
      </c>
      <c r="E1615" s="9">
        <v>4248.0</v>
      </c>
      <c r="F1615" s="7" t="s">
        <v>1608</v>
      </c>
      <c r="G1615" s="7" t="s">
        <v>416</v>
      </c>
      <c r="H1615" s="7" t="s">
        <v>417</v>
      </c>
      <c r="I1615" s="7" t="s">
        <v>355</v>
      </c>
      <c r="J1615" s="14"/>
      <c r="K1615" s="14"/>
      <c r="O1615" s="22"/>
      <c r="P1615" s="22"/>
      <c r="Q1615" s="23"/>
      <c r="R1615" s="23"/>
      <c r="S1615" s="14"/>
    </row>
    <row r="1616" ht="18.75" customHeight="1">
      <c r="A1616" s="7" t="s">
        <v>1607</v>
      </c>
      <c r="B1616" s="7" t="s">
        <v>3875</v>
      </c>
      <c r="C1616" s="9">
        <v>140631.0</v>
      </c>
      <c r="D1616" s="9">
        <v>0.0</v>
      </c>
      <c r="E1616" s="9">
        <v>4216.0</v>
      </c>
      <c r="F1616" s="7" t="s">
        <v>1608</v>
      </c>
      <c r="G1616" s="7" t="s">
        <v>416</v>
      </c>
      <c r="H1616" s="7" t="s">
        <v>417</v>
      </c>
      <c r="I1616" s="7" t="s">
        <v>355</v>
      </c>
      <c r="J1616" s="14"/>
      <c r="K1616" s="14"/>
      <c r="O1616" s="22"/>
      <c r="P1616" s="22"/>
      <c r="Q1616" s="23"/>
      <c r="R1616" s="23"/>
      <c r="S1616" s="14"/>
    </row>
    <row r="1617" ht="18.75" customHeight="1">
      <c r="A1617" s="7" t="s">
        <v>1401</v>
      </c>
      <c r="B1617" s="7" t="s">
        <v>3875</v>
      </c>
      <c r="C1617" s="9">
        <v>371111.0</v>
      </c>
      <c r="D1617" s="9">
        <v>12696.0</v>
      </c>
      <c r="E1617" s="9">
        <v>3018.0</v>
      </c>
      <c r="F1617" s="7" t="s">
        <v>1402</v>
      </c>
      <c r="G1617" s="7" t="s">
        <v>358</v>
      </c>
      <c r="H1617" s="7" t="s">
        <v>466</v>
      </c>
      <c r="I1617" s="7" t="s">
        <v>410</v>
      </c>
      <c r="J1617" s="14"/>
      <c r="K1617" s="14"/>
      <c r="O1617" s="22"/>
      <c r="P1617" s="22"/>
      <c r="Q1617" s="23"/>
      <c r="R1617" s="23"/>
      <c r="S1617" s="14"/>
    </row>
    <row r="1618" ht="18.75" customHeight="1">
      <c r="A1618" s="7" t="s">
        <v>1637</v>
      </c>
      <c r="B1618" s="7" t="s">
        <v>3875</v>
      </c>
      <c r="C1618" s="9">
        <v>54025.0</v>
      </c>
      <c r="D1618" s="9">
        <v>0.0</v>
      </c>
      <c r="E1618" s="9">
        <v>845.0</v>
      </c>
      <c r="F1618" s="7" t="s">
        <v>1638</v>
      </c>
      <c r="G1618" s="7" t="s">
        <v>364</v>
      </c>
      <c r="H1618" s="7" t="s">
        <v>365</v>
      </c>
      <c r="I1618" s="7" t="s">
        <v>355</v>
      </c>
      <c r="J1618" s="14"/>
      <c r="K1618" s="14"/>
      <c r="O1618" s="22"/>
      <c r="P1618" s="22"/>
      <c r="Q1618" s="23"/>
      <c r="R1618" s="23"/>
      <c r="S1618" s="14"/>
    </row>
    <row r="1619" ht="18.75" customHeight="1">
      <c r="A1619" s="7" t="s">
        <v>1611</v>
      </c>
      <c r="B1619" s="7" t="s">
        <v>3875</v>
      </c>
      <c r="C1619" s="9">
        <v>106318.0</v>
      </c>
      <c r="D1619" s="9">
        <v>0.0</v>
      </c>
      <c r="E1619" s="9">
        <v>456.0</v>
      </c>
      <c r="F1619" s="7" t="s">
        <v>1612</v>
      </c>
      <c r="G1619" s="7" t="s">
        <v>416</v>
      </c>
      <c r="H1619" s="7" t="s">
        <v>354</v>
      </c>
      <c r="I1619" s="7" t="s">
        <v>355</v>
      </c>
      <c r="J1619" s="14"/>
      <c r="K1619" s="14"/>
      <c r="O1619" s="22"/>
      <c r="P1619" s="22"/>
      <c r="Q1619" s="23"/>
      <c r="R1619" s="23"/>
      <c r="S1619" s="14"/>
    </row>
    <row r="1620" ht="18.75" customHeight="1">
      <c r="A1620" s="7" t="s">
        <v>1653</v>
      </c>
      <c r="B1620" s="7" t="s">
        <v>3875</v>
      </c>
      <c r="C1620" s="9">
        <v>534980.0</v>
      </c>
      <c r="D1620" s="9">
        <v>0.0</v>
      </c>
      <c r="E1620" s="9">
        <v>1499.0</v>
      </c>
      <c r="F1620" s="7" t="s">
        <v>1654</v>
      </c>
      <c r="G1620" s="7" t="s">
        <v>353</v>
      </c>
      <c r="H1620" s="7" t="s">
        <v>808</v>
      </c>
      <c r="I1620" s="7" t="s">
        <v>355</v>
      </c>
      <c r="J1620" s="14"/>
      <c r="K1620" s="14"/>
      <c r="O1620" s="22"/>
      <c r="P1620" s="22"/>
      <c r="Q1620" s="23"/>
      <c r="R1620" s="23"/>
      <c r="S1620" s="14"/>
    </row>
    <row r="1621" ht="18.75" customHeight="1">
      <c r="A1621" s="7" t="s">
        <v>1539</v>
      </c>
      <c r="B1621" s="7" t="s">
        <v>3875</v>
      </c>
      <c r="C1621" s="9">
        <v>125556.0</v>
      </c>
      <c r="D1621" s="9">
        <v>2544.0</v>
      </c>
      <c r="E1621" s="9">
        <v>262.0</v>
      </c>
      <c r="F1621" s="7" t="s">
        <v>1540</v>
      </c>
      <c r="G1621" s="7" t="s">
        <v>416</v>
      </c>
      <c r="H1621" s="7" t="s">
        <v>417</v>
      </c>
      <c r="I1621" s="7" t="s">
        <v>355</v>
      </c>
      <c r="J1621" s="14"/>
      <c r="K1621" s="14"/>
      <c r="O1621" s="22"/>
      <c r="P1621" s="22"/>
      <c r="Q1621" s="23"/>
      <c r="R1621" s="23"/>
      <c r="S1621" s="14"/>
    </row>
    <row r="1622" ht="18.75" customHeight="1">
      <c r="A1622" s="7" t="s">
        <v>1601</v>
      </c>
      <c r="B1622" s="7" t="s">
        <v>3875</v>
      </c>
      <c r="C1622" s="9">
        <v>265511.0</v>
      </c>
      <c r="D1622" s="9">
        <v>10067.0</v>
      </c>
      <c r="E1622" s="9">
        <v>164.0</v>
      </c>
      <c r="F1622" s="7" t="s">
        <v>1602</v>
      </c>
      <c r="G1622" s="7" t="s">
        <v>404</v>
      </c>
      <c r="H1622" s="7" t="s">
        <v>405</v>
      </c>
      <c r="I1622" s="7" t="s">
        <v>355</v>
      </c>
      <c r="J1622" s="14"/>
      <c r="K1622" s="14"/>
      <c r="O1622" s="22"/>
      <c r="P1622" s="22"/>
      <c r="Q1622" s="23"/>
      <c r="R1622" s="23"/>
      <c r="S1622" s="14"/>
    </row>
    <row r="1623" ht="18.75" customHeight="1">
      <c r="A1623" s="7" t="s">
        <v>1661</v>
      </c>
      <c r="B1623" s="7" t="s">
        <v>3875</v>
      </c>
      <c r="C1623" s="9">
        <v>29633.0</v>
      </c>
      <c r="D1623" s="9">
        <v>0.0</v>
      </c>
      <c r="E1623" s="9">
        <v>531.0</v>
      </c>
      <c r="F1623" s="7" t="s">
        <v>1662</v>
      </c>
      <c r="G1623" s="7" t="s">
        <v>416</v>
      </c>
      <c r="H1623" s="7" t="s">
        <v>417</v>
      </c>
      <c r="I1623" s="7" t="s">
        <v>355</v>
      </c>
      <c r="J1623" s="14"/>
      <c r="K1623" s="14"/>
      <c r="O1623" s="22"/>
      <c r="P1623" s="22"/>
      <c r="Q1623" s="23"/>
      <c r="R1623" s="23"/>
      <c r="S1623" s="14"/>
    </row>
    <row r="1624" ht="18.75" customHeight="1">
      <c r="A1624" s="7" t="s">
        <v>1661</v>
      </c>
      <c r="B1624" s="7" t="s">
        <v>3875</v>
      </c>
      <c r="C1624" s="9">
        <v>82768.0</v>
      </c>
      <c r="D1624" s="9">
        <v>0.0</v>
      </c>
      <c r="E1624" s="9">
        <v>4876.0</v>
      </c>
      <c r="F1624" s="7" t="s">
        <v>1662</v>
      </c>
      <c r="G1624" s="7" t="s">
        <v>416</v>
      </c>
      <c r="H1624" s="7" t="s">
        <v>417</v>
      </c>
      <c r="I1624" s="7" t="s">
        <v>355</v>
      </c>
      <c r="J1624" s="14"/>
      <c r="K1624" s="14"/>
      <c r="O1624" s="22"/>
      <c r="P1624" s="22"/>
      <c r="Q1624" s="23"/>
      <c r="R1624" s="23"/>
      <c r="S1624" s="14"/>
    </row>
    <row r="1625" ht="18.75" customHeight="1">
      <c r="A1625" s="7" t="s">
        <v>1655</v>
      </c>
      <c r="B1625" s="7" t="s">
        <v>3875</v>
      </c>
      <c r="C1625" s="9">
        <v>55641.0</v>
      </c>
      <c r="D1625" s="9">
        <v>0.0</v>
      </c>
      <c r="E1625" s="9">
        <v>1140.0</v>
      </c>
      <c r="F1625" s="7" t="s">
        <v>1656</v>
      </c>
      <c r="G1625" s="7" t="s">
        <v>364</v>
      </c>
      <c r="H1625" s="7" t="s">
        <v>365</v>
      </c>
      <c r="I1625" s="7" t="s">
        <v>355</v>
      </c>
      <c r="J1625" s="14"/>
      <c r="K1625" s="14"/>
      <c r="O1625" s="22"/>
      <c r="P1625" s="22"/>
      <c r="Q1625" s="23"/>
      <c r="R1625" s="23"/>
      <c r="S1625" s="14"/>
    </row>
    <row r="1626" ht="18.75" customHeight="1">
      <c r="A1626" s="7" t="s">
        <v>1529</v>
      </c>
      <c r="B1626" s="7" t="s">
        <v>3875</v>
      </c>
      <c r="C1626" s="9">
        <v>45841.0</v>
      </c>
      <c r="D1626" s="9">
        <v>0.0</v>
      </c>
      <c r="E1626" s="9">
        <v>771.0</v>
      </c>
      <c r="F1626" s="7" t="s">
        <v>1530</v>
      </c>
      <c r="G1626" s="7" t="s">
        <v>364</v>
      </c>
      <c r="H1626" s="7" t="s">
        <v>365</v>
      </c>
      <c r="I1626" s="7" t="s">
        <v>355</v>
      </c>
      <c r="J1626" s="14"/>
      <c r="K1626" s="14"/>
      <c r="O1626" s="22"/>
      <c r="P1626" s="22"/>
      <c r="Q1626" s="23"/>
      <c r="R1626" s="23"/>
      <c r="S1626" s="14"/>
    </row>
    <row r="1627" ht="18.75" customHeight="1">
      <c r="A1627" s="7" t="s">
        <v>1615</v>
      </c>
      <c r="B1627" s="7" t="s">
        <v>3875</v>
      </c>
      <c r="C1627" s="9">
        <v>30450.0</v>
      </c>
      <c r="D1627" s="9">
        <v>0.0</v>
      </c>
      <c r="E1627" s="9">
        <v>556.0</v>
      </c>
      <c r="F1627" s="7" t="s">
        <v>1616</v>
      </c>
      <c r="G1627" s="7" t="s">
        <v>404</v>
      </c>
      <c r="H1627" s="7" t="s">
        <v>783</v>
      </c>
      <c r="I1627" s="7" t="s">
        <v>355</v>
      </c>
      <c r="J1627" s="14"/>
      <c r="K1627" s="14"/>
      <c r="O1627" s="22"/>
      <c r="P1627" s="22"/>
      <c r="Q1627" s="23"/>
      <c r="R1627" s="23"/>
      <c r="S1627" s="14"/>
    </row>
    <row r="1628" ht="18.75" customHeight="1">
      <c r="A1628" s="7" t="s">
        <v>1615</v>
      </c>
      <c r="B1628" s="7" t="s">
        <v>3875</v>
      </c>
      <c r="C1628" s="9">
        <v>119918.0</v>
      </c>
      <c r="D1628" s="9">
        <v>0.0</v>
      </c>
      <c r="E1628" s="9">
        <v>316.0</v>
      </c>
      <c r="F1628" s="7" t="s">
        <v>1616</v>
      </c>
      <c r="G1628" s="7" t="s">
        <v>404</v>
      </c>
      <c r="H1628" s="7" t="s">
        <v>783</v>
      </c>
      <c r="I1628" s="7" t="s">
        <v>355</v>
      </c>
      <c r="J1628" s="14"/>
      <c r="K1628" s="14"/>
      <c r="O1628" s="22"/>
      <c r="P1628" s="22"/>
      <c r="Q1628" s="23"/>
      <c r="R1628" s="23"/>
      <c r="S1628" s="14"/>
    </row>
    <row r="1629" ht="18.75" customHeight="1">
      <c r="A1629" s="7" t="s">
        <v>1678</v>
      </c>
      <c r="B1629" s="7" t="s">
        <v>3875</v>
      </c>
      <c r="C1629" s="9">
        <v>18254.0</v>
      </c>
      <c r="D1629" s="9">
        <v>0.0</v>
      </c>
      <c r="E1629" s="9">
        <v>895.0</v>
      </c>
      <c r="F1629" s="7" t="s">
        <v>1679</v>
      </c>
      <c r="G1629" s="7" t="s">
        <v>416</v>
      </c>
      <c r="H1629" s="7" t="s">
        <v>417</v>
      </c>
      <c r="I1629" s="7" t="s">
        <v>355</v>
      </c>
      <c r="J1629" s="14"/>
      <c r="K1629" s="14"/>
      <c r="O1629" s="22"/>
      <c r="P1629" s="22"/>
      <c r="Q1629" s="23"/>
      <c r="R1629" s="23"/>
      <c r="S1629" s="14"/>
    </row>
    <row r="1630" ht="18.75" customHeight="1">
      <c r="A1630" s="7" t="s">
        <v>1676</v>
      </c>
      <c r="B1630" s="7" t="s">
        <v>3875</v>
      </c>
      <c r="C1630" s="9">
        <v>85335.0</v>
      </c>
      <c r="D1630" s="9">
        <v>0.0</v>
      </c>
      <c r="E1630" s="9">
        <v>1820.0</v>
      </c>
      <c r="F1630" s="7" t="s">
        <v>1677</v>
      </c>
      <c r="G1630" s="7" t="s">
        <v>416</v>
      </c>
      <c r="H1630" s="7" t="s">
        <v>417</v>
      </c>
      <c r="I1630" s="7" t="s">
        <v>355</v>
      </c>
      <c r="J1630" s="14"/>
      <c r="K1630" s="14"/>
      <c r="O1630" s="22"/>
      <c r="P1630" s="22"/>
      <c r="Q1630" s="23"/>
      <c r="R1630" s="23"/>
      <c r="S1630" s="14"/>
    </row>
    <row r="1631" ht="18.75" customHeight="1">
      <c r="A1631" s="7" t="s">
        <v>1676</v>
      </c>
      <c r="B1631" s="7" t="s">
        <v>3875</v>
      </c>
      <c r="C1631" s="9">
        <v>99962.0</v>
      </c>
      <c r="D1631" s="9">
        <v>0.0</v>
      </c>
      <c r="E1631" s="9">
        <v>1811.0</v>
      </c>
      <c r="F1631" s="7" t="s">
        <v>1677</v>
      </c>
      <c r="G1631" s="7" t="s">
        <v>416</v>
      </c>
      <c r="H1631" s="7" t="s">
        <v>417</v>
      </c>
      <c r="I1631" s="7" t="s">
        <v>355</v>
      </c>
      <c r="J1631" s="14"/>
      <c r="K1631" s="14"/>
      <c r="O1631" s="22"/>
      <c r="P1631" s="22"/>
      <c r="Q1631" s="23"/>
      <c r="R1631" s="23"/>
      <c r="S1631" s="14"/>
    </row>
    <row r="1632" ht="18.75" customHeight="1">
      <c r="A1632" s="7" t="s">
        <v>1401</v>
      </c>
      <c r="B1632" s="7" t="s">
        <v>3875</v>
      </c>
      <c r="C1632" s="9">
        <v>201315.0</v>
      </c>
      <c r="D1632" s="9">
        <v>1427.0</v>
      </c>
      <c r="E1632" s="9">
        <v>1130.0</v>
      </c>
      <c r="F1632" s="7" t="s">
        <v>1402</v>
      </c>
      <c r="G1632" s="7" t="s">
        <v>358</v>
      </c>
      <c r="H1632" s="7" t="s">
        <v>466</v>
      </c>
      <c r="I1632" s="7" t="s">
        <v>410</v>
      </c>
      <c r="J1632" s="14"/>
      <c r="K1632" s="14"/>
      <c r="O1632" s="22"/>
      <c r="P1632" s="22"/>
      <c r="Q1632" s="23"/>
      <c r="R1632" s="23"/>
      <c r="S1632" s="14"/>
    </row>
    <row r="1633" ht="18.75" customHeight="1">
      <c r="A1633" s="7" t="s">
        <v>1401</v>
      </c>
      <c r="B1633" s="7" t="s">
        <v>3875</v>
      </c>
      <c r="C1633" s="9">
        <v>558246.0</v>
      </c>
      <c r="D1633" s="9">
        <v>29844.0</v>
      </c>
      <c r="E1633" s="9">
        <v>981.0</v>
      </c>
      <c r="F1633" s="7" t="s">
        <v>1402</v>
      </c>
      <c r="G1633" s="7" t="s">
        <v>358</v>
      </c>
      <c r="H1633" s="7" t="s">
        <v>466</v>
      </c>
      <c r="I1633" s="7" t="s">
        <v>410</v>
      </c>
      <c r="J1633" s="14"/>
      <c r="K1633" s="14"/>
      <c r="O1633" s="22"/>
      <c r="P1633" s="22"/>
      <c r="Q1633" s="23"/>
      <c r="R1633" s="23"/>
      <c r="S1633" s="14"/>
    </row>
    <row r="1634" ht="18.75" customHeight="1">
      <c r="A1634" s="7" t="s">
        <v>1401</v>
      </c>
      <c r="B1634" s="7" t="s">
        <v>3875</v>
      </c>
      <c r="C1634" s="9">
        <v>970310.0</v>
      </c>
      <c r="D1634" s="9">
        <v>4932.0</v>
      </c>
      <c r="E1634" s="9">
        <v>2738.0</v>
      </c>
      <c r="F1634" s="7" t="s">
        <v>1402</v>
      </c>
      <c r="G1634" s="7" t="s">
        <v>358</v>
      </c>
      <c r="H1634" s="7" t="s">
        <v>466</v>
      </c>
      <c r="I1634" s="7" t="s">
        <v>410</v>
      </c>
      <c r="J1634" s="14"/>
      <c r="K1634" s="14"/>
      <c r="O1634" s="22"/>
      <c r="P1634" s="22"/>
      <c r="Q1634" s="23"/>
      <c r="R1634" s="23"/>
      <c r="S1634" s="14"/>
    </row>
    <row r="1635" ht="18.75" customHeight="1">
      <c r="A1635" s="7" t="s">
        <v>1401</v>
      </c>
      <c r="B1635" s="7" t="s">
        <v>3875</v>
      </c>
      <c r="C1635" s="9">
        <v>206661.0</v>
      </c>
      <c r="D1635" s="9">
        <v>7676.0</v>
      </c>
      <c r="E1635" s="9">
        <v>1129.0</v>
      </c>
      <c r="F1635" s="7" t="s">
        <v>1402</v>
      </c>
      <c r="G1635" s="7" t="s">
        <v>358</v>
      </c>
      <c r="H1635" s="7" t="s">
        <v>466</v>
      </c>
      <c r="I1635" s="7" t="s">
        <v>410</v>
      </c>
      <c r="J1635" s="14"/>
      <c r="K1635" s="14"/>
      <c r="O1635" s="22"/>
      <c r="P1635" s="22"/>
      <c r="Q1635" s="23"/>
      <c r="R1635" s="23"/>
      <c r="S1635" s="14"/>
    </row>
    <row r="1636" ht="18.75" customHeight="1">
      <c r="A1636" s="7" t="s">
        <v>1401</v>
      </c>
      <c r="B1636" s="7" t="s">
        <v>3875</v>
      </c>
      <c r="C1636" s="9">
        <v>886546.0</v>
      </c>
      <c r="D1636" s="9">
        <v>29467.0</v>
      </c>
      <c r="E1636" s="9">
        <v>1427.0</v>
      </c>
      <c r="F1636" s="7" t="s">
        <v>1402</v>
      </c>
      <c r="G1636" s="7" t="s">
        <v>358</v>
      </c>
      <c r="H1636" s="7" t="s">
        <v>466</v>
      </c>
      <c r="I1636" s="7" t="s">
        <v>410</v>
      </c>
      <c r="J1636" s="14"/>
      <c r="K1636" s="14"/>
      <c r="O1636" s="22"/>
      <c r="P1636" s="22"/>
      <c r="Q1636" s="23"/>
      <c r="R1636" s="23"/>
      <c r="S1636" s="14"/>
    </row>
    <row r="1637" ht="18.75" customHeight="1">
      <c r="A1637" s="7" t="s">
        <v>1401</v>
      </c>
      <c r="B1637" s="7" t="s">
        <v>3875</v>
      </c>
      <c r="C1637" s="9">
        <v>160301.0</v>
      </c>
      <c r="D1637" s="9">
        <v>6838.0</v>
      </c>
      <c r="E1637" s="9">
        <v>1040.0</v>
      </c>
      <c r="F1637" s="7" t="s">
        <v>1402</v>
      </c>
      <c r="G1637" s="7" t="s">
        <v>358</v>
      </c>
      <c r="H1637" s="7" t="s">
        <v>466</v>
      </c>
      <c r="I1637" s="7" t="s">
        <v>410</v>
      </c>
      <c r="J1637" s="14"/>
      <c r="K1637" s="14"/>
      <c r="O1637" s="22"/>
      <c r="P1637" s="22"/>
      <c r="Q1637" s="23"/>
      <c r="R1637" s="23"/>
      <c r="S1637" s="14"/>
    </row>
    <row r="1638" ht="18.75" customHeight="1">
      <c r="A1638" s="7" t="s">
        <v>1401</v>
      </c>
      <c r="B1638" s="7" t="s">
        <v>3875</v>
      </c>
      <c r="C1638" s="9">
        <v>137972.0</v>
      </c>
      <c r="D1638" s="9">
        <v>9313.0</v>
      </c>
      <c r="E1638" s="9">
        <v>845.0</v>
      </c>
      <c r="F1638" s="7" t="s">
        <v>1402</v>
      </c>
      <c r="G1638" s="7" t="s">
        <v>358</v>
      </c>
      <c r="H1638" s="7" t="s">
        <v>466</v>
      </c>
      <c r="I1638" s="7" t="s">
        <v>410</v>
      </c>
      <c r="J1638" s="14"/>
      <c r="K1638" s="14"/>
      <c r="O1638" s="22"/>
      <c r="P1638" s="22"/>
      <c r="Q1638" s="23"/>
      <c r="R1638" s="23"/>
      <c r="S1638" s="14"/>
    </row>
    <row r="1639" ht="18.75" customHeight="1">
      <c r="A1639" s="7" t="s">
        <v>1401</v>
      </c>
      <c r="B1639" s="7" t="s">
        <v>3875</v>
      </c>
      <c r="C1639" s="9">
        <v>177942.0</v>
      </c>
      <c r="D1639" s="9">
        <v>5361.0</v>
      </c>
      <c r="E1639" s="9">
        <v>1037.0</v>
      </c>
      <c r="F1639" s="7" t="s">
        <v>1402</v>
      </c>
      <c r="G1639" s="7" t="s">
        <v>358</v>
      </c>
      <c r="H1639" s="7" t="s">
        <v>466</v>
      </c>
      <c r="I1639" s="7" t="s">
        <v>410</v>
      </c>
      <c r="J1639" s="14"/>
      <c r="K1639" s="14"/>
      <c r="O1639" s="22"/>
      <c r="P1639" s="22"/>
      <c r="Q1639" s="23"/>
      <c r="R1639" s="23"/>
      <c r="S1639" s="14"/>
    </row>
    <row r="1640" ht="18.75" customHeight="1">
      <c r="A1640" s="7" t="s">
        <v>1401</v>
      </c>
      <c r="B1640" s="7" t="s">
        <v>3875</v>
      </c>
      <c r="C1640" s="9">
        <v>159581.0</v>
      </c>
      <c r="D1640" s="9">
        <v>4826.0</v>
      </c>
      <c r="E1640" s="9">
        <v>1094.0</v>
      </c>
      <c r="F1640" s="7" t="s">
        <v>1402</v>
      </c>
      <c r="G1640" s="7" t="s">
        <v>358</v>
      </c>
      <c r="H1640" s="7" t="s">
        <v>466</v>
      </c>
      <c r="I1640" s="7" t="s">
        <v>410</v>
      </c>
      <c r="J1640" s="14"/>
      <c r="K1640" s="14"/>
      <c r="O1640" s="22"/>
      <c r="P1640" s="22"/>
      <c r="Q1640" s="23"/>
      <c r="R1640" s="23"/>
      <c r="S1640" s="14"/>
    </row>
    <row r="1641" ht="18.75" customHeight="1">
      <c r="A1641" s="7" t="s">
        <v>1401</v>
      </c>
      <c r="B1641" s="7" t="s">
        <v>3875</v>
      </c>
      <c r="C1641" s="9">
        <v>155570.0</v>
      </c>
      <c r="D1641" s="9">
        <v>14367.0</v>
      </c>
      <c r="E1641" s="9">
        <v>779.0</v>
      </c>
      <c r="F1641" s="7" t="s">
        <v>1402</v>
      </c>
      <c r="G1641" s="7" t="s">
        <v>358</v>
      </c>
      <c r="H1641" s="7" t="s">
        <v>466</v>
      </c>
      <c r="I1641" s="7" t="s">
        <v>410</v>
      </c>
      <c r="J1641" s="14"/>
      <c r="K1641" s="14"/>
      <c r="O1641" s="22"/>
      <c r="P1641" s="22"/>
      <c r="Q1641" s="23"/>
      <c r="R1641" s="23"/>
      <c r="S1641" s="14"/>
    </row>
    <row r="1642" ht="18.75" customHeight="1">
      <c r="A1642" s="7" t="s">
        <v>1401</v>
      </c>
      <c r="B1642" s="7" t="s">
        <v>3875</v>
      </c>
      <c r="C1642" s="9">
        <v>137147.0</v>
      </c>
      <c r="D1642" s="9">
        <v>4637.0</v>
      </c>
      <c r="E1642" s="9">
        <v>1048.0</v>
      </c>
      <c r="F1642" s="7" t="s">
        <v>1402</v>
      </c>
      <c r="G1642" s="7" t="s">
        <v>358</v>
      </c>
      <c r="H1642" s="7" t="s">
        <v>466</v>
      </c>
      <c r="I1642" s="7" t="s">
        <v>410</v>
      </c>
      <c r="J1642" s="14"/>
      <c r="K1642" s="14"/>
      <c r="O1642" s="22"/>
      <c r="P1642" s="22"/>
      <c r="Q1642" s="23"/>
      <c r="R1642" s="23"/>
      <c r="S1642" s="14"/>
    </row>
    <row r="1643" ht="18.75" customHeight="1">
      <c r="A1643" s="7" t="s">
        <v>1401</v>
      </c>
      <c r="B1643" s="7" t="s">
        <v>3875</v>
      </c>
      <c r="C1643" s="9">
        <v>136219.0</v>
      </c>
      <c r="D1643" s="9">
        <v>5481.0</v>
      </c>
      <c r="E1643" s="9">
        <v>979.0</v>
      </c>
      <c r="F1643" s="7" t="s">
        <v>1402</v>
      </c>
      <c r="G1643" s="7" t="s">
        <v>358</v>
      </c>
      <c r="H1643" s="7" t="s">
        <v>466</v>
      </c>
      <c r="I1643" s="7" t="s">
        <v>410</v>
      </c>
      <c r="J1643" s="14"/>
      <c r="K1643" s="14"/>
      <c r="O1643" s="22"/>
      <c r="P1643" s="22"/>
      <c r="Q1643" s="23"/>
      <c r="R1643" s="23"/>
      <c r="S1643" s="14"/>
    </row>
    <row r="1644" ht="18.75" customHeight="1">
      <c r="A1644" s="7" t="s">
        <v>1401</v>
      </c>
      <c r="B1644" s="7" t="s">
        <v>3875</v>
      </c>
      <c r="C1644" s="9">
        <v>136756.0</v>
      </c>
      <c r="D1644" s="9">
        <v>3299.0</v>
      </c>
      <c r="E1644" s="9">
        <v>840.0</v>
      </c>
      <c r="F1644" s="7" t="s">
        <v>1402</v>
      </c>
      <c r="G1644" s="7" t="s">
        <v>358</v>
      </c>
      <c r="H1644" s="7" t="s">
        <v>466</v>
      </c>
      <c r="I1644" s="7" t="s">
        <v>410</v>
      </c>
      <c r="J1644" s="14"/>
      <c r="K1644" s="14"/>
      <c r="O1644" s="22"/>
      <c r="P1644" s="22"/>
      <c r="Q1644" s="23"/>
      <c r="R1644" s="23"/>
      <c r="S1644" s="14"/>
    </row>
    <row r="1645" ht="18.75" customHeight="1">
      <c r="A1645" s="7" t="s">
        <v>1401</v>
      </c>
      <c r="B1645" s="7" t="s">
        <v>3875</v>
      </c>
      <c r="C1645" s="9">
        <v>845790.0</v>
      </c>
      <c r="D1645" s="9">
        <v>14701.0</v>
      </c>
      <c r="E1645" s="9">
        <v>1258.0</v>
      </c>
      <c r="F1645" s="7" t="s">
        <v>1402</v>
      </c>
      <c r="G1645" s="7" t="s">
        <v>358</v>
      </c>
      <c r="H1645" s="7" t="s">
        <v>466</v>
      </c>
      <c r="I1645" s="7" t="s">
        <v>410</v>
      </c>
      <c r="J1645" s="14"/>
      <c r="K1645" s="14"/>
      <c r="O1645" s="22"/>
      <c r="P1645" s="22"/>
      <c r="Q1645" s="23"/>
      <c r="R1645" s="23"/>
      <c r="S1645" s="14"/>
    </row>
    <row r="1646" ht="18.75" customHeight="1">
      <c r="A1646" s="7" t="s">
        <v>1401</v>
      </c>
      <c r="B1646" s="7" t="s">
        <v>3875</v>
      </c>
      <c r="C1646" s="9">
        <v>150192.0</v>
      </c>
      <c r="D1646" s="9">
        <v>3941.0</v>
      </c>
      <c r="E1646" s="9">
        <v>924.0</v>
      </c>
      <c r="F1646" s="7" t="s">
        <v>1402</v>
      </c>
      <c r="G1646" s="7" t="s">
        <v>358</v>
      </c>
      <c r="H1646" s="7" t="s">
        <v>466</v>
      </c>
      <c r="I1646" s="7" t="s">
        <v>410</v>
      </c>
      <c r="J1646" s="14"/>
      <c r="K1646" s="14"/>
      <c r="O1646" s="22"/>
      <c r="P1646" s="22"/>
      <c r="Q1646" s="23"/>
      <c r="R1646" s="23"/>
      <c r="S1646" s="14"/>
    </row>
    <row r="1647" ht="18.75" customHeight="1">
      <c r="A1647" s="7" t="s">
        <v>1657</v>
      </c>
      <c r="B1647" s="7" t="s">
        <v>3875</v>
      </c>
      <c r="C1647" s="9">
        <v>125598.0</v>
      </c>
      <c r="D1647" s="9">
        <v>1136.0</v>
      </c>
      <c r="E1647" s="9">
        <v>245.0</v>
      </c>
      <c r="F1647" s="7" t="s">
        <v>1658</v>
      </c>
      <c r="G1647" s="7" t="s">
        <v>358</v>
      </c>
      <c r="H1647" s="7" t="s">
        <v>466</v>
      </c>
      <c r="I1647" s="7" t="s">
        <v>355</v>
      </c>
      <c r="J1647" s="14"/>
      <c r="K1647" s="14"/>
      <c r="O1647" s="22"/>
      <c r="P1647" s="22"/>
      <c r="Q1647" s="23"/>
      <c r="R1647" s="23"/>
      <c r="S1647" s="14"/>
    </row>
    <row r="1648" ht="18.75" customHeight="1">
      <c r="A1648" s="7" t="s">
        <v>1680</v>
      </c>
      <c r="B1648" s="7" t="s">
        <v>3875</v>
      </c>
      <c r="C1648" s="9">
        <v>48466.0</v>
      </c>
      <c r="D1648" s="9">
        <v>0.0</v>
      </c>
      <c r="E1648" s="9">
        <v>502.0</v>
      </c>
      <c r="F1648" s="7" t="s">
        <v>1681</v>
      </c>
      <c r="G1648" s="7" t="s">
        <v>353</v>
      </c>
      <c r="H1648" s="7" t="s">
        <v>378</v>
      </c>
      <c r="I1648" s="7" t="s">
        <v>355</v>
      </c>
      <c r="J1648" s="14"/>
      <c r="K1648" s="14"/>
      <c r="O1648" s="22"/>
      <c r="P1648" s="22"/>
      <c r="Q1648" s="23"/>
      <c r="R1648" s="23"/>
      <c r="S1648" s="14"/>
    </row>
    <row r="1649" ht="18.75" customHeight="1">
      <c r="A1649" s="7" t="s">
        <v>1674</v>
      </c>
      <c r="B1649" s="7" t="s">
        <v>3875</v>
      </c>
      <c r="C1649" s="9">
        <v>584667.0</v>
      </c>
      <c r="D1649" s="9">
        <v>0.0</v>
      </c>
      <c r="E1649" s="9">
        <v>694.0</v>
      </c>
      <c r="F1649" s="7" t="s">
        <v>1675</v>
      </c>
      <c r="G1649" s="7" t="s">
        <v>416</v>
      </c>
      <c r="H1649" s="7" t="s">
        <v>725</v>
      </c>
      <c r="I1649" s="7" t="s">
        <v>355</v>
      </c>
      <c r="J1649" s="14"/>
      <c r="K1649" s="14"/>
      <c r="O1649" s="22"/>
      <c r="P1649" s="22"/>
      <c r="Q1649" s="23"/>
      <c r="R1649" s="23"/>
      <c r="S1649" s="14"/>
    </row>
    <row r="1650" ht="18.75" customHeight="1">
      <c r="A1650" s="7" t="s">
        <v>1686</v>
      </c>
      <c r="B1650" s="7" t="s">
        <v>3875</v>
      </c>
      <c r="C1650" s="9">
        <v>473448.0</v>
      </c>
      <c r="D1650" s="9">
        <v>26859.0</v>
      </c>
      <c r="E1650" s="9">
        <v>688.0</v>
      </c>
      <c r="F1650" s="7" t="s">
        <v>1687</v>
      </c>
      <c r="G1650" s="7" t="s">
        <v>364</v>
      </c>
      <c r="H1650" s="7" t="s">
        <v>365</v>
      </c>
      <c r="I1650" s="7" t="s">
        <v>355</v>
      </c>
      <c r="J1650" s="14"/>
      <c r="K1650" s="14"/>
      <c r="O1650" s="22"/>
      <c r="P1650" s="22"/>
      <c r="Q1650" s="23"/>
      <c r="R1650" s="23"/>
      <c r="S1650" s="14"/>
    </row>
    <row r="1651" ht="18.75" customHeight="1">
      <c r="A1651" s="7" t="s">
        <v>1672</v>
      </c>
      <c r="B1651" s="7" t="s">
        <v>3875</v>
      </c>
      <c r="C1651" s="9">
        <v>98637.0</v>
      </c>
      <c r="D1651" s="9">
        <v>0.0</v>
      </c>
      <c r="E1651" s="9">
        <v>516.0</v>
      </c>
      <c r="F1651" s="7" t="s">
        <v>1673</v>
      </c>
      <c r="G1651" s="7" t="s">
        <v>416</v>
      </c>
      <c r="H1651" s="7" t="s">
        <v>378</v>
      </c>
      <c r="I1651" s="7" t="s">
        <v>355</v>
      </c>
      <c r="J1651" s="14"/>
      <c r="K1651" s="14"/>
      <c r="O1651" s="22"/>
      <c r="P1651" s="22"/>
      <c r="Q1651" s="23"/>
      <c r="R1651" s="23"/>
      <c r="S1651" s="14"/>
    </row>
    <row r="1652" ht="18.75" customHeight="1">
      <c r="A1652" s="7" t="s">
        <v>529</v>
      </c>
      <c r="B1652" s="7" t="s">
        <v>3875</v>
      </c>
      <c r="C1652" s="9">
        <v>22686.0</v>
      </c>
      <c r="D1652" s="9">
        <v>0.0</v>
      </c>
      <c r="E1652" s="9">
        <v>132.0</v>
      </c>
      <c r="F1652" s="7" t="s">
        <v>530</v>
      </c>
      <c r="G1652" s="7" t="s">
        <v>358</v>
      </c>
      <c r="H1652" s="7" t="s">
        <v>387</v>
      </c>
      <c r="I1652" s="7" t="s">
        <v>355</v>
      </c>
      <c r="J1652" s="14"/>
      <c r="K1652" s="14"/>
      <c r="O1652" s="22"/>
      <c r="P1652" s="22"/>
      <c r="Q1652" s="23"/>
      <c r="R1652" s="23"/>
      <c r="S1652" s="14"/>
    </row>
    <row r="1653" ht="18.75" customHeight="1">
      <c r="A1653" s="7" t="s">
        <v>529</v>
      </c>
      <c r="B1653" s="7" t="s">
        <v>3875</v>
      </c>
      <c r="C1653" s="9">
        <v>43817.0</v>
      </c>
      <c r="D1653" s="9">
        <v>0.0</v>
      </c>
      <c r="E1653" s="9">
        <v>222.0</v>
      </c>
      <c r="F1653" s="7" t="s">
        <v>530</v>
      </c>
      <c r="G1653" s="7" t="s">
        <v>358</v>
      </c>
      <c r="H1653" s="7" t="s">
        <v>387</v>
      </c>
      <c r="I1653" s="7" t="s">
        <v>355</v>
      </c>
      <c r="J1653" s="14"/>
      <c r="K1653" s="14"/>
      <c r="O1653" s="22"/>
      <c r="P1653" s="22"/>
      <c r="Q1653" s="23"/>
      <c r="R1653" s="23"/>
      <c r="S1653" s="14"/>
    </row>
    <row r="1654" ht="18.75" customHeight="1">
      <c r="A1654" s="7" t="s">
        <v>1684</v>
      </c>
      <c r="B1654" s="7" t="s">
        <v>3875</v>
      </c>
      <c r="C1654" s="9">
        <v>86155.0</v>
      </c>
      <c r="D1654" s="9">
        <v>0.0</v>
      </c>
      <c r="E1654" s="9">
        <v>323.0</v>
      </c>
      <c r="F1654" s="7" t="s">
        <v>1685</v>
      </c>
      <c r="G1654" s="7" t="s">
        <v>416</v>
      </c>
      <c r="H1654" s="7" t="s">
        <v>466</v>
      </c>
      <c r="I1654" s="7" t="s">
        <v>355</v>
      </c>
      <c r="J1654" s="14"/>
      <c r="K1654" s="14"/>
      <c r="O1654" s="22"/>
      <c r="P1654" s="22"/>
      <c r="Q1654" s="23"/>
      <c r="R1654" s="23"/>
      <c r="S1654" s="14"/>
    </row>
    <row r="1655" ht="18.75" customHeight="1">
      <c r="A1655" s="7" t="s">
        <v>1682</v>
      </c>
      <c r="B1655" s="7" t="s">
        <v>3875</v>
      </c>
      <c r="C1655" s="9">
        <v>286279.0</v>
      </c>
      <c r="D1655" s="9">
        <v>0.0</v>
      </c>
      <c r="E1655" s="9">
        <v>914.0</v>
      </c>
      <c r="F1655" s="7" t="s">
        <v>1683</v>
      </c>
      <c r="G1655" s="7" t="s">
        <v>416</v>
      </c>
      <c r="H1655" s="7" t="s">
        <v>783</v>
      </c>
      <c r="I1655" s="7" t="s">
        <v>355</v>
      </c>
      <c r="J1655" s="14"/>
      <c r="K1655" s="14"/>
      <c r="O1655" s="22"/>
      <c r="P1655" s="22"/>
      <c r="Q1655" s="23"/>
      <c r="R1655" s="23"/>
      <c r="S1655" s="14"/>
    </row>
    <row r="1656" ht="18.75" customHeight="1">
      <c r="A1656" s="7" t="s">
        <v>1637</v>
      </c>
      <c r="B1656" s="7" t="s">
        <v>3875</v>
      </c>
      <c r="C1656" s="9">
        <v>55924.0</v>
      </c>
      <c r="D1656" s="9">
        <v>0.0</v>
      </c>
      <c r="E1656" s="9">
        <v>470.0</v>
      </c>
      <c r="F1656" s="7" t="s">
        <v>1638</v>
      </c>
      <c r="G1656" s="7" t="s">
        <v>364</v>
      </c>
      <c r="H1656" s="7" t="s">
        <v>365</v>
      </c>
      <c r="I1656" s="7" t="s">
        <v>355</v>
      </c>
      <c r="J1656" s="14"/>
      <c r="K1656" s="14"/>
      <c r="O1656" s="22"/>
      <c r="P1656" s="22"/>
      <c r="Q1656" s="23"/>
      <c r="R1656" s="23"/>
      <c r="S1656" s="14"/>
    </row>
    <row r="1657" ht="18.75" customHeight="1">
      <c r="A1657" s="7" t="s">
        <v>957</v>
      </c>
      <c r="B1657" s="7" t="s">
        <v>3875</v>
      </c>
      <c r="C1657" s="9">
        <v>137218.0</v>
      </c>
      <c r="D1657" s="9">
        <v>0.0</v>
      </c>
      <c r="E1657" s="9">
        <v>1247.0</v>
      </c>
      <c r="F1657" s="7" t="s">
        <v>958</v>
      </c>
      <c r="G1657" s="7" t="s">
        <v>364</v>
      </c>
      <c r="H1657" s="7" t="s">
        <v>365</v>
      </c>
      <c r="I1657" s="7" t="s">
        <v>410</v>
      </c>
      <c r="J1657" s="14"/>
      <c r="K1657" s="14"/>
      <c r="O1657" s="22"/>
      <c r="P1657" s="22"/>
      <c r="Q1657" s="23"/>
      <c r="R1657" s="23"/>
      <c r="S1657" s="14"/>
    </row>
    <row r="1658" ht="18.75" customHeight="1">
      <c r="A1658" s="7" t="s">
        <v>1655</v>
      </c>
      <c r="B1658" s="7" t="s">
        <v>3875</v>
      </c>
      <c r="C1658" s="9">
        <v>16100.0</v>
      </c>
      <c r="D1658" s="9">
        <v>0.0</v>
      </c>
      <c r="E1658" s="9">
        <v>263.0</v>
      </c>
      <c r="F1658" s="7" t="s">
        <v>1656</v>
      </c>
      <c r="G1658" s="7" t="s">
        <v>364</v>
      </c>
      <c r="H1658" s="7" t="s">
        <v>365</v>
      </c>
      <c r="I1658" s="7" t="s">
        <v>355</v>
      </c>
      <c r="J1658" s="14"/>
      <c r="K1658" s="14"/>
      <c r="O1658" s="22"/>
      <c r="P1658" s="22"/>
      <c r="Q1658" s="23"/>
      <c r="R1658" s="23"/>
      <c r="S1658" s="14"/>
    </row>
    <row r="1659" ht="18.75" customHeight="1">
      <c r="A1659" s="7" t="s">
        <v>1659</v>
      </c>
      <c r="B1659" s="7" t="s">
        <v>3875</v>
      </c>
      <c r="C1659" s="9">
        <v>68571.0</v>
      </c>
      <c r="D1659" s="9">
        <v>0.0</v>
      </c>
      <c r="E1659" s="9">
        <v>3.0</v>
      </c>
      <c r="F1659" s="7" t="s">
        <v>1660</v>
      </c>
      <c r="G1659" s="7" t="s">
        <v>364</v>
      </c>
      <c r="H1659" s="7" t="s">
        <v>365</v>
      </c>
      <c r="I1659" s="7" t="s">
        <v>355</v>
      </c>
      <c r="J1659" s="14"/>
      <c r="K1659" s="14"/>
      <c r="O1659" s="22"/>
      <c r="P1659" s="22"/>
      <c r="Q1659" s="23"/>
      <c r="R1659" s="23"/>
      <c r="S1659" s="14"/>
    </row>
    <row r="1660" ht="18.75" customHeight="1">
      <c r="A1660" s="7" t="s">
        <v>1347</v>
      </c>
      <c r="B1660" s="7" t="s">
        <v>3875</v>
      </c>
      <c r="C1660" s="9">
        <v>49960.0</v>
      </c>
      <c r="D1660" s="9">
        <v>0.0</v>
      </c>
      <c r="E1660" s="9">
        <v>368.0</v>
      </c>
      <c r="F1660" s="7" t="s">
        <v>1348</v>
      </c>
      <c r="G1660" s="7" t="s">
        <v>364</v>
      </c>
      <c r="H1660" s="7" t="s">
        <v>365</v>
      </c>
      <c r="I1660" s="7" t="s">
        <v>355</v>
      </c>
      <c r="J1660" s="14"/>
      <c r="K1660" s="14"/>
      <c r="O1660" s="22"/>
      <c r="P1660" s="22"/>
      <c r="Q1660" s="23"/>
      <c r="R1660" s="23"/>
      <c r="S1660" s="14"/>
    </row>
    <row r="1661" ht="18.75" customHeight="1">
      <c r="A1661" s="7" t="s">
        <v>1680</v>
      </c>
      <c r="B1661" s="7" t="s">
        <v>3875</v>
      </c>
      <c r="C1661" s="9">
        <v>78696.0</v>
      </c>
      <c r="D1661" s="9">
        <v>0.0</v>
      </c>
      <c r="E1661" s="9">
        <v>1254.0</v>
      </c>
      <c r="F1661" s="7" t="s">
        <v>1681</v>
      </c>
      <c r="G1661" s="7" t="s">
        <v>353</v>
      </c>
      <c r="H1661" s="7" t="s">
        <v>378</v>
      </c>
      <c r="I1661" s="7" t="s">
        <v>355</v>
      </c>
      <c r="J1661" s="14"/>
      <c r="K1661" s="14"/>
      <c r="O1661" s="22"/>
      <c r="P1661" s="22"/>
      <c r="Q1661" s="23"/>
      <c r="R1661" s="23"/>
      <c r="S1661" s="14"/>
    </row>
    <row r="1662" ht="18.75" customHeight="1">
      <c r="A1662" s="7" t="s">
        <v>1674</v>
      </c>
      <c r="B1662" s="7" t="s">
        <v>3875</v>
      </c>
      <c r="C1662" s="9">
        <v>253357.0</v>
      </c>
      <c r="D1662" s="9">
        <v>0.0</v>
      </c>
      <c r="E1662" s="9">
        <v>326.0</v>
      </c>
      <c r="F1662" s="7" t="s">
        <v>1675</v>
      </c>
      <c r="G1662" s="7" t="s">
        <v>416</v>
      </c>
      <c r="H1662" s="7" t="s">
        <v>725</v>
      </c>
      <c r="I1662" s="7" t="s">
        <v>355</v>
      </c>
      <c r="J1662" s="14"/>
      <c r="K1662" s="14"/>
      <c r="O1662" s="22"/>
      <c r="P1662" s="22"/>
      <c r="Q1662" s="23"/>
      <c r="R1662" s="23"/>
      <c r="S1662" s="14"/>
    </row>
    <row r="1663" ht="18.75" customHeight="1">
      <c r="A1663" s="7" t="s">
        <v>1059</v>
      </c>
      <c r="B1663" s="7" t="s">
        <v>3875</v>
      </c>
      <c r="C1663" s="9">
        <v>155413.0</v>
      </c>
      <c r="D1663" s="9">
        <v>49046.0</v>
      </c>
      <c r="E1663" s="9">
        <v>9825.0</v>
      </c>
      <c r="F1663" s="7" t="s">
        <v>1060</v>
      </c>
      <c r="G1663" s="7" t="s">
        <v>358</v>
      </c>
      <c r="H1663" s="7" t="s">
        <v>466</v>
      </c>
      <c r="I1663" s="7" t="s">
        <v>355</v>
      </c>
      <c r="J1663" s="14"/>
      <c r="K1663" s="14"/>
      <c r="O1663" s="22"/>
      <c r="P1663" s="22"/>
      <c r="Q1663" s="23"/>
      <c r="R1663" s="23"/>
      <c r="S1663" s="14"/>
    </row>
    <row r="1664" ht="18.75" customHeight="1">
      <c r="A1664" s="7" t="s">
        <v>1059</v>
      </c>
      <c r="B1664" s="7" t="s">
        <v>3875</v>
      </c>
      <c r="C1664" s="9">
        <v>95888.0</v>
      </c>
      <c r="D1664" s="9">
        <v>29236.0</v>
      </c>
      <c r="E1664" s="9">
        <v>2933.0</v>
      </c>
      <c r="F1664" s="7" t="s">
        <v>1060</v>
      </c>
      <c r="G1664" s="7" t="s">
        <v>358</v>
      </c>
      <c r="H1664" s="7" t="s">
        <v>466</v>
      </c>
      <c r="I1664" s="7" t="s">
        <v>355</v>
      </c>
      <c r="J1664" s="14"/>
      <c r="K1664" s="14"/>
      <c r="O1664" s="22"/>
      <c r="P1664" s="22"/>
      <c r="Q1664" s="23"/>
      <c r="R1664" s="23"/>
      <c r="S1664" s="14"/>
    </row>
    <row r="1665" ht="18.75" customHeight="1">
      <c r="A1665" s="7" t="s">
        <v>1684</v>
      </c>
      <c r="B1665" s="7" t="s">
        <v>3875</v>
      </c>
      <c r="C1665" s="9">
        <v>51066.0</v>
      </c>
      <c r="D1665" s="9">
        <v>0.0</v>
      </c>
      <c r="E1665" s="9">
        <v>193.0</v>
      </c>
      <c r="F1665" s="7" t="s">
        <v>1685</v>
      </c>
      <c r="G1665" s="7" t="s">
        <v>416</v>
      </c>
      <c r="H1665" s="7" t="s">
        <v>466</v>
      </c>
      <c r="I1665" s="7" t="s">
        <v>355</v>
      </c>
      <c r="J1665" s="14"/>
      <c r="K1665" s="14"/>
      <c r="O1665" s="22"/>
      <c r="P1665" s="22"/>
      <c r="Q1665" s="23"/>
      <c r="R1665" s="23"/>
      <c r="S1665" s="14"/>
    </row>
    <row r="1666" ht="18.75" customHeight="1">
      <c r="A1666" s="7" t="s">
        <v>870</v>
      </c>
      <c r="B1666" s="7" t="s">
        <v>3875</v>
      </c>
      <c r="C1666" s="9">
        <v>773086.0</v>
      </c>
      <c r="D1666" s="9">
        <v>0.0</v>
      </c>
      <c r="E1666" s="9">
        <v>1276.0</v>
      </c>
      <c r="F1666" s="7" t="s">
        <v>871</v>
      </c>
      <c r="G1666" s="7" t="s">
        <v>353</v>
      </c>
      <c r="H1666" s="7" t="s">
        <v>378</v>
      </c>
      <c r="I1666" s="7" t="s">
        <v>355</v>
      </c>
      <c r="J1666" s="14"/>
      <c r="K1666" s="14"/>
      <c r="O1666" s="22"/>
      <c r="P1666" s="22"/>
      <c r="Q1666" s="23"/>
      <c r="R1666" s="23"/>
      <c r="S1666" s="14"/>
    </row>
    <row r="1667" ht="18.75" customHeight="1">
      <c r="A1667" s="7" t="s">
        <v>870</v>
      </c>
      <c r="B1667" s="7" t="s">
        <v>3875</v>
      </c>
      <c r="C1667" s="9">
        <v>777550.0</v>
      </c>
      <c r="D1667" s="9">
        <v>0.0</v>
      </c>
      <c r="E1667" s="9">
        <v>1295.0</v>
      </c>
      <c r="F1667" s="7" t="s">
        <v>871</v>
      </c>
      <c r="G1667" s="7" t="s">
        <v>353</v>
      </c>
      <c r="H1667" s="7" t="s">
        <v>378</v>
      </c>
      <c r="I1667" s="7" t="s">
        <v>355</v>
      </c>
      <c r="J1667" s="14"/>
      <c r="K1667" s="14"/>
      <c r="O1667" s="22"/>
      <c r="P1667" s="22"/>
      <c r="Q1667" s="23"/>
      <c r="R1667" s="23"/>
      <c r="S1667" s="14"/>
    </row>
    <row r="1668" ht="18.75" customHeight="1">
      <c r="A1668" s="7" t="s">
        <v>1567</v>
      </c>
      <c r="B1668" s="7" t="s">
        <v>3875</v>
      </c>
      <c r="C1668" s="9">
        <v>1666371.0</v>
      </c>
      <c r="D1668" s="9">
        <v>144018.0</v>
      </c>
      <c r="E1668" s="9">
        <v>3575.0</v>
      </c>
      <c r="F1668" s="7" t="s">
        <v>1568</v>
      </c>
      <c r="G1668" s="7" t="s">
        <v>358</v>
      </c>
      <c r="H1668" s="7" t="s">
        <v>466</v>
      </c>
      <c r="I1668" s="7" t="s">
        <v>355</v>
      </c>
      <c r="J1668" s="14"/>
      <c r="K1668" s="14"/>
      <c r="O1668" s="22"/>
      <c r="P1668" s="22"/>
      <c r="Q1668" s="23"/>
      <c r="R1668" s="23"/>
      <c r="S1668" s="14"/>
    </row>
    <row r="1669" ht="18.75" customHeight="1">
      <c r="A1669" s="7" t="s">
        <v>1539</v>
      </c>
      <c r="B1669" s="7" t="s">
        <v>3875</v>
      </c>
      <c r="C1669" s="9">
        <v>163832.0</v>
      </c>
      <c r="D1669" s="9">
        <v>17916.0</v>
      </c>
      <c r="E1669" s="9">
        <v>317.0</v>
      </c>
      <c r="F1669" s="7" t="s">
        <v>1540</v>
      </c>
      <c r="G1669" s="7" t="s">
        <v>416</v>
      </c>
      <c r="H1669" s="7" t="s">
        <v>417</v>
      </c>
      <c r="I1669" s="7" t="s">
        <v>355</v>
      </c>
      <c r="J1669" s="14"/>
      <c r="K1669" s="14"/>
      <c r="O1669" s="22"/>
      <c r="P1669" s="22"/>
      <c r="Q1669" s="23"/>
      <c r="R1669" s="23"/>
      <c r="S1669" s="14"/>
    </row>
    <row r="1670" ht="18.75" customHeight="1">
      <c r="A1670" s="7" t="s">
        <v>1401</v>
      </c>
      <c r="B1670" s="7" t="s">
        <v>3875</v>
      </c>
      <c r="C1670" s="9">
        <v>4580218.0</v>
      </c>
      <c r="D1670" s="9">
        <v>7037.0</v>
      </c>
      <c r="E1670" s="9">
        <v>11005.0</v>
      </c>
      <c r="F1670" s="7" t="s">
        <v>1402</v>
      </c>
      <c r="G1670" s="7" t="s">
        <v>358</v>
      </c>
      <c r="H1670" s="7" t="s">
        <v>466</v>
      </c>
      <c r="I1670" s="7" t="s">
        <v>410</v>
      </c>
      <c r="J1670" s="14"/>
      <c r="K1670" s="14"/>
      <c r="O1670" s="22"/>
      <c r="P1670" s="22"/>
      <c r="Q1670" s="23"/>
      <c r="R1670" s="23"/>
      <c r="S1670" s="14"/>
    </row>
    <row r="1671" ht="18.75" customHeight="1">
      <c r="A1671" s="7" t="s">
        <v>1401</v>
      </c>
      <c r="B1671" s="7" t="s">
        <v>3875</v>
      </c>
      <c r="C1671" s="9">
        <v>0.0</v>
      </c>
      <c r="D1671" s="9">
        <v>0.0</v>
      </c>
      <c r="E1671" s="9">
        <v>0.0</v>
      </c>
      <c r="F1671" s="7" t="s">
        <v>1402</v>
      </c>
      <c r="G1671" s="7" t="s">
        <v>358</v>
      </c>
      <c r="H1671" s="7" t="s">
        <v>466</v>
      </c>
      <c r="I1671" s="7" t="s">
        <v>410</v>
      </c>
      <c r="J1671" s="14"/>
      <c r="K1671" s="14"/>
      <c r="O1671" s="22"/>
      <c r="P1671" s="22"/>
      <c r="Q1671" s="23"/>
      <c r="R1671" s="23"/>
      <c r="S1671" s="14"/>
    </row>
    <row r="1672" ht="18.75" customHeight="1">
      <c r="A1672" s="7" t="s">
        <v>1401</v>
      </c>
      <c r="B1672" s="7" t="s">
        <v>3875</v>
      </c>
      <c r="C1672" s="9">
        <v>6355.0</v>
      </c>
      <c r="D1672" s="9">
        <v>371.0</v>
      </c>
      <c r="E1672" s="9">
        <v>5.0</v>
      </c>
      <c r="F1672" s="7" t="s">
        <v>1402</v>
      </c>
      <c r="G1672" s="7" t="s">
        <v>358</v>
      </c>
      <c r="H1672" s="7" t="s">
        <v>466</v>
      </c>
      <c r="I1672" s="7" t="s">
        <v>410</v>
      </c>
      <c r="J1672" s="14"/>
      <c r="K1672" s="14"/>
      <c r="O1672" s="22"/>
      <c r="P1672" s="22"/>
      <c r="Q1672" s="23"/>
      <c r="R1672" s="23"/>
      <c r="S1672" s="14"/>
    </row>
    <row r="1673" ht="18.75" customHeight="1">
      <c r="A1673" s="7" t="s">
        <v>1401</v>
      </c>
      <c r="B1673" s="7" t="s">
        <v>3875</v>
      </c>
      <c r="C1673" s="9">
        <v>0.0</v>
      </c>
      <c r="D1673" s="9">
        <v>0.0</v>
      </c>
      <c r="E1673" s="9">
        <v>0.0</v>
      </c>
      <c r="F1673" s="7" t="s">
        <v>1402</v>
      </c>
      <c r="G1673" s="7" t="s">
        <v>358</v>
      </c>
      <c r="H1673" s="7" t="s">
        <v>466</v>
      </c>
      <c r="I1673" s="7" t="s">
        <v>410</v>
      </c>
      <c r="J1673" s="14"/>
      <c r="K1673" s="14"/>
      <c r="O1673" s="22"/>
      <c r="P1673" s="22"/>
      <c r="Q1673" s="23"/>
      <c r="R1673" s="23"/>
      <c r="S1673" s="14"/>
    </row>
    <row r="1674" ht="18.75" customHeight="1">
      <c r="A1674" s="7" t="s">
        <v>1401</v>
      </c>
      <c r="B1674" s="7" t="s">
        <v>3875</v>
      </c>
      <c r="C1674" s="9">
        <v>0.0</v>
      </c>
      <c r="D1674" s="9">
        <v>0.0</v>
      </c>
      <c r="E1674" s="9">
        <v>0.0</v>
      </c>
      <c r="F1674" s="7" t="s">
        <v>1402</v>
      </c>
      <c r="G1674" s="7" t="s">
        <v>358</v>
      </c>
      <c r="H1674" s="7" t="s">
        <v>466</v>
      </c>
      <c r="I1674" s="7" t="s">
        <v>410</v>
      </c>
      <c r="J1674" s="14"/>
      <c r="K1674" s="14"/>
      <c r="O1674" s="22"/>
      <c r="P1674" s="22"/>
      <c r="Q1674" s="23"/>
      <c r="R1674" s="23"/>
      <c r="S1674" s="14"/>
    </row>
    <row r="1675" ht="18.75" customHeight="1">
      <c r="A1675" s="7" t="s">
        <v>1401</v>
      </c>
      <c r="B1675" s="7" t="s">
        <v>3875</v>
      </c>
      <c r="C1675" s="9">
        <v>0.0</v>
      </c>
      <c r="D1675" s="9">
        <v>0.0</v>
      </c>
      <c r="E1675" s="9">
        <v>0.0</v>
      </c>
      <c r="F1675" s="7" t="s">
        <v>1402</v>
      </c>
      <c r="G1675" s="7" t="s">
        <v>358</v>
      </c>
      <c r="H1675" s="7" t="s">
        <v>466</v>
      </c>
      <c r="I1675" s="7" t="s">
        <v>410</v>
      </c>
      <c r="J1675" s="14"/>
      <c r="K1675" s="14"/>
      <c r="O1675" s="22"/>
      <c r="P1675" s="22"/>
      <c r="Q1675" s="23"/>
      <c r="R1675" s="23"/>
      <c r="S1675" s="14"/>
    </row>
    <row r="1676" ht="18.75" customHeight="1">
      <c r="A1676" s="7" t="s">
        <v>1401</v>
      </c>
      <c r="B1676" s="7" t="s">
        <v>3875</v>
      </c>
      <c r="C1676" s="9">
        <v>0.0</v>
      </c>
      <c r="D1676" s="9">
        <v>0.0</v>
      </c>
      <c r="E1676" s="9">
        <v>0.0</v>
      </c>
      <c r="F1676" s="7" t="s">
        <v>1402</v>
      </c>
      <c r="G1676" s="7" t="s">
        <v>358</v>
      </c>
      <c r="H1676" s="7" t="s">
        <v>466</v>
      </c>
      <c r="I1676" s="7" t="s">
        <v>410</v>
      </c>
      <c r="J1676" s="14"/>
      <c r="K1676" s="14"/>
      <c r="O1676" s="22"/>
      <c r="P1676" s="22"/>
      <c r="Q1676" s="23"/>
      <c r="R1676" s="23"/>
      <c r="S1676" s="14"/>
    </row>
    <row r="1677" ht="18.75" customHeight="1">
      <c r="A1677" s="7" t="s">
        <v>1401</v>
      </c>
      <c r="B1677" s="7" t="s">
        <v>3875</v>
      </c>
      <c r="C1677" s="9">
        <v>0.0</v>
      </c>
      <c r="D1677" s="9">
        <v>0.0</v>
      </c>
      <c r="E1677" s="9">
        <v>0.0</v>
      </c>
      <c r="F1677" s="7" t="s">
        <v>1402</v>
      </c>
      <c r="G1677" s="7" t="s">
        <v>358</v>
      </c>
      <c r="H1677" s="7" t="s">
        <v>466</v>
      </c>
      <c r="I1677" s="7" t="s">
        <v>410</v>
      </c>
      <c r="J1677" s="14"/>
      <c r="K1677" s="14"/>
      <c r="O1677" s="22"/>
      <c r="P1677" s="22"/>
      <c r="Q1677" s="23"/>
      <c r="R1677" s="23"/>
      <c r="S1677" s="14"/>
    </row>
    <row r="1678" ht="18.75" customHeight="1">
      <c r="A1678" s="7" t="s">
        <v>1401</v>
      </c>
      <c r="B1678" s="7" t="s">
        <v>3875</v>
      </c>
      <c r="C1678" s="9">
        <v>0.0</v>
      </c>
      <c r="D1678" s="9">
        <v>0.0</v>
      </c>
      <c r="E1678" s="9">
        <v>0.0</v>
      </c>
      <c r="F1678" s="7" t="s">
        <v>1402</v>
      </c>
      <c r="G1678" s="7" t="s">
        <v>358</v>
      </c>
      <c r="H1678" s="7" t="s">
        <v>466</v>
      </c>
      <c r="I1678" s="7" t="s">
        <v>410</v>
      </c>
      <c r="J1678" s="14"/>
      <c r="K1678" s="14"/>
      <c r="O1678" s="22"/>
      <c r="P1678" s="22"/>
      <c r="Q1678" s="23"/>
      <c r="R1678" s="23"/>
      <c r="S1678" s="14"/>
    </row>
    <row r="1679" ht="18.75" customHeight="1">
      <c r="A1679" s="7" t="s">
        <v>1401</v>
      </c>
      <c r="B1679" s="7" t="s">
        <v>3875</v>
      </c>
      <c r="C1679" s="9">
        <v>0.0</v>
      </c>
      <c r="D1679" s="9">
        <v>0.0</v>
      </c>
      <c r="E1679" s="9">
        <v>0.0</v>
      </c>
      <c r="F1679" s="7" t="s">
        <v>1402</v>
      </c>
      <c r="G1679" s="7" t="s">
        <v>358</v>
      </c>
      <c r="H1679" s="7" t="s">
        <v>466</v>
      </c>
      <c r="I1679" s="7" t="s">
        <v>410</v>
      </c>
      <c r="J1679" s="14"/>
      <c r="K1679" s="14"/>
      <c r="O1679" s="22"/>
      <c r="P1679" s="22"/>
      <c r="Q1679" s="23"/>
      <c r="R1679" s="23"/>
      <c r="S1679" s="14"/>
    </row>
    <row r="1680" ht="18.75" customHeight="1">
      <c r="A1680" s="7" t="s">
        <v>1401</v>
      </c>
      <c r="B1680" s="7" t="s">
        <v>3875</v>
      </c>
      <c r="C1680" s="9">
        <v>0.0</v>
      </c>
      <c r="D1680" s="9">
        <v>0.0</v>
      </c>
      <c r="E1680" s="9">
        <v>0.0</v>
      </c>
      <c r="F1680" s="7" t="s">
        <v>1402</v>
      </c>
      <c r="G1680" s="7" t="s">
        <v>358</v>
      </c>
      <c r="H1680" s="7" t="s">
        <v>466</v>
      </c>
      <c r="I1680" s="7" t="s">
        <v>410</v>
      </c>
      <c r="J1680" s="14"/>
      <c r="K1680" s="14"/>
      <c r="O1680" s="22"/>
      <c r="P1680" s="22"/>
      <c r="Q1680" s="23"/>
      <c r="R1680" s="23"/>
      <c r="S1680" s="14"/>
    </row>
    <row r="1681" ht="18.75" customHeight="1">
      <c r="A1681" s="7" t="s">
        <v>1401</v>
      </c>
      <c r="B1681" s="7" t="s">
        <v>3875</v>
      </c>
      <c r="C1681" s="9">
        <v>0.0</v>
      </c>
      <c r="D1681" s="9">
        <v>0.0</v>
      </c>
      <c r="E1681" s="9">
        <v>0.0</v>
      </c>
      <c r="F1681" s="7" t="s">
        <v>1402</v>
      </c>
      <c r="G1681" s="7" t="s">
        <v>358</v>
      </c>
      <c r="H1681" s="7" t="s">
        <v>466</v>
      </c>
      <c r="I1681" s="7" t="s">
        <v>410</v>
      </c>
      <c r="J1681" s="14"/>
      <c r="K1681" s="14"/>
      <c r="O1681" s="22"/>
      <c r="P1681" s="22"/>
      <c r="Q1681" s="23"/>
      <c r="R1681" s="23"/>
      <c r="S1681" s="14"/>
    </row>
    <row r="1682" ht="18.75" customHeight="1">
      <c r="A1682" s="7" t="s">
        <v>1401</v>
      </c>
      <c r="B1682" s="7" t="s">
        <v>3875</v>
      </c>
      <c r="C1682" s="9">
        <v>0.0</v>
      </c>
      <c r="D1682" s="9">
        <v>0.0</v>
      </c>
      <c r="E1682" s="9">
        <v>0.0</v>
      </c>
      <c r="F1682" s="7" t="s">
        <v>1402</v>
      </c>
      <c r="G1682" s="7" t="s">
        <v>358</v>
      </c>
      <c r="H1682" s="7" t="s">
        <v>466</v>
      </c>
      <c r="I1682" s="7" t="s">
        <v>410</v>
      </c>
      <c r="J1682" s="14"/>
      <c r="K1682" s="14"/>
      <c r="O1682" s="22"/>
      <c r="P1682" s="22"/>
      <c r="Q1682" s="23"/>
      <c r="R1682" s="23"/>
      <c r="S1682" s="14"/>
    </row>
    <row r="1683" ht="18.75" customHeight="1">
      <c r="A1683" s="7" t="s">
        <v>1401</v>
      </c>
      <c r="B1683" s="7" t="s">
        <v>3875</v>
      </c>
      <c r="C1683" s="9">
        <v>0.0</v>
      </c>
      <c r="D1683" s="9">
        <v>0.0</v>
      </c>
      <c r="E1683" s="9">
        <v>0.0</v>
      </c>
      <c r="F1683" s="7" t="s">
        <v>1402</v>
      </c>
      <c r="G1683" s="7" t="s">
        <v>358</v>
      </c>
      <c r="H1683" s="7" t="s">
        <v>466</v>
      </c>
      <c r="I1683" s="7" t="s">
        <v>410</v>
      </c>
      <c r="J1683" s="14"/>
      <c r="K1683" s="14"/>
      <c r="O1683" s="22"/>
      <c r="P1683" s="22"/>
      <c r="Q1683" s="23"/>
      <c r="R1683" s="23"/>
      <c r="S1683" s="14"/>
    </row>
    <row r="1684" ht="18.75" customHeight="1">
      <c r="A1684" s="7" t="s">
        <v>1401</v>
      </c>
      <c r="B1684" s="7" t="s">
        <v>3875</v>
      </c>
      <c r="C1684" s="9">
        <v>0.0</v>
      </c>
      <c r="D1684" s="9">
        <v>0.0</v>
      </c>
      <c r="E1684" s="9">
        <v>0.0</v>
      </c>
      <c r="F1684" s="7" t="s">
        <v>1402</v>
      </c>
      <c r="G1684" s="7" t="s">
        <v>358</v>
      </c>
      <c r="H1684" s="7" t="s">
        <v>466</v>
      </c>
      <c r="I1684" s="7" t="s">
        <v>410</v>
      </c>
      <c r="J1684" s="14"/>
      <c r="K1684" s="14"/>
      <c r="O1684" s="22"/>
      <c r="P1684" s="22"/>
      <c r="Q1684" s="23"/>
      <c r="R1684" s="23"/>
      <c r="S1684" s="14"/>
    </row>
    <row r="1685" ht="18.75" customHeight="1">
      <c r="A1685" s="7" t="s">
        <v>1401</v>
      </c>
      <c r="B1685" s="7" t="s">
        <v>3875</v>
      </c>
      <c r="C1685" s="9">
        <v>0.0</v>
      </c>
      <c r="D1685" s="9">
        <v>0.0</v>
      </c>
      <c r="E1685" s="9">
        <v>0.0</v>
      </c>
      <c r="F1685" s="7" t="s">
        <v>1402</v>
      </c>
      <c r="G1685" s="7" t="s">
        <v>358</v>
      </c>
      <c r="H1685" s="7" t="s">
        <v>466</v>
      </c>
      <c r="I1685" s="7" t="s">
        <v>410</v>
      </c>
      <c r="J1685" s="14"/>
      <c r="K1685" s="14"/>
      <c r="O1685" s="22"/>
      <c r="P1685" s="22"/>
      <c r="Q1685" s="23"/>
      <c r="R1685" s="23"/>
      <c r="S1685" s="14"/>
    </row>
    <row r="1686" ht="18.75" customHeight="1">
      <c r="A1686" s="7" t="s">
        <v>1672</v>
      </c>
      <c r="B1686" s="7" t="s">
        <v>3875</v>
      </c>
      <c r="C1686" s="9">
        <v>32651.0</v>
      </c>
      <c r="D1686" s="9">
        <v>0.0</v>
      </c>
      <c r="E1686" s="9">
        <v>218.0</v>
      </c>
      <c r="F1686" s="7" t="s">
        <v>1673</v>
      </c>
      <c r="G1686" s="7" t="s">
        <v>416</v>
      </c>
      <c r="H1686" s="7" t="s">
        <v>378</v>
      </c>
      <c r="I1686" s="7" t="s">
        <v>355</v>
      </c>
      <c r="J1686" s="14"/>
      <c r="K1686" s="14"/>
      <c r="O1686" s="22"/>
      <c r="P1686" s="22"/>
      <c r="Q1686" s="23"/>
      <c r="R1686" s="23"/>
      <c r="S1686" s="14"/>
    </row>
    <row r="1687" ht="18.75" customHeight="1">
      <c r="A1687" s="7" t="s">
        <v>709</v>
      </c>
      <c r="B1687" s="7" t="s">
        <v>3875</v>
      </c>
      <c r="C1687" s="9">
        <v>64283.0</v>
      </c>
      <c r="D1687" s="9">
        <v>379.0</v>
      </c>
      <c r="E1687" s="9">
        <v>3161.0</v>
      </c>
      <c r="F1687" s="7" t="s">
        <v>710</v>
      </c>
      <c r="G1687" s="7" t="s">
        <v>404</v>
      </c>
      <c r="H1687" s="7" t="s">
        <v>667</v>
      </c>
      <c r="I1687" s="7" t="s">
        <v>410</v>
      </c>
      <c r="J1687" s="14"/>
      <c r="K1687" s="14"/>
      <c r="O1687" s="22"/>
      <c r="P1687" s="22"/>
      <c r="Q1687" s="23"/>
      <c r="R1687" s="23"/>
      <c r="S1687" s="14"/>
    </row>
    <row r="1688" ht="18.75" customHeight="1">
      <c r="A1688" s="7" t="s">
        <v>709</v>
      </c>
      <c r="B1688" s="7" t="s">
        <v>3875</v>
      </c>
      <c r="C1688" s="9">
        <v>45257.0</v>
      </c>
      <c r="D1688" s="9">
        <v>234.0</v>
      </c>
      <c r="E1688" s="9">
        <v>2564.0</v>
      </c>
      <c r="F1688" s="7" t="s">
        <v>710</v>
      </c>
      <c r="G1688" s="7" t="s">
        <v>404</v>
      </c>
      <c r="H1688" s="7" t="s">
        <v>667</v>
      </c>
      <c r="I1688" s="7" t="s">
        <v>410</v>
      </c>
      <c r="J1688" s="14"/>
      <c r="K1688" s="14"/>
      <c r="O1688" s="22"/>
      <c r="P1688" s="22"/>
      <c r="Q1688" s="23"/>
      <c r="R1688" s="23"/>
      <c r="S1688" s="14"/>
    </row>
    <row r="1689" ht="18.75" customHeight="1">
      <c r="A1689" s="7" t="s">
        <v>1523</v>
      </c>
      <c r="B1689" s="7" t="s">
        <v>3875</v>
      </c>
      <c r="C1689" s="9">
        <v>2887189.0</v>
      </c>
      <c r="D1689" s="9">
        <v>140767.0</v>
      </c>
      <c r="E1689" s="9">
        <v>3344.0</v>
      </c>
      <c r="F1689" s="7" t="s">
        <v>1524</v>
      </c>
      <c r="G1689" s="7" t="s">
        <v>364</v>
      </c>
      <c r="H1689" s="7" t="s">
        <v>365</v>
      </c>
      <c r="I1689" s="7" t="s">
        <v>410</v>
      </c>
      <c r="J1689" s="14"/>
      <c r="K1689" s="14"/>
      <c r="O1689" s="22"/>
      <c r="P1689" s="22"/>
      <c r="Q1689" s="23"/>
      <c r="R1689" s="23"/>
      <c r="S1689" s="14"/>
    </row>
    <row r="1690" ht="18.75" customHeight="1">
      <c r="A1690" s="7" t="s">
        <v>1676</v>
      </c>
      <c r="B1690" s="7" t="s">
        <v>3875</v>
      </c>
      <c r="C1690" s="9">
        <v>128851.0</v>
      </c>
      <c r="D1690" s="9">
        <v>0.0</v>
      </c>
      <c r="E1690" s="9">
        <v>1774.0</v>
      </c>
      <c r="F1690" s="7" t="s">
        <v>1677</v>
      </c>
      <c r="G1690" s="7" t="s">
        <v>416</v>
      </c>
      <c r="H1690" s="7" t="s">
        <v>417</v>
      </c>
      <c r="I1690" s="7" t="s">
        <v>355</v>
      </c>
      <c r="J1690" s="14"/>
      <c r="K1690" s="14"/>
      <c r="O1690" s="22"/>
      <c r="P1690" s="22"/>
      <c r="Q1690" s="23"/>
      <c r="R1690" s="23"/>
      <c r="S1690" s="14"/>
    </row>
    <row r="1691" ht="18.75" customHeight="1">
      <c r="A1691" s="7" t="s">
        <v>1676</v>
      </c>
      <c r="B1691" s="7" t="s">
        <v>3875</v>
      </c>
      <c r="C1691" s="9">
        <v>134572.0</v>
      </c>
      <c r="D1691" s="9">
        <v>0.0</v>
      </c>
      <c r="E1691" s="9">
        <v>1885.0</v>
      </c>
      <c r="F1691" s="7" t="s">
        <v>1677</v>
      </c>
      <c r="G1691" s="7" t="s">
        <v>416</v>
      </c>
      <c r="H1691" s="7" t="s">
        <v>417</v>
      </c>
      <c r="I1691" s="7" t="s">
        <v>355</v>
      </c>
      <c r="J1691" s="14"/>
      <c r="K1691" s="14"/>
      <c r="O1691" s="22"/>
      <c r="P1691" s="22"/>
      <c r="Q1691" s="23"/>
      <c r="R1691" s="23"/>
      <c r="S1691" s="14"/>
    </row>
    <row r="1692" ht="18.75" customHeight="1">
      <c r="A1692" s="7" t="s">
        <v>1699</v>
      </c>
      <c r="B1692" s="7" t="s">
        <v>3875</v>
      </c>
      <c r="C1692" s="9">
        <v>257380.0</v>
      </c>
      <c r="D1692" s="9">
        <v>0.0</v>
      </c>
      <c r="E1692" s="9">
        <v>359.0</v>
      </c>
      <c r="F1692" s="7" t="s">
        <v>1700</v>
      </c>
      <c r="G1692" s="7" t="s">
        <v>416</v>
      </c>
      <c r="H1692" s="7" t="s">
        <v>466</v>
      </c>
      <c r="I1692" s="7" t="s">
        <v>355</v>
      </c>
      <c r="J1692" s="14"/>
      <c r="K1692" s="14"/>
      <c r="O1692" s="22"/>
      <c r="P1692" s="22"/>
      <c r="Q1692" s="23"/>
      <c r="R1692" s="23"/>
      <c r="S1692" s="14"/>
    </row>
    <row r="1693" ht="18.75" customHeight="1">
      <c r="A1693" s="7" t="s">
        <v>1423</v>
      </c>
      <c r="B1693" s="7" t="s">
        <v>3875</v>
      </c>
      <c r="C1693" s="9">
        <v>620539.0</v>
      </c>
      <c r="D1693" s="9">
        <v>71.0</v>
      </c>
      <c r="E1693" s="9">
        <v>1689.0</v>
      </c>
      <c r="F1693" s="7" t="s">
        <v>1424</v>
      </c>
      <c r="G1693" s="7" t="s">
        <v>358</v>
      </c>
      <c r="H1693" s="7" t="s">
        <v>466</v>
      </c>
      <c r="I1693" s="7" t="s">
        <v>355</v>
      </c>
      <c r="J1693" s="14"/>
      <c r="K1693" s="14"/>
      <c r="O1693" s="22"/>
      <c r="P1693" s="22"/>
      <c r="Q1693" s="23"/>
      <c r="R1693" s="23"/>
      <c r="S1693" s="14"/>
    </row>
    <row r="1694" ht="18.75" customHeight="1">
      <c r="A1694" s="7" t="s">
        <v>1423</v>
      </c>
      <c r="B1694" s="7" t="s">
        <v>3875</v>
      </c>
      <c r="C1694" s="9">
        <v>316550.0</v>
      </c>
      <c r="D1694" s="9">
        <v>0.0</v>
      </c>
      <c r="E1694" s="9">
        <v>884.0</v>
      </c>
      <c r="F1694" s="7" t="s">
        <v>1424</v>
      </c>
      <c r="G1694" s="7" t="s">
        <v>358</v>
      </c>
      <c r="H1694" s="7" t="s">
        <v>466</v>
      </c>
      <c r="I1694" s="7" t="s">
        <v>355</v>
      </c>
      <c r="J1694" s="14"/>
      <c r="K1694" s="14"/>
      <c r="O1694" s="22"/>
      <c r="P1694" s="22"/>
      <c r="Q1694" s="23"/>
      <c r="R1694" s="23"/>
      <c r="S1694" s="14"/>
    </row>
    <row r="1695" ht="18.75" customHeight="1">
      <c r="A1695" s="7" t="s">
        <v>1423</v>
      </c>
      <c r="B1695" s="7" t="s">
        <v>3875</v>
      </c>
      <c r="C1695" s="9">
        <v>302982.0</v>
      </c>
      <c r="D1695" s="9">
        <v>25807.0</v>
      </c>
      <c r="E1695" s="9">
        <v>830.0</v>
      </c>
      <c r="F1695" s="7" t="s">
        <v>1424</v>
      </c>
      <c r="G1695" s="7" t="s">
        <v>358</v>
      </c>
      <c r="H1695" s="7" t="s">
        <v>466</v>
      </c>
      <c r="I1695" s="7" t="s">
        <v>355</v>
      </c>
      <c r="J1695" s="14"/>
      <c r="K1695" s="14"/>
      <c r="O1695" s="22"/>
      <c r="P1695" s="22"/>
      <c r="Q1695" s="23"/>
      <c r="R1695" s="23"/>
      <c r="S1695" s="14"/>
    </row>
    <row r="1696" ht="18.75" customHeight="1">
      <c r="A1696" s="7" t="s">
        <v>1697</v>
      </c>
      <c r="B1696" s="7" t="s">
        <v>3875</v>
      </c>
      <c r="C1696" s="9">
        <v>418731.0</v>
      </c>
      <c r="D1696" s="9">
        <v>0.0</v>
      </c>
      <c r="E1696" s="9">
        <v>871.0</v>
      </c>
      <c r="F1696" s="7" t="s">
        <v>1698</v>
      </c>
      <c r="G1696" s="7" t="s">
        <v>416</v>
      </c>
      <c r="H1696" s="7" t="s">
        <v>466</v>
      </c>
      <c r="I1696" s="7" t="s">
        <v>355</v>
      </c>
      <c r="J1696" s="14"/>
      <c r="K1696" s="14"/>
      <c r="O1696" s="22"/>
      <c r="P1696" s="22"/>
      <c r="Q1696" s="23"/>
      <c r="R1696" s="23"/>
      <c r="S1696" s="14"/>
    </row>
    <row r="1697" ht="18.75" customHeight="1">
      <c r="A1697" s="7" t="s">
        <v>1695</v>
      </c>
      <c r="B1697" s="7" t="s">
        <v>3875</v>
      </c>
      <c r="C1697" s="9">
        <v>122255.0</v>
      </c>
      <c r="D1697" s="9">
        <v>0.0</v>
      </c>
      <c r="E1697" s="9">
        <v>422.0</v>
      </c>
      <c r="F1697" s="7" t="s">
        <v>1696</v>
      </c>
      <c r="G1697" s="7" t="s">
        <v>416</v>
      </c>
      <c r="H1697" s="7" t="s">
        <v>466</v>
      </c>
      <c r="I1697" s="7" t="s">
        <v>355</v>
      </c>
      <c r="J1697" s="14"/>
      <c r="K1697" s="14"/>
      <c r="O1697" s="22"/>
      <c r="P1697" s="22"/>
      <c r="Q1697" s="23"/>
      <c r="R1697" s="23"/>
      <c r="S1697" s="14"/>
    </row>
    <row r="1698" ht="18.75" customHeight="1">
      <c r="A1698" s="7" t="s">
        <v>1693</v>
      </c>
      <c r="B1698" s="7" t="s">
        <v>3875</v>
      </c>
      <c r="C1698" s="9">
        <v>101723.0</v>
      </c>
      <c r="D1698" s="9">
        <v>0.0</v>
      </c>
      <c r="E1698" s="9">
        <v>416.0</v>
      </c>
      <c r="F1698" s="7" t="s">
        <v>1694</v>
      </c>
      <c r="G1698" s="7" t="s">
        <v>416</v>
      </c>
      <c r="H1698" s="7" t="s">
        <v>466</v>
      </c>
      <c r="I1698" s="7" t="s">
        <v>355</v>
      </c>
      <c r="J1698" s="14"/>
      <c r="K1698" s="14"/>
      <c r="O1698" s="22"/>
      <c r="P1698" s="22"/>
      <c r="Q1698" s="23"/>
      <c r="R1698" s="23"/>
      <c r="S1698" s="14"/>
    </row>
    <row r="1699" ht="18.75" customHeight="1">
      <c r="A1699" s="7" t="s">
        <v>529</v>
      </c>
      <c r="B1699" s="7" t="s">
        <v>3875</v>
      </c>
      <c r="C1699" s="9">
        <v>69346.0</v>
      </c>
      <c r="D1699" s="9">
        <v>0.0</v>
      </c>
      <c r="E1699" s="9">
        <v>276.0</v>
      </c>
      <c r="F1699" s="7" t="s">
        <v>530</v>
      </c>
      <c r="G1699" s="7" t="s">
        <v>358</v>
      </c>
      <c r="H1699" s="7" t="s">
        <v>387</v>
      </c>
      <c r="I1699" s="7" t="s">
        <v>355</v>
      </c>
      <c r="J1699" s="14"/>
      <c r="K1699" s="14"/>
      <c r="O1699" s="22"/>
      <c r="P1699" s="22"/>
      <c r="Q1699" s="23"/>
      <c r="R1699" s="23"/>
      <c r="S1699" s="14"/>
    </row>
    <row r="1700" ht="18.75" customHeight="1">
      <c r="A1700" s="7" t="s">
        <v>529</v>
      </c>
      <c r="B1700" s="7" t="s">
        <v>3875</v>
      </c>
      <c r="C1700" s="9">
        <v>36122.0</v>
      </c>
      <c r="D1700" s="9">
        <v>0.0</v>
      </c>
      <c r="E1700" s="9">
        <v>187.0</v>
      </c>
      <c r="F1700" s="7" t="s">
        <v>530</v>
      </c>
      <c r="G1700" s="7" t="s">
        <v>358</v>
      </c>
      <c r="H1700" s="7" t="s">
        <v>387</v>
      </c>
      <c r="I1700" s="7" t="s">
        <v>355</v>
      </c>
      <c r="J1700" s="14"/>
      <c r="K1700" s="14"/>
      <c r="O1700" s="22"/>
      <c r="P1700" s="22"/>
      <c r="Q1700" s="23"/>
      <c r="R1700" s="23"/>
      <c r="S1700" s="14"/>
    </row>
    <row r="1701" ht="18.75" customHeight="1">
      <c r="A1701" s="7" t="s">
        <v>529</v>
      </c>
      <c r="B1701" s="7" t="s">
        <v>3875</v>
      </c>
      <c r="C1701" s="9">
        <v>71311.0</v>
      </c>
      <c r="D1701" s="9">
        <v>0.0</v>
      </c>
      <c r="E1701" s="9">
        <v>242.0</v>
      </c>
      <c r="F1701" s="7" t="s">
        <v>530</v>
      </c>
      <c r="G1701" s="7" t="s">
        <v>358</v>
      </c>
      <c r="H1701" s="7" t="s">
        <v>387</v>
      </c>
      <c r="I1701" s="7" t="s">
        <v>355</v>
      </c>
      <c r="J1701" s="14"/>
      <c r="K1701" s="14"/>
      <c r="O1701" s="22"/>
      <c r="P1701" s="22"/>
      <c r="Q1701" s="23"/>
      <c r="R1701" s="23"/>
      <c r="S1701" s="14"/>
    </row>
    <row r="1702" ht="18.75" customHeight="1">
      <c r="A1702" s="7" t="s">
        <v>529</v>
      </c>
      <c r="B1702" s="7" t="s">
        <v>3875</v>
      </c>
      <c r="C1702" s="9">
        <v>17712.0</v>
      </c>
      <c r="D1702" s="9">
        <v>0.0</v>
      </c>
      <c r="E1702" s="9">
        <v>156.0</v>
      </c>
      <c r="F1702" s="7" t="s">
        <v>530</v>
      </c>
      <c r="G1702" s="7" t="s">
        <v>358</v>
      </c>
      <c r="H1702" s="7" t="s">
        <v>387</v>
      </c>
      <c r="I1702" s="7" t="s">
        <v>355</v>
      </c>
      <c r="J1702" s="14"/>
      <c r="K1702" s="14"/>
      <c r="O1702" s="22"/>
      <c r="P1702" s="22"/>
      <c r="Q1702" s="23"/>
      <c r="R1702" s="23"/>
      <c r="S1702" s="14"/>
    </row>
    <row r="1703" ht="18.75" customHeight="1">
      <c r="A1703" s="7" t="s">
        <v>1401</v>
      </c>
      <c r="B1703" s="7" t="s">
        <v>3875</v>
      </c>
      <c r="C1703" s="9">
        <v>1.3447971E7</v>
      </c>
      <c r="D1703" s="9">
        <v>570783.0</v>
      </c>
      <c r="E1703" s="9">
        <v>16153.0</v>
      </c>
      <c r="F1703" s="7" t="s">
        <v>1402</v>
      </c>
      <c r="G1703" s="7" t="s">
        <v>358</v>
      </c>
      <c r="H1703" s="7" t="s">
        <v>466</v>
      </c>
      <c r="I1703" s="7" t="s">
        <v>410</v>
      </c>
      <c r="J1703" s="14"/>
      <c r="K1703" s="14"/>
      <c r="O1703" s="22"/>
      <c r="P1703" s="22"/>
      <c r="Q1703" s="23"/>
      <c r="R1703" s="23"/>
      <c r="S1703" s="14"/>
    </row>
    <row r="1704" ht="18.75" customHeight="1">
      <c r="A1704" s="7" t="s">
        <v>1401</v>
      </c>
      <c r="B1704" s="7" t="s">
        <v>3875</v>
      </c>
      <c r="C1704" s="9">
        <v>6907504.0</v>
      </c>
      <c r="D1704" s="9">
        <v>23505.0</v>
      </c>
      <c r="E1704" s="9">
        <v>12901.0</v>
      </c>
      <c r="F1704" s="7" t="s">
        <v>1402</v>
      </c>
      <c r="G1704" s="7" t="s">
        <v>358</v>
      </c>
      <c r="H1704" s="7" t="s">
        <v>466</v>
      </c>
      <c r="I1704" s="7" t="s">
        <v>410</v>
      </c>
      <c r="J1704" s="14"/>
      <c r="K1704" s="14"/>
      <c r="O1704" s="22"/>
      <c r="P1704" s="22"/>
      <c r="Q1704" s="23"/>
      <c r="R1704" s="23"/>
      <c r="S1704" s="14"/>
    </row>
    <row r="1705" ht="18.75" customHeight="1">
      <c r="A1705" s="7" t="s">
        <v>1631</v>
      </c>
      <c r="B1705" s="7" t="s">
        <v>3875</v>
      </c>
      <c r="C1705" s="9">
        <v>138151.0</v>
      </c>
      <c r="D1705" s="9">
        <v>17243.0</v>
      </c>
      <c r="E1705" s="9">
        <v>280.0</v>
      </c>
      <c r="F1705" s="7" t="s">
        <v>1632</v>
      </c>
      <c r="G1705" s="7" t="s">
        <v>416</v>
      </c>
      <c r="H1705" s="7" t="s">
        <v>417</v>
      </c>
      <c r="I1705" s="7" t="s">
        <v>355</v>
      </c>
      <c r="J1705" s="14"/>
      <c r="K1705" s="14"/>
      <c r="O1705" s="22"/>
      <c r="P1705" s="22"/>
      <c r="Q1705" s="23"/>
      <c r="R1705" s="23"/>
      <c r="S1705" s="14"/>
    </row>
    <row r="1706" ht="18.75" customHeight="1">
      <c r="A1706" s="7" t="s">
        <v>1579</v>
      </c>
      <c r="B1706" s="7" t="s">
        <v>3875</v>
      </c>
      <c r="C1706" s="9">
        <v>541925.0</v>
      </c>
      <c r="D1706" s="9">
        <v>0.0</v>
      </c>
      <c r="E1706" s="9">
        <v>1120.0</v>
      </c>
      <c r="F1706" s="7" t="s">
        <v>1580</v>
      </c>
      <c r="G1706" s="7" t="s">
        <v>353</v>
      </c>
      <c r="H1706" s="7" t="s">
        <v>378</v>
      </c>
      <c r="I1706" s="7" t="s">
        <v>355</v>
      </c>
      <c r="J1706" s="14"/>
      <c r="K1706" s="14"/>
      <c r="O1706" s="22"/>
      <c r="P1706" s="22"/>
      <c r="Q1706" s="23"/>
      <c r="R1706" s="23"/>
      <c r="S1706" s="14"/>
    </row>
    <row r="1707" ht="18.75" customHeight="1">
      <c r="A1707" s="7" t="s">
        <v>3758</v>
      </c>
      <c r="B1707" s="7" t="s">
        <v>3875</v>
      </c>
      <c r="C1707" s="9">
        <v>14456.0</v>
      </c>
      <c r="D1707" s="9">
        <v>3024.0</v>
      </c>
      <c r="E1707" s="9">
        <v>210.0</v>
      </c>
      <c r="F1707" s="7" t="s">
        <v>3899</v>
      </c>
      <c r="G1707" s="7" t="s">
        <v>416</v>
      </c>
      <c r="H1707" s="7" t="s">
        <v>417</v>
      </c>
      <c r="I1707" s="7" t="s">
        <v>3886</v>
      </c>
      <c r="J1707" s="14"/>
      <c r="K1707" s="14"/>
      <c r="O1707" s="22"/>
      <c r="P1707" s="22"/>
      <c r="Q1707" s="23"/>
      <c r="R1707" s="23"/>
      <c r="S1707" s="14"/>
    </row>
    <row r="1708" ht="18.75" customHeight="1">
      <c r="A1708" s="7" t="s">
        <v>1529</v>
      </c>
      <c r="B1708" s="7" t="s">
        <v>3875</v>
      </c>
      <c r="C1708" s="9">
        <v>41345.0</v>
      </c>
      <c r="D1708" s="9">
        <v>0.0</v>
      </c>
      <c r="E1708" s="9">
        <v>467.0</v>
      </c>
      <c r="F1708" s="7" t="s">
        <v>1530</v>
      </c>
      <c r="G1708" s="7" t="s">
        <v>364</v>
      </c>
      <c r="H1708" s="7" t="s">
        <v>365</v>
      </c>
      <c r="I1708" s="7" t="s">
        <v>355</v>
      </c>
      <c r="J1708" s="14"/>
      <c r="K1708" s="14"/>
      <c r="O1708" s="22"/>
      <c r="P1708" s="22"/>
      <c r="Q1708" s="23"/>
      <c r="R1708" s="23"/>
      <c r="S1708" s="14"/>
    </row>
    <row r="1709" ht="18.75" customHeight="1">
      <c r="A1709" s="7" t="s">
        <v>1657</v>
      </c>
      <c r="B1709" s="7" t="s">
        <v>3875</v>
      </c>
      <c r="C1709" s="9">
        <v>818057.0</v>
      </c>
      <c r="D1709" s="9">
        <v>1510.0</v>
      </c>
      <c r="E1709" s="9">
        <v>1867.0</v>
      </c>
      <c r="F1709" s="7" t="s">
        <v>1658</v>
      </c>
      <c r="G1709" s="7" t="s">
        <v>358</v>
      </c>
      <c r="H1709" s="7" t="s">
        <v>466</v>
      </c>
      <c r="I1709" s="7" t="s">
        <v>355</v>
      </c>
      <c r="J1709" s="14"/>
      <c r="K1709" s="14"/>
      <c r="O1709" s="22"/>
      <c r="P1709" s="22"/>
      <c r="Q1709" s="23"/>
      <c r="R1709" s="23"/>
      <c r="S1709" s="14"/>
    </row>
    <row r="1710" ht="18.75" customHeight="1">
      <c r="A1710" s="7" t="s">
        <v>1686</v>
      </c>
      <c r="B1710" s="7" t="s">
        <v>3875</v>
      </c>
      <c r="C1710" s="9">
        <v>920695.0</v>
      </c>
      <c r="D1710" s="9">
        <v>73081.0</v>
      </c>
      <c r="E1710" s="9">
        <v>1117.0</v>
      </c>
      <c r="F1710" s="7" t="s">
        <v>1687</v>
      </c>
      <c r="G1710" s="7" t="s">
        <v>364</v>
      </c>
      <c r="H1710" s="7" t="s">
        <v>365</v>
      </c>
      <c r="I1710" s="7" t="s">
        <v>355</v>
      </c>
      <c r="J1710" s="14"/>
      <c r="K1710" s="14"/>
      <c r="O1710" s="22"/>
      <c r="P1710" s="22"/>
      <c r="Q1710" s="23"/>
      <c r="R1710" s="23"/>
      <c r="S1710" s="14"/>
    </row>
    <row r="1711" ht="18.75" customHeight="1">
      <c r="A1711" s="7" t="s">
        <v>1155</v>
      </c>
      <c r="B1711" s="7" t="s">
        <v>3875</v>
      </c>
      <c r="C1711" s="9">
        <v>1993563.0</v>
      </c>
      <c r="D1711" s="9">
        <v>9110.0</v>
      </c>
      <c r="E1711" s="9">
        <v>3247.0</v>
      </c>
      <c r="F1711" s="7" t="s">
        <v>1156</v>
      </c>
      <c r="G1711" s="7" t="s">
        <v>358</v>
      </c>
      <c r="H1711" s="7" t="s">
        <v>359</v>
      </c>
      <c r="I1711" s="7" t="s">
        <v>355</v>
      </c>
      <c r="J1711" s="14"/>
      <c r="K1711" s="14"/>
      <c r="O1711" s="22"/>
      <c r="P1711" s="22"/>
      <c r="Q1711" s="23"/>
      <c r="R1711" s="23"/>
      <c r="S1711" s="14"/>
    </row>
    <row r="1712" ht="18.75" customHeight="1">
      <c r="A1712" s="7" t="s">
        <v>1155</v>
      </c>
      <c r="B1712" s="7" t="s">
        <v>3875</v>
      </c>
      <c r="C1712" s="9">
        <v>1078035.0</v>
      </c>
      <c r="D1712" s="9">
        <v>5519.0</v>
      </c>
      <c r="E1712" s="9">
        <v>2182.0</v>
      </c>
      <c r="F1712" s="7" t="s">
        <v>1156</v>
      </c>
      <c r="G1712" s="7" t="s">
        <v>358</v>
      </c>
      <c r="H1712" s="7" t="s">
        <v>359</v>
      </c>
      <c r="I1712" s="7" t="s">
        <v>355</v>
      </c>
      <c r="J1712" s="14"/>
      <c r="K1712" s="14"/>
      <c r="O1712" s="22"/>
      <c r="P1712" s="22"/>
      <c r="Q1712" s="23"/>
      <c r="R1712" s="23"/>
      <c r="S1712" s="14"/>
    </row>
    <row r="1713" ht="18.75" customHeight="1">
      <c r="A1713" s="7" t="s">
        <v>1155</v>
      </c>
      <c r="B1713" s="7" t="s">
        <v>3875</v>
      </c>
      <c r="C1713" s="9">
        <v>868417.0</v>
      </c>
      <c r="D1713" s="9">
        <v>5074.0</v>
      </c>
      <c r="E1713" s="9">
        <v>2146.0</v>
      </c>
      <c r="F1713" s="7" t="s">
        <v>1156</v>
      </c>
      <c r="G1713" s="7" t="s">
        <v>358</v>
      </c>
      <c r="H1713" s="7" t="s">
        <v>359</v>
      </c>
      <c r="I1713" s="7" t="s">
        <v>355</v>
      </c>
      <c r="J1713" s="14"/>
      <c r="K1713" s="14"/>
      <c r="O1713" s="22"/>
      <c r="P1713" s="22"/>
      <c r="Q1713" s="23"/>
      <c r="R1713" s="23"/>
      <c r="S1713" s="14"/>
    </row>
    <row r="1714" ht="18.75" customHeight="1">
      <c r="A1714" s="7" t="s">
        <v>1155</v>
      </c>
      <c r="B1714" s="7" t="s">
        <v>3875</v>
      </c>
      <c r="C1714" s="9">
        <v>1394539.0</v>
      </c>
      <c r="D1714" s="9">
        <v>5263.0</v>
      </c>
      <c r="E1714" s="9">
        <v>3520.0</v>
      </c>
      <c r="F1714" s="7" t="s">
        <v>1156</v>
      </c>
      <c r="G1714" s="7" t="s">
        <v>358</v>
      </c>
      <c r="H1714" s="7" t="s">
        <v>359</v>
      </c>
      <c r="I1714" s="7" t="s">
        <v>355</v>
      </c>
      <c r="J1714" s="14"/>
      <c r="K1714" s="14"/>
      <c r="O1714" s="22"/>
      <c r="P1714" s="22"/>
      <c r="Q1714" s="23"/>
      <c r="R1714" s="23"/>
      <c r="S1714" s="14"/>
    </row>
    <row r="1715" ht="18.75" customHeight="1">
      <c r="A1715" s="7" t="s">
        <v>1291</v>
      </c>
      <c r="B1715" s="7" t="s">
        <v>3875</v>
      </c>
      <c r="C1715" s="9">
        <v>83794.0</v>
      </c>
      <c r="D1715" s="9">
        <v>0.0</v>
      </c>
      <c r="E1715" s="9">
        <v>2157.0</v>
      </c>
      <c r="F1715" s="7" t="s">
        <v>1292</v>
      </c>
      <c r="G1715" s="7" t="s">
        <v>353</v>
      </c>
      <c r="H1715" s="7" t="s">
        <v>354</v>
      </c>
      <c r="I1715" s="7" t="s">
        <v>410</v>
      </c>
      <c r="J1715" s="14"/>
      <c r="K1715" s="14"/>
      <c r="O1715" s="22"/>
      <c r="P1715" s="22"/>
      <c r="Q1715" s="23"/>
      <c r="R1715" s="23"/>
      <c r="S1715" s="14"/>
    </row>
    <row r="1716" ht="18.75" customHeight="1">
      <c r="A1716" s="7" t="s">
        <v>1691</v>
      </c>
      <c r="B1716" s="7" t="s">
        <v>3875</v>
      </c>
      <c r="C1716" s="9">
        <v>2468448.0</v>
      </c>
      <c r="D1716" s="9">
        <v>228045.0</v>
      </c>
      <c r="E1716" s="9">
        <v>3256.0</v>
      </c>
      <c r="F1716" s="7" t="s">
        <v>1692</v>
      </c>
      <c r="G1716" s="7" t="s">
        <v>364</v>
      </c>
      <c r="H1716" s="7" t="s">
        <v>365</v>
      </c>
      <c r="I1716" s="7" t="s">
        <v>355</v>
      </c>
      <c r="J1716" s="14"/>
      <c r="K1716" s="14"/>
      <c r="O1716" s="22"/>
      <c r="P1716" s="22"/>
      <c r="Q1716" s="23"/>
      <c r="R1716" s="23"/>
      <c r="S1716" s="14"/>
    </row>
    <row r="1717" ht="18.75" customHeight="1">
      <c r="A1717" s="7" t="s">
        <v>529</v>
      </c>
      <c r="B1717" s="7" t="s">
        <v>3875</v>
      </c>
      <c r="C1717" s="9">
        <v>61177.0</v>
      </c>
      <c r="D1717" s="9">
        <v>0.0</v>
      </c>
      <c r="E1717" s="9">
        <v>467.0</v>
      </c>
      <c r="F1717" s="7" t="s">
        <v>530</v>
      </c>
      <c r="G1717" s="7" t="s">
        <v>358</v>
      </c>
      <c r="H1717" s="7" t="s">
        <v>387</v>
      </c>
      <c r="I1717" s="7" t="s">
        <v>355</v>
      </c>
      <c r="J1717" s="14"/>
      <c r="K1717" s="14"/>
      <c r="O1717" s="22"/>
      <c r="P1717" s="22"/>
      <c r="Q1717" s="23"/>
      <c r="R1717" s="23"/>
      <c r="S1717" s="14"/>
    </row>
    <row r="1718" ht="18.75" customHeight="1">
      <c r="A1718" s="7" t="s">
        <v>529</v>
      </c>
      <c r="B1718" s="7" t="s">
        <v>3875</v>
      </c>
      <c r="C1718" s="9">
        <v>36961.0</v>
      </c>
      <c r="D1718" s="9">
        <v>0.0</v>
      </c>
      <c r="E1718" s="9">
        <v>254.0</v>
      </c>
      <c r="F1718" s="7" t="s">
        <v>530</v>
      </c>
      <c r="G1718" s="7" t="s">
        <v>358</v>
      </c>
      <c r="H1718" s="7" t="s">
        <v>387</v>
      </c>
      <c r="I1718" s="7" t="s">
        <v>355</v>
      </c>
      <c r="J1718" s="14"/>
      <c r="K1718" s="14"/>
      <c r="O1718" s="22"/>
      <c r="P1718" s="22"/>
      <c r="Q1718" s="23"/>
      <c r="R1718" s="23"/>
      <c r="S1718" s="14"/>
    </row>
    <row r="1719" ht="18.75" customHeight="1">
      <c r="A1719" s="7" t="s">
        <v>529</v>
      </c>
      <c r="B1719" s="7" t="s">
        <v>3875</v>
      </c>
      <c r="C1719" s="9">
        <v>62845.0</v>
      </c>
      <c r="D1719" s="9">
        <v>0.0</v>
      </c>
      <c r="E1719" s="9">
        <v>458.0</v>
      </c>
      <c r="F1719" s="7" t="s">
        <v>530</v>
      </c>
      <c r="G1719" s="7" t="s">
        <v>358</v>
      </c>
      <c r="H1719" s="7" t="s">
        <v>387</v>
      </c>
      <c r="I1719" s="7" t="s">
        <v>355</v>
      </c>
      <c r="J1719" s="14"/>
      <c r="K1719" s="14"/>
      <c r="O1719" s="22"/>
      <c r="P1719" s="22"/>
      <c r="Q1719" s="23"/>
      <c r="R1719" s="23"/>
      <c r="S1719" s="14"/>
    </row>
    <row r="1720" ht="18.75" customHeight="1">
      <c r="A1720" s="7" t="s">
        <v>529</v>
      </c>
      <c r="B1720" s="7" t="s">
        <v>3875</v>
      </c>
      <c r="C1720" s="9">
        <v>51877.0</v>
      </c>
      <c r="D1720" s="9">
        <v>0.0</v>
      </c>
      <c r="E1720" s="9">
        <v>310.0</v>
      </c>
      <c r="F1720" s="7" t="s">
        <v>530</v>
      </c>
      <c r="G1720" s="7" t="s">
        <v>358</v>
      </c>
      <c r="H1720" s="7" t="s">
        <v>387</v>
      </c>
      <c r="I1720" s="7" t="s">
        <v>355</v>
      </c>
      <c r="J1720" s="14"/>
      <c r="K1720" s="14"/>
      <c r="O1720" s="22"/>
      <c r="P1720" s="22"/>
      <c r="Q1720" s="23"/>
      <c r="R1720" s="23"/>
      <c r="S1720" s="14"/>
    </row>
    <row r="1721" ht="18.75" customHeight="1">
      <c r="A1721" s="7" t="s">
        <v>1537</v>
      </c>
      <c r="B1721" s="7" t="s">
        <v>3875</v>
      </c>
      <c r="C1721" s="9">
        <v>117785.0</v>
      </c>
      <c r="D1721" s="9">
        <v>15811.0</v>
      </c>
      <c r="E1721" s="9">
        <v>137.0</v>
      </c>
      <c r="F1721" s="7" t="s">
        <v>1538</v>
      </c>
      <c r="G1721" s="7" t="s">
        <v>416</v>
      </c>
      <c r="H1721" s="7" t="s">
        <v>417</v>
      </c>
      <c r="I1721" s="7" t="s">
        <v>355</v>
      </c>
      <c r="J1721" s="14"/>
      <c r="K1721" s="14"/>
      <c r="O1721" s="22"/>
      <c r="P1721" s="22"/>
      <c r="Q1721" s="23"/>
      <c r="R1721" s="23"/>
      <c r="S1721" s="14"/>
    </row>
    <row r="1722" ht="18.75" customHeight="1">
      <c r="A1722" s="7" t="s">
        <v>1537</v>
      </c>
      <c r="B1722" s="7" t="s">
        <v>3875</v>
      </c>
      <c r="C1722" s="9">
        <v>219460.0</v>
      </c>
      <c r="D1722" s="9">
        <v>7896.0</v>
      </c>
      <c r="E1722" s="9">
        <v>218.0</v>
      </c>
      <c r="F1722" s="7" t="s">
        <v>1538</v>
      </c>
      <c r="G1722" s="7" t="s">
        <v>416</v>
      </c>
      <c r="H1722" s="7" t="s">
        <v>417</v>
      </c>
      <c r="I1722" s="7" t="s">
        <v>355</v>
      </c>
      <c r="J1722" s="14"/>
      <c r="K1722" s="14"/>
      <c r="O1722" s="22"/>
      <c r="P1722" s="22"/>
      <c r="Q1722" s="23"/>
      <c r="R1722" s="23"/>
      <c r="S1722" s="14"/>
    </row>
    <row r="1723" ht="18.75" customHeight="1">
      <c r="A1723" s="7" t="s">
        <v>1401</v>
      </c>
      <c r="B1723" s="7" t="s">
        <v>3875</v>
      </c>
      <c r="C1723" s="9">
        <v>5608834.0</v>
      </c>
      <c r="D1723" s="9">
        <v>24952.0</v>
      </c>
      <c r="E1723" s="9">
        <v>8507.0</v>
      </c>
      <c r="F1723" s="7" t="s">
        <v>1402</v>
      </c>
      <c r="G1723" s="7" t="s">
        <v>358</v>
      </c>
      <c r="H1723" s="7" t="s">
        <v>466</v>
      </c>
      <c r="I1723" s="7" t="s">
        <v>410</v>
      </c>
      <c r="J1723" s="14"/>
      <c r="K1723" s="14"/>
      <c r="O1723" s="22"/>
      <c r="P1723" s="22"/>
      <c r="Q1723" s="23"/>
      <c r="R1723" s="23"/>
      <c r="S1723" s="14"/>
    </row>
    <row r="1724" ht="18.75" customHeight="1">
      <c r="A1724" s="7" t="s">
        <v>1497</v>
      </c>
      <c r="B1724" s="7" t="s">
        <v>3875</v>
      </c>
      <c r="C1724" s="9">
        <v>4050852.0</v>
      </c>
      <c r="D1724" s="9">
        <v>8361.0</v>
      </c>
      <c r="E1724" s="9">
        <v>7216.0</v>
      </c>
      <c r="F1724" s="7" t="s">
        <v>1498</v>
      </c>
      <c r="G1724" s="7" t="s">
        <v>404</v>
      </c>
      <c r="H1724" s="7" t="s">
        <v>405</v>
      </c>
      <c r="I1724" s="7" t="s">
        <v>410</v>
      </c>
      <c r="J1724" s="14"/>
      <c r="K1724" s="14"/>
      <c r="O1724" s="22"/>
      <c r="P1724" s="22"/>
      <c r="Q1724" s="23"/>
      <c r="R1724" s="23"/>
      <c r="S1724" s="14"/>
    </row>
    <row r="1725" ht="18.75" customHeight="1">
      <c r="A1725" s="7" t="s">
        <v>1401</v>
      </c>
      <c r="B1725" s="7" t="s">
        <v>3875</v>
      </c>
      <c r="C1725" s="9">
        <v>2046333.0</v>
      </c>
      <c r="D1725" s="9">
        <v>335278.0</v>
      </c>
      <c r="E1725" s="9">
        <v>2585.0</v>
      </c>
      <c r="F1725" s="7" t="s">
        <v>1402</v>
      </c>
      <c r="G1725" s="7" t="s">
        <v>358</v>
      </c>
      <c r="H1725" s="7" t="s">
        <v>466</v>
      </c>
      <c r="I1725" s="7" t="s">
        <v>410</v>
      </c>
      <c r="J1725" s="14"/>
      <c r="K1725" s="14"/>
      <c r="O1725" s="22"/>
      <c r="P1725" s="22"/>
      <c r="Q1725" s="23"/>
      <c r="R1725" s="23"/>
      <c r="S1725" s="14"/>
    </row>
    <row r="1726" ht="18.75" customHeight="1">
      <c r="A1726" s="7" t="s">
        <v>1655</v>
      </c>
      <c r="B1726" s="7" t="s">
        <v>3875</v>
      </c>
      <c r="C1726" s="9">
        <v>48341.0</v>
      </c>
      <c r="D1726" s="9">
        <v>0.0</v>
      </c>
      <c r="E1726" s="9">
        <v>561.0</v>
      </c>
      <c r="F1726" s="7" t="s">
        <v>1656</v>
      </c>
      <c r="G1726" s="7" t="s">
        <v>364</v>
      </c>
      <c r="H1726" s="7" t="s">
        <v>365</v>
      </c>
      <c r="I1726" s="7" t="s">
        <v>355</v>
      </c>
      <c r="J1726" s="14"/>
      <c r="K1726" s="14"/>
      <c r="O1726" s="22"/>
      <c r="P1726" s="22"/>
      <c r="Q1726" s="23"/>
      <c r="R1726" s="23"/>
      <c r="S1726" s="14"/>
    </row>
    <row r="1727" ht="18.75" customHeight="1">
      <c r="A1727" s="7" t="s">
        <v>1607</v>
      </c>
      <c r="B1727" s="7" t="s">
        <v>3875</v>
      </c>
      <c r="C1727" s="9">
        <v>375358.0</v>
      </c>
      <c r="D1727" s="9">
        <v>15013.0</v>
      </c>
      <c r="E1727" s="9">
        <v>338.0</v>
      </c>
      <c r="F1727" s="7" t="s">
        <v>1608</v>
      </c>
      <c r="G1727" s="7" t="s">
        <v>416</v>
      </c>
      <c r="H1727" s="7" t="s">
        <v>417</v>
      </c>
      <c r="I1727" s="7" t="s">
        <v>355</v>
      </c>
      <c r="J1727" s="14"/>
      <c r="K1727" s="14"/>
      <c r="O1727" s="22"/>
      <c r="P1727" s="22"/>
      <c r="Q1727" s="23"/>
      <c r="R1727" s="23"/>
      <c r="S1727" s="14"/>
    </row>
    <row r="1728" ht="18.75" customHeight="1">
      <c r="A1728" s="7" t="s">
        <v>1729</v>
      </c>
      <c r="B1728" s="7" t="s">
        <v>3875</v>
      </c>
      <c r="C1728" s="9">
        <v>233300.0</v>
      </c>
      <c r="D1728" s="9">
        <v>0.0</v>
      </c>
      <c r="E1728" s="9">
        <v>8767.0</v>
      </c>
      <c r="F1728" s="7" t="s">
        <v>1730</v>
      </c>
      <c r="G1728" s="7" t="s">
        <v>404</v>
      </c>
      <c r="H1728" s="7" t="s">
        <v>405</v>
      </c>
      <c r="I1728" s="7" t="s">
        <v>355</v>
      </c>
      <c r="J1728" s="14"/>
      <c r="K1728" s="14"/>
      <c r="O1728" s="22"/>
      <c r="P1728" s="22"/>
      <c r="Q1728" s="23"/>
      <c r="R1728" s="23"/>
      <c r="S1728" s="14"/>
    </row>
    <row r="1729" ht="18.75" customHeight="1">
      <c r="A1729" s="7" t="s">
        <v>1703</v>
      </c>
      <c r="B1729" s="7" t="s">
        <v>3875</v>
      </c>
      <c r="C1729" s="9">
        <v>26425.0</v>
      </c>
      <c r="D1729" s="9">
        <v>0.0</v>
      </c>
      <c r="E1729" s="9">
        <v>176.0</v>
      </c>
      <c r="F1729" s="7" t="s">
        <v>1704</v>
      </c>
      <c r="G1729" s="7" t="s">
        <v>416</v>
      </c>
      <c r="H1729" s="7" t="s">
        <v>725</v>
      </c>
      <c r="I1729" s="7" t="s">
        <v>355</v>
      </c>
      <c r="J1729" s="14"/>
      <c r="K1729" s="14"/>
      <c r="O1729" s="22"/>
      <c r="P1729" s="22"/>
      <c r="Q1729" s="23"/>
      <c r="R1729" s="23"/>
      <c r="S1729" s="14"/>
    </row>
    <row r="1730" ht="18.75" customHeight="1">
      <c r="A1730" s="7" t="s">
        <v>1505</v>
      </c>
      <c r="B1730" s="7" t="s">
        <v>3875</v>
      </c>
      <c r="C1730" s="9">
        <v>4810348.0</v>
      </c>
      <c r="D1730" s="9">
        <v>126713.0</v>
      </c>
      <c r="E1730" s="9">
        <v>7177.0</v>
      </c>
      <c r="F1730" s="7" t="s">
        <v>1506</v>
      </c>
      <c r="G1730" s="7" t="s">
        <v>404</v>
      </c>
      <c r="H1730" s="7" t="s">
        <v>405</v>
      </c>
      <c r="I1730" s="7" t="s">
        <v>410</v>
      </c>
      <c r="J1730" s="14"/>
      <c r="K1730" s="14"/>
      <c r="O1730" s="22"/>
      <c r="P1730" s="22"/>
      <c r="Q1730" s="23"/>
      <c r="R1730" s="23"/>
      <c r="S1730" s="14"/>
    </row>
    <row r="1731" ht="18.75" customHeight="1">
      <c r="A1731" s="7" t="s">
        <v>1705</v>
      </c>
      <c r="B1731" s="7" t="s">
        <v>3875</v>
      </c>
      <c r="C1731" s="9">
        <v>1071391.0</v>
      </c>
      <c r="D1731" s="9">
        <v>68827.0</v>
      </c>
      <c r="E1731" s="9">
        <v>1316.0</v>
      </c>
      <c r="F1731" s="7" t="s">
        <v>1706</v>
      </c>
      <c r="G1731" s="7" t="s">
        <v>364</v>
      </c>
      <c r="H1731" s="7" t="s">
        <v>365</v>
      </c>
      <c r="I1731" s="7" t="s">
        <v>355</v>
      </c>
      <c r="J1731" s="14"/>
      <c r="K1731" s="14"/>
      <c r="O1731" s="22"/>
      <c r="P1731" s="22"/>
      <c r="Q1731" s="23"/>
      <c r="R1731" s="23"/>
      <c r="S1731" s="14"/>
    </row>
    <row r="1732" ht="18.75" customHeight="1">
      <c r="A1732" s="7" t="s">
        <v>1567</v>
      </c>
      <c r="B1732" s="7" t="s">
        <v>3875</v>
      </c>
      <c r="C1732" s="9">
        <v>3257862.0</v>
      </c>
      <c r="D1732" s="9">
        <v>485532.0</v>
      </c>
      <c r="E1732" s="9">
        <v>7031.0</v>
      </c>
      <c r="F1732" s="7" t="s">
        <v>1568</v>
      </c>
      <c r="G1732" s="7" t="s">
        <v>358</v>
      </c>
      <c r="H1732" s="7" t="s">
        <v>466</v>
      </c>
      <c r="I1732" s="7" t="s">
        <v>355</v>
      </c>
      <c r="J1732" s="14"/>
      <c r="K1732" s="14"/>
      <c r="O1732" s="22"/>
      <c r="P1732" s="22"/>
      <c r="Q1732" s="23"/>
      <c r="R1732" s="23"/>
      <c r="S1732" s="14"/>
    </row>
    <row r="1733" ht="18.75" customHeight="1">
      <c r="A1733" s="7" t="s">
        <v>1753</v>
      </c>
      <c r="B1733" s="7" t="s">
        <v>3875</v>
      </c>
      <c r="C1733" s="9">
        <v>58012.0</v>
      </c>
      <c r="D1733" s="9">
        <v>0.0</v>
      </c>
      <c r="E1733" s="9">
        <v>2361.0</v>
      </c>
      <c r="F1733" s="7" t="s">
        <v>1754</v>
      </c>
      <c r="G1733" s="7" t="s">
        <v>416</v>
      </c>
      <c r="H1733" s="7" t="s">
        <v>417</v>
      </c>
      <c r="I1733" s="7" t="s">
        <v>355</v>
      </c>
      <c r="J1733" s="14"/>
      <c r="K1733" s="14"/>
      <c r="O1733" s="22"/>
      <c r="P1733" s="22"/>
      <c r="Q1733" s="23"/>
      <c r="R1733" s="23"/>
      <c r="S1733" s="14"/>
    </row>
    <row r="1734" ht="18.75" customHeight="1">
      <c r="A1734" s="7" t="s">
        <v>1759</v>
      </c>
      <c r="B1734" s="7" t="s">
        <v>3875</v>
      </c>
      <c r="C1734" s="9">
        <v>607791.0</v>
      </c>
      <c r="D1734" s="9">
        <v>0.0</v>
      </c>
      <c r="E1734" s="9">
        <v>554.0</v>
      </c>
      <c r="F1734" s="7" t="s">
        <v>1760</v>
      </c>
      <c r="G1734" s="7" t="s">
        <v>416</v>
      </c>
      <c r="H1734" s="7" t="s">
        <v>594</v>
      </c>
      <c r="I1734" s="7" t="s">
        <v>355</v>
      </c>
      <c r="J1734" s="14"/>
      <c r="K1734" s="14"/>
      <c r="O1734" s="22"/>
      <c r="P1734" s="22"/>
      <c r="Q1734" s="23"/>
      <c r="R1734" s="23"/>
      <c r="S1734" s="14"/>
    </row>
    <row r="1735" ht="18.75" customHeight="1">
      <c r="A1735" s="7" t="s">
        <v>1761</v>
      </c>
      <c r="B1735" s="7" t="s">
        <v>3875</v>
      </c>
      <c r="C1735" s="9">
        <v>172132.0</v>
      </c>
      <c r="D1735" s="9">
        <v>0.0</v>
      </c>
      <c r="E1735" s="9">
        <v>636.0</v>
      </c>
      <c r="F1735" s="7" t="s">
        <v>1762</v>
      </c>
      <c r="G1735" s="7" t="s">
        <v>416</v>
      </c>
      <c r="H1735" s="7" t="s">
        <v>413</v>
      </c>
      <c r="I1735" s="7" t="s">
        <v>355</v>
      </c>
      <c r="J1735" s="14"/>
      <c r="K1735" s="14"/>
      <c r="O1735" s="22"/>
      <c r="P1735" s="22"/>
      <c r="Q1735" s="23"/>
      <c r="R1735" s="23"/>
      <c r="S1735" s="14"/>
    </row>
    <row r="1736" ht="18.75" customHeight="1">
      <c r="A1736" s="7" t="s">
        <v>1083</v>
      </c>
      <c r="B1736" s="7" t="s">
        <v>3875</v>
      </c>
      <c r="C1736" s="9">
        <v>658483.0</v>
      </c>
      <c r="D1736" s="9">
        <v>0.0</v>
      </c>
      <c r="E1736" s="9">
        <v>1522.0</v>
      </c>
      <c r="F1736" s="7" t="s">
        <v>1084</v>
      </c>
      <c r="G1736" s="7" t="s">
        <v>404</v>
      </c>
      <c r="H1736" s="7" t="s">
        <v>405</v>
      </c>
      <c r="I1736" s="7" t="s">
        <v>355</v>
      </c>
      <c r="J1736" s="14"/>
      <c r="K1736" s="14"/>
      <c r="O1736" s="22"/>
      <c r="P1736" s="22"/>
      <c r="Q1736" s="23"/>
      <c r="R1736" s="23"/>
      <c r="S1736" s="14"/>
    </row>
    <row r="1737" ht="18.75" customHeight="1">
      <c r="A1737" s="7" t="s">
        <v>1605</v>
      </c>
      <c r="B1737" s="7" t="s">
        <v>3875</v>
      </c>
      <c r="C1737" s="9">
        <v>60071.0</v>
      </c>
      <c r="D1737" s="9">
        <v>14556.0</v>
      </c>
      <c r="E1737" s="9">
        <v>152.0</v>
      </c>
      <c r="F1737" s="7" t="s">
        <v>1606</v>
      </c>
      <c r="G1737" s="7" t="s">
        <v>416</v>
      </c>
      <c r="H1737" s="7" t="s">
        <v>417</v>
      </c>
      <c r="I1737" s="7" t="s">
        <v>355</v>
      </c>
      <c r="J1737" s="14"/>
      <c r="K1737" s="14"/>
      <c r="O1737" s="22"/>
      <c r="P1737" s="22"/>
      <c r="Q1737" s="23"/>
      <c r="R1737" s="23"/>
      <c r="S1737" s="14"/>
    </row>
    <row r="1738" ht="18.75" customHeight="1">
      <c r="A1738" s="7" t="s">
        <v>1429</v>
      </c>
      <c r="B1738" s="7" t="s">
        <v>3875</v>
      </c>
      <c r="C1738" s="9">
        <v>23904.0</v>
      </c>
      <c r="D1738" s="9">
        <v>11267.0</v>
      </c>
      <c r="E1738" s="9">
        <v>720.0</v>
      </c>
      <c r="F1738" s="7" t="s">
        <v>1430</v>
      </c>
      <c r="G1738" s="7" t="s">
        <v>416</v>
      </c>
      <c r="H1738" s="7" t="s">
        <v>430</v>
      </c>
      <c r="I1738" s="7" t="s">
        <v>2120</v>
      </c>
      <c r="J1738" s="14"/>
      <c r="K1738" s="14"/>
      <c r="O1738" s="22"/>
      <c r="P1738" s="22"/>
      <c r="Q1738" s="23"/>
      <c r="R1738" s="23"/>
      <c r="S1738" s="14"/>
    </row>
    <row r="1739" ht="18.75" customHeight="1">
      <c r="A1739" s="7" t="s">
        <v>1755</v>
      </c>
      <c r="B1739" s="7" t="s">
        <v>3875</v>
      </c>
      <c r="C1739" s="9">
        <v>134009.0</v>
      </c>
      <c r="D1739" s="9">
        <v>0.0</v>
      </c>
      <c r="E1739" s="9">
        <v>606.0</v>
      </c>
      <c r="F1739" s="7" t="s">
        <v>1756</v>
      </c>
      <c r="G1739" s="7" t="s">
        <v>416</v>
      </c>
      <c r="H1739" s="7" t="s">
        <v>359</v>
      </c>
      <c r="I1739" s="7" t="s">
        <v>355</v>
      </c>
      <c r="J1739" s="14"/>
      <c r="K1739" s="14"/>
      <c r="O1739" s="22"/>
      <c r="P1739" s="22"/>
      <c r="Q1739" s="23"/>
      <c r="R1739" s="23"/>
      <c r="S1739" s="14"/>
    </row>
    <row r="1740" ht="18.75" customHeight="1">
      <c r="A1740" s="7" t="s">
        <v>1431</v>
      </c>
      <c r="B1740" s="7" t="s">
        <v>3875</v>
      </c>
      <c r="C1740" s="9">
        <v>177103.0</v>
      </c>
      <c r="D1740" s="9">
        <v>70302.0</v>
      </c>
      <c r="E1740" s="9">
        <v>6477.0</v>
      </c>
      <c r="F1740" s="7" t="s">
        <v>1432</v>
      </c>
      <c r="G1740" s="7" t="s">
        <v>416</v>
      </c>
      <c r="H1740" s="7" t="s">
        <v>430</v>
      </c>
      <c r="I1740" s="7" t="s">
        <v>2120</v>
      </c>
      <c r="J1740" s="14"/>
      <c r="K1740" s="14"/>
      <c r="O1740" s="22"/>
      <c r="P1740" s="22"/>
      <c r="Q1740" s="23"/>
      <c r="R1740" s="23"/>
      <c r="S1740" s="14"/>
    </row>
    <row r="1741" ht="18.75" customHeight="1">
      <c r="A1741" s="7" t="s">
        <v>1511</v>
      </c>
      <c r="B1741" s="7" t="s">
        <v>3875</v>
      </c>
      <c r="C1741" s="9">
        <v>317686.0</v>
      </c>
      <c r="D1741" s="9">
        <v>0.0</v>
      </c>
      <c r="E1741" s="9">
        <v>540.0</v>
      </c>
      <c r="F1741" s="7" t="s">
        <v>1512</v>
      </c>
      <c r="G1741" s="7" t="s">
        <v>353</v>
      </c>
      <c r="H1741" s="7" t="s">
        <v>354</v>
      </c>
      <c r="I1741" s="7" t="s">
        <v>355</v>
      </c>
      <c r="J1741" s="14"/>
      <c r="K1741" s="14"/>
      <c r="O1741" s="22"/>
      <c r="P1741" s="22"/>
      <c r="Q1741" s="23"/>
      <c r="R1741" s="23"/>
      <c r="S1741" s="14"/>
    </row>
    <row r="1742" ht="18.75" customHeight="1">
      <c r="A1742" s="7" t="s">
        <v>1711</v>
      </c>
      <c r="B1742" s="7" t="s">
        <v>3875</v>
      </c>
      <c r="C1742" s="9">
        <v>178059.0</v>
      </c>
      <c r="D1742" s="9">
        <v>0.0</v>
      </c>
      <c r="E1742" s="9">
        <v>9337.0</v>
      </c>
      <c r="F1742" s="7" t="s">
        <v>1712</v>
      </c>
      <c r="G1742" s="7" t="s">
        <v>404</v>
      </c>
      <c r="H1742" s="7" t="s">
        <v>667</v>
      </c>
      <c r="I1742" s="7" t="s">
        <v>355</v>
      </c>
      <c r="J1742" s="14"/>
      <c r="K1742" s="14"/>
      <c r="O1742" s="22"/>
      <c r="P1742" s="22"/>
      <c r="Q1742" s="23"/>
      <c r="R1742" s="23"/>
      <c r="S1742" s="14"/>
    </row>
    <row r="1743" ht="18.75" customHeight="1">
      <c r="A1743" s="7" t="s">
        <v>1763</v>
      </c>
      <c r="B1743" s="7" t="s">
        <v>3875</v>
      </c>
      <c r="C1743" s="9">
        <v>959467.0</v>
      </c>
      <c r="D1743" s="9">
        <v>12554.0</v>
      </c>
      <c r="E1743" s="9">
        <v>1805.0</v>
      </c>
      <c r="F1743" s="7" t="s">
        <v>1764</v>
      </c>
      <c r="G1743" s="7" t="s">
        <v>358</v>
      </c>
      <c r="H1743" s="7" t="s">
        <v>466</v>
      </c>
      <c r="I1743" s="7" t="s">
        <v>355</v>
      </c>
      <c r="J1743" s="14"/>
      <c r="K1743" s="14"/>
      <c r="O1743" s="22"/>
      <c r="P1743" s="22"/>
      <c r="Q1743" s="23"/>
      <c r="R1743" s="23"/>
      <c r="S1743" s="14"/>
    </row>
    <row r="1744" ht="18.75" customHeight="1">
      <c r="A1744" s="7" t="s">
        <v>1763</v>
      </c>
      <c r="B1744" s="7" t="s">
        <v>3875</v>
      </c>
      <c r="C1744" s="9">
        <v>1273529.0</v>
      </c>
      <c r="D1744" s="9">
        <v>21912.0</v>
      </c>
      <c r="E1744" s="9">
        <v>3608.0</v>
      </c>
      <c r="F1744" s="7" t="s">
        <v>1764</v>
      </c>
      <c r="G1744" s="7" t="s">
        <v>358</v>
      </c>
      <c r="H1744" s="7" t="s">
        <v>466</v>
      </c>
      <c r="I1744" s="7" t="s">
        <v>355</v>
      </c>
      <c r="J1744" s="14"/>
      <c r="K1744" s="14"/>
      <c r="O1744" s="22"/>
      <c r="P1744" s="22"/>
      <c r="Q1744" s="23"/>
      <c r="R1744" s="23"/>
      <c r="S1744" s="14"/>
    </row>
    <row r="1745" ht="18.75" customHeight="1">
      <c r="A1745" s="7" t="s">
        <v>1745</v>
      </c>
      <c r="B1745" s="7" t="s">
        <v>3875</v>
      </c>
      <c r="C1745" s="9">
        <v>608285.0</v>
      </c>
      <c r="D1745" s="9">
        <v>0.0</v>
      </c>
      <c r="E1745" s="9">
        <v>1250.0</v>
      </c>
      <c r="F1745" s="7" t="s">
        <v>1746</v>
      </c>
      <c r="G1745" s="7" t="s">
        <v>364</v>
      </c>
      <c r="H1745" s="7" t="s">
        <v>365</v>
      </c>
      <c r="I1745" s="7" t="s">
        <v>355</v>
      </c>
      <c r="J1745" s="14"/>
      <c r="K1745" s="14"/>
      <c r="O1745" s="22"/>
      <c r="P1745" s="22"/>
      <c r="Q1745" s="23"/>
      <c r="R1745" s="23"/>
      <c r="S1745" s="14"/>
    </row>
    <row r="1746" ht="18.75" customHeight="1">
      <c r="A1746" s="7" t="s">
        <v>1321</v>
      </c>
      <c r="B1746" s="7" t="s">
        <v>3875</v>
      </c>
      <c r="C1746" s="9">
        <v>270832.0</v>
      </c>
      <c r="D1746" s="9">
        <v>0.0</v>
      </c>
      <c r="E1746" s="9">
        <v>516.0</v>
      </c>
      <c r="F1746" s="7" t="s">
        <v>1322</v>
      </c>
      <c r="G1746" s="7" t="s">
        <v>416</v>
      </c>
      <c r="H1746" s="7" t="s">
        <v>417</v>
      </c>
      <c r="I1746" s="7" t="s">
        <v>2117</v>
      </c>
      <c r="J1746" s="14"/>
      <c r="K1746" s="14"/>
      <c r="O1746" s="22"/>
      <c r="P1746" s="22"/>
      <c r="Q1746" s="23"/>
      <c r="R1746" s="23"/>
      <c r="S1746" s="14"/>
    </row>
    <row r="1747" ht="18.75" customHeight="1">
      <c r="A1747" s="7" t="s">
        <v>1731</v>
      </c>
      <c r="B1747" s="7" t="s">
        <v>3875</v>
      </c>
      <c r="C1747" s="9">
        <v>181888.0</v>
      </c>
      <c r="D1747" s="9">
        <v>0.0</v>
      </c>
      <c r="E1747" s="9">
        <v>2842.0</v>
      </c>
      <c r="F1747" s="7" t="s">
        <v>1732</v>
      </c>
      <c r="G1747" s="7" t="s">
        <v>416</v>
      </c>
      <c r="H1747" s="7" t="s">
        <v>417</v>
      </c>
      <c r="I1747" s="7" t="s">
        <v>355</v>
      </c>
      <c r="J1747" s="14"/>
      <c r="K1747" s="14"/>
      <c r="O1747" s="22"/>
      <c r="P1747" s="22"/>
      <c r="Q1747" s="23"/>
      <c r="R1747" s="23"/>
      <c r="S1747" s="14"/>
    </row>
    <row r="1748" ht="18.75" customHeight="1">
      <c r="A1748" s="7" t="s">
        <v>1731</v>
      </c>
      <c r="B1748" s="7" t="s">
        <v>3875</v>
      </c>
      <c r="C1748" s="9">
        <v>106250.0</v>
      </c>
      <c r="D1748" s="9">
        <v>0.0</v>
      </c>
      <c r="E1748" s="9">
        <v>3525.0</v>
      </c>
      <c r="F1748" s="7" t="s">
        <v>1732</v>
      </c>
      <c r="G1748" s="7" t="s">
        <v>416</v>
      </c>
      <c r="H1748" s="7" t="s">
        <v>417</v>
      </c>
      <c r="I1748" s="7" t="s">
        <v>355</v>
      </c>
      <c r="J1748" s="14"/>
      <c r="K1748" s="14"/>
      <c r="O1748" s="22"/>
      <c r="P1748" s="22"/>
      <c r="Q1748" s="23"/>
      <c r="R1748" s="23"/>
      <c r="S1748" s="14"/>
    </row>
    <row r="1749" ht="18.75" customHeight="1">
      <c r="A1749" s="7" t="s">
        <v>1779</v>
      </c>
      <c r="B1749" s="7" t="s">
        <v>3875</v>
      </c>
      <c r="C1749" s="9">
        <v>586569.0</v>
      </c>
      <c r="D1749" s="9">
        <v>13720.0</v>
      </c>
      <c r="E1749" s="9">
        <v>0.0</v>
      </c>
      <c r="F1749" s="7" t="s">
        <v>1780</v>
      </c>
      <c r="G1749" s="7" t="s">
        <v>353</v>
      </c>
      <c r="H1749" s="7" t="s">
        <v>808</v>
      </c>
      <c r="I1749" s="7" t="s">
        <v>355</v>
      </c>
      <c r="J1749" s="14"/>
      <c r="K1749" s="14"/>
      <c r="O1749" s="22"/>
      <c r="P1749" s="22"/>
      <c r="Q1749" s="23"/>
      <c r="R1749" s="23"/>
      <c r="S1749" s="14"/>
    </row>
    <row r="1750" ht="18.75" customHeight="1">
      <c r="A1750" s="7" t="s">
        <v>1769</v>
      </c>
      <c r="B1750" s="7" t="s">
        <v>3875</v>
      </c>
      <c r="C1750" s="9">
        <v>172852.0</v>
      </c>
      <c r="D1750" s="9">
        <v>0.0</v>
      </c>
      <c r="E1750" s="9">
        <v>678.0</v>
      </c>
      <c r="F1750" s="7" t="s">
        <v>1770</v>
      </c>
      <c r="G1750" s="7" t="s">
        <v>416</v>
      </c>
      <c r="H1750" s="7" t="s">
        <v>466</v>
      </c>
      <c r="I1750" s="7" t="s">
        <v>355</v>
      </c>
      <c r="J1750" s="14"/>
      <c r="K1750" s="14"/>
      <c r="O1750" s="22"/>
      <c r="P1750" s="22"/>
      <c r="Q1750" s="23"/>
      <c r="R1750" s="23"/>
      <c r="S1750" s="14"/>
    </row>
    <row r="1751" ht="18.75" customHeight="1">
      <c r="A1751" s="7" t="s">
        <v>1741</v>
      </c>
      <c r="B1751" s="7" t="s">
        <v>3875</v>
      </c>
      <c r="C1751" s="9">
        <v>402629.0</v>
      </c>
      <c r="D1751" s="9">
        <v>0.0</v>
      </c>
      <c r="E1751" s="9">
        <v>422.0</v>
      </c>
      <c r="F1751" s="7" t="s">
        <v>1742</v>
      </c>
      <c r="G1751" s="7" t="s">
        <v>358</v>
      </c>
      <c r="H1751" s="7" t="s">
        <v>466</v>
      </c>
      <c r="I1751" s="7" t="s">
        <v>355</v>
      </c>
      <c r="J1751" s="14"/>
      <c r="K1751" s="14"/>
      <c r="O1751" s="22"/>
      <c r="P1751" s="22"/>
      <c r="Q1751" s="23"/>
      <c r="R1751" s="23"/>
      <c r="S1751" s="14"/>
    </row>
    <row r="1752" ht="18.75" customHeight="1">
      <c r="A1752" s="7" t="s">
        <v>1741</v>
      </c>
      <c r="B1752" s="7" t="s">
        <v>3875</v>
      </c>
      <c r="C1752" s="9">
        <v>562601.0</v>
      </c>
      <c r="D1752" s="9">
        <v>0.0</v>
      </c>
      <c r="E1752" s="9">
        <v>642.0</v>
      </c>
      <c r="F1752" s="7" t="s">
        <v>1742</v>
      </c>
      <c r="G1752" s="7" t="s">
        <v>358</v>
      </c>
      <c r="H1752" s="7" t="s">
        <v>466</v>
      </c>
      <c r="I1752" s="7" t="s">
        <v>355</v>
      </c>
      <c r="J1752" s="14"/>
      <c r="K1752" s="14"/>
      <c r="O1752" s="22"/>
      <c r="P1752" s="22"/>
      <c r="Q1752" s="23"/>
      <c r="R1752" s="23"/>
      <c r="S1752" s="14"/>
    </row>
    <row r="1753" ht="18.75" customHeight="1">
      <c r="A1753" s="7" t="s">
        <v>1773</v>
      </c>
      <c r="B1753" s="7" t="s">
        <v>3875</v>
      </c>
      <c r="C1753" s="9">
        <v>142584.0</v>
      </c>
      <c r="D1753" s="9">
        <v>0.0</v>
      </c>
      <c r="E1753" s="9">
        <v>522.0</v>
      </c>
      <c r="F1753" s="7" t="s">
        <v>1774</v>
      </c>
      <c r="G1753" s="7" t="s">
        <v>416</v>
      </c>
      <c r="H1753" s="7" t="s">
        <v>466</v>
      </c>
      <c r="I1753" s="7" t="s">
        <v>355</v>
      </c>
      <c r="J1753" s="14"/>
      <c r="K1753" s="14"/>
      <c r="O1753" s="22"/>
      <c r="P1753" s="22"/>
      <c r="Q1753" s="23"/>
      <c r="R1753" s="23"/>
      <c r="S1753" s="14"/>
    </row>
    <row r="1754" ht="18.75" customHeight="1">
      <c r="A1754" s="7" t="s">
        <v>1771</v>
      </c>
      <c r="B1754" s="7" t="s">
        <v>3875</v>
      </c>
      <c r="C1754" s="9">
        <v>602815.0</v>
      </c>
      <c r="D1754" s="9">
        <v>0.0</v>
      </c>
      <c r="E1754" s="9">
        <v>674.0</v>
      </c>
      <c r="F1754" s="7" t="s">
        <v>1772</v>
      </c>
      <c r="G1754" s="7" t="s">
        <v>416</v>
      </c>
      <c r="H1754" s="7" t="s">
        <v>466</v>
      </c>
      <c r="I1754" s="7" t="s">
        <v>355</v>
      </c>
      <c r="J1754" s="14"/>
      <c r="K1754" s="14"/>
      <c r="O1754" s="22"/>
      <c r="P1754" s="22"/>
      <c r="Q1754" s="23"/>
      <c r="R1754" s="23"/>
      <c r="S1754" s="14"/>
    </row>
    <row r="1755" ht="18.75" customHeight="1">
      <c r="A1755" s="7" t="s">
        <v>1757</v>
      </c>
      <c r="B1755" s="7" t="s">
        <v>3875</v>
      </c>
      <c r="C1755" s="9">
        <v>19405.0</v>
      </c>
      <c r="D1755" s="9">
        <v>4213.0</v>
      </c>
      <c r="E1755" s="9">
        <v>157.0</v>
      </c>
      <c r="F1755" s="7" t="s">
        <v>1758</v>
      </c>
      <c r="G1755" s="7" t="s">
        <v>416</v>
      </c>
      <c r="H1755" s="7" t="s">
        <v>417</v>
      </c>
      <c r="I1755" s="7" t="s">
        <v>355</v>
      </c>
      <c r="J1755" s="14"/>
      <c r="K1755" s="14"/>
      <c r="O1755" s="22"/>
      <c r="P1755" s="22"/>
      <c r="Q1755" s="23"/>
      <c r="R1755" s="23"/>
      <c r="S1755" s="14"/>
    </row>
    <row r="1756" ht="18.75" customHeight="1">
      <c r="A1756" s="7" t="s">
        <v>1375</v>
      </c>
      <c r="B1756" s="7" t="s">
        <v>3875</v>
      </c>
      <c r="C1756" s="9">
        <v>640923.0</v>
      </c>
      <c r="D1756" s="9">
        <v>0.0</v>
      </c>
      <c r="E1756" s="9">
        <v>900.0</v>
      </c>
      <c r="F1756" s="7" t="s">
        <v>1376</v>
      </c>
      <c r="G1756" s="7" t="s">
        <v>353</v>
      </c>
      <c r="H1756" s="7" t="s">
        <v>378</v>
      </c>
      <c r="I1756" s="7" t="s">
        <v>355</v>
      </c>
      <c r="J1756" s="14"/>
      <c r="K1756" s="14"/>
      <c r="O1756" s="22"/>
      <c r="P1756" s="22"/>
      <c r="Q1756" s="23"/>
      <c r="R1756" s="23"/>
      <c r="S1756" s="14"/>
    </row>
    <row r="1757" ht="18.75" customHeight="1">
      <c r="A1757" s="7" t="s">
        <v>1375</v>
      </c>
      <c r="B1757" s="7" t="s">
        <v>3875</v>
      </c>
      <c r="C1757" s="9">
        <v>314118.0</v>
      </c>
      <c r="D1757" s="9">
        <v>0.0</v>
      </c>
      <c r="E1757" s="9">
        <v>456.0</v>
      </c>
      <c r="F1757" s="7" t="s">
        <v>1376</v>
      </c>
      <c r="G1757" s="7" t="s">
        <v>353</v>
      </c>
      <c r="H1757" s="7" t="s">
        <v>378</v>
      </c>
      <c r="I1757" s="7" t="s">
        <v>355</v>
      </c>
      <c r="J1757" s="14"/>
      <c r="K1757" s="14"/>
      <c r="O1757" s="22"/>
      <c r="P1757" s="22"/>
      <c r="Q1757" s="23"/>
      <c r="R1757" s="23"/>
      <c r="S1757" s="14"/>
    </row>
    <row r="1758" ht="18.75" customHeight="1">
      <c r="A1758" s="7" t="s">
        <v>1497</v>
      </c>
      <c r="B1758" s="7" t="s">
        <v>3875</v>
      </c>
      <c r="C1758" s="9">
        <v>771658.0</v>
      </c>
      <c r="D1758" s="9">
        <v>6851.0</v>
      </c>
      <c r="E1758" s="9">
        <v>1685.0</v>
      </c>
      <c r="F1758" s="7" t="s">
        <v>1498</v>
      </c>
      <c r="G1758" s="7" t="s">
        <v>404</v>
      </c>
      <c r="H1758" s="7" t="s">
        <v>405</v>
      </c>
      <c r="I1758" s="7" t="s">
        <v>410</v>
      </c>
      <c r="J1758" s="14"/>
      <c r="K1758" s="14"/>
      <c r="O1758" s="22"/>
      <c r="P1758" s="22"/>
      <c r="Q1758" s="23"/>
      <c r="R1758" s="23"/>
      <c r="S1758" s="14"/>
    </row>
    <row r="1759" ht="18.75" customHeight="1">
      <c r="A1759" s="7" t="s">
        <v>1661</v>
      </c>
      <c r="B1759" s="7" t="s">
        <v>3875</v>
      </c>
      <c r="C1759" s="9">
        <v>74904.0</v>
      </c>
      <c r="D1759" s="9">
        <v>14752.0</v>
      </c>
      <c r="E1759" s="9">
        <v>35.0</v>
      </c>
      <c r="F1759" s="7" t="s">
        <v>1662</v>
      </c>
      <c r="G1759" s="7" t="s">
        <v>416</v>
      </c>
      <c r="H1759" s="7" t="s">
        <v>417</v>
      </c>
      <c r="I1759" s="7" t="s">
        <v>355</v>
      </c>
      <c r="J1759" s="14"/>
      <c r="K1759" s="14"/>
      <c r="O1759" s="22"/>
      <c r="P1759" s="22"/>
      <c r="Q1759" s="23"/>
      <c r="R1759" s="23"/>
      <c r="S1759" s="14"/>
    </row>
    <row r="1760" ht="18.75" customHeight="1">
      <c r="A1760" s="7" t="s">
        <v>1785</v>
      </c>
      <c r="B1760" s="7" t="s">
        <v>3875</v>
      </c>
      <c r="C1760" s="9">
        <v>353426.0</v>
      </c>
      <c r="D1760" s="9">
        <v>0.0</v>
      </c>
      <c r="E1760" s="9">
        <v>384.0</v>
      </c>
      <c r="F1760" s="7" t="s">
        <v>1786</v>
      </c>
      <c r="G1760" s="7" t="s">
        <v>416</v>
      </c>
      <c r="H1760" s="7" t="s">
        <v>667</v>
      </c>
      <c r="I1760" s="7" t="s">
        <v>355</v>
      </c>
      <c r="J1760" s="14"/>
      <c r="K1760" s="14"/>
      <c r="O1760" s="22"/>
      <c r="P1760" s="22"/>
      <c r="Q1760" s="23"/>
      <c r="R1760" s="23"/>
      <c r="S1760" s="14"/>
    </row>
    <row r="1761" ht="18.75" customHeight="1">
      <c r="A1761" s="7" t="s">
        <v>1676</v>
      </c>
      <c r="B1761" s="7" t="s">
        <v>3875</v>
      </c>
      <c r="C1761" s="9">
        <v>585662.0</v>
      </c>
      <c r="D1761" s="9">
        <v>48915.0</v>
      </c>
      <c r="E1761" s="9">
        <v>616.0</v>
      </c>
      <c r="F1761" s="7" t="s">
        <v>1677</v>
      </c>
      <c r="G1761" s="7" t="s">
        <v>416</v>
      </c>
      <c r="H1761" s="7" t="s">
        <v>417</v>
      </c>
      <c r="I1761" s="7" t="s">
        <v>355</v>
      </c>
      <c r="J1761" s="14"/>
      <c r="K1761" s="14"/>
      <c r="O1761" s="22"/>
      <c r="P1761" s="22"/>
      <c r="Q1761" s="23"/>
      <c r="R1761" s="23"/>
      <c r="S1761" s="14"/>
    </row>
    <row r="1762" ht="18.75" customHeight="1">
      <c r="A1762" s="7" t="s">
        <v>3900</v>
      </c>
      <c r="B1762" s="7" t="s">
        <v>3875</v>
      </c>
      <c r="C1762" s="9">
        <v>95673.0</v>
      </c>
      <c r="D1762" s="9">
        <v>0.0</v>
      </c>
      <c r="E1762" s="9">
        <v>491.0</v>
      </c>
      <c r="F1762" s="7" t="s">
        <v>3901</v>
      </c>
      <c r="G1762" s="7" t="s">
        <v>416</v>
      </c>
      <c r="H1762" s="7" t="s">
        <v>417</v>
      </c>
      <c r="I1762" s="7" t="s">
        <v>3886</v>
      </c>
      <c r="J1762" s="14"/>
      <c r="K1762" s="14"/>
      <c r="O1762" s="22"/>
      <c r="P1762" s="22"/>
      <c r="Q1762" s="23"/>
      <c r="R1762" s="23"/>
      <c r="S1762" s="14"/>
    </row>
    <row r="1763" ht="18.75" customHeight="1">
      <c r="A1763" s="7" t="s">
        <v>1787</v>
      </c>
      <c r="B1763" s="7" t="s">
        <v>3875</v>
      </c>
      <c r="C1763" s="9">
        <v>54813.0</v>
      </c>
      <c r="D1763" s="9">
        <v>0.0</v>
      </c>
      <c r="E1763" s="9">
        <v>378.0</v>
      </c>
      <c r="F1763" s="7" t="s">
        <v>1788</v>
      </c>
      <c r="G1763" s="7" t="s">
        <v>416</v>
      </c>
      <c r="H1763" s="7" t="s">
        <v>725</v>
      </c>
      <c r="I1763" s="7" t="s">
        <v>355</v>
      </c>
      <c r="J1763" s="14"/>
      <c r="K1763" s="14"/>
      <c r="O1763" s="22"/>
      <c r="P1763" s="22"/>
      <c r="Q1763" s="23"/>
      <c r="R1763" s="23"/>
      <c r="S1763" s="14"/>
    </row>
    <row r="1764" ht="18.75" customHeight="1">
      <c r="A1764" s="7" t="s">
        <v>1805</v>
      </c>
      <c r="B1764" s="7" t="s">
        <v>3875</v>
      </c>
      <c r="C1764" s="9">
        <v>702218.0</v>
      </c>
      <c r="D1764" s="9">
        <v>63650.0</v>
      </c>
      <c r="E1764" s="9">
        <v>957.0</v>
      </c>
      <c r="F1764" s="7" t="s">
        <v>1806</v>
      </c>
      <c r="G1764" s="7" t="s">
        <v>358</v>
      </c>
      <c r="H1764" s="7" t="s">
        <v>466</v>
      </c>
      <c r="I1764" s="7" t="s">
        <v>355</v>
      </c>
      <c r="J1764" s="14"/>
      <c r="K1764" s="14"/>
      <c r="O1764" s="22"/>
      <c r="P1764" s="22"/>
      <c r="Q1764" s="23"/>
      <c r="R1764" s="23"/>
      <c r="S1764" s="14"/>
    </row>
    <row r="1765" ht="18.75" customHeight="1">
      <c r="A1765" s="7" t="s">
        <v>529</v>
      </c>
      <c r="B1765" s="7" t="s">
        <v>3875</v>
      </c>
      <c r="C1765" s="9">
        <v>43545.0</v>
      </c>
      <c r="D1765" s="9">
        <v>0.0</v>
      </c>
      <c r="E1765" s="9">
        <v>225.0</v>
      </c>
      <c r="F1765" s="7" t="s">
        <v>530</v>
      </c>
      <c r="G1765" s="7" t="s">
        <v>358</v>
      </c>
      <c r="H1765" s="7" t="s">
        <v>387</v>
      </c>
      <c r="I1765" s="7" t="s">
        <v>355</v>
      </c>
      <c r="J1765" s="14"/>
      <c r="K1765" s="14"/>
      <c r="O1765" s="22"/>
      <c r="P1765" s="22"/>
      <c r="Q1765" s="23"/>
      <c r="R1765" s="23"/>
      <c r="S1765" s="14"/>
    </row>
    <row r="1766" ht="18.75" customHeight="1">
      <c r="A1766" s="7" t="s">
        <v>529</v>
      </c>
      <c r="B1766" s="7" t="s">
        <v>3875</v>
      </c>
      <c r="C1766" s="9">
        <v>65771.0</v>
      </c>
      <c r="D1766" s="9">
        <v>0.0</v>
      </c>
      <c r="E1766" s="9">
        <v>255.0</v>
      </c>
      <c r="F1766" s="7" t="s">
        <v>530</v>
      </c>
      <c r="G1766" s="7" t="s">
        <v>358</v>
      </c>
      <c r="H1766" s="7" t="s">
        <v>387</v>
      </c>
      <c r="I1766" s="7" t="s">
        <v>355</v>
      </c>
      <c r="J1766" s="14"/>
      <c r="K1766" s="14"/>
      <c r="O1766" s="22"/>
      <c r="P1766" s="22"/>
      <c r="Q1766" s="23"/>
      <c r="R1766" s="23"/>
      <c r="S1766" s="14"/>
    </row>
    <row r="1767" ht="18.75" customHeight="1">
      <c r="A1767" s="7" t="s">
        <v>529</v>
      </c>
      <c r="B1767" s="7" t="s">
        <v>3875</v>
      </c>
      <c r="C1767" s="9">
        <v>44091.0</v>
      </c>
      <c r="D1767" s="9">
        <v>0.0</v>
      </c>
      <c r="E1767" s="9">
        <v>242.0</v>
      </c>
      <c r="F1767" s="7" t="s">
        <v>530</v>
      </c>
      <c r="G1767" s="7" t="s">
        <v>358</v>
      </c>
      <c r="H1767" s="7" t="s">
        <v>387</v>
      </c>
      <c r="I1767" s="7" t="s">
        <v>355</v>
      </c>
      <c r="J1767" s="14"/>
      <c r="K1767" s="14"/>
      <c r="O1767" s="22"/>
      <c r="P1767" s="22"/>
      <c r="Q1767" s="23"/>
      <c r="R1767" s="23"/>
      <c r="S1767" s="14"/>
    </row>
    <row r="1768" ht="18.75" customHeight="1">
      <c r="A1768" s="7" t="s">
        <v>1555</v>
      </c>
      <c r="B1768" s="7" t="s">
        <v>3875</v>
      </c>
      <c r="C1768" s="9">
        <v>785581.0</v>
      </c>
      <c r="D1768" s="9">
        <v>52465.0</v>
      </c>
      <c r="E1768" s="9">
        <v>172.0</v>
      </c>
      <c r="F1768" s="7" t="s">
        <v>1556</v>
      </c>
      <c r="G1768" s="7" t="s">
        <v>404</v>
      </c>
      <c r="H1768" s="7" t="s">
        <v>760</v>
      </c>
      <c r="I1768" s="7" t="s">
        <v>355</v>
      </c>
      <c r="J1768" s="14"/>
      <c r="K1768" s="14"/>
      <c r="O1768" s="22"/>
      <c r="P1768" s="22"/>
      <c r="Q1768" s="23"/>
      <c r="R1768" s="23"/>
      <c r="S1768" s="14"/>
    </row>
    <row r="1769" ht="18.75" customHeight="1">
      <c r="A1769" s="7" t="s">
        <v>1678</v>
      </c>
      <c r="B1769" s="7" t="s">
        <v>3875</v>
      </c>
      <c r="C1769" s="9">
        <v>200735.0</v>
      </c>
      <c r="D1769" s="9">
        <v>32643.0</v>
      </c>
      <c r="E1769" s="9">
        <v>355.0</v>
      </c>
      <c r="F1769" s="7" t="s">
        <v>1679</v>
      </c>
      <c r="G1769" s="7" t="s">
        <v>416</v>
      </c>
      <c r="H1769" s="7" t="s">
        <v>417</v>
      </c>
      <c r="I1769" s="7" t="s">
        <v>355</v>
      </c>
      <c r="J1769" s="14"/>
      <c r="K1769" s="14"/>
      <c r="O1769" s="22"/>
      <c r="P1769" s="22"/>
      <c r="Q1769" s="23"/>
      <c r="R1769" s="23"/>
      <c r="S1769" s="14"/>
    </row>
    <row r="1770" ht="18.75" customHeight="1">
      <c r="A1770" s="7" t="s">
        <v>1813</v>
      </c>
      <c r="B1770" s="7" t="s">
        <v>3875</v>
      </c>
      <c r="C1770" s="9">
        <v>591792.0</v>
      </c>
      <c r="D1770" s="9">
        <v>43671.0</v>
      </c>
      <c r="E1770" s="9">
        <v>686.0</v>
      </c>
      <c r="F1770" s="7" t="s">
        <v>1814</v>
      </c>
      <c r="G1770" s="7" t="s">
        <v>358</v>
      </c>
      <c r="H1770" s="7" t="s">
        <v>466</v>
      </c>
      <c r="I1770" s="7" t="s">
        <v>355</v>
      </c>
      <c r="J1770" s="14"/>
      <c r="K1770" s="14"/>
      <c r="O1770" s="22"/>
      <c r="P1770" s="22"/>
      <c r="Q1770" s="23"/>
      <c r="R1770" s="23"/>
      <c r="S1770" s="14"/>
    </row>
    <row r="1771" ht="18.75" customHeight="1">
      <c r="A1771" s="7" t="s">
        <v>1813</v>
      </c>
      <c r="B1771" s="7" t="s">
        <v>3875</v>
      </c>
      <c r="C1771" s="9">
        <v>596311.0</v>
      </c>
      <c r="D1771" s="9">
        <v>54055.0</v>
      </c>
      <c r="E1771" s="9">
        <v>953.0</v>
      </c>
      <c r="F1771" s="7" t="s">
        <v>1814</v>
      </c>
      <c r="G1771" s="7" t="s">
        <v>358</v>
      </c>
      <c r="H1771" s="7" t="s">
        <v>466</v>
      </c>
      <c r="I1771" s="7" t="s">
        <v>355</v>
      </c>
      <c r="J1771" s="14"/>
      <c r="K1771" s="14"/>
      <c r="O1771" s="22"/>
      <c r="P1771" s="22"/>
      <c r="Q1771" s="23"/>
      <c r="R1771" s="23"/>
      <c r="S1771" s="14"/>
    </row>
    <row r="1772" ht="18.75" customHeight="1">
      <c r="A1772" s="7" t="s">
        <v>1743</v>
      </c>
      <c r="B1772" s="7" t="s">
        <v>3875</v>
      </c>
      <c r="C1772" s="9">
        <v>157729.0</v>
      </c>
      <c r="D1772" s="9">
        <v>0.0</v>
      </c>
      <c r="E1772" s="9">
        <v>8495.0</v>
      </c>
      <c r="F1772" s="7" t="s">
        <v>1744</v>
      </c>
      <c r="G1772" s="7" t="s">
        <v>353</v>
      </c>
      <c r="H1772" s="7" t="s">
        <v>354</v>
      </c>
      <c r="I1772" s="7" t="s">
        <v>355</v>
      </c>
      <c r="J1772" s="14"/>
      <c r="K1772" s="14"/>
      <c r="O1772" s="22"/>
      <c r="P1772" s="22"/>
      <c r="Q1772" s="23"/>
      <c r="R1772" s="23"/>
      <c r="S1772" s="14"/>
    </row>
    <row r="1773" ht="18.75" customHeight="1">
      <c r="A1773" s="7" t="s">
        <v>1743</v>
      </c>
      <c r="B1773" s="7" t="s">
        <v>3875</v>
      </c>
      <c r="C1773" s="9">
        <v>69457.0</v>
      </c>
      <c r="D1773" s="9">
        <v>0.0</v>
      </c>
      <c r="E1773" s="9">
        <v>1766.0</v>
      </c>
      <c r="F1773" s="7" t="s">
        <v>1744</v>
      </c>
      <c r="G1773" s="7" t="s">
        <v>353</v>
      </c>
      <c r="H1773" s="7" t="s">
        <v>354</v>
      </c>
      <c r="I1773" s="7" t="s">
        <v>355</v>
      </c>
      <c r="J1773" s="14"/>
      <c r="K1773" s="14"/>
      <c r="O1773" s="22"/>
      <c r="P1773" s="22"/>
      <c r="Q1773" s="23"/>
      <c r="R1773" s="23"/>
      <c r="S1773" s="14"/>
    </row>
    <row r="1774" ht="18.75" customHeight="1">
      <c r="A1774" s="7" t="s">
        <v>1743</v>
      </c>
      <c r="B1774" s="7" t="s">
        <v>3875</v>
      </c>
      <c r="C1774" s="9">
        <v>54802.0</v>
      </c>
      <c r="D1774" s="9">
        <v>0.0</v>
      </c>
      <c r="E1774" s="9">
        <v>1153.0</v>
      </c>
      <c r="F1774" s="7" t="s">
        <v>1744</v>
      </c>
      <c r="G1774" s="7" t="s">
        <v>353</v>
      </c>
      <c r="H1774" s="7" t="s">
        <v>354</v>
      </c>
      <c r="I1774" s="7" t="s">
        <v>355</v>
      </c>
      <c r="J1774" s="14"/>
      <c r="K1774" s="14"/>
      <c r="O1774" s="22"/>
      <c r="P1774" s="22"/>
      <c r="Q1774" s="23"/>
      <c r="R1774" s="23"/>
      <c r="S1774" s="14"/>
    </row>
    <row r="1775" ht="18.75" customHeight="1">
      <c r="A1775" s="7" t="s">
        <v>1801</v>
      </c>
      <c r="B1775" s="7" t="s">
        <v>3875</v>
      </c>
      <c r="C1775" s="9">
        <v>116625.0</v>
      </c>
      <c r="D1775" s="9">
        <v>0.0</v>
      </c>
      <c r="E1775" s="9">
        <v>3905.0</v>
      </c>
      <c r="F1775" s="7" t="s">
        <v>1802</v>
      </c>
      <c r="G1775" s="7" t="s">
        <v>416</v>
      </c>
      <c r="H1775" s="7" t="s">
        <v>417</v>
      </c>
      <c r="I1775" s="7" t="s">
        <v>355</v>
      </c>
      <c r="J1775" s="14"/>
      <c r="K1775" s="14"/>
      <c r="O1775" s="22"/>
      <c r="P1775" s="22"/>
      <c r="Q1775" s="23"/>
      <c r="R1775" s="23"/>
      <c r="S1775" s="14"/>
    </row>
    <row r="1776" ht="18.75" customHeight="1">
      <c r="A1776" s="7" t="s">
        <v>1801</v>
      </c>
      <c r="B1776" s="7" t="s">
        <v>3875</v>
      </c>
      <c r="C1776" s="9">
        <v>88411.0</v>
      </c>
      <c r="D1776" s="9">
        <v>0.0</v>
      </c>
      <c r="E1776" s="9">
        <v>3010.0</v>
      </c>
      <c r="F1776" s="7" t="s">
        <v>1802</v>
      </c>
      <c r="G1776" s="7" t="s">
        <v>416</v>
      </c>
      <c r="H1776" s="7" t="s">
        <v>417</v>
      </c>
      <c r="I1776" s="7" t="s">
        <v>355</v>
      </c>
      <c r="J1776" s="14"/>
      <c r="K1776" s="14"/>
      <c r="O1776" s="22"/>
      <c r="P1776" s="22"/>
      <c r="Q1776" s="23"/>
      <c r="R1776" s="23"/>
      <c r="S1776" s="14"/>
    </row>
    <row r="1777" ht="18.75" customHeight="1">
      <c r="A1777" s="7" t="s">
        <v>1507</v>
      </c>
      <c r="B1777" s="7" t="s">
        <v>3875</v>
      </c>
      <c r="C1777" s="9">
        <v>134150.0</v>
      </c>
      <c r="D1777" s="9">
        <v>0.0</v>
      </c>
      <c r="E1777" s="9">
        <v>3544.0</v>
      </c>
      <c r="F1777" s="7" t="s">
        <v>1508</v>
      </c>
      <c r="G1777" s="7" t="s">
        <v>404</v>
      </c>
      <c r="H1777" s="7" t="s">
        <v>405</v>
      </c>
      <c r="I1777" s="7" t="s">
        <v>410</v>
      </c>
      <c r="J1777" s="14"/>
      <c r="K1777" s="14"/>
      <c r="O1777" s="22"/>
      <c r="P1777" s="22"/>
      <c r="Q1777" s="23"/>
      <c r="R1777" s="23"/>
      <c r="S1777" s="14"/>
    </row>
    <row r="1778" ht="18.75" customHeight="1">
      <c r="A1778" s="7" t="s">
        <v>1507</v>
      </c>
      <c r="B1778" s="7" t="s">
        <v>3875</v>
      </c>
      <c r="C1778" s="9">
        <v>222418.0</v>
      </c>
      <c r="D1778" s="9">
        <v>0.0</v>
      </c>
      <c r="E1778" s="9">
        <v>2276.0</v>
      </c>
      <c r="F1778" s="7" t="s">
        <v>1508</v>
      </c>
      <c r="G1778" s="7" t="s">
        <v>404</v>
      </c>
      <c r="H1778" s="7" t="s">
        <v>405</v>
      </c>
      <c r="I1778" s="7" t="s">
        <v>410</v>
      </c>
      <c r="J1778" s="14"/>
      <c r="K1778" s="14"/>
      <c r="O1778" s="22"/>
      <c r="P1778" s="22"/>
      <c r="Q1778" s="23"/>
      <c r="R1778" s="23"/>
      <c r="S1778" s="14"/>
    </row>
    <row r="1779" ht="18.75" customHeight="1">
      <c r="A1779" s="7" t="s">
        <v>1507</v>
      </c>
      <c r="B1779" s="7" t="s">
        <v>3875</v>
      </c>
      <c r="C1779" s="9">
        <v>142897.0</v>
      </c>
      <c r="D1779" s="9">
        <v>0.0</v>
      </c>
      <c r="E1779" s="9">
        <v>946.0</v>
      </c>
      <c r="F1779" s="7" t="s">
        <v>1508</v>
      </c>
      <c r="G1779" s="7" t="s">
        <v>404</v>
      </c>
      <c r="H1779" s="7" t="s">
        <v>405</v>
      </c>
      <c r="I1779" s="7" t="s">
        <v>410</v>
      </c>
      <c r="J1779" s="14"/>
      <c r="K1779" s="14"/>
      <c r="O1779" s="22"/>
      <c r="P1779" s="22"/>
      <c r="Q1779" s="23"/>
      <c r="R1779" s="23"/>
      <c r="S1779" s="14"/>
    </row>
    <row r="1780" ht="18.75" customHeight="1">
      <c r="A1780" s="7" t="s">
        <v>1817</v>
      </c>
      <c r="B1780" s="7" t="s">
        <v>3875</v>
      </c>
      <c r="C1780" s="9">
        <v>142254.0</v>
      </c>
      <c r="D1780" s="9">
        <v>0.0</v>
      </c>
      <c r="E1780" s="9">
        <v>484.0</v>
      </c>
      <c r="F1780" s="7" t="s">
        <v>1818</v>
      </c>
      <c r="G1780" s="7" t="s">
        <v>416</v>
      </c>
      <c r="H1780" s="7" t="s">
        <v>378</v>
      </c>
      <c r="I1780" s="7" t="s">
        <v>355</v>
      </c>
      <c r="J1780" s="14"/>
      <c r="K1780" s="14"/>
      <c r="O1780" s="22"/>
      <c r="P1780" s="22"/>
      <c r="Q1780" s="23"/>
      <c r="R1780" s="23"/>
      <c r="S1780" s="14"/>
    </row>
    <row r="1781" ht="18.75" customHeight="1">
      <c r="A1781" s="7" t="s">
        <v>1829</v>
      </c>
      <c r="B1781" s="7" t="s">
        <v>3875</v>
      </c>
      <c r="C1781" s="9">
        <v>201896.0</v>
      </c>
      <c r="D1781" s="9">
        <v>0.0</v>
      </c>
      <c r="E1781" s="9">
        <v>693.0</v>
      </c>
      <c r="F1781" s="7" t="s">
        <v>1830</v>
      </c>
      <c r="G1781" s="7" t="s">
        <v>416</v>
      </c>
      <c r="H1781" s="7" t="s">
        <v>365</v>
      </c>
      <c r="I1781" s="7" t="s">
        <v>355</v>
      </c>
      <c r="J1781" s="14"/>
      <c r="K1781" s="14"/>
      <c r="O1781" s="22"/>
      <c r="P1781" s="22"/>
      <c r="Q1781" s="23"/>
      <c r="R1781" s="23"/>
      <c r="S1781" s="14"/>
    </row>
    <row r="1782" ht="18.75" customHeight="1">
      <c r="A1782" s="7" t="s">
        <v>1819</v>
      </c>
      <c r="B1782" s="7" t="s">
        <v>3875</v>
      </c>
      <c r="C1782" s="9">
        <v>165767.0</v>
      </c>
      <c r="D1782" s="9">
        <v>0.0</v>
      </c>
      <c r="E1782" s="9">
        <v>496.0</v>
      </c>
      <c r="F1782" s="7" t="s">
        <v>1820</v>
      </c>
      <c r="G1782" s="7" t="s">
        <v>416</v>
      </c>
      <c r="H1782" s="7" t="s">
        <v>725</v>
      </c>
      <c r="I1782" s="7" t="s">
        <v>355</v>
      </c>
      <c r="J1782" s="14"/>
      <c r="K1782" s="14"/>
      <c r="O1782" s="22"/>
      <c r="P1782" s="22"/>
      <c r="Q1782" s="23"/>
      <c r="R1782" s="23"/>
      <c r="S1782" s="14"/>
    </row>
    <row r="1783" ht="18.75" customHeight="1">
      <c r="A1783" s="7" t="s">
        <v>3902</v>
      </c>
      <c r="B1783" s="7" t="s">
        <v>3875</v>
      </c>
      <c r="C1783" s="9">
        <v>21326.0</v>
      </c>
      <c r="D1783" s="9">
        <v>0.0</v>
      </c>
      <c r="E1783" s="9">
        <v>661.0</v>
      </c>
      <c r="F1783" s="7" t="s">
        <v>3903</v>
      </c>
      <c r="G1783" s="7" t="s">
        <v>416</v>
      </c>
      <c r="H1783" s="7" t="s">
        <v>417</v>
      </c>
      <c r="I1783" s="7" t="s">
        <v>3886</v>
      </c>
      <c r="J1783" s="14"/>
      <c r="K1783" s="14"/>
      <c r="O1783" s="22"/>
      <c r="P1783" s="22"/>
      <c r="Q1783" s="23"/>
      <c r="R1783" s="23"/>
      <c r="S1783" s="14"/>
    </row>
    <row r="1784" ht="18.75" customHeight="1">
      <c r="A1784" s="7" t="s">
        <v>1803</v>
      </c>
      <c r="B1784" s="7" t="s">
        <v>3875</v>
      </c>
      <c r="C1784" s="9">
        <v>79204.0</v>
      </c>
      <c r="D1784" s="9">
        <v>0.0</v>
      </c>
      <c r="E1784" s="9">
        <v>0.0</v>
      </c>
      <c r="F1784" s="7" t="s">
        <v>1804</v>
      </c>
      <c r="G1784" s="7" t="s">
        <v>364</v>
      </c>
      <c r="H1784" s="7" t="s">
        <v>365</v>
      </c>
      <c r="I1784" s="7" t="s">
        <v>355</v>
      </c>
      <c r="J1784" s="14"/>
      <c r="K1784" s="14"/>
      <c r="O1784" s="22"/>
      <c r="P1784" s="22"/>
      <c r="Q1784" s="23"/>
      <c r="R1784" s="23"/>
      <c r="S1784" s="14"/>
    </row>
    <row r="1785" ht="18.75" customHeight="1">
      <c r="A1785" s="7" t="s">
        <v>1827</v>
      </c>
      <c r="B1785" s="7" t="s">
        <v>3875</v>
      </c>
      <c r="C1785" s="9">
        <v>193359.0</v>
      </c>
      <c r="D1785" s="9">
        <v>0.0</v>
      </c>
      <c r="E1785" s="9">
        <v>635.0</v>
      </c>
      <c r="F1785" s="7" t="s">
        <v>1828</v>
      </c>
      <c r="G1785" s="7" t="s">
        <v>416</v>
      </c>
      <c r="H1785" s="7" t="s">
        <v>466</v>
      </c>
      <c r="I1785" s="7" t="s">
        <v>355</v>
      </c>
      <c r="J1785" s="14"/>
      <c r="K1785" s="14"/>
      <c r="O1785" s="22"/>
      <c r="P1785" s="22"/>
      <c r="Q1785" s="23"/>
      <c r="R1785" s="23"/>
      <c r="S1785" s="14"/>
    </row>
    <row r="1786" ht="18.75" customHeight="1">
      <c r="A1786" s="7" t="s">
        <v>1825</v>
      </c>
      <c r="B1786" s="7" t="s">
        <v>3875</v>
      </c>
      <c r="C1786" s="9">
        <v>142938.0</v>
      </c>
      <c r="D1786" s="9">
        <v>0.0</v>
      </c>
      <c r="E1786" s="9">
        <v>589.0</v>
      </c>
      <c r="F1786" s="7" t="s">
        <v>1826</v>
      </c>
      <c r="G1786" s="7" t="s">
        <v>416</v>
      </c>
      <c r="H1786" s="7" t="s">
        <v>466</v>
      </c>
      <c r="I1786" s="7" t="s">
        <v>355</v>
      </c>
      <c r="J1786" s="14"/>
      <c r="K1786" s="14"/>
      <c r="O1786" s="22"/>
      <c r="P1786" s="22"/>
      <c r="Q1786" s="23"/>
      <c r="R1786" s="23"/>
      <c r="S1786" s="14"/>
    </row>
    <row r="1787" ht="18.75" customHeight="1">
      <c r="A1787" s="7" t="s">
        <v>1823</v>
      </c>
      <c r="B1787" s="7" t="s">
        <v>3875</v>
      </c>
      <c r="C1787" s="9">
        <v>190110.0</v>
      </c>
      <c r="D1787" s="9">
        <v>0.0</v>
      </c>
      <c r="E1787" s="9">
        <v>647.0</v>
      </c>
      <c r="F1787" s="7" t="s">
        <v>1824</v>
      </c>
      <c r="G1787" s="7" t="s">
        <v>416</v>
      </c>
      <c r="H1787" s="7" t="s">
        <v>466</v>
      </c>
      <c r="I1787" s="7" t="s">
        <v>355</v>
      </c>
      <c r="J1787" s="14"/>
      <c r="K1787" s="14"/>
      <c r="O1787" s="22"/>
      <c r="P1787" s="22"/>
      <c r="Q1787" s="23"/>
      <c r="R1787" s="23"/>
      <c r="S1787" s="14"/>
    </row>
    <row r="1788" ht="18.75" customHeight="1">
      <c r="A1788" s="7" t="s">
        <v>1821</v>
      </c>
      <c r="B1788" s="7" t="s">
        <v>3875</v>
      </c>
      <c r="C1788" s="9">
        <v>136984.0</v>
      </c>
      <c r="D1788" s="9">
        <v>0.0</v>
      </c>
      <c r="E1788" s="9">
        <v>563.0</v>
      </c>
      <c r="F1788" s="7" t="s">
        <v>1822</v>
      </c>
      <c r="G1788" s="7" t="s">
        <v>416</v>
      </c>
      <c r="H1788" s="7" t="s">
        <v>466</v>
      </c>
      <c r="I1788" s="7" t="s">
        <v>355</v>
      </c>
      <c r="J1788" s="14"/>
      <c r="K1788" s="14"/>
      <c r="O1788" s="22"/>
      <c r="P1788" s="22"/>
      <c r="Q1788" s="23"/>
      <c r="R1788" s="23"/>
      <c r="S1788" s="14"/>
    </row>
    <row r="1789" ht="18.75" customHeight="1">
      <c r="A1789" s="7" t="s">
        <v>1809</v>
      </c>
      <c r="B1789" s="7" t="s">
        <v>3875</v>
      </c>
      <c r="C1789" s="9">
        <v>34292.0</v>
      </c>
      <c r="D1789" s="9">
        <v>0.0</v>
      </c>
      <c r="E1789" s="9">
        <v>384.0</v>
      </c>
      <c r="F1789" s="7" t="s">
        <v>1810</v>
      </c>
      <c r="G1789" s="7" t="s">
        <v>364</v>
      </c>
      <c r="H1789" s="7" t="s">
        <v>365</v>
      </c>
      <c r="I1789" s="7" t="s">
        <v>355</v>
      </c>
      <c r="J1789" s="14"/>
      <c r="K1789" s="14"/>
      <c r="O1789" s="22"/>
      <c r="P1789" s="22"/>
      <c r="Q1789" s="23"/>
      <c r="R1789" s="23"/>
      <c r="S1789" s="14"/>
    </row>
    <row r="1790" ht="18.75" customHeight="1">
      <c r="A1790" s="7" t="s">
        <v>1797</v>
      </c>
      <c r="B1790" s="7" t="s">
        <v>3875</v>
      </c>
      <c r="C1790" s="9">
        <v>1326301.0</v>
      </c>
      <c r="D1790" s="9">
        <v>103799.0</v>
      </c>
      <c r="E1790" s="9">
        <v>1887.0</v>
      </c>
      <c r="F1790" s="7" t="s">
        <v>1798</v>
      </c>
      <c r="G1790" s="7" t="s">
        <v>353</v>
      </c>
      <c r="H1790" s="7" t="s">
        <v>725</v>
      </c>
      <c r="I1790" s="7" t="s">
        <v>355</v>
      </c>
      <c r="J1790" s="14"/>
      <c r="K1790" s="14"/>
      <c r="O1790" s="22"/>
      <c r="P1790" s="22"/>
      <c r="Q1790" s="23"/>
      <c r="R1790" s="23"/>
      <c r="S1790" s="14"/>
    </row>
    <row r="1791" ht="18.75" customHeight="1">
      <c r="A1791" s="7" t="s">
        <v>1837</v>
      </c>
      <c r="B1791" s="7" t="s">
        <v>3875</v>
      </c>
      <c r="C1791" s="9">
        <v>89720.0</v>
      </c>
      <c r="D1791" s="9">
        <v>27437.0</v>
      </c>
      <c r="E1791" s="9">
        <v>2070.0</v>
      </c>
      <c r="F1791" s="7" t="s">
        <v>1838</v>
      </c>
      <c r="G1791" s="7" t="s">
        <v>416</v>
      </c>
      <c r="H1791" s="7" t="s">
        <v>417</v>
      </c>
      <c r="I1791" s="7" t="s">
        <v>355</v>
      </c>
      <c r="J1791" s="14"/>
      <c r="K1791" s="14"/>
      <c r="O1791" s="22"/>
      <c r="P1791" s="22"/>
      <c r="Q1791" s="23"/>
      <c r="R1791" s="23"/>
      <c r="S1791" s="14"/>
    </row>
    <row r="1792" ht="18.75" customHeight="1">
      <c r="A1792" s="7" t="s">
        <v>1839</v>
      </c>
      <c r="B1792" s="7" t="s">
        <v>3875</v>
      </c>
      <c r="C1792" s="9">
        <v>16905.0</v>
      </c>
      <c r="D1792" s="9">
        <v>0.0</v>
      </c>
      <c r="E1792" s="9">
        <v>944.0</v>
      </c>
      <c r="F1792" s="7" t="s">
        <v>1840</v>
      </c>
      <c r="G1792" s="7" t="s">
        <v>416</v>
      </c>
      <c r="H1792" s="7" t="s">
        <v>417</v>
      </c>
      <c r="I1792" s="7" t="s">
        <v>355</v>
      </c>
      <c r="J1792" s="14"/>
      <c r="K1792" s="14"/>
      <c r="O1792" s="22"/>
      <c r="P1792" s="22"/>
      <c r="Q1792" s="23"/>
      <c r="R1792" s="23"/>
      <c r="S1792" s="14"/>
    </row>
    <row r="1793" ht="18.75" customHeight="1">
      <c r="A1793" s="7" t="s">
        <v>1639</v>
      </c>
      <c r="B1793" s="7" t="s">
        <v>3875</v>
      </c>
      <c r="C1793" s="9">
        <v>203790.0</v>
      </c>
      <c r="D1793" s="9">
        <v>0.0</v>
      </c>
      <c r="E1793" s="9">
        <v>1938.0</v>
      </c>
      <c r="F1793" s="7" t="s">
        <v>1640</v>
      </c>
      <c r="G1793" s="7" t="s">
        <v>404</v>
      </c>
      <c r="H1793" s="7" t="s">
        <v>667</v>
      </c>
      <c r="I1793" s="7" t="s">
        <v>355</v>
      </c>
      <c r="J1793" s="14"/>
      <c r="K1793" s="14"/>
      <c r="O1793" s="22"/>
      <c r="P1793" s="22"/>
      <c r="Q1793" s="23"/>
      <c r="R1793" s="23"/>
      <c r="S1793" s="14"/>
    </row>
    <row r="1794" ht="18.75" customHeight="1">
      <c r="A1794" s="7" t="s">
        <v>1753</v>
      </c>
      <c r="B1794" s="7" t="s">
        <v>3875</v>
      </c>
      <c r="C1794" s="9">
        <v>762733.0</v>
      </c>
      <c r="D1794" s="9">
        <v>48902.0</v>
      </c>
      <c r="E1794" s="9">
        <v>265.0</v>
      </c>
      <c r="F1794" s="7" t="s">
        <v>1754</v>
      </c>
      <c r="G1794" s="7" t="s">
        <v>416</v>
      </c>
      <c r="H1794" s="7" t="s">
        <v>417</v>
      </c>
      <c r="I1794" s="7" t="s">
        <v>355</v>
      </c>
      <c r="J1794" s="14"/>
      <c r="K1794" s="14"/>
      <c r="O1794" s="22"/>
      <c r="P1794" s="22"/>
      <c r="Q1794" s="23"/>
      <c r="R1794" s="23"/>
      <c r="S1794" s="14"/>
    </row>
    <row r="1795" ht="18.75" customHeight="1">
      <c r="A1795" s="7" t="s">
        <v>1731</v>
      </c>
      <c r="B1795" s="7" t="s">
        <v>3875</v>
      </c>
      <c r="C1795" s="9">
        <v>902299.0</v>
      </c>
      <c r="D1795" s="9">
        <v>87872.0</v>
      </c>
      <c r="E1795" s="9">
        <v>989.0</v>
      </c>
      <c r="F1795" s="7" t="s">
        <v>1732</v>
      </c>
      <c r="G1795" s="7" t="s">
        <v>416</v>
      </c>
      <c r="H1795" s="7" t="s">
        <v>417</v>
      </c>
      <c r="I1795" s="7" t="s">
        <v>355</v>
      </c>
      <c r="J1795" s="14"/>
      <c r="K1795" s="14"/>
      <c r="O1795" s="22"/>
      <c r="P1795" s="22"/>
      <c r="Q1795" s="23"/>
      <c r="R1795" s="23"/>
      <c r="S1795" s="14"/>
    </row>
    <row r="1796" ht="18.75" customHeight="1">
      <c r="A1796" s="7" t="s">
        <v>1811</v>
      </c>
      <c r="B1796" s="7" t="s">
        <v>3875</v>
      </c>
      <c r="C1796" s="9">
        <v>286579.0</v>
      </c>
      <c r="D1796" s="9">
        <v>0.0</v>
      </c>
      <c r="E1796" s="9">
        <v>4113.0</v>
      </c>
      <c r="F1796" s="7" t="s">
        <v>1812</v>
      </c>
      <c r="G1796" s="7" t="s">
        <v>416</v>
      </c>
      <c r="H1796" s="7" t="s">
        <v>405</v>
      </c>
      <c r="I1796" s="7" t="s">
        <v>355</v>
      </c>
      <c r="J1796" s="14"/>
      <c r="K1796" s="14"/>
      <c r="O1796" s="22"/>
      <c r="P1796" s="22"/>
      <c r="Q1796" s="23"/>
      <c r="R1796" s="23"/>
      <c r="S1796" s="14"/>
    </row>
    <row r="1797" ht="18.75" customHeight="1">
      <c r="A1797" s="7" t="s">
        <v>1523</v>
      </c>
      <c r="B1797" s="7" t="s">
        <v>3875</v>
      </c>
      <c r="C1797" s="9">
        <v>1466492.0</v>
      </c>
      <c r="D1797" s="9">
        <v>99249.0</v>
      </c>
      <c r="E1797" s="9">
        <v>1505.0</v>
      </c>
      <c r="F1797" s="7" t="s">
        <v>1524</v>
      </c>
      <c r="G1797" s="7" t="s">
        <v>364</v>
      </c>
      <c r="H1797" s="7" t="s">
        <v>365</v>
      </c>
      <c r="I1797" s="7" t="s">
        <v>410</v>
      </c>
      <c r="J1797" s="14"/>
      <c r="K1797" s="14"/>
      <c r="O1797" s="22"/>
      <c r="P1797" s="22"/>
      <c r="Q1797" s="23"/>
      <c r="R1797" s="23"/>
      <c r="S1797" s="14"/>
    </row>
    <row r="1798" ht="18.75" customHeight="1">
      <c r="A1798" s="7" t="s">
        <v>1757</v>
      </c>
      <c r="B1798" s="7" t="s">
        <v>3875</v>
      </c>
      <c r="C1798" s="9">
        <v>461827.0</v>
      </c>
      <c r="D1798" s="9">
        <v>13720.0</v>
      </c>
      <c r="E1798" s="9">
        <v>431.0</v>
      </c>
      <c r="F1798" s="7" t="s">
        <v>1758</v>
      </c>
      <c r="G1798" s="7" t="s">
        <v>416</v>
      </c>
      <c r="H1798" s="7" t="s">
        <v>417</v>
      </c>
      <c r="I1798" s="7" t="s">
        <v>355</v>
      </c>
      <c r="J1798" s="14"/>
      <c r="K1798" s="14"/>
      <c r="O1798" s="22"/>
      <c r="P1798" s="22"/>
      <c r="Q1798" s="23"/>
      <c r="R1798" s="23"/>
      <c r="S1798" s="14"/>
    </row>
    <row r="1799" ht="18.75" customHeight="1">
      <c r="A1799" s="7" t="s">
        <v>1737</v>
      </c>
      <c r="B1799" s="7" t="s">
        <v>3875</v>
      </c>
      <c r="C1799" s="9">
        <v>243518.0</v>
      </c>
      <c r="D1799" s="9">
        <v>0.0</v>
      </c>
      <c r="E1799" s="9">
        <v>3942.0</v>
      </c>
      <c r="F1799" s="7" t="s">
        <v>1738</v>
      </c>
      <c r="G1799" s="7" t="s">
        <v>353</v>
      </c>
      <c r="H1799" s="7" t="s">
        <v>354</v>
      </c>
      <c r="I1799" s="7" t="s">
        <v>410</v>
      </c>
      <c r="J1799" s="14"/>
      <c r="K1799" s="14"/>
      <c r="O1799" s="22"/>
      <c r="P1799" s="22"/>
      <c r="Q1799" s="23"/>
      <c r="R1799" s="23"/>
      <c r="S1799" s="14"/>
    </row>
    <row r="1800" ht="18.75" customHeight="1">
      <c r="A1800" s="7" t="s">
        <v>1666</v>
      </c>
      <c r="B1800" s="7" t="s">
        <v>3875</v>
      </c>
      <c r="C1800" s="9">
        <v>105786.0</v>
      </c>
      <c r="D1800" s="9">
        <v>0.0</v>
      </c>
      <c r="E1800" s="9">
        <v>317.0</v>
      </c>
      <c r="F1800" s="7" t="s">
        <v>1667</v>
      </c>
      <c r="G1800" s="7" t="s">
        <v>404</v>
      </c>
      <c r="H1800" s="7" t="s">
        <v>783</v>
      </c>
      <c r="I1800" s="7" t="s">
        <v>355</v>
      </c>
      <c r="J1800" s="14"/>
      <c r="K1800" s="14"/>
      <c r="O1800" s="22"/>
      <c r="P1800" s="22"/>
      <c r="Q1800" s="23"/>
      <c r="R1800" s="23"/>
      <c r="S1800" s="14"/>
    </row>
    <row r="1801" ht="18.75" customHeight="1">
      <c r="A1801" s="7" t="s">
        <v>1733</v>
      </c>
      <c r="B1801" s="7" t="s">
        <v>3875</v>
      </c>
      <c r="C1801" s="9">
        <v>888494.0</v>
      </c>
      <c r="D1801" s="9">
        <v>0.0</v>
      </c>
      <c r="E1801" s="9">
        <v>2170.0</v>
      </c>
      <c r="F1801" s="7" t="s">
        <v>1734</v>
      </c>
      <c r="G1801" s="7" t="s">
        <v>353</v>
      </c>
      <c r="H1801" s="7" t="s">
        <v>378</v>
      </c>
      <c r="I1801" s="7" t="s">
        <v>410</v>
      </c>
      <c r="J1801" s="14"/>
      <c r="K1801" s="14"/>
      <c r="O1801" s="22"/>
      <c r="P1801" s="22"/>
      <c r="Q1801" s="23"/>
      <c r="R1801" s="23"/>
      <c r="S1801" s="14"/>
    </row>
    <row r="1802" ht="18.75" customHeight="1">
      <c r="A1802" s="7" t="s">
        <v>856</v>
      </c>
      <c r="B1802" s="7" t="s">
        <v>3875</v>
      </c>
      <c r="C1802" s="9">
        <v>136438.0</v>
      </c>
      <c r="D1802" s="9">
        <v>37774.0</v>
      </c>
      <c r="E1802" s="9">
        <v>937.0</v>
      </c>
      <c r="F1802" s="7" t="s">
        <v>857</v>
      </c>
      <c r="G1802" s="7" t="s">
        <v>364</v>
      </c>
      <c r="H1802" s="7" t="s">
        <v>365</v>
      </c>
      <c r="I1802" s="7" t="s">
        <v>355</v>
      </c>
      <c r="J1802" s="14"/>
      <c r="K1802" s="14"/>
      <c r="O1802" s="22"/>
      <c r="P1802" s="22"/>
      <c r="Q1802" s="23"/>
      <c r="R1802" s="23"/>
      <c r="S1802" s="14"/>
    </row>
    <row r="1803" ht="18.75" customHeight="1">
      <c r="A1803" s="7" t="s">
        <v>1807</v>
      </c>
      <c r="B1803" s="7" t="s">
        <v>3875</v>
      </c>
      <c r="C1803" s="9">
        <v>586966.0</v>
      </c>
      <c r="D1803" s="9">
        <v>81133.0</v>
      </c>
      <c r="E1803" s="9">
        <v>558.0</v>
      </c>
      <c r="F1803" s="7" t="s">
        <v>1808</v>
      </c>
      <c r="G1803" s="7" t="s">
        <v>353</v>
      </c>
      <c r="H1803" s="7" t="s">
        <v>354</v>
      </c>
      <c r="I1803" s="7" t="s">
        <v>355</v>
      </c>
      <c r="J1803" s="14"/>
      <c r="K1803" s="14"/>
      <c r="O1803" s="22"/>
      <c r="P1803" s="22"/>
      <c r="Q1803" s="23"/>
      <c r="R1803" s="23"/>
      <c r="S1803" s="14"/>
    </row>
    <row r="1804" ht="18.75" customHeight="1">
      <c r="A1804" s="7" t="s">
        <v>1807</v>
      </c>
      <c r="B1804" s="7" t="s">
        <v>3875</v>
      </c>
      <c r="C1804" s="9">
        <v>559749.0</v>
      </c>
      <c r="D1804" s="9">
        <v>37856.0</v>
      </c>
      <c r="E1804" s="9">
        <v>0.0</v>
      </c>
      <c r="F1804" s="7" t="s">
        <v>1808</v>
      </c>
      <c r="G1804" s="7" t="s">
        <v>353</v>
      </c>
      <c r="H1804" s="7" t="s">
        <v>354</v>
      </c>
      <c r="I1804" s="7" t="s">
        <v>355</v>
      </c>
      <c r="J1804" s="14"/>
      <c r="K1804" s="14"/>
      <c r="O1804" s="22"/>
      <c r="P1804" s="22"/>
      <c r="Q1804" s="23"/>
      <c r="R1804" s="23"/>
      <c r="S1804" s="14"/>
    </row>
    <row r="1805" ht="18.75" customHeight="1">
      <c r="A1805" s="7" t="s">
        <v>1861</v>
      </c>
      <c r="B1805" s="7" t="s">
        <v>3875</v>
      </c>
      <c r="C1805" s="9">
        <v>233282.0</v>
      </c>
      <c r="D1805" s="9">
        <v>0.0</v>
      </c>
      <c r="E1805" s="9">
        <v>178.0</v>
      </c>
      <c r="F1805" s="7" t="s">
        <v>1862</v>
      </c>
      <c r="G1805" s="7" t="s">
        <v>416</v>
      </c>
      <c r="H1805" s="7" t="s">
        <v>725</v>
      </c>
      <c r="I1805" s="7" t="s">
        <v>355</v>
      </c>
      <c r="J1805" s="14"/>
      <c r="K1805" s="14"/>
      <c r="O1805" s="22"/>
      <c r="P1805" s="22"/>
      <c r="Q1805" s="23"/>
      <c r="R1805" s="23"/>
      <c r="S1805" s="14"/>
    </row>
    <row r="1806" ht="18.75" customHeight="1">
      <c r="A1806" s="7" t="s">
        <v>1869</v>
      </c>
      <c r="B1806" s="7" t="s">
        <v>3875</v>
      </c>
      <c r="C1806" s="9">
        <v>153260.0</v>
      </c>
      <c r="D1806" s="9">
        <v>0.0</v>
      </c>
      <c r="E1806" s="9">
        <v>617.0</v>
      </c>
      <c r="F1806" s="7" t="s">
        <v>1870</v>
      </c>
      <c r="G1806" s="7" t="s">
        <v>416</v>
      </c>
      <c r="H1806" s="7" t="s">
        <v>359</v>
      </c>
      <c r="I1806" s="7" t="s">
        <v>355</v>
      </c>
      <c r="J1806" s="14"/>
      <c r="K1806" s="14"/>
      <c r="O1806" s="22"/>
      <c r="P1806" s="22"/>
      <c r="Q1806" s="23"/>
      <c r="R1806" s="23"/>
      <c r="S1806" s="14"/>
    </row>
    <row r="1807" ht="18.75" customHeight="1">
      <c r="A1807" s="7" t="s">
        <v>1873</v>
      </c>
      <c r="B1807" s="7" t="s">
        <v>3875</v>
      </c>
      <c r="C1807" s="9">
        <v>377663.0</v>
      </c>
      <c r="D1807" s="9">
        <v>0.0</v>
      </c>
      <c r="E1807" s="9">
        <v>852.0</v>
      </c>
      <c r="F1807" s="7" t="s">
        <v>1874</v>
      </c>
      <c r="G1807" s="7" t="s">
        <v>416</v>
      </c>
      <c r="H1807" s="7" t="s">
        <v>783</v>
      </c>
      <c r="I1807" s="7" t="s">
        <v>355</v>
      </c>
      <c r="J1807" s="14"/>
      <c r="K1807" s="14"/>
      <c r="O1807" s="22"/>
      <c r="P1807" s="22"/>
      <c r="Q1807" s="23"/>
      <c r="R1807" s="23"/>
      <c r="S1807" s="14"/>
    </row>
    <row r="1808" ht="18.75" customHeight="1">
      <c r="A1808" s="7" t="s">
        <v>1871</v>
      </c>
      <c r="B1808" s="7" t="s">
        <v>3875</v>
      </c>
      <c r="C1808" s="9">
        <v>132175.0</v>
      </c>
      <c r="D1808" s="9">
        <v>0.0</v>
      </c>
      <c r="E1808" s="9">
        <v>626.0</v>
      </c>
      <c r="F1808" s="7" t="s">
        <v>1872</v>
      </c>
      <c r="G1808" s="7" t="s">
        <v>416</v>
      </c>
      <c r="H1808" s="7" t="s">
        <v>354</v>
      </c>
      <c r="I1808" s="7" t="s">
        <v>355</v>
      </c>
      <c r="J1808" s="14"/>
      <c r="K1808" s="14"/>
      <c r="O1808" s="22"/>
      <c r="P1808" s="22"/>
      <c r="Q1808" s="23"/>
      <c r="R1808" s="23"/>
      <c r="S1808" s="14"/>
    </row>
    <row r="1809" ht="18.75" customHeight="1">
      <c r="A1809" s="7" t="s">
        <v>1884</v>
      </c>
      <c r="B1809" s="7" t="s">
        <v>3875</v>
      </c>
      <c r="C1809" s="9">
        <v>176381.0</v>
      </c>
      <c r="D1809" s="9">
        <v>0.0</v>
      </c>
      <c r="E1809" s="9">
        <v>506.0</v>
      </c>
      <c r="F1809" s="7" t="s">
        <v>1885</v>
      </c>
      <c r="G1809" s="7" t="s">
        <v>416</v>
      </c>
      <c r="H1809" s="7" t="s">
        <v>413</v>
      </c>
      <c r="I1809" s="7" t="s">
        <v>355</v>
      </c>
      <c r="J1809" s="14"/>
      <c r="K1809" s="14"/>
      <c r="O1809" s="22"/>
      <c r="P1809" s="22"/>
      <c r="Q1809" s="23"/>
      <c r="R1809" s="23"/>
      <c r="S1809" s="14"/>
    </row>
    <row r="1810" ht="18.75" customHeight="1">
      <c r="A1810" s="7" t="s">
        <v>1855</v>
      </c>
      <c r="B1810" s="7" t="s">
        <v>3875</v>
      </c>
      <c r="C1810" s="9">
        <v>436134.0</v>
      </c>
      <c r="D1810" s="9">
        <v>0.0</v>
      </c>
      <c r="E1810" s="9">
        <v>799.0</v>
      </c>
      <c r="F1810" s="7" t="s">
        <v>1856</v>
      </c>
      <c r="G1810" s="7" t="s">
        <v>364</v>
      </c>
      <c r="H1810" s="7" t="s">
        <v>365</v>
      </c>
      <c r="I1810" s="7" t="s">
        <v>410</v>
      </c>
      <c r="J1810" s="14"/>
      <c r="K1810" s="14"/>
      <c r="O1810" s="22"/>
      <c r="P1810" s="22"/>
      <c r="Q1810" s="23"/>
      <c r="R1810" s="23"/>
      <c r="S1810" s="14"/>
    </row>
    <row r="1811" ht="18.75" customHeight="1">
      <c r="A1811" s="7" t="s">
        <v>529</v>
      </c>
      <c r="B1811" s="7" t="s">
        <v>3875</v>
      </c>
      <c r="C1811" s="9">
        <v>24258.0</v>
      </c>
      <c r="D1811" s="9">
        <v>0.0</v>
      </c>
      <c r="E1811" s="9">
        <v>108.0</v>
      </c>
      <c r="F1811" s="7" t="s">
        <v>530</v>
      </c>
      <c r="G1811" s="7" t="s">
        <v>358</v>
      </c>
      <c r="H1811" s="7" t="s">
        <v>387</v>
      </c>
      <c r="I1811" s="7" t="s">
        <v>355</v>
      </c>
      <c r="J1811" s="14"/>
      <c r="K1811" s="14"/>
      <c r="O1811" s="22"/>
      <c r="P1811" s="22"/>
      <c r="Q1811" s="23"/>
      <c r="R1811" s="23"/>
      <c r="S1811" s="14"/>
    </row>
    <row r="1812" ht="18.75" customHeight="1">
      <c r="A1812" s="7" t="s">
        <v>529</v>
      </c>
      <c r="B1812" s="7" t="s">
        <v>3875</v>
      </c>
      <c r="C1812" s="9">
        <v>44084.0</v>
      </c>
      <c r="D1812" s="9">
        <v>0.0</v>
      </c>
      <c r="E1812" s="9">
        <v>146.0</v>
      </c>
      <c r="F1812" s="7" t="s">
        <v>530</v>
      </c>
      <c r="G1812" s="7" t="s">
        <v>358</v>
      </c>
      <c r="H1812" s="7" t="s">
        <v>387</v>
      </c>
      <c r="I1812" s="7" t="s">
        <v>355</v>
      </c>
      <c r="J1812" s="14"/>
      <c r="K1812" s="14"/>
      <c r="O1812" s="22"/>
      <c r="P1812" s="22"/>
      <c r="Q1812" s="23"/>
      <c r="R1812" s="23"/>
      <c r="S1812" s="14"/>
    </row>
    <row r="1813" ht="18.75" customHeight="1">
      <c r="A1813" s="7" t="s">
        <v>529</v>
      </c>
      <c r="B1813" s="7" t="s">
        <v>3875</v>
      </c>
      <c r="C1813" s="9">
        <v>46360.0</v>
      </c>
      <c r="D1813" s="9">
        <v>0.0</v>
      </c>
      <c r="E1813" s="9">
        <v>115.0</v>
      </c>
      <c r="F1813" s="7" t="s">
        <v>530</v>
      </c>
      <c r="G1813" s="7" t="s">
        <v>358</v>
      </c>
      <c r="H1813" s="7" t="s">
        <v>387</v>
      </c>
      <c r="I1813" s="7" t="s">
        <v>355</v>
      </c>
      <c r="J1813" s="14"/>
      <c r="K1813" s="14"/>
      <c r="O1813" s="22"/>
      <c r="P1813" s="22"/>
      <c r="Q1813" s="23"/>
      <c r="R1813" s="23"/>
      <c r="S1813" s="14"/>
    </row>
    <row r="1814" ht="18.75" customHeight="1">
      <c r="A1814" s="7" t="s">
        <v>529</v>
      </c>
      <c r="B1814" s="7" t="s">
        <v>3875</v>
      </c>
      <c r="C1814" s="9">
        <v>47031.0</v>
      </c>
      <c r="D1814" s="9">
        <v>0.0</v>
      </c>
      <c r="E1814" s="9">
        <v>119.0</v>
      </c>
      <c r="F1814" s="7" t="s">
        <v>530</v>
      </c>
      <c r="G1814" s="7" t="s">
        <v>358</v>
      </c>
      <c r="H1814" s="7" t="s">
        <v>387</v>
      </c>
      <c r="I1814" s="7" t="s">
        <v>355</v>
      </c>
      <c r="J1814" s="14"/>
      <c r="K1814" s="14"/>
      <c r="O1814" s="22"/>
      <c r="P1814" s="22"/>
      <c r="Q1814" s="23"/>
      <c r="R1814" s="23"/>
      <c r="S1814" s="14"/>
    </row>
    <row r="1815" ht="18.75" customHeight="1">
      <c r="A1815" s="7" t="s">
        <v>529</v>
      </c>
      <c r="B1815" s="7" t="s">
        <v>3875</v>
      </c>
      <c r="C1815" s="9">
        <v>44986.0</v>
      </c>
      <c r="D1815" s="9">
        <v>0.0</v>
      </c>
      <c r="E1815" s="9">
        <v>111.0</v>
      </c>
      <c r="F1815" s="7" t="s">
        <v>530</v>
      </c>
      <c r="G1815" s="7" t="s">
        <v>358</v>
      </c>
      <c r="H1815" s="7" t="s">
        <v>387</v>
      </c>
      <c r="I1815" s="7" t="s">
        <v>355</v>
      </c>
      <c r="J1815" s="14"/>
      <c r="K1815" s="14"/>
      <c r="O1815" s="22"/>
      <c r="P1815" s="22"/>
      <c r="Q1815" s="23"/>
      <c r="R1815" s="23"/>
      <c r="S1815" s="14"/>
    </row>
    <row r="1816" ht="18.75" customHeight="1">
      <c r="A1816" s="7" t="s">
        <v>529</v>
      </c>
      <c r="B1816" s="7" t="s">
        <v>3875</v>
      </c>
      <c r="C1816" s="9">
        <v>48070.0</v>
      </c>
      <c r="D1816" s="9">
        <v>0.0</v>
      </c>
      <c r="E1816" s="9">
        <v>88.0</v>
      </c>
      <c r="F1816" s="7" t="s">
        <v>530</v>
      </c>
      <c r="G1816" s="7" t="s">
        <v>358</v>
      </c>
      <c r="H1816" s="7" t="s">
        <v>387</v>
      </c>
      <c r="I1816" s="7" t="s">
        <v>355</v>
      </c>
      <c r="J1816" s="14"/>
      <c r="K1816" s="14"/>
      <c r="O1816" s="22"/>
      <c r="P1816" s="22"/>
      <c r="Q1816" s="23"/>
      <c r="R1816" s="23"/>
      <c r="S1816" s="14"/>
    </row>
    <row r="1817" ht="18.75" customHeight="1">
      <c r="A1817" s="7" t="s">
        <v>1723</v>
      </c>
      <c r="B1817" s="7" t="s">
        <v>3875</v>
      </c>
      <c r="C1817" s="9">
        <v>456652.0</v>
      </c>
      <c r="D1817" s="9">
        <v>0.0</v>
      </c>
      <c r="E1817" s="9">
        <v>3558.0</v>
      </c>
      <c r="F1817" s="7" t="s">
        <v>1724</v>
      </c>
      <c r="G1817" s="7" t="s">
        <v>353</v>
      </c>
      <c r="H1817" s="7" t="s">
        <v>413</v>
      </c>
      <c r="I1817" s="7" t="s">
        <v>355</v>
      </c>
      <c r="J1817" s="14"/>
      <c r="K1817" s="14"/>
      <c r="O1817" s="22"/>
      <c r="P1817" s="22"/>
      <c r="Q1817" s="23"/>
      <c r="R1817" s="23"/>
      <c r="S1817" s="14"/>
    </row>
    <row r="1818" ht="18.75" customHeight="1">
      <c r="A1818" s="7" t="s">
        <v>1894</v>
      </c>
      <c r="B1818" s="7" t="s">
        <v>3875</v>
      </c>
      <c r="C1818" s="9">
        <v>451406.0</v>
      </c>
      <c r="D1818" s="9">
        <v>44802.0</v>
      </c>
      <c r="E1818" s="9">
        <v>454.0</v>
      </c>
      <c r="F1818" s="7" t="s">
        <v>1895</v>
      </c>
      <c r="G1818" s="7" t="s">
        <v>353</v>
      </c>
      <c r="H1818" s="7" t="s">
        <v>378</v>
      </c>
      <c r="I1818" s="7" t="s">
        <v>355</v>
      </c>
      <c r="J1818" s="14"/>
      <c r="K1818" s="14"/>
      <c r="O1818" s="22"/>
      <c r="P1818" s="22"/>
      <c r="Q1818" s="23"/>
      <c r="R1818" s="23"/>
      <c r="S1818" s="14"/>
    </row>
    <row r="1819" ht="18.75" customHeight="1">
      <c r="A1819" s="7" t="s">
        <v>1867</v>
      </c>
      <c r="B1819" s="7" t="s">
        <v>3875</v>
      </c>
      <c r="C1819" s="9">
        <v>1298615.0</v>
      </c>
      <c r="D1819" s="9">
        <v>123963.0</v>
      </c>
      <c r="E1819" s="9">
        <v>2201.0</v>
      </c>
      <c r="F1819" s="7" t="s">
        <v>1868</v>
      </c>
      <c r="G1819" s="7" t="s">
        <v>358</v>
      </c>
      <c r="H1819" s="7" t="s">
        <v>466</v>
      </c>
      <c r="I1819" s="7" t="s">
        <v>355</v>
      </c>
      <c r="J1819" s="14"/>
      <c r="K1819" s="14"/>
      <c r="O1819" s="22"/>
      <c r="P1819" s="22"/>
      <c r="Q1819" s="23"/>
      <c r="R1819" s="23"/>
      <c r="S1819" s="14"/>
    </row>
    <row r="1820" ht="18.75" customHeight="1">
      <c r="A1820" s="7" t="s">
        <v>1839</v>
      </c>
      <c r="B1820" s="7" t="s">
        <v>3875</v>
      </c>
      <c r="C1820" s="9">
        <v>445863.0</v>
      </c>
      <c r="D1820" s="9">
        <v>20113.0</v>
      </c>
      <c r="E1820" s="9">
        <v>361.0</v>
      </c>
      <c r="F1820" s="7" t="s">
        <v>1840</v>
      </c>
      <c r="G1820" s="7" t="s">
        <v>416</v>
      </c>
      <c r="H1820" s="7" t="s">
        <v>417</v>
      </c>
      <c r="I1820" s="7" t="s">
        <v>355</v>
      </c>
      <c r="J1820" s="14"/>
      <c r="K1820" s="14"/>
      <c r="O1820" s="22"/>
      <c r="P1820" s="22"/>
      <c r="Q1820" s="23"/>
      <c r="R1820" s="23"/>
      <c r="S1820" s="14"/>
    </row>
    <row r="1821" ht="18.75" customHeight="1">
      <c r="A1821" s="7" t="s">
        <v>1863</v>
      </c>
      <c r="B1821" s="7" t="s">
        <v>3875</v>
      </c>
      <c r="C1821" s="9">
        <v>828333.0</v>
      </c>
      <c r="D1821" s="9">
        <v>61425.0</v>
      </c>
      <c r="E1821" s="9">
        <v>926.0</v>
      </c>
      <c r="F1821" s="7" t="s">
        <v>1864</v>
      </c>
      <c r="G1821" s="7" t="s">
        <v>358</v>
      </c>
      <c r="H1821" s="7" t="s">
        <v>466</v>
      </c>
      <c r="I1821" s="7" t="s">
        <v>410</v>
      </c>
      <c r="J1821" s="14"/>
      <c r="K1821" s="14"/>
      <c r="O1821" s="22"/>
      <c r="P1821" s="22"/>
      <c r="Q1821" s="23"/>
      <c r="R1821" s="23"/>
      <c r="S1821" s="14"/>
    </row>
    <row r="1822" ht="18.75" customHeight="1">
      <c r="A1822" s="7" t="s">
        <v>1863</v>
      </c>
      <c r="B1822" s="7" t="s">
        <v>3875</v>
      </c>
      <c r="C1822" s="9">
        <v>809309.0</v>
      </c>
      <c r="D1822" s="9">
        <v>68320.0</v>
      </c>
      <c r="E1822" s="9">
        <v>996.0</v>
      </c>
      <c r="F1822" s="7" t="s">
        <v>1864</v>
      </c>
      <c r="G1822" s="7" t="s">
        <v>358</v>
      </c>
      <c r="H1822" s="7" t="s">
        <v>466</v>
      </c>
      <c r="I1822" s="7" t="s">
        <v>410</v>
      </c>
      <c r="J1822" s="14"/>
      <c r="K1822" s="14"/>
      <c r="O1822" s="22"/>
      <c r="P1822" s="22"/>
      <c r="Q1822" s="23"/>
      <c r="R1822" s="23"/>
      <c r="S1822" s="14"/>
    </row>
    <row r="1823" ht="18.75" customHeight="1">
      <c r="A1823" s="7" t="s">
        <v>1867</v>
      </c>
      <c r="B1823" s="7" t="s">
        <v>3875</v>
      </c>
      <c r="C1823" s="9">
        <v>1457818.0</v>
      </c>
      <c r="D1823" s="9">
        <v>108393.0</v>
      </c>
      <c r="E1823" s="9">
        <v>2811.0</v>
      </c>
      <c r="F1823" s="7" t="s">
        <v>1868</v>
      </c>
      <c r="G1823" s="7" t="s">
        <v>358</v>
      </c>
      <c r="H1823" s="7" t="s">
        <v>466</v>
      </c>
      <c r="I1823" s="7" t="s">
        <v>355</v>
      </c>
      <c r="J1823" s="14"/>
      <c r="K1823" s="14"/>
      <c r="O1823" s="22"/>
      <c r="P1823" s="22"/>
      <c r="Q1823" s="23"/>
      <c r="R1823" s="23"/>
      <c r="S1823" s="14"/>
    </row>
    <row r="1824" ht="18.75" customHeight="1">
      <c r="A1824" s="7" t="s">
        <v>1882</v>
      </c>
      <c r="B1824" s="7" t="s">
        <v>3875</v>
      </c>
      <c r="C1824" s="9">
        <v>23352.0</v>
      </c>
      <c r="D1824" s="9">
        <v>0.0</v>
      </c>
      <c r="E1824" s="9">
        <v>899.0</v>
      </c>
      <c r="F1824" s="7" t="s">
        <v>1883</v>
      </c>
      <c r="G1824" s="7" t="s">
        <v>416</v>
      </c>
      <c r="H1824" s="7" t="s">
        <v>417</v>
      </c>
      <c r="I1824" s="7" t="s">
        <v>355</v>
      </c>
      <c r="J1824" s="14"/>
      <c r="K1824" s="14"/>
      <c r="O1824" s="22"/>
      <c r="P1824" s="22"/>
      <c r="Q1824" s="23"/>
      <c r="R1824" s="23"/>
      <c r="S1824" s="14"/>
    </row>
    <row r="1825" ht="18.75" customHeight="1">
      <c r="A1825" s="7" t="s">
        <v>1892</v>
      </c>
      <c r="B1825" s="7" t="s">
        <v>3875</v>
      </c>
      <c r="C1825" s="9">
        <v>29286.0</v>
      </c>
      <c r="D1825" s="9">
        <v>0.0</v>
      </c>
      <c r="E1825" s="9">
        <v>776.0</v>
      </c>
      <c r="F1825" s="7" t="s">
        <v>1893</v>
      </c>
      <c r="G1825" s="7" t="s">
        <v>364</v>
      </c>
      <c r="H1825" s="7" t="s">
        <v>365</v>
      </c>
      <c r="I1825" s="7" t="s">
        <v>410</v>
      </c>
      <c r="J1825" s="14"/>
      <c r="K1825" s="14"/>
      <c r="O1825" s="22"/>
      <c r="P1825" s="22"/>
      <c r="Q1825" s="23"/>
      <c r="R1825" s="23"/>
      <c r="S1825" s="14"/>
    </row>
    <row r="1826" ht="18.75" customHeight="1">
      <c r="A1826" s="7" t="s">
        <v>1888</v>
      </c>
      <c r="B1826" s="7" t="s">
        <v>3875</v>
      </c>
      <c r="C1826" s="9">
        <v>21861.0</v>
      </c>
      <c r="D1826" s="9">
        <v>0.0</v>
      </c>
      <c r="E1826" s="9">
        <v>473.0</v>
      </c>
      <c r="F1826" s="7" t="s">
        <v>1889</v>
      </c>
      <c r="G1826" s="7" t="s">
        <v>364</v>
      </c>
      <c r="H1826" s="7" t="s">
        <v>365</v>
      </c>
      <c r="I1826" s="7" t="s">
        <v>355</v>
      </c>
      <c r="J1826" s="14"/>
      <c r="K1826" s="14"/>
      <c r="O1826" s="22"/>
      <c r="P1826" s="22"/>
      <c r="Q1826" s="23"/>
      <c r="R1826" s="23"/>
      <c r="S1826" s="14"/>
    </row>
    <row r="1827" ht="18.75" customHeight="1">
      <c r="A1827" s="7" t="s">
        <v>1890</v>
      </c>
      <c r="B1827" s="7" t="s">
        <v>3875</v>
      </c>
      <c r="C1827" s="9">
        <v>25672.0</v>
      </c>
      <c r="D1827" s="9">
        <v>0.0</v>
      </c>
      <c r="E1827" s="9">
        <v>290.0</v>
      </c>
      <c r="F1827" s="7" t="s">
        <v>1891</v>
      </c>
      <c r="G1827" s="7" t="s">
        <v>364</v>
      </c>
      <c r="H1827" s="7" t="s">
        <v>365</v>
      </c>
      <c r="I1827" s="7" t="s">
        <v>355</v>
      </c>
      <c r="J1827" s="14"/>
      <c r="K1827" s="14"/>
      <c r="O1827" s="22"/>
      <c r="P1827" s="22"/>
      <c r="Q1827" s="23"/>
      <c r="R1827" s="23"/>
      <c r="S1827" s="14"/>
    </row>
    <row r="1828" ht="18.75" customHeight="1">
      <c r="A1828" s="7" t="s">
        <v>1831</v>
      </c>
      <c r="B1828" s="7" t="s">
        <v>3875</v>
      </c>
      <c r="C1828" s="9">
        <v>319290.0</v>
      </c>
      <c r="D1828" s="9">
        <v>0.0</v>
      </c>
      <c r="E1828" s="9">
        <v>4631.0</v>
      </c>
      <c r="F1828" s="7" t="s">
        <v>1832</v>
      </c>
      <c r="G1828" s="7" t="s">
        <v>358</v>
      </c>
      <c r="H1828" s="7" t="s">
        <v>1665</v>
      </c>
      <c r="I1828" s="7" t="s">
        <v>410</v>
      </c>
      <c r="J1828" s="14"/>
      <c r="K1828" s="14"/>
      <c r="O1828" s="22"/>
      <c r="P1828" s="22"/>
      <c r="Q1828" s="23"/>
      <c r="R1828" s="23"/>
      <c r="S1828" s="14"/>
    </row>
    <row r="1829" ht="18.75" customHeight="1">
      <c r="A1829" s="7" t="s">
        <v>1900</v>
      </c>
      <c r="B1829" s="7" t="s">
        <v>3875</v>
      </c>
      <c r="C1829" s="9">
        <v>97526.0</v>
      </c>
      <c r="D1829" s="9">
        <v>0.0</v>
      </c>
      <c r="E1829" s="9">
        <v>269.0</v>
      </c>
      <c r="F1829" s="7" t="s">
        <v>1901</v>
      </c>
      <c r="G1829" s="7" t="s">
        <v>416</v>
      </c>
      <c r="H1829" s="7" t="s">
        <v>466</v>
      </c>
      <c r="I1829" s="7" t="s">
        <v>355</v>
      </c>
      <c r="J1829" s="14"/>
      <c r="K1829" s="14"/>
      <c r="O1829" s="22"/>
      <c r="P1829" s="22"/>
      <c r="Q1829" s="23"/>
      <c r="R1829" s="23"/>
      <c r="S1829" s="14"/>
    </row>
    <row r="1830" ht="18.75" customHeight="1">
      <c r="A1830" s="7" t="s">
        <v>1902</v>
      </c>
      <c r="B1830" s="7" t="s">
        <v>3875</v>
      </c>
      <c r="C1830" s="9">
        <v>429366.0</v>
      </c>
      <c r="D1830" s="9">
        <v>0.0</v>
      </c>
      <c r="E1830" s="9">
        <v>402.0</v>
      </c>
      <c r="F1830" s="7" t="s">
        <v>1903</v>
      </c>
      <c r="G1830" s="7" t="s">
        <v>416</v>
      </c>
      <c r="H1830" s="7" t="s">
        <v>466</v>
      </c>
      <c r="I1830" s="7" t="s">
        <v>355</v>
      </c>
      <c r="J1830" s="14"/>
      <c r="K1830" s="14"/>
      <c r="O1830" s="22"/>
      <c r="P1830" s="22"/>
      <c r="Q1830" s="23"/>
      <c r="R1830" s="23"/>
      <c r="S1830" s="14"/>
    </row>
    <row r="1831" ht="18.75" customHeight="1">
      <c r="A1831" s="7" t="s">
        <v>1898</v>
      </c>
      <c r="B1831" s="7" t="s">
        <v>3875</v>
      </c>
      <c r="C1831" s="9">
        <v>104076.0</v>
      </c>
      <c r="D1831" s="9">
        <v>0.0</v>
      </c>
      <c r="E1831" s="9">
        <v>390.0</v>
      </c>
      <c r="F1831" s="7" t="s">
        <v>1899</v>
      </c>
      <c r="G1831" s="7" t="s">
        <v>416</v>
      </c>
      <c r="H1831" s="7" t="s">
        <v>466</v>
      </c>
      <c r="I1831" s="7" t="s">
        <v>355</v>
      </c>
      <c r="J1831" s="14"/>
      <c r="K1831" s="14"/>
      <c r="O1831" s="22"/>
      <c r="P1831" s="22"/>
      <c r="Q1831" s="23"/>
      <c r="R1831" s="23"/>
      <c r="S1831" s="14"/>
    </row>
    <row r="1832" ht="18.75" customHeight="1">
      <c r="A1832" s="7" t="s">
        <v>1910</v>
      </c>
      <c r="B1832" s="7" t="s">
        <v>3875</v>
      </c>
      <c r="C1832" s="9">
        <v>365488.0</v>
      </c>
      <c r="D1832" s="9">
        <v>0.0</v>
      </c>
      <c r="E1832" s="9">
        <v>322.0</v>
      </c>
      <c r="F1832" s="7" t="s">
        <v>1911</v>
      </c>
      <c r="G1832" s="7" t="s">
        <v>416</v>
      </c>
      <c r="H1832" s="7" t="s">
        <v>725</v>
      </c>
      <c r="I1832" s="7" t="s">
        <v>355</v>
      </c>
      <c r="J1832" s="14"/>
      <c r="K1832" s="14"/>
      <c r="O1832" s="22"/>
      <c r="P1832" s="22"/>
      <c r="Q1832" s="23"/>
      <c r="R1832" s="23"/>
      <c r="S1832" s="14"/>
    </row>
    <row r="1833" ht="18.75" customHeight="1">
      <c r="A1833" s="7" t="s">
        <v>1912</v>
      </c>
      <c r="B1833" s="7" t="s">
        <v>3875</v>
      </c>
      <c r="C1833" s="9">
        <v>105926.0</v>
      </c>
      <c r="D1833" s="9">
        <v>0.0</v>
      </c>
      <c r="E1833" s="9">
        <v>458.0</v>
      </c>
      <c r="F1833" s="7" t="s">
        <v>1913</v>
      </c>
      <c r="G1833" s="7" t="s">
        <v>416</v>
      </c>
      <c r="H1833" s="7" t="s">
        <v>378</v>
      </c>
      <c r="I1833" s="7" t="s">
        <v>355</v>
      </c>
      <c r="J1833" s="14"/>
      <c r="K1833" s="14"/>
      <c r="O1833" s="22"/>
      <c r="P1833" s="22"/>
      <c r="Q1833" s="23"/>
      <c r="R1833" s="23"/>
      <c r="S1833" s="14"/>
    </row>
    <row r="1834" ht="18.75" customHeight="1">
      <c r="A1834" s="7" t="s">
        <v>1914</v>
      </c>
      <c r="B1834" s="7" t="s">
        <v>3875</v>
      </c>
      <c r="C1834" s="9">
        <v>118581.0</v>
      </c>
      <c r="D1834" s="9">
        <v>0.0</v>
      </c>
      <c r="E1834" s="9">
        <v>367.0</v>
      </c>
      <c r="F1834" s="7" t="s">
        <v>1915</v>
      </c>
      <c r="G1834" s="7" t="s">
        <v>416</v>
      </c>
      <c r="H1834" s="7" t="s">
        <v>594</v>
      </c>
      <c r="I1834" s="7" t="s">
        <v>355</v>
      </c>
      <c r="J1834" s="14"/>
      <c r="K1834" s="14"/>
      <c r="O1834" s="22"/>
      <c r="P1834" s="22"/>
      <c r="Q1834" s="23"/>
      <c r="R1834" s="23"/>
      <c r="S1834" s="14"/>
    </row>
    <row r="1835" ht="18.75" customHeight="1">
      <c r="A1835" s="7" t="s">
        <v>1739</v>
      </c>
      <c r="B1835" s="7" t="s">
        <v>3875</v>
      </c>
      <c r="C1835" s="9">
        <v>137536.0</v>
      </c>
      <c r="D1835" s="9">
        <v>0.0</v>
      </c>
      <c r="E1835" s="9">
        <v>1009.0</v>
      </c>
      <c r="F1835" s="7" t="s">
        <v>1740</v>
      </c>
      <c r="G1835" s="7" t="s">
        <v>364</v>
      </c>
      <c r="H1835" s="7" t="s">
        <v>365</v>
      </c>
      <c r="I1835" s="7" t="s">
        <v>355</v>
      </c>
      <c r="J1835" s="14"/>
      <c r="K1835" s="14"/>
      <c r="O1835" s="22"/>
      <c r="P1835" s="22"/>
      <c r="Q1835" s="23"/>
      <c r="R1835" s="23"/>
      <c r="S1835" s="14"/>
    </row>
    <row r="1836" ht="18.75" customHeight="1">
      <c r="A1836" s="7" t="s">
        <v>1865</v>
      </c>
      <c r="B1836" s="7" t="s">
        <v>3875</v>
      </c>
      <c r="C1836" s="9">
        <v>157388.0</v>
      </c>
      <c r="D1836" s="9">
        <v>0.0</v>
      </c>
      <c r="E1836" s="9">
        <v>4105.0</v>
      </c>
      <c r="F1836" s="7" t="s">
        <v>1866</v>
      </c>
      <c r="G1836" s="7" t="s">
        <v>416</v>
      </c>
      <c r="H1836" s="7" t="s">
        <v>417</v>
      </c>
      <c r="I1836" s="7" t="s">
        <v>355</v>
      </c>
      <c r="J1836" s="14"/>
      <c r="K1836" s="14"/>
      <c r="O1836" s="22"/>
      <c r="P1836" s="22"/>
      <c r="Q1836" s="23"/>
      <c r="R1836" s="23"/>
      <c r="S1836" s="14"/>
    </row>
    <row r="1837" ht="18.75" customHeight="1">
      <c r="A1837" s="7" t="s">
        <v>1865</v>
      </c>
      <c r="B1837" s="7" t="s">
        <v>3875</v>
      </c>
      <c r="C1837" s="9">
        <v>62926.0</v>
      </c>
      <c r="D1837" s="9">
        <v>0.0</v>
      </c>
      <c r="E1837" s="9">
        <v>1669.0</v>
      </c>
      <c r="F1837" s="7" t="s">
        <v>1866</v>
      </c>
      <c r="G1837" s="7" t="s">
        <v>416</v>
      </c>
      <c r="H1837" s="7" t="s">
        <v>417</v>
      </c>
      <c r="I1837" s="7" t="s">
        <v>355</v>
      </c>
      <c r="J1837" s="14"/>
      <c r="K1837" s="14"/>
      <c r="O1837" s="22"/>
      <c r="P1837" s="22"/>
      <c r="Q1837" s="23"/>
      <c r="R1837" s="23"/>
      <c r="S1837" s="14"/>
    </row>
    <row r="1838" ht="18.75" customHeight="1">
      <c r="A1838" s="7" t="s">
        <v>1879</v>
      </c>
      <c r="B1838" s="7" t="s">
        <v>3875</v>
      </c>
      <c r="C1838" s="9">
        <v>138632.0</v>
      </c>
      <c r="D1838" s="9">
        <v>0.0</v>
      </c>
      <c r="E1838" s="9">
        <v>736.0</v>
      </c>
      <c r="F1838" s="7" t="s">
        <v>1880</v>
      </c>
      <c r="G1838" s="7" t="s">
        <v>353</v>
      </c>
      <c r="H1838" s="7" t="s">
        <v>378</v>
      </c>
      <c r="I1838" s="7" t="s">
        <v>355</v>
      </c>
      <c r="J1838" s="14"/>
      <c r="K1838" s="14"/>
      <c r="O1838" s="22"/>
      <c r="P1838" s="22"/>
      <c r="Q1838" s="23"/>
      <c r="R1838" s="23"/>
      <c r="S1838" s="14"/>
    </row>
    <row r="1839" ht="18.75" customHeight="1">
      <c r="A1839" s="7" t="s">
        <v>1837</v>
      </c>
      <c r="B1839" s="7" t="s">
        <v>3875</v>
      </c>
      <c r="C1839" s="9">
        <v>74335.0</v>
      </c>
      <c r="D1839" s="9">
        <v>16309.0</v>
      </c>
      <c r="E1839" s="9">
        <v>294.0</v>
      </c>
      <c r="F1839" s="7" t="s">
        <v>1838</v>
      </c>
      <c r="G1839" s="7" t="s">
        <v>416</v>
      </c>
      <c r="H1839" s="7" t="s">
        <v>417</v>
      </c>
      <c r="I1839" s="7" t="s">
        <v>355</v>
      </c>
      <c r="J1839" s="14"/>
      <c r="K1839" s="14"/>
      <c r="O1839" s="22"/>
      <c r="P1839" s="22"/>
      <c r="Q1839" s="23"/>
      <c r="R1839" s="23"/>
      <c r="S1839" s="14"/>
    </row>
    <row r="1840" ht="18.75" customHeight="1">
      <c r="A1840" s="7" t="s">
        <v>1833</v>
      </c>
      <c r="B1840" s="7" t="s">
        <v>3875</v>
      </c>
      <c r="C1840" s="9">
        <v>202529.0</v>
      </c>
      <c r="D1840" s="9">
        <v>0.0</v>
      </c>
      <c r="E1840" s="9">
        <v>5418.0</v>
      </c>
      <c r="F1840" s="7" t="s">
        <v>1834</v>
      </c>
      <c r="G1840" s="7" t="s">
        <v>404</v>
      </c>
      <c r="H1840" s="7" t="s">
        <v>760</v>
      </c>
      <c r="I1840" s="7" t="s">
        <v>355</v>
      </c>
      <c r="J1840" s="14"/>
      <c r="K1840" s="14"/>
      <c r="O1840" s="22"/>
      <c r="P1840" s="22"/>
      <c r="Q1840" s="23"/>
      <c r="R1840" s="23"/>
      <c r="S1840" s="14"/>
    </row>
    <row r="1841" ht="18.75" customHeight="1">
      <c r="A1841" s="7" t="s">
        <v>1877</v>
      </c>
      <c r="B1841" s="7" t="s">
        <v>3875</v>
      </c>
      <c r="C1841" s="9">
        <v>552245.0</v>
      </c>
      <c r="D1841" s="9">
        <v>0.0</v>
      </c>
      <c r="E1841" s="9">
        <v>1011.0</v>
      </c>
      <c r="F1841" s="7" t="s">
        <v>1878</v>
      </c>
      <c r="G1841" s="7" t="s">
        <v>353</v>
      </c>
      <c r="H1841" s="7" t="s">
        <v>378</v>
      </c>
      <c r="I1841" s="7" t="s">
        <v>355</v>
      </c>
      <c r="J1841" s="14"/>
      <c r="K1841" s="14"/>
      <c r="O1841" s="22"/>
      <c r="P1841" s="22"/>
      <c r="Q1841" s="23"/>
      <c r="R1841" s="23"/>
      <c r="S1841" s="14"/>
    </row>
    <row r="1842" ht="18.75" customHeight="1">
      <c r="A1842" s="7" t="s">
        <v>1801</v>
      </c>
      <c r="B1842" s="7" t="s">
        <v>3875</v>
      </c>
      <c r="C1842" s="9">
        <v>594610.0</v>
      </c>
      <c r="D1842" s="9">
        <v>35882.0</v>
      </c>
      <c r="E1842" s="9">
        <v>590.0</v>
      </c>
      <c r="F1842" s="7" t="s">
        <v>1802</v>
      </c>
      <c r="G1842" s="7" t="s">
        <v>416</v>
      </c>
      <c r="H1842" s="7" t="s">
        <v>417</v>
      </c>
      <c r="I1842" s="7" t="s">
        <v>355</v>
      </c>
      <c r="J1842" s="14"/>
      <c r="K1842" s="14"/>
      <c r="O1842" s="22"/>
      <c r="P1842" s="22"/>
      <c r="Q1842" s="23"/>
      <c r="R1842" s="23"/>
      <c r="S1842" s="14"/>
    </row>
    <row r="1843" ht="18.75" customHeight="1">
      <c r="A1843" s="7" t="s">
        <v>1691</v>
      </c>
      <c r="B1843" s="7" t="s">
        <v>3875</v>
      </c>
      <c r="C1843" s="9">
        <v>1446036.0</v>
      </c>
      <c r="D1843" s="9">
        <v>127076.0</v>
      </c>
      <c r="E1843" s="9">
        <v>3130.0</v>
      </c>
      <c r="F1843" s="7" t="s">
        <v>1692</v>
      </c>
      <c r="G1843" s="7" t="s">
        <v>364</v>
      </c>
      <c r="H1843" s="7" t="s">
        <v>365</v>
      </c>
      <c r="I1843" s="7" t="s">
        <v>355</v>
      </c>
      <c r="J1843" s="14"/>
      <c r="K1843" s="14"/>
      <c r="O1843" s="22"/>
      <c r="P1843" s="22"/>
      <c r="Q1843" s="23"/>
      <c r="R1843" s="23"/>
      <c r="S1843" s="14"/>
    </row>
    <row r="1844" ht="18.75" customHeight="1">
      <c r="A1844" s="7" t="s">
        <v>1904</v>
      </c>
      <c r="B1844" s="7" t="s">
        <v>3875</v>
      </c>
      <c r="C1844" s="9">
        <v>69425.0</v>
      </c>
      <c r="D1844" s="9">
        <v>0.0</v>
      </c>
      <c r="E1844" s="9">
        <v>228.0</v>
      </c>
      <c r="F1844" s="7" t="s">
        <v>1905</v>
      </c>
      <c r="G1844" s="7" t="s">
        <v>416</v>
      </c>
      <c r="H1844" s="7" t="s">
        <v>466</v>
      </c>
      <c r="I1844" s="7" t="s">
        <v>355</v>
      </c>
      <c r="J1844" s="14"/>
      <c r="K1844" s="14"/>
      <c r="O1844" s="22"/>
      <c r="P1844" s="22"/>
      <c r="Q1844" s="23"/>
      <c r="R1844" s="23"/>
      <c r="S1844" s="14"/>
    </row>
    <row r="1845" ht="18.75" customHeight="1">
      <c r="A1845" s="7" t="s">
        <v>1859</v>
      </c>
      <c r="B1845" s="7" t="s">
        <v>3875</v>
      </c>
      <c r="C1845" s="9">
        <v>126209.0</v>
      </c>
      <c r="D1845" s="9">
        <v>598.0</v>
      </c>
      <c r="E1845" s="9">
        <v>1857.0</v>
      </c>
      <c r="F1845" s="7" t="s">
        <v>1860</v>
      </c>
      <c r="G1845" s="7" t="s">
        <v>364</v>
      </c>
      <c r="H1845" s="7" t="s">
        <v>365</v>
      </c>
      <c r="I1845" s="7" t="s">
        <v>355</v>
      </c>
      <c r="J1845" s="14"/>
      <c r="K1845" s="14"/>
      <c r="O1845" s="22"/>
      <c r="P1845" s="22"/>
      <c r="Q1845" s="23"/>
      <c r="R1845" s="23"/>
      <c r="S1845" s="14"/>
    </row>
    <row r="1846" ht="18.75" customHeight="1">
      <c r="A1846" s="7" t="s">
        <v>1932</v>
      </c>
      <c r="B1846" s="7" t="s">
        <v>3875</v>
      </c>
      <c r="C1846" s="9">
        <v>646200.0</v>
      </c>
      <c r="D1846" s="9">
        <v>0.0</v>
      </c>
      <c r="E1846" s="9">
        <v>826.0</v>
      </c>
      <c r="F1846" s="7" t="s">
        <v>1933</v>
      </c>
      <c r="G1846" s="7" t="s">
        <v>503</v>
      </c>
      <c r="H1846" s="7" t="s">
        <v>417</v>
      </c>
      <c r="I1846" s="7" t="s">
        <v>355</v>
      </c>
      <c r="J1846" s="14"/>
      <c r="K1846" s="14"/>
      <c r="O1846" s="22"/>
      <c r="P1846" s="22"/>
      <c r="Q1846" s="23"/>
      <c r="R1846" s="23"/>
      <c r="S1846" s="14"/>
    </row>
    <row r="1847" ht="18.75" customHeight="1">
      <c r="A1847" s="7" t="s">
        <v>1725</v>
      </c>
      <c r="B1847" s="7" t="s">
        <v>3875</v>
      </c>
      <c r="C1847" s="9">
        <v>208455.0</v>
      </c>
      <c r="D1847" s="9">
        <v>0.0</v>
      </c>
      <c r="E1847" s="9">
        <v>535.0</v>
      </c>
      <c r="F1847" s="7" t="s">
        <v>1726</v>
      </c>
      <c r="G1847" s="7" t="s">
        <v>353</v>
      </c>
      <c r="H1847" s="7" t="s">
        <v>378</v>
      </c>
      <c r="I1847" s="7" t="s">
        <v>410</v>
      </c>
      <c r="J1847" s="14"/>
      <c r="K1847" s="14"/>
      <c r="O1847" s="22"/>
      <c r="P1847" s="22"/>
      <c r="Q1847" s="23"/>
      <c r="R1847" s="23"/>
      <c r="S1847" s="14"/>
    </row>
    <row r="1848" ht="18.75" customHeight="1">
      <c r="A1848" s="7" t="s">
        <v>1930</v>
      </c>
      <c r="B1848" s="7" t="s">
        <v>3875</v>
      </c>
      <c r="C1848" s="9">
        <v>186137.0</v>
      </c>
      <c r="D1848" s="9">
        <v>0.0</v>
      </c>
      <c r="E1848" s="9">
        <v>5449.0</v>
      </c>
      <c r="F1848" s="7" t="s">
        <v>1931</v>
      </c>
      <c r="G1848" s="7" t="s">
        <v>353</v>
      </c>
      <c r="H1848" s="7" t="s">
        <v>354</v>
      </c>
      <c r="I1848" s="7" t="s">
        <v>355</v>
      </c>
      <c r="J1848" s="14"/>
      <c r="K1848" s="14"/>
      <c r="O1848" s="22"/>
      <c r="P1848" s="22"/>
      <c r="Q1848" s="23"/>
      <c r="R1848" s="23"/>
      <c r="S1848" s="14"/>
    </row>
    <row r="1849" ht="18.75" customHeight="1">
      <c r="A1849" s="7" t="s">
        <v>529</v>
      </c>
      <c r="B1849" s="7" t="s">
        <v>3875</v>
      </c>
      <c r="C1849" s="9">
        <v>32522.0</v>
      </c>
      <c r="D1849" s="9">
        <v>0.0</v>
      </c>
      <c r="E1849" s="9">
        <v>167.0</v>
      </c>
      <c r="F1849" s="7" t="s">
        <v>530</v>
      </c>
      <c r="G1849" s="7" t="s">
        <v>358</v>
      </c>
      <c r="H1849" s="7" t="s">
        <v>387</v>
      </c>
      <c r="I1849" s="7" t="s">
        <v>355</v>
      </c>
      <c r="J1849" s="14"/>
      <c r="K1849" s="14"/>
      <c r="O1849" s="22"/>
      <c r="P1849" s="22"/>
      <c r="Q1849" s="23"/>
      <c r="R1849" s="23"/>
      <c r="S1849" s="14"/>
    </row>
    <row r="1850" ht="18.75" customHeight="1">
      <c r="A1850" s="7" t="s">
        <v>529</v>
      </c>
      <c r="B1850" s="7" t="s">
        <v>3875</v>
      </c>
      <c r="C1850" s="9">
        <v>106345.0</v>
      </c>
      <c r="D1850" s="9">
        <v>0.0</v>
      </c>
      <c r="E1850" s="9">
        <v>274.0</v>
      </c>
      <c r="F1850" s="7" t="s">
        <v>530</v>
      </c>
      <c r="G1850" s="7" t="s">
        <v>358</v>
      </c>
      <c r="H1850" s="7" t="s">
        <v>387</v>
      </c>
      <c r="I1850" s="7" t="s">
        <v>355</v>
      </c>
      <c r="J1850" s="14"/>
      <c r="K1850" s="14"/>
      <c r="O1850" s="22"/>
      <c r="P1850" s="22"/>
      <c r="Q1850" s="23"/>
      <c r="R1850" s="23"/>
      <c r="S1850" s="14"/>
    </row>
    <row r="1851" ht="18.75" customHeight="1">
      <c r="A1851" s="7" t="s">
        <v>529</v>
      </c>
      <c r="B1851" s="7" t="s">
        <v>3875</v>
      </c>
      <c r="C1851" s="9">
        <v>67523.0</v>
      </c>
      <c r="D1851" s="9">
        <v>0.0</v>
      </c>
      <c r="E1851" s="9">
        <v>226.0</v>
      </c>
      <c r="F1851" s="7" t="s">
        <v>530</v>
      </c>
      <c r="G1851" s="7" t="s">
        <v>358</v>
      </c>
      <c r="H1851" s="7" t="s">
        <v>387</v>
      </c>
      <c r="I1851" s="7" t="s">
        <v>355</v>
      </c>
      <c r="J1851" s="14"/>
      <c r="K1851" s="14"/>
      <c r="O1851" s="22"/>
      <c r="P1851" s="22"/>
      <c r="Q1851" s="23"/>
      <c r="R1851" s="23"/>
      <c r="S1851" s="14"/>
    </row>
    <row r="1852" ht="18.75" customHeight="1">
      <c r="A1852" s="7" t="s">
        <v>529</v>
      </c>
      <c r="B1852" s="7" t="s">
        <v>3875</v>
      </c>
      <c r="C1852" s="9">
        <v>45865.0</v>
      </c>
      <c r="D1852" s="9">
        <v>0.0</v>
      </c>
      <c r="E1852" s="9">
        <v>229.0</v>
      </c>
      <c r="F1852" s="7" t="s">
        <v>530</v>
      </c>
      <c r="G1852" s="7" t="s">
        <v>358</v>
      </c>
      <c r="H1852" s="7" t="s">
        <v>387</v>
      </c>
      <c r="I1852" s="7" t="s">
        <v>355</v>
      </c>
      <c r="J1852" s="14"/>
      <c r="K1852" s="14"/>
      <c r="O1852" s="22"/>
      <c r="P1852" s="22"/>
      <c r="Q1852" s="23"/>
      <c r="R1852" s="23"/>
      <c r="S1852" s="14"/>
    </row>
    <row r="1853" ht="18.75" customHeight="1">
      <c r="A1853" s="7" t="s">
        <v>529</v>
      </c>
      <c r="B1853" s="7" t="s">
        <v>3875</v>
      </c>
      <c r="C1853" s="9">
        <v>29252.0</v>
      </c>
      <c r="D1853" s="9">
        <v>0.0</v>
      </c>
      <c r="E1853" s="9">
        <v>149.0</v>
      </c>
      <c r="F1853" s="7" t="s">
        <v>530</v>
      </c>
      <c r="G1853" s="7" t="s">
        <v>358</v>
      </c>
      <c r="H1853" s="7" t="s">
        <v>387</v>
      </c>
      <c r="I1853" s="7" t="s">
        <v>355</v>
      </c>
      <c r="J1853" s="14"/>
      <c r="K1853" s="14"/>
      <c r="O1853" s="22"/>
      <c r="P1853" s="22"/>
      <c r="Q1853" s="23"/>
      <c r="R1853" s="23"/>
      <c r="S1853" s="14"/>
    </row>
    <row r="1854" ht="18.75" customHeight="1">
      <c r="A1854" s="7" t="s">
        <v>1938</v>
      </c>
      <c r="B1854" s="7" t="s">
        <v>3875</v>
      </c>
      <c r="C1854" s="9">
        <v>118382.0</v>
      </c>
      <c r="D1854" s="9">
        <v>0.0</v>
      </c>
      <c r="E1854" s="9">
        <v>391.0</v>
      </c>
      <c r="F1854" s="7" t="s">
        <v>1939</v>
      </c>
      <c r="G1854" s="7" t="s">
        <v>416</v>
      </c>
      <c r="H1854" s="7" t="s">
        <v>365</v>
      </c>
      <c r="I1854" s="7" t="s">
        <v>355</v>
      </c>
      <c r="J1854" s="14"/>
      <c r="K1854" s="14"/>
      <c r="O1854" s="22"/>
      <c r="P1854" s="22"/>
      <c r="Q1854" s="23"/>
      <c r="R1854" s="23"/>
      <c r="S1854" s="14"/>
    </row>
    <row r="1855" ht="18.75" customHeight="1">
      <c r="A1855" s="7" t="s">
        <v>1936</v>
      </c>
      <c r="B1855" s="7" t="s">
        <v>3875</v>
      </c>
      <c r="C1855" s="9">
        <v>26783.0</v>
      </c>
      <c r="D1855" s="9">
        <v>0.0</v>
      </c>
      <c r="E1855" s="9">
        <v>880.0</v>
      </c>
      <c r="F1855" s="7" t="s">
        <v>1937</v>
      </c>
      <c r="G1855" s="7" t="s">
        <v>416</v>
      </c>
      <c r="H1855" s="7" t="s">
        <v>417</v>
      </c>
      <c r="I1855" s="7" t="s">
        <v>355</v>
      </c>
      <c r="J1855" s="14"/>
      <c r="K1855" s="14"/>
      <c r="O1855" s="22"/>
      <c r="P1855" s="22"/>
      <c r="Q1855" s="23"/>
      <c r="R1855" s="23"/>
      <c r="S1855" s="14"/>
    </row>
    <row r="1856" ht="18.75" customHeight="1">
      <c r="A1856" s="7" t="s">
        <v>1944</v>
      </c>
      <c r="B1856" s="7" t="s">
        <v>3875</v>
      </c>
      <c r="C1856" s="9">
        <v>116414.0</v>
      </c>
      <c r="D1856" s="9">
        <v>0.0</v>
      </c>
      <c r="E1856" s="9">
        <v>106.0</v>
      </c>
      <c r="F1856" s="7" t="s">
        <v>1945</v>
      </c>
      <c r="G1856" s="7" t="s">
        <v>416</v>
      </c>
      <c r="H1856" s="7" t="s">
        <v>466</v>
      </c>
      <c r="I1856" s="7" t="s">
        <v>355</v>
      </c>
      <c r="J1856" s="14"/>
      <c r="K1856" s="14"/>
      <c r="O1856" s="22"/>
      <c r="P1856" s="22"/>
      <c r="Q1856" s="23"/>
      <c r="R1856" s="23"/>
      <c r="S1856" s="14"/>
    </row>
    <row r="1857" ht="18.75" customHeight="1">
      <c r="A1857" s="7" t="s">
        <v>1942</v>
      </c>
      <c r="B1857" s="7" t="s">
        <v>3875</v>
      </c>
      <c r="C1857" s="9">
        <v>99036.0</v>
      </c>
      <c r="D1857" s="9">
        <v>0.0</v>
      </c>
      <c r="E1857" s="9">
        <v>281.0</v>
      </c>
      <c r="F1857" s="7" t="s">
        <v>1943</v>
      </c>
      <c r="G1857" s="7" t="s">
        <v>416</v>
      </c>
      <c r="H1857" s="7" t="s">
        <v>667</v>
      </c>
      <c r="I1857" s="7" t="s">
        <v>355</v>
      </c>
      <c r="J1857" s="14"/>
      <c r="K1857" s="14"/>
      <c r="O1857" s="22"/>
      <c r="P1857" s="22"/>
      <c r="Q1857" s="23"/>
      <c r="R1857" s="23"/>
      <c r="S1857" s="14"/>
    </row>
    <row r="1858" ht="18.75" customHeight="1">
      <c r="A1858" s="7" t="s">
        <v>1928</v>
      </c>
      <c r="B1858" s="7" t="s">
        <v>3875</v>
      </c>
      <c r="C1858" s="9">
        <v>414.0</v>
      </c>
      <c r="D1858" s="9">
        <v>0.0</v>
      </c>
      <c r="E1858" s="9">
        <v>20.0</v>
      </c>
      <c r="F1858" s="7" t="s">
        <v>1929</v>
      </c>
      <c r="G1858" s="7" t="s">
        <v>364</v>
      </c>
      <c r="H1858" s="7" t="s">
        <v>365</v>
      </c>
      <c r="I1858" s="7" t="s">
        <v>355</v>
      </c>
      <c r="J1858" s="14"/>
      <c r="K1858" s="14"/>
      <c r="O1858" s="22"/>
      <c r="P1858" s="22"/>
      <c r="Q1858" s="23"/>
      <c r="R1858" s="23"/>
      <c r="S1858" s="14"/>
    </row>
    <row r="1859" ht="18.75" customHeight="1">
      <c r="A1859" s="7" t="s">
        <v>1882</v>
      </c>
      <c r="B1859" s="7" t="s">
        <v>3875</v>
      </c>
      <c r="C1859" s="9">
        <v>127751.0</v>
      </c>
      <c r="D1859" s="9">
        <v>18540.0</v>
      </c>
      <c r="E1859" s="9">
        <v>216.0</v>
      </c>
      <c r="F1859" s="7" t="s">
        <v>1883</v>
      </c>
      <c r="G1859" s="7" t="s">
        <v>416</v>
      </c>
      <c r="H1859" s="7" t="s">
        <v>417</v>
      </c>
      <c r="I1859" s="7" t="s">
        <v>355</v>
      </c>
      <c r="J1859" s="14"/>
      <c r="K1859" s="14"/>
      <c r="O1859" s="22"/>
      <c r="P1859" s="22"/>
      <c r="Q1859" s="23"/>
      <c r="R1859" s="23"/>
      <c r="S1859" s="14"/>
    </row>
    <row r="1860" ht="18.75" customHeight="1">
      <c r="A1860" s="7" t="s">
        <v>1960</v>
      </c>
      <c r="B1860" s="7" t="s">
        <v>3875</v>
      </c>
      <c r="C1860" s="9">
        <v>329438.0</v>
      </c>
      <c r="D1860" s="9">
        <v>0.0</v>
      </c>
      <c r="E1860" s="9">
        <v>502.0</v>
      </c>
      <c r="F1860" s="7" t="s">
        <v>1961</v>
      </c>
      <c r="G1860" s="7" t="s">
        <v>416</v>
      </c>
      <c r="H1860" s="7" t="s">
        <v>466</v>
      </c>
      <c r="I1860" s="7" t="s">
        <v>355</v>
      </c>
      <c r="J1860" s="14"/>
      <c r="K1860" s="14"/>
      <c r="O1860" s="22"/>
      <c r="P1860" s="22"/>
      <c r="Q1860" s="23"/>
      <c r="R1860" s="23"/>
      <c r="S1860" s="14"/>
    </row>
    <row r="1861" ht="18.75" customHeight="1">
      <c r="A1861" s="7" t="s">
        <v>1956</v>
      </c>
      <c r="B1861" s="7" t="s">
        <v>3875</v>
      </c>
      <c r="C1861" s="9">
        <v>76169.0</v>
      </c>
      <c r="D1861" s="9">
        <v>0.0</v>
      </c>
      <c r="E1861" s="9">
        <v>235.0</v>
      </c>
      <c r="F1861" s="7" t="s">
        <v>1957</v>
      </c>
      <c r="G1861" s="7" t="s">
        <v>416</v>
      </c>
      <c r="H1861" s="7" t="s">
        <v>466</v>
      </c>
      <c r="I1861" s="7" t="s">
        <v>355</v>
      </c>
      <c r="J1861" s="14"/>
      <c r="K1861" s="14"/>
      <c r="O1861" s="22"/>
      <c r="P1861" s="22"/>
      <c r="Q1861" s="23"/>
      <c r="R1861" s="23"/>
      <c r="S1861" s="14"/>
    </row>
    <row r="1862" ht="18.75" customHeight="1">
      <c r="A1862" s="7" t="s">
        <v>1958</v>
      </c>
      <c r="B1862" s="7" t="s">
        <v>3875</v>
      </c>
      <c r="C1862" s="9">
        <v>96917.0</v>
      </c>
      <c r="D1862" s="9">
        <v>0.0</v>
      </c>
      <c r="E1862" s="9">
        <v>281.0</v>
      </c>
      <c r="F1862" s="7" t="s">
        <v>1959</v>
      </c>
      <c r="G1862" s="7" t="s">
        <v>416</v>
      </c>
      <c r="H1862" s="7" t="s">
        <v>466</v>
      </c>
      <c r="I1862" s="7" t="s">
        <v>355</v>
      </c>
      <c r="J1862" s="14"/>
      <c r="K1862" s="14"/>
      <c r="O1862" s="22"/>
      <c r="P1862" s="22"/>
      <c r="Q1862" s="23"/>
      <c r="R1862" s="23"/>
      <c r="S1862" s="14"/>
    </row>
    <row r="1863" ht="18.75" customHeight="1">
      <c r="A1863" s="7" t="s">
        <v>1962</v>
      </c>
      <c r="B1863" s="7" t="s">
        <v>3875</v>
      </c>
      <c r="C1863" s="9">
        <v>213235.0</v>
      </c>
      <c r="D1863" s="9">
        <v>0.0</v>
      </c>
      <c r="E1863" s="9">
        <v>227.0</v>
      </c>
      <c r="F1863" s="7" t="s">
        <v>1963</v>
      </c>
      <c r="G1863" s="7" t="s">
        <v>416</v>
      </c>
      <c r="H1863" s="7" t="s">
        <v>466</v>
      </c>
      <c r="I1863" s="7" t="s">
        <v>355</v>
      </c>
      <c r="J1863" s="14"/>
      <c r="K1863" s="14"/>
      <c r="O1863" s="22"/>
      <c r="P1863" s="22"/>
      <c r="Q1863" s="23"/>
      <c r="R1863" s="23"/>
      <c r="S1863" s="14"/>
    </row>
    <row r="1864" ht="18.75" customHeight="1">
      <c r="A1864" s="7" t="s">
        <v>1940</v>
      </c>
      <c r="B1864" s="7" t="s">
        <v>3875</v>
      </c>
      <c r="C1864" s="9">
        <v>102457.0</v>
      </c>
      <c r="D1864" s="9">
        <v>0.0</v>
      </c>
      <c r="E1864" s="9">
        <v>396.0</v>
      </c>
      <c r="F1864" s="7" t="s">
        <v>1941</v>
      </c>
      <c r="G1864" s="7" t="s">
        <v>416</v>
      </c>
      <c r="H1864" s="7" t="s">
        <v>594</v>
      </c>
      <c r="I1864" s="7" t="s">
        <v>355</v>
      </c>
      <c r="J1864" s="14"/>
      <c r="K1864" s="14"/>
      <c r="O1864" s="22"/>
      <c r="P1864" s="22"/>
      <c r="Q1864" s="23"/>
      <c r="R1864" s="23"/>
      <c r="S1864" s="14"/>
    </row>
    <row r="1865" ht="18.75" customHeight="1">
      <c r="A1865" s="7" t="s">
        <v>3904</v>
      </c>
      <c r="B1865" s="7" t="s">
        <v>3875</v>
      </c>
      <c r="C1865" s="9">
        <v>46152.0</v>
      </c>
      <c r="D1865" s="9">
        <v>0.0</v>
      </c>
      <c r="E1865" s="9">
        <v>964.0</v>
      </c>
      <c r="F1865" s="7" t="s">
        <v>3905</v>
      </c>
      <c r="G1865" s="7" t="s">
        <v>416</v>
      </c>
      <c r="H1865" s="7" t="s">
        <v>417</v>
      </c>
      <c r="I1865" s="7" t="s">
        <v>3886</v>
      </c>
      <c r="J1865" s="14"/>
      <c r="K1865" s="14"/>
      <c r="O1865" s="22"/>
      <c r="P1865" s="22"/>
      <c r="Q1865" s="23"/>
      <c r="R1865" s="23"/>
      <c r="S1865" s="14"/>
    </row>
    <row r="1866" ht="18.75" customHeight="1">
      <c r="A1866" s="7" t="s">
        <v>1940</v>
      </c>
      <c r="B1866" s="7" t="s">
        <v>3875</v>
      </c>
      <c r="C1866" s="9">
        <v>57839.0</v>
      </c>
      <c r="D1866" s="9">
        <v>0.0</v>
      </c>
      <c r="E1866" s="9">
        <v>221.0</v>
      </c>
      <c r="F1866" s="7" t="s">
        <v>1941</v>
      </c>
      <c r="G1866" s="7" t="s">
        <v>416</v>
      </c>
      <c r="H1866" s="7" t="s">
        <v>594</v>
      </c>
      <c r="I1866" s="7" t="s">
        <v>355</v>
      </c>
      <c r="J1866" s="14"/>
      <c r="K1866" s="14"/>
      <c r="O1866" s="22"/>
      <c r="P1866" s="22"/>
      <c r="Q1866" s="23"/>
      <c r="R1866" s="23"/>
      <c r="S1866" s="14"/>
    </row>
    <row r="1867" ht="18.75" customHeight="1">
      <c r="A1867" s="7" t="s">
        <v>1962</v>
      </c>
      <c r="B1867" s="7" t="s">
        <v>3875</v>
      </c>
      <c r="C1867" s="9">
        <v>141655.0</v>
      </c>
      <c r="D1867" s="9">
        <v>0.0</v>
      </c>
      <c r="E1867" s="9">
        <v>178.0</v>
      </c>
      <c r="F1867" s="7" t="s">
        <v>1963</v>
      </c>
      <c r="G1867" s="7" t="s">
        <v>416</v>
      </c>
      <c r="H1867" s="7" t="s">
        <v>466</v>
      </c>
      <c r="I1867" s="7" t="s">
        <v>355</v>
      </c>
      <c r="J1867" s="14"/>
      <c r="K1867" s="14"/>
      <c r="O1867" s="22"/>
      <c r="P1867" s="22"/>
      <c r="Q1867" s="23"/>
      <c r="R1867" s="23"/>
      <c r="S1867" s="14"/>
    </row>
    <row r="1868" ht="18.75" customHeight="1">
      <c r="A1868" s="7" t="s">
        <v>1958</v>
      </c>
      <c r="B1868" s="7" t="s">
        <v>3875</v>
      </c>
      <c r="C1868" s="9">
        <v>51901.0</v>
      </c>
      <c r="D1868" s="9">
        <v>0.0</v>
      </c>
      <c r="E1868" s="9">
        <v>147.0</v>
      </c>
      <c r="F1868" s="7" t="s">
        <v>1959</v>
      </c>
      <c r="G1868" s="7" t="s">
        <v>416</v>
      </c>
      <c r="H1868" s="7" t="s">
        <v>466</v>
      </c>
      <c r="I1868" s="7" t="s">
        <v>355</v>
      </c>
      <c r="J1868" s="14"/>
      <c r="K1868" s="14"/>
      <c r="O1868" s="22"/>
      <c r="P1868" s="22"/>
      <c r="Q1868" s="23"/>
      <c r="R1868" s="23"/>
      <c r="S1868" s="14"/>
    </row>
    <row r="1869" ht="18.75" customHeight="1">
      <c r="A1869" s="7" t="s">
        <v>1976</v>
      </c>
      <c r="B1869" s="7" t="s">
        <v>3875</v>
      </c>
      <c r="C1869" s="9">
        <v>95575.0</v>
      </c>
      <c r="D1869" s="9">
        <v>0.0</v>
      </c>
      <c r="E1869" s="9">
        <v>293.0</v>
      </c>
      <c r="F1869" s="7" t="s">
        <v>1977</v>
      </c>
      <c r="G1869" s="7" t="s">
        <v>416</v>
      </c>
      <c r="H1869" s="7" t="s">
        <v>725</v>
      </c>
      <c r="I1869" s="7" t="s">
        <v>355</v>
      </c>
      <c r="J1869" s="14"/>
      <c r="K1869" s="14"/>
      <c r="O1869" s="22"/>
      <c r="P1869" s="22"/>
      <c r="Q1869" s="23"/>
      <c r="R1869" s="23"/>
      <c r="S1869" s="14"/>
    </row>
    <row r="1870" ht="18.75" customHeight="1">
      <c r="A1870" s="7" t="s">
        <v>1956</v>
      </c>
      <c r="B1870" s="7" t="s">
        <v>3875</v>
      </c>
      <c r="C1870" s="9">
        <v>51663.0</v>
      </c>
      <c r="D1870" s="9">
        <v>0.0</v>
      </c>
      <c r="E1870" s="9">
        <v>180.0</v>
      </c>
      <c r="F1870" s="7" t="s">
        <v>1957</v>
      </c>
      <c r="G1870" s="7" t="s">
        <v>416</v>
      </c>
      <c r="H1870" s="7" t="s">
        <v>466</v>
      </c>
      <c r="I1870" s="7" t="s">
        <v>355</v>
      </c>
      <c r="J1870" s="14"/>
      <c r="K1870" s="14"/>
      <c r="O1870" s="22"/>
      <c r="P1870" s="22"/>
      <c r="Q1870" s="23"/>
      <c r="R1870" s="23"/>
      <c r="S1870" s="14"/>
    </row>
    <row r="1871" ht="18.75" customHeight="1">
      <c r="A1871" s="7" t="s">
        <v>1960</v>
      </c>
      <c r="B1871" s="7" t="s">
        <v>3875</v>
      </c>
      <c r="C1871" s="9">
        <v>293864.0</v>
      </c>
      <c r="D1871" s="9">
        <v>0.0</v>
      </c>
      <c r="E1871" s="9">
        <v>469.0</v>
      </c>
      <c r="F1871" s="7" t="s">
        <v>1961</v>
      </c>
      <c r="G1871" s="7" t="s">
        <v>416</v>
      </c>
      <c r="H1871" s="7" t="s">
        <v>466</v>
      </c>
      <c r="I1871" s="7" t="s">
        <v>355</v>
      </c>
      <c r="J1871" s="14"/>
      <c r="K1871" s="14"/>
      <c r="O1871" s="22"/>
      <c r="P1871" s="22"/>
      <c r="Q1871" s="23"/>
      <c r="R1871" s="23"/>
      <c r="S1871" s="14"/>
    </row>
    <row r="1872" ht="18.75" customHeight="1">
      <c r="A1872" s="7" t="s">
        <v>1733</v>
      </c>
      <c r="B1872" s="7" t="s">
        <v>3875</v>
      </c>
      <c r="C1872" s="9">
        <v>700516.0</v>
      </c>
      <c r="D1872" s="9">
        <v>0.0</v>
      </c>
      <c r="E1872" s="9">
        <v>1583.0</v>
      </c>
      <c r="F1872" s="7" t="s">
        <v>1734</v>
      </c>
      <c r="G1872" s="7" t="s">
        <v>353</v>
      </c>
      <c r="H1872" s="7" t="s">
        <v>378</v>
      </c>
      <c r="I1872" s="7" t="s">
        <v>410</v>
      </c>
      <c r="J1872" s="14"/>
      <c r="K1872" s="14"/>
      <c r="O1872" s="22"/>
      <c r="P1872" s="22"/>
      <c r="Q1872" s="23"/>
      <c r="R1872" s="23"/>
      <c r="S1872" s="14"/>
    </row>
    <row r="1873" ht="18.75" customHeight="1">
      <c r="A1873" s="7" t="s">
        <v>1894</v>
      </c>
      <c r="B1873" s="7" t="s">
        <v>3875</v>
      </c>
      <c r="C1873" s="9">
        <v>426829.0</v>
      </c>
      <c r="D1873" s="9">
        <v>47482.0</v>
      </c>
      <c r="E1873" s="9">
        <v>562.0</v>
      </c>
      <c r="F1873" s="7" t="s">
        <v>1895</v>
      </c>
      <c r="G1873" s="7" t="s">
        <v>353</v>
      </c>
      <c r="H1873" s="7" t="s">
        <v>378</v>
      </c>
      <c r="I1873" s="7" t="s">
        <v>355</v>
      </c>
      <c r="J1873" s="14"/>
      <c r="K1873" s="14"/>
      <c r="O1873" s="22"/>
      <c r="P1873" s="22"/>
      <c r="Q1873" s="23"/>
      <c r="R1873" s="23"/>
      <c r="S1873" s="14"/>
    </row>
    <row r="1874" ht="18.75" customHeight="1">
      <c r="A1874" s="7" t="s">
        <v>1523</v>
      </c>
      <c r="B1874" s="7" t="s">
        <v>3875</v>
      </c>
      <c r="C1874" s="9">
        <v>1440512.0</v>
      </c>
      <c r="D1874" s="9">
        <v>104916.0</v>
      </c>
      <c r="E1874" s="9">
        <v>1454.0</v>
      </c>
      <c r="F1874" s="7" t="s">
        <v>1524</v>
      </c>
      <c r="G1874" s="7" t="s">
        <v>364</v>
      </c>
      <c r="H1874" s="7" t="s">
        <v>365</v>
      </c>
      <c r="I1874" s="7" t="s">
        <v>410</v>
      </c>
      <c r="J1874" s="14"/>
      <c r="K1874" s="14"/>
      <c r="O1874" s="22"/>
      <c r="P1874" s="22"/>
      <c r="Q1874" s="23"/>
      <c r="R1874" s="23"/>
      <c r="S1874" s="14"/>
    </row>
    <row r="1875" ht="18.75" customHeight="1">
      <c r="A1875" s="7" t="s">
        <v>1523</v>
      </c>
      <c r="B1875" s="7" t="s">
        <v>3875</v>
      </c>
      <c r="C1875" s="9">
        <v>280926.0</v>
      </c>
      <c r="D1875" s="9">
        <v>18483.0</v>
      </c>
      <c r="E1875" s="9">
        <v>227.0</v>
      </c>
      <c r="F1875" s="7" t="s">
        <v>1524</v>
      </c>
      <c r="G1875" s="7" t="s">
        <v>364</v>
      </c>
      <c r="H1875" s="7" t="s">
        <v>365</v>
      </c>
      <c r="I1875" s="7" t="s">
        <v>410</v>
      </c>
      <c r="J1875" s="14"/>
      <c r="K1875" s="14"/>
      <c r="O1875" s="22"/>
      <c r="P1875" s="22"/>
      <c r="Q1875" s="23"/>
      <c r="R1875" s="23"/>
      <c r="S1875" s="14"/>
    </row>
    <row r="1876" ht="18.75" customHeight="1">
      <c r="A1876" s="7" t="s">
        <v>1867</v>
      </c>
      <c r="B1876" s="7" t="s">
        <v>3875</v>
      </c>
      <c r="C1876" s="9">
        <v>1259407.0</v>
      </c>
      <c r="D1876" s="9">
        <v>936.0</v>
      </c>
      <c r="E1876" s="9">
        <v>2005.0</v>
      </c>
      <c r="F1876" s="7" t="s">
        <v>1868</v>
      </c>
      <c r="G1876" s="7" t="s">
        <v>358</v>
      </c>
      <c r="H1876" s="7" t="s">
        <v>466</v>
      </c>
      <c r="I1876" s="7" t="s">
        <v>355</v>
      </c>
      <c r="J1876" s="14"/>
      <c r="K1876" s="14"/>
      <c r="O1876" s="22"/>
      <c r="P1876" s="22"/>
      <c r="Q1876" s="23"/>
      <c r="R1876" s="23"/>
      <c r="S1876" s="14"/>
    </row>
    <row r="1877" ht="18.75" customHeight="1">
      <c r="A1877" s="7" t="s">
        <v>1867</v>
      </c>
      <c r="B1877" s="7" t="s">
        <v>3875</v>
      </c>
      <c r="C1877" s="9">
        <v>1454986.0</v>
      </c>
      <c r="D1877" s="9">
        <v>323.0</v>
      </c>
      <c r="E1877" s="9">
        <v>2824.0</v>
      </c>
      <c r="F1877" s="7" t="s">
        <v>1868</v>
      </c>
      <c r="G1877" s="7" t="s">
        <v>358</v>
      </c>
      <c r="H1877" s="7" t="s">
        <v>466</v>
      </c>
      <c r="I1877" s="7" t="s">
        <v>355</v>
      </c>
      <c r="J1877" s="14"/>
      <c r="K1877" s="14"/>
      <c r="O1877" s="22"/>
      <c r="P1877" s="22"/>
      <c r="Q1877" s="23"/>
      <c r="R1877" s="23"/>
      <c r="S1877" s="14"/>
    </row>
    <row r="1878" ht="18.75" customHeight="1">
      <c r="A1878" s="7" t="s">
        <v>1497</v>
      </c>
      <c r="B1878" s="7" t="s">
        <v>3875</v>
      </c>
      <c r="C1878" s="9">
        <v>171740.0</v>
      </c>
      <c r="D1878" s="9">
        <v>12.0</v>
      </c>
      <c r="E1878" s="9">
        <v>261.0</v>
      </c>
      <c r="F1878" s="7" t="s">
        <v>1498</v>
      </c>
      <c r="G1878" s="7" t="s">
        <v>404</v>
      </c>
      <c r="H1878" s="7" t="s">
        <v>405</v>
      </c>
      <c r="I1878" s="7" t="s">
        <v>410</v>
      </c>
      <c r="J1878" s="14"/>
      <c r="K1878" s="14"/>
      <c r="O1878" s="22"/>
      <c r="P1878" s="22"/>
      <c r="Q1878" s="23"/>
      <c r="R1878" s="23"/>
      <c r="S1878" s="14"/>
    </row>
    <row r="1879" ht="18.75" customHeight="1">
      <c r="A1879" s="7" t="s">
        <v>1497</v>
      </c>
      <c r="B1879" s="7" t="s">
        <v>3875</v>
      </c>
      <c r="C1879" s="9">
        <v>100944.0</v>
      </c>
      <c r="D1879" s="9">
        <v>104.0</v>
      </c>
      <c r="E1879" s="9">
        <v>182.0</v>
      </c>
      <c r="F1879" s="7" t="s">
        <v>1498</v>
      </c>
      <c r="G1879" s="7" t="s">
        <v>404</v>
      </c>
      <c r="H1879" s="7" t="s">
        <v>405</v>
      </c>
      <c r="I1879" s="7" t="s">
        <v>410</v>
      </c>
      <c r="J1879" s="14"/>
      <c r="K1879" s="14"/>
      <c r="O1879" s="22"/>
      <c r="P1879" s="22"/>
      <c r="Q1879" s="23"/>
      <c r="R1879" s="23"/>
      <c r="S1879" s="14"/>
    </row>
    <row r="1880" ht="18.75" customHeight="1">
      <c r="A1880" s="7" t="s">
        <v>1877</v>
      </c>
      <c r="B1880" s="7" t="s">
        <v>3875</v>
      </c>
      <c r="C1880" s="9">
        <v>286473.0</v>
      </c>
      <c r="D1880" s="9">
        <v>0.0</v>
      </c>
      <c r="E1880" s="9">
        <v>539.0</v>
      </c>
      <c r="F1880" s="7" t="s">
        <v>1878</v>
      </c>
      <c r="G1880" s="7" t="s">
        <v>353</v>
      </c>
      <c r="H1880" s="7" t="s">
        <v>378</v>
      </c>
      <c r="I1880" s="7" t="s">
        <v>355</v>
      </c>
      <c r="J1880" s="14"/>
      <c r="K1880" s="14"/>
      <c r="O1880" s="22"/>
      <c r="P1880" s="22"/>
      <c r="Q1880" s="23"/>
      <c r="R1880" s="23"/>
      <c r="S1880" s="14"/>
    </row>
    <row r="1881" ht="18.75" customHeight="1">
      <c r="A1881" s="7" t="s">
        <v>1505</v>
      </c>
      <c r="B1881" s="7" t="s">
        <v>3875</v>
      </c>
      <c r="C1881" s="9">
        <v>7035837.0</v>
      </c>
      <c r="D1881" s="9">
        <v>260137.0</v>
      </c>
      <c r="E1881" s="9">
        <v>11644.0</v>
      </c>
      <c r="F1881" s="7" t="s">
        <v>1506</v>
      </c>
      <c r="G1881" s="7" t="s">
        <v>404</v>
      </c>
      <c r="H1881" s="7" t="s">
        <v>405</v>
      </c>
      <c r="I1881" s="7" t="s">
        <v>410</v>
      </c>
      <c r="J1881" s="14"/>
      <c r="K1881" s="14"/>
      <c r="O1881" s="22"/>
      <c r="P1881" s="22"/>
      <c r="Q1881" s="23"/>
      <c r="R1881" s="23"/>
      <c r="S1881" s="14"/>
    </row>
    <row r="1882" ht="18.75" customHeight="1">
      <c r="A1882" s="7" t="s">
        <v>1401</v>
      </c>
      <c r="B1882" s="7" t="s">
        <v>3875</v>
      </c>
      <c r="C1882" s="9">
        <v>1.0545222E7</v>
      </c>
      <c r="D1882" s="9">
        <v>383196.0</v>
      </c>
      <c r="E1882" s="9">
        <v>8919.0</v>
      </c>
      <c r="F1882" s="7" t="s">
        <v>1402</v>
      </c>
      <c r="G1882" s="7" t="s">
        <v>358</v>
      </c>
      <c r="H1882" s="7" t="s">
        <v>466</v>
      </c>
      <c r="I1882" s="7" t="s">
        <v>410</v>
      </c>
      <c r="J1882" s="14"/>
      <c r="K1882" s="14"/>
      <c r="O1882" s="22"/>
      <c r="P1882" s="22"/>
      <c r="Q1882" s="23"/>
      <c r="R1882" s="23"/>
      <c r="S1882" s="14"/>
    </row>
    <row r="1883" ht="18.75" customHeight="1">
      <c r="A1883" s="7" t="s">
        <v>1401</v>
      </c>
      <c r="B1883" s="7" t="s">
        <v>3875</v>
      </c>
      <c r="C1883" s="9">
        <v>5231080.0</v>
      </c>
      <c r="D1883" s="9">
        <v>147501.0</v>
      </c>
      <c r="E1883" s="9">
        <v>6873.0</v>
      </c>
      <c r="F1883" s="7" t="s">
        <v>1402</v>
      </c>
      <c r="G1883" s="7" t="s">
        <v>358</v>
      </c>
      <c r="H1883" s="7" t="s">
        <v>466</v>
      </c>
      <c r="I1883" s="7" t="s">
        <v>410</v>
      </c>
      <c r="J1883" s="14"/>
      <c r="K1883" s="14"/>
      <c r="O1883" s="22"/>
      <c r="P1883" s="22"/>
      <c r="Q1883" s="23"/>
      <c r="R1883" s="23"/>
      <c r="S1883" s="14"/>
    </row>
    <row r="1884" ht="18.75" customHeight="1">
      <c r="A1884" s="7" t="s">
        <v>1932</v>
      </c>
      <c r="B1884" s="7" t="s">
        <v>3875</v>
      </c>
      <c r="C1884" s="9">
        <v>255195.0</v>
      </c>
      <c r="D1884" s="9">
        <v>0.0</v>
      </c>
      <c r="E1884" s="9">
        <v>297.0</v>
      </c>
      <c r="F1884" s="7" t="s">
        <v>1933</v>
      </c>
      <c r="G1884" s="7" t="s">
        <v>503</v>
      </c>
      <c r="H1884" s="7" t="s">
        <v>417</v>
      </c>
      <c r="I1884" s="7" t="s">
        <v>355</v>
      </c>
      <c r="J1884" s="14"/>
      <c r="K1884" s="14"/>
      <c r="O1884" s="22"/>
      <c r="P1884" s="22"/>
      <c r="Q1884" s="23"/>
      <c r="R1884" s="23"/>
      <c r="S1884" s="14"/>
    </row>
    <row r="1885" ht="18.75" customHeight="1">
      <c r="A1885" s="7" t="s">
        <v>1555</v>
      </c>
      <c r="B1885" s="7" t="s">
        <v>3875</v>
      </c>
      <c r="C1885" s="9">
        <v>92304.0</v>
      </c>
      <c r="D1885" s="9">
        <v>5832.0</v>
      </c>
      <c r="E1885" s="9">
        <v>12.0</v>
      </c>
      <c r="F1885" s="7" t="s">
        <v>1556</v>
      </c>
      <c r="G1885" s="7" t="s">
        <v>404</v>
      </c>
      <c r="H1885" s="7" t="s">
        <v>760</v>
      </c>
      <c r="I1885" s="7" t="s">
        <v>355</v>
      </c>
      <c r="J1885" s="14"/>
      <c r="K1885" s="14"/>
      <c r="O1885" s="22"/>
      <c r="P1885" s="22"/>
      <c r="Q1885" s="23"/>
      <c r="R1885" s="23"/>
      <c r="S1885" s="14"/>
    </row>
    <row r="1886" ht="18.75" customHeight="1">
      <c r="A1886" s="7" t="s">
        <v>1882</v>
      </c>
      <c r="B1886" s="7" t="s">
        <v>3875</v>
      </c>
      <c r="C1886" s="9">
        <v>127944.0</v>
      </c>
      <c r="D1886" s="9">
        <v>16548.0</v>
      </c>
      <c r="E1886" s="9">
        <v>146.0</v>
      </c>
      <c r="F1886" s="7" t="s">
        <v>1883</v>
      </c>
      <c r="G1886" s="7" t="s">
        <v>416</v>
      </c>
      <c r="H1886" s="7" t="s">
        <v>417</v>
      </c>
      <c r="I1886" s="7" t="s">
        <v>355</v>
      </c>
      <c r="J1886" s="14"/>
      <c r="K1886" s="14"/>
      <c r="O1886" s="22"/>
      <c r="P1886" s="22"/>
      <c r="Q1886" s="23"/>
      <c r="R1886" s="23"/>
      <c r="S1886" s="14"/>
    </row>
    <row r="1887" ht="18.75" customHeight="1">
      <c r="A1887" s="7" t="s">
        <v>1863</v>
      </c>
      <c r="B1887" s="7" t="s">
        <v>3875</v>
      </c>
      <c r="C1887" s="9">
        <v>531523.0</v>
      </c>
      <c r="D1887" s="9">
        <v>31273.0</v>
      </c>
      <c r="E1887" s="9">
        <v>513.0</v>
      </c>
      <c r="F1887" s="7" t="s">
        <v>1864</v>
      </c>
      <c r="G1887" s="7" t="s">
        <v>358</v>
      </c>
      <c r="H1887" s="7" t="s">
        <v>466</v>
      </c>
      <c r="I1887" s="7" t="s">
        <v>410</v>
      </c>
      <c r="J1887" s="14"/>
      <c r="K1887" s="14"/>
      <c r="O1887" s="22"/>
      <c r="P1887" s="22"/>
      <c r="Q1887" s="23"/>
      <c r="R1887" s="23"/>
      <c r="S1887" s="14"/>
    </row>
    <row r="1888" ht="18.75" customHeight="1">
      <c r="A1888" s="7" t="s">
        <v>1863</v>
      </c>
      <c r="B1888" s="7" t="s">
        <v>3875</v>
      </c>
      <c r="C1888" s="9">
        <v>533647.0</v>
      </c>
      <c r="D1888" s="9">
        <v>36750.0</v>
      </c>
      <c r="E1888" s="9">
        <v>597.0</v>
      </c>
      <c r="F1888" s="7" t="s">
        <v>1864</v>
      </c>
      <c r="G1888" s="7" t="s">
        <v>358</v>
      </c>
      <c r="H1888" s="7" t="s">
        <v>466</v>
      </c>
      <c r="I1888" s="7" t="s">
        <v>410</v>
      </c>
      <c r="J1888" s="14"/>
      <c r="K1888" s="14"/>
      <c r="O1888" s="22"/>
      <c r="P1888" s="22"/>
      <c r="Q1888" s="23"/>
      <c r="R1888" s="23"/>
      <c r="S1888" s="14"/>
    </row>
    <row r="1889" ht="18.75" customHeight="1">
      <c r="A1889" s="7" t="s">
        <v>1725</v>
      </c>
      <c r="B1889" s="7" t="s">
        <v>3875</v>
      </c>
      <c r="C1889" s="9">
        <v>453506.0</v>
      </c>
      <c r="D1889" s="9">
        <v>0.0</v>
      </c>
      <c r="E1889" s="9">
        <v>704.0</v>
      </c>
      <c r="F1889" s="7" t="s">
        <v>1726</v>
      </c>
      <c r="G1889" s="7" t="s">
        <v>353</v>
      </c>
      <c r="H1889" s="7" t="s">
        <v>378</v>
      </c>
      <c r="I1889" s="7" t="s">
        <v>410</v>
      </c>
      <c r="J1889" s="14"/>
      <c r="K1889" s="14"/>
      <c r="O1889" s="22"/>
      <c r="P1889" s="22"/>
      <c r="Q1889" s="23"/>
      <c r="R1889" s="23"/>
      <c r="S1889" s="14"/>
    </row>
    <row r="1890" ht="18.75" customHeight="1">
      <c r="A1890" s="7" t="s">
        <v>1837</v>
      </c>
      <c r="B1890" s="7" t="s">
        <v>3875</v>
      </c>
      <c r="C1890" s="9">
        <v>31574.0</v>
      </c>
      <c r="D1890" s="9">
        <v>6592.0</v>
      </c>
      <c r="E1890" s="9">
        <v>96.0</v>
      </c>
      <c r="F1890" s="7" t="s">
        <v>1838</v>
      </c>
      <c r="G1890" s="7" t="s">
        <v>416</v>
      </c>
      <c r="H1890" s="7" t="s">
        <v>417</v>
      </c>
      <c r="I1890" s="7" t="s">
        <v>355</v>
      </c>
      <c r="J1890" s="14"/>
      <c r="K1890" s="14"/>
      <c r="O1890" s="22"/>
      <c r="P1890" s="22"/>
      <c r="Q1890" s="23"/>
      <c r="R1890" s="23"/>
      <c r="S1890" s="14"/>
    </row>
    <row r="1891" ht="18.75" customHeight="1">
      <c r="A1891" s="7" t="s">
        <v>1801</v>
      </c>
      <c r="B1891" s="7" t="s">
        <v>3875</v>
      </c>
      <c r="C1891" s="9">
        <v>167911.0</v>
      </c>
      <c r="D1891" s="9">
        <v>11351.0</v>
      </c>
      <c r="E1891" s="9">
        <v>150.0</v>
      </c>
      <c r="F1891" s="7" t="s">
        <v>1802</v>
      </c>
      <c r="G1891" s="7" t="s">
        <v>416</v>
      </c>
      <c r="H1891" s="7" t="s">
        <v>417</v>
      </c>
      <c r="I1891" s="7" t="s">
        <v>355</v>
      </c>
      <c r="J1891" s="14"/>
      <c r="K1891" s="14"/>
      <c r="O1891" s="22"/>
      <c r="P1891" s="22"/>
      <c r="Q1891" s="23"/>
      <c r="R1891" s="23"/>
      <c r="S1891" s="14"/>
    </row>
    <row r="1892" ht="18.75" customHeight="1">
      <c r="A1892" s="7" t="s">
        <v>1429</v>
      </c>
      <c r="B1892" s="7" t="s">
        <v>3875</v>
      </c>
      <c r="C1892" s="9">
        <v>49569.0</v>
      </c>
      <c r="D1892" s="9">
        <v>24166.0</v>
      </c>
      <c r="E1892" s="9">
        <v>3261.0</v>
      </c>
      <c r="F1892" s="7" t="s">
        <v>1430</v>
      </c>
      <c r="G1892" s="7" t="s">
        <v>416</v>
      </c>
      <c r="H1892" s="7" t="s">
        <v>430</v>
      </c>
      <c r="I1892" s="7" t="s">
        <v>2120</v>
      </c>
      <c r="J1892" s="14"/>
      <c r="K1892" s="14"/>
      <c r="O1892" s="22"/>
      <c r="P1892" s="22"/>
      <c r="Q1892" s="23"/>
      <c r="R1892" s="23"/>
      <c r="S1892" s="14"/>
    </row>
    <row r="1893" ht="18.75" customHeight="1">
      <c r="A1893" s="7" t="s">
        <v>1833</v>
      </c>
      <c r="B1893" s="7" t="s">
        <v>3875</v>
      </c>
      <c r="C1893" s="9">
        <v>31535.0</v>
      </c>
      <c r="D1893" s="9">
        <v>0.0</v>
      </c>
      <c r="E1893" s="9">
        <v>626.0</v>
      </c>
      <c r="F1893" s="7" t="s">
        <v>1834</v>
      </c>
      <c r="G1893" s="7" t="s">
        <v>404</v>
      </c>
      <c r="H1893" s="7" t="s">
        <v>760</v>
      </c>
      <c r="I1893" s="7" t="s">
        <v>355</v>
      </c>
      <c r="J1893" s="14"/>
      <c r="K1893" s="14"/>
      <c r="O1893" s="22"/>
      <c r="P1893" s="22"/>
      <c r="Q1893" s="23"/>
      <c r="R1893" s="23"/>
      <c r="S1893" s="14"/>
    </row>
    <row r="1894" ht="18.75" customHeight="1">
      <c r="A1894" s="7" t="s">
        <v>408</v>
      </c>
      <c r="B1894" s="7" t="s">
        <v>3875</v>
      </c>
      <c r="C1894" s="9">
        <v>228218.0</v>
      </c>
      <c r="D1894" s="9">
        <v>59724.0</v>
      </c>
      <c r="E1894" s="9">
        <v>3842.0</v>
      </c>
      <c r="F1894" s="7" t="s">
        <v>409</v>
      </c>
      <c r="G1894" s="7" t="s">
        <v>353</v>
      </c>
      <c r="H1894" s="7" t="s">
        <v>354</v>
      </c>
      <c r="I1894" s="7" t="s">
        <v>410</v>
      </c>
      <c r="J1894" s="14"/>
      <c r="K1894" s="14"/>
      <c r="O1894" s="22"/>
      <c r="P1894" s="22"/>
      <c r="Q1894" s="23"/>
      <c r="R1894" s="23"/>
      <c r="S1894" s="14"/>
    </row>
    <row r="1895" ht="18.75" customHeight="1">
      <c r="A1895" s="7" t="s">
        <v>408</v>
      </c>
      <c r="B1895" s="7" t="s">
        <v>3875</v>
      </c>
      <c r="C1895" s="9">
        <v>109869.0</v>
      </c>
      <c r="D1895" s="9">
        <v>19783.0</v>
      </c>
      <c r="E1895" s="9">
        <v>2344.0</v>
      </c>
      <c r="F1895" s="7" t="s">
        <v>409</v>
      </c>
      <c r="G1895" s="7" t="s">
        <v>353</v>
      </c>
      <c r="H1895" s="7" t="s">
        <v>354</v>
      </c>
      <c r="I1895" s="7" t="s">
        <v>410</v>
      </c>
      <c r="J1895" s="14"/>
      <c r="K1895" s="14"/>
      <c r="O1895" s="22"/>
      <c r="P1895" s="22"/>
      <c r="Q1895" s="23"/>
      <c r="R1895" s="23"/>
      <c r="S1895" s="14"/>
    </row>
    <row r="1896" ht="18.75" customHeight="1">
      <c r="A1896" s="7" t="s">
        <v>1431</v>
      </c>
      <c r="B1896" s="7" t="s">
        <v>3875</v>
      </c>
      <c r="C1896" s="9">
        <v>117017.0</v>
      </c>
      <c r="D1896" s="9">
        <v>45847.0</v>
      </c>
      <c r="E1896" s="9">
        <v>4189.0</v>
      </c>
      <c r="F1896" s="7" t="s">
        <v>1432</v>
      </c>
      <c r="G1896" s="7" t="s">
        <v>416</v>
      </c>
      <c r="H1896" s="7" t="s">
        <v>430</v>
      </c>
      <c r="I1896" s="7" t="s">
        <v>2120</v>
      </c>
      <c r="J1896" s="14"/>
      <c r="K1896" s="14"/>
      <c r="O1896" s="22"/>
      <c r="P1896" s="22"/>
      <c r="Q1896" s="23"/>
      <c r="R1896" s="23"/>
      <c r="S1896" s="14"/>
    </row>
    <row r="1897" ht="18.75" customHeight="1">
      <c r="A1897" s="7" t="s">
        <v>709</v>
      </c>
      <c r="B1897" s="7" t="s">
        <v>3875</v>
      </c>
      <c r="C1897" s="9">
        <v>108450.0</v>
      </c>
      <c r="D1897" s="9">
        <v>219.0</v>
      </c>
      <c r="E1897" s="9">
        <v>5111.0</v>
      </c>
      <c r="F1897" s="7" t="s">
        <v>710</v>
      </c>
      <c r="G1897" s="7" t="s">
        <v>404</v>
      </c>
      <c r="H1897" s="7" t="s">
        <v>667</v>
      </c>
      <c r="I1897" s="7" t="s">
        <v>410</v>
      </c>
      <c r="J1897" s="14"/>
      <c r="K1897" s="14"/>
      <c r="O1897" s="22"/>
      <c r="P1897" s="22"/>
      <c r="Q1897" s="23"/>
      <c r="R1897" s="23"/>
      <c r="S1897" s="14"/>
    </row>
    <row r="1898" ht="18.75" customHeight="1">
      <c r="A1898" s="7" t="s">
        <v>709</v>
      </c>
      <c r="B1898" s="7" t="s">
        <v>3875</v>
      </c>
      <c r="C1898" s="9">
        <v>111670.0</v>
      </c>
      <c r="D1898" s="9">
        <v>119.0</v>
      </c>
      <c r="E1898" s="9">
        <v>5867.0</v>
      </c>
      <c r="F1898" s="7" t="s">
        <v>710</v>
      </c>
      <c r="G1898" s="7" t="s">
        <v>404</v>
      </c>
      <c r="H1898" s="7" t="s">
        <v>667</v>
      </c>
      <c r="I1898" s="7" t="s">
        <v>410</v>
      </c>
      <c r="J1898" s="14"/>
      <c r="K1898" s="14"/>
      <c r="O1898" s="22"/>
      <c r="P1898" s="22"/>
      <c r="Q1898" s="23"/>
      <c r="R1898" s="23"/>
      <c r="S1898" s="14"/>
    </row>
    <row r="1899" ht="18.75" customHeight="1">
      <c r="A1899" s="7" t="s">
        <v>1723</v>
      </c>
      <c r="B1899" s="7" t="s">
        <v>3875</v>
      </c>
      <c r="C1899" s="9">
        <v>652175.0</v>
      </c>
      <c r="D1899" s="9">
        <v>0.0</v>
      </c>
      <c r="E1899" s="9">
        <v>5843.0</v>
      </c>
      <c r="F1899" s="7" t="s">
        <v>1724</v>
      </c>
      <c r="G1899" s="7" t="s">
        <v>353</v>
      </c>
      <c r="H1899" s="7" t="s">
        <v>413</v>
      </c>
      <c r="I1899" s="7" t="s">
        <v>355</v>
      </c>
      <c r="J1899" s="14"/>
      <c r="K1899" s="14"/>
      <c r="O1899" s="22"/>
      <c r="P1899" s="22"/>
      <c r="Q1899" s="23"/>
      <c r="R1899" s="23"/>
      <c r="S1899" s="14"/>
    </row>
    <row r="1900" ht="18.75" customHeight="1">
      <c r="A1900" s="7" t="s">
        <v>1970</v>
      </c>
      <c r="B1900" s="7" t="s">
        <v>3875</v>
      </c>
      <c r="C1900" s="9">
        <v>611349.0</v>
      </c>
      <c r="D1900" s="9">
        <v>117888.0</v>
      </c>
      <c r="E1900" s="9">
        <v>2393.0</v>
      </c>
      <c r="F1900" s="7" t="s">
        <v>1971</v>
      </c>
      <c r="G1900" s="7" t="s">
        <v>364</v>
      </c>
      <c r="H1900" s="7" t="s">
        <v>365</v>
      </c>
      <c r="I1900" s="7" t="s">
        <v>355</v>
      </c>
      <c r="J1900" s="14"/>
      <c r="K1900" s="14"/>
      <c r="O1900" s="22"/>
      <c r="P1900" s="22"/>
      <c r="Q1900" s="23"/>
      <c r="R1900" s="23"/>
      <c r="S1900" s="14"/>
    </row>
    <row r="1901" ht="18.75" customHeight="1">
      <c r="A1901" s="7" t="s">
        <v>1291</v>
      </c>
      <c r="B1901" s="7" t="s">
        <v>3875</v>
      </c>
      <c r="C1901" s="9">
        <v>61305.0</v>
      </c>
      <c r="D1901" s="9">
        <v>0.0</v>
      </c>
      <c r="E1901" s="9">
        <v>1486.0</v>
      </c>
      <c r="F1901" s="7" t="s">
        <v>1292</v>
      </c>
      <c r="G1901" s="7" t="s">
        <v>353</v>
      </c>
      <c r="H1901" s="7" t="s">
        <v>354</v>
      </c>
      <c r="I1901" s="7" t="s">
        <v>410</v>
      </c>
      <c r="J1901" s="14"/>
      <c r="K1901" s="14"/>
      <c r="O1901" s="22"/>
      <c r="P1901" s="22"/>
      <c r="Q1901" s="23"/>
      <c r="R1901" s="23"/>
      <c r="S1901" s="14"/>
    </row>
    <row r="1902" ht="18.75" customHeight="1">
      <c r="A1902" s="7" t="s">
        <v>1059</v>
      </c>
      <c r="B1902" s="7" t="s">
        <v>3875</v>
      </c>
      <c r="C1902" s="9">
        <v>169607.0</v>
      </c>
      <c r="D1902" s="9">
        <v>73474.0</v>
      </c>
      <c r="E1902" s="9">
        <v>12552.0</v>
      </c>
      <c r="F1902" s="7" t="s">
        <v>1060</v>
      </c>
      <c r="G1902" s="7" t="s">
        <v>358</v>
      </c>
      <c r="H1902" s="7" t="s">
        <v>466</v>
      </c>
      <c r="I1902" s="7" t="s">
        <v>355</v>
      </c>
      <c r="J1902" s="14"/>
      <c r="K1902" s="14"/>
      <c r="O1902" s="22"/>
      <c r="P1902" s="22"/>
      <c r="Q1902" s="23"/>
      <c r="R1902" s="23"/>
      <c r="S1902" s="14"/>
    </row>
    <row r="1903" ht="18.75" customHeight="1">
      <c r="A1903" s="7" t="s">
        <v>1737</v>
      </c>
      <c r="B1903" s="7" t="s">
        <v>3875</v>
      </c>
      <c r="C1903" s="9">
        <v>219501.0</v>
      </c>
      <c r="D1903" s="9">
        <v>0.0</v>
      </c>
      <c r="E1903" s="9">
        <v>3430.0</v>
      </c>
      <c r="F1903" s="7" t="s">
        <v>1738</v>
      </c>
      <c r="G1903" s="7" t="s">
        <v>353</v>
      </c>
      <c r="H1903" s="7" t="s">
        <v>354</v>
      </c>
      <c r="I1903" s="7" t="s">
        <v>410</v>
      </c>
      <c r="J1903" s="14"/>
      <c r="K1903" s="14"/>
      <c r="O1903" s="22"/>
      <c r="P1903" s="22"/>
      <c r="Q1903" s="23"/>
      <c r="R1903" s="23"/>
      <c r="S1903" s="14"/>
    </row>
    <row r="1904" ht="18.75" customHeight="1">
      <c r="A1904" s="7" t="s">
        <v>1946</v>
      </c>
      <c r="B1904" s="7" t="s">
        <v>3875</v>
      </c>
      <c r="C1904" s="9">
        <v>671018.0</v>
      </c>
      <c r="D1904" s="9">
        <v>0.0</v>
      </c>
      <c r="E1904" s="9">
        <v>854.0</v>
      </c>
      <c r="F1904" s="7" t="s">
        <v>1947</v>
      </c>
      <c r="G1904" s="7" t="s">
        <v>353</v>
      </c>
      <c r="H1904" s="7" t="s">
        <v>378</v>
      </c>
      <c r="I1904" s="7" t="s">
        <v>355</v>
      </c>
      <c r="J1904" s="14"/>
      <c r="K1904" s="14"/>
      <c r="O1904" s="22"/>
      <c r="P1904" s="22"/>
      <c r="Q1904" s="23"/>
      <c r="R1904" s="23"/>
      <c r="S1904" s="14"/>
    </row>
    <row r="1905" ht="18.75" customHeight="1">
      <c r="A1905" s="7" t="s">
        <v>1507</v>
      </c>
      <c r="B1905" s="7" t="s">
        <v>3875</v>
      </c>
      <c r="C1905" s="9">
        <v>89983.0</v>
      </c>
      <c r="D1905" s="9">
        <v>0.0</v>
      </c>
      <c r="E1905" s="9">
        <v>2036.0</v>
      </c>
      <c r="F1905" s="7" t="s">
        <v>1508</v>
      </c>
      <c r="G1905" s="7" t="s">
        <v>404</v>
      </c>
      <c r="H1905" s="7" t="s">
        <v>405</v>
      </c>
      <c r="I1905" s="7" t="s">
        <v>410</v>
      </c>
      <c r="J1905" s="14"/>
      <c r="K1905" s="14"/>
      <c r="O1905" s="22"/>
      <c r="P1905" s="22"/>
      <c r="Q1905" s="23"/>
      <c r="R1905" s="23"/>
      <c r="S1905" s="14"/>
    </row>
    <row r="1906" ht="18.75" customHeight="1">
      <c r="A1906" s="7" t="s">
        <v>529</v>
      </c>
      <c r="B1906" s="7" t="s">
        <v>3875</v>
      </c>
      <c r="C1906" s="9">
        <v>53253.0</v>
      </c>
      <c r="D1906" s="9">
        <v>0.0</v>
      </c>
      <c r="E1906" s="9">
        <v>262.0</v>
      </c>
      <c r="F1906" s="7" t="s">
        <v>530</v>
      </c>
      <c r="G1906" s="7" t="s">
        <v>358</v>
      </c>
      <c r="H1906" s="7" t="s">
        <v>387</v>
      </c>
      <c r="I1906" s="7" t="s">
        <v>355</v>
      </c>
      <c r="J1906" s="14"/>
      <c r="K1906" s="14"/>
      <c r="O1906" s="22"/>
      <c r="P1906" s="22"/>
      <c r="Q1906" s="23"/>
      <c r="R1906" s="23"/>
      <c r="S1906" s="14"/>
    </row>
    <row r="1907" ht="18.75" customHeight="1">
      <c r="A1907" s="7" t="s">
        <v>529</v>
      </c>
      <c r="B1907" s="7" t="s">
        <v>3875</v>
      </c>
      <c r="C1907" s="9">
        <v>91400.0</v>
      </c>
      <c r="D1907" s="9">
        <v>0.0</v>
      </c>
      <c r="E1907" s="9">
        <v>284.0</v>
      </c>
      <c r="F1907" s="7" t="s">
        <v>530</v>
      </c>
      <c r="G1907" s="7" t="s">
        <v>358</v>
      </c>
      <c r="H1907" s="7" t="s">
        <v>387</v>
      </c>
      <c r="I1907" s="7" t="s">
        <v>355</v>
      </c>
      <c r="J1907" s="14"/>
      <c r="K1907" s="14"/>
      <c r="O1907" s="22"/>
      <c r="P1907" s="22"/>
      <c r="Q1907" s="23"/>
      <c r="R1907" s="23"/>
      <c r="S1907" s="14"/>
    </row>
    <row r="1908" ht="18.75" customHeight="1">
      <c r="A1908" s="7" t="s">
        <v>529</v>
      </c>
      <c r="B1908" s="7" t="s">
        <v>3875</v>
      </c>
      <c r="C1908" s="9">
        <v>20729.0</v>
      </c>
      <c r="D1908" s="9">
        <v>0.0</v>
      </c>
      <c r="E1908" s="9">
        <v>165.0</v>
      </c>
      <c r="F1908" s="7" t="s">
        <v>530</v>
      </c>
      <c r="G1908" s="7" t="s">
        <v>358</v>
      </c>
      <c r="H1908" s="7" t="s">
        <v>387</v>
      </c>
      <c r="I1908" s="7" t="s">
        <v>355</v>
      </c>
      <c r="J1908" s="14"/>
      <c r="K1908" s="14"/>
      <c r="O1908" s="22"/>
      <c r="P1908" s="22"/>
      <c r="Q1908" s="23"/>
      <c r="R1908" s="23"/>
      <c r="S1908" s="14"/>
    </row>
    <row r="1909" ht="18.75" customHeight="1">
      <c r="A1909" s="7" t="s">
        <v>1401</v>
      </c>
      <c r="B1909" s="7" t="s">
        <v>3875</v>
      </c>
      <c r="C1909" s="9">
        <v>5077046.0</v>
      </c>
      <c r="D1909" s="9">
        <v>85549.0</v>
      </c>
      <c r="E1909" s="9">
        <v>4916.0</v>
      </c>
      <c r="F1909" s="7" t="s">
        <v>1402</v>
      </c>
      <c r="G1909" s="7" t="s">
        <v>358</v>
      </c>
      <c r="H1909" s="7" t="s">
        <v>466</v>
      </c>
      <c r="I1909" s="7" t="s">
        <v>410</v>
      </c>
      <c r="J1909" s="14"/>
      <c r="K1909" s="14"/>
      <c r="O1909" s="22"/>
      <c r="P1909" s="22"/>
      <c r="Q1909" s="23"/>
      <c r="R1909" s="23"/>
      <c r="S1909" s="14"/>
    </row>
    <row r="1910" ht="18.75" customHeight="1">
      <c r="A1910" s="7" t="s">
        <v>1401</v>
      </c>
      <c r="B1910" s="7" t="s">
        <v>3875</v>
      </c>
      <c r="C1910" s="9">
        <v>3275765.0</v>
      </c>
      <c r="D1910" s="9">
        <v>384558.0</v>
      </c>
      <c r="E1910" s="9">
        <v>2797.0</v>
      </c>
      <c r="F1910" s="7" t="s">
        <v>1402</v>
      </c>
      <c r="G1910" s="7" t="s">
        <v>358</v>
      </c>
      <c r="H1910" s="7" t="s">
        <v>466</v>
      </c>
      <c r="I1910" s="7" t="s">
        <v>410</v>
      </c>
      <c r="J1910" s="14"/>
      <c r="K1910" s="14"/>
      <c r="O1910" s="22"/>
      <c r="P1910" s="22"/>
      <c r="Q1910" s="23"/>
      <c r="R1910" s="23"/>
      <c r="S1910" s="14"/>
    </row>
    <row r="1911" ht="18.75" customHeight="1">
      <c r="A1911" s="7" t="s">
        <v>1401</v>
      </c>
      <c r="B1911" s="7" t="s">
        <v>3875</v>
      </c>
      <c r="C1911" s="9">
        <v>1.7075986E7</v>
      </c>
      <c r="D1911" s="9">
        <v>85631.0</v>
      </c>
      <c r="E1911" s="9">
        <v>34842.0</v>
      </c>
      <c r="F1911" s="7" t="s">
        <v>1402</v>
      </c>
      <c r="G1911" s="7" t="s">
        <v>358</v>
      </c>
      <c r="H1911" s="7" t="s">
        <v>466</v>
      </c>
      <c r="I1911" s="7" t="s">
        <v>410</v>
      </c>
      <c r="J1911" s="14"/>
      <c r="K1911" s="14"/>
      <c r="O1911" s="22"/>
      <c r="P1911" s="22"/>
      <c r="Q1911" s="23"/>
      <c r="R1911" s="23"/>
      <c r="S1911" s="14"/>
    </row>
    <row r="1912" ht="18.75" customHeight="1">
      <c r="A1912" s="7" t="s">
        <v>1950</v>
      </c>
      <c r="B1912" s="7" t="s">
        <v>3875</v>
      </c>
      <c r="C1912" s="9">
        <v>437450.0</v>
      </c>
      <c r="D1912" s="9">
        <v>0.0</v>
      </c>
      <c r="E1912" s="9">
        <v>5756.0</v>
      </c>
      <c r="F1912" s="7" t="s">
        <v>1951</v>
      </c>
      <c r="G1912" s="7" t="s">
        <v>353</v>
      </c>
      <c r="H1912" s="7" t="s">
        <v>783</v>
      </c>
      <c r="I1912" s="7" t="s">
        <v>355</v>
      </c>
      <c r="J1912" s="14"/>
      <c r="K1912" s="14"/>
      <c r="O1912" s="22"/>
      <c r="P1912" s="22"/>
      <c r="Q1912" s="23"/>
      <c r="R1912" s="23"/>
      <c r="S1912" s="14"/>
    </row>
    <row r="1913" ht="18.75" customHeight="1">
      <c r="A1913" s="7" t="s">
        <v>1988</v>
      </c>
      <c r="B1913" s="7" t="s">
        <v>3875</v>
      </c>
      <c r="C1913" s="9">
        <v>1958.0</v>
      </c>
      <c r="D1913" s="9">
        <v>0.0</v>
      </c>
      <c r="E1913" s="9">
        <v>78.0</v>
      </c>
      <c r="F1913" s="7" t="s">
        <v>1989</v>
      </c>
      <c r="G1913" s="7" t="s">
        <v>364</v>
      </c>
      <c r="H1913" s="7" t="s">
        <v>365</v>
      </c>
      <c r="I1913" s="7" t="s">
        <v>355</v>
      </c>
      <c r="J1913" s="14"/>
      <c r="K1913" s="14"/>
      <c r="O1913" s="22"/>
      <c r="P1913" s="22"/>
      <c r="Q1913" s="23"/>
      <c r="R1913" s="23"/>
      <c r="S1913" s="14"/>
    </row>
    <row r="1914" ht="18.75" customHeight="1">
      <c r="A1914" s="7" t="s">
        <v>1974</v>
      </c>
      <c r="B1914" s="7" t="s">
        <v>3875</v>
      </c>
      <c r="C1914" s="9">
        <v>2754989.0</v>
      </c>
      <c r="D1914" s="9">
        <v>250381.0</v>
      </c>
      <c r="E1914" s="9">
        <v>2786.0</v>
      </c>
      <c r="F1914" s="7" t="s">
        <v>1975</v>
      </c>
      <c r="G1914" s="7" t="s">
        <v>358</v>
      </c>
      <c r="H1914" s="7" t="s">
        <v>466</v>
      </c>
      <c r="I1914" s="7" t="s">
        <v>410</v>
      </c>
      <c r="J1914" s="14"/>
      <c r="K1914" s="14"/>
      <c r="O1914" s="22"/>
      <c r="P1914" s="22"/>
      <c r="Q1914" s="23"/>
      <c r="R1914" s="23"/>
      <c r="S1914" s="14"/>
    </row>
    <row r="1915" ht="18.75" customHeight="1">
      <c r="A1915" s="7" t="s">
        <v>1974</v>
      </c>
      <c r="B1915" s="7" t="s">
        <v>3875</v>
      </c>
      <c r="C1915" s="9">
        <v>1643788.0</v>
      </c>
      <c r="D1915" s="9">
        <v>179134.0</v>
      </c>
      <c r="E1915" s="9">
        <v>2036.0</v>
      </c>
      <c r="F1915" s="7" t="s">
        <v>1975</v>
      </c>
      <c r="G1915" s="7" t="s">
        <v>358</v>
      </c>
      <c r="H1915" s="7" t="s">
        <v>466</v>
      </c>
      <c r="I1915" s="7" t="s">
        <v>410</v>
      </c>
      <c r="J1915" s="14"/>
      <c r="K1915" s="14"/>
      <c r="O1915" s="22"/>
      <c r="P1915" s="22"/>
      <c r="Q1915" s="23"/>
      <c r="R1915" s="23"/>
      <c r="S1915" s="14"/>
    </row>
    <row r="1916" ht="18.75" customHeight="1">
      <c r="A1916" s="7" t="s">
        <v>1948</v>
      </c>
      <c r="B1916" s="7" t="s">
        <v>3875</v>
      </c>
      <c r="C1916" s="9">
        <v>997897.0</v>
      </c>
      <c r="D1916" s="9">
        <v>138756.0</v>
      </c>
      <c r="E1916" s="9">
        <v>932.0</v>
      </c>
      <c r="F1916" s="7" t="s">
        <v>1949</v>
      </c>
      <c r="G1916" s="7" t="s">
        <v>353</v>
      </c>
      <c r="H1916" s="7" t="s">
        <v>378</v>
      </c>
      <c r="I1916" s="7" t="s">
        <v>355</v>
      </c>
      <c r="J1916" s="14"/>
      <c r="K1916" s="14"/>
      <c r="O1916" s="22"/>
      <c r="P1916" s="22"/>
      <c r="Q1916" s="23"/>
      <c r="R1916" s="23"/>
      <c r="S1916" s="14"/>
    </row>
    <row r="1917" ht="18.75" customHeight="1">
      <c r="A1917" s="7" t="s">
        <v>1739</v>
      </c>
      <c r="B1917" s="7" t="s">
        <v>3875</v>
      </c>
      <c r="C1917" s="9">
        <v>104834.0</v>
      </c>
      <c r="D1917" s="9">
        <v>0.0</v>
      </c>
      <c r="E1917" s="9">
        <v>434.0</v>
      </c>
      <c r="F1917" s="7" t="s">
        <v>1740</v>
      </c>
      <c r="G1917" s="7" t="s">
        <v>364</v>
      </c>
      <c r="H1917" s="7" t="s">
        <v>365</v>
      </c>
      <c r="I1917" s="7" t="s">
        <v>355</v>
      </c>
      <c r="J1917" s="14"/>
      <c r="K1917" s="14"/>
      <c r="O1917" s="22"/>
      <c r="P1917" s="22"/>
      <c r="Q1917" s="23"/>
      <c r="R1917" s="23"/>
      <c r="S1917" s="14"/>
    </row>
    <row r="1918" ht="18.75" customHeight="1">
      <c r="A1918" s="7" t="s">
        <v>501</v>
      </c>
      <c r="B1918" s="7" t="s">
        <v>3875</v>
      </c>
      <c r="C1918" s="9">
        <v>676322.0</v>
      </c>
      <c r="D1918" s="9">
        <v>17836.0</v>
      </c>
      <c r="E1918" s="9">
        <v>595.0</v>
      </c>
      <c r="F1918" s="7" t="s">
        <v>502</v>
      </c>
      <c r="G1918" s="7" t="s">
        <v>503</v>
      </c>
      <c r="H1918" s="7" t="s">
        <v>504</v>
      </c>
      <c r="I1918" s="7" t="s">
        <v>410</v>
      </c>
      <c r="J1918" s="14"/>
      <c r="K1918" s="14"/>
      <c r="O1918" s="22"/>
      <c r="P1918" s="22"/>
      <c r="Q1918" s="23"/>
      <c r="R1918" s="23"/>
      <c r="S1918" s="14"/>
    </row>
    <row r="1919" ht="18.75" customHeight="1">
      <c r="A1919" s="7" t="s">
        <v>501</v>
      </c>
      <c r="B1919" s="7" t="s">
        <v>3875</v>
      </c>
      <c r="C1919" s="9">
        <v>809623.0</v>
      </c>
      <c r="D1919" s="9">
        <v>18659.0</v>
      </c>
      <c r="E1919" s="9">
        <v>781.0</v>
      </c>
      <c r="F1919" s="7" t="s">
        <v>502</v>
      </c>
      <c r="G1919" s="7" t="s">
        <v>503</v>
      </c>
      <c r="H1919" s="7" t="s">
        <v>504</v>
      </c>
      <c r="I1919" s="7" t="s">
        <v>410</v>
      </c>
      <c r="J1919" s="14"/>
      <c r="K1919" s="14"/>
      <c r="O1919" s="22"/>
      <c r="P1919" s="22"/>
      <c r="Q1919" s="23"/>
      <c r="R1919" s="23"/>
      <c r="S1919" s="14"/>
    </row>
    <row r="1920" ht="18.75" customHeight="1">
      <c r="A1920" s="7" t="s">
        <v>1879</v>
      </c>
      <c r="B1920" s="7" t="s">
        <v>3875</v>
      </c>
      <c r="C1920" s="9">
        <v>100258.0</v>
      </c>
      <c r="D1920" s="9">
        <v>0.0</v>
      </c>
      <c r="E1920" s="9">
        <v>430.0</v>
      </c>
      <c r="F1920" s="7" t="s">
        <v>1880</v>
      </c>
      <c r="G1920" s="7" t="s">
        <v>353</v>
      </c>
      <c r="H1920" s="7" t="s">
        <v>378</v>
      </c>
      <c r="I1920" s="7" t="s">
        <v>355</v>
      </c>
      <c r="J1920" s="14"/>
      <c r="K1920" s="14"/>
      <c r="O1920" s="22"/>
      <c r="P1920" s="22"/>
      <c r="Q1920" s="23"/>
      <c r="R1920" s="23"/>
      <c r="S1920" s="14"/>
    </row>
    <row r="1921" ht="18.75" customHeight="1">
      <c r="A1921" s="7" t="s">
        <v>1831</v>
      </c>
      <c r="B1921" s="7" t="s">
        <v>3875</v>
      </c>
      <c r="C1921" s="9">
        <v>337304.0</v>
      </c>
      <c r="D1921" s="9">
        <v>0.0</v>
      </c>
      <c r="E1921" s="9">
        <v>3980.0</v>
      </c>
      <c r="F1921" s="7" t="s">
        <v>1832</v>
      </c>
      <c r="G1921" s="7" t="s">
        <v>358</v>
      </c>
      <c r="H1921" s="7" t="s">
        <v>1665</v>
      </c>
      <c r="I1921" s="7" t="s">
        <v>410</v>
      </c>
      <c r="J1921" s="14"/>
      <c r="K1921" s="14"/>
      <c r="O1921" s="22"/>
      <c r="P1921" s="22"/>
      <c r="Q1921" s="23"/>
      <c r="R1921" s="23"/>
      <c r="S1921" s="14"/>
    </row>
    <row r="1922" ht="18.75" customHeight="1">
      <c r="A1922" s="7" t="s">
        <v>1831</v>
      </c>
      <c r="B1922" s="7" t="s">
        <v>3875</v>
      </c>
      <c r="C1922" s="9">
        <v>630476.0</v>
      </c>
      <c r="D1922" s="9">
        <v>0.0</v>
      </c>
      <c r="E1922" s="9">
        <v>5095.0</v>
      </c>
      <c r="F1922" s="7" t="s">
        <v>1832</v>
      </c>
      <c r="G1922" s="7" t="s">
        <v>358</v>
      </c>
      <c r="H1922" s="7" t="s">
        <v>1665</v>
      </c>
      <c r="I1922" s="7" t="s">
        <v>410</v>
      </c>
      <c r="J1922" s="14"/>
      <c r="K1922" s="14"/>
      <c r="O1922" s="22"/>
      <c r="P1922" s="22"/>
      <c r="Q1922" s="23"/>
      <c r="R1922" s="23"/>
      <c r="S1922" s="14"/>
    </row>
    <row r="1923" ht="18.75" customHeight="1">
      <c r="A1923" s="7" t="s">
        <v>957</v>
      </c>
      <c r="B1923" s="7" t="s">
        <v>3875</v>
      </c>
      <c r="C1923" s="9">
        <v>148978.0</v>
      </c>
      <c r="D1923" s="9">
        <v>0.0</v>
      </c>
      <c r="E1923" s="9">
        <v>998.0</v>
      </c>
      <c r="F1923" s="7" t="s">
        <v>958</v>
      </c>
      <c r="G1923" s="7" t="s">
        <v>364</v>
      </c>
      <c r="H1923" s="7" t="s">
        <v>365</v>
      </c>
      <c r="I1923" s="7" t="s">
        <v>410</v>
      </c>
      <c r="J1923" s="14"/>
      <c r="K1923" s="14"/>
      <c r="O1923" s="22"/>
      <c r="P1923" s="22"/>
      <c r="Q1923" s="23"/>
      <c r="R1923" s="23"/>
      <c r="S1923" s="14"/>
    </row>
    <row r="1924" ht="18.75" customHeight="1">
      <c r="A1924" s="7" t="s">
        <v>1859</v>
      </c>
      <c r="B1924" s="7" t="s">
        <v>3875</v>
      </c>
      <c r="C1924" s="9">
        <v>116187.0</v>
      </c>
      <c r="D1924" s="9">
        <v>8667.0</v>
      </c>
      <c r="E1924" s="9">
        <v>816.0</v>
      </c>
      <c r="F1924" s="7" t="s">
        <v>1860</v>
      </c>
      <c r="G1924" s="7" t="s">
        <v>364</v>
      </c>
      <c r="H1924" s="7" t="s">
        <v>365</v>
      </c>
      <c r="I1924" s="7" t="s">
        <v>355</v>
      </c>
      <c r="J1924" s="14"/>
      <c r="K1924" s="14"/>
      <c r="O1924" s="22"/>
      <c r="P1924" s="22"/>
      <c r="Q1924" s="23"/>
      <c r="R1924" s="23"/>
      <c r="S1924" s="14"/>
    </row>
    <row r="1925" ht="18.75" customHeight="1">
      <c r="A1925" s="7" t="s">
        <v>1992</v>
      </c>
      <c r="B1925" s="7" t="s">
        <v>3875</v>
      </c>
      <c r="C1925" s="9">
        <v>135430.0</v>
      </c>
      <c r="D1925" s="9">
        <v>0.0</v>
      </c>
      <c r="E1925" s="9">
        <v>550.0</v>
      </c>
      <c r="F1925" s="7" t="s">
        <v>1993</v>
      </c>
      <c r="G1925" s="7" t="s">
        <v>416</v>
      </c>
      <c r="H1925" s="7" t="s">
        <v>413</v>
      </c>
      <c r="I1925" s="7" t="s">
        <v>355</v>
      </c>
      <c r="J1925" s="14"/>
      <c r="K1925" s="14"/>
      <c r="O1925" s="22"/>
      <c r="P1925" s="22"/>
      <c r="Q1925" s="23"/>
      <c r="R1925" s="23"/>
      <c r="S1925" s="14"/>
    </row>
    <row r="1926" ht="18.75" customHeight="1">
      <c r="A1926" s="7" t="s">
        <v>2004</v>
      </c>
      <c r="B1926" s="7" t="s">
        <v>3875</v>
      </c>
      <c r="C1926" s="9">
        <v>5569556.0</v>
      </c>
      <c r="D1926" s="9">
        <v>571380.0</v>
      </c>
      <c r="E1926" s="9">
        <v>5307.0</v>
      </c>
      <c r="F1926" s="7" t="s">
        <v>2005</v>
      </c>
      <c r="G1926" s="7" t="s">
        <v>358</v>
      </c>
      <c r="H1926" s="7" t="s">
        <v>466</v>
      </c>
      <c r="I1926" s="7" t="s">
        <v>410</v>
      </c>
      <c r="J1926" s="14"/>
      <c r="K1926" s="14"/>
      <c r="O1926" s="22"/>
      <c r="P1926" s="22"/>
      <c r="Q1926" s="23"/>
      <c r="R1926" s="23"/>
      <c r="S1926" s="14"/>
    </row>
    <row r="1927" ht="18.75" customHeight="1">
      <c r="A1927" s="7" t="s">
        <v>1972</v>
      </c>
      <c r="B1927" s="7" t="s">
        <v>3875</v>
      </c>
      <c r="C1927" s="9">
        <v>4986406.0</v>
      </c>
      <c r="D1927" s="9">
        <v>38300.0</v>
      </c>
      <c r="E1927" s="9">
        <v>6667.0</v>
      </c>
      <c r="F1927" s="7" t="s">
        <v>1973</v>
      </c>
      <c r="G1927" s="7" t="s">
        <v>358</v>
      </c>
      <c r="H1927" s="7" t="s">
        <v>466</v>
      </c>
      <c r="I1927" s="7" t="s">
        <v>410</v>
      </c>
      <c r="J1927" s="14"/>
      <c r="K1927" s="14"/>
      <c r="O1927" s="22"/>
      <c r="P1927" s="22"/>
      <c r="Q1927" s="23"/>
      <c r="R1927" s="23"/>
      <c r="S1927" s="14"/>
    </row>
    <row r="1928" ht="18.75" customHeight="1">
      <c r="A1928" s="7" t="s">
        <v>1972</v>
      </c>
      <c r="B1928" s="7" t="s">
        <v>3875</v>
      </c>
      <c r="C1928" s="9">
        <v>551092.0</v>
      </c>
      <c r="D1928" s="9">
        <v>1597.0</v>
      </c>
      <c r="E1928" s="9">
        <v>870.0</v>
      </c>
      <c r="F1928" s="7" t="s">
        <v>1973</v>
      </c>
      <c r="G1928" s="7" t="s">
        <v>358</v>
      </c>
      <c r="H1928" s="7" t="s">
        <v>466</v>
      </c>
      <c r="I1928" s="7" t="s">
        <v>410</v>
      </c>
      <c r="J1928" s="14"/>
      <c r="K1928" s="14"/>
      <c r="O1928" s="22"/>
      <c r="P1928" s="22"/>
      <c r="Q1928" s="23"/>
      <c r="R1928" s="23"/>
      <c r="S1928" s="14"/>
    </row>
    <row r="1929" ht="18.75" customHeight="1">
      <c r="A1929" s="7" t="s">
        <v>1998</v>
      </c>
      <c r="B1929" s="7" t="s">
        <v>3875</v>
      </c>
      <c r="C1929" s="9">
        <v>182974.0</v>
      </c>
      <c r="D1929" s="9">
        <v>0.0</v>
      </c>
      <c r="E1929" s="9">
        <v>530.0</v>
      </c>
      <c r="F1929" s="7" t="s">
        <v>1999</v>
      </c>
      <c r="G1929" s="7" t="s">
        <v>416</v>
      </c>
      <c r="H1929" s="7" t="s">
        <v>354</v>
      </c>
      <c r="I1929" s="7" t="s">
        <v>355</v>
      </c>
      <c r="J1929" s="14"/>
      <c r="K1929" s="14"/>
      <c r="O1929" s="22"/>
      <c r="P1929" s="22"/>
      <c r="Q1929" s="23"/>
      <c r="R1929" s="23"/>
      <c r="S1929" s="14"/>
    </row>
    <row r="1930" ht="18.75" customHeight="1">
      <c r="A1930" s="7" t="s">
        <v>1986</v>
      </c>
      <c r="B1930" s="7" t="s">
        <v>3875</v>
      </c>
      <c r="C1930" s="9">
        <v>306966.0</v>
      </c>
      <c r="D1930" s="9">
        <v>0.0</v>
      </c>
      <c r="E1930" s="9">
        <v>4942.0</v>
      </c>
      <c r="F1930" s="7" t="s">
        <v>1987</v>
      </c>
      <c r="G1930" s="7" t="s">
        <v>404</v>
      </c>
      <c r="H1930" s="7" t="s">
        <v>783</v>
      </c>
      <c r="I1930" s="7" t="s">
        <v>355</v>
      </c>
      <c r="J1930" s="14"/>
      <c r="K1930" s="14"/>
      <c r="O1930" s="22"/>
      <c r="P1930" s="22"/>
      <c r="Q1930" s="23"/>
      <c r="R1930" s="23"/>
      <c r="S1930" s="14"/>
    </row>
    <row r="1931" ht="18.75" customHeight="1">
      <c r="A1931" s="7" t="s">
        <v>1831</v>
      </c>
      <c r="B1931" s="7" t="s">
        <v>3875</v>
      </c>
      <c r="C1931" s="9">
        <v>1135668.0</v>
      </c>
      <c r="D1931" s="9">
        <v>0.0</v>
      </c>
      <c r="E1931" s="9">
        <v>15663.0</v>
      </c>
      <c r="F1931" s="7" t="s">
        <v>1832</v>
      </c>
      <c r="G1931" s="7" t="s">
        <v>358</v>
      </c>
      <c r="H1931" s="7" t="s">
        <v>1665</v>
      </c>
      <c r="I1931" s="7" t="s">
        <v>410</v>
      </c>
      <c r="J1931" s="14"/>
      <c r="K1931" s="14"/>
      <c r="O1931" s="22"/>
      <c r="P1931" s="22"/>
      <c r="Q1931" s="23"/>
      <c r="R1931" s="23"/>
      <c r="S1931" s="14"/>
    </row>
    <row r="1932" ht="18.75" customHeight="1">
      <c r="A1932" s="7" t="s">
        <v>1831</v>
      </c>
      <c r="B1932" s="7" t="s">
        <v>3875</v>
      </c>
      <c r="C1932" s="9">
        <v>1131192.0</v>
      </c>
      <c r="D1932" s="9">
        <v>0.0</v>
      </c>
      <c r="E1932" s="9">
        <v>13217.0</v>
      </c>
      <c r="F1932" s="7" t="s">
        <v>1832</v>
      </c>
      <c r="G1932" s="7" t="s">
        <v>358</v>
      </c>
      <c r="H1932" s="7" t="s">
        <v>1665</v>
      </c>
      <c r="I1932" s="7" t="s">
        <v>410</v>
      </c>
      <c r="J1932" s="14"/>
      <c r="K1932" s="14"/>
      <c r="O1932" s="22"/>
      <c r="P1932" s="22"/>
      <c r="Q1932" s="23"/>
      <c r="R1932" s="23"/>
      <c r="S1932" s="14"/>
    </row>
    <row r="1933" ht="18.75" customHeight="1">
      <c r="A1933" s="7" t="s">
        <v>1994</v>
      </c>
      <c r="B1933" s="7" t="s">
        <v>3875</v>
      </c>
      <c r="C1933" s="9">
        <v>129266.0</v>
      </c>
      <c r="D1933" s="9">
        <v>0.0</v>
      </c>
      <c r="E1933" s="9">
        <v>471.0</v>
      </c>
      <c r="F1933" s="7" t="s">
        <v>1995</v>
      </c>
      <c r="G1933" s="7" t="s">
        <v>416</v>
      </c>
      <c r="H1933" s="7" t="s">
        <v>466</v>
      </c>
      <c r="I1933" s="7" t="s">
        <v>355</v>
      </c>
      <c r="J1933" s="14"/>
      <c r="K1933" s="14"/>
      <c r="O1933" s="22"/>
      <c r="P1933" s="22"/>
      <c r="Q1933" s="23"/>
      <c r="R1933" s="23"/>
      <c r="S1933" s="14"/>
    </row>
    <row r="1934" ht="18.75" customHeight="1">
      <c r="A1934" s="7" t="s">
        <v>1831</v>
      </c>
      <c r="B1934" s="7" t="s">
        <v>3875</v>
      </c>
      <c r="C1934" s="9">
        <v>1034594.0</v>
      </c>
      <c r="D1934" s="9">
        <v>0.0</v>
      </c>
      <c r="E1934" s="9">
        <v>13116.0</v>
      </c>
      <c r="F1934" s="7" t="s">
        <v>1832</v>
      </c>
      <c r="G1934" s="7" t="s">
        <v>358</v>
      </c>
      <c r="H1934" s="7" t="s">
        <v>1665</v>
      </c>
      <c r="I1934" s="7" t="s">
        <v>410</v>
      </c>
      <c r="J1934" s="14"/>
      <c r="K1934" s="14"/>
      <c r="O1934" s="22"/>
      <c r="P1934" s="22"/>
      <c r="Q1934" s="23"/>
      <c r="R1934" s="23"/>
      <c r="S1934" s="14"/>
    </row>
    <row r="1935" ht="18.75" customHeight="1">
      <c r="A1935" s="7" t="s">
        <v>1831</v>
      </c>
      <c r="B1935" s="7" t="s">
        <v>3875</v>
      </c>
      <c r="C1935" s="9">
        <v>1248188.0</v>
      </c>
      <c r="D1935" s="9">
        <v>0.0</v>
      </c>
      <c r="E1935" s="9">
        <v>21302.0</v>
      </c>
      <c r="F1935" s="7" t="s">
        <v>1832</v>
      </c>
      <c r="G1935" s="7" t="s">
        <v>358</v>
      </c>
      <c r="H1935" s="7" t="s">
        <v>1665</v>
      </c>
      <c r="I1935" s="7" t="s">
        <v>410</v>
      </c>
      <c r="J1935" s="14"/>
      <c r="K1935" s="14"/>
      <c r="O1935" s="22"/>
      <c r="P1935" s="22"/>
      <c r="Q1935" s="23"/>
      <c r="R1935" s="23"/>
      <c r="S1935" s="14"/>
    </row>
    <row r="1936" ht="18.75" customHeight="1">
      <c r="A1936" s="7" t="s">
        <v>1789</v>
      </c>
      <c r="B1936" s="7" t="s">
        <v>3875</v>
      </c>
      <c r="C1936" s="9">
        <v>340016.0</v>
      </c>
      <c r="D1936" s="9">
        <v>0.0</v>
      </c>
      <c r="E1936" s="9">
        <v>418.0</v>
      </c>
      <c r="F1936" s="7" t="s">
        <v>1790</v>
      </c>
      <c r="G1936" s="7" t="s">
        <v>353</v>
      </c>
      <c r="H1936" s="7" t="s">
        <v>833</v>
      </c>
      <c r="I1936" s="7" t="s">
        <v>410</v>
      </c>
      <c r="J1936" s="14"/>
      <c r="K1936" s="14"/>
      <c r="O1936" s="22"/>
      <c r="P1936" s="22"/>
      <c r="Q1936" s="23"/>
      <c r="R1936" s="23"/>
      <c r="S1936" s="14"/>
    </row>
    <row r="1937" ht="18.75" customHeight="1">
      <c r="A1937" s="7" t="s">
        <v>1996</v>
      </c>
      <c r="B1937" s="7" t="s">
        <v>3875</v>
      </c>
      <c r="C1937" s="9">
        <v>123263.0</v>
      </c>
      <c r="D1937" s="9">
        <v>0.0</v>
      </c>
      <c r="E1937" s="9">
        <v>450.0</v>
      </c>
      <c r="F1937" s="7" t="s">
        <v>1997</v>
      </c>
      <c r="G1937" s="7" t="s">
        <v>416</v>
      </c>
      <c r="H1937" s="7" t="s">
        <v>359</v>
      </c>
      <c r="I1937" s="7" t="s">
        <v>355</v>
      </c>
      <c r="J1937" s="14"/>
      <c r="K1937" s="14"/>
      <c r="O1937" s="22"/>
      <c r="P1937" s="22"/>
      <c r="Q1937" s="23"/>
      <c r="R1937" s="23"/>
      <c r="S1937" s="14"/>
    </row>
    <row r="1938" ht="18.75" customHeight="1">
      <c r="A1938" s="7" t="s">
        <v>1507</v>
      </c>
      <c r="B1938" s="7" t="s">
        <v>3875</v>
      </c>
      <c r="C1938" s="9">
        <v>148484.0</v>
      </c>
      <c r="D1938" s="9">
        <v>0.0</v>
      </c>
      <c r="E1938" s="9">
        <v>1592.0</v>
      </c>
      <c r="F1938" s="7" t="s">
        <v>1508</v>
      </c>
      <c r="G1938" s="7" t="s">
        <v>404</v>
      </c>
      <c r="H1938" s="7" t="s">
        <v>405</v>
      </c>
      <c r="I1938" s="7" t="s">
        <v>410</v>
      </c>
      <c r="J1938" s="14"/>
      <c r="K1938" s="14"/>
      <c r="O1938" s="22"/>
      <c r="P1938" s="22"/>
      <c r="Q1938" s="23"/>
      <c r="R1938" s="23"/>
      <c r="S1938" s="14"/>
    </row>
    <row r="1939" ht="18.75" customHeight="1">
      <c r="A1939" s="7" t="s">
        <v>1865</v>
      </c>
      <c r="B1939" s="7" t="s">
        <v>3875</v>
      </c>
      <c r="C1939" s="9">
        <v>497995.0</v>
      </c>
      <c r="D1939" s="9">
        <v>26076.0</v>
      </c>
      <c r="E1939" s="9">
        <v>409.0</v>
      </c>
      <c r="F1939" s="7" t="s">
        <v>1866</v>
      </c>
      <c r="G1939" s="7" t="s">
        <v>416</v>
      </c>
      <c r="H1939" s="7" t="s">
        <v>417</v>
      </c>
      <c r="I1939" s="7" t="s">
        <v>355</v>
      </c>
      <c r="J1939" s="14"/>
      <c r="K1939" s="14"/>
      <c r="O1939" s="22"/>
      <c r="P1939" s="22"/>
      <c r="Q1939" s="23"/>
      <c r="R1939" s="23"/>
      <c r="S1939" s="14"/>
    </row>
    <row r="1940" ht="18.75" customHeight="1">
      <c r="A1940" s="7" t="s">
        <v>1936</v>
      </c>
      <c r="B1940" s="7" t="s">
        <v>3875</v>
      </c>
      <c r="C1940" s="9">
        <v>394107.0</v>
      </c>
      <c r="D1940" s="9">
        <v>44095.0</v>
      </c>
      <c r="E1940" s="9">
        <v>615.0</v>
      </c>
      <c r="F1940" s="7" t="s">
        <v>1937</v>
      </c>
      <c r="G1940" s="7" t="s">
        <v>416</v>
      </c>
      <c r="H1940" s="7" t="s">
        <v>417</v>
      </c>
      <c r="I1940" s="7" t="s">
        <v>355</v>
      </c>
      <c r="J1940" s="14"/>
      <c r="K1940" s="14"/>
      <c r="O1940" s="22"/>
      <c r="P1940" s="22"/>
      <c r="Q1940" s="23"/>
      <c r="R1940" s="23"/>
      <c r="S1940" s="14"/>
    </row>
    <row r="1941" ht="18.75" customHeight="1">
      <c r="A1941" s="7" t="s">
        <v>2010</v>
      </c>
      <c r="B1941" s="7" t="s">
        <v>3875</v>
      </c>
      <c r="C1941" s="9">
        <v>170882.0</v>
      </c>
      <c r="D1941" s="9">
        <v>0.0</v>
      </c>
      <c r="E1941" s="9">
        <v>966.0</v>
      </c>
      <c r="F1941" s="7" t="s">
        <v>2011</v>
      </c>
      <c r="G1941" s="7" t="s">
        <v>404</v>
      </c>
      <c r="H1941" s="7" t="s">
        <v>667</v>
      </c>
      <c r="I1941" s="7" t="s">
        <v>355</v>
      </c>
      <c r="J1941" s="14"/>
      <c r="K1941" s="14"/>
      <c r="O1941" s="22"/>
      <c r="P1941" s="22"/>
      <c r="Q1941" s="23"/>
      <c r="R1941" s="23"/>
      <c r="S1941" s="14"/>
    </row>
    <row r="1942" ht="18.75" customHeight="1">
      <c r="A1942" s="7" t="s">
        <v>2010</v>
      </c>
      <c r="B1942" s="7" t="s">
        <v>3875</v>
      </c>
      <c r="C1942" s="9">
        <v>385552.0</v>
      </c>
      <c r="D1942" s="9">
        <v>0.0</v>
      </c>
      <c r="E1942" s="9">
        <v>868.0</v>
      </c>
      <c r="F1942" s="7" t="s">
        <v>2011</v>
      </c>
      <c r="G1942" s="7" t="s">
        <v>404</v>
      </c>
      <c r="H1942" s="7" t="s">
        <v>667</v>
      </c>
      <c r="I1942" s="7" t="s">
        <v>355</v>
      </c>
      <c r="J1942" s="14"/>
      <c r="K1942" s="14"/>
      <c r="O1942" s="22"/>
      <c r="P1942" s="22"/>
      <c r="Q1942" s="23"/>
      <c r="R1942" s="23"/>
      <c r="S1942" s="14"/>
    </row>
    <row r="1943" ht="18.75" customHeight="1">
      <c r="A1943" s="7" t="s">
        <v>529</v>
      </c>
      <c r="B1943" s="7" t="s">
        <v>3875</v>
      </c>
      <c r="C1943" s="9">
        <v>47631.0</v>
      </c>
      <c r="D1943" s="9">
        <v>0.0</v>
      </c>
      <c r="E1943" s="9">
        <v>188.0</v>
      </c>
      <c r="F1943" s="7" t="s">
        <v>530</v>
      </c>
      <c r="G1943" s="7" t="s">
        <v>358</v>
      </c>
      <c r="H1943" s="7" t="s">
        <v>387</v>
      </c>
      <c r="I1943" s="7" t="s">
        <v>355</v>
      </c>
      <c r="J1943" s="14"/>
      <c r="K1943" s="14"/>
      <c r="O1943" s="22"/>
      <c r="P1943" s="22"/>
      <c r="Q1943" s="23"/>
      <c r="R1943" s="23"/>
      <c r="S1943" s="14"/>
    </row>
    <row r="1944" ht="18.75" customHeight="1">
      <c r="A1944" s="7" t="s">
        <v>529</v>
      </c>
      <c r="B1944" s="7" t="s">
        <v>3875</v>
      </c>
      <c r="C1944" s="9">
        <v>61173.0</v>
      </c>
      <c r="D1944" s="9">
        <v>0.0</v>
      </c>
      <c r="E1944" s="9">
        <v>223.0</v>
      </c>
      <c r="F1944" s="7" t="s">
        <v>530</v>
      </c>
      <c r="G1944" s="7" t="s">
        <v>358</v>
      </c>
      <c r="H1944" s="7" t="s">
        <v>387</v>
      </c>
      <c r="I1944" s="7" t="s">
        <v>355</v>
      </c>
      <c r="J1944" s="14"/>
      <c r="K1944" s="14"/>
      <c r="O1944" s="22"/>
      <c r="P1944" s="22"/>
      <c r="Q1944" s="23"/>
      <c r="R1944" s="23"/>
      <c r="S1944" s="14"/>
    </row>
    <row r="1945" ht="18.75" customHeight="1">
      <c r="A1945" s="7" t="s">
        <v>529</v>
      </c>
      <c r="B1945" s="7" t="s">
        <v>3875</v>
      </c>
      <c r="C1945" s="9">
        <v>38051.0</v>
      </c>
      <c r="D1945" s="9">
        <v>0.0</v>
      </c>
      <c r="E1945" s="9">
        <v>156.0</v>
      </c>
      <c r="F1945" s="7" t="s">
        <v>530</v>
      </c>
      <c r="G1945" s="7" t="s">
        <v>358</v>
      </c>
      <c r="H1945" s="7" t="s">
        <v>387</v>
      </c>
      <c r="I1945" s="7" t="s">
        <v>355</v>
      </c>
      <c r="J1945" s="14"/>
      <c r="K1945" s="14"/>
      <c r="O1945" s="22"/>
      <c r="P1945" s="22"/>
      <c r="Q1945" s="23"/>
      <c r="R1945" s="23"/>
      <c r="S1945" s="14"/>
    </row>
    <row r="1946" ht="18.75" customHeight="1">
      <c r="A1946" s="7" t="s">
        <v>529</v>
      </c>
      <c r="B1946" s="7" t="s">
        <v>3875</v>
      </c>
      <c r="C1946" s="9">
        <v>48215.0</v>
      </c>
      <c r="D1946" s="9">
        <v>0.0</v>
      </c>
      <c r="E1946" s="9">
        <v>107.0</v>
      </c>
      <c r="F1946" s="7" t="s">
        <v>530</v>
      </c>
      <c r="G1946" s="7" t="s">
        <v>358</v>
      </c>
      <c r="H1946" s="7" t="s">
        <v>387</v>
      </c>
      <c r="I1946" s="7" t="s">
        <v>355</v>
      </c>
      <c r="J1946" s="14"/>
      <c r="K1946" s="14"/>
      <c r="O1946" s="22"/>
      <c r="P1946" s="22"/>
      <c r="Q1946" s="23"/>
      <c r="R1946" s="23"/>
      <c r="S1946" s="14"/>
    </row>
    <row r="1947" ht="18.75" customHeight="1">
      <c r="A1947" s="7" t="s">
        <v>529</v>
      </c>
      <c r="B1947" s="7" t="s">
        <v>3875</v>
      </c>
      <c r="C1947" s="9">
        <v>18014.0</v>
      </c>
      <c r="D1947" s="9">
        <v>0.0</v>
      </c>
      <c r="E1947" s="9">
        <v>92.0</v>
      </c>
      <c r="F1947" s="7" t="s">
        <v>530</v>
      </c>
      <c r="G1947" s="7" t="s">
        <v>358</v>
      </c>
      <c r="H1947" s="7" t="s">
        <v>387</v>
      </c>
      <c r="I1947" s="7" t="s">
        <v>355</v>
      </c>
      <c r="J1947" s="14"/>
      <c r="K1947" s="14"/>
      <c r="O1947" s="22"/>
      <c r="P1947" s="22"/>
      <c r="Q1947" s="23"/>
      <c r="R1947" s="23"/>
      <c r="S1947" s="14"/>
    </row>
    <row r="1948" ht="18.75" customHeight="1">
      <c r="A1948" s="7" t="s">
        <v>529</v>
      </c>
      <c r="B1948" s="7" t="s">
        <v>3875</v>
      </c>
      <c r="C1948" s="9">
        <v>45949.0</v>
      </c>
      <c r="D1948" s="9">
        <v>0.0</v>
      </c>
      <c r="E1948" s="9">
        <v>138.0</v>
      </c>
      <c r="F1948" s="7" t="s">
        <v>530</v>
      </c>
      <c r="G1948" s="7" t="s">
        <v>358</v>
      </c>
      <c r="H1948" s="7" t="s">
        <v>387</v>
      </c>
      <c r="I1948" s="7" t="s">
        <v>355</v>
      </c>
      <c r="J1948" s="14"/>
      <c r="K1948" s="14"/>
      <c r="O1948" s="22"/>
      <c r="P1948" s="22"/>
      <c r="Q1948" s="23"/>
      <c r="R1948" s="23"/>
      <c r="S1948" s="14"/>
    </row>
    <row r="1949" ht="18.75" customHeight="1">
      <c r="A1949" s="7" t="s">
        <v>529</v>
      </c>
      <c r="B1949" s="7" t="s">
        <v>3875</v>
      </c>
      <c r="C1949" s="9">
        <v>76238.0</v>
      </c>
      <c r="D1949" s="9">
        <v>0.0</v>
      </c>
      <c r="E1949" s="9">
        <v>236.0</v>
      </c>
      <c r="F1949" s="7" t="s">
        <v>530</v>
      </c>
      <c r="G1949" s="7" t="s">
        <v>358</v>
      </c>
      <c r="H1949" s="7" t="s">
        <v>387</v>
      </c>
      <c r="I1949" s="7" t="s">
        <v>355</v>
      </c>
      <c r="J1949" s="14"/>
      <c r="K1949" s="14"/>
      <c r="O1949" s="22"/>
      <c r="P1949" s="22"/>
      <c r="Q1949" s="23"/>
      <c r="R1949" s="23"/>
      <c r="S1949" s="14"/>
    </row>
    <row r="1950" ht="18.75" customHeight="1">
      <c r="A1950" s="7" t="s">
        <v>2016</v>
      </c>
      <c r="B1950" s="7" t="s">
        <v>3875</v>
      </c>
      <c r="C1950" s="9">
        <v>136396.0</v>
      </c>
      <c r="D1950" s="9">
        <v>0.0</v>
      </c>
      <c r="E1950" s="9">
        <v>2575.0</v>
      </c>
      <c r="F1950" s="7" t="s">
        <v>2017</v>
      </c>
      <c r="G1950" s="7" t="s">
        <v>416</v>
      </c>
      <c r="H1950" s="7" t="s">
        <v>417</v>
      </c>
      <c r="I1950" s="7" t="s">
        <v>410</v>
      </c>
      <c r="J1950" s="14"/>
      <c r="K1950" s="14"/>
      <c r="O1950" s="22"/>
      <c r="P1950" s="22"/>
      <c r="Q1950" s="23"/>
      <c r="R1950" s="23"/>
      <c r="S1950" s="14"/>
    </row>
    <row r="1951" ht="18.75" customHeight="1">
      <c r="A1951" s="7" t="s">
        <v>2014</v>
      </c>
      <c r="B1951" s="7" t="s">
        <v>3875</v>
      </c>
      <c r="C1951" s="9">
        <v>6123.0</v>
      </c>
      <c r="D1951" s="9">
        <v>0.0</v>
      </c>
      <c r="E1951" s="9">
        <v>205.0</v>
      </c>
      <c r="F1951" s="7" t="s">
        <v>2015</v>
      </c>
      <c r="G1951" s="7" t="s">
        <v>416</v>
      </c>
      <c r="H1951" s="7" t="s">
        <v>417</v>
      </c>
      <c r="I1951" s="7" t="s">
        <v>410</v>
      </c>
      <c r="J1951" s="14"/>
      <c r="K1951" s="14"/>
      <c r="O1951" s="22"/>
      <c r="P1951" s="22"/>
      <c r="Q1951" s="23"/>
      <c r="R1951" s="23"/>
      <c r="S1951" s="14"/>
    </row>
    <row r="1952" ht="18.75" customHeight="1">
      <c r="A1952" s="7" t="s">
        <v>2028</v>
      </c>
      <c r="B1952" s="7" t="s">
        <v>3875</v>
      </c>
      <c r="C1952" s="9">
        <v>96889.0</v>
      </c>
      <c r="D1952" s="9">
        <v>0.0</v>
      </c>
      <c r="E1952" s="9">
        <v>80.0</v>
      </c>
      <c r="F1952" s="7" t="s">
        <v>2029</v>
      </c>
      <c r="G1952" s="7" t="s">
        <v>416</v>
      </c>
      <c r="H1952" s="7" t="s">
        <v>783</v>
      </c>
      <c r="I1952" s="7" t="s">
        <v>410</v>
      </c>
      <c r="J1952" s="14"/>
      <c r="K1952" s="14"/>
      <c r="O1952" s="22"/>
      <c r="P1952" s="22"/>
      <c r="Q1952" s="23"/>
      <c r="R1952" s="23"/>
      <c r="S1952" s="14"/>
    </row>
    <row r="1953" ht="18.75" customHeight="1">
      <c r="A1953" s="7" t="s">
        <v>2018</v>
      </c>
      <c r="B1953" s="7" t="s">
        <v>3875</v>
      </c>
      <c r="C1953" s="9">
        <v>15337.0</v>
      </c>
      <c r="D1953" s="9">
        <v>0.0</v>
      </c>
      <c r="E1953" s="9">
        <v>573.0</v>
      </c>
      <c r="F1953" s="7" t="s">
        <v>2019</v>
      </c>
      <c r="G1953" s="7" t="s">
        <v>364</v>
      </c>
      <c r="H1953" s="7" t="s">
        <v>365</v>
      </c>
      <c r="I1953" s="7" t="s">
        <v>355</v>
      </c>
      <c r="J1953" s="14"/>
      <c r="K1953" s="14"/>
      <c r="O1953" s="22"/>
      <c r="P1953" s="22"/>
      <c r="Q1953" s="23"/>
      <c r="R1953" s="23"/>
      <c r="S1953" s="14"/>
    </row>
    <row r="1954" ht="18.75" customHeight="1">
      <c r="A1954" s="7" t="s">
        <v>2042</v>
      </c>
      <c r="B1954" s="7" t="s">
        <v>3875</v>
      </c>
      <c r="C1954" s="9">
        <v>666883.0</v>
      </c>
      <c r="D1954" s="9">
        <v>0.0</v>
      </c>
      <c r="E1954" s="9">
        <v>644.0</v>
      </c>
      <c r="F1954" s="7" t="s">
        <v>2043</v>
      </c>
      <c r="G1954" s="7" t="s">
        <v>416</v>
      </c>
      <c r="H1954" s="7" t="s">
        <v>378</v>
      </c>
      <c r="I1954" s="7" t="s">
        <v>355</v>
      </c>
      <c r="J1954" s="14"/>
      <c r="K1954" s="14"/>
      <c r="O1954" s="22"/>
      <c r="P1954" s="22"/>
      <c r="Q1954" s="23"/>
      <c r="R1954" s="23"/>
      <c r="S1954" s="14"/>
    </row>
    <row r="1955" ht="18.75" customHeight="1">
      <c r="A1955" s="7" t="s">
        <v>2048</v>
      </c>
      <c r="B1955" s="7" t="s">
        <v>3875</v>
      </c>
      <c r="C1955" s="9">
        <v>176210.0</v>
      </c>
      <c r="D1955" s="9">
        <v>0.0</v>
      </c>
      <c r="E1955" s="9">
        <v>573.0</v>
      </c>
      <c r="F1955" s="7" t="s">
        <v>2049</v>
      </c>
      <c r="G1955" s="7" t="s">
        <v>416</v>
      </c>
      <c r="H1955" s="7" t="s">
        <v>365</v>
      </c>
      <c r="I1955" s="7" t="s">
        <v>355</v>
      </c>
      <c r="J1955" s="14"/>
      <c r="K1955" s="14"/>
      <c r="O1955" s="22"/>
      <c r="P1955" s="22"/>
      <c r="Q1955" s="23"/>
      <c r="R1955" s="23"/>
      <c r="S1955" s="14"/>
    </row>
    <row r="1956" ht="18.75" customHeight="1">
      <c r="A1956" s="7" t="s">
        <v>2006</v>
      </c>
      <c r="B1956" s="7" t="s">
        <v>3875</v>
      </c>
      <c r="C1956" s="9">
        <v>185349.0</v>
      </c>
      <c r="D1956" s="9">
        <v>0.0</v>
      </c>
      <c r="E1956" s="9">
        <v>4830.0</v>
      </c>
      <c r="F1956" s="7" t="s">
        <v>2007</v>
      </c>
      <c r="G1956" s="7" t="s">
        <v>404</v>
      </c>
      <c r="H1956" s="7" t="s">
        <v>760</v>
      </c>
      <c r="I1956" s="7" t="s">
        <v>410</v>
      </c>
      <c r="J1956" s="14"/>
      <c r="K1956" s="14"/>
      <c r="O1956" s="22"/>
      <c r="P1956" s="22"/>
      <c r="Q1956" s="23"/>
      <c r="R1956" s="23"/>
      <c r="S1956" s="14"/>
    </row>
    <row r="1957" ht="18.75" customHeight="1">
      <c r="A1957" s="7" t="s">
        <v>2054</v>
      </c>
      <c r="B1957" s="7" t="s">
        <v>3875</v>
      </c>
      <c r="C1957" s="9">
        <v>462544.0</v>
      </c>
      <c r="D1957" s="9">
        <v>0.0</v>
      </c>
      <c r="E1957" s="9">
        <v>508.0</v>
      </c>
      <c r="F1957" s="7" t="s">
        <v>2055</v>
      </c>
      <c r="G1957" s="7" t="s">
        <v>364</v>
      </c>
      <c r="H1957" s="7" t="s">
        <v>365</v>
      </c>
      <c r="I1957" s="7" t="s">
        <v>355</v>
      </c>
      <c r="J1957" s="14"/>
      <c r="K1957" s="14"/>
      <c r="O1957" s="22"/>
      <c r="P1957" s="22"/>
      <c r="Q1957" s="23"/>
      <c r="R1957" s="23"/>
      <c r="S1957" s="14"/>
    </row>
    <row r="1958" ht="18.75" customHeight="1">
      <c r="A1958" s="7" t="s">
        <v>2012</v>
      </c>
      <c r="B1958" s="7" t="s">
        <v>3875</v>
      </c>
      <c r="C1958" s="9">
        <v>311278.0</v>
      </c>
      <c r="D1958" s="9">
        <v>0.0</v>
      </c>
      <c r="E1958" s="9">
        <v>6745.0</v>
      </c>
      <c r="F1958" s="7" t="s">
        <v>2013</v>
      </c>
      <c r="G1958" s="7" t="s">
        <v>404</v>
      </c>
      <c r="H1958" s="7" t="s">
        <v>405</v>
      </c>
      <c r="I1958" s="7" t="s">
        <v>355</v>
      </c>
      <c r="J1958" s="14"/>
      <c r="K1958" s="14"/>
      <c r="O1958" s="22"/>
      <c r="P1958" s="22"/>
      <c r="Q1958" s="23"/>
      <c r="R1958" s="23"/>
      <c r="S1958" s="14"/>
    </row>
    <row r="1959" ht="18.75" customHeight="1">
      <c r="A1959" s="7" t="s">
        <v>1725</v>
      </c>
      <c r="B1959" s="7" t="s">
        <v>3875</v>
      </c>
      <c r="C1959" s="9">
        <v>453506.0</v>
      </c>
      <c r="D1959" s="9">
        <v>0.0</v>
      </c>
      <c r="E1959" s="9">
        <v>704.0</v>
      </c>
      <c r="F1959" s="7" t="s">
        <v>1726</v>
      </c>
      <c r="G1959" s="7" t="s">
        <v>353</v>
      </c>
      <c r="H1959" s="7" t="s">
        <v>378</v>
      </c>
      <c r="I1959" s="7" t="s">
        <v>410</v>
      </c>
      <c r="J1959" s="14"/>
      <c r="K1959" s="14"/>
      <c r="O1959" s="22"/>
      <c r="P1959" s="22"/>
      <c r="Q1959" s="23"/>
      <c r="R1959" s="23"/>
      <c r="S1959" s="14"/>
    </row>
    <row r="1960" ht="18.75" customHeight="1">
      <c r="A1960" s="7" t="s">
        <v>2026</v>
      </c>
      <c r="B1960" s="7" t="s">
        <v>3875</v>
      </c>
      <c r="C1960" s="9">
        <v>207001.0</v>
      </c>
      <c r="D1960" s="9">
        <v>0.0</v>
      </c>
      <c r="E1960" s="9">
        <v>800.0</v>
      </c>
      <c r="F1960" s="7" t="s">
        <v>2027</v>
      </c>
      <c r="G1960" s="7" t="s">
        <v>416</v>
      </c>
      <c r="H1960" s="7" t="s">
        <v>466</v>
      </c>
      <c r="I1960" s="7" t="s">
        <v>355</v>
      </c>
      <c r="J1960" s="14"/>
      <c r="K1960" s="14"/>
      <c r="O1960" s="22"/>
      <c r="P1960" s="22"/>
      <c r="Q1960" s="23"/>
      <c r="R1960" s="23"/>
      <c r="S1960" s="14"/>
    </row>
    <row r="1961" ht="18.75" customHeight="1">
      <c r="A1961" s="7" t="s">
        <v>2020</v>
      </c>
      <c r="B1961" s="7" t="s">
        <v>3875</v>
      </c>
      <c r="C1961" s="9">
        <v>193980.0</v>
      </c>
      <c r="D1961" s="9">
        <v>0.0</v>
      </c>
      <c r="E1961" s="9">
        <v>757.0</v>
      </c>
      <c r="F1961" s="7" t="s">
        <v>2021</v>
      </c>
      <c r="G1961" s="7" t="s">
        <v>416</v>
      </c>
      <c r="H1961" s="7" t="s">
        <v>466</v>
      </c>
      <c r="I1961" s="7" t="s">
        <v>355</v>
      </c>
      <c r="J1961" s="14"/>
      <c r="K1961" s="14"/>
      <c r="O1961" s="22"/>
      <c r="P1961" s="22"/>
      <c r="Q1961" s="23"/>
      <c r="R1961" s="23"/>
      <c r="S1961" s="14"/>
    </row>
    <row r="1962" ht="18.75" customHeight="1">
      <c r="A1962" s="7" t="s">
        <v>2022</v>
      </c>
      <c r="B1962" s="7" t="s">
        <v>3875</v>
      </c>
      <c r="C1962" s="9">
        <v>618781.0</v>
      </c>
      <c r="D1962" s="9">
        <v>0.0</v>
      </c>
      <c r="E1962" s="9">
        <v>738.0</v>
      </c>
      <c r="F1962" s="7" t="s">
        <v>2023</v>
      </c>
      <c r="G1962" s="7" t="s">
        <v>416</v>
      </c>
      <c r="H1962" s="7" t="s">
        <v>466</v>
      </c>
      <c r="I1962" s="7" t="s">
        <v>355</v>
      </c>
      <c r="J1962" s="14"/>
      <c r="K1962" s="14"/>
      <c r="O1962" s="22"/>
      <c r="P1962" s="22"/>
      <c r="Q1962" s="23"/>
      <c r="R1962" s="23"/>
      <c r="S1962" s="14"/>
    </row>
    <row r="1963" ht="18.75" customHeight="1">
      <c r="A1963" s="7" t="s">
        <v>501</v>
      </c>
      <c r="B1963" s="7" t="s">
        <v>3875</v>
      </c>
      <c r="C1963" s="9">
        <v>137131.0</v>
      </c>
      <c r="D1963" s="9">
        <v>19543.0</v>
      </c>
      <c r="E1963" s="9">
        <v>1345.0</v>
      </c>
      <c r="F1963" s="7" t="s">
        <v>502</v>
      </c>
      <c r="G1963" s="7" t="s">
        <v>503</v>
      </c>
      <c r="H1963" s="7" t="s">
        <v>504</v>
      </c>
      <c r="I1963" s="7" t="s">
        <v>410</v>
      </c>
      <c r="J1963" s="14"/>
      <c r="K1963" s="14"/>
      <c r="O1963" s="22"/>
      <c r="P1963" s="22"/>
      <c r="Q1963" s="23"/>
      <c r="R1963" s="23"/>
      <c r="S1963" s="14"/>
    </row>
    <row r="1964" ht="18.75" customHeight="1">
      <c r="A1964" s="7" t="s">
        <v>501</v>
      </c>
      <c r="B1964" s="7" t="s">
        <v>3875</v>
      </c>
      <c r="C1964" s="9">
        <v>267107.0</v>
      </c>
      <c r="D1964" s="9">
        <v>48850.0</v>
      </c>
      <c r="E1964" s="9">
        <v>2569.0</v>
      </c>
      <c r="F1964" s="7" t="s">
        <v>502</v>
      </c>
      <c r="G1964" s="7" t="s">
        <v>503</v>
      </c>
      <c r="H1964" s="7" t="s">
        <v>504</v>
      </c>
      <c r="I1964" s="7" t="s">
        <v>410</v>
      </c>
      <c r="J1964" s="14"/>
      <c r="K1964" s="14"/>
      <c r="O1964" s="22"/>
      <c r="P1964" s="22"/>
      <c r="Q1964" s="23"/>
      <c r="R1964" s="23"/>
      <c r="S1964" s="14"/>
    </row>
    <row r="1965" ht="18.75" customHeight="1">
      <c r="A1965" s="7" t="s">
        <v>501</v>
      </c>
      <c r="B1965" s="7" t="s">
        <v>3875</v>
      </c>
      <c r="C1965" s="9">
        <v>138544.0</v>
      </c>
      <c r="D1965" s="9">
        <v>9922.0</v>
      </c>
      <c r="E1965" s="9">
        <v>4063.0</v>
      </c>
      <c r="F1965" s="7" t="s">
        <v>502</v>
      </c>
      <c r="G1965" s="7" t="s">
        <v>503</v>
      </c>
      <c r="H1965" s="7" t="s">
        <v>504</v>
      </c>
      <c r="I1965" s="7" t="s">
        <v>410</v>
      </c>
      <c r="J1965" s="14"/>
      <c r="K1965" s="14"/>
      <c r="O1965" s="22"/>
      <c r="P1965" s="22"/>
      <c r="Q1965" s="23"/>
      <c r="R1965" s="23"/>
      <c r="S1965" s="14"/>
    </row>
    <row r="1966" ht="18.75" customHeight="1">
      <c r="A1966" s="7" t="s">
        <v>501</v>
      </c>
      <c r="B1966" s="7" t="s">
        <v>3875</v>
      </c>
      <c r="C1966" s="9">
        <v>369057.0</v>
      </c>
      <c r="D1966" s="9">
        <v>20127.0</v>
      </c>
      <c r="E1966" s="9">
        <v>9642.0</v>
      </c>
      <c r="F1966" s="7" t="s">
        <v>502</v>
      </c>
      <c r="G1966" s="7" t="s">
        <v>503</v>
      </c>
      <c r="H1966" s="7" t="s">
        <v>504</v>
      </c>
      <c r="I1966" s="7" t="s">
        <v>410</v>
      </c>
      <c r="J1966" s="14"/>
      <c r="K1966" s="14"/>
      <c r="O1966" s="22"/>
      <c r="P1966" s="22"/>
      <c r="Q1966" s="23"/>
      <c r="R1966" s="23"/>
      <c r="S1966" s="14"/>
    </row>
    <row r="1967" ht="18.75" customHeight="1">
      <c r="A1967" s="7" t="s">
        <v>2054</v>
      </c>
      <c r="B1967" s="7" t="s">
        <v>3875</v>
      </c>
      <c r="C1967" s="9">
        <v>296765.0</v>
      </c>
      <c r="D1967" s="9">
        <v>0.0</v>
      </c>
      <c r="E1967" s="9">
        <v>320.0</v>
      </c>
      <c r="F1967" s="7" t="s">
        <v>2055</v>
      </c>
      <c r="G1967" s="7" t="s">
        <v>364</v>
      </c>
      <c r="H1967" s="7" t="s">
        <v>365</v>
      </c>
      <c r="I1967" s="7" t="s">
        <v>355</v>
      </c>
      <c r="J1967" s="14"/>
      <c r="K1967" s="14"/>
      <c r="O1967" s="22"/>
      <c r="P1967" s="22"/>
      <c r="Q1967" s="23"/>
      <c r="R1967" s="23"/>
      <c r="S1967" s="14"/>
    </row>
    <row r="1968" ht="18.75" customHeight="1">
      <c r="A1968" s="7" t="s">
        <v>2002</v>
      </c>
      <c r="B1968" s="7" t="s">
        <v>3875</v>
      </c>
      <c r="C1968" s="9">
        <v>407405.0</v>
      </c>
      <c r="D1968" s="9">
        <v>0.0</v>
      </c>
      <c r="E1968" s="9">
        <v>583.0</v>
      </c>
      <c r="F1968" s="7" t="s">
        <v>2003</v>
      </c>
      <c r="G1968" s="7" t="s">
        <v>353</v>
      </c>
      <c r="H1968" s="7" t="s">
        <v>378</v>
      </c>
      <c r="I1968" s="7" t="s">
        <v>410</v>
      </c>
      <c r="J1968" s="14"/>
      <c r="K1968" s="14"/>
      <c r="O1968" s="22"/>
      <c r="P1968" s="22"/>
      <c r="Q1968" s="23"/>
      <c r="R1968" s="23"/>
      <c r="S1968" s="14"/>
    </row>
    <row r="1969" ht="18.75" customHeight="1">
      <c r="A1969" s="7" t="s">
        <v>1875</v>
      </c>
      <c r="B1969" s="7" t="s">
        <v>3875</v>
      </c>
      <c r="C1969" s="9">
        <v>395723.0</v>
      </c>
      <c r="D1969" s="9">
        <v>61453.0</v>
      </c>
      <c r="E1969" s="9">
        <v>348.0</v>
      </c>
      <c r="F1969" s="7" t="s">
        <v>1876</v>
      </c>
      <c r="G1969" s="7" t="s">
        <v>404</v>
      </c>
      <c r="H1969" s="7" t="s">
        <v>405</v>
      </c>
      <c r="I1969" s="7" t="s">
        <v>410</v>
      </c>
      <c r="J1969" s="14"/>
      <c r="K1969" s="14"/>
      <c r="O1969" s="22"/>
      <c r="P1969" s="22"/>
      <c r="Q1969" s="23"/>
      <c r="R1969" s="23"/>
      <c r="S1969" s="14"/>
    </row>
    <row r="1970" ht="18.75" customHeight="1">
      <c r="A1970" s="7" t="s">
        <v>501</v>
      </c>
      <c r="B1970" s="7" t="s">
        <v>3875</v>
      </c>
      <c r="C1970" s="9">
        <v>846186.0</v>
      </c>
      <c r="D1970" s="9">
        <v>99390.0</v>
      </c>
      <c r="E1970" s="9">
        <v>4751.0</v>
      </c>
      <c r="F1970" s="7" t="s">
        <v>502</v>
      </c>
      <c r="G1970" s="7" t="s">
        <v>503</v>
      </c>
      <c r="H1970" s="7" t="s">
        <v>504</v>
      </c>
      <c r="I1970" s="7" t="s">
        <v>410</v>
      </c>
      <c r="J1970" s="14"/>
      <c r="K1970" s="14"/>
      <c r="O1970" s="22"/>
      <c r="P1970" s="22"/>
      <c r="Q1970" s="23"/>
      <c r="R1970" s="23"/>
      <c r="S1970" s="14"/>
    </row>
    <row r="1971" ht="18.75" customHeight="1">
      <c r="A1971" s="7" t="s">
        <v>2008</v>
      </c>
      <c r="B1971" s="7" t="s">
        <v>3875</v>
      </c>
      <c r="C1971" s="9">
        <v>3922053.0</v>
      </c>
      <c r="D1971" s="9">
        <v>62058.0</v>
      </c>
      <c r="E1971" s="9">
        <v>5965.0</v>
      </c>
      <c r="F1971" s="7" t="s">
        <v>2009</v>
      </c>
      <c r="G1971" s="7" t="s">
        <v>358</v>
      </c>
      <c r="H1971" s="7" t="s">
        <v>466</v>
      </c>
      <c r="I1971" s="7" t="s">
        <v>410</v>
      </c>
      <c r="J1971" s="14"/>
      <c r="K1971" s="14"/>
      <c r="O1971" s="22"/>
      <c r="P1971" s="22"/>
      <c r="Q1971" s="23"/>
      <c r="R1971" s="23"/>
      <c r="S1971" s="14"/>
    </row>
    <row r="1972" ht="18.75" customHeight="1">
      <c r="A1972" s="7" t="s">
        <v>1908</v>
      </c>
      <c r="B1972" s="7" t="s">
        <v>3875</v>
      </c>
      <c r="C1972" s="9">
        <v>158753.0</v>
      </c>
      <c r="D1972" s="9">
        <v>0.0</v>
      </c>
      <c r="E1972" s="9">
        <v>708.0</v>
      </c>
      <c r="F1972" s="7" t="s">
        <v>1909</v>
      </c>
      <c r="G1972" s="7" t="s">
        <v>404</v>
      </c>
      <c r="H1972" s="7" t="s">
        <v>405</v>
      </c>
      <c r="I1972" s="7" t="s">
        <v>410</v>
      </c>
      <c r="J1972" s="14"/>
      <c r="K1972" s="14"/>
      <c r="O1972" s="22"/>
      <c r="P1972" s="22"/>
      <c r="Q1972" s="23"/>
      <c r="R1972" s="23"/>
      <c r="S1972" s="14"/>
    </row>
    <row r="1973" ht="18.75" customHeight="1">
      <c r="A1973" s="7" t="s">
        <v>1908</v>
      </c>
      <c r="B1973" s="7" t="s">
        <v>3875</v>
      </c>
      <c r="C1973" s="9">
        <v>185644.0</v>
      </c>
      <c r="D1973" s="9">
        <v>0.0</v>
      </c>
      <c r="E1973" s="9">
        <v>646.0</v>
      </c>
      <c r="F1973" s="7" t="s">
        <v>1909</v>
      </c>
      <c r="G1973" s="7" t="s">
        <v>404</v>
      </c>
      <c r="H1973" s="7" t="s">
        <v>405</v>
      </c>
      <c r="I1973" s="7" t="s">
        <v>410</v>
      </c>
      <c r="J1973" s="14"/>
      <c r="K1973" s="14"/>
      <c r="O1973" s="22"/>
      <c r="P1973" s="22"/>
      <c r="Q1973" s="23"/>
      <c r="R1973" s="23"/>
      <c r="S1973" s="14"/>
    </row>
    <row r="1974" ht="18.75" customHeight="1">
      <c r="A1974" s="7" t="s">
        <v>1908</v>
      </c>
      <c r="B1974" s="7" t="s">
        <v>3875</v>
      </c>
      <c r="C1974" s="9">
        <v>221204.0</v>
      </c>
      <c r="D1974" s="9">
        <v>0.0</v>
      </c>
      <c r="E1974" s="9">
        <v>618.0</v>
      </c>
      <c r="F1974" s="7" t="s">
        <v>1909</v>
      </c>
      <c r="G1974" s="7" t="s">
        <v>404</v>
      </c>
      <c r="H1974" s="7" t="s">
        <v>405</v>
      </c>
      <c r="I1974" s="7" t="s">
        <v>410</v>
      </c>
      <c r="J1974" s="14"/>
      <c r="K1974" s="14"/>
      <c r="O1974" s="22"/>
      <c r="P1974" s="22"/>
      <c r="Q1974" s="23"/>
      <c r="R1974" s="23"/>
      <c r="S1974" s="14"/>
    </row>
    <row r="1975" ht="18.75" customHeight="1">
      <c r="A1975" s="7" t="s">
        <v>2064</v>
      </c>
      <c r="B1975" s="7" t="s">
        <v>3875</v>
      </c>
      <c r="C1975" s="9">
        <v>64757.0</v>
      </c>
      <c r="D1975" s="9">
        <v>0.0</v>
      </c>
      <c r="E1975" s="9">
        <v>354.0</v>
      </c>
      <c r="F1975" s="7" t="s">
        <v>2065</v>
      </c>
      <c r="G1975" s="7" t="s">
        <v>416</v>
      </c>
      <c r="H1975" s="7" t="s">
        <v>725</v>
      </c>
      <c r="I1975" s="7" t="s">
        <v>355</v>
      </c>
      <c r="J1975" s="14"/>
      <c r="K1975" s="14"/>
      <c r="O1975" s="22"/>
      <c r="P1975" s="22"/>
      <c r="Q1975" s="23"/>
      <c r="R1975" s="23"/>
      <c r="S1975" s="14"/>
    </row>
    <row r="1976" ht="18.75" customHeight="1">
      <c r="A1976" s="7" t="s">
        <v>2024</v>
      </c>
      <c r="B1976" s="7" t="s">
        <v>3875</v>
      </c>
      <c r="C1976" s="9">
        <v>66598.0</v>
      </c>
      <c r="D1976" s="9">
        <v>0.0</v>
      </c>
      <c r="E1976" s="9">
        <v>208.0</v>
      </c>
      <c r="F1976" s="7" t="s">
        <v>2025</v>
      </c>
      <c r="G1976" s="7" t="s">
        <v>416</v>
      </c>
      <c r="H1976" s="7" t="s">
        <v>466</v>
      </c>
      <c r="I1976" s="7" t="s">
        <v>355</v>
      </c>
      <c r="J1976" s="14"/>
      <c r="K1976" s="14"/>
      <c r="O1976" s="22"/>
      <c r="P1976" s="22"/>
      <c r="Q1976" s="23"/>
      <c r="R1976" s="23"/>
      <c r="S1976" s="14"/>
    </row>
    <row r="1977" ht="18.75" customHeight="1">
      <c r="A1977" s="7" t="s">
        <v>3763</v>
      </c>
      <c r="B1977" s="7" t="s">
        <v>3875</v>
      </c>
      <c r="C1977" s="9">
        <v>15976.0</v>
      </c>
      <c r="D1977" s="9">
        <v>0.0</v>
      </c>
      <c r="E1977" s="9">
        <v>451.0</v>
      </c>
      <c r="F1977" s="7" t="s">
        <v>3906</v>
      </c>
      <c r="G1977" s="7" t="s">
        <v>416</v>
      </c>
      <c r="H1977" s="7" t="s">
        <v>417</v>
      </c>
      <c r="I1977" s="7" t="s">
        <v>3886</v>
      </c>
      <c r="J1977" s="14"/>
      <c r="K1977" s="14"/>
      <c r="O1977" s="22"/>
      <c r="P1977" s="22"/>
      <c r="Q1977" s="23"/>
      <c r="R1977" s="23"/>
      <c r="S1977" s="14"/>
    </row>
    <row r="1978" ht="18.75" customHeight="1">
      <c r="A1978" s="7" t="s">
        <v>3763</v>
      </c>
      <c r="B1978" s="7" t="s">
        <v>3875</v>
      </c>
      <c r="C1978" s="9">
        <v>11002.0</v>
      </c>
      <c r="D1978" s="9">
        <v>0.0</v>
      </c>
      <c r="E1978" s="9">
        <v>346.0</v>
      </c>
      <c r="F1978" s="7" t="s">
        <v>3906</v>
      </c>
      <c r="G1978" s="7" t="s">
        <v>416</v>
      </c>
      <c r="H1978" s="7" t="s">
        <v>417</v>
      </c>
      <c r="I1978" s="7" t="s">
        <v>3886</v>
      </c>
      <c r="J1978" s="14"/>
      <c r="K1978" s="14"/>
      <c r="O1978" s="22"/>
      <c r="P1978" s="22"/>
      <c r="Q1978" s="23"/>
      <c r="R1978" s="23"/>
      <c r="S1978" s="14"/>
    </row>
    <row r="1979" ht="18.75" customHeight="1">
      <c r="A1979" s="7" t="s">
        <v>2060</v>
      </c>
      <c r="B1979" s="7" t="s">
        <v>3875</v>
      </c>
      <c r="C1979" s="9">
        <v>62235.0</v>
      </c>
      <c r="D1979" s="9">
        <v>0.0</v>
      </c>
      <c r="E1979" s="9">
        <v>0.0</v>
      </c>
      <c r="F1979" s="7" t="s">
        <v>2061</v>
      </c>
      <c r="G1979" s="7" t="s">
        <v>364</v>
      </c>
      <c r="H1979" s="7" t="s">
        <v>365</v>
      </c>
      <c r="I1979" s="7" t="s">
        <v>410</v>
      </c>
      <c r="J1979" s="14"/>
      <c r="K1979" s="14"/>
      <c r="O1979" s="22"/>
      <c r="P1979" s="22"/>
      <c r="Q1979" s="23"/>
      <c r="R1979" s="23"/>
      <c r="S1979" s="14"/>
    </row>
    <row r="1980" ht="18.75" customHeight="1">
      <c r="A1980" s="7" t="s">
        <v>2076</v>
      </c>
      <c r="B1980" s="7" t="s">
        <v>3875</v>
      </c>
      <c r="C1980" s="9">
        <v>416733.0</v>
      </c>
      <c r="D1980" s="9">
        <v>0.0</v>
      </c>
      <c r="E1980" s="9">
        <v>587.0</v>
      </c>
      <c r="F1980" s="7" t="s">
        <v>2077</v>
      </c>
      <c r="G1980" s="7" t="s">
        <v>364</v>
      </c>
      <c r="H1980" s="7" t="s">
        <v>365</v>
      </c>
      <c r="I1980" s="7" t="s">
        <v>355</v>
      </c>
      <c r="J1980" s="14"/>
      <c r="K1980" s="14"/>
      <c r="O1980" s="22"/>
      <c r="P1980" s="22"/>
      <c r="Q1980" s="23"/>
      <c r="R1980" s="23"/>
      <c r="S1980" s="14"/>
    </row>
    <row r="1981" ht="18.75" customHeight="1">
      <c r="A1981" s="7" t="s">
        <v>2056</v>
      </c>
      <c r="B1981" s="7" t="s">
        <v>3875</v>
      </c>
      <c r="C1981" s="9">
        <v>463656.0</v>
      </c>
      <c r="D1981" s="9">
        <v>0.0</v>
      </c>
      <c r="E1981" s="9">
        <v>6143.0</v>
      </c>
      <c r="F1981" s="7" t="s">
        <v>2057</v>
      </c>
      <c r="G1981" s="7" t="s">
        <v>404</v>
      </c>
      <c r="H1981" s="7" t="s">
        <v>405</v>
      </c>
      <c r="I1981" s="7" t="s">
        <v>410</v>
      </c>
      <c r="J1981" s="14"/>
      <c r="K1981" s="14"/>
      <c r="O1981" s="22"/>
      <c r="P1981" s="22"/>
      <c r="Q1981" s="23"/>
      <c r="R1981" s="23"/>
      <c r="S1981" s="14"/>
    </row>
    <row r="1982" ht="18.75" customHeight="1">
      <c r="A1982" s="7" t="s">
        <v>3761</v>
      </c>
      <c r="B1982" s="7" t="s">
        <v>3875</v>
      </c>
      <c r="C1982" s="9">
        <v>245757.0</v>
      </c>
      <c r="D1982" s="9">
        <v>3537.0</v>
      </c>
      <c r="E1982" s="9">
        <v>485.0</v>
      </c>
      <c r="F1982" s="7" t="s">
        <v>3907</v>
      </c>
      <c r="G1982" s="7" t="s">
        <v>404</v>
      </c>
      <c r="H1982" s="7" t="s">
        <v>405</v>
      </c>
      <c r="I1982" s="7" t="s">
        <v>3886</v>
      </c>
      <c r="J1982" s="14"/>
      <c r="K1982" s="14"/>
      <c r="O1982" s="22"/>
      <c r="P1982" s="22"/>
      <c r="Q1982" s="23"/>
      <c r="R1982" s="23"/>
      <c r="S1982" s="14"/>
    </row>
    <row r="1983" ht="18.75" customHeight="1">
      <c r="A1983" s="7" t="s">
        <v>2072</v>
      </c>
      <c r="B1983" s="7" t="s">
        <v>3875</v>
      </c>
      <c r="C1983" s="9">
        <v>75021.0</v>
      </c>
      <c r="D1983" s="9">
        <v>0.0</v>
      </c>
      <c r="E1983" s="9">
        <v>965.0</v>
      </c>
      <c r="F1983" s="7" t="s">
        <v>2073</v>
      </c>
      <c r="G1983" s="7" t="s">
        <v>416</v>
      </c>
      <c r="H1983" s="7" t="s">
        <v>417</v>
      </c>
      <c r="I1983" s="7" t="s">
        <v>410</v>
      </c>
      <c r="J1983" s="14"/>
      <c r="K1983" s="14"/>
      <c r="O1983" s="22"/>
      <c r="P1983" s="22"/>
      <c r="Q1983" s="23"/>
      <c r="R1983" s="23"/>
      <c r="S1983" s="14"/>
    </row>
    <row r="1984" ht="18.75" customHeight="1">
      <c r="A1984" s="7" t="s">
        <v>2074</v>
      </c>
      <c r="B1984" s="7" t="s">
        <v>3875</v>
      </c>
      <c r="C1984" s="9">
        <v>333995.0</v>
      </c>
      <c r="D1984" s="9">
        <v>16821.0</v>
      </c>
      <c r="E1984" s="9">
        <v>264.0</v>
      </c>
      <c r="F1984" s="7" t="s">
        <v>2075</v>
      </c>
      <c r="G1984" s="7" t="s">
        <v>473</v>
      </c>
      <c r="H1984" s="7" t="s">
        <v>466</v>
      </c>
      <c r="I1984" s="7" t="s">
        <v>410</v>
      </c>
      <c r="J1984" s="14"/>
      <c r="K1984" s="14"/>
      <c r="O1984" s="22"/>
      <c r="P1984" s="22"/>
      <c r="Q1984" s="23"/>
      <c r="R1984" s="23"/>
      <c r="S1984" s="14"/>
    </row>
    <row r="1985" ht="18.75" customHeight="1">
      <c r="A1985" s="7" t="s">
        <v>529</v>
      </c>
      <c r="B1985" s="7" t="s">
        <v>3875</v>
      </c>
      <c r="C1985" s="9">
        <v>61173.0</v>
      </c>
      <c r="D1985" s="9">
        <v>0.0</v>
      </c>
      <c r="E1985" s="9">
        <v>223.0</v>
      </c>
      <c r="F1985" s="7" t="s">
        <v>530</v>
      </c>
      <c r="G1985" s="7" t="s">
        <v>358</v>
      </c>
      <c r="H1985" s="7" t="s">
        <v>387</v>
      </c>
      <c r="I1985" s="7" t="s">
        <v>355</v>
      </c>
      <c r="J1985" s="14"/>
      <c r="K1985" s="14"/>
      <c r="O1985" s="22"/>
      <c r="P1985" s="22"/>
      <c r="Q1985" s="23"/>
      <c r="R1985" s="23"/>
      <c r="S1985" s="14"/>
    </row>
    <row r="1986" ht="18.75" customHeight="1">
      <c r="A1986" s="7" t="s">
        <v>529</v>
      </c>
      <c r="B1986" s="7" t="s">
        <v>3875</v>
      </c>
      <c r="C1986" s="9">
        <v>101393.0</v>
      </c>
      <c r="D1986" s="9">
        <v>0.0</v>
      </c>
      <c r="E1986" s="9">
        <v>291.0</v>
      </c>
      <c r="F1986" s="7" t="s">
        <v>530</v>
      </c>
      <c r="G1986" s="7" t="s">
        <v>358</v>
      </c>
      <c r="H1986" s="7" t="s">
        <v>387</v>
      </c>
      <c r="I1986" s="7" t="s">
        <v>355</v>
      </c>
      <c r="J1986" s="14"/>
      <c r="K1986" s="14"/>
      <c r="O1986" s="22"/>
      <c r="P1986" s="22"/>
      <c r="Q1986" s="23"/>
      <c r="R1986" s="23"/>
      <c r="S1986" s="14"/>
    </row>
    <row r="1987" ht="18.75" customHeight="1">
      <c r="A1987" s="7" t="s">
        <v>529</v>
      </c>
      <c r="B1987" s="7" t="s">
        <v>3875</v>
      </c>
      <c r="C1987" s="9">
        <v>53253.0</v>
      </c>
      <c r="D1987" s="9">
        <v>0.0</v>
      </c>
      <c r="E1987" s="9">
        <v>262.0</v>
      </c>
      <c r="F1987" s="7" t="s">
        <v>530</v>
      </c>
      <c r="G1987" s="7" t="s">
        <v>358</v>
      </c>
      <c r="H1987" s="7" t="s">
        <v>387</v>
      </c>
      <c r="I1987" s="7" t="s">
        <v>355</v>
      </c>
      <c r="J1987" s="14"/>
      <c r="K1987" s="14"/>
      <c r="O1987" s="22"/>
      <c r="P1987" s="22"/>
      <c r="Q1987" s="23"/>
      <c r="R1987" s="23"/>
      <c r="S1987" s="14"/>
    </row>
    <row r="1988" ht="18.75" customHeight="1">
      <c r="A1988" s="7" t="s">
        <v>529</v>
      </c>
      <c r="B1988" s="7" t="s">
        <v>3875</v>
      </c>
      <c r="C1988" s="9">
        <v>43566.0</v>
      </c>
      <c r="D1988" s="9">
        <v>0.0</v>
      </c>
      <c r="E1988" s="9">
        <v>197.0</v>
      </c>
      <c r="F1988" s="7" t="s">
        <v>530</v>
      </c>
      <c r="G1988" s="7" t="s">
        <v>358</v>
      </c>
      <c r="H1988" s="7" t="s">
        <v>387</v>
      </c>
      <c r="I1988" s="7" t="s">
        <v>355</v>
      </c>
      <c r="J1988" s="14"/>
      <c r="K1988" s="14"/>
      <c r="O1988" s="22"/>
      <c r="P1988" s="22"/>
      <c r="Q1988" s="23"/>
      <c r="R1988" s="23"/>
      <c r="S1988" s="14"/>
    </row>
    <row r="1989" ht="18.75" customHeight="1">
      <c r="A1989" s="7" t="s">
        <v>529</v>
      </c>
      <c r="B1989" s="7" t="s">
        <v>3875</v>
      </c>
      <c r="C1989" s="9">
        <v>60356.0</v>
      </c>
      <c r="D1989" s="9">
        <v>0.0</v>
      </c>
      <c r="E1989" s="9">
        <v>176.0</v>
      </c>
      <c r="F1989" s="7" t="s">
        <v>530</v>
      </c>
      <c r="G1989" s="7" t="s">
        <v>358</v>
      </c>
      <c r="H1989" s="7" t="s">
        <v>387</v>
      </c>
      <c r="I1989" s="7" t="s">
        <v>355</v>
      </c>
      <c r="J1989" s="14"/>
      <c r="K1989" s="14"/>
      <c r="O1989" s="22"/>
      <c r="P1989" s="22"/>
      <c r="Q1989" s="23"/>
      <c r="R1989" s="23"/>
      <c r="S1989" s="14"/>
    </row>
    <row r="1990" ht="18.75" customHeight="1">
      <c r="A1990" s="7" t="s">
        <v>2014</v>
      </c>
      <c r="B1990" s="7" t="s">
        <v>3875</v>
      </c>
      <c r="C1990" s="9">
        <v>194700.0</v>
      </c>
      <c r="D1990" s="9">
        <v>22757.0</v>
      </c>
      <c r="E1990" s="9">
        <v>315.0</v>
      </c>
      <c r="F1990" s="7" t="s">
        <v>2015</v>
      </c>
      <c r="G1990" s="7" t="s">
        <v>416</v>
      </c>
      <c r="H1990" s="7" t="s">
        <v>417</v>
      </c>
      <c r="I1990" s="7" t="s">
        <v>410</v>
      </c>
      <c r="J1990" s="14"/>
      <c r="K1990" s="14"/>
      <c r="O1990" s="22"/>
      <c r="P1990" s="22"/>
      <c r="Q1990" s="23"/>
      <c r="R1990" s="23"/>
      <c r="S1990" s="14"/>
    </row>
    <row r="1991" ht="18.75" customHeight="1">
      <c r="A1991" s="7" t="s">
        <v>2016</v>
      </c>
      <c r="B1991" s="7" t="s">
        <v>3875</v>
      </c>
      <c r="C1991" s="9">
        <v>473382.0</v>
      </c>
      <c r="D1991" s="9">
        <v>19586.0</v>
      </c>
      <c r="E1991" s="9">
        <v>308.0</v>
      </c>
      <c r="F1991" s="7" t="s">
        <v>2017</v>
      </c>
      <c r="G1991" s="7" t="s">
        <v>416</v>
      </c>
      <c r="H1991" s="7" t="s">
        <v>417</v>
      </c>
      <c r="I1991" s="7" t="s">
        <v>410</v>
      </c>
      <c r="J1991" s="14"/>
      <c r="K1991" s="14"/>
      <c r="O1991" s="22"/>
      <c r="P1991" s="22"/>
      <c r="Q1991" s="23"/>
      <c r="R1991" s="23"/>
      <c r="S1991" s="14"/>
    </row>
    <row r="1992" ht="18.75" customHeight="1">
      <c r="A1992" s="7" t="s">
        <v>2078</v>
      </c>
      <c r="B1992" s="7" t="s">
        <v>3875</v>
      </c>
      <c r="C1992" s="9">
        <v>350203.0</v>
      </c>
      <c r="D1992" s="9">
        <v>0.0</v>
      </c>
      <c r="E1992" s="9">
        <v>311.0</v>
      </c>
      <c r="F1992" s="7" t="s">
        <v>2079</v>
      </c>
      <c r="G1992" s="7" t="s">
        <v>416</v>
      </c>
      <c r="H1992" s="7" t="s">
        <v>430</v>
      </c>
      <c r="I1992" s="7" t="s">
        <v>410</v>
      </c>
      <c r="J1992" s="14"/>
      <c r="K1992" s="14"/>
      <c r="O1992" s="22"/>
      <c r="P1992" s="22"/>
      <c r="Q1992" s="23"/>
      <c r="R1992" s="23"/>
      <c r="S1992" s="14"/>
    </row>
    <row r="1993" ht="18.75" customHeight="1">
      <c r="A1993" s="7" t="s">
        <v>3762</v>
      </c>
      <c r="B1993" s="7" t="s">
        <v>3875</v>
      </c>
      <c r="C1993" s="9">
        <v>54233.0</v>
      </c>
      <c r="D1993" s="9">
        <v>0.0</v>
      </c>
      <c r="E1993" s="9">
        <v>194.0</v>
      </c>
      <c r="F1993" s="7" t="s">
        <v>3908</v>
      </c>
      <c r="G1993" s="7" t="s">
        <v>416</v>
      </c>
      <c r="H1993" s="7" t="s">
        <v>667</v>
      </c>
      <c r="I1993" s="7" t="s">
        <v>3886</v>
      </c>
      <c r="J1993" s="14"/>
      <c r="K1993" s="14"/>
      <c r="O1993" s="22"/>
      <c r="P1993" s="22"/>
      <c r="Q1993" s="23"/>
      <c r="R1993" s="23"/>
      <c r="S1993" s="14"/>
    </row>
    <row r="1994" ht="18.75" customHeight="1">
      <c r="A1994" s="7" t="s">
        <v>2086</v>
      </c>
      <c r="B1994" s="7" t="s">
        <v>3875</v>
      </c>
      <c r="C1994" s="9">
        <v>824122.0</v>
      </c>
      <c r="D1994" s="9">
        <v>0.0</v>
      </c>
      <c r="E1994" s="9">
        <v>1249.0</v>
      </c>
      <c r="F1994" s="7" t="s">
        <v>2087</v>
      </c>
      <c r="G1994" s="7" t="s">
        <v>416</v>
      </c>
      <c r="H1994" s="7" t="s">
        <v>413</v>
      </c>
      <c r="I1994" s="7" t="s">
        <v>410</v>
      </c>
      <c r="J1994" s="14"/>
      <c r="K1994" s="14"/>
      <c r="O1994" s="22"/>
      <c r="P1994" s="22"/>
      <c r="Q1994" s="23"/>
      <c r="R1994" s="23"/>
      <c r="S1994" s="14"/>
    </row>
    <row r="1995" ht="18.75" customHeight="1">
      <c r="A1995" s="7" t="s">
        <v>2096</v>
      </c>
      <c r="B1995" s="7" t="s">
        <v>3875</v>
      </c>
      <c r="C1995" s="9">
        <v>204344.0</v>
      </c>
      <c r="D1995" s="9">
        <v>14393.0</v>
      </c>
      <c r="E1995" s="9">
        <v>0.0</v>
      </c>
      <c r="F1995" s="7" t="s">
        <v>2097</v>
      </c>
      <c r="G1995" s="7" t="s">
        <v>353</v>
      </c>
      <c r="H1995" s="7" t="s">
        <v>808</v>
      </c>
      <c r="I1995" s="7" t="s">
        <v>355</v>
      </c>
      <c r="J1995" s="14"/>
      <c r="K1995" s="14"/>
      <c r="O1995" s="22"/>
      <c r="P1995" s="22"/>
      <c r="Q1995" s="23"/>
      <c r="R1995" s="23"/>
      <c r="S1995" s="14"/>
    </row>
    <row r="1996" ht="18.75" customHeight="1">
      <c r="A1996" s="7" t="s">
        <v>2192</v>
      </c>
      <c r="B1996" s="7" t="s">
        <v>3875</v>
      </c>
      <c r="C1996" s="9">
        <v>25099.0</v>
      </c>
      <c r="D1996" s="9">
        <v>0.0</v>
      </c>
      <c r="E1996" s="9">
        <v>778.0</v>
      </c>
      <c r="F1996" s="7" t="s">
        <v>2193</v>
      </c>
      <c r="G1996" s="7" t="s">
        <v>416</v>
      </c>
      <c r="H1996" s="7" t="s">
        <v>417</v>
      </c>
      <c r="I1996" s="7" t="s">
        <v>410</v>
      </c>
      <c r="J1996" s="14"/>
      <c r="K1996" s="14"/>
      <c r="O1996" s="22"/>
      <c r="P1996" s="22"/>
      <c r="Q1996" s="23"/>
      <c r="R1996" s="23"/>
      <c r="S1996" s="14"/>
    </row>
    <row r="1997" ht="18.75" customHeight="1">
      <c r="A1997" s="7" t="s">
        <v>2000</v>
      </c>
      <c r="B1997" s="7" t="s">
        <v>3875</v>
      </c>
      <c r="C1997" s="9">
        <v>267403.0</v>
      </c>
      <c r="D1997" s="9">
        <v>21136.0</v>
      </c>
      <c r="E1997" s="9">
        <v>181.0</v>
      </c>
      <c r="F1997" s="7" t="s">
        <v>2001</v>
      </c>
      <c r="G1997" s="7" t="s">
        <v>353</v>
      </c>
      <c r="H1997" s="7" t="s">
        <v>378</v>
      </c>
      <c r="I1997" s="7" t="s">
        <v>410</v>
      </c>
      <c r="J1997" s="14"/>
      <c r="K1997" s="14"/>
      <c r="O1997" s="22"/>
      <c r="P1997" s="22"/>
      <c r="Q1997" s="23"/>
      <c r="R1997" s="23"/>
      <c r="S1997" s="14"/>
    </row>
    <row r="1998" ht="18.75" customHeight="1">
      <c r="A1998" s="7" t="s">
        <v>1984</v>
      </c>
      <c r="B1998" s="7" t="s">
        <v>3875</v>
      </c>
      <c r="C1998" s="9">
        <v>218560.0</v>
      </c>
      <c r="D1998" s="9">
        <v>0.0</v>
      </c>
      <c r="E1998" s="9">
        <v>5363.0</v>
      </c>
      <c r="F1998" s="7" t="s">
        <v>1985</v>
      </c>
      <c r="G1998" s="7" t="s">
        <v>416</v>
      </c>
      <c r="H1998" s="7" t="s">
        <v>417</v>
      </c>
      <c r="I1998" s="7" t="s">
        <v>410</v>
      </c>
      <c r="J1998" s="14"/>
      <c r="K1998" s="14"/>
      <c r="O1998" s="22"/>
      <c r="P1998" s="22"/>
      <c r="Q1998" s="23"/>
      <c r="R1998" s="23"/>
      <c r="S1998" s="14"/>
    </row>
    <row r="1999" ht="18.75" customHeight="1">
      <c r="A1999" s="7" t="s">
        <v>501</v>
      </c>
      <c r="B1999" s="7" t="s">
        <v>3875</v>
      </c>
      <c r="C1999" s="9">
        <v>313230.0</v>
      </c>
      <c r="D1999" s="9">
        <v>70738.0</v>
      </c>
      <c r="E1999" s="9">
        <v>6773.0</v>
      </c>
      <c r="F1999" s="7" t="s">
        <v>502</v>
      </c>
      <c r="G1999" s="7" t="s">
        <v>503</v>
      </c>
      <c r="H1999" s="7" t="s">
        <v>504</v>
      </c>
      <c r="I1999" s="7" t="s">
        <v>410</v>
      </c>
      <c r="J1999" s="14"/>
      <c r="K1999" s="14"/>
      <c r="O1999" s="22"/>
      <c r="P1999" s="22"/>
      <c r="Q1999" s="23"/>
      <c r="R1999" s="23"/>
      <c r="S1999" s="14"/>
    </row>
    <row r="2000" ht="18.75" customHeight="1">
      <c r="A2000" s="7" t="s">
        <v>3764</v>
      </c>
      <c r="B2000" s="7" t="s">
        <v>3875</v>
      </c>
      <c r="C2000" s="9">
        <v>142113.0</v>
      </c>
      <c r="D2000" s="9">
        <v>0.0</v>
      </c>
      <c r="E2000" s="9">
        <v>599.0</v>
      </c>
      <c r="F2000" s="7" t="s">
        <v>3909</v>
      </c>
      <c r="G2000" s="7" t="s">
        <v>416</v>
      </c>
      <c r="H2000" s="7" t="s">
        <v>359</v>
      </c>
      <c r="I2000" s="7" t="s">
        <v>3910</v>
      </c>
      <c r="J2000" s="14"/>
      <c r="K2000" s="14"/>
      <c r="O2000" s="22"/>
      <c r="P2000" s="22"/>
      <c r="Q2000" s="23"/>
      <c r="R2000" s="23"/>
      <c r="S2000" s="14"/>
    </row>
    <row r="2001" ht="18.75" customHeight="1">
      <c r="A2001" s="7" t="s">
        <v>2094</v>
      </c>
      <c r="B2001" s="7" t="s">
        <v>3875</v>
      </c>
      <c r="C2001" s="9">
        <v>12732.0</v>
      </c>
      <c r="D2001" s="9">
        <v>0.0</v>
      </c>
      <c r="E2001" s="9">
        <v>300.0</v>
      </c>
      <c r="F2001" s="7" t="s">
        <v>2095</v>
      </c>
      <c r="G2001" s="7" t="s">
        <v>364</v>
      </c>
      <c r="H2001" s="7" t="s">
        <v>365</v>
      </c>
      <c r="I2001" s="7" t="s">
        <v>410</v>
      </c>
      <c r="J2001" s="14"/>
      <c r="K2001" s="14"/>
      <c r="O2001" s="22"/>
      <c r="P2001" s="22"/>
      <c r="Q2001" s="23"/>
      <c r="R2001" s="23"/>
      <c r="S2001" s="14"/>
    </row>
    <row r="2002" ht="18.75" customHeight="1">
      <c r="A2002" s="7" t="s">
        <v>2108</v>
      </c>
      <c r="B2002" s="7" t="s">
        <v>3875</v>
      </c>
      <c r="C2002" s="9">
        <v>414840.0</v>
      </c>
      <c r="D2002" s="9">
        <v>15476.0</v>
      </c>
      <c r="E2002" s="9">
        <v>0.0</v>
      </c>
      <c r="F2002" s="7" t="s">
        <v>2109</v>
      </c>
      <c r="G2002" s="7" t="s">
        <v>353</v>
      </c>
      <c r="H2002" s="7" t="s">
        <v>808</v>
      </c>
      <c r="I2002" s="7" t="s">
        <v>355</v>
      </c>
      <c r="J2002" s="14"/>
      <c r="K2002" s="14"/>
      <c r="O2002" s="22"/>
      <c r="P2002" s="22"/>
      <c r="Q2002" s="23"/>
      <c r="R2002" s="23"/>
      <c r="S2002" s="14"/>
    </row>
    <row r="2003" ht="18.75" customHeight="1">
      <c r="A2003" s="7" t="s">
        <v>1505</v>
      </c>
      <c r="B2003" s="7" t="s">
        <v>3875</v>
      </c>
      <c r="C2003" s="9">
        <v>781115.0</v>
      </c>
      <c r="D2003" s="9">
        <v>0.0</v>
      </c>
      <c r="E2003" s="9">
        <v>1171.0</v>
      </c>
      <c r="F2003" s="7" t="s">
        <v>1506</v>
      </c>
      <c r="G2003" s="7" t="s">
        <v>404</v>
      </c>
      <c r="H2003" s="7" t="s">
        <v>405</v>
      </c>
      <c r="I2003" s="7" t="s">
        <v>410</v>
      </c>
      <c r="J2003" s="14"/>
      <c r="K2003" s="14"/>
      <c r="O2003" s="22"/>
      <c r="P2003" s="22"/>
      <c r="Q2003" s="23"/>
      <c r="R2003" s="23"/>
      <c r="S2003" s="14"/>
    </row>
    <row r="2004" ht="18.75" customHeight="1">
      <c r="A2004" s="7" t="s">
        <v>1735</v>
      </c>
      <c r="B2004" s="7" t="s">
        <v>3875</v>
      </c>
      <c r="C2004" s="9">
        <v>98358.0</v>
      </c>
      <c r="D2004" s="9">
        <v>0.0</v>
      </c>
      <c r="E2004" s="9">
        <v>122.0</v>
      </c>
      <c r="F2004" s="7" t="s">
        <v>1736</v>
      </c>
      <c r="G2004" s="7" t="s">
        <v>358</v>
      </c>
      <c r="H2004" s="7" t="s">
        <v>359</v>
      </c>
      <c r="I2004" s="7" t="s">
        <v>355</v>
      </c>
      <c r="J2004" s="14"/>
      <c r="K2004" s="14"/>
      <c r="O2004" s="22"/>
      <c r="P2004" s="22"/>
      <c r="Q2004" s="23"/>
      <c r="R2004" s="23"/>
      <c r="S2004" s="14"/>
    </row>
    <row r="2005" ht="18.75" customHeight="1">
      <c r="A2005" s="7" t="s">
        <v>1735</v>
      </c>
      <c r="B2005" s="7" t="s">
        <v>3875</v>
      </c>
      <c r="C2005" s="9">
        <v>113166.0</v>
      </c>
      <c r="D2005" s="9">
        <v>0.0</v>
      </c>
      <c r="E2005" s="9">
        <v>181.0</v>
      </c>
      <c r="F2005" s="7" t="s">
        <v>1736</v>
      </c>
      <c r="G2005" s="7" t="s">
        <v>358</v>
      </c>
      <c r="H2005" s="7" t="s">
        <v>359</v>
      </c>
      <c r="I2005" s="7" t="s">
        <v>355</v>
      </c>
      <c r="J2005" s="14"/>
      <c r="K2005" s="14"/>
      <c r="O2005" s="22"/>
      <c r="P2005" s="22"/>
      <c r="Q2005" s="23"/>
      <c r="R2005" s="23"/>
      <c r="S2005" s="14"/>
    </row>
    <row r="2006" ht="18.75" customHeight="1">
      <c r="A2006" s="7" t="s">
        <v>1735</v>
      </c>
      <c r="B2006" s="7" t="s">
        <v>3875</v>
      </c>
      <c r="C2006" s="9">
        <v>76604.0</v>
      </c>
      <c r="D2006" s="9">
        <v>0.0</v>
      </c>
      <c r="E2006" s="9">
        <v>207.0</v>
      </c>
      <c r="F2006" s="7" t="s">
        <v>1736</v>
      </c>
      <c r="G2006" s="7" t="s">
        <v>358</v>
      </c>
      <c r="H2006" s="7" t="s">
        <v>359</v>
      </c>
      <c r="I2006" s="7" t="s">
        <v>355</v>
      </c>
      <c r="J2006" s="14"/>
      <c r="K2006" s="14"/>
      <c r="O2006" s="22"/>
      <c r="P2006" s="22"/>
      <c r="Q2006" s="23"/>
      <c r="R2006" s="23"/>
      <c r="S2006" s="14"/>
    </row>
    <row r="2007" ht="18.75" customHeight="1">
      <c r="A2007" s="7" t="s">
        <v>2106</v>
      </c>
      <c r="B2007" s="7" t="s">
        <v>3875</v>
      </c>
      <c r="C2007" s="9">
        <v>119214.0</v>
      </c>
      <c r="D2007" s="9">
        <v>0.0</v>
      </c>
      <c r="E2007" s="9">
        <v>392.0</v>
      </c>
      <c r="F2007" s="7" t="s">
        <v>2107</v>
      </c>
      <c r="G2007" s="7" t="s">
        <v>416</v>
      </c>
      <c r="H2007" s="7" t="s">
        <v>466</v>
      </c>
      <c r="I2007" s="7" t="s">
        <v>410</v>
      </c>
      <c r="J2007" s="14"/>
      <c r="K2007" s="14"/>
      <c r="O2007" s="22"/>
      <c r="P2007" s="22"/>
      <c r="Q2007" s="23"/>
      <c r="R2007" s="23"/>
      <c r="S2007" s="14"/>
    </row>
    <row r="2008" ht="18.75" customHeight="1">
      <c r="A2008" s="7" t="s">
        <v>2104</v>
      </c>
      <c r="B2008" s="7" t="s">
        <v>3875</v>
      </c>
      <c r="C2008" s="9">
        <v>97023.0</v>
      </c>
      <c r="D2008" s="9">
        <v>0.0</v>
      </c>
      <c r="E2008" s="9">
        <v>362.0</v>
      </c>
      <c r="F2008" s="7" t="s">
        <v>2105</v>
      </c>
      <c r="G2008" s="7" t="s">
        <v>416</v>
      </c>
      <c r="H2008" s="7" t="s">
        <v>466</v>
      </c>
      <c r="I2008" s="7" t="s">
        <v>410</v>
      </c>
      <c r="J2008" s="14"/>
      <c r="K2008" s="14"/>
      <c r="O2008" s="22"/>
      <c r="P2008" s="22"/>
      <c r="Q2008" s="23"/>
      <c r="R2008" s="23"/>
      <c r="S2008" s="14"/>
    </row>
    <row r="2009" ht="18.75" customHeight="1">
      <c r="A2009" s="7" t="s">
        <v>2100</v>
      </c>
      <c r="B2009" s="7" t="s">
        <v>3875</v>
      </c>
      <c r="C2009" s="9">
        <v>113246.0</v>
      </c>
      <c r="D2009" s="9">
        <v>0.0</v>
      </c>
      <c r="E2009" s="9">
        <v>402.0</v>
      </c>
      <c r="F2009" s="7" t="s">
        <v>2101</v>
      </c>
      <c r="G2009" s="7" t="s">
        <v>416</v>
      </c>
      <c r="H2009" s="7" t="s">
        <v>466</v>
      </c>
      <c r="I2009" s="7" t="s">
        <v>410</v>
      </c>
      <c r="J2009" s="14"/>
      <c r="K2009" s="14"/>
      <c r="O2009" s="22"/>
      <c r="P2009" s="22"/>
      <c r="Q2009" s="23"/>
      <c r="R2009" s="23"/>
      <c r="S2009" s="14"/>
    </row>
    <row r="2010" ht="18.75" customHeight="1">
      <c r="A2010" s="7" t="s">
        <v>2102</v>
      </c>
      <c r="B2010" s="7" t="s">
        <v>3875</v>
      </c>
      <c r="C2010" s="9">
        <v>99914.0</v>
      </c>
      <c r="D2010" s="9">
        <v>0.0</v>
      </c>
      <c r="E2010" s="9">
        <v>369.0</v>
      </c>
      <c r="F2010" s="7" t="s">
        <v>2103</v>
      </c>
      <c r="G2010" s="7" t="s">
        <v>416</v>
      </c>
      <c r="H2010" s="7" t="s">
        <v>466</v>
      </c>
      <c r="I2010" s="7" t="s">
        <v>410</v>
      </c>
      <c r="J2010" s="14"/>
      <c r="K2010" s="14"/>
      <c r="O2010" s="22"/>
      <c r="P2010" s="22"/>
      <c r="Q2010" s="23"/>
      <c r="R2010" s="23"/>
      <c r="S2010" s="14"/>
    </row>
    <row r="2011" ht="18.75" customHeight="1">
      <c r="A2011" s="7" t="s">
        <v>1908</v>
      </c>
      <c r="B2011" s="7" t="s">
        <v>3875</v>
      </c>
      <c r="C2011" s="9">
        <v>32523.0</v>
      </c>
      <c r="D2011" s="9">
        <v>0.0</v>
      </c>
      <c r="E2011" s="9">
        <v>128.0</v>
      </c>
      <c r="F2011" s="7" t="s">
        <v>1909</v>
      </c>
      <c r="G2011" s="7" t="s">
        <v>404</v>
      </c>
      <c r="H2011" s="7" t="s">
        <v>405</v>
      </c>
      <c r="I2011" s="7" t="s">
        <v>410</v>
      </c>
      <c r="J2011" s="14"/>
      <c r="K2011" s="14"/>
      <c r="O2011" s="22"/>
      <c r="P2011" s="22"/>
      <c r="Q2011" s="23"/>
      <c r="R2011" s="23"/>
      <c r="S2011" s="14"/>
    </row>
    <row r="2012" ht="18.75" customHeight="1">
      <c r="A2012" s="7" t="s">
        <v>1908</v>
      </c>
      <c r="B2012" s="7" t="s">
        <v>3875</v>
      </c>
      <c r="C2012" s="9">
        <v>67512.0</v>
      </c>
      <c r="D2012" s="9">
        <v>0.0</v>
      </c>
      <c r="E2012" s="9">
        <v>86.0</v>
      </c>
      <c r="F2012" s="7" t="s">
        <v>1909</v>
      </c>
      <c r="G2012" s="7" t="s">
        <v>404</v>
      </c>
      <c r="H2012" s="7" t="s">
        <v>405</v>
      </c>
      <c r="I2012" s="7" t="s">
        <v>410</v>
      </c>
      <c r="J2012" s="14"/>
      <c r="K2012" s="14"/>
      <c r="O2012" s="22"/>
      <c r="P2012" s="22"/>
      <c r="Q2012" s="23"/>
      <c r="R2012" s="23"/>
      <c r="S2012" s="14"/>
    </row>
    <row r="2013" ht="18.75" customHeight="1">
      <c r="A2013" s="7" t="s">
        <v>1908</v>
      </c>
      <c r="B2013" s="7" t="s">
        <v>3875</v>
      </c>
      <c r="C2013" s="9">
        <v>29124.0</v>
      </c>
      <c r="D2013" s="9">
        <v>0.0</v>
      </c>
      <c r="E2013" s="9">
        <v>99.0</v>
      </c>
      <c r="F2013" s="7" t="s">
        <v>1909</v>
      </c>
      <c r="G2013" s="7" t="s">
        <v>404</v>
      </c>
      <c r="H2013" s="7" t="s">
        <v>405</v>
      </c>
      <c r="I2013" s="7" t="s">
        <v>410</v>
      </c>
      <c r="J2013" s="14"/>
      <c r="K2013" s="14"/>
      <c r="O2013" s="22"/>
      <c r="P2013" s="22"/>
      <c r="Q2013" s="23"/>
      <c r="R2013" s="23"/>
      <c r="S2013" s="14"/>
    </row>
    <row r="2014" ht="18.75" customHeight="1">
      <c r="A2014" s="7" t="s">
        <v>3767</v>
      </c>
      <c r="B2014" s="7" t="s">
        <v>3875</v>
      </c>
      <c r="C2014" s="9">
        <v>35081.0</v>
      </c>
      <c r="D2014" s="9">
        <v>0.0</v>
      </c>
      <c r="E2014" s="9">
        <v>786.0</v>
      </c>
      <c r="F2014" s="7" t="s">
        <v>3911</v>
      </c>
      <c r="G2014" s="7" t="s">
        <v>353</v>
      </c>
      <c r="H2014" s="7" t="s">
        <v>354</v>
      </c>
      <c r="I2014" s="7" t="s">
        <v>2120</v>
      </c>
      <c r="J2014" s="14"/>
      <c r="K2014" s="14"/>
      <c r="O2014" s="22"/>
      <c r="P2014" s="22"/>
      <c r="Q2014" s="23"/>
      <c r="R2014" s="23"/>
      <c r="S2014" s="14"/>
    </row>
    <row r="2015" ht="18.75" customHeight="1">
      <c r="A2015" s="7" t="s">
        <v>1908</v>
      </c>
      <c r="B2015" s="7" t="s">
        <v>3875</v>
      </c>
      <c r="C2015" s="9">
        <v>29211.0</v>
      </c>
      <c r="D2015" s="9">
        <v>0.0</v>
      </c>
      <c r="E2015" s="9">
        <v>95.0</v>
      </c>
      <c r="F2015" s="7" t="s">
        <v>1909</v>
      </c>
      <c r="G2015" s="7" t="s">
        <v>404</v>
      </c>
      <c r="H2015" s="7" t="s">
        <v>405</v>
      </c>
      <c r="I2015" s="7" t="s">
        <v>410</v>
      </c>
      <c r="J2015" s="14"/>
      <c r="K2015" s="14"/>
      <c r="O2015" s="22"/>
      <c r="P2015" s="22"/>
      <c r="Q2015" s="23"/>
      <c r="R2015" s="23"/>
      <c r="S2015" s="14"/>
    </row>
    <row r="2016" ht="18.75" customHeight="1">
      <c r="A2016" s="7" t="s">
        <v>1906</v>
      </c>
      <c r="B2016" s="7" t="s">
        <v>3875</v>
      </c>
      <c r="C2016" s="9">
        <v>77463.0</v>
      </c>
      <c r="D2016" s="9">
        <v>0.0</v>
      </c>
      <c r="E2016" s="9">
        <v>90.0</v>
      </c>
      <c r="F2016" s="7" t="s">
        <v>1907</v>
      </c>
      <c r="G2016" s="7" t="s">
        <v>404</v>
      </c>
      <c r="H2016" s="7" t="s">
        <v>405</v>
      </c>
      <c r="I2016" s="7" t="s">
        <v>2120</v>
      </c>
      <c r="J2016" s="14"/>
      <c r="K2016" s="14"/>
      <c r="O2016" s="22"/>
      <c r="P2016" s="22"/>
      <c r="Q2016" s="23"/>
      <c r="R2016" s="23"/>
      <c r="S2016" s="14"/>
    </row>
    <row r="2017" ht="18.75" customHeight="1">
      <c r="A2017" s="7" t="s">
        <v>2088</v>
      </c>
      <c r="B2017" s="7" t="s">
        <v>3875</v>
      </c>
      <c r="C2017" s="9">
        <v>74731.0</v>
      </c>
      <c r="D2017" s="9">
        <v>9573.0</v>
      </c>
      <c r="E2017" s="9">
        <v>104.0</v>
      </c>
      <c r="F2017" s="7" t="s">
        <v>2089</v>
      </c>
      <c r="G2017" s="7" t="s">
        <v>404</v>
      </c>
      <c r="H2017" s="7" t="s">
        <v>667</v>
      </c>
      <c r="I2017" s="7" t="s">
        <v>2120</v>
      </c>
      <c r="J2017" s="14"/>
      <c r="K2017" s="14"/>
      <c r="O2017" s="22"/>
      <c r="P2017" s="22"/>
      <c r="Q2017" s="23"/>
      <c r="R2017" s="23"/>
      <c r="S2017" s="14"/>
    </row>
    <row r="2018" ht="18.75" customHeight="1">
      <c r="A2018" s="7" t="s">
        <v>2088</v>
      </c>
      <c r="B2018" s="7" t="s">
        <v>3875</v>
      </c>
      <c r="C2018" s="9">
        <v>83891.0</v>
      </c>
      <c r="D2018" s="9">
        <v>6928.0</v>
      </c>
      <c r="E2018" s="9">
        <v>43.0</v>
      </c>
      <c r="F2018" s="7" t="s">
        <v>2089</v>
      </c>
      <c r="G2018" s="7" t="s">
        <v>404</v>
      </c>
      <c r="H2018" s="7" t="s">
        <v>667</v>
      </c>
      <c r="I2018" s="7" t="s">
        <v>2120</v>
      </c>
      <c r="J2018" s="14"/>
      <c r="K2018" s="14"/>
      <c r="O2018" s="22"/>
      <c r="P2018" s="22"/>
      <c r="Q2018" s="23"/>
      <c r="R2018" s="23"/>
      <c r="S2018" s="14"/>
    </row>
    <row r="2019" ht="18.75" customHeight="1">
      <c r="A2019" s="7" t="s">
        <v>3912</v>
      </c>
      <c r="B2019" s="7" t="s">
        <v>3875</v>
      </c>
      <c r="C2019" s="9">
        <v>27668.0</v>
      </c>
      <c r="D2019" s="9">
        <v>0.0</v>
      </c>
      <c r="E2019" s="9">
        <v>139.0</v>
      </c>
      <c r="F2019" s="7" t="s">
        <v>3913</v>
      </c>
      <c r="G2019" s="7" t="s">
        <v>416</v>
      </c>
      <c r="H2019" s="7" t="s">
        <v>417</v>
      </c>
      <c r="I2019" s="7" t="s">
        <v>410</v>
      </c>
      <c r="J2019" s="14"/>
      <c r="K2019" s="14"/>
      <c r="O2019" s="22"/>
      <c r="P2019" s="22"/>
      <c r="Q2019" s="23"/>
      <c r="R2019" s="23"/>
      <c r="S2019" s="14"/>
    </row>
    <row r="2020" ht="18.75" customHeight="1">
      <c r="A2020" s="7" t="s">
        <v>2112</v>
      </c>
      <c r="B2020" s="7" t="s">
        <v>3875</v>
      </c>
      <c r="C2020" s="9">
        <v>0.0</v>
      </c>
      <c r="D2020" s="9">
        <v>0.0</v>
      </c>
      <c r="E2020" s="9">
        <v>0.0</v>
      </c>
      <c r="F2020" s="7" t="s">
        <v>2113</v>
      </c>
      <c r="G2020" s="7" t="s">
        <v>416</v>
      </c>
      <c r="H2020" s="7" t="s">
        <v>417</v>
      </c>
      <c r="I2020" s="7" t="s">
        <v>410</v>
      </c>
      <c r="J2020" s="14"/>
      <c r="K2020" s="14"/>
      <c r="O2020" s="22"/>
      <c r="P2020" s="22"/>
      <c r="Q2020" s="23"/>
      <c r="R2020" s="23"/>
      <c r="S2020" s="14"/>
    </row>
    <row r="2021" ht="18.75" customHeight="1">
      <c r="A2021" s="7" t="s">
        <v>2050</v>
      </c>
      <c r="B2021" s="7" t="s">
        <v>3875</v>
      </c>
      <c r="C2021" s="9">
        <v>12759.0</v>
      </c>
      <c r="D2021" s="9">
        <v>1732.0</v>
      </c>
      <c r="E2021" s="9">
        <v>7.0</v>
      </c>
      <c r="F2021" s="7" t="s">
        <v>2051</v>
      </c>
      <c r="G2021" s="7" t="s">
        <v>353</v>
      </c>
      <c r="H2021" s="7" t="s">
        <v>378</v>
      </c>
      <c r="I2021" s="7" t="s">
        <v>410</v>
      </c>
      <c r="J2021" s="14"/>
      <c r="K2021" s="14"/>
      <c r="O2021" s="22"/>
      <c r="P2021" s="22"/>
      <c r="Q2021" s="23"/>
      <c r="R2021" s="23"/>
      <c r="S2021" s="14"/>
    </row>
    <row r="2022" ht="18.75" customHeight="1">
      <c r="A2022" s="7" t="s">
        <v>2110</v>
      </c>
      <c r="B2022" s="7" t="s">
        <v>3875</v>
      </c>
      <c r="C2022" s="9">
        <v>9611.0</v>
      </c>
      <c r="D2022" s="9">
        <v>0.0</v>
      </c>
      <c r="E2022" s="9">
        <v>31.0</v>
      </c>
      <c r="F2022" s="7" t="s">
        <v>2111</v>
      </c>
      <c r="G2022" s="7" t="s">
        <v>416</v>
      </c>
      <c r="H2022" s="7" t="s">
        <v>594</v>
      </c>
      <c r="I2022" s="7" t="s">
        <v>410</v>
      </c>
      <c r="J2022" s="14"/>
      <c r="K2022" s="14"/>
      <c r="O2022" s="22"/>
      <c r="P2022" s="22"/>
      <c r="Q2022" s="23"/>
      <c r="R2022" s="23"/>
      <c r="S2022" s="14"/>
    </row>
    <row r="2023" ht="18.75" customHeight="1">
      <c r="A2023" s="7" t="s">
        <v>2176</v>
      </c>
      <c r="B2023" s="7" t="s">
        <v>3875</v>
      </c>
      <c r="C2023" s="9">
        <v>4499.0</v>
      </c>
      <c r="D2023" s="9">
        <v>0.0</v>
      </c>
      <c r="E2023" s="9">
        <v>2.0</v>
      </c>
      <c r="F2023" s="7" t="s">
        <v>2177</v>
      </c>
      <c r="G2023" s="7" t="s">
        <v>503</v>
      </c>
      <c r="H2023" s="7" t="s">
        <v>783</v>
      </c>
      <c r="I2023" s="7" t="s">
        <v>2120</v>
      </c>
      <c r="J2023" s="14"/>
      <c r="K2023" s="14"/>
      <c r="O2023" s="22"/>
      <c r="P2023" s="22"/>
      <c r="Q2023" s="23"/>
      <c r="R2023" s="23"/>
      <c r="S2023" s="14"/>
    </row>
    <row r="2024" ht="18.75" customHeight="1">
      <c r="A2024" s="7" t="s">
        <v>2114</v>
      </c>
      <c r="B2024" s="7" t="s">
        <v>3875</v>
      </c>
      <c r="C2024" s="9">
        <v>33136.0</v>
      </c>
      <c r="D2024" s="9">
        <v>0.0</v>
      </c>
      <c r="E2024" s="9">
        <v>26.0</v>
      </c>
      <c r="F2024" s="7" t="s">
        <v>2115</v>
      </c>
      <c r="G2024" s="7" t="s">
        <v>416</v>
      </c>
      <c r="H2024" s="7" t="s">
        <v>725</v>
      </c>
      <c r="I2024" s="7" t="s">
        <v>2120</v>
      </c>
      <c r="J2024" s="14"/>
      <c r="K2024" s="14"/>
      <c r="O2024" s="22"/>
      <c r="P2024" s="22"/>
      <c r="Q2024" s="23"/>
      <c r="R2024" s="23"/>
      <c r="S2024" s="14"/>
    </row>
    <row r="2025" ht="18.75" customHeight="1">
      <c r="A2025" s="7" t="s">
        <v>2204</v>
      </c>
      <c r="B2025" s="7" t="s">
        <v>3875</v>
      </c>
      <c r="C2025" s="9">
        <v>815.0</v>
      </c>
      <c r="D2025" s="9">
        <v>0.0</v>
      </c>
      <c r="E2025" s="9">
        <v>0.0</v>
      </c>
      <c r="F2025" s="7" t="s">
        <v>2205</v>
      </c>
      <c r="G2025" s="7" t="s">
        <v>404</v>
      </c>
      <c r="H2025" s="7" t="s">
        <v>405</v>
      </c>
      <c r="I2025" s="7" t="s">
        <v>2120</v>
      </c>
      <c r="J2025" s="14"/>
      <c r="K2025" s="14"/>
      <c r="O2025" s="22"/>
      <c r="P2025" s="22"/>
      <c r="Q2025" s="23"/>
      <c r="R2025" s="23"/>
      <c r="S2025" s="14"/>
    </row>
    <row r="2026" ht="18.75" customHeight="1">
      <c r="A2026" s="7" t="s">
        <v>362</v>
      </c>
      <c r="B2026" s="7" t="s">
        <v>3881</v>
      </c>
      <c r="C2026" s="9">
        <v>203580.0</v>
      </c>
      <c r="D2026" s="9">
        <v>1517.0</v>
      </c>
      <c r="E2026" s="9">
        <v>335.0</v>
      </c>
      <c r="F2026" s="7" t="s">
        <v>363</v>
      </c>
      <c r="G2026" s="7" t="s">
        <v>364</v>
      </c>
      <c r="H2026" s="7" t="s">
        <v>365</v>
      </c>
      <c r="I2026" s="7" t="s">
        <v>355</v>
      </c>
      <c r="J2026" s="14"/>
      <c r="K2026" s="14"/>
      <c r="O2026" s="22"/>
      <c r="P2026" s="22"/>
      <c r="Q2026" s="23"/>
      <c r="R2026" s="23"/>
      <c r="S2026" s="14"/>
    </row>
    <row r="2027" ht="18.75" customHeight="1">
      <c r="A2027" s="7" t="s">
        <v>351</v>
      </c>
      <c r="B2027" s="7" t="s">
        <v>3881</v>
      </c>
      <c r="C2027" s="9">
        <v>241514.0</v>
      </c>
      <c r="D2027" s="9">
        <v>3042.0</v>
      </c>
      <c r="E2027" s="9">
        <v>588.0</v>
      </c>
      <c r="F2027" s="7" t="s">
        <v>352</v>
      </c>
      <c r="G2027" s="7" t="s">
        <v>353</v>
      </c>
      <c r="H2027" s="7" t="s">
        <v>354</v>
      </c>
      <c r="I2027" s="7" t="s">
        <v>410</v>
      </c>
      <c r="J2027" s="14"/>
      <c r="K2027" s="14"/>
      <c r="O2027" s="22"/>
      <c r="P2027" s="22"/>
      <c r="Q2027" s="23"/>
      <c r="R2027" s="23"/>
      <c r="S2027" s="14"/>
    </row>
    <row r="2028" ht="18.75" customHeight="1">
      <c r="A2028" s="7" t="s">
        <v>392</v>
      </c>
      <c r="B2028" s="7" t="s">
        <v>3881</v>
      </c>
      <c r="C2028" s="9">
        <v>418457.0</v>
      </c>
      <c r="D2028" s="9">
        <v>8293.0</v>
      </c>
      <c r="E2028" s="9">
        <v>868.0</v>
      </c>
      <c r="F2028" s="7" t="s">
        <v>393</v>
      </c>
      <c r="G2028" s="7" t="s">
        <v>353</v>
      </c>
      <c r="H2028" s="7" t="s">
        <v>378</v>
      </c>
      <c r="I2028" s="7" t="s">
        <v>355</v>
      </c>
      <c r="J2028" s="14"/>
      <c r="K2028" s="14"/>
      <c r="O2028" s="22"/>
      <c r="P2028" s="22"/>
      <c r="Q2028" s="23"/>
      <c r="R2028" s="23"/>
      <c r="S2028" s="14"/>
    </row>
    <row r="2029" ht="18.75" customHeight="1">
      <c r="A2029" s="7" t="s">
        <v>402</v>
      </c>
      <c r="B2029" s="7" t="s">
        <v>3881</v>
      </c>
      <c r="C2029" s="9">
        <v>430717.0</v>
      </c>
      <c r="D2029" s="9">
        <v>4609.0</v>
      </c>
      <c r="E2029" s="9">
        <v>1833.0</v>
      </c>
      <c r="F2029" s="7" t="s">
        <v>403</v>
      </c>
      <c r="G2029" s="7" t="s">
        <v>404</v>
      </c>
      <c r="H2029" s="7" t="s">
        <v>405</v>
      </c>
      <c r="I2029" s="7" t="s">
        <v>355</v>
      </c>
      <c r="J2029" s="14"/>
      <c r="K2029" s="14"/>
      <c r="O2029" s="22"/>
      <c r="P2029" s="22"/>
      <c r="Q2029" s="23"/>
      <c r="R2029" s="23"/>
      <c r="S2029" s="14"/>
    </row>
    <row r="2030" ht="18.75" customHeight="1">
      <c r="A2030" s="7" t="s">
        <v>394</v>
      </c>
      <c r="B2030" s="7" t="s">
        <v>3881</v>
      </c>
      <c r="C2030" s="9">
        <v>111601.0</v>
      </c>
      <c r="D2030" s="9">
        <v>1455.0</v>
      </c>
      <c r="E2030" s="9">
        <v>228.0</v>
      </c>
      <c r="F2030" s="7" t="s">
        <v>395</v>
      </c>
      <c r="G2030" s="7" t="s">
        <v>353</v>
      </c>
      <c r="H2030" s="7" t="s">
        <v>378</v>
      </c>
      <c r="I2030" s="7" t="s">
        <v>355</v>
      </c>
      <c r="J2030" s="14"/>
      <c r="K2030" s="14"/>
      <c r="O2030" s="22"/>
      <c r="P2030" s="22"/>
      <c r="Q2030" s="23"/>
      <c r="R2030" s="23"/>
      <c r="S2030" s="14"/>
    </row>
    <row r="2031" ht="18.75" customHeight="1">
      <c r="A2031" s="7" t="s">
        <v>422</v>
      </c>
      <c r="B2031" s="7" t="s">
        <v>3881</v>
      </c>
      <c r="C2031" s="9">
        <v>739000.0</v>
      </c>
      <c r="D2031" s="9">
        <v>66706.0</v>
      </c>
      <c r="E2031" s="9">
        <v>1953.0</v>
      </c>
      <c r="F2031" s="7" t="s">
        <v>423</v>
      </c>
      <c r="G2031" s="7" t="s">
        <v>404</v>
      </c>
      <c r="H2031" s="7" t="s">
        <v>405</v>
      </c>
      <c r="I2031" s="7" t="s">
        <v>355</v>
      </c>
      <c r="J2031" s="14"/>
      <c r="K2031" s="14"/>
      <c r="O2031" s="22"/>
      <c r="P2031" s="22"/>
      <c r="Q2031" s="23"/>
      <c r="R2031" s="23"/>
      <c r="S2031" s="14"/>
    </row>
    <row r="2032" ht="18.75" customHeight="1">
      <c r="A2032" s="7" t="s">
        <v>431</v>
      </c>
      <c r="B2032" s="7" t="s">
        <v>3881</v>
      </c>
      <c r="C2032" s="9">
        <v>209261.0</v>
      </c>
      <c r="D2032" s="9">
        <v>18737.0</v>
      </c>
      <c r="E2032" s="9">
        <v>712.0</v>
      </c>
      <c r="F2032" s="7" t="s">
        <v>432</v>
      </c>
      <c r="G2032" s="7" t="s">
        <v>404</v>
      </c>
      <c r="H2032" s="7" t="s">
        <v>405</v>
      </c>
      <c r="I2032" s="7" t="s">
        <v>355</v>
      </c>
      <c r="J2032" s="14"/>
      <c r="K2032" s="14"/>
      <c r="O2032" s="22"/>
      <c r="P2032" s="22"/>
      <c r="Q2032" s="23"/>
      <c r="R2032" s="23"/>
      <c r="S2032" s="14"/>
    </row>
    <row r="2033" ht="18.75" customHeight="1">
      <c r="A2033" s="7" t="s">
        <v>497</v>
      </c>
      <c r="B2033" s="7" t="s">
        <v>3881</v>
      </c>
      <c r="C2033" s="9">
        <v>242344.0</v>
      </c>
      <c r="D2033" s="9">
        <v>22839.0</v>
      </c>
      <c r="E2033" s="9">
        <v>597.0</v>
      </c>
      <c r="F2033" s="7" t="s">
        <v>498</v>
      </c>
      <c r="G2033" s="7" t="s">
        <v>404</v>
      </c>
      <c r="H2033" s="7" t="s">
        <v>405</v>
      </c>
      <c r="I2033" s="7" t="s">
        <v>355</v>
      </c>
      <c r="J2033" s="14"/>
      <c r="K2033" s="14"/>
      <c r="O2033" s="22"/>
      <c r="P2033" s="22"/>
      <c r="Q2033" s="23"/>
      <c r="R2033" s="23"/>
      <c r="S2033" s="14"/>
    </row>
    <row r="2034" ht="18.75" customHeight="1">
      <c r="A2034" s="7" t="s">
        <v>437</v>
      </c>
      <c r="B2034" s="7" t="s">
        <v>3881</v>
      </c>
      <c r="C2034" s="9">
        <v>242613.0</v>
      </c>
      <c r="D2034" s="9">
        <v>14864.0</v>
      </c>
      <c r="E2034" s="9">
        <v>416.0</v>
      </c>
      <c r="F2034" s="7" t="s">
        <v>438</v>
      </c>
      <c r="G2034" s="7" t="s">
        <v>404</v>
      </c>
      <c r="H2034" s="7" t="s">
        <v>405</v>
      </c>
      <c r="I2034" s="7" t="s">
        <v>355</v>
      </c>
      <c r="J2034" s="14"/>
      <c r="K2034" s="14"/>
      <c r="O2034" s="22"/>
      <c r="P2034" s="22"/>
      <c r="Q2034" s="23"/>
      <c r="R2034" s="23"/>
      <c r="S2034" s="14"/>
    </row>
    <row r="2035" ht="18.75" customHeight="1">
      <c r="A2035" s="7" t="s">
        <v>481</v>
      </c>
      <c r="B2035" s="7" t="s">
        <v>3881</v>
      </c>
      <c r="C2035" s="9">
        <v>637585.0</v>
      </c>
      <c r="D2035" s="9">
        <v>42123.0</v>
      </c>
      <c r="E2035" s="9">
        <v>1585.0</v>
      </c>
      <c r="F2035" s="7" t="s">
        <v>482</v>
      </c>
      <c r="G2035" s="7" t="s">
        <v>404</v>
      </c>
      <c r="H2035" s="7" t="s">
        <v>405</v>
      </c>
      <c r="I2035" s="7" t="s">
        <v>355</v>
      </c>
      <c r="J2035" s="14"/>
      <c r="K2035" s="14"/>
      <c r="O2035" s="22"/>
      <c r="P2035" s="22"/>
      <c r="Q2035" s="23"/>
      <c r="R2035" s="23"/>
      <c r="S2035" s="14"/>
    </row>
    <row r="2036" ht="18.75" customHeight="1">
      <c r="A2036" s="7" t="s">
        <v>769</v>
      </c>
      <c r="B2036" s="7" t="s">
        <v>3881</v>
      </c>
      <c r="C2036" s="9">
        <v>101331.0</v>
      </c>
      <c r="D2036" s="9">
        <v>5369.0</v>
      </c>
      <c r="E2036" s="9">
        <v>370.0</v>
      </c>
      <c r="F2036" s="7" t="s">
        <v>770</v>
      </c>
      <c r="G2036" s="7" t="s">
        <v>404</v>
      </c>
      <c r="H2036" s="7" t="s">
        <v>405</v>
      </c>
      <c r="I2036" s="7" t="s">
        <v>355</v>
      </c>
      <c r="J2036" s="14"/>
      <c r="K2036" s="14"/>
      <c r="O2036" s="22"/>
      <c r="P2036" s="22"/>
      <c r="Q2036" s="23"/>
      <c r="R2036" s="23"/>
      <c r="S2036" s="14"/>
    </row>
    <row r="2037" ht="18.75" customHeight="1">
      <c r="A2037" s="7" t="s">
        <v>758</v>
      </c>
      <c r="B2037" s="7" t="s">
        <v>3881</v>
      </c>
      <c r="C2037" s="9">
        <v>193623.0</v>
      </c>
      <c r="D2037" s="9">
        <v>2277.0</v>
      </c>
      <c r="E2037" s="9">
        <v>431.0</v>
      </c>
      <c r="F2037" s="7" t="s">
        <v>759</v>
      </c>
      <c r="G2037" s="7" t="s">
        <v>404</v>
      </c>
      <c r="H2037" s="7" t="s">
        <v>760</v>
      </c>
      <c r="I2037" s="7" t="s">
        <v>355</v>
      </c>
      <c r="J2037" s="14"/>
      <c r="K2037" s="14"/>
      <c r="O2037" s="22"/>
      <c r="P2037" s="22"/>
      <c r="Q2037" s="23"/>
      <c r="R2037" s="23"/>
      <c r="S2037" s="14"/>
    </row>
    <row r="2038" ht="18.75" customHeight="1">
      <c r="A2038" s="7" t="s">
        <v>773</v>
      </c>
      <c r="B2038" s="7" t="s">
        <v>3881</v>
      </c>
      <c r="C2038" s="9">
        <v>1108311.0</v>
      </c>
      <c r="D2038" s="9">
        <v>69383.0</v>
      </c>
      <c r="E2038" s="9">
        <v>2513.0</v>
      </c>
      <c r="F2038" s="7" t="s">
        <v>774</v>
      </c>
      <c r="G2038" s="7" t="s">
        <v>404</v>
      </c>
      <c r="H2038" s="7" t="s">
        <v>405</v>
      </c>
      <c r="I2038" s="7" t="s">
        <v>355</v>
      </c>
      <c r="J2038" s="14"/>
      <c r="K2038" s="14"/>
      <c r="O2038" s="22"/>
      <c r="P2038" s="22"/>
      <c r="Q2038" s="23"/>
      <c r="R2038" s="23"/>
      <c r="S2038" s="14"/>
    </row>
    <row r="2039" ht="18.75" customHeight="1">
      <c r="A2039" s="7" t="s">
        <v>761</v>
      </c>
      <c r="B2039" s="7" t="s">
        <v>3881</v>
      </c>
      <c r="C2039" s="9">
        <v>981298.0</v>
      </c>
      <c r="D2039" s="9">
        <v>71247.0</v>
      </c>
      <c r="E2039" s="9">
        <v>2004.0</v>
      </c>
      <c r="F2039" s="7" t="s">
        <v>762</v>
      </c>
      <c r="G2039" s="7" t="s">
        <v>404</v>
      </c>
      <c r="H2039" s="7" t="s">
        <v>760</v>
      </c>
      <c r="I2039" s="7" t="s">
        <v>355</v>
      </c>
      <c r="J2039" s="14"/>
      <c r="K2039" s="14"/>
      <c r="O2039" s="22"/>
      <c r="P2039" s="22"/>
      <c r="Q2039" s="23"/>
      <c r="R2039" s="23"/>
      <c r="S2039" s="14"/>
    </row>
    <row r="2040" ht="18.75" customHeight="1">
      <c r="A2040" s="7" t="s">
        <v>991</v>
      </c>
      <c r="B2040" s="7" t="s">
        <v>3881</v>
      </c>
      <c r="C2040" s="9">
        <v>1198755.0</v>
      </c>
      <c r="D2040" s="9">
        <v>84734.0</v>
      </c>
      <c r="E2040" s="9">
        <v>2173.0</v>
      </c>
      <c r="F2040" s="7" t="s">
        <v>992</v>
      </c>
      <c r="G2040" s="7" t="s">
        <v>404</v>
      </c>
      <c r="H2040" s="7" t="s">
        <v>667</v>
      </c>
      <c r="I2040" s="7" t="s">
        <v>355</v>
      </c>
      <c r="J2040" s="14"/>
      <c r="K2040" s="14"/>
      <c r="O2040" s="22"/>
      <c r="P2040" s="22"/>
      <c r="Q2040" s="23"/>
      <c r="R2040" s="23"/>
      <c r="S2040" s="14"/>
    </row>
    <row r="2041" ht="18.75" customHeight="1">
      <c r="A2041" s="7" t="s">
        <v>1135</v>
      </c>
      <c r="B2041" s="7" t="s">
        <v>3881</v>
      </c>
      <c r="C2041" s="9">
        <v>315933.0</v>
      </c>
      <c r="D2041" s="9">
        <v>22401.0</v>
      </c>
      <c r="E2041" s="9">
        <v>925.0</v>
      </c>
      <c r="F2041" s="7" t="s">
        <v>1136</v>
      </c>
      <c r="G2041" s="7" t="s">
        <v>404</v>
      </c>
      <c r="H2041" s="7" t="s">
        <v>667</v>
      </c>
      <c r="I2041" s="7" t="s">
        <v>355</v>
      </c>
      <c r="J2041" s="14"/>
      <c r="K2041" s="14"/>
      <c r="O2041" s="22"/>
      <c r="P2041" s="22"/>
      <c r="Q2041" s="23"/>
      <c r="R2041" s="23"/>
      <c r="S2041" s="14"/>
    </row>
    <row r="2042" ht="18.75" customHeight="1">
      <c r="A2042" s="7" t="s">
        <v>1135</v>
      </c>
      <c r="B2042" s="7" t="s">
        <v>3881</v>
      </c>
      <c r="C2042" s="9">
        <v>374430.0</v>
      </c>
      <c r="D2042" s="9">
        <v>0.0</v>
      </c>
      <c r="E2042" s="9">
        <v>974.0</v>
      </c>
      <c r="F2042" s="7" t="s">
        <v>1136</v>
      </c>
      <c r="G2042" s="7" t="s">
        <v>404</v>
      </c>
      <c r="H2042" s="7" t="s">
        <v>667</v>
      </c>
      <c r="I2042" s="7" t="s">
        <v>355</v>
      </c>
      <c r="J2042" s="14"/>
      <c r="K2042" s="14"/>
      <c r="O2042" s="22"/>
      <c r="P2042" s="22"/>
      <c r="Q2042" s="23"/>
      <c r="R2042" s="23"/>
      <c r="S2042" s="14"/>
    </row>
    <row r="2043" ht="18.75" customHeight="1">
      <c r="A2043" s="7" t="s">
        <v>1297</v>
      </c>
      <c r="B2043" s="7" t="s">
        <v>3881</v>
      </c>
      <c r="C2043" s="9">
        <v>379723.0</v>
      </c>
      <c r="D2043" s="9">
        <v>62466.0</v>
      </c>
      <c r="E2043" s="9">
        <v>1004.0</v>
      </c>
      <c r="F2043" s="7" t="s">
        <v>1298</v>
      </c>
      <c r="G2043" s="7" t="s">
        <v>404</v>
      </c>
      <c r="H2043" s="7" t="s">
        <v>405</v>
      </c>
      <c r="I2043" s="7" t="s">
        <v>355</v>
      </c>
      <c r="J2043" s="14"/>
      <c r="K2043" s="14"/>
      <c r="O2043" s="22"/>
      <c r="P2043" s="22"/>
      <c r="Q2043" s="23"/>
      <c r="R2043" s="23"/>
      <c r="S2043" s="14"/>
    </row>
    <row r="2044" ht="18.75" customHeight="1">
      <c r="A2044" s="7" t="s">
        <v>1131</v>
      </c>
      <c r="B2044" s="7" t="s">
        <v>3881</v>
      </c>
      <c r="C2044" s="9">
        <v>379473.0</v>
      </c>
      <c r="D2044" s="9">
        <v>27657.0</v>
      </c>
      <c r="E2044" s="9">
        <v>1009.0</v>
      </c>
      <c r="F2044" s="7" t="s">
        <v>1132</v>
      </c>
      <c r="G2044" s="7" t="s">
        <v>404</v>
      </c>
      <c r="H2044" s="7" t="s">
        <v>760</v>
      </c>
      <c r="I2044" s="7" t="s">
        <v>355</v>
      </c>
      <c r="J2044" s="14"/>
      <c r="K2044" s="14"/>
      <c r="O2044" s="22"/>
      <c r="P2044" s="22"/>
      <c r="Q2044" s="23"/>
      <c r="R2044" s="23"/>
      <c r="S2044" s="14"/>
    </row>
    <row r="2045" ht="18.75" customHeight="1">
      <c r="A2045" s="7" t="s">
        <v>1265</v>
      </c>
      <c r="B2045" s="7" t="s">
        <v>3881</v>
      </c>
      <c r="C2045" s="9">
        <v>356891.0</v>
      </c>
      <c r="D2045" s="9">
        <v>35710.0</v>
      </c>
      <c r="E2045" s="9">
        <v>804.0</v>
      </c>
      <c r="F2045" s="7" t="s">
        <v>1266</v>
      </c>
      <c r="G2045" s="7" t="s">
        <v>404</v>
      </c>
      <c r="H2045" s="7" t="s">
        <v>783</v>
      </c>
      <c r="I2045" s="7" t="s">
        <v>355</v>
      </c>
      <c r="J2045" s="14"/>
      <c r="K2045" s="14"/>
      <c r="O2045" s="22"/>
      <c r="P2045" s="22"/>
      <c r="Q2045" s="23"/>
      <c r="R2045" s="23"/>
      <c r="S2045" s="14"/>
    </row>
    <row r="2046" ht="18.75" customHeight="1">
      <c r="A2046" s="7" t="s">
        <v>1149</v>
      </c>
      <c r="B2046" s="7" t="s">
        <v>3881</v>
      </c>
      <c r="C2046" s="9">
        <v>1312784.0</v>
      </c>
      <c r="D2046" s="9">
        <v>24988.0</v>
      </c>
      <c r="E2046" s="9">
        <v>2325.0</v>
      </c>
      <c r="F2046" s="7" t="s">
        <v>1150</v>
      </c>
      <c r="G2046" s="7" t="s">
        <v>404</v>
      </c>
      <c r="H2046" s="7" t="s">
        <v>667</v>
      </c>
      <c r="I2046" s="7" t="s">
        <v>355</v>
      </c>
      <c r="J2046" s="14"/>
      <c r="K2046" s="14"/>
      <c r="O2046" s="22"/>
      <c r="P2046" s="22"/>
      <c r="Q2046" s="23"/>
      <c r="R2046" s="23"/>
      <c r="S2046" s="14"/>
    </row>
    <row r="2047" ht="18.75" customHeight="1">
      <c r="A2047" s="7" t="s">
        <v>1131</v>
      </c>
      <c r="B2047" s="7" t="s">
        <v>3881</v>
      </c>
      <c r="C2047" s="9">
        <v>77998.0</v>
      </c>
      <c r="D2047" s="9">
        <v>10743.0</v>
      </c>
      <c r="E2047" s="9">
        <v>188.0</v>
      </c>
      <c r="F2047" s="7" t="s">
        <v>1132</v>
      </c>
      <c r="G2047" s="7" t="s">
        <v>404</v>
      </c>
      <c r="H2047" s="7" t="s">
        <v>760</v>
      </c>
      <c r="I2047" s="7" t="s">
        <v>355</v>
      </c>
      <c r="J2047" s="14"/>
      <c r="K2047" s="14"/>
      <c r="O2047" s="22"/>
      <c r="P2047" s="22"/>
      <c r="Q2047" s="23"/>
      <c r="R2047" s="23"/>
      <c r="S2047" s="14"/>
    </row>
    <row r="2048" ht="18.75" customHeight="1">
      <c r="A2048" s="7" t="s">
        <v>1149</v>
      </c>
      <c r="B2048" s="7" t="s">
        <v>3881</v>
      </c>
      <c r="C2048" s="9">
        <v>224821.0</v>
      </c>
      <c r="D2048" s="9">
        <v>2328.0</v>
      </c>
      <c r="E2048" s="9">
        <v>289.0</v>
      </c>
      <c r="F2048" s="7" t="s">
        <v>1150</v>
      </c>
      <c r="G2048" s="7" t="s">
        <v>404</v>
      </c>
      <c r="H2048" s="7" t="s">
        <v>667</v>
      </c>
      <c r="I2048" s="7" t="s">
        <v>355</v>
      </c>
      <c r="J2048" s="14"/>
      <c r="K2048" s="14"/>
      <c r="O2048" s="22"/>
      <c r="P2048" s="22"/>
      <c r="Q2048" s="23"/>
      <c r="R2048" s="23"/>
      <c r="S2048" s="14"/>
    </row>
    <row r="2049" ht="18.75" customHeight="1">
      <c r="A2049" s="7" t="s">
        <v>1135</v>
      </c>
      <c r="B2049" s="7" t="s">
        <v>3881</v>
      </c>
      <c r="C2049" s="9">
        <v>130166.0</v>
      </c>
      <c r="D2049" s="9">
        <v>16075.0</v>
      </c>
      <c r="E2049" s="9">
        <v>234.0</v>
      </c>
      <c r="F2049" s="7" t="s">
        <v>1136</v>
      </c>
      <c r="G2049" s="7" t="s">
        <v>404</v>
      </c>
      <c r="H2049" s="7" t="s">
        <v>667</v>
      </c>
      <c r="I2049" s="7" t="s">
        <v>355</v>
      </c>
      <c r="J2049" s="14"/>
      <c r="K2049" s="14"/>
      <c r="O2049" s="22"/>
      <c r="P2049" s="22"/>
      <c r="Q2049" s="23"/>
      <c r="R2049" s="23"/>
      <c r="S2049" s="14"/>
    </row>
    <row r="2050" ht="18.75" customHeight="1">
      <c r="A2050" s="7" t="s">
        <v>1443</v>
      </c>
      <c r="B2050" s="7" t="s">
        <v>3881</v>
      </c>
      <c r="C2050" s="9">
        <v>122468.0</v>
      </c>
      <c r="D2050" s="9">
        <v>27905.0</v>
      </c>
      <c r="E2050" s="9">
        <v>302.0</v>
      </c>
      <c r="F2050" s="7" t="s">
        <v>1444</v>
      </c>
      <c r="G2050" s="7" t="s">
        <v>404</v>
      </c>
      <c r="H2050" s="7" t="s">
        <v>783</v>
      </c>
      <c r="I2050" s="7" t="s">
        <v>355</v>
      </c>
      <c r="J2050" s="14"/>
      <c r="K2050" s="14"/>
      <c r="O2050" s="22"/>
      <c r="P2050" s="22"/>
      <c r="Q2050" s="23"/>
      <c r="R2050" s="23"/>
      <c r="S2050" s="14"/>
    </row>
    <row r="2051" ht="18.75" customHeight="1">
      <c r="A2051" s="7" t="s">
        <v>1471</v>
      </c>
      <c r="B2051" s="7" t="s">
        <v>3881</v>
      </c>
      <c r="C2051" s="9">
        <v>765340.0</v>
      </c>
      <c r="D2051" s="9">
        <v>51443.0</v>
      </c>
      <c r="E2051" s="9">
        <v>2963.0</v>
      </c>
      <c r="F2051" s="7" t="s">
        <v>1472</v>
      </c>
      <c r="G2051" s="7" t="s">
        <v>404</v>
      </c>
      <c r="H2051" s="7" t="s">
        <v>405</v>
      </c>
      <c r="I2051" s="7" t="s">
        <v>355</v>
      </c>
      <c r="J2051" s="14"/>
      <c r="K2051" s="14"/>
      <c r="O2051" s="22"/>
      <c r="P2051" s="22"/>
      <c r="Q2051" s="23"/>
      <c r="R2051" s="23"/>
      <c r="S2051" s="14"/>
    </row>
    <row r="2052" ht="18.75" customHeight="1">
      <c r="A2052" s="7" t="s">
        <v>1575</v>
      </c>
      <c r="B2052" s="7" t="s">
        <v>3881</v>
      </c>
      <c r="C2052" s="9">
        <v>194240.0</v>
      </c>
      <c r="D2052" s="9">
        <v>33291.0</v>
      </c>
      <c r="E2052" s="9">
        <v>630.0</v>
      </c>
      <c r="F2052" s="7" t="s">
        <v>1576</v>
      </c>
      <c r="G2052" s="7" t="s">
        <v>404</v>
      </c>
      <c r="H2052" s="7" t="s">
        <v>405</v>
      </c>
      <c r="I2052" s="7" t="s">
        <v>355</v>
      </c>
      <c r="J2052" s="14"/>
      <c r="K2052" s="14"/>
      <c r="O2052" s="22"/>
      <c r="P2052" s="22"/>
      <c r="Q2052" s="23"/>
      <c r="R2052" s="23"/>
      <c r="S2052" s="14"/>
    </row>
    <row r="2053" ht="18.75" customHeight="1">
      <c r="A2053" s="7" t="s">
        <v>1401</v>
      </c>
      <c r="B2053" s="7" t="s">
        <v>3881</v>
      </c>
      <c r="C2053" s="9">
        <v>81617.0</v>
      </c>
      <c r="D2053" s="9">
        <v>10402.0</v>
      </c>
      <c r="E2053" s="9">
        <v>172.0</v>
      </c>
      <c r="F2053" s="7" t="s">
        <v>1402</v>
      </c>
      <c r="G2053" s="7" t="s">
        <v>358</v>
      </c>
      <c r="H2053" s="7" t="s">
        <v>466</v>
      </c>
      <c r="I2053" s="7" t="s">
        <v>410</v>
      </c>
      <c r="J2053" s="14"/>
      <c r="K2053" s="14"/>
      <c r="O2053" s="22"/>
      <c r="P2053" s="22"/>
      <c r="Q2053" s="23"/>
      <c r="R2053" s="23"/>
      <c r="S2053" s="14"/>
    </row>
    <row r="2054" ht="18.75" customHeight="1">
      <c r="A2054" s="7" t="s">
        <v>1601</v>
      </c>
      <c r="B2054" s="7" t="s">
        <v>3881</v>
      </c>
      <c r="C2054" s="9">
        <v>147300.0</v>
      </c>
      <c r="D2054" s="9">
        <v>18948.0</v>
      </c>
      <c r="E2054" s="9">
        <v>385.0</v>
      </c>
      <c r="F2054" s="7" t="s">
        <v>1602</v>
      </c>
      <c r="G2054" s="7" t="s">
        <v>404</v>
      </c>
      <c r="H2054" s="7" t="s">
        <v>405</v>
      </c>
      <c r="I2054" s="7" t="s">
        <v>355</v>
      </c>
      <c r="J2054" s="14"/>
      <c r="K2054" s="14"/>
      <c r="O2054" s="22"/>
      <c r="P2054" s="22"/>
      <c r="Q2054" s="23"/>
      <c r="R2054" s="23"/>
      <c r="S2054" s="14"/>
    </row>
    <row r="2055" ht="18.75" customHeight="1">
      <c r="A2055" s="7" t="s">
        <v>1401</v>
      </c>
      <c r="B2055" s="7" t="s">
        <v>3881</v>
      </c>
      <c r="C2055" s="9">
        <v>55807.0</v>
      </c>
      <c r="D2055" s="9">
        <v>0.0</v>
      </c>
      <c r="E2055" s="9">
        <v>583.0</v>
      </c>
      <c r="F2055" s="7" t="s">
        <v>1402</v>
      </c>
      <c r="G2055" s="7" t="s">
        <v>358</v>
      </c>
      <c r="H2055" s="7" t="s">
        <v>466</v>
      </c>
      <c r="I2055" s="7" t="s">
        <v>410</v>
      </c>
      <c r="J2055" s="14"/>
      <c r="K2055" s="14"/>
      <c r="O2055" s="22"/>
      <c r="P2055" s="22"/>
      <c r="Q2055" s="23"/>
      <c r="R2055" s="23"/>
      <c r="S2055" s="14"/>
    </row>
    <row r="2056" ht="18.75" customHeight="1">
      <c r="A2056" s="7" t="s">
        <v>1497</v>
      </c>
      <c r="B2056" s="7" t="s">
        <v>3881</v>
      </c>
      <c r="C2056" s="9">
        <v>707365.0</v>
      </c>
      <c r="D2056" s="9">
        <v>60402.0</v>
      </c>
      <c r="E2056" s="9">
        <v>1730.0</v>
      </c>
      <c r="F2056" s="7" t="s">
        <v>1498</v>
      </c>
      <c r="G2056" s="7" t="s">
        <v>404</v>
      </c>
      <c r="H2056" s="7" t="s">
        <v>405</v>
      </c>
      <c r="I2056" s="7" t="s">
        <v>410</v>
      </c>
      <c r="J2056" s="14"/>
      <c r="K2056" s="14"/>
      <c r="O2056" s="22"/>
      <c r="P2056" s="22"/>
      <c r="Q2056" s="23"/>
      <c r="R2056" s="23"/>
      <c r="S2056" s="14"/>
    </row>
    <row r="2057" ht="18.75" customHeight="1">
      <c r="A2057" s="7" t="s">
        <v>1555</v>
      </c>
      <c r="B2057" s="7" t="s">
        <v>3881</v>
      </c>
      <c r="C2057" s="9">
        <v>696176.0</v>
      </c>
      <c r="D2057" s="9">
        <v>46589.0</v>
      </c>
      <c r="E2057" s="9">
        <v>1277.0</v>
      </c>
      <c r="F2057" s="7" t="s">
        <v>1556</v>
      </c>
      <c r="G2057" s="7" t="s">
        <v>404</v>
      </c>
      <c r="H2057" s="7" t="s">
        <v>760</v>
      </c>
      <c r="I2057" s="7" t="s">
        <v>355</v>
      </c>
      <c r="J2057" s="14"/>
      <c r="K2057" s="14"/>
      <c r="O2057" s="22"/>
      <c r="P2057" s="22"/>
      <c r="Q2057" s="23"/>
      <c r="R2057" s="23"/>
      <c r="S2057" s="14"/>
    </row>
    <row r="2058" ht="18.75" customHeight="1">
      <c r="A2058" s="7" t="s">
        <v>1523</v>
      </c>
      <c r="B2058" s="7" t="s">
        <v>3881</v>
      </c>
      <c r="C2058" s="9">
        <v>689067.0</v>
      </c>
      <c r="D2058" s="9">
        <v>108299.0</v>
      </c>
      <c r="E2058" s="9">
        <v>1756.0</v>
      </c>
      <c r="F2058" s="7" t="s">
        <v>1524</v>
      </c>
      <c r="G2058" s="7" t="s">
        <v>364</v>
      </c>
      <c r="H2058" s="7" t="s">
        <v>365</v>
      </c>
      <c r="I2058" s="7" t="s">
        <v>410</v>
      </c>
      <c r="J2058" s="14"/>
      <c r="K2058" s="14"/>
      <c r="O2058" s="22"/>
      <c r="P2058" s="22"/>
      <c r="Q2058" s="23"/>
      <c r="R2058" s="23"/>
      <c r="S2058" s="14"/>
    </row>
    <row r="2059" ht="18.75" customHeight="1">
      <c r="A2059" s="7" t="s">
        <v>1867</v>
      </c>
      <c r="B2059" s="7" t="s">
        <v>3881</v>
      </c>
      <c r="C2059" s="9">
        <v>408075.0</v>
      </c>
      <c r="D2059" s="9">
        <v>124277.0</v>
      </c>
      <c r="E2059" s="9">
        <v>1272.0</v>
      </c>
      <c r="F2059" s="7" t="s">
        <v>1868</v>
      </c>
      <c r="G2059" s="7" t="s">
        <v>358</v>
      </c>
      <c r="H2059" s="7" t="s">
        <v>466</v>
      </c>
      <c r="I2059" s="7" t="s">
        <v>355</v>
      </c>
      <c r="J2059" s="14"/>
      <c r="K2059" s="14"/>
      <c r="O2059" s="22"/>
      <c r="P2059" s="22"/>
      <c r="Q2059" s="23"/>
      <c r="R2059" s="23"/>
      <c r="S2059" s="14"/>
    </row>
    <row r="2060" ht="18.75" customHeight="1">
      <c r="A2060" s="7" t="s">
        <v>1401</v>
      </c>
      <c r="B2060" s="7" t="s">
        <v>3881</v>
      </c>
      <c r="C2060" s="9">
        <v>561541.0</v>
      </c>
      <c r="D2060" s="9">
        <v>67272.0</v>
      </c>
      <c r="E2060" s="9">
        <v>874.0</v>
      </c>
      <c r="F2060" s="7" t="s">
        <v>1402</v>
      </c>
      <c r="G2060" s="7" t="s">
        <v>358</v>
      </c>
      <c r="H2060" s="7" t="s">
        <v>466</v>
      </c>
      <c r="I2060" s="7" t="s">
        <v>410</v>
      </c>
      <c r="J2060" s="14"/>
      <c r="K2060" s="14"/>
      <c r="O2060" s="22"/>
      <c r="P2060" s="22"/>
      <c r="Q2060" s="23"/>
      <c r="R2060" s="23"/>
      <c r="S2060" s="14"/>
    </row>
    <row r="2061" ht="18.75" customHeight="1">
      <c r="A2061" s="7" t="s">
        <v>1523</v>
      </c>
      <c r="B2061" s="7" t="s">
        <v>3881</v>
      </c>
      <c r="C2061" s="9">
        <v>765262.0</v>
      </c>
      <c r="D2061" s="9">
        <v>122991.0</v>
      </c>
      <c r="E2061" s="9">
        <v>1960.0</v>
      </c>
      <c r="F2061" s="7" t="s">
        <v>1524</v>
      </c>
      <c r="G2061" s="7" t="s">
        <v>364</v>
      </c>
      <c r="H2061" s="7" t="s">
        <v>365</v>
      </c>
      <c r="I2061" s="7" t="s">
        <v>410</v>
      </c>
      <c r="J2061" s="14"/>
      <c r="K2061" s="14"/>
      <c r="O2061" s="22"/>
      <c r="P2061" s="22"/>
      <c r="Q2061" s="23"/>
      <c r="R2061" s="23"/>
      <c r="S2061" s="14"/>
    </row>
    <row r="2062" ht="18.75" customHeight="1">
      <c r="A2062" s="7" t="s">
        <v>501</v>
      </c>
      <c r="B2062" s="7" t="s">
        <v>3881</v>
      </c>
      <c r="C2062" s="9">
        <v>352469.0</v>
      </c>
      <c r="D2062" s="9">
        <v>24875.0</v>
      </c>
      <c r="E2062" s="9">
        <v>649.0</v>
      </c>
      <c r="F2062" s="7" t="s">
        <v>502</v>
      </c>
      <c r="G2062" s="7" t="s">
        <v>503</v>
      </c>
      <c r="H2062" s="7" t="s">
        <v>504</v>
      </c>
      <c r="I2062" s="7" t="s">
        <v>410</v>
      </c>
      <c r="J2062" s="14"/>
      <c r="K2062" s="14"/>
      <c r="O2062" s="22"/>
      <c r="P2062" s="22"/>
      <c r="Q2062" s="23"/>
      <c r="R2062" s="23"/>
      <c r="S2062" s="14"/>
    </row>
    <row r="2063" ht="18.75" customHeight="1">
      <c r="A2063" s="7" t="s">
        <v>1974</v>
      </c>
      <c r="B2063" s="7" t="s">
        <v>3881</v>
      </c>
      <c r="C2063" s="9">
        <v>282911.0</v>
      </c>
      <c r="D2063" s="9">
        <v>70927.0</v>
      </c>
      <c r="E2063" s="9">
        <v>552.0</v>
      </c>
      <c r="F2063" s="7" t="s">
        <v>1975</v>
      </c>
      <c r="G2063" s="7" t="s">
        <v>358</v>
      </c>
      <c r="H2063" s="7" t="s">
        <v>466</v>
      </c>
      <c r="I2063" s="7" t="s">
        <v>410</v>
      </c>
      <c r="J2063" s="14"/>
      <c r="K2063" s="14"/>
      <c r="O2063" s="22"/>
      <c r="P2063" s="22"/>
      <c r="Q2063" s="23"/>
      <c r="R2063" s="23"/>
      <c r="S2063" s="14"/>
    </row>
    <row r="2064" ht="18.75" customHeight="1">
      <c r="A2064" s="7" t="s">
        <v>501</v>
      </c>
      <c r="B2064" s="7" t="s">
        <v>3881</v>
      </c>
      <c r="C2064" s="9">
        <v>345902.0</v>
      </c>
      <c r="D2064" s="9">
        <v>15373.0</v>
      </c>
      <c r="E2064" s="9">
        <v>915.0</v>
      </c>
      <c r="F2064" s="7" t="s">
        <v>502</v>
      </c>
      <c r="G2064" s="7" t="s">
        <v>503</v>
      </c>
      <c r="H2064" s="7" t="s">
        <v>504</v>
      </c>
      <c r="I2064" s="7" t="s">
        <v>410</v>
      </c>
      <c r="J2064" s="14"/>
      <c r="K2064" s="14"/>
      <c r="O2064" s="22"/>
      <c r="P2064" s="22"/>
      <c r="Q2064" s="23"/>
      <c r="R2064" s="23"/>
      <c r="S2064" s="14"/>
    </row>
    <row r="2065" ht="18.75" customHeight="1">
      <c r="A2065" s="7" t="s">
        <v>1875</v>
      </c>
      <c r="B2065" s="7" t="s">
        <v>3881</v>
      </c>
      <c r="C2065" s="9">
        <v>194187.0</v>
      </c>
      <c r="D2065" s="9">
        <v>36196.0</v>
      </c>
      <c r="E2065" s="9">
        <v>865.0</v>
      </c>
      <c r="F2065" s="7" t="s">
        <v>1876</v>
      </c>
      <c r="G2065" s="7" t="s">
        <v>404</v>
      </c>
      <c r="H2065" s="7" t="s">
        <v>405</v>
      </c>
      <c r="I2065" s="7" t="s">
        <v>410</v>
      </c>
      <c r="J2065" s="14"/>
      <c r="K2065" s="14"/>
      <c r="O2065" s="22"/>
      <c r="P2065" s="22"/>
      <c r="Q2065" s="23"/>
      <c r="R2065" s="23"/>
      <c r="S2065" s="14"/>
    </row>
    <row r="2066" ht="18.75" customHeight="1">
      <c r="A2066" s="7" t="s">
        <v>3761</v>
      </c>
      <c r="B2066" s="7" t="s">
        <v>3881</v>
      </c>
      <c r="C2066" s="9">
        <v>137719.0</v>
      </c>
      <c r="D2066" s="9">
        <v>20159.0</v>
      </c>
      <c r="E2066" s="9">
        <v>512.0</v>
      </c>
      <c r="F2066" s="7" t="s">
        <v>3907</v>
      </c>
      <c r="G2066" s="7" t="s">
        <v>404</v>
      </c>
      <c r="H2066" s="7" t="s">
        <v>405</v>
      </c>
      <c r="I2066" s="7" t="s">
        <v>3886</v>
      </c>
      <c r="J2066" s="14"/>
      <c r="K2066" s="14"/>
      <c r="O2066" s="22"/>
      <c r="P2066" s="22"/>
      <c r="Q2066" s="23"/>
      <c r="R2066" s="23"/>
      <c r="S2066" s="14"/>
    </row>
    <row r="2067" ht="18.75" customHeight="1">
      <c r="A2067" s="7" t="s">
        <v>392</v>
      </c>
      <c r="B2067" s="7" t="s">
        <v>3882</v>
      </c>
      <c r="C2067" s="9">
        <v>1037417.0</v>
      </c>
      <c r="D2067" s="9">
        <v>0.0</v>
      </c>
      <c r="E2067" s="9">
        <v>0.0</v>
      </c>
      <c r="F2067" s="7" t="s">
        <v>393</v>
      </c>
      <c r="G2067" s="7" t="s">
        <v>353</v>
      </c>
      <c r="H2067" s="7" t="s">
        <v>378</v>
      </c>
      <c r="I2067" s="7" t="s">
        <v>355</v>
      </c>
      <c r="J2067" s="14"/>
      <c r="K2067" s="14"/>
      <c r="O2067" s="22"/>
      <c r="P2067" s="22"/>
      <c r="Q2067" s="23"/>
      <c r="R2067" s="23"/>
      <c r="S2067" s="14"/>
    </row>
    <row r="2068" ht="18.75" customHeight="1">
      <c r="A2068" s="7" t="s">
        <v>402</v>
      </c>
      <c r="B2068" s="7" t="s">
        <v>3882</v>
      </c>
      <c r="C2068" s="9">
        <v>1442115.0</v>
      </c>
      <c r="D2068" s="9">
        <v>123103.0</v>
      </c>
      <c r="E2068" s="9">
        <v>0.0</v>
      </c>
      <c r="F2068" s="7" t="s">
        <v>403</v>
      </c>
      <c r="G2068" s="7" t="s">
        <v>404</v>
      </c>
      <c r="H2068" s="7" t="s">
        <v>405</v>
      </c>
      <c r="I2068" s="7" t="s">
        <v>355</v>
      </c>
      <c r="J2068" s="14"/>
      <c r="K2068" s="14"/>
      <c r="O2068" s="22"/>
      <c r="P2068" s="22"/>
      <c r="Q2068" s="23"/>
      <c r="R2068" s="23"/>
      <c r="S2068" s="14"/>
    </row>
    <row r="2069" ht="18.75" customHeight="1">
      <c r="A2069" s="7" t="s">
        <v>394</v>
      </c>
      <c r="B2069" s="7" t="s">
        <v>3882</v>
      </c>
      <c r="C2069" s="9">
        <v>524218.0</v>
      </c>
      <c r="D2069" s="9">
        <v>0.0</v>
      </c>
      <c r="E2069" s="9">
        <v>0.0</v>
      </c>
      <c r="F2069" s="7" t="s">
        <v>395</v>
      </c>
      <c r="G2069" s="7" t="s">
        <v>353</v>
      </c>
      <c r="H2069" s="7" t="s">
        <v>378</v>
      </c>
      <c r="I2069" s="7" t="s">
        <v>355</v>
      </c>
      <c r="J2069" s="14"/>
      <c r="K2069" s="14"/>
      <c r="O2069" s="22"/>
      <c r="P2069" s="22"/>
      <c r="Q2069" s="23"/>
      <c r="R2069" s="23"/>
      <c r="S2069" s="14"/>
    </row>
    <row r="2070" ht="18.75" customHeight="1">
      <c r="A2070" s="7" t="s">
        <v>392</v>
      </c>
      <c r="B2070" s="7" t="s">
        <v>3882</v>
      </c>
      <c r="C2070" s="9">
        <v>1597234.0</v>
      </c>
      <c r="D2070" s="9">
        <v>0.0</v>
      </c>
      <c r="E2070" s="9">
        <v>0.0</v>
      </c>
      <c r="F2070" s="7" t="s">
        <v>393</v>
      </c>
      <c r="G2070" s="7" t="s">
        <v>353</v>
      </c>
      <c r="H2070" s="7" t="s">
        <v>378</v>
      </c>
      <c r="I2070" s="7" t="s">
        <v>355</v>
      </c>
      <c r="J2070" s="14"/>
      <c r="K2070" s="14"/>
      <c r="O2070" s="22"/>
      <c r="P2070" s="22"/>
      <c r="Q2070" s="23"/>
      <c r="R2070" s="23"/>
      <c r="S2070" s="14"/>
    </row>
    <row r="2071" ht="18.75" customHeight="1">
      <c r="A2071" s="7" t="s">
        <v>402</v>
      </c>
      <c r="B2071" s="7" t="s">
        <v>3882</v>
      </c>
      <c r="C2071" s="9">
        <v>431491.0</v>
      </c>
      <c r="D2071" s="9">
        <v>19844.0</v>
      </c>
      <c r="E2071" s="9">
        <v>0.0</v>
      </c>
      <c r="F2071" s="7" t="s">
        <v>403</v>
      </c>
      <c r="G2071" s="7" t="s">
        <v>404</v>
      </c>
      <c r="H2071" s="7" t="s">
        <v>405</v>
      </c>
      <c r="I2071" s="7" t="s">
        <v>355</v>
      </c>
      <c r="J2071" s="14"/>
      <c r="K2071" s="14"/>
      <c r="O2071" s="22"/>
      <c r="P2071" s="22"/>
      <c r="Q2071" s="23"/>
      <c r="R2071" s="23"/>
      <c r="S2071" s="14"/>
    </row>
    <row r="2072" ht="18.75" customHeight="1">
      <c r="A2072" s="7" t="s">
        <v>394</v>
      </c>
      <c r="B2072" s="7" t="s">
        <v>3882</v>
      </c>
      <c r="C2072" s="9">
        <v>1447381.0</v>
      </c>
      <c r="D2072" s="9">
        <v>0.0</v>
      </c>
      <c r="E2072" s="9">
        <v>0.0</v>
      </c>
      <c r="F2072" s="7" t="s">
        <v>395</v>
      </c>
      <c r="G2072" s="7" t="s">
        <v>353</v>
      </c>
      <c r="H2072" s="7" t="s">
        <v>378</v>
      </c>
      <c r="I2072" s="7" t="s">
        <v>355</v>
      </c>
      <c r="J2072" s="14"/>
      <c r="K2072" s="14"/>
      <c r="O2072" s="22"/>
      <c r="P2072" s="22"/>
      <c r="Q2072" s="23"/>
      <c r="R2072" s="23"/>
      <c r="S2072" s="14"/>
    </row>
    <row r="2073" ht="18.75" customHeight="1">
      <c r="A2073" s="7" t="s">
        <v>475</v>
      </c>
      <c r="B2073" s="7" t="s">
        <v>3883</v>
      </c>
      <c r="C2073" s="9">
        <v>427193.0</v>
      </c>
      <c r="D2073" s="9">
        <v>0.0</v>
      </c>
      <c r="E2073" s="9">
        <v>6775.0</v>
      </c>
      <c r="F2073" s="7" t="s">
        <v>476</v>
      </c>
      <c r="G2073" s="7" t="s">
        <v>364</v>
      </c>
      <c r="H2073" s="7" t="s">
        <v>365</v>
      </c>
      <c r="I2073" s="7" t="s">
        <v>355</v>
      </c>
      <c r="J2073" s="14"/>
      <c r="K2073" s="14"/>
      <c r="O2073" s="22"/>
      <c r="P2073" s="22"/>
      <c r="Q2073" s="23"/>
      <c r="R2073" s="23"/>
      <c r="S2073" s="14"/>
    </row>
    <row r="2074" ht="18.75" customHeight="1">
      <c r="A2074" s="7" t="s">
        <v>597</v>
      </c>
      <c r="B2074" s="7" t="s">
        <v>3883</v>
      </c>
      <c r="C2074" s="9">
        <v>5887.0</v>
      </c>
      <c r="D2074" s="9">
        <v>0.0</v>
      </c>
      <c r="E2074" s="9">
        <v>821.0</v>
      </c>
      <c r="F2074" s="7" t="s">
        <v>598</v>
      </c>
      <c r="G2074" s="7" t="s">
        <v>416</v>
      </c>
      <c r="H2074" s="7" t="s">
        <v>417</v>
      </c>
      <c r="I2074" s="7" t="s">
        <v>355</v>
      </c>
      <c r="J2074" s="14"/>
      <c r="K2074" s="14"/>
      <c r="O2074" s="22"/>
      <c r="P2074" s="22"/>
      <c r="Q2074" s="23"/>
      <c r="R2074" s="23"/>
      <c r="S2074" s="14"/>
    </row>
    <row r="2075" ht="18.75" customHeight="1">
      <c r="A2075" s="7" t="s">
        <v>398</v>
      </c>
      <c r="B2075" s="7" t="s">
        <v>3883</v>
      </c>
      <c r="C2075" s="9">
        <v>1170055.0</v>
      </c>
      <c r="D2075" s="9">
        <v>0.0</v>
      </c>
      <c r="E2075" s="9">
        <v>25617.0</v>
      </c>
      <c r="F2075" s="7" t="s">
        <v>399</v>
      </c>
      <c r="G2075" s="7" t="s">
        <v>353</v>
      </c>
      <c r="H2075" s="7" t="s">
        <v>378</v>
      </c>
      <c r="I2075" s="7" t="s">
        <v>355</v>
      </c>
      <c r="J2075" s="14"/>
      <c r="K2075" s="14"/>
      <c r="O2075" s="22"/>
      <c r="P2075" s="22"/>
      <c r="Q2075" s="23"/>
      <c r="R2075" s="23"/>
      <c r="S2075" s="14"/>
    </row>
    <row r="2076" ht="18.75" customHeight="1">
      <c r="A2076" s="7" t="s">
        <v>769</v>
      </c>
      <c r="B2076" s="7" t="s">
        <v>3883</v>
      </c>
      <c r="C2076" s="9">
        <v>0.0</v>
      </c>
      <c r="D2076" s="9">
        <v>0.0</v>
      </c>
      <c r="E2076" s="9">
        <v>0.0</v>
      </c>
      <c r="F2076" s="7" t="s">
        <v>770</v>
      </c>
      <c r="G2076" s="7" t="s">
        <v>404</v>
      </c>
      <c r="H2076" s="7" t="s">
        <v>405</v>
      </c>
      <c r="I2076" s="7" t="s">
        <v>355</v>
      </c>
      <c r="J2076" s="14"/>
      <c r="K2076" s="14"/>
      <c r="O2076" s="22"/>
      <c r="P2076" s="22"/>
      <c r="Q2076" s="23"/>
      <c r="R2076" s="23"/>
      <c r="S2076" s="14"/>
    </row>
    <row r="2077" ht="18.75" customHeight="1">
      <c r="A2077" s="7" t="s">
        <v>398</v>
      </c>
      <c r="B2077" s="7" t="s">
        <v>3883</v>
      </c>
      <c r="C2077" s="9">
        <v>0.0</v>
      </c>
      <c r="D2077" s="9">
        <v>0.0</v>
      </c>
      <c r="E2077" s="9">
        <v>0.0</v>
      </c>
      <c r="F2077" s="7" t="s">
        <v>399</v>
      </c>
      <c r="G2077" s="7" t="s">
        <v>353</v>
      </c>
      <c r="H2077" s="7" t="s">
        <v>378</v>
      </c>
      <c r="I2077" s="7" t="s">
        <v>355</v>
      </c>
      <c r="J2077" s="14"/>
      <c r="K2077" s="14"/>
      <c r="O2077" s="22"/>
      <c r="P2077" s="22"/>
      <c r="Q2077" s="23"/>
      <c r="R2077" s="23"/>
      <c r="S2077" s="14"/>
    </row>
    <row r="2078" ht="18.75" customHeight="1">
      <c r="A2078" s="7" t="s">
        <v>1243</v>
      </c>
      <c r="B2078" s="7" t="s">
        <v>3883</v>
      </c>
      <c r="C2078" s="9">
        <v>0.0</v>
      </c>
      <c r="D2078" s="9">
        <v>0.0</v>
      </c>
      <c r="E2078" s="9">
        <v>0.0</v>
      </c>
      <c r="F2078" s="7" t="s">
        <v>1244</v>
      </c>
      <c r="G2078" s="7" t="s">
        <v>358</v>
      </c>
      <c r="H2078" s="7" t="s">
        <v>466</v>
      </c>
      <c r="I2078" s="7" t="s">
        <v>355</v>
      </c>
      <c r="J2078" s="14"/>
      <c r="K2078" s="14"/>
      <c r="O2078" s="22"/>
      <c r="P2078" s="22"/>
      <c r="Q2078" s="23"/>
      <c r="R2078" s="23"/>
      <c r="S2078" s="14"/>
    </row>
    <row r="2079" ht="18.75" customHeight="1">
      <c r="A2079" s="7" t="s">
        <v>1243</v>
      </c>
      <c r="B2079" s="7" t="s">
        <v>3883</v>
      </c>
      <c r="C2079" s="9">
        <v>0.0</v>
      </c>
      <c r="D2079" s="9">
        <v>0.0</v>
      </c>
      <c r="E2079" s="9">
        <v>0.0</v>
      </c>
      <c r="F2079" s="7" t="s">
        <v>1244</v>
      </c>
      <c r="G2079" s="7" t="s">
        <v>358</v>
      </c>
      <c r="H2079" s="7" t="s">
        <v>466</v>
      </c>
      <c r="I2079" s="7" t="s">
        <v>355</v>
      </c>
      <c r="J2079" s="14"/>
      <c r="K2079" s="14"/>
      <c r="O2079" s="22"/>
      <c r="P2079" s="22"/>
      <c r="Q2079" s="23"/>
      <c r="R2079" s="23"/>
      <c r="S2079" s="14"/>
    </row>
    <row r="2080" ht="18.75" customHeight="1">
      <c r="A2080" s="7" t="s">
        <v>1001</v>
      </c>
      <c r="B2080" s="7" t="s">
        <v>3883</v>
      </c>
      <c r="C2080" s="9">
        <v>745046.0</v>
      </c>
      <c r="D2080" s="9">
        <v>0.0</v>
      </c>
      <c r="E2080" s="9">
        <v>8398.0</v>
      </c>
      <c r="F2080" s="7" t="s">
        <v>1002</v>
      </c>
      <c r="G2080" s="7" t="s">
        <v>353</v>
      </c>
      <c r="H2080" s="7" t="s">
        <v>378</v>
      </c>
      <c r="I2080" s="7" t="s">
        <v>355</v>
      </c>
      <c r="J2080" s="14"/>
      <c r="K2080" s="14"/>
      <c r="O2080" s="22"/>
      <c r="P2080" s="22"/>
      <c r="Q2080" s="23"/>
      <c r="R2080" s="23"/>
      <c r="S2080" s="14"/>
    </row>
    <row r="2081" ht="18.75" customHeight="1">
      <c r="A2081" s="7" t="s">
        <v>1001</v>
      </c>
      <c r="B2081" s="7" t="s">
        <v>3883</v>
      </c>
      <c r="C2081" s="9">
        <v>71413.0</v>
      </c>
      <c r="D2081" s="9">
        <v>0.0</v>
      </c>
      <c r="E2081" s="9">
        <v>22739.0</v>
      </c>
      <c r="F2081" s="7" t="s">
        <v>1002</v>
      </c>
      <c r="G2081" s="7" t="s">
        <v>353</v>
      </c>
      <c r="H2081" s="7" t="s">
        <v>378</v>
      </c>
      <c r="I2081" s="7" t="s">
        <v>355</v>
      </c>
      <c r="J2081" s="14"/>
      <c r="K2081" s="14"/>
      <c r="O2081" s="22"/>
      <c r="P2081" s="22"/>
      <c r="Q2081" s="23"/>
      <c r="R2081" s="23"/>
      <c r="S2081" s="14"/>
    </row>
    <row r="2082" ht="18.75" customHeight="1">
      <c r="A2082" s="7" t="s">
        <v>1001</v>
      </c>
      <c r="B2082" s="7" t="s">
        <v>3883</v>
      </c>
      <c r="C2082" s="9">
        <v>521263.0</v>
      </c>
      <c r="D2082" s="9">
        <v>492699.0</v>
      </c>
      <c r="E2082" s="9">
        <v>127.0</v>
      </c>
      <c r="F2082" s="7" t="s">
        <v>1002</v>
      </c>
      <c r="G2082" s="7" t="s">
        <v>353</v>
      </c>
      <c r="H2082" s="7" t="s">
        <v>378</v>
      </c>
      <c r="I2082" s="7" t="s">
        <v>355</v>
      </c>
      <c r="J2082" s="14"/>
      <c r="K2082" s="14"/>
      <c r="O2082" s="22"/>
      <c r="P2082" s="22"/>
      <c r="Q2082" s="23"/>
      <c r="R2082" s="23"/>
      <c r="S2082" s="14"/>
    </row>
    <row r="2083" ht="18.75" customHeight="1">
      <c r="A2083" s="7" t="s">
        <v>1001</v>
      </c>
      <c r="B2083" s="7" t="s">
        <v>3883</v>
      </c>
      <c r="C2083" s="9">
        <v>501982.0</v>
      </c>
      <c r="D2083" s="9">
        <v>458085.0</v>
      </c>
      <c r="E2083" s="9">
        <v>76.0</v>
      </c>
      <c r="F2083" s="7" t="s">
        <v>1002</v>
      </c>
      <c r="G2083" s="7" t="s">
        <v>353</v>
      </c>
      <c r="H2083" s="7" t="s">
        <v>378</v>
      </c>
      <c r="I2083" s="7" t="s">
        <v>355</v>
      </c>
      <c r="J2083" s="14"/>
      <c r="K2083" s="14"/>
      <c r="O2083" s="22"/>
      <c r="P2083" s="22"/>
      <c r="Q2083" s="23"/>
      <c r="R2083" s="23"/>
      <c r="S2083" s="14"/>
    </row>
    <row r="2084" ht="18.75" customHeight="1">
      <c r="A2084" s="7" t="s">
        <v>1001</v>
      </c>
      <c r="B2084" s="7" t="s">
        <v>3883</v>
      </c>
      <c r="C2084" s="9">
        <v>103035.0</v>
      </c>
      <c r="D2084" s="9">
        <v>74641.0</v>
      </c>
      <c r="E2084" s="9">
        <v>80.0</v>
      </c>
      <c r="F2084" s="7" t="s">
        <v>1002</v>
      </c>
      <c r="G2084" s="7" t="s">
        <v>353</v>
      </c>
      <c r="H2084" s="7" t="s">
        <v>378</v>
      </c>
      <c r="I2084" s="7" t="s">
        <v>355</v>
      </c>
      <c r="J2084" s="14"/>
      <c r="K2084" s="14"/>
      <c r="O2084" s="22"/>
      <c r="P2084" s="22"/>
      <c r="Q2084" s="23"/>
      <c r="R2084" s="23"/>
      <c r="S2084" s="14"/>
    </row>
    <row r="2085" ht="18.75" customHeight="1">
      <c r="A2085" s="7" t="s">
        <v>1001</v>
      </c>
      <c r="B2085" s="7" t="s">
        <v>3883</v>
      </c>
      <c r="C2085" s="9">
        <v>67248.0</v>
      </c>
      <c r="D2085" s="9">
        <v>60084.0</v>
      </c>
      <c r="E2085" s="9">
        <v>67.0</v>
      </c>
      <c r="F2085" s="7" t="s">
        <v>1002</v>
      </c>
      <c r="G2085" s="7" t="s">
        <v>353</v>
      </c>
      <c r="H2085" s="7" t="s">
        <v>378</v>
      </c>
      <c r="I2085" s="7" t="s">
        <v>355</v>
      </c>
      <c r="J2085" s="14"/>
      <c r="K2085" s="14"/>
      <c r="O2085" s="22"/>
      <c r="P2085" s="22"/>
      <c r="Q2085" s="23"/>
      <c r="R2085" s="23"/>
      <c r="S2085" s="14"/>
    </row>
    <row r="2086" ht="18.75" customHeight="1">
      <c r="A2086" s="7" t="s">
        <v>1001</v>
      </c>
      <c r="B2086" s="7" t="s">
        <v>3883</v>
      </c>
      <c r="C2086" s="9">
        <v>0.0</v>
      </c>
      <c r="D2086" s="9">
        <v>0.0</v>
      </c>
      <c r="E2086" s="9">
        <v>0.0</v>
      </c>
      <c r="F2086" s="7" t="s">
        <v>1002</v>
      </c>
      <c r="G2086" s="7" t="s">
        <v>353</v>
      </c>
      <c r="H2086" s="7" t="s">
        <v>378</v>
      </c>
      <c r="I2086" s="7" t="s">
        <v>355</v>
      </c>
      <c r="J2086" s="14"/>
      <c r="K2086" s="14"/>
      <c r="O2086" s="22"/>
      <c r="P2086" s="22"/>
      <c r="Q2086" s="23"/>
      <c r="R2086" s="23"/>
      <c r="S2086" s="14"/>
    </row>
    <row r="2087" ht="18.75" customHeight="1">
      <c r="A2087" s="7" t="s">
        <v>834</v>
      </c>
      <c r="B2087" s="7" t="s">
        <v>3883</v>
      </c>
      <c r="C2087" s="9">
        <v>0.0</v>
      </c>
      <c r="D2087" s="9">
        <v>0.0</v>
      </c>
      <c r="E2087" s="9">
        <v>0.0</v>
      </c>
      <c r="F2087" s="7" t="s">
        <v>835</v>
      </c>
      <c r="G2087" s="7" t="s">
        <v>404</v>
      </c>
      <c r="H2087" s="7" t="s">
        <v>405</v>
      </c>
      <c r="I2087" s="7" t="s">
        <v>355</v>
      </c>
      <c r="J2087" s="14"/>
      <c r="K2087" s="14"/>
      <c r="O2087" s="22"/>
      <c r="P2087" s="22"/>
      <c r="Q2087" s="23"/>
      <c r="R2087" s="23"/>
      <c r="S2087" s="14"/>
    </row>
    <row r="2088" ht="18.75" customHeight="1">
      <c r="A2088" s="7" t="s">
        <v>963</v>
      </c>
      <c r="B2088" s="7" t="s">
        <v>3883</v>
      </c>
      <c r="C2088" s="9">
        <v>0.0</v>
      </c>
      <c r="D2088" s="9">
        <v>0.0</v>
      </c>
      <c r="E2088" s="9">
        <v>0.0</v>
      </c>
      <c r="F2088" s="7" t="s">
        <v>964</v>
      </c>
      <c r="G2088" s="7" t="s">
        <v>416</v>
      </c>
      <c r="H2088" s="7" t="s">
        <v>417</v>
      </c>
      <c r="I2088" s="7" t="s">
        <v>355</v>
      </c>
      <c r="J2088" s="14"/>
      <c r="K2088" s="14"/>
      <c r="O2088" s="22"/>
      <c r="P2088" s="22"/>
      <c r="Q2088" s="23"/>
      <c r="R2088" s="23"/>
      <c r="S2088" s="14"/>
    </row>
    <row r="2089" ht="18.75" customHeight="1">
      <c r="A2089" s="7" t="s">
        <v>991</v>
      </c>
      <c r="B2089" s="7" t="s">
        <v>3883</v>
      </c>
      <c r="C2089" s="9">
        <v>0.0</v>
      </c>
      <c r="D2089" s="9">
        <v>0.0</v>
      </c>
      <c r="E2089" s="9">
        <v>0.0</v>
      </c>
      <c r="F2089" s="7" t="s">
        <v>992</v>
      </c>
      <c r="G2089" s="7" t="s">
        <v>404</v>
      </c>
      <c r="H2089" s="7" t="s">
        <v>667</v>
      </c>
      <c r="I2089" s="7" t="s">
        <v>355</v>
      </c>
      <c r="J2089" s="14"/>
      <c r="K2089" s="14"/>
      <c r="O2089" s="22"/>
      <c r="P2089" s="22"/>
      <c r="Q2089" s="23"/>
      <c r="R2089" s="23"/>
      <c r="S2089" s="14"/>
    </row>
    <row r="2090" ht="18.75" customHeight="1">
      <c r="A2090" s="7" t="s">
        <v>351</v>
      </c>
      <c r="B2090" s="7" t="s">
        <v>3883</v>
      </c>
      <c r="C2090" s="9">
        <v>0.0</v>
      </c>
      <c r="D2090" s="9">
        <v>0.0</v>
      </c>
      <c r="E2090" s="9">
        <v>0.0</v>
      </c>
      <c r="F2090" s="7" t="s">
        <v>352</v>
      </c>
      <c r="G2090" s="7" t="s">
        <v>353</v>
      </c>
      <c r="H2090" s="7" t="s">
        <v>354</v>
      </c>
      <c r="I2090" s="7" t="s">
        <v>410</v>
      </c>
      <c r="J2090" s="14"/>
      <c r="K2090" s="14"/>
      <c r="O2090" s="22"/>
      <c r="P2090" s="22"/>
      <c r="Q2090" s="23"/>
      <c r="R2090" s="23"/>
      <c r="S2090" s="14"/>
    </row>
    <row r="2091" ht="18.75" customHeight="1">
      <c r="A2091" s="7" t="s">
        <v>1155</v>
      </c>
      <c r="B2091" s="7" t="s">
        <v>3883</v>
      </c>
      <c r="C2091" s="9">
        <v>0.0</v>
      </c>
      <c r="D2091" s="9">
        <v>0.0</v>
      </c>
      <c r="E2091" s="9">
        <v>0.0</v>
      </c>
      <c r="F2091" s="7" t="s">
        <v>1156</v>
      </c>
      <c r="G2091" s="7" t="s">
        <v>358</v>
      </c>
      <c r="H2091" s="7" t="s">
        <v>359</v>
      </c>
      <c r="I2091" s="7" t="s">
        <v>355</v>
      </c>
      <c r="J2091" s="14"/>
      <c r="K2091" s="14"/>
      <c r="O2091" s="22"/>
      <c r="P2091" s="22"/>
      <c r="Q2091" s="23"/>
      <c r="R2091" s="23"/>
      <c r="S2091" s="14"/>
    </row>
    <row r="2092" ht="18.75" customHeight="1">
      <c r="A2092" s="7" t="s">
        <v>1001</v>
      </c>
      <c r="B2092" s="7" t="s">
        <v>3883</v>
      </c>
      <c r="C2092" s="9">
        <v>0.0</v>
      </c>
      <c r="D2092" s="9">
        <v>0.0</v>
      </c>
      <c r="E2092" s="9">
        <v>0.0</v>
      </c>
      <c r="F2092" s="7" t="s">
        <v>1002</v>
      </c>
      <c r="G2092" s="7" t="s">
        <v>353</v>
      </c>
      <c r="H2092" s="7" t="s">
        <v>378</v>
      </c>
      <c r="I2092" s="7" t="s">
        <v>355</v>
      </c>
      <c r="J2092" s="14"/>
      <c r="K2092" s="14"/>
      <c r="O2092" s="22"/>
      <c r="P2092" s="22"/>
      <c r="Q2092" s="23"/>
      <c r="R2092" s="23"/>
      <c r="S2092" s="14"/>
    </row>
    <row r="2093" ht="18.75" customHeight="1">
      <c r="A2093" s="7" t="s">
        <v>1001</v>
      </c>
      <c r="B2093" s="7" t="s">
        <v>3883</v>
      </c>
      <c r="C2093" s="9">
        <v>0.0</v>
      </c>
      <c r="D2093" s="9">
        <v>0.0</v>
      </c>
      <c r="E2093" s="9">
        <v>0.0</v>
      </c>
      <c r="F2093" s="7" t="s">
        <v>1002</v>
      </c>
      <c r="G2093" s="7" t="s">
        <v>353</v>
      </c>
      <c r="H2093" s="7" t="s">
        <v>378</v>
      </c>
      <c r="I2093" s="7" t="s">
        <v>355</v>
      </c>
      <c r="J2093" s="14"/>
      <c r="K2093" s="14"/>
      <c r="O2093" s="22"/>
      <c r="P2093" s="22"/>
      <c r="Q2093" s="23"/>
      <c r="R2093" s="23"/>
      <c r="S2093" s="14"/>
    </row>
    <row r="2094" ht="18.75" customHeight="1">
      <c r="A2094" s="7" t="s">
        <v>1001</v>
      </c>
      <c r="B2094" s="7" t="s">
        <v>3883</v>
      </c>
      <c r="C2094" s="9">
        <v>0.0</v>
      </c>
      <c r="D2094" s="9">
        <v>0.0</v>
      </c>
      <c r="E2094" s="9">
        <v>0.0</v>
      </c>
      <c r="F2094" s="7" t="s">
        <v>1002</v>
      </c>
      <c r="G2094" s="7" t="s">
        <v>353</v>
      </c>
      <c r="H2094" s="7" t="s">
        <v>378</v>
      </c>
      <c r="I2094" s="7" t="s">
        <v>355</v>
      </c>
      <c r="J2094" s="14"/>
      <c r="K2094" s="14"/>
      <c r="O2094" s="22"/>
      <c r="P2094" s="22"/>
      <c r="Q2094" s="23"/>
      <c r="R2094" s="23"/>
      <c r="S2094" s="14"/>
    </row>
    <row r="2095" ht="18.75" customHeight="1">
      <c r="A2095" s="7" t="s">
        <v>1001</v>
      </c>
      <c r="B2095" s="7" t="s">
        <v>3883</v>
      </c>
      <c r="C2095" s="9">
        <v>0.0</v>
      </c>
      <c r="D2095" s="9">
        <v>0.0</v>
      </c>
      <c r="E2095" s="9">
        <v>0.0</v>
      </c>
      <c r="F2095" s="7" t="s">
        <v>1002</v>
      </c>
      <c r="G2095" s="7" t="s">
        <v>353</v>
      </c>
      <c r="H2095" s="7" t="s">
        <v>378</v>
      </c>
      <c r="I2095" s="7" t="s">
        <v>355</v>
      </c>
      <c r="J2095" s="14"/>
      <c r="K2095" s="14"/>
      <c r="O2095" s="22"/>
      <c r="P2095" s="22"/>
      <c r="Q2095" s="23"/>
      <c r="R2095" s="23"/>
      <c r="S2095" s="14"/>
    </row>
    <row r="2096" ht="18.75" customHeight="1">
      <c r="A2096" s="7" t="s">
        <v>1001</v>
      </c>
      <c r="B2096" s="7" t="s">
        <v>3883</v>
      </c>
      <c r="C2096" s="9">
        <v>0.0</v>
      </c>
      <c r="D2096" s="9">
        <v>0.0</v>
      </c>
      <c r="E2096" s="9">
        <v>0.0</v>
      </c>
      <c r="F2096" s="7" t="s">
        <v>1002</v>
      </c>
      <c r="G2096" s="7" t="s">
        <v>353</v>
      </c>
      <c r="H2096" s="7" t="s">
        <v>378</v>
      </c>
      <c r="I2096" s="7" t="s">
        <v>355</v>
      </c>
      <c r="J2096" s="14"/>
      <c r="K2096" s="14"/>
      <c r="O2096" s="22"/>
      <c r="P2096" s="22"/>
      <c r="Q2096" s="23"/>
      <c r="R2096" s="23"/>
      <c r="S2096" s="14"/>
    </row>
    <row r="2097" ht="18.75" customHeight="1">
      <c r="A2097" s="7" t="s">
        <v>1001</v>
      </c>
      <c r="B2097" s="7" t="s">
        <v>3883</v>
      </c>
      <c r="C2097" s="9">
        <v>0.0</v>
      </c>
      <c r="D2097" s="9">
        <v>0.0</v>
      </c>
      <c r="E2097" s="9">
        <v>0.0</v>
      </c>
      <c r="F2097" s="7" t="s">
        <v>1002</v>
      </c>
      <c r="G2097" s="7" t="s">
        <v>353</v>
      </c>
      <c r="H2097" s="7" t="s">
        <v>378</v>
      </c>
      <c r="I2097" s="7" t="s">
        <v>355</v>
      </c>
      <c r="J2097" s="14"/>
      <c r="K2097" s="14"/>
      <c r="O2097" s="22"/>
      <c r="P2097" s="22"/>
      <c r="Q2097" s="23"/>
      <c r="R2097" s="23"/>
      <c r="S2097" s="14"/>
    </row>
    <row r="2098" ht="18.75" customHeight="1">
      <c r="A2098" s="7" t="s">
        <v>1001</v>
      </c>
      <c r="B2098" s="7" t="s">
        <v>3883</v>
      </c>
      <c r="C2098" s="9">
        <v>0.0</v>
      </c>
      <c r="D2098" s="9">
        <v>0.0</v>
      </c>
      <c r="E2098" s="9">
        <v>0.0</v>
      </c>
      <c r="F2098" s="7" t="s">
        <v>1002</v>
      </c>
      <c r="G2098" s="7" t="s">
        <v>353</v>
      </c>
      <c r="H2098" s="7" t="s">
        <v>378</v>
      </c>
      <c r="I2098" s="7" t="s">
        <v>355</v>
      </c>
      <c r="J2098" s="14"/>
      <c r="K2098" s="14"/>
      <c r="O2098" s="22"/>
      <c r="P2098" s="22"/>
      <c r="Q2098" s="23"/>
      <c r="R2098" s="23"/>
      <c r="S2098" s="14"/>
    </row>
    <row r="2099" ht="18.75" customHeight="1">
      <c r="A2099" s="7" t="s">
        <v>1077</v>
      </c>
      <c r="B2099" s="7" t="s">
        <v>3883</v>
      </c>
      <c r="C2099" s="9">
        <v>0.0</v>
      </c>
      <c r="D2099" s="9">
        <v>0.0</v>
      </c>
      <c r="E2099" s="9">
        <v>0.0</v>
      </c>
      <c r="F2099" s="7" t="s">
        <v>1078</v>
      </c>
      <c r="G2099" s="7" t="s">
        <v>353</v>
      </c>
      <c r="H2099" s="7" t="s">
        <v>378</v>
      </c>
      <c r="I2099" s="7" t="s">
        <v>355</v>
      </c>
      <c r="J2099" s="14"/>
      <c r="K2099" s="14"/>
      <c r="O2099" s="22"/>
      <c r="P2099" s="22"/>
      <c r="Q2099" s="23"/>
      <c r="R2099" s="23"/>
      <c r="S2099" s="14"/>
    </row>
    <row r="2100" ht="18.75" customHeight="1">
      <c r="A2100" s="7" t="s">
        <v>1077</v>
      </c>
      <c r="B2100" s="7" t="s">
        <v>3883</v>
      </c>
      <c r="C2100" s="9">
        <v>0.0</v>
      </c>
      <c r="D2100" s="9">
        <v>0.0</v>
      </c>
      <c r="E2100" s="9">
        <v>0.0</v>
      </c>
      <c r="F2100" s="7" t="s">
        <v>1078</v>
      </c>
      <c r="G2100" s="7" t="s">
        <v>353</v>
      </c>
      <c r="H2100" s="7" t="s">
        <v>378</v>
      </c>
      <c r="I2100" s="7" t="s">
        <v>355</v>
      </c>
      <c r="J2100" s="14"/>
      <c r="K2100" s="14"/>
      <c r="O2100" s="22"/>
      <c r="P2100" s="22"/>
      <c r="Q2100" s="23"/>
      <c r="R2100" s="23"/>
      <c r="S2100" s="14"/>
    </row>
    <row r="2101" ht="18.75" customHeight="1">
      <c r="A2101" s="7" t="s">
        <v>362</v>
      </c>
      <c r="B2101" s="7" t="s">
        <v>3883</v>
      </c>
      <c r="C2101" s="9">
        <v>1461595.0</v>
      </c>
      <c r="D2101" s="9">
        <v>0.0</v>
      </c>
      <c r="E2101" s="9">
        <v>46274.0</v>
      </c>
      <c r="F2101" s="7" t="s">
        <v>363</v>
      </c>
      <c r="G2101" s="7" t="s">
        <v>364</v>
      </c>
      <c r="H2101" s="7" t="s">
        <v>365</v>
      </c>
      <c r="I2101" s="7" t="s">
        <v>355</v>
      </c>
      <c r="J2101" s="14"/>
      <c r="K2101" s="14"/>
      <c r="O2101" s="22"/>
      <c r="P2101" s="22"/>
      <c r="Q2101" s="23"/>
      <c r="R2101" s="23"/>
      <c r="S2101" s="14"/>
    </row>
    <row r="2102" ht="18.75" customHeight="1">
      <c r="A2102" s="7" t="s">
        <v>362</v>
      </c>
      <c r="B2102" s="7" t="s">
        <v>3883</v>
      </c>
      <c r="C2102" s="9">
        <v>1284630.0</v>
      </c>
      <c r="D2102" s="9">
        <v>0.0</v>
      </c>
      <c r="E2102" s="9">
        <v>44195.0</v>
      </c>
      <c r="F2102" s="7" t="s">
        <v>363</v>
      </c>
      <c r="G2102" s="7" t="s">
        <v>364</v>
      </c>
      <c r="H2102" s="7" t="s">
        <v>365</v>
      </c>
      <c r="I2102" s="7" t="s">
        <v>355</v>
      </c>
      <c r="J2102" s="14"/>
      <c r="K2102" s="14"/>
      <c r="O2102" s="22"/>
      <c r="P2102" s="22"/>
      <c r="Q2102" s="23"/>
      <c r="R2102" s="23"/>
      <c r="S2102" s="14"/>
    </row>
    <row r="2103" ht="18.75" customHeight="1">
      <c r="A2103" s="7" t="s">
        <v>362</v>
      </c>
      <c r="B2103" s="7" t="s">
        <v>3883</v>
      </c>
      <c r="C2103" s="9">
        <v>1303815.0</v>
      </c>
      <c r="D2103" s="9">
        <v>52334.0</v>
      </c>
      <c r="E2103" s="9">
        <v>1269.0</v>
      </c>
      <c r="F2103" s="7" t="s">
        <v>363</v>
      </c>
      <c r="G2103" s="7" t="s">
        <v>364</v>
      </c>
      <c r="H2103" s="7" t="s">
        <v>365</v>
      </c>
      <c r="I2103" s="7" t="s">
        <v>355</v>
      </c>
      <c r="J2103" s="14"/>
      <c r="K2103" s="14"/>
      <c r="O2103" s="22"/>
      <c r="P2103" s="22"/>
      <c r="Q2103" s="23"/>
      <c r="R2103" s="23"/>
      <c r="S2103" s="14"/>
    </row>
    <row r="2104" ht="18.75" customHeight="1">
      <c r="A2104" s="7" t="s">
        <v>362</v>
      </c>
      <c r="B2104" s="7" t="s">
        <v>3883</v>
      </c>
      <c r="C2104" s="9">
        <v>965750.0</v>
      </c>
      <c r="D2104" s="9">
        <v>62144.0</v>
      </c>
      <c r="E2104" s="9">
        <v>991.0</v>
      </c>
      <c r="F2104" s="7" t="s">
        <v>363</v>
      </c>
      <c r="G2104" s="7" t="s">
        <v>364</v>
      </c>
      <c r="H2104" s="7" t="s">
        <v>365</v>
      </c>
      <c r="I2104" s="7" t="s">
        <v>355</v>
      </c>
      <c r="J2104" s="14"/>
      <c r="K2104" s="14"/>
      <c r="O2104" s="22"/>
      <c r="P2104" s="22"/>
      <c r="Q2104" s="23"/>
      <c r="R2104" s="23"/>
      <c r="S2104" s="14"/>
    </row>
    <row r="2105" ht="18.75" customHeight="1">
      <c r="A2105" s="7" t="s">
        <v>422</v>
      </c>
      <c r="B2105" s="7" t="s">
        <v>3883</v>
      </c>
      <c r="C2105" s="9">
        <v>3702299.0</v>
      </c>
      <c r="D2105" s="9">
        <v>0.0</v>
      </c>
      <c r="E2105" s="9">
        <v>59088.0</v>
      </c>
      <c r="F2105" s="7" t="s">
        <v>423</v>
      </c>
      <c r="G2105" s="7" t="s">
        <v>404</v>
      </c>
      <c r="H2105" s="7" t="s">
        <v>405</v>
      </c>
      <c r="I2105" s="7" t="s">
        <v>355</v>
      </c>
      <c r="J2105" s="14"/>
      <c r="K2105" s="14"/>
      <c r="O2105" s="22"/>
      <c r="P2105" s="22"/>
      <c r="Q2105" s="23"/>
      <c r="R2105" s="23"/>
      <c r="S2105" s="14"/>
    </row>
    <row r="2106" ht="18.75" customHeight="1">
      <c r="A2106" s="7" t="s">
        <v>422</v>
      </c>
      <c r="B2106" s="7" t="s">
        <v>3883</v>
      </c>
      <c r="C2106" s="9">
        <v>104160.0</v>
      </c>
      <c r="D2106" s="9">
        <v>0.0</v>
      </c>
      <c r="E2106" s="9">
        <v>19698.0</v>
      </c>
      <c r="F2106" s="7" t="s">
        <v>423</v>
      </c>
      <c r="G2106" s="7" t="s">
        <v>404</v>
      </c>
      <c r="H2106" s="7" t="s">
        <v>405</v>
      </c>
      <c r="I2106" s="7" t="s">
        <v>355</v>
      </c>
      <c r="J2106" s="14"/>
      <c r="K2106" s="14"/>
      <c r="O2106" s="22"/>
      <c r="P2106" s="22"/>
      <c r="Q2106" s="23"/>
      <c r="R2106" s="23"/>
      <c r="S2106" s="14"/>
    </row>
    <row r="2107" ht="18.75" customHeight="1">
      <c r="A2107" s="7" t="s">
        <v>422</v>
      </c>
      <c r="B2107" s="7" t="s">
        <v>3883</v>
      </c>
      <c r="C2107" s="9">
        <v>481322.0</v>
      </c>
      <c r="D2107" s="9">
        <v>0.0</v>
      </c>
      <c r="E2107" s="9">
        <v>0.0</v>
      </c>
      <c r="F2107" s="7" t="s">
        <v>423</v>
      </c>
      <c r="G2107" s="7" t="s">
        <v>404</v>
      </c>
      <c r="H2107" s="7" t="s">
        <v>405</v>
      </c>
      <c r="I2107" s="7" t="s">
        <v>355</v>
      </c>
      <c r="J2107" s="14"/>
      <c r="K2107" s="14"/>
      <c r="O2107" s="22"/>
      <c r="P2107" s="22"/>
      <c r="Q2107" s="23"/>
      <c r="R2107" s="23"/>
      <c r="S2107" s="14"/>
    </row>
    <row r="2108" ht="18.75" customHeight="1">
      <c r="A2108" s="7" t="s">
        <v>422</v>
      </c>
      <c r="B2108" s="7" t="s">
        <v>3883</v>
      </c>
      <c r="C2108" s="9">
        <v>192581.0</v>
      </c>
      <c r="D2108" s="9">
        <v>17308.0</v>
      </c>
      <c r="E2108" s="9">
        <v>651.0</v>
      </c>
      <c r="F2108" s="7" t="s">
        <v>423</v>
      </c>
      <c r="G2108" s="7" t="s">
        <v>404</v>
      </c>
      <c r="H2108" s="7" t="s">
        <v>405</v>
      </c>
      <c r="I2108" s="7" t="s">
        <v>355</v>
      </c>
      <c r="J2108" s="14"/>
      <c r="K2108" s="14"/>
      <c r="O2108" s="22"/>
      <c r="P2108" s="22"/>
      <c r="Q2108" s="23"/>
      <c r="R2108" s="23"/>
      <c r="S2108" s="14"/>
    </row>
    <row r="2109" ht="18.75" customHeight="1">
      <c r="A2109" s="7" t="s">
        <v>422</v>
      </c>
      <c r="B2109" s="7" t="s">
        <v>3883</v>
      </c>
      <c r="C2109" s="9">
        <v>1118773.0</v>
      </c>
      <c r="D2109" s="9">
        <v>695581.0</v>
      </c>
      <c r="E2109" s="9">
        <v>1562.0</v>
      </c>
      <c r="F2109" s="7" t="s">
        <v>423</v>
      </c>
      <c r="G2109" s="7" t="s">
        <v>404</v>
      </c>
      <c r="H2109" s="7" t="s">
        <v>405</v>
      </c>
      <c r="I2109" s="7" t="s">
        <v>355</v>
      </c>
      <c r="J2109" s="14"/>
      <c r="K2109" s="14"/>
      <c r="O2109" s="22"/>
      <c r="P2109" s="22"/>
      <c r="Q2109" s="23"/>
      <c r="R2109" s="23"/>
      <c r="S2109" s="14"/>
    </row>
    <row r="2110" ht="18.75" customHeight="1">
      <c r="A2110" s="7" t="s">
        <v>422</v>
      </c>
      <c r="B2110" s="7" t="s">
        <v>3883</v>
      </c>
      <c r="C2110" s="9">
        <v>760148.0</v>
      </c>
      <c r="D2110" s="9">
        <v>0.0</v>
      </c>
      <c r="E2110" s="9">
        <v>117.0</v>
      </c>
      <c r="F2110" s="7" t="s">
        <v>423</v>
      </c>
      <c r="G2110" s="7" t="s">
        <v>404</v>
      </c>
      <c r="H2110" s="7" t="s">
        <v>405</v>
      </c>
      <c r="I2110" s="7" t="s">
        <v>355</v>
      </c>
      <c r="J2110" s="14"/>
      <c r="K2110" s="14"/>
      <c r="O2110" s="22"/>
      <c r="P2110" s="22"/>
      <c r="Q2110" s="23"/>
      <c r="R2110" s="23"/>
      <c r="S2110" s="14"/>
    </row>
    <row r="2111" ht="18.75" customHeight="1">
      <c r="A2111" s="7" t="s">
        <v>422</v>
      </c>
      <c r="B2111" s="7" t="s">
        <v>3883</v>
      </c>
      <c r="C2111" s="9">
        <v>465781.0</v>
      </c>
      <c r="D2111" s="9">
        <v>0.0</v>
      </c>
      <c r="E2111" s="9">
        <v>28.0</v>
      </c>
      <c r="F2111" s="7" t="s">
        <v>423</v>
      </c>
      <c r="G2111" s="7" t="s">
        <v>404</v>
      </c>
      <c r="H2111" s="7" t="s">
        <v>405</v>
      </c>
      <c r="I2111" s="7" t="s">
        <v>355</v>
      </c>
      <c r="J2111" s="14"/>
      <c r="K2111" s="14"/>
      <c r="O2111" s="22"/>
      <c r="P2111" s="22"/>
      <c r="Q2111" s="23"/>
      <c r="R2111" s="23"/>
      <c r="S2111" s="14"/>
    </row>
    <row r="2112" ht="18.75" customHeight="1">
      <c r="A2112" s="7" t="s">
        <v>464</v>
      </c>
      <c r="B2112" s="7" t="s">
        <v>3883</v>
      </c>
      <c r="C2112" s="9">
        <v>347884.0</v>
      </c>
      <c r="D2112" s="9">
        <v>297680.0</v>
      </c>
      <c r="E2112" s="9">
        <v>122.0</v>
      </c>
      <c r="F2112" s="7" t="s">
        <v>465</v>
      </c>
      <c r="G2112" s="7" t="s">
        <v>358</v>
      </c>
      <c r="H2112" s="7" t="s">
        <v>466</v>
      </c>
      <c r="I2112" s="7" t="s">
        <v>355</v>
      </c>
      <c r="J2112" s="14"/>
      <c r="K2112" s="14"/>
      <c r="O2112" s="22"/>
      <c r="P2112" s="22"/>
      <c r="Q2112" s="23"/>
      <c r="R2112" s="23"/>
      <c r="S2112" s="14"/>
    </row>
    <row r="2113" ht="18.75" customHeight="1">
      <c r="A2113" s="7" t="s">
        <v>467</v>
      </c>
      <c r="B2113" s="7" t="s">
        <v>3883</v>
      </c>
      <c r="C2113" s="9">
        <v>264648.0</v>
      </c>
      <c r="D2113" s="9">
        <v>237340.0</v>
      </c>
      <c r="E2113" s="9">
        <v>149.0</v>
      </c>
      <c r="F2113" s="7" t="s">
        <v>468</v>
      </c>
      <c r="G2113" s="7" t="s">
        <v>358</v>
      </c>
      <c r="H2113" s="7" t="s">
        <v>466</v>
      </c>
      <c r="I2113" s="7" t="s">
        <v>355</v>
      </c>
      <c r="J2113" s="14"/>
      <c r="K2113" s="14"/>
      <c r="O2113" s="22"/>
      <c r="P2113" s="22"/>
      <c r="Q2113" s="23"/>
      <c r="R2113" s="23"/>
      <c r="S2113" s="14"/>
    </row>
    <row r="2114" ht="18.75" customHeight="1">
      <c r="A2114" s="7" t="s">
        <v>483</v>
      </c>
      <c r="B2114" s="7" t="s">
        <v>3883</v>
      </c>
      <c r="C2114" s="9">
        <v>11.0</v>
      </c>
      <c r="D2114" s="9">
        <v>0.0</v>
      </c>
      <c r="E2114" s="9">
        <v>0.0</v>
      </c>
      <c r="F2114" s="7" t="s">
        <v>484</v>
      </c>
      <c r="G2114" s="7" t="s">
        <v>364</v>
      </c>
      <c r="H2114" s="7" t="s">
        <v>365</v>
      </c>
      <c r="I2114" s="7" t="s">
        <v>355</v>
      </c>
      <c r="J2114" s="14"/>
      <c r="K2114" s="14"/>
      <c r="O2114" s="22"/>
      <c r="P2114" s="22"/>
      <c r="Q2114" s="23"/>
      <c r="R2114" s="23"/>
      <c r="S2114" s="14"/>
    </row>
    <row r="2115" ht="18.75" customHeight="1">
      <c r="A2115" s="7" t="s">
        <v>3010</v>
      </c>
      <c r="B2115" s="7" t="s">
        <v>3883</v>
      </c>
      <c r="C2115" s="9">
        <v>592286.0</v>
      </c>
      <c r="D2115" s="9">
        <v>0.0</v>
      </c>
      <c r="E2115" s="9">
        <v>19948.0</v>
      </c>
      <c r="F2115" s="7" t="s">
        <v>3877</v>
      </c>
      <c r="G2115" s="7" t="s">
        <v>358</v>
      </c>
      <c r="H2115" s="7" t="s">
        <v>365</v>
      </c>
      <c r="I2115" s="7" t="s">
        <v>355</v>
      </c>
      <c r="J2115" s="14"/>
      <c r="K2115" s="14"/>
      <c r="O2115" s="22"/>
      <c r="P2115" s="22"/>
      <c r="Q2115" s="23"/>
      <c r="R2115" s="23"/>
      <c r="S2115" s="14"/>
    </row>
    <row r="2116" ht="18.75" customHeight="1">
      <c r="A2116" s="7" t="s">
        <v>3749</v>
      </c>
      <c r="B2116" s="7" t="s">
        <v>3883</v>
      </c>
      <c r="C2116" s="9">
        <v>240289.0</v>
      </c>
      <c r="D2116" s="9">
        <v>0.0</v>
      </c>
      <c r="E2116" s="9">
        <v>13237.0</v>
      </c>
      <c r="F2116" s="7" t="s">
        <v>3885</v>
      </c>
      <c r="G2116" s="7" t="s">
        <v>353</v>
      </c>
      <c r="H2116" s="7" t="s">
        <v>413</v>
      </c>
      <c r="I2116" s="7" t="s">
        <v>3886</v>
      </c>
      <c r="J2116" s="14"/>
      <c r="K2116" s="14"/>
      <c r="O2116" s="22"/>
      <c r="P2116" s="22"/>
      <c r="Q2116" s="23"/>
      <c r="R2116" s="23"/>
      <c r="S2116" s="14"/>
    </row>
    <row r="2117" ht="18.75" customHeight="1">
      <c r="A2117" s="7" t="s">
        <v>433</v>
      </c>
      <c r="B2117" s="7" t="s">
        <v>3883</v>
      </c>
      <c r="C2117" s="9">
        <v>313691.0</v>
      </c>
      <c r="D2117" s="9">
        <v>14762.0</v>
      </c>
      <c r="E2117" s="9">
        <v>682.0</v>
      </c>
      <c r="F2117" s="7" t="s">
        <v>434</v>
      </c>
      <c r="G2117" s="7" t="s">
        <v>404</v>
      </c>
      <c r="H2117" s="7" t="s">
        <v>405</v>
      </c>
      <c r="I2117" s="7" t="s">
        <v>355</v>
      </c>
      <c r="J2117" s="14"/>
      <c r="K2117" s="14"/>
      <c r="O2117" s="22"/>
      <c r="P2117" s="22"/>
      <c r="Q2117" s="23"/>
      <c r="R2117" s="23"/>
      <c r="S2117" s="14"/>
    </row>
    <row r="2118" ht="18.75" customHeight="1">
      <c r="A2118" s="7" t="s">
        <v>433</v>
      </c>
      <c r="B2118" s="7" t="s">
        <v>3883</v>
      </c>
      <c r="C2118" s="9">
        <v>157959.0</v>
      </c>
      <c r="D2118" s="9">
        <v>111846.0</v>
      </c>
      <c r="E2118" s="9">
        <v>190.0</v>
      </c>
      <c r="F2118" s="7" t="s">
        <v>434</v>
      </c>
      <c r="G2118" s="7" t="s">
        <v>404</v>
      </c>
      <c r="H2118" s="7" t="s">
        <v>405</v>
      </c>
      <c r="I2118" s="7" t="s">
        <v>355</v>
      </c>
      <c r="J2118" s="14"/>
      <c r="K2118" s="14"/>
      <c r="O2118" s="22"/>
      <c r="P2118" s="22"/>
      <c r="Q2118" s="23"/>
      <c r="R2118" s="23"/>
      <c r="S2118" s="14"/>
    </row>
    <row r="2119" ht="18.75" customHeight="1">
      <c r="A2119" s="7" t="s">
        <v>441</v>
      </c>
      <c r="B2119" s="7" t="s">
        <v>3883</v>
      </c>
      <c r="C2119" s="9">
        <v>360289.0</v>
      </c>
      <c r="D2119" s="9">
        <v>0.0</v>
      </c>
      <c r="E2119" s="9">
        <v>22320.0</v>
      </c>
      <c r="F2119" s="7" t="s">
        <v>442</v>
      </c>
      <c r="G2119" s="7" t="s">
        <v>364</v>
      </c>
      <c r="H2119" s="7" t="s">
        <v>365</v>
      </c>
      <c r="I2119" s="7" t="s">
        <v>355</v>
      </c>
      <c r="J2119" s="14"/>
      <c r="K2119" s="14"/>
      <c r="O2119" s="22"/>
      <c r="P2119" s="22"/>
      <c r="Q2119" s="23"/>
      <c r="R2119" s="23"/>
      <c r="S2119" s="14"/>
    </row>
    <row r="2120" ht="18.75" customHeight="1">
      <c r="A2120" s="7" t="s">
        <v>441</v>
      </c>
      <c r="B2120" s="7" t="s">
        <v>3883</v>
      </c>
      <c r="C2120" s="9">
        <v>179359.0</v>
      </c>
      <c r="D2120" s="9">
        <v>0.0</v>
      </c>
      <c r="E2120" s="9">
        <v>16515.0</v>
      </c>
      <c r="F2120" s="7" t="s">
        <v>442</v>
      </c>
      <c r="G2120" s="7" t="s">
        <v>364</v>
      </c>
      <c r="H2120" s="7" t="s">
        <v>365</v>
      </c>
      <c r="I2120" s="7" t="s">
        <v>355</v>
      </c>
      <c r="J2120" s="14"/>
      <c r="K2120" s="14"/>
      <c r="O2120" s="22"/>
      <c r="P2120" s="22"/>
      <c r="Q2120" s="23"/>
      <c r="R2120" s="23"/>
      <c r="S2120" s="14"/>
    </row>
    <row r="2121" ht="18.75" customHeight="1">
      <c r="A2121" s="7" t="s">
        <v>489</v>
      </c>
      <c r="B2121" s="7" t="s">
        <v>3883</v>
      </c>
      <c r="C2121" s="9">
        <v>194376.0</v>
      </c>
      <c r="D2121" s="9">
        <v>0.0</v>
      </c>
      <c r="E2121" s="9">
        <v>6213.0</v>
      </c>
      <c r="F2121" s="7" t="s">
        <v>490</v>
      </c>
      <c r="G2121" s="7" t="s">
        <v>364</v>
      </c>
      <c r="H2121" s="7" t="s">
        <v>365</v>
      </c>
      <c r="I2121" s="7" t="s">
        <v>355</v>
      </c>
      <c r="J2121" s="14"/>
      <c r="K2121" s="14"/>
      <c r="O2121" s="22"/>
      <c r="P2121" s="22"/>
      <c r="Q2121" s="23"/>
      <c r="R2121" s="23"/>
      <c r="S2121" s="14"/>
    </row>
    <row r="2122" ht="18.75" customHeight="1">
      <c r="A2122" s="7" t="s">
        <v>489</v>
      </c>
      <c r="B2122" s="7" t="s">
        <v>3883</v>
      </c>
      <c r="C2122" s="9">
        <v>100766.0</v>
      </c>
      <c r="D2122" s="9">
        <v>83612.0</v>
      </c>
      <c r="E2122" s="9">
        <v>88.0</v>
      </c>
      <c r="F2122" s="7" t="s">
        <v>490</v>
      </c>
      <c r="G2122" s="7" t="s">
        <v>364</v>
      </c>
      <c r="H2122" s="7" t="s">
        <v>365</v>
      </c>
      <c r="I2122" s="7" t="s">
        <v>355</v>
      </c>
      <c r="J2122" s="14"/>
      <c r="K2122" s="14"/>
      <c r="O2122" s="22"/>
      <c r="P2122" s="22"/>
      <c r="Q2122" s="23"/>
      <c r="R2122" s="23"/>
      <c r="S2122" s="14"/>
    </row>
    <row r="2123" ht="18.75" customHeight="1">
      <c r="A2123" s="7" t="s">
        <v>431</v>
      </c>
      <c r="B2123" s="7" t="s">
        <v>3883</v>
      </c>
      <c r="C2123" s="9">
        <v>48493.0</v>
      </c>
      <c r="D2123" s="9">
        <v>1337.0</v>
      </c>
      <c r="E2123" s="9">
        <v>176.0</v>
      </c>
      <c r="F2123" s="7" t="s">
        <v>432</v>
      </c>
      <c r="G2123" s="7" t="s">
        <v>404</v>
      </c>
      <c r="H2123" s="7" t="s">
        <v>405</v>
      </c>
      <c r="I2123" s="7" t="s">
        <v>355</v>
      </c>
      <c r="J2123" s="14"/>
      <c r="K2123" s="14"/>
      <c r="O2123" s="22"/>
      <c r="P2123" s="22"/>
      <c r="Q2123" s="23"/>
      <c r="R2123" s="23"/>
      <c r="S2123" s="14"/>
    </row>
    <row r="2124" ht="18.75" customHeight="1">
      <c r="A2124" s="7" t="s">
        <v>431</v>
      </c>
      <c r="B2124" s="7" t="s">
        <v>3883</v>
      </c>
      <c r="C2124" s="9">
        <v>2359.0</v>
      </c>
      <c r="D2124" s="9">
        <v>68.0</v>
      </c>
      <c r="E2124" s="9">
        <v>7.0</v>
      </c>
      <c r="F2124" s="7" t="s">
        <v>432</v>
      </c>
      <c r="G2124" s="7" t="s">
        <v>404</v>
      </c>
      <c r="H2124" s="7" t="s">
        <v>405</v>
      </c>
      <c r="I2124" s="7" t="s">
        <v>355</v>
      </c>
      <c r="J2124" s="14"/>
      <c r="K2124" s="14"/>
      <c r="O2124" s="22"/>
      <c r="P2124" s="22"/>
      <c r="Q2124" s="23"/>
      <c r="R2124" s="23"/>
      <c r="S2124" s="14"/>
    </row>
    <row r="2125" ht="18.75" customHeight="1">
      <c r="A2125" s="7" t="s">
        <v>431</v>
      </c>
      <c r="B2125" s="7" t="s">
        <v>3883</v>
      </c>
      <c r="C2125" s="9">
        <v>221477.0</v>
      </c>
      <c r="D2125" s="9">
        <v>11740.0</v>
      </c>
      <c r="E2125" s="9">
        <v>347.0</v>
      </c>
      <c r="F2125" s="7" t="s">
        <v>432</v>
      </c>
      <c r="G2125" s="7" t="s">
        <v>404</v>
      </c>
      <c r="H2125" s="7" t="s">
        <v>405</v>
      </c>
      <c r="I2125" s="7" t="s">
        <v>355</v>
      </c>
      <c r="J2125" s="14"/>
      <c r="K2125" s="14"/>
      <c r="O2125" s="22"/>
      <c r="P2125" s="22"/>
      <c r="Q2125" s="23"/>
      <c r="R2125" s="23"/>
      <c r="S2125" s="14"/>
    </row>
    <row r="2126" ht="18.75" customHeight="1">
      <c r="A2126" s="7" t="s">
        <v>431</v>
      </c>
      <c r="B2126" s="7" t="s">
        <v>3883</v>
      </c>
      <c r="C2126" s="9">
        <v>172849.0</v>
      </c>
      <c r="D2126" s="9">
        <v>124660.0</v>
      </c>
      <c r="E2126" s="9">
        <v>418.0</v>
      </c>
      <c r="F2126" s="7" t="s">
        <v>432</v>
      </c>
      <c r="G2126" s="7" t="s">
        <v>404</v>
      </c>
      <c r="H2126" s="7" t="s">
        <v>405</v>
      </c>
      <c r="I2126" s="7" t="s">
        <v>355</v>
      </c>
      <c r="J2126" s="14"/>
      <c r="K2126" s="14"/>
      <c r="O2126" s="22"/>
      <c r="P2126" s="22"/>
      <c r="Q2126" s="23"/>
      <c r="R2126" s="23"/>
      <c r="S2126" s="14"/>
    </row>
    <row r="2127" ht="18.75" customHeight="1">
      <c r="A2127" s="7" t="s">
        <v>431</v>
      </c>
      <c r="B2127" s="7" t="s">
        <v>3883</v>
      </c>
      <c r="C2127" s="9">
        <v>36964.0</v>
      </c>
      <c r="D2127" s="9">
        <v>30710.0</v>
      </c>
      <c r="E2127" s="9">
        <v>105.0</v>
      </c>
      <c r="F2127" s="7" t="s">
        <v>432</v>
      </c>
      <c r="G2127" s="7" t="s">
        <v>404</v>
      </c>
      <c r="H2127" s="7" t="s">
        <v>405</v>
      </c>
      <c r="I2127" s="7" t="s">
        <v>355</v>
      </c>
      <c r="J2127" s="14"/>
      <c r="K2127" s="14"/>
      <c r="O2127" s="22"/>
      <c r="P2127" s="22"/>
      <c r="Q2127" s="23"/>
      <c r="R2127" s="23"/>
      <c r="S2127" s="14"/>
    </row>
    <row r="2128" ht="18.75" customHeight="1">
      <c r="A2128" s="7" t="s">
        <v>431</v>
      </c>
      <c r="B2128" s="7" t="s">
        <v>3883</v>
      </c>
      <c r="C2128" s="9">
        <v>242411.0</v>
      </c>
      <c r="D2128" s="9">
        <v>193049.0</v>
      </c>
      <c r="E2128" s="9">
        <v>323.0</v>
      </c>
      <c r="F2128" s="7" t="s">
        <v>432</v>
      </c>
      <c r="G2128" s="7" t="s">
        <v>404</v>
      </c>
      <c r="H2128" s="7" t="s">
        <v>405</v>
      </c>
      <c r="I2128" s="7" t="s">
        <v>355</v>
      </c>
      <c r="J2128" s="14"/>
      <c r="K2128" s="14"/>
      <c r="O2128" s="22"/>
      <c r="P2128" s="22"/>
      <c r="Q2128" s="23"/>
      <c r="R2128" s="23"/>
      <c r="S2128" s="14"/>
    </row>
    <row r="2129" ht="18.75" customHeight="1">
      <c r="A2129" s="7" t="s">
        <v>435</v>
      </c>
      <c r="B2129" s="7" t="s">
        <v>3883</v>
      </c>
      <c r="C2129" s="9">
        <v>196337.0</v>
      </c>
      <c r="D2129" s="9">
        <v>163143.0</v>
      </c>
      <c r="E2129" s="9">
        <v>229.0</v>
      </c>
      <c r="F2129" s="7" t="s">
        <v>436</v>
      </c>
      <c r="G2129" s="7" t="s">
        <v>404</v>
      </c>
      <c r="H2129" s="7" t="s">
        <v>405</v>
      </c>
      <c r="I2129" s="7" t="s">
        <v>355</v>
      </c>
      <c r="J2129" s="14"/>
      <c r="K2129" s="14"/>
      <c r="O2129" s="22"/>
      <c r="P2129" s="22"/>
      <c r="Q2129" s="23"/>
      <c r="R2129" s="23"/>
      <c r="S2129" s="14"/>
    </row>
    <row r="2130" ht="18.75" customHeight="1">
      <c r="A2130" s="7" t="s">
        <v>435</v>
      </c>
      <c r="B2130" s="7" t="s">
        <v>3883</v>
      </c>
      <c r="C2130" s="9">
        <v>126699.0</v>
      </c>
      <c r="D2130" s="9">
        <v>9052.0</v>
      </c>
      <c r="E2130" s="9">
        <v>207.0</v>
      </c>
      <c r="F2130" s="7" t="s">
        <v>436</v>
      </c>
      <c r="G2130" s="7" t="s">
        <v>404</v>
      </c>
      <c r="H2130" s="7" t="s">
        <v>405</v>
      </c>
      <c r="I2130" s="7" t="s">
        <v>355</v>
      </c>
      <c r="J2130" s="14"/>
      <c r="K2130" s="14"/>
      <c r="O2130" s="22"/>
      <c r="P2130" s="22"/>
      <c r="Q2130" s="23"/>
      <c r="R2130" s="23"/>
      <c r="S2130" s="14"/>
    </row>
    <row r="2131" ht="18.75" customHeight="1">
      <c r="A2131" s="7" t="s">
        <v>437</v>
      </c>
      <c r="B2131" s="7" t="s">
        <v>3883</v>
      </c>
      <c r="C2131" s="9">
        <v>121441.0</v>
      </c>
      <c r="D2131" s="9">
        <v>89977.0</v>
      </c>
      <c r="E2131" s="9">
        <v>112.0</v>
      </c>
      <c r="F2131" s="7" t="s">
        <v>438</v>
      </c>
      <c r="G2131" s="7" t="s">
        <v>404</v>
      </c>
      <c r="H2131" s="7" t="s">
        <v>405</v>
      </c>
      <c r="I2131" s="7" t="s">
        <v>355</v>
      </c>
      <c r="J2131" s="14"/>
      <c r="K2131" s="14"/>
      <c r="O2131" s="22"/>
      <c r="P2131" s="22"/>
      <c r="Q2131" s="23"/>
      <c r="R2131" s="23"/>
      <c r="S2131" s="14"/>
    </row>
    <row r="2132" ht="18.75" customHeight="1">
      <c r="A2132" s="7" t="s">
        <v>479</v>
      </c>
      <c r="B2132" s="7" t="s">
        <v>3883</v>
      </c>
      <c r="C2132" s="9">
        <v>8075.0</v>
      </c>
      <c r="D2132" s="9">
        <v>6740.0</v>
      </c>
      <c r="E2132" s="9">
        <v>22.0</v>
      </c>
      <c r="F2132" s="7" t="s">
        <v>480</v>
      </c>
      <c r="G2132" s="7" t="s">
        <v>404</v>
      </c>
      <c r="H2132" s="7" t="s">
        <v>405</v>
      </c>
      <c r="I2132" s="7" t="s">
        <v>355</v>
      </c>
      <c r="J2132" s="14"/>
      <c r="K2132" s="14"/>
      <c r="O2132" s="22"/>
      <c r="P2132" s="22"/>
      <c r="Q2132" s="23"/>
      <c r="R2132" s="23"/>
      <c r="S2132" s="14"/>
    </row>
    <row r="2133" ht="18.75" customHeight="1">
      <c r="A2133" s="7" t="s">
        <v>497</v>
      </c>
      <c r="B2133" s="7" t="s">
        <v>3883</v>
      </c>
      <c r="C2133" s="9">
        <v>28530.0</v>
      </c>
      <c r="D2133" s="9">
        <v>1056.0</v>
      </c>
      <c r="E2133" s="9">
        <v>114.0</v>
      </c>
      <c r="F2133" s="7" t="s">
        <v>498</v>
      </c>
      <c r="G2133" s="7" t="s">
        <v>404</v>
      </c>
      <c r="H2133" s="7" t="s">
        <v>405</v>
      </c>
      <c r="I2133" s="7" t="s">
        <v>355</v>
      </c>
      <c r="J2133" s="14"/>
      <c r="K2133" s="14"/>
      <c r="O2133" s="22"/>
      <c r="P2133" s="22"/>
      <c r="Q2133" s="23"/>
      <c r="R2133" s="23"/>
      <c r="S2133" s="14"/>
    </row>
    <row r="2134" ht="18.75" customHeight="1">
      <c r="A2134" s="7" t="s">
        <v>497</v>
      </c>
      <c r="B2134" s="7" t="s">
        <v>3883</v>
      </c>
      <c r="C2134" s="9">
        <v>70225.0</v>
      </c>
      <c r="D2134" s="9">
        <v>63978.0</v>
      </c>
      <c r="E2134" s="9">
        <v>157.0</v>
      </c>
      <c r="F2134" s="7" t="s">
        <v>498</v>
      </c>
      <c r="G2134" s="7" t="s">
        <v>404</v>
      </c>
      <c r="H2134" s="7" t="s">
        <v>405</v>
      </c>
      <c r="I2134" s="7" t="s">
        <v>355</v>
      </c>
      <c r="J2134" s="14"/>
      <c r="K2134" s="14"/>
      <c r="O2134" s="22"/>
      <c r="P2134" s="22"/>
      <c r="Q2134" s="23"/>
      <c r="R2134" s="23"/>
      <c r="S2134" s="14"/>
    </row>
    <row r="2135" ht="18.75" customHeight="1">
      <c r="A2135" s="7" t="s">
        <v>497</v>
      </c>
      <c r="B2135" s="7" t="s">
        <v>3883</v>
      </c>
      <c r="C2135" s="9">
        <v>28496.0</v>
      </c>
      <c r="D2135" s="9">
        <v>0.0</v>
      </c>
      <c r="E2135" s="9">
        <v>800.0</v>
      </c>
      <c r="F2135" s="7" t="s">
        <v>498</v>
      </c>
      <c r="G2135" s="7" t="s">
        <v>404</v>
      </c>
      <c r="H2135" s="7" t="s">
        <v>405</v>
      </c>
      <c r="I2135" s="7" t="s">
        <v>355</v>
      </c>
      <c r="J2135" s="14"/>
      <c r="K2135" s="14"/>
      <c r="O2135" s="22"/>
      <c r="P2135" s="22"/>
      <c r="Q2135" s="23"/>
      <c r="R2135" s="23"/>
      <c r="S2135" s="14"/>
    </row>
    <row r="2136" ht="18.75" customHeight="1">
      <c r="A2136" s="7" t="s">
        <v>481</v>
      </c>
      <c r="B2136" s="7" t="s">
        <v>3883</v>
      </c>
      <c r="C2136" s="9">
        <v>17181.0</v>
      </c>
      <c r="D2136" s="9">
        <v>12623.0</v>
      </c>
      <c r="E2136" s="9">
        <v>35.0</v>
      </c>
      <c r="F2136" s="7" t="s">
        <v>482</v>
      </c>
      <c r="G2136" s="7" t="s">
        <v>404</v>
      </c>
      <c r="H2136" s="7" t="s">
        <v>405</v>
      </c>
      <c r="I2136" s="7" t="s">
        <v>355</v>
      </c>
      <c r="J2136" s="14"/>
      <c r="K2136" s="14"/>
      <c r="O2136" s="22"/>
      <c r="P2136" s="22"/>
      <c r="Q2136" s="23"/>
      <c r="R2136" s="23"/>
      <c r="S2136" s="14"/>
    </row>
    <row r="2137" ht="18.75" customHeight="1">
      <c r="A2137" s="7" t="s">
        <v>379</v>
      </c>
      <c r="B2137" s="7" t="s">
        <v>3883</v>
      </c>
      <c r="C2137" s="9">
        <v>1171747.0</v>
      </c>
      <c r="D2137" s="9">
        <v>0.0</v>
      </c>
      <c r="E2137" s="9">
        <v>59793.0</v>
      </c>
      <c r="F2137" s="7" t="s">
        <v>380</v>
      </c>
      <c r="G2137" s="7" t="s">
        <v>353</v>
      </c>
      <c r="H2137" s="7" t="s">
        <v>354</v>
      </c>
      <c r="I2137" s="7" t="s">
        <v>355</v>
      </c>
      <c r="J2137" s="14"/>
      <c r="K2137" s="14"/>
      <c r="O2137" s="22"/>
      <c r="P2137" s="22"/>
      <c r="Q2137" s="23"/>
      <c r="R2137" s="23"/>
      <c r="S2137" s="14"/>
    </row>
    <row r="2138" ht="18.75" customHeight="1">
      <c r="A2138" s="7" t="s">
        <v>379</v>
      </c>
      <c r="B2138" s="7" t="s">
        <v>3883</v>
      </c>
      <c r="C2138" s="9">
        <v>75000.0</v>
      </c>
      <c r="D2138" s="9">
        <v>0.0</v>
      </c>
      <c r="E2138" s="9">
        <v>6962.0</v>
      </c>
      <c r="F2138" s="7" t="s">
        <v>380</v>
      </c>
      <c r="G2138" s="7" t="s">
        <v>353</v>
      </c>
      <c r="H2138" s="7" t="s">
        <v>354</v>
      </c>
      <c r="I2138" s="7" t="s">
        <v>355</v>
      </c>
      <c r="J2138" s="14"/>
      <c r="K2138" s="14"/>
      <c r="O2138" s="22"/>
      <c r="P2138" s="22"/>
      <c r="Q2138" s="23"/>
      <c r="R2138" s="23"/>
      <c r="S2138" s="14"/>
    </row>
    <row r="2139" ht="18.75" customHeight="1">
      <c r="A2139" s="7" t="s">
        <v>411</v>
      </c>
      <c r="B2139" s="7" t="s">
        <v>3883</v>
      </c>
      <c r="C2139" s="9">
        <v>280054.0</v>
      </c>
      <c r="D2139" s="9">
        <v>16118.0</v>
      </c>
      <c r="E2139" s="9">
        <v>200.0</v>
      </c>
      <c r="F2139" s="7" t="s">
        <v>412</v>
      </c>
      <c r="G2139" s="7" t="s">
        <v>353</v>
      </c>
      <c r="H2139" s="7" t="s">
        <v>413</v>
      </c>
      <c r="I2139" s="7" t="s">
        <v>355</v>
      </c>
      <c r="J2139" s="14"/>
      <c r="K2139" s="14"/>
      <c r="O2139" s="22"/>
      <c r="P2139" s="22"/>
      <c r="Q2139" s="23"/>
      <c r="R2139" s="23"/>
      <c r="S2139" s="14"/>
    </row>
    <row r="2140" ht="18.75" customHeight="1">
      <c r="A2140" s="7" t="s">
        <v>411</v>
      </c>
      <c r="B2140" s="7" t="s">
        <v>3883</v>
      </c>
      <c r="C2140" s="9">
        <v>442349.0</v>
      </c>
      <c r="D2140" s="9">
        <v>0.0</v>
      </c>
      <c r="E2140" s="9">
        <v>13167.0</v>
      </c>
      <c r="F2140" s="7" t="s">
        <v>412</v>
      </c>
      <c r="G2140" s="7" t="s">
        <v>353</v>
      </c>
      <c r="H2140" s="7" t="s">
        <v>413</v>
      </c>
      <c r="I2140" s="7" t="s">
        <v>355</v>
      </c>
      <c r="J2140" s="14"/>
      <c r="K2140" s="14"/>
      <c r="O2140" s="22"/>
      <c r="P2140" s="22"/>
      <c r="Q2140" s="23"/>
      <c r="R2140" s="23"/>
      <c r="S2140" s="14"/>
    </row>
    <row r="2141" ht="18.75" customHeight="1">
      <c r="A2141" s="7" t="s">
        <v>411</v>
      </c>
      <c r="B2141" s="7" t="s">
        <v>3883</v>
      </c>
      <c r="C2141" s="9">
        <v>5781.0</v>
      </c>
      <c r="D2141" s="9">
        <v>0.0</v>
      </c>
      <c r="E2141" s="9">
        <v>448.0</v>
      </c>
      <c r="F2141" s="7" t="s">
        <v>412</v>
      </c>
      <c r="G2141" s="7" t="s">
        <v>353</v>
      </c>
      <c r="H2141" s="7" t="s">
        <v>413</v>
      </c>
      <c r="I2141" s="7" t="s">
        <v>355</v>
      </c>
      <c r="J2141" s="14"/>
      <c r="K2141" s="14"/>
      <c r="O2141" s="22"/>
      <c r="P2141" s="22"/>
      <c r="Q2141" s="23"/>
      <c r="R2141" s="23"/>
      <c r="S2141" s="14"/>
    </row>
    <row r="2142" ht="18.75" customHeight="1">
      <c r="A2142" s="7" t="s">
        <v>376</v>
      </c>
      <c r="B2142" s="7" t="s">
        <v>3883</v>
      </c>
      <c r="C2142" s="9">
        <v>20182.0</v>
      </c>
      <c r="D2142" s="9">
        <v>594.0</v>
      </c>
      <c r="E2142" s="9">
        <v>41.0</v>
      </c>
      <c r="F2142" s="7" t="s">
        <v>377</v>
      </c>
      <c r="G2142" s="7" t="s">
        <v>353</v>
      </c>
      <c r="H2142" s="7" t="s">
        <v>378</v>
      </c>
      <c r="I2142" s="7" t="s">
        <v>355</v>
      </c>
      <c r="J2142" s="14"/>
      <c r="K2142" s="14"/>
      <c r="O2142" s="22"/>
      <c r="P2142" s="22"/>
      <c r="Q2142" s="23"/>
      <c r="R2142" s="23"/>
      <c r="S2142" s="14"/>
    </row>
    <row r="2143" ht="18.75" customHeight="1">
      <c r="A2143" s="7" t="s">
        <v>376</v>
      </c>
      <c r="B2143" s="7" t="s">
        <v>3883</v>
      </c>
      <c r="C2143" s="9">
        <v>7579.0</v>
      </c>
      <c r="D2143" s="9">
        <v>0.0</v>
      </c>
      <c r="E2143" s="9">
        <v>392.0</v>
      </c>
      <c r="F2143" s="7" t="s">
        <v>377</v>
      </c>
      <c r="G2143" s="7" t="s">
        <v>353</v>
      </c>
      <c r="H2143" s="7" t="s">
        <v>378</v>
      </c>
      <c r="I2143" s="7" t="s">
        <v>355</v>
      </c>
      <c r="J2143" s="14"/>
      <c r="K2143" s="14"/>
      <c r="O2143" s="22"/>
      <c r="P2143" s="22"/>
      <c r="Q2143" s="23"/>
      <c r="R2143" s="23"/>
      <c r="S2143" s="14"/>
    </row>
    <row r="2144" ht="18.75" customHeight="1">
      <c r="A2144" s="7" t="s">
        <v>396</v>
      </c>
      <c r="B2144" s="7" t="s">
        <v>3883</v>
      </c>
      <c r="C2144" s="9">
        <v>103377.0</v>
      </c>
      <c r="D2144" s="9">
        <v>0.0</v>
      </c>
      <c r="E2144" s="9">
        <v>3420.0</v>
      </c>
      <c r="F2144" s="7" t="s">
        <v>397</v>
      </c>
      <c r="G2144" s="7" t="s">
        <v>353</v>
      </c>
      <c r="H2144" s="7" t="s">
        <v>378</v>
      </c>
      <c r="I2144" s="7" t="s">
        <v>355</v>
      </c>
      <c r="J2144" s="14"/>
      <c r="K2144" s="14"/>
      <c r="O2144" s="22"/>
      <c r="P2144" s="22"/>
      <c r="Q2144" s="23"/>
      <c r="R2144" s="23"/>
      <c r="S2144" s="14"/>
    </row>
    <row r="2145" ht="18.75" customHeight="1">
      <c r="A2145" s="7" t="s">
        <v>396</v>
      </c>
      <c r="B2145" s="7" t="s">
        <v>3883</v>
      </c>
      <c r="C2145" s="9">
        <v>363162.0</v>
      </c>
      <c r="D2145" s="9">
        <v>0.0</v>
      </c>
      <c r="E2145" s="9">
        <v>11802.0</v>
      </c>
      <c r="F2145" s="7" t="s">
        <v>397</v>
      </c>
      <c r="G2145" s="7" t="s">
        <v>353</v>
      </c>
      <c r="H2145" s="7" t="s">
        <v>378</v>
      </c>
      <c r="I2145" s="7" t="s">
        <v>355</v>
      </c>
      <c r="J2145" s="14"/>
      <c r="K2145" s="14"/>
      <c r="O2145" s="22"/>
      <c r="P2145" s="22"/>
      <c r="Q2145" s="23"/>
      <c r="R2145" s="23"/>
      <c r="S2145" s="14"/>
    </row>
    <row r="2146" ht="18.75" customHeight="1">
      <c r="A2146" s="7" t="s">
        <v>396</v>
      </c>
      <c r="B2146" s="7" t="s">
        <v>3883</v>
      </c>
      <c r="C2146" s="9">
        <v>51401.0</v>
      </c>
      <c r="D2146" s="9">
        <v>0.0</v>
      </c>
      <c r="E2146" s="9">
        <v>2473.0</v>
      </c>
      <c r="F2146" s="7" t="s">
        <v>397</v>
      </c>
      <c r="G2146" s="7" t="s">
        <v>353</v>
      </c>
      <c r="H2146" s="7" t="s">
        <v>378</v>
      </c>
      <c r="I2146" s="7" t="s">
        <v>355</v>
      </c>
      <c r="J2146" s="14"/>
      <c r="K2146" s="14"/>
      <c r="O2146" s="22"/>
      <c r="P2146" s="22"/>
      <c r="Q2146" s="23"/>
      <c r="R2146" s="23"/>
      <c r="S2146" s="14"/>
    </row>
    <row r="2147" ht="18.75" customHeight="1">
      <c r="A2147" s="7" t="s">
        <v>394</v>
      </c>
      <c r="B2147" s="7" t="s">
        <v>3883</v>
      </c>
      <c r="C2147" s="9">
        <v>2888589.0</v>
      </c>
      <c r="D2147" s="9">
        <v>244564.0</v>
      </c>
      <c r="E2147" s="9">
        <v>709.0</v>
      </c>
      <c r="F2147" s="7" t="s">
        <v>395</v>
      </c>
      <c r="G2147" s="7" t="s">
        <v>353</v>
      </c>
      <c r="H2147" s="7" t="s">
        <v>378</v>
      </c>
      <c r="I2147" s="7" t="s">
        <v>355</v>
      </c>
      <c r="J2147" s="14"/>
      <c r="K2147" s="14"/>
      <c r="O2147" s="22"/>
      <c r="P2147" s="22"/>
      <c r="Q2147" s="23"/>
      <c r="R2147" s="23"/>
      <c r="S2147" s="14"/>
    </row>
    <row r="2148" ht="18.75" customHeight="1">
      <c r="A2148" s="7" t="s">
        <v>394</v>
      </c>
      <c r="B2148" s="7" t="s">
        <v>3883</v>
      </c>
      <c r="C2148" s="9">
        <v>2302741.0</v>
      </c>
      <c r="D2148" s="9">
        <v>58525.0</v>
      </c>
      <c r="E2148" s="9">
        <v>6806.0</v>
      </c>
      <c r="F2148" s="7" t="s">
        <v>395</v>
      </c>
      <c r="G2148" s="7" t="s">
        <v>353</v>
      </c>
      <c r="H2148" s="7" t="s">
        <v>378</v>
      </c>
      <c r="I2148" s="7" t="s">
        <v>355</v>
      </c>
      <c r="J2148" s="14"/>
      <c r="K2148" s="14"/>
      <c r="O2148" s="22"/>
      <c r="P2148" s="22"/>
      <c r="Q2148" s="23"/>
      <c r="R2148" s="23"/>
      <c r="S2148" s="14"/>
    </row>
    <row r="2149" ht="18.75" customHeight="1">
      <c r="A2149" s="7" t="s">
        <v>443</v>
      </c>
      <c r="B2149" s="7" t="s">
        <v>3883</v>
      </c>
      <c r="C2149" s="9">
        <v>725352.0</v>
      </c>
      <c r="D2149" s="9">
        <v>0.0</v>
      </c>
      <c r="E2149" s="9">
        <v>34207.0</v>
      </c>
      <c r="F2149" s="7" t="s">
        <v>444</v>
      </c>
      <c r="G2149" s="7" t="s">
        <v>353</v>
      </c>
      <c r="H2149" s="7" t="s">
        <v>445</v>
      </c>
      <c r="I2149" s="7" t="s">
        <v>355</v>
      </c>
      <c r="J2149" s="14"/>
      <c r="K2149" s="14"/>
      <c r="O2149" s="22"/>
      <c r="P2149" s="22"/>
      <c r="Q2149" s="23"/>
      <c r="R2149" s="23"/>
      <c r="S2149" s="14"/>
    </row>
    <row r="2150" ht="18.75" customHeight="1">
      <c r="A2150" s="7" t="s">
        <v>452</v>
      </c>
      <c r="B2150" s="7" t="s">
        <v>3883</v>
      </c>
      <c r="C2150" s="9">
        <v>23559.0</v>
      </c>
      <c r="D2150" s="9">
        <v>0.0</v>
      </c>
      <c r="E2150" s="9">
        <v>1316.0</v>
      </c>
      <c r="F2150" s="7" t="s">
        <v>453</v>
      </c>
      <c r="G2150" s="7" t="s">
        <v>416</v>
      </c>
      <c r="H2150" s="7" t="s">
        <v>417</v>
      </c>
      <c r="I2150" s="7" t="s">
        <v>355</v>
      </c>
      <c r="J2150" s="14"/>
      <c r="K2150" s="14"/>
      <c r="O2150" s="22"/>
      <c r="P2150" s="22"/>
      <c r="Q2150" s="23"/>
      <c r="R2150" s="23"/>
      <c r="S2150" s="14"/>
    </row>
    <row r="2151" ht="18.75" customHeight="1">
      <c r="A2151" s="7" t="s">
        <v>477</v>
      </c>
      <c r="B2151" s="7" t="s">
        <v>3883</v>
      </c>
      <c r="C2151" s="9">
        <v>31927.0</v>
      </c>
      <c r="D2151" s="9">
        <v>0.0</v>
      </c>
      <c r="E2151" s="9">
        <v>1540.0</v>
      </c>
      <c r="F2151" s="7" t="s">
        <v>478</v>
      </c>
      <c r="G2151" s="7" t="s">
        <v>416</v>
      </c>
      <c r="H2151" s="7" t="s">
        <v>417</v>
      </c>
      <c r="I2151" s="7" t="s">
        <v>355</v>
      </c>
      <c r="J2151" s="14"/>
      <c r="K2151" s="14"/>
      <c r="O2151" s="22"/>
      <c r="P2151" s="22"/>
      <c r="Q2151" s="23"/>
      <c r="R2151" s="23"/>
      <c r="S2151" s="14"/>
    </row>
    <row r="2152" ht="18.75" customHeight="1">
      <c r="A2152" s="7" t="s">
        <v>539</v>
      </c>
      <c r="B2152" s="7" t="s">
        <v>3883</v>
      </c>
      <c r="C2152" s="9">
        <v>155572.0</v>
      </c>
      <c r="D2152" s="9">
        <v>0.0</v>
      </c>
      <c r="E2152" s="9">
        <v>4827.0</v>
      </c>
      <c r="F2152" s="7" t="s">
        <v>540</v>
      </c>
      <c r="G2152" s="7" t="s">
        <v>416</v>
      </c>
      <c r="H2152" s="7" t="s">
        <v>417</v>
      </c>
      <c r="I2152" s="7" t="s">
        <v>355</v>
      </c>
      <c r="J2152" s="14"/>
      <c r="K2152" s="14"/>
      <c r="O2152" s="22"/>
      <c r="P2152" s="22"/>
      <c r="Q2152" s="23"/>
      <c r="R2152" s="23"/>
      <c r="S2152" s="14"/>
    </row>
    <row r="2153" ht="18.75" customHeight="1">
      <c r="A2153" s="7" t="s">
        <v>541</v>
      </c>
      <c r="B2153" s="7" t="s">
        <v>3883</v>
      </c>
      <c r="C2153" s="9">
        <v>17862.0</v>
      </c>
      <c r="D2153" s="9">
        <v>0.0</v>
      </c>
      <c r="E2153" s="9">
        <v>1522.0</v>
      </c>
      <c r="F2153" s="7" t="s">
        <v>542</v>
      </c>
      <c r="G2153" s="7" t="s">
        <v>416</v>
      </c>
      <c r="H2153" s="7" t="s">
        <v>417</v>
      </c>
      <c r="I2153" s="7" t="s">
        <v>355</v>
      </c>
      <c r="J2153" s="14"/>
      <c r="K2153" s="14"/>
      <c r="O2153" s="22"/>
      <c r="P2153" s="22"/>
      <c r="Q2153" s="23"/>
      <c r="R2153" s="23"/>
      <c r="S2153" s="14"/>
    </row>
    <row r="2154" ht="18.75" customHeight="1">
      <c r="A2154" s="7" t="s">
        <v>599</v>
      </c>
      <c r="B2154" s="7" t="s">
        <v>3883</v>
      </c>
      <c r="C2154" s="9">
        <v>0.0</v>
      </c>
      <c r="D2154" s="9">
        <v>0.0</v>
      </c>
      <c r="E2154" s="9">
        <v>0.0</v>
      </c>
      <c r="F2154" s="7" t="s">
        <v>600</v>
      </c>
      <c r="G2154" s="7" t="s">
        <v>416</v>
      </c>
      <c r="H2154" s="7" t="s">
        <v>417</v>
      </c>
      <c r="I2154" s="7" t="s">
        <v>355</v>
      </c>
      <c r="J2154" s="14"/>
      <c r="K2154" s="14"/>
      <c r="O2154" s="22"/>
      <c r="P2154" s="22"/>
      <c r="Q2154" s="23"/>
      <c r="R2154" s="23"/>
      <c r="S2154" s="14"/>
    </row>
    <row r="2155" ht="18.75" customHeight="1">
      <c r="A2155" s="7" t="s">
        <v>601</v>
      </c>
      <c r="B2155" s="7" t="s">
        <v>3883</v>
      </c>
      <c r="C2155" s="9">
        <v>0.0</v>
      </c>
      <c r="D2155" s="9">
        <v>0.0</v>
      </c>
      <c r="E2155" s="9">
        <v>0.0</v>
      </c>
      <c r="F2155" s="7" t="s">
        <v>602</v>
      </c>
      <c r="G2155" s="7" t="s">
        <v>416</v>
      </c>
      <c r="H2155" s="7" t="s">
        <v>417</v>
      </c>
      <c r="I2155" s="7" t="s">
        <v>355</v>
      </c>
      <c r="J2155" s="14"/>
      <c r="K2155" s="14"/>
      <c r="O2155" s="22"/>
      <c r="P2155" s="22"/>
      <c r="Q2155" s="23"/>
      <c r="R2155" s="23"/>
      <c r="S2155" s="14"/>
    </row>
    <row r="2156" ht="18.75" customHeight="1">
      <c r="A2156" s="7" t="s">
        <v>3571</v>
      </c>
      <c r="B2156" s="7" t="s">
        <v>3883</v>
      </c>
      <c r="C2156" s="9">
        <v>181626.0</v>
      </c>
      <c r="D2156" s="9">
        <v>41313.0</v>
      </c>
      <c r="E2156" s="9">
        <v>163.0</v>
      </c>
      <c r="F2156" s="7" t="s">
        <v>3876</v>
      </c>
      <c r="G2156" s="7" t="s">
        <v>353</v>
      </c>
      <c r="H2156" s="7" t="s">
        <v>413</v>
      </c>
      <c r="I2156" s="7" t="s">
        <v>355</v>
      </c>
      <c r="J2156" s="14"/>
      <c r="K2156" s="14"/>
      <c r="O2156" s="22"/>
      <c r="P2156" s="22"/>
      <c r="Q2156" s="23"/>
      <c r="R2156" s="23"/>
      <c r="S2156" s="14"/>
    </row>
    <row r="2157" ht="18.75" customHeight="1">
      <c r="A2157" s="7" t="s">
        <v>3571</v>
      </c>
      <c r="B2157" s="7" t="s">
        <v>3883</v>
      </c>
      <c r="C2157" s="9">
        <v>267051.0</v>
      </c>
      <c r="D2157" s="9">
        <v>0.0</v>
      </c>
      <c r="E2157" s="9">
        <v>8565.0</v>
      </c>
      <c r="F2157" s="7" t="s">
        <v>3876</v>
      </c>
      <c r="G2157" s="7" t="s">
        <v>353</v>
      </c>
      <c r="H2157" s="7" t="s">
        <v>413</v>
      </c>
      <c r="I2157" s="7" t="s">
        <v>355</v>
      </c>
      <c r="J2157" s="14"/>
      <c r="K2157" s="14"/>
      <c r="O2157" s="22"/>
      <c r="P2157" s="22"/>
      <c r="Q2157" s="23"/>
      <c r="R2157" s="23"/>
      <c r="S2157" s="14"/>
    </row>
    <row r="2158" ht="18.75" customHeight="1">
      <c r="A2158" s="7" t="s">
        <v>3571</v>
      </c>
      <c r="B2158" s="7" t="s">
        <v>3883</v>
      </c>
      <c r="C2158" s="9">
        <v>151471.0</v>
      </c>
      <c r="D2158" s="9">
        <v>4316.0</v>
      </c>
      <c r="E2158" s="9">
        <v>308.0</v>
      </c>
      <c r="F2158" s="7" t="s">
        <v>3876</v>
      </c>
      <c r="G2158" s="7" t="s">
        <v>353</v>
      </c>
      <c r="H2158" s="7" t="s">
        <v>413</v>
      </c>
      <c r="I2158" s="7" t="s">
        <v>355</v>
      </c>
      <c r="J2158" s="14"/>
      <c r="K2158" s="14"/>
      <c r="O2158" s="22"/>
      <c r="P2158" s="22"/>
      <c r="Q2158" s="23"/>
      <c r="R2158" s="23"/>
      <c r="S2158" s="14"/>
    </row>
    <row r="2159" ht="18.75" customHeight="1">
      <c r="A2159" s="7" t="s">
        <v>495</v>
      </c>
      <c r="B2159" s="7" t="s">
        <v>3883</v>
      </c>
      <c r="C2159" s="9">
        <v>464399.0</v>
      </c>
      <c r="D2159" s="9">
        <v>328266.0</v>
      </c>
      <c r="E2159" s="9">
        <v>1013.0</v>
      </c>
      <c r="F2159" s="7" t="s">
        <v>496</v>
      </c>
      <c r="G2159" s="7" t="s">
        <v>358</v>
      </c>
      <c r="H2159" s="7" t="s">
        <v>466</v>
      </c>
      <c r="I2159" s="7" t="s">
        <v>355</v>
      </c>
      <c r="J2159" s="14"/>
      <c r="K2159" s="14"/>
      <c r="O2159" s="22"/>
      <c r="P2159" s="22"/>
      <c r="Q2159" s="23"/>
      <c r="R2159" s="23"/>
      <c r="S2159" s="14"/>
    </row>
    <row r="2160" ht="18.75" customHeight="1">
      <c r="A2160" s="7" t="s">
        <v>495</v>
      </c>
      <c r="B2160" s="7" t="s">
        <v>3883</v>
      </c>
      <c r="C2160" s="9">
        <v>545272.0</v>
      </c>
      <c r="D2160" s="9">
        <v>0.0</v>
      </c>
      <c r="E2160" s="9">
        <v>17525.0</v>
      </c>
      <c r="F2160" s="7" t="s">
        <v>496</v>
      </c>
      <c r="G2160" s="7" t="s">
        <v>358</v>
      </c>
      <c r="H2160" s="7" t="s">
        <v>466</v>
      </c>
      <c r="I2160" s="7" t="s">
        <v>355</v>
      </c>
      <c r="J2160" s="14"/>
      <c r="K2160" s="14"/>
      <c r="O2160" s="22"/>
      <c r="P2160" s="22"/>
      <c r="Q2160" s="23"/>
      <c r="R2160" s="23"/>
      <c r="S2160" s="14"/>
    </row>
    <row r="2161" ht="18.75" customHeight="1">
      <c r="A2161" s="14"/>
      <c r="B2161" s="7" t="s">
        <v>3883</v>
      </c>
      <c r="C2161" s="9">
        <v>345134.0</v>
      </c>
      <c r="D2161" s="9">
        <v>235173.0</v>
      </c>
      <c r="E2161" s="9">
        <v>742.0</v>
      </c>
      <c r="F2161" s="14"/>
      <c r="G2161" s="14"/>
      <c r="H2161" s="14"/>
      <c r="I2161" s="14"/>
      <c r="J2161" s="14"/>
      <c r="K2161" s="14"/>
      <c r="O2161" s="22"/>
      <c r="P2161" s="22"/>
      <c r="Q2161" s="23"/>
      <c r="R2161" s="23"/>
      <c r="S2161" s="14"/>
    </row>
    <row r="2162" ht="18.75" customHeight="1">
      <c r="A2162" s="7" t="s">
        <v>493</v>
      </c>
      <c r="B2162" s="7" t="s">
        <v>3883</v>
      </c>
      <c r="C2162" s="9">
        <v>321516.0</v>
      </c>
      <c r="D2162" s="9">
        <v>0.0</v>
      </c>
      <c r="E2162" s="9">
        <v>11662.0</v>
      </c>
      <c r="F2162" s="7" t="s">
        <v>494</v>
      </c>
      <c r="G2162" s="7" t="s">
        <v>364</v>
      </c>
      <c r="H2162" s="7" t="s">
        <v>365</v>
      </c>
      <c r="I2162" s="7" t="s">
        <v>355</v>
      </c>
      <c r="J2162" s="14"/>
      <c r="K2162" s="14"/>
      <c r="O2162" s="22"/>
      <c r="P2162" s="22"/>
      <c r="Q2162" s="23"/>
      <c r="R2162" s="23"/>
      <c r="S2162" s="14"/>
    </row>
    <row r="2163" ht="18.75" customHeight="1">
      <c r="A2163" s="7" t="s">
        <v>590</v>
      </c>
      <c r="B2163" s="7" t="s">
        <v>3883</v>
      </c>
      <c r="C2163" s="9">
        <v>30035.0</v>
      </c>
      <c r="D2163" s="9">
        <v>0.0</v>
      </c>
      <c r="E2163" s="9">
        <v>1005.0</v>
      </c>
      <c r="F2163" s="7" t="s">
        <v>591</v>
      </c>
      <c r="G2163" s="7" t="s">
        <v>358</v>
      </c>
      <c r="H2163" s="7" t="s">
        <v>466</v>
      </c>
      <c r="I2163" s="7" t="s">
        <v>355</v>
      </c>
      <c r="J2163" s="14"/>
      <c r="K2163" s="14"/>
      <c r="O2163" s="22"/>
      <c r="P2163" s="22"/>
      <c r="Q2163" s="23"/>
      <c r="R2163" s="23"/>
      <c r="S2163" s="14"/>
    </row>
    <row r="2164" ht="18.75" customHeight="1">
      <c r="A2164" s="7" t="s">
        <v>420</v>
      </c>
      <c r="B2164" s="7" t="s">
        <v>3883</v>
      </c>
      <c r="C2164" s="9">
        <v>113032.0</v>
      </c>
      <c r="D2164" s="9">
        <v>0.0</v>
      </c>
      <c r="E2164" s="9">
        <v>5003.0</v>
      </c>
      <c r="F2164" s="7" t="s">
        <v>421</v>
      </c>
      <c r="G2164" s="7" t="s">
        <v>353</v>
      </c>
      <c r="H2164" s="7" t="s">
        <v>417</v>
      </c>
      <c r="I2164" s="7" t="s">
        <v>355</v>
      </c>
      <c r="J2164" s="14"/>
      <c r="K2164" s="14"/>
      <c r="O2164" s="22"/>
      <c r="P2164" s="22"/>
      <c r="Q2164" s="23"/>
      <c r="R2164" s="23"/>
      <c r="S2164" s="14"/>
    </row>
    <row r="2165" ht="18.75" customHeight="1">
      <c r="A2165" s="7" t="s">
        <v>414</v>
      </c>
      <c r="B2165" s="7" t="s">
        <v>3883</v>
      </c>
      <c r="C2165" s="9">
        <v>3138.0</v>
      </c>
      <c r="D2165" s="9">
        <v>54.0</v>
      </c>
      <c r="E2165" s="9">
        <v>1.0</v>
      </c>
      <c r="F2165" s="7" t="s">
        <v>415</v>
      </c>
      <c r="G2165" s="7" t="s">
        <v>416</v>
      </c>
      <c r="H2165" s="7" t="s">
        <v>417</v>
      </c>
      <c r="I2165" s="7" t="s">
        <v>355</v>
      </c>
      <c r="J2165" s="14"/>
      <c r="K2165" s="14"/>
      <c r="O2165" s="22"/>
      <c r="P2165" s="22"/>
      <c r="Q2165" s="23"/>
      <c r="R2165" s="23"/>
      <c r="S2165" s="14"/>
    </row>
    <row r="2166" ht="18.75" customHeight="1">
      <c r="A2166" s="7" t="s">
        <v>3720</v>
      </c>
      <c r="B2166" s="7" t="s">
        <v>3883</v>
      </c>
      <c r="C2166" s="9">
        <v>310.0</v>
      </c>
      <c r="D2166" s="9">
        <v>10.0</v>
      </c>
      <c r="E2166" s="9">
        <v>2.0</v>
      </c>
      <c r="F2166" s="7" t="s">
        <v>3880</v>
      </c>
      <c r="G2166" s="7" t="s">
        <v>416</v>
      </c>
      <c r="H2166" s="7" t="s">
        <v>417</v>
      </c>
      <c r="I2166" s="7" t="s">
        <v>355</v>
      </c>
      <c r="J2166" s="14"/>
      <c r="K2166" s="14"/>
      <c r="O2166" s="22"/>
      <c r="P2166" s="22"/>
      <c r="Q2166" s="23"/>
      <c r="R2166" s="23"/>
      <c r="S2166" s="14"/>
    </row>
    <row r="2167" ht="18.75" customHeight="1">
      <c r="A2167" s="7" t="s">
        <v>452</v>
      </c>
      <c r="B2167" s="7" t="s">
        <v>3883</v>
      </c>
      <c r="C2167" s="9">
        <v>1079.0</v>
      </c>
      <c r="D2167" s="9">
        <v>744.0</v>
      </c>
      <c r="E2167" s="9">
        <v>2.0</v>
      </c>
      <c r="F2167" s="7" t="s">
        <v>453</v>
      </c>
      <c r="G2167" s="7" t="s">
        <v>416</v>
      </c>
      <c r="H2167" s="7" t="s">
        <v>417</v>
      </c>
      <c r="I2167" s="7" t="s">
        <v>355</v>
      </c>
      <c r="J2167" s="14"/>
      <c r="K2167" s="14"/>
      <c r="O2167" s="22"/>
      <c r="P2167" s="22"/>
      <c r="Q2167" s="23"/>
      <c r="R2167" s="23"/>
      <c r="S2167" s="14"/>
    </row>
    <row r="2168" ht="18.75" customHeight="1">
      <c r="A2168" s="7" t="s">
        <v>477</v>
      </c>
      <c r="B2168" s="7" t="s">
        <v>3883</v>
      </c>
      <c r="C2168" s="9">
        <v>16715.0</v>
      </c>
      <c r="D2168" s="9">
        <v>10670.0</v>
      </c>
      <c r="E2168" s="9">
        <v>28.0</v>
      </c>
      <c r="F2168" s="7" t="s">
        <v>478</v>
      </c>
      <c r="G2168" s="7" t="s">
        <v>416</v>
      </c>
      <c r="H2168" s="7" t="s">
        <v>417</v>
      </c>
      <c r="I2168" s="7" t="s">
        <v>355</v>
      </c>
      <c r="J2168" s="14"/>
      <c r="K2168" s="14"/>
      <c r="O2168" s="22"/>
      <c r="P2168" s="22"/>
      <c r="Q2168" s="23"/>
      <c r="R2168" s="23"/>
      <c r="S2168" s="14"/>
    </row>
    <row r="2169" ht="18.75" customHeight="1">
      <c r="A2169" s="7" t="s">
        <v>390</v>
      </c>
      <c r="B2169" s="7" t="s">
        <v>3883</v>
      </c>
      <c r="C2169" s="9">
        <v>780573.0</v>
      </c>
      <c r="D2169" s="9">
        <v>0.0</v>
      </c>
      <c r="E2169" s="9">
        <v>23983.0</v>
      </c>
      <c r="F2169" s="7" t="s">
        <v>391</v>
      </c>
      <c r="G2169" s="7" t="s">
        <v>364</v>
      </c>
      <c r="H2169" s="7" t="s">
        <v>365</v>
      </c>
      <c r="I2169" s="7" t="s">
        <v>355</v>
      </c>
      <c r="J2169" s="14"/>
      <c r="K2169" s="14"/>
      <c r="O2169" s="22"/>
      <c r="P2169" s="22"/>
      <c r="Q2169" s="23"/>
      <c r="R2169" s="23"/>
      <c r="S2169" s="14"/>
    </row>
    <row r="2170" ht="18.75" customHeight="1">
      <c r="A2170" s="7" t="s">
        <v>390</v>
      </c>
      <c r="B2170" s="7" t="s">
        <v>3883</v>
      </c>
      <c r="C2170" s="9">
        <v>559171.0</v>
      </c>
      <c r="D2170" s="9">
        <v>8166.0</v>
      </c>
      <c r="E2170" s="9">
        <v>930.0</v>
      </c>
      <c r="F2170" s="7" t="s">
        <v>391</v>
      </c>
      <c r="G2170" s="7" t="s">
        <v>364</v>
      </c>
      <c r="H2170" s="7" t="s">
        <v>365</v>
      </c>
      <c r="I2170" s="7" t="s">
        <v>355</v>
      </c>
      <c r="J2170" s="14"/>
      <c r="K2170" s="14"/>
      <c r="O2170" s="22"/>
      <c r="P2170" s="22"/>
      <c r="Q2170" s="23"/>
      <c r="R2170" s="23"/>
      <c r="S2170" s="14"/>
    </row>
    <row r="2171" ht="18.75" customHeight="1">
      <c r="A2171" s="7" t="s">
        <v>390</v>
      </c>
      <c r="B2171" s="7" t="s">
        <v>3883</v>
      </c>
      <c r="C2171" s="9">
        <v>669180.0</v>
      </c>
      <c r="D2171" s="9">
        <v>37331.0</v>
      </c>
      <c r="E2171" s="9">
        <v>116.0</v>
      </c>
      <c r="F2171" s="7" t="s">
        <v>391</v>
      </c>
      <c r="G2171" s="7" t="s">
        <v>364</v>
      </c>
      <c r="H2171" s="7" t="s">
        <v>365</v>
      </c>
      <c r="I2171" s="7" t="s">
        <v>355</v>
      </c>
      <c r="J2171" s="14"/>
      <c r="K2171" s="14"/>
      <c r="O2171" s="22"/>
      <c r="P2171" s="22"/>
      <c r="Q2171" s="23"/>
      <c r="R2171" s="23"/>
      <c r="S2171" s="14"/>
    </row>
    <row r="2172" ht="18.75" customHeight="1">
      <c r="A2172" s="7" t="s">
        <v>388</v>
      </c>
      <c r="B2172" s="7" t="s">
        <v>3883</v>
      </c>
      <c r="C2172" s="9">
        <v>1754683.0</v>
      </c>
      <c r="D2172" s="9">
        <v>0.0</v>
      </c>
      <c r="E2172" s="9">
        <v>57813.0</v>
      </c>
      <c r="F2172" s="7" t="s">
        <v>389</v>
      </c>
      <c r="G2172" s="7" t="s">
        <v>353</v>
      </c>
      <c r="H2172" s="7" t="s">
        <v>378</v>
      </c>
      <c r="I2172" s="7" t="s">
        <v>355</v>
      </c>
      <c r="J2172" s="14"/>
      <c r="K2172" s="14"/>
      <c r="O2172" s="22"/>
      <c r="P2172" s="22"/>
      <c r="Q2172" s="23"/>
      <c r="R2172" s="23"/>
      <c r="S2172" s="14"/>
    </row>
    <row r="2173" ht="18.75" customHeight="1">
      <c r="A2173" s="7" t="s">
        <v>388</v>
      </c>
      <c r="B2173" s="7" t="s">
        <v>3883</v>
      </c>
      <c r="C2173" s="9">
        <v>252251.0</v>
      </c>
      <c r="D2173" s="9">
        <v>0.0</v>
      </c>
      <c r="E2173" s="9">
        <v>8088.0</v>
      </c>
      <c r="F2173" s="7" t="s">
        <v>389</v>
      </c>
      <c r="G2173" s="7" t="s">
        <v>353</v>
      </c>
      <c r="H2173" s="7" t="s">
        <v>378</v>
      </c>
      <c r="I2173" s="7" t="s">
        <v>355</v>
      </c>
      <c r="J2173" s="14"/>
      <c r="K2173" s="14"/>
      <c r="O2173" s="22"/>
      <c r="P2173" s="22"/>
      <c r="Q2173" s="23"/>
      <c r="R2173" s="23"/>
      <c r="S2173" s="14"/>
    </row>
    <row r="2174" ht="18.75" customHeight="1">
      <c r="A2174" s="7" t="s">
        <v>388</v>
      </c>
      <c r="B2174" s="7" t="s">
        <v>3883</v>
      </c>
      <c r="C2174" s="9">
        <v>1371456.0</v>
      </c>
      <c r="D2174" s="9">
        <v>89502.0</v>
      </c>
      <c r="E2174" s="9">
        <v>278.0</v>
      </c>
      <c r="F2174" s="7" t="s">
        <v>389</v>
      </c>
      <c r="G2174" s="7" t="s">
        <v>353</v>
      </c>
      <c r="H2174" s="7" t="s">
        <v>378</v>
      </c>
      <c r="I2174" s="7" t="s">
        <v>355</v>
      </c>
      <c r="J2174" s="14"/>
      <c r="K2174" s="14"/>
      <c r="O2174" s="22"/>
      <c r="P2174" s="22"/>
      <c r="Q2174" s="23"/>
      <c r="R2174" s="23"/>
      <c r="S2174" s="14"/>
    </row>
    <row r="2175" ht="18.75" customHeight="1">
      <c r="A2175" s="7" t="s">
        <v>388</v>
      </c>
      <c r="B2175" s="7" t="s">
        <v>3883</v>
      </c>
      <c r="C2175" s="9">
        <v>1260766.0</v>
      </c>
      <c r="D2175" s="9">
        <v>18180.0</v>
      </c>
      <c r="E2175" s="9">
        <v>2491.0</v>
      </c>
      <c r="F2175" s="7" t="s">
        <v>389</v>
      </c>
      <c r="G2175" s="7" t="s">
        <v>353</v>
      </c>
      <c r="H2175" s="7" t="s">
        <v>378</v>
      </c>
      <c r="I2175" s="7" t="s">
        <v>355</v>
      </c>
      <c r="J2175" s="14"/>
      <c r="K2175" s="14"/>
      <c r="O2175" s="22"/>
      <c r="P2175" s="22"/>
      <c r="Q2175" s="23"/>
      <c r="R2175" s="23"/>
      <c r="S2175" s="14"/>
    </row>
    <row r="2176" ht="18.75" customHeight="1">
      <c r="A2176" s="7" t="s">
        <v>388</v>
      </c>
      <c r="B2176" s="7" t="s">
        <v>3883</v>
      </c>
      <c r="C2176" s="9">
        <v>1626898.0</v>
      </c>
      <c r="D2176" s="9">
        <v>28722.0</v>
      </c>
      <c r="E2176" s="9">
        <v>3169.0</v>
      </c>
      <c r="F2176" s="7" t="s">
        <v>389</v>
      </c>
      <c r="G2176" s="7" t="s">
        <v>353</v>
      </c>
      <c r="H2176" s="7" t="s">
        <v>378</v>
      </c>
      <c r="I2176" s="7" t="s">
        <v>355</v>
      </c>
      <c r="J2176" s="14"/>
      <c r="K2176" s="14"/>
      <c r="O2176" s="22"/>
      <c r="P2176" s="22"/>
      <c r="Q2176" s="23"/>
      <c r="R2176" s="23"/>
      <c r="S2176" s="14"/>
    </row>
    <row r="2177" ht="18.75" customHeight="1">
      <c r="A2177" s="7" t="s">
        <v>388</v>
      </c>
      <c r="B2177" s="7" t="s">
        <v>3883</v>
      </c>
      <c r="C2177" s="9">
        <v>496169.0</v>
      </c>
      <c r="D2177" s="9">
        <v>20643.0</v>
      </c>
      <c r="E2177" s="9">
        <v>17.0</v>
      </c>
      <c r="F2177" s="7" t="s">
        <v>389</v>
      </c>
      <c r="G2177" s="7" t="s">
        <v>353</v>
      </c>
      <c r="H2177" s="7" t="s">
        <v>378</v>
      </c>
      <c r="I2177" s="7" t="s">
        <v>355</v>
      </c>
      <c r="J2177" s="14"/>
      <c r="K2177" s="14"/>
      <c r="O2177" s="22"/>
      <c r="P2177" s="22"/>
      <c r="Q2177" s="23"/>
      <c r="R2177" s="23"/>
      <c r="S2177" s="14"/>
    </row>
    <row r="2178" ht="18.75" customHeight="1">
      <c r="A2178" s="7" t="s">
        <v>398</v>
      </c>
      <c r="B2178" s="7" t="s">
        <v>3883</v>
      </c>
      <c r="C2178" s="9">
        <v>836331.0</v>
      </c>
      <c r="D2178" s="9">
        <v>0.0</v>
      </c>
      <c r="E2178" s="9">
        <v>27006.0</v>
      </c>
      <c r="F2178" s="7" t="s">
        <v>399</v>
      </c>
      <c r="G2178" s="7" t="s">
        <v>353</v>
      </c>
      <c r="H2178" s="7" t="s">
        <v>378</v>
      </c>
      <c r="I2178" s="7" t="s">
        <v>355</v>
      </c>
      <c r="J2178" s="14"/>
      <c r="K2178" s="14"/>
      <c r="O2178" s="22"/>
      <c r="P2178" s="22"/>
      <c r="Q2178" s="23"/>
      <c r="R2178" s="23"/>
      <c r="S2178" s="14"/>
    </row>
    <row r="2179" ht="18.75" customHeight="1">
      <c r="A2179" s="7" t="s">
        <v>398</v>
      </c>
      <c r="B2179" s="7" t="s">
        <v>3883</v>
      </c>
      <c r="C2179" s="9">
        <v>901238.0</v>
      </c>
      <c r="D2179" s="9">
        <v>0.0</v>
      </c>
      <c r="E2179" s="9">
        <v>29265.0</v>
      </c>
      <c r="F2179" s="7" t="s">
        <v>399</v>
      </c>
      <c r="G2179" s="7" t="s">
        <v>353</v>
      </c>
      <c r="H2179" s="7" t="s">
        <v>378</v>
      </c>
      <c r="I2179" s="7" t="s">
        <v>355</v>
      </c>
      <c r="J2179" s="14"/>
      <c r="K2179" s="14"/>
      <c r="O2179" s="22"/>
      <c r="P2179" s="22"/>
      <c r="Q2179" s="23"/>
      <c r="R2179" s="23"/>
      <c r="S2179" s="14"/>
    </row>
    <row r="2180" ht="18.75" customHeight="1">
      <c r="A2180" s="7" t="s">
        <v>398</v>
      </c>
      <c r="B2180" s="7" t="s">
        <v>3883</v>
      </c>
      <c r="C2180" s="9">
        <v>877183.0</v>
      </c>
      <c r="D2180" s="9">
        <v>0.0</v>
      </c>
      <c r="E2180" s="9">
        <v>30139.0</v>
      </c>
      <c r="F2180" s="7" t="s">
        <v>399</v>
      </c>
      <c r="G2180" s="7" t="s">
        <v>353</v>
      </c>
      <c r="H2180" s="7" t="s">
        <v>378</v>
      </c>
      <c r="I2180" s="7" t="s">
        <v>355</v>
      </c>
      <c r="J2180" s="14"/>
      <c r="K2180" s="14"/>
      <c r="O2180" s="22"/>
      <c r="P2180" s="22"/>
      <c r="Q2180" s="23"/>
      <c r="R2180" s="23"/>
      <c r="S2180" s="14"/>
    </row>
    <row r="2181" ht="18.75" customHeight="1">
      <c r="A2181" s="7" t="s">
        <v>398</v>
      </c>
      <c r="B2181" s="7" t="s">
        <v>3883</v>
      </c>
      <c r="C2181" s="9">
        <v>691748.0</v>
      </c>
      <c r="D2181" s="9">
        <v>0.0</v>
      </c>
      <c r="E2181" s="9">
        <v>19838.0</v>
      </c>
      <c r="F2181" s="7" t="s">
        <v>399</v>
      </c>
      <c r="G2181" s="7" t="s">
        <v>353</v>
      </c>
      <c r="H2181" s="7" t="s">
        <v>378</v>
      </c>
      <c r="I2181" s="7" t="s">
        <v>355</v>
      </c>
      <c r="J2181" s="14"/>
      <c r="K2181" s="14"/>
      <c r="O2181" s="22"/>
      <c r="P2181" s="22"/>
      <c r="Q2181" s="23"/>
      <c r="R2181" s="23"/>
      <c r="S2181" s="14"/>
    </row>
    <row r="2182" ht="18.75" customHeight="1">
      <c r="A2182" s="7" t="s">
        <v>398</v>
      </c>
      <c r="B2182" s="7" t="s">
        <v>3883</v>
      </c>
      <c r="C2182" s="9">
        <v>918984.0</v>
      </c>
      <c r="D2182" s="9">
        <v>0.0</v>
      </c>
      <c r="E2182" s="9">
        <v>28592.0</v>
      </c>
      <c r="F2182" s="7" t="s">
        <v>399</v>
      </c>
      <c r="G2182" s="7" t="s">
        <v>353</v>
      </c>
      <c r="H2182" s="7" t="s">
        <v>378</v>
      </c>
      <c r="I2182" s="7" t="s">
        <v>355</v>
      </c>
      <c r="J2182" s="14"/>
      <c r="K2182" s="14"/>
      <c r="O2182" s="22"/>
      <c r="P2182" s="22"/>
      <c r="Q2182" s="23"/>
      <c r="R2182" s="23"/>
      <c r="S2182" s="14"/>
    </row>
    <row r="2183" ht="18.75" customHeight="1">
      <c r="A2183" s="7" t="s">
        <v>398</v>
      </c>
      <c r="B2183" s="7" t="s">
        <v>3883</v>
      </c>
      <c r="C2183" s="9">
        <v>899664.0</v>
      </c>
      <c r="D2183" s="9">
        <v>0.0</v>
      </c>
      <c r="E2183" s="9">
        <v>26899.0</v>
      </c>
      <c r="F2183" s="7" t="s">
        <v>399</v>
      </c>
      <c r="G2183" s="7" t="s">
        <v>353</v>
      </c>
      <c r="H2183" s="7" t="s">
        <v>378</v>
      </c>
      <c r="I2183" s="7" t="s">
        <v>355</v>
      </c>
      <c r="J2183" s="14"/>
      <c r="K2183" s="14"/>
      <c r="O2183" s="22"/>
      <c r="P2183" s="22"/>
      <c r="Q2183" s="23"/>
      <c r="R2183" s="23"/>
      <c r="S2183" s="14"/>
    </row>
    <row r="2184" ht="18.75" customHeight="1">
      <c r="A2184" s="7" t="s">
        <v>398</v>
      </c>
      <c r="B2184" s="7" t="s">
        <v>3883</v>
      </c>
      <c r="C2184" s="9">
        <v>965902.0</v>
      </c>
      <c r="D2184" s="9">
        <v>0.0</v>
      </c>
      <c r="E2184" s="9">
        <v>28435.0</v>
      </c>
      <c r="F2184" s="7" t="s">
        <v>399</v>
      </c>
      <c r="G2184" s="7" t="s">
        <v>353</v>
      </c>
      <c r="H2184" s="7" t="s">
        <v>378</v>
      </c>
      <c r="I2184" s="7" t="s">
        <v>355</v>
      </c>
      <c r="J2184" s="14"/>
      <c r="K2184" s="14"/>
      <c r="O2184" s="22"/>
      <c r="P2184" s="22"/>
      <c r="Q2184" s="23"/>
      <c r="R2184" s="23"/>
      <c r="S2184" s="14"/>
    </row>
    <row r="2185" ht="18.75" customHeight="1">
      <c r="A2185" s="7" t="s">
        <v>398</v>
      </c>
      <c r="B2185" s="7" t="s">
        <v>3883</v>
      </c>
      <c r="C2185" s="9">
        <v>1103639.0</v>
      </c>
      <c r="D2185" s="9">
        <v>0.0</v>
      </c>
      <c r="E2185" s="9">
        <v>34989.0</v>
      </c>
      <c r="F2185" s="7" t="s">
        <v>399</v>
      </c>
      <c r="G2185" s="7" t="s">
        <v>353</v>
      </c>
      <c r="H2185" s="7" t="s">
        <v>378</v>
      </c>
      <c r="I2185" s="7" t="s">
        <v>355</v>
      </c>
      <c r="J2185" s="14"/>
      <c r="K2185" s="14"/>
      <c r="O2185" s="22"/>
      <c r="P2185" s="22"/>
      <c r="Q2185" s="23"/>
      <c r="R2185" s="23"/>
      <c r="S2185" s="14"/>
    </row>
    <row r="2186" ht="18.75" customHeight="1">
      <c r="A2186" s="7" t="s">
        <v>398</v>
      </c>
      <c r="B2186" s="7" t="s">
        <v>3883</v>
      </c>
      <c r="C2186" s="9">
        <v>915878.0</v>
      </c>
      <c r="D2186" s="9">
        <v>0.0</v>
      </c>
      <c r="E2186" s="9">
        <v>25876.0</v>
      </c>
      <c r="F2186" s="7" t="s">
        <v>399</v>
      </c>
      <c r="G2186" s="7" t="s">
        <v>353</v>
      </c>
      <c r="H2186" s="7" t="s">
        <v>378</v>
      </c>
      <c r="I2186" s="7" t="s">
        <v>355</v>
      </c>
      <c r="J2186" s="14"/>
      <c r="K2186" s="14"/>
      <c r="O2186" s="22"/>
      <c r="P2186" s="22"/>
      <c r="Q2186" s="23"/>
      <c r="R2186" s="23"/>
      <c r="S2186" s="14"/>
    </row>
    <row r="2187" ht="18.75" customHeight="1">
      <c r="A2187" s="7" t="s">
        <v>398</v>
      </c>
      <c r="B2187" s="7" t="s">
        <v>3883</v>
      </c>
      <c r="C2187" s="9">
        <v>648321.0</v>
      </c>
      <c r="D2187" s="9">
        <v>0.0</v>
      </c>
      <c r="E2187" s="9">
        <v>13572.0</v>
      </c>
      <c r="F2187" s="7" t="s">
        <v>399</v>
      </c>
      <c r="G2187" s="7" t="s">
        <v>353</v>
      </c>
      <c r="H2187" s="7" t="s">
        <v>378</v>
      </c>
      <c r="I2187" s="7" t="s">
        <v>355</v>
      </c>
      <c r="J2187" s="14"/>
      <c r="K2187" s="14"/>
      <c r="O2187" s="22"/>
      <c r="P2187" s="22"/>
      <c r="Q2187" s="23"/>
      <c r="R2187" s="23"/>
      <c r="S2187" s="14"/>
    </row>
    <row r="2188" ht="18.75" customHeight="1">
      <c r="A2188" s="7" t="s">
        <v>398</v>
      </c>
      <c r="B2188" s="7" t="s">
        <v>3883</v>
      </c>
      <c r="C2188" s="9">
        <v>922322.0</v>
      </c>
      <c r="D2188" s="9">
        <v>0.0</v>
      </c>
      <c r="E2188" s="9">
        <v>25965.0</v>
      </c>
      <c r="F2188" s="7" t="s">
        <v>399</v>
      </c>
      <c r="G2188" s="7" t="s">
        <v>353</v>
      </c>
      <c r="H2188" s="7" t="s">
        <v>378</v>
      </c>
      <c r="I2188" s="7" t="s">
        <v>355</v>
      </c>
      <c r="J2188" s="14"/>
      <c r="K2188" s="14"/>
      <c r="O2188" s="22"/>
      <c r="P2188" s="22"/>
      <c r="Q2188" s="23"/>
      <c r="R2188" s="23"/>
      <c r="S2188" s="14"/>
    </row>
    <row r="2189" ht="18.75" customHeight="1">
      <c r="A2189" s="7" t="s">
        <v>398</v>
      </c>
      <c r="B2189" s="7" t="s">
        <v>3883</v>
      </c>
      <c r="C2189" s="9">
        <v>795889.0</v>
      </c>
      <c r="D2189" s="9">
        <v>0.0</v>
      </c>
      <c r="E2189" s="9">
        <v>25579.0</v>
      </c>
      <c r="F2189" s="7" t="s">
        <v>399</v>
      </c>
      <c r="G2189" s="7" t="s">
        <v>353</v>
      </c>
      <c r="H2189" s="7" t="s">
        <v>378</v>
      </c>
      <c r="I2189" s="7" t="s">
        <v>355</v>
      </c>
      <c r="J2189" s="14"/>
      <c r="K2189" s="14"/>
      <c r="O2189" s="22"/>
      <c r="P2189" s="22"/>
      <c r="Q2189" s="23"/>
      <c r="R2189" s="23"/>
      <c r="S2189" s="14"/>
    </row>
    <row r="2190" ht="18.75" customHeight="1">
      <c r="A2190" s="7" t="s">
        <v>400</v>
      </c>
      <c r="B2190" s="7" t="s">
        <v>3883</v>
      </c>
      <c r="C2190" s="9">
        <v>2067755.0</v>
      </c>
      <c r="D2190" s="9">
        <v>0.0</v>
      </c>
      <c r="E2190" s="9">
        <v>35696.0</v>
      </c>
      <c r="F2190" s="7" t="s">
        <v>401</v>
      </c>
      <c r="G2190" s="7" t="s">
        <v>353</v>
      </c>
      <c r="H2190" s="7" t="s">
        <v>378</v>
      </c>
      <c r="I2190" s="7" t="s">
        <v>355</v>
      </c>
      <c r="J2190" s="14"/>
      <c r="K2190" s="14"/>
      <c r="O2190" s="22"/>
      <c r="P2190" s="22"/>
      <c r="Q2190" s="23"/>
      <c r="R2190" s="23"/>
      <c r="S2190" s="14"/>
    </row>
    <row r="2191" ht="18.75" customHeight="1">
      <c r="A2191" s="7" t="s">
        <v>400</v>
      </c>
      <c r="B2191" s="7" t="s">
        <v>3883</v>
      </c>
      <c r="C2191" s="9">
        <v>350940.0</v>
      </c>
      <c r="D2191" s="9">
        <v>214799.0</v>
      </c>
      <c r="E2191" s="9">
        <v>192.0</v>
      </c>
      <c r="F2191" s="7" t="s">
        <v>401</v>
      </c>
      <c r="G2191" s="7" t="s">
        <v>353</v>
      </c>
      <c r="H2191" s="7" t="s">
        <v>378</v>
      </c>
      <c r="I2191" s="7" t="s">
        <v>355</v>
      </c>
      <c r="J2191" s="14"/>
      <c r="K2191" s="14"/>
      <c r="O2191" s="22"/>
      <c r="P2191" s="22"/>
      <c r="Q2191" s="23"/>
      <c r="R2191" s="23"/>
      <c r="S2191" s="14"/>
    </row>
    <row r="2192" ht="18.75" customHeight="1">
      <c r="A2192" s="7" t="s">
        <v>400</v>
      </c>
      <c r="B2192" s="7" t="s">
        <v>3883</v>
      </c>
      <c r="C2192" s="9">
        <v>1527024.0</v>
      </c>
      <c r="D2192" s="9">
        <v>36194.0</v>
      </c>
      <c r="E2192" s="9">
        <v>4059.0</v>
      </c>
      <c r="F2192" s="7" t="s">
        <v>401</v>
      </c>
      <c r="G2192" s="7" t="s">
        <v>353</v>
      </c>
      <c r="H2192" s="7" t="s">
        <v>378</v>
      </c>
      <c r="I2192" s="7" t="s">
        <v>355</v>
      </c>
      <c r="J2192" s="14"/>
      <c r="K2192" s="14"/>
      <c r="O2192" s="22"/>
      <c r="P2192" s="22"/>
      <c r="Q2192" s="23"/>
      <c r="R2192" s="23"/>
      <c r="S2192" s="14"/>
    </row>
    <row r="2193" ht="18.75" customHeight="1">
      <c r="A2193" s="7" t="s">
        <v>400</v>
      </c>
      <c r="B2193" s="7" t="s">
        <v>3883</v>
      </c>
      <c r="C2193" s="9">
        <v>328054.0</v>
      </c>
      <c r="D2193" s="9">
        <v>189092.0</v>
      </c>
      <c r="E2193" s="9">
        <v>145.0</v>
      </c>
      <c r="F2193" s="7" t="s">
        <v>401</v>
      </c>
      <c r="G2193" s="7" t="s">
        <v>353</v>
      </c>
      <c r="H2193" s="7" t="s">
        <v>378</v>
      </c>
      <c r="I2193" s="7" t="s">
        <v>355</v>
      </c>
      <c r="J2193" s="14"/>
      <c r="K2193" s="14"/>
      <c r="O2193" s="22"/>
      <c r="P2193" s="22"/>
      <c r="Q2193" s="23"/>
      <c r="R2193" s="23"/>
      <c r="S2193" s="14"/>
    </row>
    <row r="2194" ht="18.75" customHeight="1">
      <c r="A2194" s="7" t="s">
        <v>392</v>
      </c>
      <c r="B2194" s="7" t="s">
        <v>3883</v>
      </c>
      <c r="C2194" s="9">
        <v>1631901.0</v>
      </c>
      <c r="D2194" s="9">
        <v>15526.0</v>
      </c>
      <c r="E2194" s="9">
        <v>1988.0</v>
      </c>
      <c r="F2194" s="7" t="s">
        <v>393</v>
      </c>
      <c r="G2194" s="7" t="s">
        <v>353</v>
      </c>
      <c r="H2194" s="7" t="s">
        <v>378</v>
      </c>
      <c r="I2194" s="7" t="s">
        <v>355</v>
      </c>
      <c r="J2194" s="14"/>
      <c r="K2194" s="14"/>
      <c r="O2194" s="22"/>
      <c r="P2194" s="22"/>
      <c r="Q2194" s="23"/>
      <c r="R2194" s="23"/>
      <c r="S2194" s="14"/>
    </row>
    <row r="2195" ht="18.75" customHeight="1">
      <c r="A2195" s="7" t="s">
        <v>392</v>
      </c>
      <c r="B2195" s="7" t="s">
        <v>3883</v>
      </c>
      <c r="C2195" s="9">
        <v>1110533.0</v>
      </c>
      <c r="D2195" s="9">
        <v>205089.0</v>
      </c>
      <c r="E2195" s="9">
        <v>450.0</v>
      </c>
      <c r="F2195" s="7" t="s">
        <v>393</v>
      </c>
      <c r="G2195" s="7" t="s">
        <v>353</v>
      </c>
      <c r="H2195" s="7" t="s">
        <v>378</v>
      </c>
      <c r="I2195" s="7" t="s">
        <v>355</v>
      </c>
      <c r="J2195" s="14"/>
      <c r="K2195" s="14"/>
      <c r="O2195" s="22"/>
      <c r="P2195" s="22"/>
      <c r="Q2195" s="23"/>
      <c r="R2195" s="23"/>
      <c r="S2195" s="14"/>
    </row>
    <row r="2196" ht="18.75" customHeight="1">
      <c r="A2196" s="7" t="s">
        <v>392</v>
      </c>
      <c r="B2196" s="7" t="s">
        <v>3883</v>
      </c>
      <c r="C2196" s="9">
        <v>1579417.0</v>
      </c>
      <c r="D2196" s="9">
        <v>0.0</v>
      </c>
      <c r="E2196" s="9">
        <v>60030.0</v>
      </c>
      <c r="F2196" s="7" t="s">
        <v>393</v>
      </c>
      <c r="G2196" s="7" t="s">
        <v>353</v>
      </c>
      <c r="H2196" s="7" t="s">
        <v>378</v>
      </c>
      <c r="I2196" s="7" t="s">
        <v>355</v>
      </c>
      <c r="J2196" s="14"/>
      <c r="K2196" s="14"/>
      <c r="O2196" s="22"/>
      <c r="P2196" s="22"/>
      <c r="Q2196" s="23"/>
      <c r="R2196" s="23"/>
      <c r="S2196" s="14"/>
    </row>
    <row r="2197" ht="18.75" customHeight="1">
      <c r="A2197" s="7" t="s">
        <v>392</v>
      </c>
      <c r="B2197" s="7" t="s">
        <v>3883</v>
      </c>
      <c r="C2197" s="9">
        <v>147348.0</v>
      </c>
      <c r="D2197" s="9">
        <v>0.0</v>
      </c>
      <c r="E2197" s="9">
        <v>0.0</v>
      </c>
      <c r="F2197" s="7" t="s">
        <v>393</v>
      </c>
      <c r="G2197" s="7" t="s">
        <v>353</v>
      </c>
      <c r="H2197" s="7" t="s">
        <v>378</v>
      </c>
      <c r="I2197" s="7" t="s">
        <v>355</v>
      </c>
      <c r="J2197" s="14"/>
      <c r="K2197" s="14"/>
      <c r="O2197" s="22"/>
      <c r="P2197" s="22"/>
      <c r="Q2197" s="23"/>
      <c r="R2197" s="23"/>
      <c r="S2197" s="14"/>
    </row>
    <row r="2198" ht="18.75" customHeight="1">
      <c r="A2198" s="7" t="s">
        <v>392</v>
      </c>
      <c r="B2198" s="7" t="s">
        <v>3883</v>
      </c>
      <c r="C2198" s="9">
        <v>965568.0</v>
      </c>
      <c r="D2198" s="9">
        <v>29325.0</v>
      </c>
      <c r="E2198" s="9">
        <v>1725.0</v>
      </c>
      <c r="F2198" s="7" t="s">
        <v>393</v>
      </c>
      <c r="G2198" s="7" t="s">
        <v>353</v>
      </c>
      <c r="H2198" s="7" t="s">
        <v>378</v>
      </c>
      <c r="I2198" s="7" t="s">
        <v>355</v>
      </c>
      <c r="J2198" s="14"/>
      <c r="K2198" s="14"/>
      <c r="O2198" s="22"/>
      <c r="P2198" s="22"/>
      <c r="Q2198" s="23"/>
      <c r="R2198" s="23"/>
      <c r="S2198" s="14"/>
    </row>
    <row r="2199" ht="18.75" customHeight="1">
      <c r="A2199" s="7" t="s">
        <v>392</v>
      </c>
      <c r="B2199" s="7" t="s">
        <v>3883</v>
      </c>
      <c r="C2199" s="9">
        <v>1402528.0</v>
      </c>
      <c r="D2199" s="9">
        <v>27293.0</v>
      </c>
      <c r="E2199" s="9">
        <v>3332.0</v>
      </c>
      <c r="F2199" s="7" t="s">
        <v>393</v>
      </c>
      <c r="G2199" s="7" t="s">
        <v>353</v>
      </c>
      <c r="H2199" s="7" t="s">
        <v>378</v>
      </c>
      <c r="I2199" s="7" t="s">
        <v>355</v>
      </c>
      <c r="J2199" s="14"/>
      <c r="K2199" s="14"/>
      <c r="O2199" s="22"/>
      <c r="P2199" s="22"/>
      <c r="Q2199" s="23"/>
      <c r="R2199" s="23"/>
      <c r="S2199" s="14"/>
    </row>
    <row r="2200" ht="18.75" customHeight="1">
      <c r="A2200" s="7" t="s">
        <v>394</v>
      </c>
      <c r="B2200" s="7" t="s">
        <v>3883</v>
      </c>
      <c r="C2200" s="9">
        <v>303833.0</v>
      </c>
      <c r="D2200" s="9">
        <v>0.0</v>
      </c>
      <c r="E2200" s="9">
        <v>3903.0</v>
      </c>
      <c r="F2200" s="7" t="s">
        <v>395</v>
      </c>
      <c r="G2200" s="7" t="s">
        <v>353</v>
      </c>
      <c r="H2200" s="7" t="s">
        <v>378</v>
      </c>
      <c r="I2200" s="7" t="s">
        <v>355</v>
      </c>
      <c r="J2200" s="14"/>
      <c r="K2200" s="14"/>
      <c r="O2200" s="22"/>
      <c r="P2200" s="22"/>
      <c r="Q2200" s="23"/>
      <c r="R2200" s="23"/>
      <c r="S2200" s="14"/>
    </row>
    <row r="2201" ht="18.75" customHeight="1">
      <c r="A2201" s="7" t="s">
        <v>394</v>
      </c>
      <c r="B2201" s="7" t="s">
        <v>3883</v>
      </c>
      <c r="C2201" s="9">
        <v>1284478.0</v>
      </c>
      <c r="D2201" s="9">
        <v>0.0</v>
      </c>
      <c r="E2201" s="9">
        <v>45970.0</v>
      </c>
      <c r="F2201" s="7" t="s">
        <v>395</v>
      </c>
      <c r="G2201" s="7" t="s">
        <v>353</v>
      </c>
      <c r="H2201" s="7" t="s">
        <v>378</v>
      </c>
      <c r="I2201" s="7" t="s">
        <v>355</v>
      </c>
      <c r="J2201" s="14"/>
      <c r="K2201" s="14"/>
      <c r="O2201" s="22"/>
      <c r="P2201" s="22"/>
      <c r="Q2201" s="23"/>
      <c r="R2201" s="23"/>
      <c r="S2201" s="14"/>
    </row>
    <row r="2202" ht="18.75" customHeight="1">
      <c r="A2202" s="7" t="s">
        <v>394</v>
      </c>
      <c r="B2202" s="7" t="s">
        <v>3883</v>
      </c>
      <c r="C2202" s="9">
        <v>717749.0</v>
      </c>
      <c r="D2202" s="9">
        <v>12453.0</v>
      </c>
      <c r="E2202" s="9">
        <v>346.0</v>
      </c>
      <c r="F2202" s="7" t="s">
        <v>395</v>
      </c>
      <c r="G2202" s="7" t="s">
        <v>353</v>
      </c>
      <c r="H2202" s="7" t="s">
        <v>378</v>
      </c>
      <c r="I2202" s="7" t="s">
        <v>355</v>
      </c>
      <c r="J2202" s="14"/>
      <c r="K2202" s="14"/>
      <c r="O2202" s="22"/>
      <c r="P2202" s="22"/>
      <c r="Q2202" s="23"/>
      <c r="R2202" s="23"/>
      <c r="S2202" s="14"/>
    </row>
    <row r="2203" ht="18.75" customHeight="1">
      <c r="A2203" s="7" t="s">
        <v>394</v>
      </c>
      <c r="B2203" s="7" t="s">
        <v>3883</v>
      </c>
      <c r="C2203" s="9">
        <v>943303.0</v>
      </c>
      <c r="D2203" s="9">
        <v>55933.0</v>
      </c>
      <c r="E2203" s="9">
        <v>180.0</v>
      </c>
      <c r="F2203" s="7" t="s">
        <v>395</v>
      </c>
      <c r="G2203" s="7" t="s">
        <v>353</v>
      </c>
      <c r="H2203" s="7" t="s">
        <v>378</v>
      </c>
      <c r="I2203" s="7" t="s">
        <v>355</v>
      </c>
      <c r="J2203" s="14"/>
      <c r="K2203" s="14"/>
      <c r="O2203" s="22"/>
      <c r="P2203" s="22"/>
      <c r="Q2203" s="23"/>
      <c r="R2203" s="23"/>
      <c r="S2203" s="14"/>
    </row>
    <row r="2204" ht="18.75" customHeight="1">
      <c r="A2204" s="7" t="s">
        <v>394</v>
      </c>
      <c r="B2204" s="7" t="s">
        <v>3883</v>
      </c>
      <c r="C2204" s="9">
        <v>1246350.0</v>
      </c>
      <c r="D2204" s="9">
        <v>17687.0</v>
      </c>
      <c r="E2204" s="9">
        <v>1950.0</v>
      </c>
      <c r="F2204" s="7" t="s">
        <v>395</v>
      </c>
      <c r="G2204" s="7" t="s">
        <v>353</v>
      </c>
      <c r="H2204" s="7" t="s">
        <v>378</v>
      </c>
      <c r="I2204" s="7" t="s">
        <v>355</v>
      </c>
      <c r="J2204" s="14"/>
      <c r="K2204" s="14"/>
      <c r="O2204" s="22"/>
      <c r="P2204" s="22"/>
      <c r="Q2204" s="23"/>
      <c r="R2204" s="23"/>
      <c r="S2204" s="14"/>
    </row>
    <row r="2205" ht="18.75" customHeight="1">
      <c r="A2205" s="7" t="s">
        <v>351</v>
      </c>
      <c r="B2205" s="7" t="s">
        <v>3883</v>
      </c>
      <c r="C2205" s="9">
        <v>49935.0</v>
      </c>
      <c r="D2205" s="9">
        <v>0.0</v>
      </c>
      <c r="E2205" s="9">
        <v>4402.0</v>
      </c>
      <c r="F2205" s="7" t="s">
        <v>352</v>
      </c>
      <c r="G2205" s="7" t="s">
        <v>353</v>
      </c>
      <c r="H2205" s="7" t="s">
        <v>354</v>
      </c>
      <c r="I2205" s="7" t="s">
        <v>410</v>
      </c>
      <c r="J2205" s="14"/>
      <c r="K2205" s="14"/>
      <c r="O2205" s="22"/>
      <c r="P2205" s="22"/>
      <c r="Q2205" s="23"/>
      <c r="R2205" s="23"/>
      <c r="S2205" s="14"/>
    </row>
    <row r="2206" ht="18.75" customHeight="1">
      <c r="A2206" s="7" t="s">
        <v>351</v>
      </c>
      <c r="B2206" s="7" t="s">
        <v>3883</v>
      </c>
      <c r="C2206" s="9">
        <v>1953369.0</v>
      </c>
      <c r="D2206" s="9">
        <v>0.0</v>
      </c>
      <c r="E2206" s="9">
        <v>60646.0</v>
      </c>
      <c r="F2206" s="7" t="s">
        <v>352</v>
      </c>
      <c r="G2206" s="7" t="s">
        <v>353</v>
      </c>
      <c r="H2206" s="7" t="s">
        <v>354</v>
      </c>
      <c r="I2206" s="7" t="s">
        <v>410</v>
      </c>
      <c r="J2206" s="14"/>
      <c r="K2206" s="14"/>
      <c r="O2206" s="22"/>
      <c r="P2206" s="22"/>
      <c r="Q2206" s="23"/>
      <c r="R2206" s="23"/>
      <c r="S2206" s="14"/>
    </row>
    <row r="2207" ht="18.75" customHeight="1">
      <c r="A2207" s="7" t="s">
        <v>351</v>
      </c>
      <c r="B2207" s="7" t="s">
        <v>3883</v>
      </c>
      <c r="C2207" s="9">
        <v>547868.0</v>
      </c>
      <c r="D2207" s="9">
        <v>9035.0</v>
      </c>
      <c r="E2207" s="9">
        <v>328.0</v>
      </c>
      <c r="F2207" s="7" t="s">
        <v>352</v>
      </c>
      <c r="G2207" s="7" t="s">
        <v>353</v>
      </c>
      <c r="H2207" s="7" t="s">
        <v>354</v>
      </c>
      <c r="I2207" s="7" t="s">
        <v>410</v>
      </c>
      <c r="J2207" s="14"/>
      <c r="K2207" s="14"/>
      <c r="O2207" s="22"/>
      <c r="P2207" s="22"/>
      <c r="Q2207" s="23"/>
      <c r="R2207" s="23"/>
      <c r="S2207" s="14"/>
    </row>
    <row r="2208" ht="18.75" customHeight="1">
      <c r="A2208" s="7" t="s">
        <v>351</v>
      </c>
      <c r="B2208" s="7" t="s">
        <v>3883</v>
      </c>
      <c r="C2208" s="9">
        <v>2162217.0</v>
      </c>
      <c r="D2208" s="9">
        <v>43669.0</v>
      </c>
      <c r="E2208" s="9">
        <v>3545.0</v>
      </c>
      <c r="F2208" s="7" t="s">
        <v>352</v>
      </c>
      <c r="G2208" s="7" t="s">
        <v>353</v>
      </c>
      <c r="H2208" s="7" t="s">
        <v>354</v>
      </c>
      <c r="I2208" s="7" t="s">
        <v>410</v>
      </c>
      <c r="J2208" s="14"/>
      <c r="K2208" s="14"/>
      <c r="O2208" s="22"/>
      <c r="P2208" s="22"/>
      <c r="Q2208" s="23"/>
      <c r="R2208" s="23"/>
      <c r="S2208" s="14"/>
    </row>
    <row r="2209" ht="18.75" customHeight="1">
      <c r="A2209" s="7" t="s">
        <v>351</v>
      </c>
      <c r="B2209" s="7" t="s">
        <v>3883</v>
      </c>
      <c r="C2209" s="9">
        <v>519235.0</v>
      </c>
      <c r="D2209" s="9">
        <v>0.0</v>
      </c>
      <c r="E2209" s="9">
        <v>18.0</v>
      </c>
      <c r="F2209" s="7" t="s">
        <v>352</v>
      </c>
      <c r="G2209" s="7" t="s">
        <v>353</v>
      </c>
      <c r="H2209" s="7" t="s">
        <v>354</v>
      </c>
      <c r="I2209" s="7" t="s">
        <v>410</v>
      </c>
      <c r="J2209" s="14"/>
      <c r="K2209" s="14"/>
      <c r="O2209" s="22"/>
      <c r="P2209" s="22"/>
      <c r="Q2209" s="23"/>
      <c r="R2209" s="23"/>
      <c r="S2209" s="14"/>
    </row>
    <row r="2210" ht="18.75" customHeight="1">
      <c r="A2210" s="7" t="s">
        <v>351</v>
      </c>
      <c r="B2210" s="7" t="s">
        <v>3883</v>
      </c>
      <c r="C2210" s="9">
        <v>1936451.0</v>
      </c>
      <c r="D2210" s="9">
        <v>0.0</v>
      </c>
      <c r="E2210" s="9">
        <v>59798.0</v>
      </c>
      <c r="F2210" s="7" t="s">
        <v>352</v>
      </c>
      <c r="G2210" s="7" t="s">
        <v>353</v>
      </c>
      <c r="H2210" s="7" t="s">
        <v>354</v>
      </c>
      <c r="I2210" s="7" t="s">
        <v>410</v>
      </c>
      <c r="J2210" s="14"/>
      <c r="K2210" s="14"/>
      <c r="O2210" s="22"/>
      <c r="P2210" s="22"/>
      <c r="Q2210" s="23"/>
      <c r="R2210" s="23"/>
      <c r="S2210" s="14"/>
    </row>
    <row r="2211" ht="18.75" customHeight="1">
      <c r="A2211" s="7" t="s">
        <v>351</v>
      </c>
      <c r="B2211" s="7" t="s">
        <v>3883</v>
      </c>
      <c r="C2211" s="9">
        <v>2008574.0</v>
      </c>
      <c r="D2211" s="9">
        <v>105992.0</v>
      </c>
      <c r="E2211" s="9">
        <v>975.0</v>
      </c>
      <c r="F2211" s="7" t="s">
        <v>352</v>
      </c>
      <c r="G2211" s="7" t="s">
        <v>353</v>
      </c>
      <c r="H2211" s="7" t="s">
        <v>354</v>
      </c>
      <c r="I2211" s="7" t="s">
        <v>410</v>
      </c>
      <c r="J2211" s="14"/>
      <c r="K2211" s="14"/>
      <c r="O2211" s="22"/>
      <c r="P2211" s="22"/>
      <c r="Q2211" s="23"/>
      <c r="R2211" s="23"/>
      <c r="S2211" s="14"/>
    </row>
    <row r="2212" ht="18.75" customHeight="1">
      <c r="A2212" s="7" t="s">
        <v>351</v>
      </c>
      <c r="B2212" s="7" t="s">
        <v>3883</v>
      </c>
      <c r="C2212" s="9">
        <v>1098507.0</v>
      </c>
      <c r="D2212" s="9">
        <v>16721.0</v>
      </c>
      <c r="E2212" s="9">
        <v>1540.0</v>
      </c>
      <c r="F2212" s="7" t="s">
        <v>352</v>
      </c>
      <c r="G2212" s="7" t="s">
        <v>353</v>
      </c>
      <c r="H2212" s="7" t="s">
        <v>354</v>
      </c>
      <c r="I2212" s="7" t="s">
        <v>410</v>
      </c>
      <c r="J2212" s="14"/>
      <c r="K2212" s="14"/>
      <c r="O2212" s="22"/>
      <c r="P2212" s="22"/>
      <c r="Q2212" s="23"/>
      <c r="R2212" s="23"/>
      <c r="S2212" s="14"/>
    </row>
    <row r="2213" ht="18.75" customHeight="1">
      <c r="A2213" s="7" t="s">
        <v>351</v>
      </c>
      <c r="B2213" s="7" t="s">
        <v>3883</v>
      </c>
      <c r="C2213" s="9">
        <v>534702.0</v>
      </c>
      <c r="D2213" s="9">
        <v>0.0</v>
      </c>
      <c r="E2213" s="9">
        <v>22.0</v>
      </c>
      <c r="F2213" s="7" t="s">
        <v>352</v>
      </c>
      <c r="G2213" s="7" t="s">
        <v>353</v>
      </c>
      <c r="H2213" s="7" t="s">
        <v>354</v>
      </c>
      <c r="I2213" s="7" t="s">
        <v>410</v>
      </c>
      <c r="J2213" s="14"/>
      <c r="K2213" s="14"/>
      <c r="O2213" s="22"/>
      <c r="P2213" s="22"/>
      <c r="Q2213" s="23"/>
      <c r="R2213" s="23"/>
      <c r="S2213" s="14"/>
    </row>
    <row r="2214" ht="18.75" customHeight="1">
      <c r="A2214" s="7" t="s">
        <v>351</v>
      </c>
      <c r="B2214" s="7" t="s">
        <v>3883</v>
      </c>
      <c r="C2214" s="9">
        <v>1515293.0</v>
      </c>
      <c r="D2214" s="9">
        <v>133367.0</v>
      </c>
      <c r="E2214" s="9">
        <v>43771.0</v>
      </c>
      <c r="F2214" s="7" t="s">
        <v>352</v>
      </c>
      <c r="G2214" s="7" t="s">
        <v>353</v>
      </c>
      <c r="H2214" s="7" t="s">
        <v>354</v>
      </c>
      <c r="I2214" s="7" t="s">
        <v>410</v>
      </c>
      <c r="J2214" s="14"/>
      <c r="K2214" s="14"/>
      <c r="O2214" s="22"/>
      <c r="P2214" s="22"/>
      <c r="Q2214" s="23"/>
      <c r="R2214" s="23"/>
      <c r="S2214" s="14"/>
    </row>
    <row r="2215" ht="18.75" customHeight="1">
      <c r="A2215" s="7" t="s">
        <v>351</v>
      </c>
      <c r="B2215" s="7" t="s">
        <v>3883</v>
      </c>
      <c r="C2215" s="9">
        <v>1800599.0</v>
      </c>
      <c r="D2215" s="9">
        <v>0.0</v>
      </c>
      <c r="E2215" s="9">
        <v>24726.0</v>
      </c>
      <c r="F2215" s="7" t="s">
        <v>352</v>
      </c>
      <c r="G2215" s="7" t="s">
        <v>353</v>
      </c>
      <c r="H2215" s="7" t="s">
        <v>354</v>
      </c>
      <c r="I2215" s="7" t="s">
        <v>410</v>
      </c>
      <c r="J2215" s="14"/>
      <c r="K2215" s="14"/>
      <c r="O2215" s="22"/>
      <c r="P2215" s="22"/>
      <c r="Q2215" s="23"/>
      <c r="R2215" s="23"/>
      <c r="S2215" s="14"/>
    </row>
    <row r="2216" ht="18.75" customHeight="1">
      <c r="A2216" s="7" t="s">
        <v>351</v>
      </c>
      <c r="B2216" s="7" t="s">
        <v>3883</v>
      </c>
      <c r="C2216" s="9">
        <v>1453461.0</v>
      </c>
      <c r="D2216" s="9">
        <v>0.0</v>
      </c>
      <c r="E2216" s="9">
        <v>24307.0</v>
      </c>
      <c r="F2216" s="7" t="s">
        <v>352</v>
      </c>
      <c r="G2216" s="7" t="s">
        <v>353</v>
      </c>
      <c r="H2216" s="7" t="s">
        <v>354</v>
      </c>
      <c r="I2216" s="7" t="s">
        <v>410</v>
      </c>
      <c r="J2216" s="14"/>
      <c r="K2216" s="14"/>
      <c r="O2216" s="22"/>
      <c r="P2216" s="22"/>
      <c r="Q2216" s="23"/>
      <c r="R2216" s="23"/>
      <c r="S2216" s="14"/>
    </row>
    <row r="2217" ht="18.75" customHeight="1">
      <c r="A2217" s="7" t="s">
        <v>351</v>
      </c>
      <c r="B2217" s="7" t="s">
        <v>3883</v>
      </c>
      <c r="C2217" s="9">
        <v>1497401.0</v>
      </c>
      <c r="D2217" s="9">
        <v>0.0</v>
      </c>
      <c r="E2217" s="9">
        <v>23323.0</v>
      </c>
      <c r="F2217" s="7" t="s">
        <v>352</v>
      </c>
      <c r="G2217" s="7" t="s">
        <v>353</v>
      </c>
      <c r="H2217" s="7" t="s">
        <v>354</v>
      </c>
      <c r="I2217" s="7" t="s">
        <v>410</v>
      </c>
      <c r="J2217" s="14"/>
      <c r="K2217" s="14"/>
      <c r="O2217" s="22"/>
      <c r="P2217" s="22"/>
      <c r="Q2217" s="23"/>
      <c r="R2217" s="23"/>
      <c r="S2217" s="14"/>
    </row>
    <row r="2218" ht="18.75" customHeight="1">
      <c r="A2218" s="7" t="s">
        <v>351</v>
      </c>
      <c r="B2218" s="7" t="s">
        <v>3883</v>
      </c>
      <c r="C2218" s="9">
        <v>1990918.0</v>
      </c>
      <c r="D2218" s="9">
        <v>0.0</v>
      </c>
      <c r="E2218" s="9">
        <v>26341.0</v>
      </c>
      <c r="F2218" s="7" t="s">
        <v>352</v>
      </c>
      <c r="G2218" s="7" t="s">
        <v>353</v>
      </c>
      <c r="H2218" s="7" t="s">
        <v>354</v>
      </c>
      <c r="I2218" s="7" t="s">
        <v>410</v>
      </c>
      <c r="J2218" s="14"/>
      <c r="K2218" s="14"/>
      <c r="O2218" s="22"/>
      <c r="P2218" s="22"/>
      <c r="Q2218" s="23"/>
      <c r="R2218" s="23"/>
      <c r="S2218" s="14"/>
    </row>
    <row r="2219" ht="18.75" customHeight="1">
      <c r="A2219" s="7" t="s">
        <v>351</v>
      </c>
      <c r="B2219" s="7" t="s">
        <v>3883</v>
      </c>
      <c r="C2219" s="9">
        <v>1242147.0</v>
      </c>
      <c r="D2219" s="9">
        <v>0.0</v>
      </c>
      <c r="E2219" s="9">
        <v>23389.0</v>
      </c>
      <c r="F2219" s="7" t="s">
        <v>352</v>
      </c>
      <c r="G2219" s="7" t="s">
        <v>353</v>
      </c>
      <c r="H2219" s="7" t="s">
        <v>354</v>
      </c>
      <c r="I2219" s="7" t="s">
        <v>410</v>
      </c>
      <c r="J2219" s="14"/>
      <c r="K2219" s="14"/>
      <c r="O2219" s="22"/>
      <c r="P2219" s="22"/>
      <c r="Q2219" s="23"/>
      <c r="R2219" s="23"/>
      <c r="S2219" s="14"/>
    </row>
    <row r="2220" ht="18.75" customHeight="1">
      <c r="A2220" s="7" t="s">
        <v>351</v>
      </c>
      <c r="B2220" s="7" t="s">
        <v>3883</v>
      </c>
      <c r="C2220" s="9">
        <v>1582226.0</v>
      </c>
      <c r="D2220" s="9">
        <v>0.0</v>
      </c>
      <c r="E2220" s="9">
        <v>23808.0</v>
      </c>
      <c r="F2220" s="7" t="s">
        <v>352</v>
      </c>
      <c r="G2220" s="7" t="s">
        <v>353</v>
      </c>
      <c r="H2220" s="7" t="s">
        <v>354</v>
      </c>
      <c r="I2220" s="7" t="s">
        <v>410</v>
      </c>
      <c r="J2220" s="14"/>
      <c r="K2220" s="14"/>
      <c r="O2220" s="22"/>
      <c r="P2220" s="22"/>
      <c r="Q2220" s="23"/>
      <c r="R2220" s="23"/>
      <c r="S2220" s="14"/>
    </row>
    <row r="2221" ht="18.75" customHeight="1">
      <c r="A2221" s="7" t="s">
        <v>351</v>
      </c>
      <c r="B2221" s="7" t="s">
        <v>3883</v>
      </c>
      <c r="C2221" s="9">
        <v>2006212.0</v>
      </c>
      <c r="D2221" s="9">
        <v>0.0</v>
      </c>
      <c r="E2221" s="9">
        <v>25253.0</v>
      </c>
      <c r="F2221" s="7" t="s">
        <v>352</v>
      </c>
      <c r="G2221" s="7" t="s">
        <v>353</v>
      </c>
      <c r="H2221" s="7" t="s">
        <v>354</v>
      </c>
      <c r="I2221" s="7" t="s">
        <v>410</v>
      </c>
      <c r="J2221" s="14"/>
      <c r="K2221" s="14"/>
      <c r="O2221" s="22"/>
      <c r="P2221" s="22"/>
      <c r="Q2221" s="23"/>
      <c r="R2221" s="23"/>
      <c r="S2221" s="14"/>
    </row>
    <row r="2222" ht="18.75" customHeight="1">
      <c r="A2222" s="7" t="s">
        <v>351</v>
      </c>
      <c r="B2222" s="7" t="s">
        <v>3883</v>
      </c>
      <c r="C2222" s="9">
        <v>1525951.0</v>
      </c>
      <c r="D2222" s="9">
        <v>0.0</v>
      </c>
      <c r="E2222" s="9">
        <v>22539.0</v>
      </c>
      <c r="F2222" s="7" t="s">
        <v>352</v>
      </c>
      <c r="G2222" s="7" t="s">
        <v>353</v>
      </c>
      <c r="H2222" s="7" t="s">
        <v>354</v>
      </c>
      <c r="I2222" s="7" t="s">
        <v>410</v>
      </c>
      <c r="J2222" s="14"/>
      <c r="K2222" s="14"/>
      <c r="O2222" s="22"/>
      <c r="P2222" s="22"/>
      <c r="Q2222" s="23"/>
      <c r="R2222" s="23"/>
      <c r="S2222" s="14"/>
    </row>
    <row r="2223" ht="18.75" customHeight="1">
      <c r="A2223" s="7" t="s">
        <v>408</v>
      </c>
      <c r="B2223" s="7" t="s">
        <v>3883</v>
      </c>
      <c r="C2223" s="9">
        <v>871487.0</v>
      </c>
      <c r="D2223" s="9">
        <v>0.0</v>
      </c>
      <c r="E2223" s="9">
        <v>16208.0</v>
      </c>
      <c r="F2223" s="7" t="s">
        <v>409</v>
      </c>
      <c r="G2223" s="7" t="s">
        <v>353</v>
      </c>
      <c r="H2223" s="7" t="s">
        <v>354</v>
      </c>
      <c r="I2223" s="7" t="s">
        <v>410</v>
      </c>
      <c r="J2223" s="14"/>
      <c r="K2223" s="14"/>
      <c r="O2223" s="22"/>
      <c r="P2223" s="22"/>
      <c r="Q2223" s="23"/>
      <c r="R2223" s="23"/>
      <c r="S2223" s="14"/>
    </row>
    <row r="2224" ht="18.75" customHeight="1">
      <c r="A2224" s="7" t="s">
        <v>408</v>
      </c>
      <c r="B2224" s="7" t="s">
        <v>3883</v>
      </c>
      <c r="C2224" s="9">
        <v>782387.0</v>
      </c>
      <c r="D2224" s="9">
        <v>154758.0</v>
      </c>
      <c r="E2224" s="9">
        <v>813.0</v>
      </c>
      <c r="F2224" s="7" t="s">
        <v>409</v>
      </c>
      <c r="G2224" s="7" t="s">
        <v>353</v>
      </c>
      <c r="H2224" s="7" t="s">
        <v>354</v>
      </c>
      <c r="I2224" s="7" t="s">
        <v>410</v>
      </c>
      <c r="J2224" s="14"/>
      <c r="K2224" s="14"/>
      <c r="O2224" s="22"/>
      <c r="P2224" s="22"/>
      <c r="Q2224" s="23"/>
      <c r="R2224" s="23"/>
      <c r="S2224" s="14"/>
    </row>
    <row r="2225" ht="18.75" customHeight="1">
      <c r="A2225" s="7" t="s">
        <v>408</v>
      </c>
      <c r="B2225" s="7" t="s">
        <v>3883</v>
      </c>
      <c r="C2225" s="9">
        <v>401708.0</v>
      </c>
      <c r="D2225" s="9">
        <v>9809.0</v>
      </c>
      <c r="E2225" s="9">
        <v>732.0</v>
      </c>
      <c r="F2225" s="7" t="s">
        <v>409</v>
      </c>
      <c r="G2225" s="7" t="s">
        <v>353</v>
      </c>
      <c r="H2225" s="7" t="s">
        <v>354</v>
      </c>
      <c r="I2225" s="7" t="s">
        <v>410</v>
      </c>
      <c r="J2225" s="14"/>
      <c r="K2225" s="14"/>
      <c r="O2225" s="22"/>
      <c r="P2225" s="22"/>
      <c r="Q2225" s="23"/>
      <c r="R2225" s="23"/>
      <c r="S2225" s="14"/>
    </row>
    <row r="2226" ht="18.75" customHeight="1">
      <c r="A2226" s="7" t="s">
        <v>553</v>
      </c>
      <c r="B2226" s="7" t="s">
        <v>3883</v>
      </c>
      <c r="C2226" s="9">
        <v>48330.0</v>
      </c>
      <c r="D2226" s="9">
        <v>0.0</v>
      </c>
      <c r="E2226" s="9">
        <v>1538.0</v>
      </c>
      <c r="F2226" s="7" t="s">
        <v>554</v>
      </c>
      <c r="G2226" s="7" t="s">
        <v>364</v>
      </c>
      <c r="H2226" s="7" t="s">
        <v>365</v>
      </c>
      <c r="I2226" s="7" t="s">
        <v>355</v>
      </c>
      <c r="J2226" s="14"/>
      <c r="K2226" s="14"/>
      <c r="O2226" s="22"/>
      <c r="P2226" s="22"/>
      <c r="Q2226" s="23"/>
      <c r="R2226" s="23"/>
      <c r="S2226" s="14"/>
    </row>
    <row r="2227" ht="18.75" customHeight="1">
      <c r="A2227" s="7" t="s">
        <v>383</v>
      </c>
      <c r="B2227" s="7" t="s">
        <v>3883</v>
      </c>
      <c r="C2227" s="9">
        <v>3401.0</v>
      </c>
      <c r="D2227" s="9">
        <v>0.0</v>
      </c>
      <c r="E2227" s="9">
        <v>305.0</v>
      </c>
      <c r="F2227" s="7" t="s">
        <v>384</v>
      </c>
      <c r="G2227" s="7" t="s">
        <v>353</v>
      </c>
      <c r="H2227" s="7" t="s">
        <v>378</v>
      </c>
      <c r="I2227" s="7" t="s">
        <v>355</v>
      </c>
      <c r="J2227" s="14"/>
      <c r="K2227" s="14"/>
      <c r="O2227" s="22"/>
      <c r="P2227" s="22"/>
      <c r="Q2227" s="23"/>
      <c r="R2227" s="23"/>
      <c r="S2227" s="14"/>
    </row>
    <row r="2228" ht="18.75" customHeight="1">
      <c r="A2228" s="7" t="s">
        <v>402</v>
      </c>
      <c r="B2228" s="7" t="s">
        <v>3883</v>
      </c>
      <c r="C2228" s="9">
        <v>332839.0</v>
      </c>
      <c r="D2228" s="9">
        <v>0.0</v>
      </c>
      <c r="E2228" s="9">
        <v>34446.0</v>
      </c>
      <c r="F2228" s="7" t="s">
        <v>403</v>
      </c>
      <c r="G2228" s="7" t="s">
        <v>404</v>
      </c>
      <c r="H2228" s="7" t="s">
        <v>405</v>
      </c>
      <c r="I2228" s="7" t="s">
        <v>355</v>
      </c>
      <c r="J2228" s="14"/>
      <c r="K2228" s="14"/>
      <c r="O2228" s="22"/>
      <c r="P2228" s="22"/>
      <c r="Q2228" s="23"/>
      <c r="R2228" s="23"/>
      <c r="S2228" s="14"/>
    </row>
    <row r="2229" ht="18.75" customHeight="1">
      <c r="A2229" s="7" t="s">
        <v>402</v>
      </c>
      <c r="B2229" s="7" t="s">
        <v>3883</v>
      </c>
      <c r="C2229" s="9">
        <v>254725.0</v>
      </c>
      <c r="D2229" s="9">
        <v>39025.0</v>
      </c>
      <c r="E2229" s="9">
        <v>412.0</v>
      </c>
      <c r="F2229" s="7" t="s">
        <v>403</v>
      </c>
      <c r="G2229" s="7" t="s">
        <v>404</v>
      </c>
      <c r="H2229" s="7" t="s">
        <v>405</v>
      </c>
      <c r="I2229" s="7" t="s">
        <v>355</v>
      </c>
      <c r="J2229" s="14"/>
      <c r="K2229" s="14"/>
      <c r="O2229" s="22"/>
      <c r="P2229" s="22"/>
      <c r="Q2229" s="23"/>
      <c r="R2229" s="23"/>
      <c r="S2229" s="14"/>
    </row>
    <row r="2230" ht="18.75" customHeight="1">
      <c r="A2230" s="7" t="s">
        <v>402</v>
      </c>
      <c r="B2230" s="7" t="s">
        <v>3883</v>
      </c>
      <c r="C2230" s="9">
        <v>167746.0</v>
      </c>
      <c r="D2230" s="9">
        <v>151347.0</v>
      </c>
      <c r="E2230" s="9">
        <v>43.0</v>
      </c>
      <c r="F2230" s="7" t="s">
        <v>403</v>
      </c>
      <c r="G2230" s="7" t="s">
        <v>404</v>
      </c>
      <c r="H2230" s="7" t="s">
        <v>405</v>
      </c>
      <c r="I2230" s="7" t="s">
        <v>355</v>
      </c>
      <c r="J2230" s="14"/>
      <c r="K2230" s="14"/>
      <c r="O2230" s="22"/>
      <c r="P2230" s="22"/>
      <c r="Q2230" s="23"/>
      <c r="R2230" s="23"/>
      <c r="S2230" s="14"/>
    </row>
    <row r="2231" ht="18.75" customHeight="1">
      <c r="A2231" s="7" t="s">
        <v>402</v>
      </c>
      <c r="B2231" s="7" t="s">
        <v>3883</v>
      </c>
      <c r="C2231" s="9">
        <v>2160089.0</v>
      </c>
      <c r="D2231" s="9">
        <v>0.0</v>
      </c>
      <c r="E2231" s="9">
        <v>94846.0</v>
      </c>
      <c r="F2231" s="7" t="s">
        <v>403</v>
      </c>
      <c r="G2231" s="7" t="s">
        <v>404</v>
      </c>
      <c r="H2231" s="7" t="s">
        <v>405</v>
      </c>
      <c r="I2231" s="7" t="s">
        <v>355</v>
      </c>
      <c r="J2231" s="14"/>
      <c r="K2231" s="14"/>
      <c r="O2231" s="22"/>
      <c r="P2231" s="22"/>
      <c r="Q2231" s="23"/>
      <c r="R2231" s="23"/>
      <c r="S2231" s="14"/>
    </row>
    <row r="2232" ht="18.75" customHeight="1">
      <c r="A2232" s="7" t="s">
        <v>402</v>
      </c>
      <c r="B2232" s="7" t="s">
        <v>3883</v>
      </c>
      <c r="C2232" s="9">
        <v>1133805.0</v>
      </c>
      <c r="D2232" s="9">
        <v>52133.0</v>
      </c>
      <c r="E2232" s="9">
        <v>230.0</v>
      </c>
      <c r="F2232" s="7" t="s">
        <v>403</v>
      </c>
      <c r="G2232" s="7" t="s">
        <v>404</v>
      </c>
      <c r="H2232" s="7" t="s">
        <v>405</v>
      </c>
      <c r="I2232" s="7" t="s">
        <v>355</v>
      </c>
      <c r="J2232" s="14"/>
      <c r="K2232" s="14"/>
      <c r="O2232" s="22"/>
      <c r="P2232" s="22"/>
      <c r="Q2232" s="23"/>
      <c r="R2232" s="23"/>
      <c r="S2232" s="14"/>
    </row>
    <row r="2233" ht="18.75" customHeight="1">
      <c r="A2233" s="7" t="s">
        <v>402</v>
      </c>
      <c r="B2233" s="7" t="s">
        <v>3883</v>
      </c>
      <c r="C2233" s="9">
        <v>417166.0</v>
      </c>
      <c r="D2233" s="9">
        <v>0.0</v>
      </c>
      <c r="E2233" s="9">
        <v>0.0</v>
      </c>
      <c r="F2233" s="7" t="s">
        <v>403</v>
      </c>
      <c r="G2233" s="7" t="s">
        <v>404</v>
      </c>
      <c r="H2233" s="7" t="s">
        <v>405</v>
      </c>
      <c r="I2233" s="7" t="s">
        <v>355</v>
      </c>
      <c r="J2233" s="14"/>
      <c r="K2233" s="14"/>
      <c r="O2233" s="22"/>
      <c r="P2233" s="22"/>
      <c r="Q2233" s="23"/>
      <c r="R2233" s="23"/>
      <c r="S2233" s="14"/>
    </row>
    <row r="2234" ht="18.75" customHeight="1">
      <c r="A2234" s="7" t="s">
        <v>402</v>
      </c>
      <c r="B2234" s="7" t="s">
        <v>3883</v>
      </c>
      <c r="C2234" s="9">
        <v>793245.0</v>
      </c>
      <c r="D2234" s="9">
        <v>0.0</v>
      </c>
      <c r="E2234" s="9">
        <v>800.0</v>
      </c>
      <c r="F2234" s="7" t="s">
        <v>403</v>
      </c>
      <c r="G2234" s="7" t="s">
        <v>404</v>
      </c>
      <c r="H2234" s="7" t="s">
        <v>405</v>
      </c>
      <c r="I2234" s="7" t="s">
        <v>355</v>
      </c>
      <c r="J2234" s="14"/>
      <c r="K2234" s="14"/>
      <c r="O2234" s="22"/>
      <c r="P2234" s="22"/>
      <c r="Q2234" s="23"/>
      <c r="R2234" s="23"/>
      <c r="S2234" s="14"/>
    </row>
    <row r="2235" ht="18.75" customHeight="1">
      <c r="A2235" s="7" t="s">
        <v>402</v>
      </c>
      <c r="B2235" s="7" t="s">
        <v>3883</v>
      </c>
      <c r="C2235" s="9">
        <v>1567811.0</v>
      </c>
      <c r="D2235" s="9">
        <v>1493495.0</v>
      </c>
      <c r="E2235" s="9">
        <v>548.0</v>
      </c>
      <c r="F2235" s="7" t="s">
        <v>403</v>
      </c>
      <c r="G2235" s="7" t="s">
        <v>404</v>
      </c>
      <c r="H2235" s="7" t="s">
        <v>405</v>
      </c>
      <c r="I2235" s="7" t="s">
        <v>355</v>
      </c>
      <c r="J2235" s="14"/>
      <c r="K2235" s="14"/>
      <c r="O2235" s="22"/>
      <c r="P2235" s="22"/>
      <c r="Q2235" s="23"/>
      <c r="R2235" s="23"/>
      <c r="S2235" s="14"/>
    </row>
    <row r="2236" ht="18.75" customHeight="1">
      <c r="A2236" s="7" t="s">
        <v>402</v>
      </c>
      <c r="B2236" s="7" t="s">
        <v>3883</v>
      </c>
      <c r="C2236" s="9">
        <v>888872.0</v>
      </c>
      <c r="D2236" s="9">
        <v>124867.0</v>
      </c>
      <c r="E2236" s="9">
        <v>2559.0</v>
      </c>
      <c r="F2236" s="7" t="s">
        <v>403</v>
      </c>
      <c r="G2236" s="7" t="s">
        <v>404</v>
      </c>
      <c r="H2236" s="7" t="s">
        <v>405</v>
      </c>
      <c r="I2236" s="7" t="s">
        <v>355</v>
      </c>
      <c r="J2236" s="14"/>
      <c r="K2236" s="14"/>
      <c r="O2236" s="22"/>
      <c r="P2236" s="22"/>
      <c r="Q2236" s="23"/>
      <c r="R2236" s="23"/>
      <c r="S2236" s="14"/>
    </row>
    <row r="2237" ht="18.75" customHeight="1">
      <c r="A2237" s="7" t="s">
        <v>362</v>
      </c>
      <c r="B2237" s="7" t="s">
        <v>3883</v>
      </c>
      <c r="C2237" s="9">
        <v>162746.0</v>
      </c>
      <c r="D2237" s="9">
        <v>0.0</v>
      </c>
      <c r="E2237" s="9">
        <v>5365.0</v>
      </c>
      <c r="F2237" s="7" t="s">
        <v>363</v>
      </c>
      <c r="G2237" s="7" t="s">
        <v>364</v>
      </c>
      <c r="H2237" s="7" t="s">
        <v>365</v>
      </c>
      <c r="I2237" s="7" t="s">
        <v>355</v>
      </c>
      <c r="J2237" s="14"/>
      <c r="K2237" s="14"/>
      <c r="O2237" s="22"/>
      <c r="P2237" s="22"/>
      <c r="Q2237" s="23"/>
      <c r="R2237" s="23"/>
      <c r="S2237" s="14"/>
    </row>
    <row r="2238" ht="18.75" customHeight="1">
      <c r="A2238" s="7" t="s">
        <v>362</v>
      </c>
      <c r="B2238" s="7" t="s">
        <v>3883</v>
      </c>
      <c r="C2238" s="9">
        <v>143542.0</v>
      </c>
      <c r="D2238" s="9">
        <v>0.0</v>
      </c>
      <c r="E2238" s="9">
        <v>5051.0</v>
      </c>
      <c r="F2238" s="7" t="s">
        <v>363</v>
      </c>
      <c r="G2238" s="7" t="s">
        <v>364</v>
      </c>
      <c r="H2238" s="7" t="s">
        <v>365</v>
      </c>
      <c r="I2238" s="7" t="s">
        <v>355</v>
      </c>
      <c r="J2238" s="14"/>
      <c r="K2238" s="14"/>
      <c r="O2238" s="22"/>
      <c r="P2238" s="22"/>
      <c r="Q2238" s="23"/>
      <c r="R2238" s="23"/>
      <c r="S2238" s="14"/>
    </row>
    <row r="2239" ht="18.75" customHeight="1">
      <c r="A2239" s="7" t="s">
        <v>362</v>
      </c>
      <c r="B2239" s="7" t="s">
        <v>3883</v>
      </c>
      <c r="C2239" s="9">
        <v>103254.0</v>
      </c>
      <c r="D2239" s="9">
        <v>5885.0</v>
      </c>
      <c r="E2239" s="9">
        <v>143.0</v>
      </c>
      <c r="F2239" s="7" t="s">
        <v>363</v>
      </c>
      <c r="G2239" s="7" t="s">
        <v>364</v>
      </c>
      <c r="H2239" s="7" t="s">
        <v>365</v>
      </c>
      <c r="I2239" s="7" t="s">
        <v>355</v>
      </c>
      <c r="J2239" s="14"/>
      <c r="K2239" s="14"/>
      <c r="O2239" s="22"/>
      <c r="P2239" s="22"/>
      <c r="Q2239" s="23"/>
      <c r="R2239" s="23"/>
      <c r="S2239" s="14"/>
    </row>
    <row r="2240" ht="18.75" customHeight="1">
      <c r="A2240" s="7" t="s">
        <v>362</v>
      </c>
      <c r="B2240" s="7" t="s">
        <v>3883</v>
      </c>
      <c r="C2240" s="9">
        <v>81750.0</v>
      </c>
      <c r="D2240" s="9">
        <v>4609.0</v>
      </c>
      <c r="E2240" s="9">
        <v>99.0</v>
      </c>
      <c r="F2240" s="7" t="s">
        <v>363</v>
      </c>
      <c r="G2240" s="7" t="s">
        <v>364</v>
      </c>
      <c r="H2240" s="7" t="s">
        <v>365</v>
      </c>
      <c r="I2240" s="7" t="s">
        <v>355</v>
      </c>
      <c r="J2240" s="14"/>
      <c r="K2240" s="14"/>
      <c r="O2240" s="22"/>
      <c r="P2240" s="22"/>
      <c r="Q2240" s="23"/>
      <c r="R2240" s="23"/>
      <c r="S2240" s="14"/>
    </row>
    <row r="2241" ht="18.75" customHeight="1">
      <c r="A2241" s="7" t="s">
        <v>422</v>
      </c>
      <c r="B2241" s="7" t="s">
        <v>3883</v>
      </c>
      <c r="C2241" s="9">
        <v>1513472.0</v>
      </c>
      <c r="D2241" s="9">
        <v>0.0</v>
      </c>
      <c r="E2241" s="9">
        <v>25453.0</v>
      </c>
      <c r="F2241" s="7" t="s">
        <v>423</v>
      </c>
      <c r="G2241" s="7" t="s">
        <v>404</v>
      </c>
      <c r="H2241" s="7" t="s">
        <v>405</v>
      </c>
      <c r="I2241" s="7" t="s">
        <v>355</v>
      </c>
      <c r="J2241" s="14"/>
      <c r="K2241" s="14"/>
      <c r="O2241" s="22"/>
      <c r="P2241" s="22"/>
      <c r="Q2241" s="23"/>
      <c r="R2241" s="23"/>
      <c r="S2241" s="14"/>
    </row>
    <row r="2242" ht="18.75" customHeight="1">
      <c r="A2242" s="7" t="s">
        <v>422</v>
      </c>
      <c r="B2242" s="7" t="s">
        <v>3883</v>
      </c>
      <c r="C2242" s="9">
        <v>171434.0</v>
      </c>
      <c r="D2242" s="9">
        <v>0.0</v>
      </c>
      <c r="E2242" s="9">
        <v>16993.0</v>
      </c>
      <c r="F2242" s="7" t="s">
        <v>423</v>
      </c>
      <c r="G2242" s="7" t="s">
        <v>404</v>
      </c>
      <c r="H2242" s="7" t="s">
        <v>405</v>
      </c>
      <c r="I2242" s="7" t="s">
        <v>355</v>
      </c>
      <c r="J2242" s="14"/>
      <c r="K2242" s="14"/>
      <c r="O2242" s="22"/>
      <c r="P2242" s="22"/>
      <c r="Q2242" s="23"/>
      <c r="R2242" s="23"/>
      <c r="S2242" s="14"/>
    </row>
    <row r="2243" ht="18.75" customHeight="1">
      <c r="A2243" s="7" t="s">
        <v>422</v>
      </c>
      <c r="B2243" s="7" t="s">
        <v>3883</v>
      </c>
      <c r="C2243" s="9">
        <v>543554.0</v>
      </c>
      <c r="D2243" s="9">
        <v>70062.0</v>
      </c>
      <c r="E2243" s="9">
        <v>2691.0</v>
      </c>
      <c r="F2243" s="7" t="s">
        <v>423</v>
      </c>
      <c r="G2243" s="7" t="s">
        <v>404</v>
      </c>
      <c r="H2243" s="7" t="s">
        <v>405</v>
      </c>
      <c r="I2243" s="7" t="s">
        <v>355</v>
      </c>
      <c r="J2243" s="14"/>
      <c r="K2243" s="14"/>
      <c r="O2243" s="22"/>
      <c r="P2243" s="22"/>
      <c r="Q2243" s="23"/>
      <c r="R2243" s="23"/>
      <c r="S2243" s="14"/>
    </row>
    <row r="2244" ht="18.75" customHeight="1">
      <c r="A2244" s="7" t="s">
        <v>422</v>
      </c>
      <c r="B2244" s="7" t="s">
        <v>3883</v>
      </c>
      <c r="C2244" s="9">
        <v>968093.0</v>
      </c>
      <c r="D2244" s="9">
        <v>717357.0</v>
      </c>
      <c r="E2244" s="9">
        <v>1222.0</v>
      </c>
      <c r="F2244" s="7" t="s">
        <v>423</v>
      </c>
      <c r="G2244" s="7" t="s">
        <v>404</v>
      </c>
      <c r="H2244" s="7" t="s">
        <v>405</v>
      </c>
      <c r="I2244" s="7" t="s">
        <v>355</v>
      </c>
      <c r="J2244" s="14"/>
      <c r="K2244" s="14"/>
      <c r="O2244" s="22"/>
      <c r="P2244" s="22"/>
      <c r="Q2244" s="23"/>
      <c r="R2244" s="23"/>
      <c r="S2244" s="14"/>
    </row>
    <row r="2245" ht="18.75" customHeight="1">
      <c r="A2245" s="7" t="s">
        <v>422</v>
      </c>
      <c r="B2245" s="7" t="s">
        <v>3883</v>
      </c>
      <c r="C2245" s="9">
        <v>646465.0</v>
      </c>
      <c r="D2245" s="9">
        <v>0.0</v>
      </c>
      <c r="E2245" s="9">
        <v>186.0</v>
      </c>
      <c r="F2245" s="7" t="s">
        <v>423</v>
      </c>
      <c r="G2245" s="7" t="s">
        <v>404</v>
      </c>
      <c r="H2245" s="7" t="s">
        <v>405</v>
      </c>
      <c r="I2245" s="7" t="s">
        <v>355</v>
      </c>
      <c r="J2245" s="14"/>
      <c r="K2245" s="14"/>
      <c r="O2245" s="22"/>
      <c r="P2245" s="22"/>
      <c r="Q2245" s="23"/>
      <c r="R2245" s="23"/>
      <c r="S2245" s="14"/>
    </row>
    <row r="2246" ht="18.75" customHeight="1">
      <c r="A2246" s="7" t="s">
        <v>422</v>
      </c>
      <c r="B2246" s="7" t="s">
        <v>3883</v>
      </c>
      <c r="C2246" s="9">
        <v>386525.0</v>
      </c>
      <c r="D2246" s="9">
        <v>0.0</v>
      </c>
      <c r="E2246" s="9">
        <v>22.0</v>
      </c>
      <c r="F2246" s="7" t="s">
        <v>423</v>
      </c>
      <c r="G2246" s="7" t="s">
        <v>404</v>
      </c>
      <c r="H2246" s="7" t="s">
        <v>405</v>
      </c>
      <c r="I2246" s="7" t="s">
        <v>355</v>
      </c>
      <c r="J2246" s="14"/>
      <c r="K2246" s="14"/>
      <c r="O2246" s="22"/>
      <c r="P2246" s="22"/>
      <c r="Q2246" s="23"/>
      <c r="R2246" s="23"/>
      <c r="S2246" s="14"/>
    </row>
    <row r="2247" ht="18.75" customHeight="1">
      <c r="A2247" s="7" t="s">
        <v>475</v>
      </c>
      <c r="B2247" s="7" t="s">
        <v>3883</v>
      </c>
      <c r="C2247" s="9">
        <v>27908.0</v>
      </c>
      <c r="D2247" s="9">
        <v>0.0</v>
      </c>
      <c r="E2247" s="9">
        <v>534.0</v>
      </c>
      <c r="F2247" s="7" t="s">
        <v>476</v>
      </c>
      <c r="G2247" s="7" t="s">
        <v>364</v>
      </c>
      <c r="H2247" s="7" t="s">
        <v>365</v>
      </c>
      <c r="I2247" s="7" t="s">
        <v>355</v>
      </c>
      <c r="J2247" s="14"/>
      <c r="K2247" s="14"/>
      <c r="O2247" s="22"/>
      <c r="P2247" s="22"/>
      <c r="Q2247" s="23"/>
      <c r="R2247" s="23"/>
      <c r="S2247" s="14"/>
    </row>
    <row r="2248" ht="18.75" customHeight="1">
      <c r="A2248" s="7" t="s">
        <v>437</v>
      </c>
      <c r="B2248" s="7" t="s">
        <v>3883</v>
      </c>
      <c r="C2248" s="9">
        <v>506768.0</v>
      </c>
      <c r="D2248" s="9">
        <v>399287.0</v>
      </c>
      <c r="E2248" s="9">
        <v>408.0</v>
      </c>
      <c r="F2248" s="7" t="s">
        <v>438</v>
      </c>
      <c r="G2248" s="7" t="s">
        <v>404</v>
      </c>
      <c r="H2248" s="7" t="s">
        <v>405</v>
      </c>
      <c r="I2248" s="7" t="s">
        <v>355</v>
      </c>
      <c r="J2248" s="14"/>
      <c r="K2248" s="14"/>
      <c r="O2248" s="22"/>
      <c r="P2248" s="22"/>
      <c r="Q2248" s="23"/>
      <c r="R2248" s="23"/>
      <c r="S2248" s="14"/>
    </row>
    <row r="2249" ht="18.75" customHeight="1">
      <c r="A2249" s="7" t="s">
        <v>431</v>
      </c>
      <c r="B2249" s="7" t="s">
        <v>3883</v>
      </c>
      <c r="C2249" s="9">
        <v>633192.0</v>
      </c>
      <c r="D2249" s="9">
        <v>56089.0</v>
      </c>
      <c r="E2249" s="9">
        <v>2025.0</v>
      </c>
      <c r="F2249" s="7" t="s">
        <v>432</v>
      </c>
      <c r="G2249" s="7" t="s">
        <v>404</v>
      </c>
      <c r="H2249" s="7" t="s">
        <v>405</v>
      </c>
      <c r="I2249" s="7" t="s">
        <v>355</v>
      </c>
      <c r="J2249" s="14"/>
      <c r="K2249" s="14"/>
      <c r="O2249" s="22"/>
      <c r="P2249" s="22"/>
      <c r="Q2249" s="23"/>
      <c r="R2249" s="23"/>
      <c r="S2249" s="14"/>
    </row>
    <row r="2250" ht="18.75" customHeight="1">
      <c r="A2250" s="7" t="s">
        <v>431</v>
      </c>
      <c r="B2250" s="7" t="s">
        <v>3883</v>
      </c>
      <c r="C2250" s="9">
        <v>1195319.0</v>
      </c>
      <c r="D2250" s="9">
        <v>1080977.0</v>
      </c>
      <c r="E2250" s="9">
        <v>719.0</v>
      </c>
      <c r="F2250" s="7" t="s">
        <v>432</v>
      </c>
      <c r="G2250" s="7" t="s">
        <v>404</v>
      </c>
      <c r="H2250" s="7" t="s">
        <v>405</v>
      </c>
      <c r="I2250" s="7" t="s">
        <v>355</v>
      </c>
      <c r="J2250" s="14"/>
      <c r="K2250" s="14"/>
      <c r="O2250" s="22"/>
      <c r="P2250" s="22"/>
      <c r="Q2250" s="23"/>
      <c r="R2250" s="23"/>
      <c r="S2250" s="14"/>
    </row>
    <row r="2251" ht="18.75" customHeight="1">
      <c r="A2251" s="7" t="s">
        <v>627</v>
      </c>
      <c r="B2251" s="7" t="s">
        <v>3883</v>
      </c>
      <c r="C2251" s="9">
        <v>10887.0</v>
      </c>
      <c r="D2251" s="9">
        <v>0.0</v>
      </c>
      <c r="E2251" s="9">
        <v>843.0</v>
      </c>
      <c r="F2251" s="7" t="s">
        <v>628</v>
      </c>
      <c r="G2251" s="7" t="s">
        <v>404</v>
      </c>
      <c r="H2251" s="7" t="s">
        <v>405</v>
      </c>
      <c r="I2251" s="7" t="s">
        <v>355</v>
      </c>
      <c r="J2251" s="14"/>
      <c r="K2251" s="14"/>
      <c r="O2251" s="22"/>
      <c r="P2251" s="22"/>
      <c r="Q2251" s="23"/>
      <c r="R2251" s="23"/>
      <c r="S2251" s="14"/>
    </row>
    <row r="2252" ht="18.75" customHeight="1">
      <c r="A2252" s="7" t="s">
        <v>629</v>
      </c>
      <c r="B2252" s="7" t="s">
        <v>3883</v>
      </c>
      <c r="C2252" s="9">
        <v>14917.0</v>
      </c>
      <c r="D2252" s="9">
        <v>12702.0</v>
      </c>
      <c r="E2252" s="9">
        <v>19.0</v>
      </c>
      <c r="F2252" s="7" t="s">
        <v>630</v>
      </c>
      <c r="G2252" s="7" t="s">
        <v>404</v>
      </c>
      <c r="H2252" s="7" t="s">
        <v>405</v>
      </c>
      <c r="I2252" s="7" t="s">
        <v>355</v>
      </c>
      <c r="J2252" s="14"/>
      <c r="K2252" s="14"/>
      <c r="O2252" s="22"/>
      <c r="P2252" s="22"/>
      <c r="Q2252" s="23"/>
      <c r="R2252" s="23"/>
      <c r="S2252" s="14"/>
    </row>
    <row r="2253" ht="18.75" customHeight="1">
      <c r="A2253" s="7" t="s">
        <v>629</v>
      </c>
      <c r="B2253" s="7" t="s">
        <v>3883</v>
      </c>
      <c r="C2253" s="9">
        <v>1309.0</v>
      </c>
      <c r="D2253" s="9">
        <v>85.0</v>
      </c>
      <c r="E2253" s="9">
        <v>5.0</v>
      </c>
      <c r="F2253" s="7" t="s">
        <v>630</v>
      </c>
      <c r="G2253" s="7" t="s">
        <v>404</v>
      </c>
      <c r="H2253" s="7" t="s">
        <v>405</v>
      </c>
      <c r="I2253" s="7" t="s">
        <v>355</v>
      </c>
      <c r="J2253" s="14"/>
      <c r="K2253" s="14"/>
      <c r="O2253" s="22"/>
      <c r="P2253" s="22"/>
      <c r="Q2253" s="23"/>
      <c r="R2253" s="23"/>
      <c r="S2253" s="14"/>
    </row>
    <row r="2254" ht="18.75" customHeight="1">
      <c r="A2254" s="7" t="s">
        <v>629</v>
      </c>
      <c r="B2254" s="7" t="s">
        <v>3883</v>
      </c>
      <c r="C2254" s="9">
        <v>42.0</v>
      </c>
      <c r="D2254" s="9">
        <v>0.0</v>
      </c>
      <c r="E2254" s="9">
        <v>0.0</v>
      </c>
      <c r="F2254" s="7" t="s">
        <v>630</v>
      </c>
      <c r="G2254" s="7" t="s">
        <v>404</v>
      </c>
      <c r="H2254" s="7" t="s">
        <v>405</v>
      </c>
      <c r="I2254" s="7" t="s">
        <v>355</v>
      </c>
      <c r="J2254" s="14"/>
      <c r="K2254" s="14"/>
      <c r="O2254" s="22"/>
      <c r="P2254" s="22"/>
      <c r="Q2254" s="23"/>
      <c r="R2254" s="23"/>
      <c r="S2254" s="14"/>
    </row>
    <row r="2255" ht="18.75" customHeight="1">
      <c r="A2255" s="7" t="s">
        <v>469</v>
      </c>
      <c r="B2255" s="7" t="s">
        <v>3883</v>
      </c>
      <c r="C2255" s="9">
        <v>2324788.0</v>
      </c>
      <c r="D2255" s="9">
        <v>0.0</v>
      </c>
      <c r="E2255" s="9">
        <v>35530.0</v>
      </c>
      <c r="F2255" s="7" t="s">
        <v>470</v>
      </c>
      <c r="G2255" s="7" t="s">
        <v>404</v>
      </c>
      <c r="H2255" s="7" t="s">
        <v>405</v>
      </c>
      <c r="I2255" s="7" t="s">
        <v>355</v>
      </c>
      <c r="J2255" s="14"/>
      <c r="K2255" s="14"/>
      <c r="O2255" s="22"/>
      <c r="P2255" s="22"/>
      <c r="Q2255" s="23"/>
      <c r="R2255" s="23"/>
      <c r="S2255" s="14"/>
    </row>
    <row r="2256" ht="18.75" customHeight="1">
      <c r="A2256" s="7" t="s">
        <v>479</v>
      </c>
      <c r="B2256" s="7" t="s">
        <v>3883</v>
      </c>
      <c r="C2256" s="9">
        <v>6678.0</v>
      </c>
      <c r="D2256" s="9">
        <v>5403.0</v>
      </c>
      <c r="E2256" s="9">
        <v>25.0</v>
      </c>
      <c r="F2256" s="7" t="s">
        <v>480</v>
      </c>
      <c r="G2256" s="7" t="s">
        <v>404</v>
      </c>
      <c r="H2256" s="7" t="s">
        <v>405</v>
      </c>
      <c r="I2256" s="7" t="s">
        <v>355</v>
      </c>
      <c r="J2256" s="14"/>
      <c r="K2256" s="14"/>
      <c r="O2256" s="22"/>
      <c r="P2256" s="22"/>
      <c r="Q2256" s="23"/>
      <c r="R2256" s="23"/>
      <c r="S2256" s="14"/>
    </row>
    <row r="2257" ht="18.75" customHeight="1">
      <c r="A2257" s="7" t="s">
        <v>497</v>
      </c>
      <c r="B2257" s="7" t="s">
        <v>3883</v>
      </c>
      <c r="C2257" s="9">
        <v>188476.0</v>
      </c>
      <c r="D2257" s="9">
        <v>8327.0</v>
      </c>
      <c r="E2257" s="9">
        <v>958.0</v>
      </c>
      <c r="F2257" s="7" t="s">
        <v>498</v>
      </c>
      <c r="G2257" s="7" t="s">
        <v>404</v>
      </c>
      <c r="H2257" s="7" t="s">
        <v>405</v>
      </c>
      <c r="I2257" s="7" t="s">
        <v>355</v>
      </c>
      <c r="J2257" s="14"/>
      <c r="K2257" s="14"/>
      <c r="O2257" s="22"/>
      <c r="P2257" s="22"/>
      <c r="Q2257" s="23"/>
      <c r="R2257" s="23"/>
      <c r="S2257" s="14"/>
    </row>
    <row r="2258" ht="18.75" customHeight="1">
      <c r="A2258" s="7" t="s">
        <v>497</v>
      </c>
      <c r="B2258" s="7" t="s">
        <v>3883</v>
      </c>
      <c r="C2258" s="9">
        <v>629939.0</v>
      </c>
      <c r="D2258" s="9">
        <v>456560.0</v>
      </c>
      <c r="E2258" s="9">
        <v>1041.0</v>
      </c>
      <c r="F2258" s="7" t="s">
        <v>498</v>
      </c>
      <c r="G2258" s="7" t="s">
        <v>404</v>
      </c>
      <c r="H2258" s="7" t="s">
        <v>405</v>
      </c>
      <c r="I2258" s="7" t="s">
        <v>355</v>
      </c>
      <c r="J2258" s="14"/>
      <c r="K2258" s="14"/>
      <c r="O2258" s="22"/>
      <c r="P2258" s="22"/>
      <c r="Q2258" s="23"/>
      <c r="R2258" s="23"/>
      <c r="S2258" s="14"/>
    </row>
    <row r="2259" ht="18.75" customHeight="1">
      <c r="A2259" s="7" t="s">
        <v>497</v>
      </c>
      <c r="B2259" s="7" t="s">
        <v>3883</v>
      </c>
      <c r="C2259" s="9">
        <v>179750.0</v>
      </c>
      <c r="D2259" s="9">
        <v>0.0</v>
      </c>
      <c r="E2259" s="9">
        <v>3563.0</v>
      </c>
      <c r="F2259" s="7" t="s">
        <v>498</v>
      </c>
      <c r="G2259" s="7" t="s">
        <v>404</v>
      </c>
      <c r="H2259" s="7" t="s">
        <v>405</v>
      </c>
      <c r="I2259" s="7" t="s">
        <v>355</v>
      </c>
      <c r="J2259" s="14"/>
      <c r="K2259" s="14"/>
      <c r="O2259" s="22"/>
      <c r="P2259" s="22"/>
      <c r="Q2259" s="23"/>
      <c r="R2259" s="23"/>
      <c r="S2259" s="14"/>
    </row>
    <row r="2260" ht="18.75" customHeight="1">
      <c r="A2260" s="7" t="s">
        <v>697</v>
      </c>
      <c r="B2260" s="7" t="s">
        <v>3883</v>
      </c>
      <c r="C2260" s="9">
        <v>13364.0</v>
      </c>
      <c r="D2260" s="9">
        <v>0.0</v>
      </c>
      <c r="E2260" s="9">
        <v>622.0</v>
      </c>
      <c r="F2260" s="7" t="s">
        <v>698</v>
      </c>
      <c r="G2260" s="7" t="s">
        <v>404</v>
      </c>
      <c r="H2260" s="7" t="s">
        <v>405</v>
      </c>
      <c r="I2260" s="7" t="s">
        <v>355</v>
      </c>
      <c r="J2260" s="14"/>
      <c r="K2260" s="14"/>
      <c r="O2260" s="22"/>
      <c r="P2260" s="22"/>
      <c r="Q2260" s="23"/>
      <c r="R2260" s="23"/>
      <c r="S2260" s="14"/>
    </row>
    <row r="2261" ht="18.75" customHeight="1">
      <c r="A2261" s="7" t="s">
        <v>649</v>
      </c>
      <c r="B2261" s="7" t="s">
        <v>3883</v>
      </c>
      <c r="C2261" s="9">
        <v>6445.0</v>
      </c>
      <c r="D2261" s="9">
        <v>5074.0</v>
      </c>
      <c r="E2261" s="9">
        <v>17.0</v>
      </c>
      <c r="F2261" s="7" t="s">
        <v>650</v>
      </c>
      <c r="G2261" s="7" t="s">
        <v>404</v>
      </c>
      <c r="H2261" s="7" t="s">
        <v>405</v>
      </c>
      <c r="I2261" s="7" t="s">
        <v>355</v>
      </c>
      <c r="J2261" s="14"/>
      <c r="K2261" s="14"/>
      <c r="O2261" s="22"/>
      <c r="P2261" s="22"/>
      <c r="Q2261" s="23"/>
      <c r="R2261" s="23"/>
      <c r="S2261" s="14"/>
    </row>
    <row r="2262" ht="18.75" customHeight="1">
      <c r="A2262" s="7" t="s">
        <v>649</v>
      </c>
      <c r="B2262" s="7" t="s">
        <v>3883</v>
      </c>
      <c r="C2262" s="9">
        <v>4620.0</v>
      </c>
      <c r="D2262" s="9">
        <v>0.0</v>
      </c>
      <c r="E2262" s="9">
        <v>979.0</v>
      </c>
      <c r="F2262" s="7" t="s">
        <v>650</v>
      </c>
      <c r="G2262" s="7" t="s">
        <v>404</v>
      </c>
      <c r="H2262" s="7" t="s">
        <v>405</v>
      </c>
      <c r="I2262" s="7" t="s">
        <v>355</v>
      </c>
      <c r="J2262" s="14"/>
      <c r="K2262" s="14"/>
      <c r="O2262" s="22"/>
      <c r="P2262" s="22"/>
      <c r="Q2262" s="23"/>
      <c r="R2262" s="23"/>
      <c r="S2262" s="14"/>
    </row>
    <row r="2263" ht="18.75" customHeight="1">
      <c r="A2263" s="7" t="s">
        <v>481</v>
      </c>
      <c r="B2263" s="7" t="s">
        <v>3883</v>
      </c>
      <c r="C2263" s="9">
        <v>174150.0</v>
      </c>
      <c r="D2263" s="9">
        <v>9838.0</v>
      </c>
      <c r="E2263" s="9">
        <v>401.0</v>
      </c>
      <c r="F2263" s="7" t="s">
        <v>482</v>
      </c>
      <c r="G2263" s="7" t="s">
        <v>404</v>
      </c>
      <c r="H2263" s="7" t="s">
        <v>405</v>
      </c>
      <c r="I2263" s="7" t="s">
        <v>355</v>
      </c>
      <c r="J2263" s="14"/>
      <c r="K2263" s="14"/>
      <c r="O2263" s="22"/>
      <c r="P2263" s="22"/>
      <c r="Q2263" s="23"/>
      <c r="R2263" s="23"/>
      <c r="S2263" s="14"/>
    </row>
    <row r="2264" ht="18.75" customHeight="1">
      <c r="A2264" s="7" t="s">
        <v>481</v>
      </c>
      <c r="B2264" s="7" t="s">
        <v>3883</v>
      </c>
      <c r="C2264" s="9">
        <v>116409.0</v>
      </c>
      <c r="D2264" s="9">
        <v>94265.0</v>
      </c>
      <c r="E2264" s="9">
        <v>94.0</v>
      </c>
      <c r="F2264" s="7" t="s">
        <v>482</v>
      </c>
      <c r="G2264" s="7" t="s">
        <v>404</v>
      </c>
      <c r="H2264" s="7" t="s">
        <v>405</v>
      </c>
      <c r="I2264" s="7" t="s">
        <v>355</v>
      </c>
      <c r="J2264" s="14"/>
      <c r="K2264" s="14"/>
      <c r="O2264" s="22"/>
      <c r="P2264" s="22"/>
      <c r="Q2264" s="23"/>
      <c r="R2264" s="23"/>
      <c r="S2264" s="14"/>
    </row>
    <row r="2265" ht="18.75" customHeight="1">
      <c r="A2265" s="7" t="s">
        <v>769</v>
      </c>
      <c r="B2265" s="7" t="s">
        <v>3883</v>
      </c>
      <c r="C2265" s="9">
        <v>18423.0</v>
      </c>
      <c r="D2265" s="9">
        <v>0.0</v>
      </c>
      <c r="E2265" s="9">
        <v>1585.0</v>
      </c>
      <c r="F2265" s="7" t="s">
        <v>770</v>
      </c>
      <c r="G2265" s="7" t="s">
        <v>404</v>
      </c>
      <c r="H2265" s="7" t="s">
        <v>405</v>
      </c>
      <c r="I2265" s="7" t="s">
        <v>355</v>
      </c>
      <c r="J2265" s="14"/>
      <c r="K2265" s="14"/>
      <c r="O2265" s="22"/>
      <c r="P2265" s="22"/>
      <c r="Q2265" s="23"/>
      <c r="R2265" s="23"/>
      <c r="S2265" s="14"/>
    </row>
    <row r="2266" ht="18.75" customHeight="1">
      <c r="A2266" s="7" t="s">
        <v>769</v>
      </c>
      <c r="B2266" s="7" t="s">
        <v>3883</v>
      </c>
      <c r="C2266" s="9">
        <v>274776.0</v>
      </c>
      <c r="D2266" s="9">
        <v>0.0</v>
      </c>
      <c r="E2266" s="9">
        <v>3436.0</v>
      </c>
      <c r="F2266" s="7" t="s">
        <v>770</v>
      </c>
      <c r="G2266" s="7" t="s">
        <v>404</v>
      </c>
      <c r="H2266" s="7" t="s">
        <v>405</v>
      </c>
      <c r="I2266" s="7" t="s">
        <v>355</v>
      </c>
      <c r="J2266" s="14"/>
      <c r="K2266" s="14"/>
      <c r="O2266" s="22"/>
      <c r="P2266" s="22"/>
      <c r="Q2266" s="23"/>
      <c r="R2266" s="23"/>
      <c r="S2266" s="14"/>
    </row>
    <row r="2267" ht="18.75" customHeight="1">
      <c r="A2267" s="7" t="s">
        <v>829</v>
      </c>
      <c r="B2267" s="7" t="s">
        <v>3883</v>
      </c>
      <c r="C2267" s="9">
        <v>28818.0</v>
      </c>
      <c r="D2267" s="9">
        <v>0.0</v>
      </c>
      <c r="E2267" s="9">
        <v>944.0</v>
      </c>
      <c r="F2267" s="7" t="s">
        <v>830</v>
      </c>
      <c r="G2267" s="7" t="s">
        <v>364</v>
      </c>
      <c r="H2267" s="7" t="s">
        <v>365</v>
      </c>
      <c r="I2267" s="7" t="s">
        <v>355</v>
      </c>
      <c r="J2267" s="14"/>
      <c r="K2267" s="14"/>
      <c r="O2267" s="22"/>
      <c r="P2267" s="22"/>
      <c r="Q2267" s="23"/>
      <c r="R2267" s="23"/>
      <c r="S2267" s="14"/>
    </row>
    <row r="2268" ht="18.75" customHeight="1">
      <c r="A2268" s="7" t="s">
        <v>649</v>
      </c>
      <c r="B2268" s="7" t="s">
        <v>3883</v>
      </c>
      <c r="C2268" s="9">
        <v>47010.0</v>
      </c>
      <c r="D2268" s="9">
        <v>0.0</v>
      </c>
      <c r="E2268" s="9">
        <v>887.0</v>
      </c>
      <c r="F2268" s="7" t="s">
        <v>650</v>
      </c>
      <c r="G2268" s="7" t="s">
        <v>404</v>
      </c>
      <c r="H2268" s="7" t="s">
        <v>405</v>
      </c>
      <c r="I2268" s="7" t="s">
        <v>355</v>
      </c>
      <c r="J2268" s="14"/>
      <c r="K2268" s="14"/>
      <c r="O2268" s="22"/>
      <c r="P2268" s="22"/>
      <c r="Q2268" s="23"/>
      <c r="R2268" s="23"/>
      <c r="S2268" s="14"/>
    </row>
    <row r="2269" ht="18.75" customHeight="1">
      <c r="A2269" s="7" t="s">
        <v>379</v>
      </c>
      <c r="B2269" s="7" t="s">
        <v>3883</v>
      </c>
      <c r="C2269" s="9">
        <v>346309.0</v>
      </c>
      <c r="D2269" s="9">
        <v>0.0</v>
      </c>
      <c r="E2269" s="9">
        <v>17406.0</v>
      </c>
      <c r="F2269" s="7" t="s">
        <v>380</v>
      </c>
      <c r="G2269" s="7" t="s">
        <v>353</v>
      </c>
      <c r="H2269" s="7" t="s">
        <v>354</v>
      </c>
      <c r="I2269" s="7" t="s">
        <v>355</v>
      </c>
      <c r="J2269" s="14"/>
      <c r="K2269" s="14"/>
      <c r="O2269" s="22"/>
      <c r="P2269" s="22"/>
      <c r="Q2269" s="23"/>
      <c r="R2269" s="23"/>
      <c r="S2269" s="14"/>
    </row>
    <row r="2270" ht="18.75" customHeight="1">
      <c r="A2270" s="7" t="s">
        <v>379</v>
      </c>
      <c r="B2270" s="7" t="s">
        <v>3883</v>
      </c>
      <c r="C2270" s="9">
        <v>136489.0</v>
      </c>
      <c r="D2270" s="9">
        <v>0.0</v>
      </c>
      <c r="E2270" s="9">
        <v>9471.0</v>
      </c>
      <c r="F2270" s="7" t="s">
        <v>380</v>
      </c>
      <c r="G2270" s="7" t="s">
        <v>353</v>
      </c>
      <c r="H2270" s="7" t="s">
        <v>354</v>
      </c>
      <c r="I2270" s="7" t="s">
        <v>355</v>
      </c>
      <c r="J2270" s="14"/>
      <c r="K2270" s="14"/>
      <c r="O2270" s="22"/>
      <c r="P2270" s="22"/>
      <c r="Q2270" s="23"/>
      <c r="R2270" s="23"/>
      <c r="S2270" s="14"/>
    </row>
    <row r="2271" ht="18.75" customHeight="1">
      <c r="A2271" s="7" t="s">
        <v>396</v>
      </c>
      <c r="B2271" s="7" t="s">
        <v>3883</v>
      </c>
      <c r="C2271" s="9">
        <v>85764.0</v>
      </c>
      <c r="D2271" s="9">
        <v>0.0</v>
      </c>
      <c r="E2271" s="9">
        <v>3388.0</v>
      </c>
      <c r="F2271" s="7" t="s">
        <v>397</v>
      </c>
      <c r="G2271" s="7" t="s">
        <v>353</v>
      </c>
      <c r="H2271" s="7" t="s">
        <v>378</v>
      </c>
      <c r="I2271" s="7" t="s">
        <v>355</v>
      </c>
      <c r="J2271" s="14"/>
      <c r="K2271" s="14"/>
      <c r="O2271" s="22"/>
      <c r="P2271" s="22"/>
      <c r="Q2271" s="23"/>
      <c r="R2271" s="23"/>
      <c r="S2271" s="14"/>
    </row>
    <row r="2272" ht="18.75" customHeight="1">
      <c r="A2272" s="7" t="s">
        <v>396</v>
      </c>
      <c r="B2272" s="7" t="s">
        <v>3883</v>
      </c>
      <c r="C2272" s="9">
        <v>63936.0</v>
      </c>
      <c r="D2272" s="9">
        <v>0.0</v>
      </c>
      <c r="E2272" s="9">
        <v>2139.0</v>
      </c>
      <c r="F2272" s="7" t="s">
        <v>397</v>
      </c>
      <c r="G2272" s="7" t="s">
        <v>353</v>
      </c>
      <c r="H2272" s="7" t="s">
        <v>378</v>
      </c>
      <c r="I2272" s="7" t="s">
        <v>355</v>
      </c>
      <c r="J2272" s="14"/>
      <c r="K2272" s="14"/>
      <c r="O2272" s="22"/>
      <c r="P2272" s="22"/>
      <c r="Q2272" s="23"/>
      <c r="R2272" s="23"/>
      <c r="S2272" s="14"/>
    </row>
    <row r="2273" ht="18.75" customHeight="1">
      <c r="A2273" s="7" t="s">
        <v>396</v>
      </c>
      <c r="B2273" s="7" t="s">
        <v>3883</v>
      </c>
      <c r="C2273" s="9">
        <v>83545.0</v>
      </c>
      <c r="D2273" s="9">
        <v>0.0</v>
      </c>
      <c r="E2273" s="9">
        <v>2975.0</v>
      </c>
      <c r="F2273" s="7" t="s">
        <v>397</v>
      </c>
      <c r="G2273" s="7" t="s">
        <v>353</v>
      </c>
      <c r="H2273" s="7" t="s">
        <v>378</v>
      </c>
      <c r="I2273" s="7" t="s">
        <v>355</v>
      </c>
      <c r="J2273" s="14"/>
      <c r="K2273" s="14"/>
      <c r="O2273" s="22"/>
      <c r="P2273" s="22"/>
      <c r="Q2273" s="23"/>
      <c r="R2273" s="23"/>
      <c r="S2273" s="14"/>
    </row>
    <row r="2274" ht="18.75" customHeight="1">
      <c r="A2274" s="7" t="s">
        <v>394</v>
      </c>
      <c r="B2274" s="7" t="s">
        <v>3883</v>
      </c>
      <c r="C2274" s="9">
        <v>183054.0</v>
      </c>
      <c r="D2274" s="9">
        <v>10177.0</v>
      </c>
      <c r="E2274" s="9">
        <v>24.0</v>
      </c>
      <c r="F2274" s="7" t="s">
        <v>395</v>
      </c>
      <c r="G2274" s="7" t="s">
        <v>353</v>
      </c>
      <c r="H2274" s="7" t="s">
        <v>378</v>
      </c>
      <c r="I2274" s="7" t="s">
        <v>355</v>
      </c>
      <c r="J2274" s="14"/>
      <c r="K2274" s="14"/>
      <c r="O2274" s="22"/>
      <c r="P2274" s="22"/>
      <c r="Q2274" s="23"/>
      <c r="R2274" s="23"/>
      <c r="S2274" s="14"/>
    </row>
    <row r="2275" ht="18.75" customHeight="1">
      <c r="A2275" s="7" t="s">
        <v>394</v>
      </c>
      <c r="B2275" s="7" t="s">
        <v>3883</v>
      </c>
      <c r="C2275" s="9">
        <v>183019.0</v>
      </c>
      <c r="D2275" s="9">
        <v>2823.0</v>
      </c>
      <c r="E2275" s="9">
        <v>331.0</v>
      </c>
      <c r="F2275" s="7" t="s">
        <v>395</v>
      </c>
      <c r="G2275" s="7" t="s">
        <v>353</v>
      </c>
      <c r="H2275" s="7" t="s">
        <v>378</v>
      </c>
      <c r="I2275" s="7" t="s">
        <v>355</v>
      </c>
      <c r="J2275" s="14"/>
      <c r="K2275" s="14"/>
      <c r="O2275" s="22"/>
      <c r="P2275" s="22"/>
      <c r="Q2275" s="23"/>
      <c r="R2275" s="23"/>
      <c r="S2275" s="14"/>
    </row>
    <row r="2276" ht="18.75" customHeight="1">
      <c r="A2276" s="7" t="s">
        <v>597</v>
      </c>
      <c r="B2276" s="7" t="s">
        <v>3883</v>
      </c>
      <c r="C2276" s="9">
        <v>459.0</v>
      </c>
      <c r="D2276" s="9">
        <v>0.0</v>
      </c>
      <c r="E2276" s="9">
        <v>49.0</v>
      </c>
      <c r="F2276" s="7" t="s">
        <v>598</v>
      </c>
      <c r="G2276" s="7" t="s">
        <v>416</v>
      </c>
      <c r="H2276" s="7" t="s">
        <v>417</v>
      </c>
      <c r="I2276" s="7" t="s">
        <v>355</v>
      </c>
      <c r="J2276" s="14"/>
      <c r="K2276" s="14"/>
      <c r="O2276" s="22"/>
      <c r="P2276" s="22"/>
      <c r="Q2276" s="23"/>
      <c r="R2276" s="23"/>
      <c r="S2276" s="14"/>
    </row>
    <row r="2277" ht="18.75" customHeight="1">
      <c r="A2277" s="7" t="s">
        <v>599</v>
      </c>
      <c r="B2277" s="7" t="s">
        <v>3883</v>
      </c>
      <c r="C2277" s="9">
        <v>17464.0</v>
      </c>
      <c r="D2277" s="9">
        <v>0.0</v>
      </c>
      <c r="E2277" s="9">
        <v>1416.0</v>
      </c>
      <c r="F2277" s="7" t="s">
        <v>600</v>
      </c>
      <c r="G2277" s="7" t="s">
        <v>416</v>
      </c>
      <c r="H2277" s="7" t="s">
        <v>417</v>
      </c>
      <c r="I2277" s="7" t="s">
        <v>355</v>
      </c>
      <c r="J2277" s="14"/>
      <c r="K2277" s="14"/>
      <c r="O2277" s="22"/>
      <c r="P2277" s="22"/>
      <c r="Q2277" s="23"/>
      <c r="R2277" s="23"/>
      <c r="S2277" s="14"/>
    </row>
    <row r="2278" ht="18.75" customHeight="1">
      <c r="A2278" s="7" t="s">
        <v>601</v>
      </c>
      <c r="B2278" s="7" t="s">
        <v>3883</v>
      </c>
      <c r="C2278" s="9">
        <v>54056.0</v>
      </c>
      <c r="D2278" s="9">
        <v>0.0</v>
      </c>
      <c r="E2278" s="9">
        <v>1964.0</v>
      </c>
      <c r="F2278" s="7" t="s">
        <v>602</v>
      </c>
      <c r="G2278" s="7" t="s">
        <v>416</v>
      </c>
      <c r="H2278" s="7" t="s">
        <v>417</v>
      </c>
      <c r="I2278" s="7" t="s">
        <v>355</v>
      </c>
      <c r="J2278" s="14"/>
      <c r="K2278" s="14"/>
      <c r="O2278" s="22"/>
      <c r="P2278" s="22"/>
      <c r="Q2278" s="23"/>
      <c r="R2278" s="23"/>
      <c r="S2278" s="14"/>
    </row>
    <row r="2279" ht="18.75" customHeight="1">
      <c r="A2279" s="7" t="s">
        <v>668</v>
      </c>
      <c r="B2279" s="7" t="s">
        <v>3883</v>
      </c>
      <c r="C2279" s="9">
        <v>82526.0</v>
      </c>
      <c r="D2279" s="9">
        <v>0.0</v>
      </c>
      <c r="E2279" s="9">
        <v>3790.0</v>
      </c>
      <c r="F2279" s="7" t="s">
        <v>669</v>
      </c>
      <c r="G2279" s="7" t="s">
        <v>416</v>
      </c>
      <c r="H2279" s="7" t="s">
        <v>417</v>
      </c>
      <c r="I2279" s="7" t="s">
        <v>355</v>
      </c>
      <c r="J2279" s="14"/>
      <c r="K2279" s="14"/>
      <c r="O2279" s="22"/>
      <c r="P2279" s="22"/>
      <c r="Q2279" s="23"/>
      <c r="R2279" s="23"/>
      <c r="S2279" s="14"/>
    </row>
    <row r="2280" ht="18.75" customHeight="1">
      <c r="A2280" s="7" t="s">
        <v>670</v>
      </c>
      <c r="B2280" s="7" t="s">
        <v>3883</v>
      </c>
      <c r="C2280" s="9">
        <v>167187.0</v>
      </c>
      <c r="D2280" s="9">
        <v>0.0</v>
      </c>
      <c r="E2280" s="9">
        <v>4276.0</v>
      </c>
      <c r="F2280" s="7" t="s">
        <v>671</v>
      </c>
      <c r="G2280" s="7" t="s">
        <v>416</v>
      </c>
      <c r="H2280" s="7" t="s">
        <v>417</v>
      </c>
      <c r="I2280" s="7" t="s">
        <v>355</v>
      </c>
      <c r="J2280" s="14"/>
      <c r="K2280" s="14"/>
      <c r="O2280" s="22"/>
      <c r="P2280" s="22"/>
      <c r="Q2280" s="23"/>
      <c r="R2280" s="23"/>
      <c r="S2280" s="14"/>
    </row>
    <row r="2281" ht="18.75" customHeight="1">
      <c r="A2281" s="7" t="s">
        <v>730</v>
      </c>
      <c r="B2281" s="7" t="s">
        <v>3883</v>
      </c>
      <c r="C2281" s="9">
        <v>249495.0</v>
      </c>
      <c r="D2281" s="9">
        <v>0.0</v>
      </c>
      <c r="E2281" s="9">
        <v>7884.0</v>
      </c>
      <c r="F2281" s="7" t="s">
        <v>731</v>
      </c>
      <c r="G2281" s="7" t="s">
        <v>416</v>
      </c>
      <c r="H2281" s="7" t="s">
        <v>417</v>
      </c>
      <c r="I2281" s="7" t="s">
        <v>355</v>
      </c>
      <c r="J2281" s="14"/>
      <c r="K2281" s="14"/>
      <c r="O2281" s="22"/>
      <c r="P2281" s="22"/>
      <c r="Q2281" s="23"/>
      <c r="R2281" s="23"/>
      <c r="S2281" s="14"/>
    </row>
    <row r="2282" ht="18.75" customHeight="1">
      <c r="A2282" s="7" t="s">
        <v>726</v>
      </c>
      <c r="B2282" s="7" t="s">
        <v>3883</v>
      </c>
      <c r="C2282" s="9">
        <v>258448.0</v>
      </c>
      <c r="D2282" s="9">
        <v>0.0</v>
      </c>
      <c r="E2282" s="9">
        <v>7699.0</v>
      </c>
      <c r="F2282" s="7" t="s">
        <v>727</v>
      </c>
      <c r="G2282" s="7" t="s">
        <v>416</v>
      </c>
      <c r="H2282" s="7" t="s">
        <v>417</v>
      </c>
      <c r="I2282" s="7" t="s">
        <v>355</v>
      </c>
      <c r="J2282" s="14"/>
      <c r="K2282" s="14"/>
      <c r="O2282" s="22"/>
      <c r="P2282" s="22"/>
      <c r="Q2282" s="23"/>
      <c r="R2282" s="23"/>
      <c r="S2282" s="14"/>
    </row>
    <row r="2283" ht="18.75" customHeight="1">
      <c r="A2283" s="7" t="s">
        <v>728</v>
      </c>
      <c r="B2283" s="7" t="s">
        <v>3883</v>
      </c>
      <c r="C2283" s="9">
        <v>178692.0</v>
      </c>
      <c r="D2283" s="9">
        <v>0.0</v>
      </c>
      <c r="E2283" s="9">
        <v>6378.0</v>
      </c>
      <c r="F2283" s="7" t="s">
        <v>729</v>
      </c>
      <c r="G2283" s="7" t="s">
        <v>416</v>
      </c>
      <c r="H2283" s="7" t="s">
        <v>417</v>
      </c>
      <c r="I2283" s="7" t="s">
        <v>355</v>
      </c>
      <c r="J2283" s="14"/>
      <c r="K2283" s="14"/>
      <c r="O2283" s="22"/>
      <c r="P2283" s="22"/>
      <c r="Q2283" s="23"/>
      <c r="R2283" s="23"/>
      <c r="S2283" s="14"/>
    </row>
    <row r="2284" ht="18.75" customHeight="1">
      <c r="A2284" s="7" t="s">
        <v>802</v>
      </c>
      <c r="B2284" s="7" t="s">
        <v>3883</v>
      </c>
      <c r="C2284" s="9">
        <v>132024.0</v>
      </c>
      <c r="D2284" s="9">
        <v>0.0</v>
      </c>
      <c r="E2284" s="9">
        <v>5036.0</v>
      </c>
      <c r="F2284" s="7" t="s">
        <v>803</v>
      </c>
      <c r="G2284" s="7" t="s">
        <v>416</v>
      </c>
      <c r="H2284" s="7" t="s">
        <v>417</v>
      </c>
      <c r="I2284" s="7" t="s">
        <v>355</v>
      </c>
      <c r="J2284" s="14"/>
      <c r="K2284" s="14"/>
      <c r="O2284" s="22"/>
      <c r="P2284" s="22"/>
      <c r="Q2284" s="23"/>
      <c r="R2284" s="23"/>
      <c r="S2284" s="14"/>
    </row>
    <row r="2285" ht="18.75" customHeight="1">
      <c r="A2285" s="7" t="s">
        <v>836</v>
      </c>
      <c r="B2285" s="7" t="s">
        <v>3883</v>
      </c>
      <c r="C2285" s="9">
        <v>20402.0</v>
      </c>
      <c r="D2285" s="9">
        <v>0.0</v>
      </c>
      <c r="E2285" s="9">
        <v>942.0</v>
      </c>
      <c r="F2285" s="7" t="s">
        <v>837</v>
      </c>
      <c r="G2285" s="7" t="s">
        <v>416</v>
      </c>
      <c r="H2285" s="7" t="s">
        <v>417</v>
      </c>
      <c r="I2285" s="7" t="s">
        <v>355</v>
      </c>
      <c r="J2285" s="14"/>
      <c r="K2285" s="14"/>
      <c r="O2285" s="22"/>
      <c r="P2285" s="22"/>
      <c r="Q2285" s="23"/>
      <c r="R2285" s="23"/>
      <c r="S2285" s="14"/>
    </row>
    <row r="2286" ht="18.75" customHeight="1">
      <c r="A2286" s="7" t="s">
        <v>495</v>
      </c>
      <c r="B2286" s="7" t="s">
        <v>3883</v>
      </c>
      <c r="C2286" s="9">
        <v>453.0</v>
      </c>
      <c r="D2286" s="9">
        <v>238.0</v>
      </c>
      <c r="E2286" s="9">
        <v>0.0</v>
      </c>
      <c r="F2286" s="7" t="s">
        <v>496</v>
      </c>
      <c r="G2286" s="7" t="s">
        <v>358</v>
      </c>
      <c r="H2286" s="7" t="s">
        <v>466</v>
      </c>
      <c r="I2286" s="7" t="s">
        <v>355</v>
      </c>
      <c r="J2286" s="14"/>
      <c r="K2286" s="14"/>
      <c r="O2286" s="22"/>
      <c r="P2286" s="22"/>
      <c r="Q2286" s="23"/>
      <c r="R2286" s="23"/>
      <c r="S2286" s="14"/>
    </row>
    <row r="2287" ht="18.75" customHeight="1">
      <c r="A2287" s="7" t="s">
        <v>495</v>
      </c>
      <c r="B2287" s="7" t="s">
        <v>3883</v>
      </c>
      <c r="C2287" s="9">
        <v>5520.0</v>
      </c>
      <c r="D2287" s="9">
        <v>0.0</v>
      </c>
      <c r="E2287" s="9">
        <v>295.0</v>
      </c>
      <c r="F2287" s="7" t="s">
        <v>496</v>
      </c>
      <c r="G2287" s="7" t="s">
        <v>358</v>
      </c>
      <c r="H2287" s="7" t="s">
        <v>466</v>
      </c>
      <c r="I2287" s="7" t="s">
        <v>355</v>
      </c>
      <c r="J2287" s="14"/>
      <c r="K2287" s="14"/>
      <c r="O2287" s="22"/>
      <c r="P2287" s="22"/>
      <c r="Q2287" s="23"/>
      <c r="R2287" s="23"/>
      <c r="S2287" s="14"/>
    </row>
    <row r="2288" ht="18.75" customHeight="1">
      <c r="A2288" s="14"/>
      <c r="B2288" s="7" t="s">
        <v>3883</v>
      </c>
      <c r="C2288" s="9">
        <v>10491.0</v>
      </c>
      <c r="D2288" s="9">
        <v>8504.0</v>
      </c>
      <c r="E2288" s="9">
        <v>18.0</v>
      </c>
      <c r="F2288" s="14"/>
      <c r="G2288" s="14"/>
      <c r="H2288" s="14"/>
      <c r="I2288" s="14"/>
      <c r="J2288" s="14"/>
      <c r="K2288" s="14"/>
      <c r="O2288" s="22"/>
      <c r="P2288" s="22"/>
      <c r="Q2288" s="23"/>
      <c r="R2288" s="23"/>
      <c r="S2288" s="14"/>
    </row>
    <row r="2289" ht="18.75" customHeight="1">
      <c r="A2289" s="7" t="s">
        <v>680</v>
      </c>
      <c r="B2289" s="7" t="s">
        <v>3883</v>
      </c>
      <c r="C2289" s="9">
        <v>438840.0</v>
      </c>
      <c r="D2289" s="9">
        <v>411633.0</v>
      </c>
      <c r="E2289" s="9">
        <v>249.0</v>
      </c>
      <c r="F2289" s="7" t="s">
        <v>681</v>
      </c>
      <c r="G2289" s="7" t="s">
        <v>358</v>
      </c>
      <c r="H2289" s="7" t="s">
        <v>466</v>
      </c>
      <c r="I2289" s="7" t="s">
        <v>355</v>
      </c>
      <c r="J2289" s="14"/>
      <c r="K2289" s="14"/>
      <c r="O2289" s="22"/>
      <c r="P2289" s="22"/>
      <c r="Q2289" s="23"/>
      <c r="R2289" s="23"/>
      <c r="S2289" s="14"/>
    </row>
    <row r="2290" ht="18.75" customHeight="1">
      <c r="A2290" s="7" t="s">
        <v>585</v>
      </c>
      <c r="B2290" s="7" t="s">
        <v>3883</v>
      </c>
      <c r="C2290" s="9">
        <v>697931.0</v>
      </c>
      <c r="D2290" s="9">
        <v>313493.0</v>
      </c>
      <c r="E2290" s="9">
        <v>335.0</v>
      </c>
      <c r="F2290" s="7" t="s">
        <v>586</v>
      </c>
      <c r="G2290" s="7" t="s">
        <v>358</v>
      </c>
      <c r="H2290" s="7" t="s">
        <v>466</v>
      </c>
      <c r="I2290" s="7" t="s">
        <v>355</v>
      </c>
      <c r="J2290" s="14"/>
      <c r="K2290" s="14"/>
      <c r="O2290" s="22"/>
      <c r="P2290" s="22"/>
      <c r="Q2290" s="23"/>
      <c r="R2290" s="23"/>
      <c r="S2290" s="14"/>
    </row>
    <row r="2291" ht="18.75" customHeight="1">
      <c r="A2291" s="7" t="s">
        <v>695</v>
      </c>
      <c r="B2291" s="7" t="s">
        <v>3883</v>
      </c>
      <c r="C2291" s="9">
        <v>384528.0</v>
      </c>
      <c r="D2291" s="9">
        <v>229974.0</v>
      </c>
      <c r="E2291" s="9">
        <v>314.0</v>
      </c>
      <c r="F2291" s="7" t="s">
        <v>696</v>
      </c>
      <c r="G2291" s="7" t="s">
        <v>358</v>
      </c>
      <c r="H2291" s="7" t="s">
        <v>466</v>
      </c>
      <c r="I2291" s="7" t="s">
        <v>355</v>
      </c>
      <c r="J2291" s="14"/>
      <c r="K2291" s="14"/>
      <c r="O2291" s="22"/>
      <c r="P2291" s="22"/>
      <c r="Q2291" s="23"/>
      <c r="R2291" s="23"/>
      <c r="S2291" s="14"/>
    </row>
    <row r="2292" ht="18.75" customHeight="1">
      <c r="A2292" s="7" t="s">
        <v>767</v>
      </c>
      <c r="B2292" s="7" t="s">
        <v>3883</v>
      </c>
      <c r="C2292" s="9">
        <v>85855.0</v>
      </c>
      <c r="D2292" s="9">
        <v>68981.0</v>
      </c>
      <c r="E2292" s="9">
        <v>113.0</v>
      </c>
      <c r="F2292" s="7" t="s">
        <v>768</v>
      </c>
      <c r="G2292" s="7" t="s">
        <v>358</v>
      </c>
      <c r="H2292" s="7" t="s">
        <v>466</v>
      </c>
      <c r="I2292" s="7" t="s">
        <v>355</v>
      </c>
      <c r="J2292" s="14"/>
      <c r="K2292" s="14"/>
      <c r="O2292" s="22"/>
      <c r="P2292" s="22"/>
      <c r="Q2292" s="23"/>
      <c r="R2292" s="23"/>
      <c r="S2292" s="14"/>
    </row>
    <row r="2293" ht="18.75" customHeight="1">
      <c r="A2293" s="7" t="s">
        <v>493</v>
      </c>
      <c r="B2293" s="7" t="s">
        <v>3883</v>
      </c>
      <c r="C2293" s="9">
        <v>1763.0</v>
      </c>
      <c r="D2293" s="9">
        <v>0.0</v>
      </c>
      <c r="E2293" s="9">
        <v>107.0</v>
      </c>
      <c r="F2293" s="7" t="s">
        <v>494</v>
      </c>
      <c r="G2293" s="7" t="s">
        <v>364</v>
      </c>
      <c r="H2293" s="7" t="s">
        <v>365</v>
      </c>
      <c r="I2293" s="7" t="s">
        <v>355</v>
      </c>
      <c r="J2293" s="14"/>
      <c r="K2293" s="14"/>
      <c r="O2293" s="22"/>
      <c r="P2293" s="22"/>
      <c r="Q2293" s="23"/>
      <c r="R2293" s="23"/>
      <c r="S2293" s="14"/>
    </row>
    <row r="2294" ht="18.75" customHeight="1">
      <c r="A2294" s="7" t="s">
        <v>590</v>
      </c>
      <c r="B2294" s="7" t="s">
        <v>3883</v>
      </c>
      <c r="C2294" s="9">
        <v>79501.0</v>
      </c>
      <c r="D2294" s="9">
        <v>0.0</v>
      </c>
      <c r="E2294" s="9">
        <v>2456.0</v>
      </c>
      <c r="F2294" s="7" t="s">
        <v>591</v>
      </c>
      <c r="G2294" s="7" t="s">
        <v>358</v>
      </c>
      <c r="H2294" s="7" t="s">
        <v>466</v>
      </c>
      <c r="I2294" s="7" t="s">
        <v>355</v>
      </c>
      <c r="J2294" s="14"/>
      <c r="K2294" s="14"/>
      <c r="O2294" s="22"/>
      <c r="P2294" s="22"/>
      <c r="Q2294" s="23"/>
      <c r="R2294" s="23"/>
      <c r="S2294" s="14"/>
    </row>
    <row r="2295" ht="18.75" customHeight="1">
      <c r="A2295" s="7" t="s">
        <v>647</v>
      </c>
      <c r="B2295" s="7" t="s">
        <v>3883</v>
      </c>
      <c r="C2295" s="9">
        <v>93244.0</v>
      </c>
      <c r="D2295" s="9">
        <v>0.0</v>
      </c>
      <c r="E2295" s="9">
        <v>5866.0</v>
      </c>
      <c r="F2295" s="7" t="s">
        <v>648</v>
      </c>
      <c r="G2295" s="7" t="s">
        <v>353</v>
      </c>
      <c r="H2295" s="7" t="s">
        <v>378</v>
      </c>
      <c r="I2295" s="7" t="s">
        <v>355</v>
      </c>
      <c r="J2295" s="14"/>
      <c r="K2295" s="14"/>
      <c r="O2295" s="22"/>
      <c r="P2295" s="22"/>
      <c r="Q2295" s="23"/>
      <c r="R2295" s="23"/>
      <c r="S2295" s="14"/>
    </row>
    <row r="2296" ht="18.75" customHeight="1">
      <c r="A2296" s="7" t="s">
        <v>533</v>
      </c>
      <c r="B2296" s="7" t="s">
        <v>3883</v>
      </c>
      <c r="C2296" s="9">
        <v>1356495.0</v>
      </c>
      <c r="D2296" s="9">
        <v>0.0</v>
      </c>
      <c r="E2296" s="9">
        <v>54260.0</v>
      </c>
      <c r="F2296" s="7" t="s">
        <v>534</v>
      </c>
      <c r="G2296" s="7" t="s">
        <v>358</v>
      </c>
      <c r="H2296" s="7" t="s">
        <v>359</v>
      </c>
      <c r="I2296" s="7" t="s">
        <v>355</v>
      </c>
      <c r="J2296" s="14"/>
      <c r="K2296" s="14"/>
      <c r="O2296" s="22"/>
      <c r="P2296" s="22"/>
      <c r="Q2296" s="23"/>
      <c r="R2296" s="23"/>
      <c r="S2296" s="14"/>
    </row>
    <row r="2297" ht="18.75" customHeight="1">
      <c r="A2297" s="7" t="s">
        <v>533</v>
      </c>
      <c r="B2297" s="7" t="s">
        <v>3883</v>
      </c>
      <c r="C2297" s="9">
        <v>828742.0</v>
      </c>
      <c r="D2297" s="9">
        <v>495036.0</v>
      </c>
      <c r="E2297" s="9">
        <v>869.0</v>
      </c>
      <c r="F2297" s="7" t="s">
        <v>534</v>
      </c>
      <c r="G2297" s="7" t="s">
        <v>358</v>
      </c>
      <c r="H2297" s="7" t="s">
        <v>359</v>
      </c>
      <c r="I2297" s="7" t="s">
        <v>355</v>
      </c>
      <c r="J2297" s="14"/>
      <c r="K2297" s="14"/>
      <c r="O2297" s="22"/>
      <c r="P2297" s="22"/>
      <c r="Q2297" s="23"/>
      <c r="R2297" s="23"/>
      <c r="S2297" s="14"/>
    </row>
    <row r="2298" ht="18.75" customHeight="1">
      <c r="A2298" s="7" t="s">
        <v>537</v>
      </c>
      <c r="B2298" s="7" t="s">
        <v>3883</v>
      </c>
      <c r="C2298" s="9">
        <v>1050841.0</v>
      </c>
      <c r="D2298" s="9">
        <v>0.0</v>
      </c>
      <c r="E2298" s="9">
        <v>38522.0</v>
      </c>
      <c r="F2298" s="7" t="s">
        <v>538</v>
      </c>
      <c r="G2298" s="7" t="s">
        <v>358</v>
      </c>
      <c r="H2298" s="7" t="s">
        <v>359</v>
      </c>
      <c r="I2298" s="7" t="s">
        <v>355</v>
      </c>
      <c r="J2298" s="14"/>
      <c r="K2298" s="14"/>
      <c r="O2298" s="22"/>
      <c r="P2298" s="22"/>
      <c r="Q2298" s="23"/>
      <c r="R2298" s="23"/>
      <c r="S2298" s="14"/>
    </row>
    <row r="2299" ht="18.75" customHeight="1">
      <c r="A2299" s="7" t="s">
        <v>535</v>
      </c>
      <c r="B2299" s="7" t="s">
        <v>3883</v>
      </c>
      <c r="C2299" s="9">
        <v>1068808.0</v>
      </c>
      <c r="D2299" s="9">
        <v>0.0</v>
      </c>
      <c r="E2299" s="9">
        <v>34733.0</v>
      </c>
      <c r="F2299" s="7" t="s">
        <v>536</v>
      </c>
      <c r="G2299" s="7" t="s">
        <v>358</v>
      </c>
      <c r="H2299" s="7" t="s">
        <v>359</v>
      </c>
      <c r="I2299" s="7" t="s">
        <v>355</v>
      </c>
      <c r="J2299" s="14"/>
      <c r="K2299" s="14"/>
      <c r="O2299" s="22"/>
      <c r="P2299" s="22"/>
      <c r="Q2299" s="23"/>
      <c r="R2299" s="23"/>
      <c r="S2299" s="14"/>
    </row>
    <row r="2300" ht="18.75" customHeight="1">
      <c r="A2300" s="7" t="s">
        <v>623</v>
      </c>
      <c r="B2300" s="7" t="s">
        <v>3883</v>
      </c>
      <c r="C2300" s="9">
        <v>444269.0</v>
      </c>
      <c r="D2300" s="9">
        <v>0.0</v>
      </c>
      <c r="E2300" s="9">
        <v>19831.0</v>
      </c>
      <c r="F2300" s="7" t="s">
        <v>624</v>
      </c>
      <c r="G2300" s="7" t="s">
        <v>353</v>
      </c>
      <c r="H2300" s="7" t="s">
        <v>354</v>
      </c>
      <c r="I2300" s="7" t="s">
        <v>355</v>
      </c>
      <c r="J2300" s="14"/>
      <c r="K2300" s="14"/>
      <c r="O2300" s="22"/>
      <c r="P2300" s="22"/>
      <c r="Q2300" s="23"/>
      <c r="R2300" s="23"/>
      <c r="S2300" s="14"/>
    </row>
    <row r="2301" ht="18.75" customHeight="1">
      <c r="A2301" s="7" t="s">
        <v>721</v>
      </c>
      <c r="B2301" s="7" t="s">
        <v>3883</v>
      </c>
      <c r="C2301" s="9">
        <v>307406.0</v>
      </c>
      <c r="D2301" s="9">
        <v>0.0</v>
      </c>
      <c r="E2301" s="9">
        <v>7431.0</v>
      </c>
      <c r="F2301" s="7" t="s">
        <v>722</v>
      </c>
      <c r="G2301" s="7" t="s">
        <v>358</v>
      </c>
      <c r="H2301" s="7" t="s">
        <v>466</v>
      </c>
      <c r="I2301" s="7" t="s">
        <v>355</v>
      </c>
      <c r="J2301" s="14"/>
      <c r="K2301" s="14"/>
      <c r="O2301" s="22"/>
      <c r="P2301" s="22"/>
      <c r="Q2301" s="23"/>
      <c r="R2301" s="23"/>
      <c r="S2301" s="14"/>
    </row>
    <row r="2302" ht="18.75" customHeight="1">
      <c r="A2302" s="7" t="s">
        <v>721</v>
      </c>
      <c r="B2302" s="7" t="s">
        <v>3883</v>
      </c>
      <c r="C2302" s="9">
        <v>222261.0</v>
      </c>
      <c r="D2302" s="9">
        <v>149643.0</v>
      </c>
      <c r="E2302" s="9">
        <v>444.0</v>
      </c>
      <c r="F2302" s="7" t="s">
        <v>722</v>
      </c>
      <c r="G2302" s="7" t="s">
        <v>358</v>
      </c>
      <c r="H2302" s="7" t="s">
        <v>466</v>
      </c>
      <c r="I2302" s="7" t="s">
        <v>355</v>
      </c>
      <c r="J2302" s="14"/>
      <c r="K2302" s="14"/>
      <c r="O2302" s="22"/>
      <c r="P2302" s="22"/>
      <c r="Q2302" s="23"/>
      <c r="R2302" s="23"/>
      <c r="S2302" s="14"/>
    </row>
    <row r="2303" ht="18.75" customHeight="1">
      <c r="A2303" s="7" t="s">
        <v>388</v>
      </c>
      <c r="B2303" s="7" t="s">
        <v>3883</v>
      </c>
      <c r="C2303" s="9">
        <v>1065088.0</v>
      </c>
      <c r="D2303" s="9">
        <v>0.0</v>
      </c>
      <c r="E2303" s="9">
        <v>35810.0</v>
      </c>
      <c r="F2303" s="7" t="s">
        <v>389</v>
      </c>
      <c r="G2303" s="7" t="s">
        <v>353</v>
      </c>
      <c r="H2303" s="7" t="s">
        <v>378</v>
      </c>
      <c r="I2303" s="7" t="s">
        <v>355</v>
      </c>
      <c r="J2303" s="14"/>
      <c r="K2303" s="14"/>
      <c r="O2303" s="22"/>
      <c r="P2303" s="22"/>
      <c r="Q2303" s="23"/>
      <c r="R2303" s="23"/>
      <c r="S2303" s="14"/>
    </row>
    <row r="2304" ht="18.75" customHeight="1">
      <c r="A2304" s="7" t="s">
        <v>388</v>
      </c>
      <c r="B2304" s="7" t="s">
        <v>3883</v>
      </c>
      <c r="C2304" s="9">
        <v>67179.0</v>
      </c>
      <c r="D2304" s="9">
        <v>0.0</v>
      </c>
      <c r="E2304" s="9">
        <v>3928.0</v>
      </c>
      <c r="F2304" s="7" t="s">
        <v>389</v>
      </c>
      <c r="G2304" s="7" t="s">
        <v>353</v>
      </c>
      <c r="H2304" s="7" t="s">
        <v>378</v>
      </c>
      <c r="I2304" s="7" t="s">
        <v>355</v>
      </c>
      <c r="J2304" s="14"/>
      <c r="K2304" s="14"/>
      <c r="O2304" s="22"/>
      <c r="P2304" s="22"/>
      <c r="Q2304" s="23"/>
      <c r="R2304" s="23"/>
      <c r="S2304" s="14"/>
    </row>
    <row r="2305" ht="18.75" customHeight="1">
      <c r="A2305" s="7" t="s">
        <v>388</v>
      </c>
      <c r="B2305" s="7" t="s">
        <v>3883</v>
      </c>
      <c r="C2305" s="9">
        <v>1010662.0</v>
      </c>
      <c r="D2305" s="9">
        <v>72731.0</v>
      </c>
      <c r="E2305" s="9">
        <v>311.0</v>
      </c>
      <c r="F2305" s="7" t="s">
        <v>389</v>
      </c>
      <c r="G2305" s="7" t="s">
        <v>353</v>
      </c>
      <c r="H2305" s="7" t="s">
        <v>378</v>
      </c>
      <c r="I2305" s="7" t="s">
        <v>355</v>
      </c>
      <c r="J2305" s="14"/>
      <c r="K2305" s="14"/>
      <c r="O2305" s="22"/>
      <c r="P2305" s="22"/>
      <c r="Q2305" s="23"/>
      <c r="R2305" s="23"/>
      <c r="S2305" s="14"/>
    </row>
    <row r="2306" ht="18.75" customHeight="1">
      <c r="A2306" s="7" t="s">
        <v>388</v>
      </c>
      <c r="B2306" s="7" t="s">
        <v>3883</v>
      </c>
      <c r="C2306" s="9">
        <v>1147043.0</v>
      </c>
      <c r="D2306" s="9">
        <v>15603.0</v>
      </c>
      <c r="E2306" s="9">
        <v>2229.0</v>
      </c>
      <c r="F2306" s="7" t="s">
        <v>389</v>
      </c>
      <c r="G2306" s="7" t="s">
        <v>353</v>
      </c>
      <c r="H2306" s="7" t="s">
        <v>378</v>
      </c>
      <c r="I2306" s="7" t="s">
        <v>355</v>
      </c>
      <c r="J2306" s="14"/>
      <c r="K2306" s="14"/>
      <c r="O2306" s="22"/>
      <c r="P2306" s="22"/>
      <c r="Q2306" s="23"/>
      <c r="R2306" s="23"/>
      <c r="S2306" s="14"/>
    </row>
    <row r="2307" ht="18.75" customHeight="1">
      <c r="A2307" s="7" t="s">
        <v>388</v>
      </c>
      <c r="B2307" s="7" t="s">
        <v>3883</v>
      </c>
      <c r="C2307" s="9">
        <v>933333.0</v>
      </c>
      <c r="D2307" s="9">
        <v>8358.0</v>
      </c>
      <c r="E2307" s="9">
        <v>2176.0</v>
      </c>
      <c r="F2307" s="7" t="s">
        <v>389</v>
      </c>
      <c r="G2307" s="7" t="s">
        <v>353</v>
      </c>
      <c r="H2307" s="7" t="s">
        <v>378</v>
      </c>
      <c r="I2307" s="7" t="s">
        <v>355</v>
      </c>
      <c r="J2307" s="14"/>
      <c r="K2307" s="14"/>
      <c r="O2307" s="22"/>
      <c r="P2307" s="22"/>
      <c r="Q2307" s="23"/>
      <c r="R2307" s="23"/>
      <c r="S2307" s="14"/>
    </row>
    <row r="2308" ht="18.75" customHeight="1">
      <c r="A2308" s="7" t="s">
        <v>398</v>
      </c>
      <c r="B2308" s="7" t="s">
        <v>3883</v>
      </c>
      <c r="C2308" s="9">
        <v>327893.0</v>
      </c>
      <c r="D2308" s="9">
        <v>0.0</v>
      </c>
      <c r="E2308" s="9">
        <v>10381.0</v>
      </c>
      <c r="F2308" s="7" t="s">
        <v>399</v>
      </c>
      <c r="G2308" s="7" t="s">
        <v>353</v>
      </c>
      <c r="H2308" s="7" t="s">
        <v>378</v>
      </c>
      <c r="I2308" s="7" t="s">
        <v>355</v>
      </c>
      <c r="J2308" s="14"/>
      <c r="K2308" s="14"/>
      <c r="O2308" s="22"/>
      <c r="P2308" s="22"/>
      <c r="Q2308" s="23"/>
      <c r="R2308" s="23"/>
      <c r="S2308" s="14"/>
    </row>
    <row r="2309" ht="18.75" customHeight="1">
      <c r="A2309" s="7" t="s">
        <v>398</v>
      </c>
      <c r="B2309" s="7" t="s">
        <v>3883</v>
      </c>
      <c r="C2309" s="9">
        <v>357900.0</v>
      </c>
      <c r="D2309" s="9">
        <v>0.0</v>
      </c>
      <c r="E2309" s="9">
        <v>11098.0</v>
      </c>
      <c r="F2309" s="7" t="s">
        <v>399</v>
      </c>
      <c r="G2309" s="7" t="s">
        <v>353</v>
      </c>
      <c r="H2309" s="7" t="s">
        <v>378</v>
      </c>
      <c r="I2309" s="7" t="s">
        <v>355</v>
      </c>
      <c r="J2309" s="14"/>
      <c r="K2309" s="14"/>
      <c r="O2309" s="22"/>
      <c r="P2309" s="22"/>
      <c r="Q2309" s="23"/>
      <c r="R2309" s="23"/>
      <c r="S2309" s="14"/>
    </row>
    <row r="2310" ht="18.75" customHeight="1">
      <c r="A2310" s="7" t="s">
        <v>398</v>
      </c>
      <c r="B2310" s="7" t="s">
        <v>3883</v>
      </c>
      <c r="C2310" s="9">
        <v>345205.0</v>
      </c>
      <c r="D2310" s="9">
        <v>0.0</v>
      </c>
      <c r="E2310" s="9">
        <v>11717.0</v>
      </c>
      <c r="F2310" s="7" t="s">
        <v>399</v>
      </c>
      <c r="G2310" s="7" t="s">
        <v>353</v>
      </c>
      <c r="H2310" s="7" t="s">
        <v>378</v>
      </c>
      <c r="I2310" s="7" t="s">
        <v>355</v>
      </c>
      <c r="J2310" s="14"/>
      <c r="K2310" s="14"/>
      <c r="O2310" s="22"/>
      <c r="P2310" s="22"/>
      <c r="Q2310" s="23"/>
      <c r="R2310" s="23"/>
      <c r="S2310" s="14"/>
    </row>
    <row r="2311" ht="18.75" customHeight="1">
      <c r="A2311" s="7" t="s">
        <v>398</v>
      </c>
      <c r="B2311" s="7" t="s">
        <v>3883</v>
      </c>
      <c r="C2311" s="9">
        <v>278211.0</v>
      </c>
      <c r="D2311" s="9">
        <v>0.0</v>
      </c>
      <c r="E2311" s="9">
        <v>8298.0</v>
      </c>
      <c r="F2311" s="7" t="s">
        <v>399</v>
      </c>
      <c r="G2311" s="7" t="s">
        <v>353</v>
      </c>
      <c r="H2311" s="7" t="s">
        <v>378</v>
      </c>
      <c r="I2311" s="7" t="s">
        <v>355</v>
      </c>
      <c r="J2311" s="14"/>
      <c r="K2311" s="14"/>
      <c r="O2311" s="22"/>
      <c r="P2311" s="22"/>
      <c r="Q2311" s="23"/>
      <c r="R2311" s="23"/>
      <c r="S2311" s="14"/>
    </row>
    <row r="2312" ht="18.75" customHeight="1">
      <c r="A2312" s="7" t="s">
        <v>398</v>
      </c>
      <c r="B2312" s="7" t="s">
        <v>3883</v>
      </c>
      <c r="C2312" s="9">
        <v>376779.0</v>
      </c>
      <c r="D2312" s="9">
        <v>0.0</v>
      </c>
      <c r="E2312" s="9">
        <v>11064.0</v>
      </c>
      <c r="F2312" s="7" t="s">
        <v>399</v>
      </c>
      <c r="G2312" s="7" t="s">
        <v>353</v>
      </c>
      <c r="H2312" s="7" t="s">
        <v>378</v>
      </c>
      <c r="I2312" s="7" t="s">
        <v>355</v>
      </c>
      <c r="J2312" s="14"/>
      <c r="K2312" s="14"/>
      <c r="O2312" s="22"/>
      <c r="P2312" s="22"/>
      <c r="Q2312" s="23"/>
      <c r="R2312" s="23"/>
      <c r="S2312" s="14"/>
    </row>
    <row r="2313" ht="18.75" customHeight="1">
      <c r="A2313" s="7" t="s">
        <v>398</v>
      </c>
      <c r="B2313" s="7" t="s">
        <v>3883</v>
      </c>
      <c r="C2313" s="9">
        <v>351828.0</v>
      </c>
      <c r="D2313" s="9">
        <v>0.0</v>
      </c>
      <c r="E2313" s="9">
        <v>10891.0</v>
      </c>
      <c r="F2313" s="7" t="s">
        <v>399</v>
      </c>
      <c r="G2313" s="7" t="s">
        <v>353</v>
      </c>
      <c r="H2313" s="7" t="s">
        <v>378</v>
      </c>
      <c r="I2313" s="7" t="s">
        <v>355</v>
      </c>
      <c r="J2313" s="14"/>
      <c r="K2313" s="14"/>
      <c r="O2313" s="22"/>
      <c r="P2313" s="22"/>
      <c r="Q2313" s="23"/>
      <c r="R2313" s="23"/>
      <c r="S2313" s="14"/>
    </row>
    <row r="2314" ht="18.75" customHeight="1">
      <c r="A2314" s="7" t="s">
        <v>398</v>
      </c>
      <c r="B2314" s="7" t="s">
        <v>3883</v>
      </c>
      <c r="C2314" s="9">
        <v>362165.0</v>
      </c>
      <c r="D2314" s="9">
        <v>0.0</v>
      </c>
      <c r="E2314" s="9">
        <v>10940.0</v>
      </c>
      <c r="F2314" s="7" t="s">
        <v>399</v>
      </c>
      <c r="G2314" s="7" t="s">
        <v>353</v>
      </c>
      <c r="H2314" s="7" t="s">
        <v>378</v>
      </c>
      <c r="I2314" s="7" t="s">
        <v>355</v>
      </c>
      <c r="J2314" s="14"/>
      <c r="K2314" s="14"/>
      <c r="O2314" s="22"/>
      <c r="P2314" s="22"/>
      <c r="Q2314" s="23"/>
      <c r="R2314" s="23"/>
      <c r="S2314" s="14"/>
    </row>
    <row r="2315" ht="18.75" customHeight="1">
      <c r="A2315" s="7" t="s">
        <v>398</v>
      </c>
      <c r="B2315" s="7" t="s">
        <v>3883</v>
      </c>
      <c r="C2315" s="9">
        <v>413932.0</v>
      </c>
      <c r="D2315" s="9">
        <v>0.0</v>
      </c>
      <c r="E2315" s="9">
        <v>13118.0</v>
      </c>
      <c r="F2315" s="7" t="s">
        <v>399</v>
      </c>
      <c r="G2315" s="7" t="s">
        <v>353</v>
      </c>
      <c r="H2315" s="7" t="s">
        <v>378</v>
      </c>
      <c r="I2315" s="7" t="s">
        <v>355</v>
      </c>
      <c r="J2315" s="14"/>
      <c r="K2315" s="14"/>
      <c r="O2315" s="22"/>
      <c r="P2315" s="22"/>
      <c r="Q2315" s="23"/>
      <c r="R2315" s="23"/>
      <c r="S2315" s="14"/>
    </row>
    <row r="2316" ht="18.75" customHeight="1">
      <c r="A2316" s="7" t="s">
        <v>398</v>
      </c>
      <c r="B2316" s="7" t="s">
        <v>3883</v>
      </c>
      <c r="C2316" s="9">
        <v>358508.0</v>
      </c>
      <c r="D2316" s="9">
        <v>0.0</v>
      </c>
      <c r="E2316" s="9">
        <v>10026.0</v>
      </c>
      <c r="F2316" s="7" t="s">
        <v>399</v>
      </c>
      <c r="G2316" s="7" t="s">
        <v>353</v>
      </c>
      <c r="H2316" s="7" t="s">
        <v>378</v>
      </c>
      <c r="I2316" s="7" t="s">
        <v>355</v>
      </c>
      <c r="J2316" s="14"/>
      <c r="K2316" s="14"/>
      <c r="O2316" s="22"/>
      <c r="P2316" s="22"/>
      <c r="Q2316" s="23"/>
      <c r="R2316" s="23"/>
      <c r="S2316" s="14"/>
    </row>
    <row r="2317" ht="18.75" customHeight="1">
      <c r="A2317" s="7" t="s">
        <v>398</v>
      </c>
      <c r="B2317" s="7" t="s">
        <v>3883</v>
      </c>
      <c r="C2317" s="9">
        <v>222783.0</v>
      </c>
      <c r="D2317" s="9">
        <v>0.0</v>
      </c>
      <c r="E2317" s="9">
        <v>4443.0</v>
      </c>
      <c r="F2317" s="7" t="s">
        <v>399</v>
      </c>
      <c r="G2317" s="7" t="s">
        <v>353</v>
      </c>
      <c r="H2317" s="7" t="s">
        <v>378</v>
      </c>
      <c r="I2317" s="7" t="s">
        <v>355</v>
      </c>
      <c r="J2317" s="14"/>
      <c r="K2317" s="14"/>
      <c r="O2317" s="22"/>
      <c r="P2317" s="22"/>
      <c r="Q2317" s="23"/>
      <c r="R2317" s="23"/>
      <c r="S2317" s="14"/>
    </row>
    <row r="2318" ht="18.75" customHeight="1">
      <c r="A2318" s="7" t="s">
        <v>398</v>
      </c>
      <c r="B2318" s="7" t="s">
        <v>3883</v>
      </c>
      <c r="C2318" s="9">
        <v>349859.0</v>
      </c>
      <c r="D2318" s="9">
        <v>0.0</v>
      </c>
      <c r="E2318" s="9">
        <v>9513.0</v>
      </c>
      <c r="F2318" s="7" t="s">
        <v>399</v>
      </c>
      <c r="G2318" s="7" t="s">
        <v>353</v>
      </c>
      <c r="H2318" s="7" t="s">
        <v>378</v>
      </c>
      <c r="I2318" s="7" t="s">
        <v>355</v>
      </c>
      <c r="J2318" s="14"/>
      <c r="K2318" s="14"/>
      <c r="O2318" s="22"/>
      <c r="P2318" s="22"/>
      <c r="Q2318" s="23"/>
      <c r="R2318" s="23"/>
      <c r="S2318" s="14"/>
    </row>
    <row r="2319" ht="18.75" customHeight="1">
      <c r="A2319" s="7" t="s">
        <v>398</v>
      </c>
      <c r="B2319" s="7" t="s">
        <v>3883</v>
      </c>
      <c r="C2319" s="9">
        <v>322858.0</v>
      </c>
      <c r="D2319" s="9">
        <v>0.0</v>
      </c>
      <c r="E2319" s="9">
        <v>10066.0</v>
      </c>
      <c r="F2319" s="7" t="s">
        <v>399</v>
      </c>
      <c r="G2319" s="7" t="s">
        <v>353</v>
      </c>
      <c r="H2319" s="7" t="s">
        <v>378</v>
      </c>
      <c r="I2319" s="7" t="s">
        <v>355</v>
      </c>
      <c r="J2319" s="14"/>
      <c r="K2319" s="14"/>
      <c r="O2319" s="22"/>
      <c r="P2319" s="22"/>
      <c r="Q2319" s="23"/>
      <c r="R2319" s="23"/>
      <c r="S2319" s="14"/>
    </row>
    <row r="2320" ht="18.75" customHeight="1">
      <c r="A2320" s="7" t="s">
        <v>400</v>
      </c>
      <c r="B2320" s="7" t="s">
        <v>3883</v>
      </c>
      <c r="C2320" s="9">
        <v>735969.0</v>
      </c>
      <c r="D2320" s="9">
        <v>0.0</v>
      </c>
      <c r="E2320" s="9">
        <v>12820.0</v>
      </c>
      <c r="F2320" s="7" t="s">
        <v>401</v>
      </c>
      <c r="G2320" s="7" t="s">
        <v>353</v>
      </c>
      <c r="H2320" s="7" t="s">
        <v>378</v>
      </c>
      <c r="I2320" s="7" t="s">
        <v>355</v>
      </c>
      <c r="J2320" s="14"/>
      <c r="K2320" s="14"/>
      <c r="O2320" s="22"/>
      <c r="P2320" s="22"/>
      <c r="Q2320" s="23"/>
      <c r="R2320" s="23"/>
      <c r="S2320" s="14"/>
    </row>
    <row r="2321" ht="18.75" customHeight="1">
      <c r="A2321" s="7" t="s">
        <v>400</v>
      </c>
      <c r="B2321" s="7" t="s">
        <v>3883</v>
      </c>
      <c r="C2321" s="9">
        <v>347855.0</v>
      </c>
      <c r="D2321" s="9">
        <v>209294.0</v>
      </c>
      <c r="E2321" s="9">
        <v>252.0</v>
      </c>
      <c r="F2321" s="7" t="s">
        <v>401</v>
      </c>
      <c r="G2321" s="7" t="s">
        <v>353</v>
      </c>
      <c r="H2321" s="7" t="s">
        <v>378</v>
      </c>
      <c r="I2321" s="7" t="s">
        <v>355</v>
      </c>
      <c r="J2321" s="14"/>
      <c r="K2321" s="14"/>
      <c r="O2321" s="22"/>
      <c r="P2321" s="22"/>
      <c r="Q2321" s="23"/>
      <c r="R2321" s="23"/>
      <c r="S2321" s="14"/>
    </row>
    <row r="2322" ht="18.75" customHeight="1">
      <c r="A2322" s="7" t="s">
        <v>400</v>
      </c>
      <c r="B2322" s="7" t="s">
        <v>3883</v>
      </c>
      <c r="C2322" s="9">
        <v>408663.0</v>
      </c>
      <c r="D2322" s="9">
        <v>5368.0</v>
      </c>
      <c r="E2322" s="9">
        <v>1312.0</v>
      </c>
      <c r="F2322" s="7" t="s">
        <v>401</v>
      </c>
      <c r="G2322" s="7" t="s">
        <v>353</v>
      </c>
      <c r="H2322" s="7" t="s">
        <v>378</v>
      </c>
      <c r="I2322" s="7" t="s">
        <v>355</v>
      </c>
      <c r="J2322" s="14"/>
      <c r="K2322" s="14"/>
      <c r="O2322" s="22"/>
      <c r="P2322" s="22"/>
      <c r="Q2322" s="23"/>
      <c r="R2322" s="23"/>
      <c r="S2322" s="14"/>
    </row>
    <row r="2323" ht="18.75" customHeight="1">
      <c r="A2323" s="7" t="s">
        <v>400</v>
      </c>
      <c r="B2323" s="7" t="s">
        <v>3883</v>
      </c>
      <c r="C2323" s="9">
        <v>107073.0</v>
      </c>
      <c r="D2323" s="9">
        <v>59341.0</v>
      </c>
      <c r="E2323" s="9">
        <v>57.0</v>
      </c>
      <c r="F2323" s="7" t="s">
        <v>401</v>
      </c>
      <c r="G2323" s="7" t="s">
        <v>353</v>
      </c>
      <c r="H2323" s="7" t="s">
        <v>378</v>
      </c>
      <c r="I2323" s="7" t="s">
        <v>355</v>
      </c>
      <c r="J2323" s="14"/>
      <c r="K2323" s="14"/>
      <c r="O2323" s="22"/>
      <c r="P2323" s="22"/>
      <c r="Q2323" s="23"/>
      <c r="R2323" s="23"/>
      <c r="S2323" s="14"/>
    </row>
    <row r="2324" ht="18.75" customHeight="1">
      <c r="A2324" s="7" t="s">
        <v>392</v>
      </c>
      <c r="B2324" s="7" t="s">
        <v>3883</v>
      </c>
      <c r="C2324" s="9">
        <v>1623566.0</v>
      </c>
      <c r="D2324" s="9">
        <v>10539.0</v>
      </c>
      <c r="E2324" s="9">
        <v>2857.0</v>
      </c>
      <c r="F2324" s="7" t="s">
        <v>393</v>
      </c>
      <c r="G2324" s="7" t="s">
        <v>353</v>
      </c>
      <c r="H2324" s="7" t="s">
        <v>378</v>
      </c>
      <c r="I2324" s="7" t="s">
        <v>355</v>
      </c>
      <c r="J2324" s="14"/>
      <c r="K2324" s="14"/>
      <c r="O2324" s="22"/>
      <c r="P2324" s="22"/>
      <c r="Q2324" s="23"/>
      <c r="R2324" s="23"/>
      <c r="S2324" s="14"/>
    </row>
    <row r="2325" ht="18.75" customHeight="1">
      <c r="A2325" s="7" t="s">
        <v>392</v>
      </c>
      <c r="B2325" s="7" t="s">
        <v>3883</v>
      </c>
      <c r="C2325" s="9">
        <v>1218733.0</v>
      </c>
      <c r="D2325" s="9">
        <v>197725.0</v>
      </c>
      <c r="E2325" s="9">
        <v>400.0</v>
      </c>
      <c r="F2325" s="7" t="s">
        <v>393</v>
      </c>
      <c r="G2325" s="7" t="s">
        <v>353</v>
      </c>
      <c r="H2325" s="7" t="s">
        <v>378</v>
      </c>
      <c r="I2325" s="7" t="s">
        <v>355</v>
      </c>
      <c r="J2325" s="14"/>
      <c r="K2325" s="14"/>
      <c r="O2325" s="22"/>
      <c r="P2325" s="22"/>
      <c r="Q2325" s="23"/>
      <c r="R2325" s="23"/>
      <c r="S2325" s="14"/>
    </row>
    <row r="2326" ht="18.75" customHeight="1">
      <c r="A2326" s="7" t="s">
        <v>392</v>
      </c>
      <c r="B2326" s="7" t="s">
        <v>3883</v>
      </c>
      <c r="C2326" s="9">
        <v>1432420.0</v>
      </c>
      <c r="D2326" s="9">
        <v>0.0</v>
      </c>
      <c r="E2326" s="9">
        <v>45048.0</v>
      </c>
      <c r="F2326" s="7" t="s">
        <v>393</v>
      </c>
      <c r="G2326" s="7" t="s">
        <v>353</v>
      </c>
      <c r="H2326" s="7" t="s">
        <v>378</v>
      </c>
      <c r="I2326" s="7" t="s">
        <v>355</v>
      </c>
      <c r="J2326" s="14"/>
      <c r="K2326" s="14"/>
      <c r="O2326" s="22"/>
      <c r="P2326" s="22"/>
      <c r="Q2326" s="23"/>
      <c r="R2326" s="23"/>
      <c r="S2326" s="14"/>
    </row>
    <row r="2327" ht="18.75" customHeight="1">
      <c r="A2327" s="7" t="s">
        <v>392</v>
      </c>
      <c r="B2327" s="7" t="s">
        <v>3883</v>
      </c>
      <c r="C2327" s="9">
        <v>494809.0</v>
      </c>
      <c r="D2327" s="9">
        <v>9674.0</v>
      </c>
      <c r="E2327" s="9">
        <v>1056.0</v>
      </c>
      <c r="F2327" s="7" t="s">
        <v>393</v>
      </c>
      <c r="G2327" s="7" t="s">
        <v>353</v>
      </c>
      <c r="H2327" s="7" t="s">
        <v>378</v>
      </c>
      <c r="I2327" s="7" t="s">
        <v>355</v>
      </c>
      <c r="J2327" s="14"/>
      <c r="K2327" s="14"/>
      <c r="O2327" s="22"/>
      <c r="P2327" s="22"/>
      <c r="Q2327" s="23"/>
      <c r="R2327" s="23"/>
      <c r="S2327" s="14"/>
    </row>
    <row r="2328" ht="18.75" customHeight="1">
      <c r="A2328" s="7" t="s">
        <v>392</v>
      </c>
      <c r="B2328" s="7" t="s">
        <v>3883</v>
      </c>
      <c r="C2328" s="9">
        <v>1191169.0</v>
      </c>
      <c r="D2328" s="9">
        <v>13295.0</v>
      </c>
      <c r="E2328" s="9">
        <v>3269.0</v>
      </c>
      <c r="F2328" s="7" t="s">
        <v>393</v>
      </c>
      <c r="G2328" s="7" t="s">
        <v>353</v>
      </c>
      <c r="H2328" s="7" t="s">
        <v>378</v>
      </c>
      <c r="I2328" s="7" t="s">
        <v>355</v>
      </c>
      <c r="J2328" s="14"/>
      <c r="K2328" s="14"/>
      <c r="O2328" s="22"/>
      <c r="P2328" s="22"/>
      <c r="Q2328" s="23"/>
      <c r="R2328" s="23"/>
      <c r="S2328" s="14"/>
    </row>
    <row r="2329" ht="18.75" customHeight="1">
      <c r="A2329" s="7" t="s">
        <v>394</v>
      </c>
      <c r="B2329" s="7" t="s">
        <v>3883</v>
      </c>
      <c r="C2329" s="9">
        <v>214104.0</v>
      </c>
      <c r="D2329" s="9">
        <v>0.0</v>
      </c>
      <c r="E2329" s="9">
        <v>3184.0</v>
      </c>
      <c r="F2329" s="7" t="s">
        <v>395</v>
      </c>
      <c r="G2329" s="7" t="s">
        <v>353</v>
      </c>
      <c r="H2329" s="7" t="s">
        <v>378</v>
      </c>
      <c r="I2329" s="7" t="s">
        <v>355</v>
      </c>
      <c r="J2329" s="14"/>
      <c r="K2329" s="14"/>
      <c r="O2329" s="22"/>
      <c r="P2329" s="22"/>
      <c r="Q2329" s="23"/>
      <c r="R2329" s="23"/>
      <c r="S2329" s="14"/>
    </row>
    <row r="2330" ht="18.75" customHeight="1">
      <c r="A2330" s="7" t="s">
        <v>394</v>
      </c>
      <c r="B2330" s="7" t="s">
        <v>3883</v>
      </c>
      <c r="C2330" s="9">
        <v>1161728.0</v>
      </c>
      <c r="D2330" s="9">
        <v>0.0</v>
      </c>
      <c r="E2330" s="9">
        <v>24227.0</v>
      </c>
      <c r="F2330" s="7" t="s">
        <v>395</v>
      </c>
      <c r="G2330" s="7" t="s">
        <v>353</v>
      </c>
      <c r="H2330" s="7" t="s">
        <v>378</v>
      </c>
      <c r="I2330" s="7" t="s">
        <v>355</v>
      </c>
      <c r="J2330" s="14"/>
      <c r="K2330" s="14"/>
      <c r="O2330" s="22"/>
      <c r="P2330" s="22"/>
      <c r="Q2330" s="23"/>
      <c r="R2330" s="23"/>
      <c r="S2330" s="14"/>
    </row>
    <row r="2331" ht="18.75" customHeight="1">
      <c r="A2331" s="7" t="s">
        <v>394</v>
      </c>
      <c r="B2331" s="7" t="s">
        <v>3883</v>
      </c>
      <c r="C2331" s="9">
        <v>1162970.0</v>
      </c>
      <c r="D2331" s="9">
        <v>19810.0</v>
      </c>
      <c r="E2331" s="9">
        <v>1498.0</v>
      </c>
      <c r="F2331" s="7" t="s">
        <v>395</v>
      </c>
      <c r="G2331" s="7" t="s">
        <v>353</v>
      </c>
      <c r="H2331" s="7" t="s">
        <v>378</v>
      </c>
      <c r="I2331" s="7" t="s">
        <v>355</v>
      </c>
      <c r="J2331" s="14"/>
      <c r="K2331" s="14"/>
      <c r="O2331" s="22"/>
      <c r="P2331" s="22"/>
      <c r="Q2331" s="23"/>
      <c r="R2331" s="23"/>
      <c r="S2331" s="14"/>
    </row>
    <row r="2332" ht="18.75" customHeight="1">
      <c r="A2332" s="7" t="s">
        <v>394</v>
      </c>
      <c r="B2332" s="7" t="s">
        <v>3883</v>
      </c>
      <c r="C2332" s="9">
        <v>1302439.0</v>
      </c>
      <c r="D2332" s="9">
        <v>84381.0</v>
      </c>
      <c r="E2332" s="9">
        <v>306.0</v>
      </c>
      <c r="F2332" s="7" t="s">
        <v>395</v>
      </c>
      <c r="G2332" s="7" t="s">
        <v>353</v>
      </c>
      <c r="H2332" s="7" t="s">
        <v>378</v>
      </c>
      <c r="I2332" s="7" t="s">
        <v>355</v>
      </c>
      <c r="J2332" s="14"/>
      <c r="K2332" s="14"/>
      <c r="O2332" s="22"/>
      <c r="P2332" s="22"/>
      <c r="Q2332" s="23"/>
      <c r="R2332" s="23"/>
      <c r="S2332" s="14"/>
    </row>
    <row r="2333" ht="18.75" customHeight="1">
      <c r="A2333" s="7" t="s">
        <v>394</v>
      </c>
      <c r="B2333" s="7" t="s">
        <v>3883</v>
      </c>
      <c r="C2333" s="9">
        <v>1311435.0</v>
      </c>
      <c r="D2333" s="9">
        <v>12833.0</v>
      </c>
      <c r="E2333" s="9">
        <v>2044.0</v>
      </c>
      <c r="F2333" s="7" t="s">
        <v>395</v>
      </c>
      <c r="G2333" s="7" t="s">
        <v>353</v>
      </c>
      <c r="H2333" s="7" t="s">
        <v>378</v>
      </c>
      <c r="I2333" s="7" t="s">
        <v>355</v>
      </c>
      <c r="J2333" s="14"/>
      <c r="K2333" s="14"/>
      <c r="O2333" s="22"/>
      <c r="P2333" s="22"/>
      <c r="Q2333" s="23"/>
      <c r="R2333" s="23"/>
      <c r="S2333" s="14"/>
    </row>
    <row r="2334" ht="18.75" customHeight="1">
      <c r="A2334" s="7" t="s">
        <v>351</v>
      </c>
      <c r="B2334" s="7" t="s">
        <v>3883</v>
      </c>
      <c r="C2334" s="9">
        <v>60150.0</v>
      </c>
      <c r="D2334" s="9">
        <v>0.0</v>
      </c>
      <c r="E2334" s="9">
        <v>5534.0</v>
      </c>
      <c r="F2334" s="7" t="s">
        <v>352</v>
      </c>
      <c r="G2334" s="7" t="s">
        <v>353</v>
      </c>
      <c r="H2334" s="7" t="s">
        <v>354</v>
      </c>
      <c r="I2334" s="7" t="s">
        <v>410</v>
      </c>
      <c r="J2334" s="14"/>
      <c r="K2334" s="14"/>
      <c r="O2334" s="22"/>
      <c r="P2334" s="22"/>
      <c r="Q2334" s="23"/>
      <c r="R2334" s="23"/>
      <c r="S2334" s="14"/>
    </row>
    <row r="2335" ht="18.75" customHeight="1">
      <c r="A2335" s="7" t="s">
        <v>351</v>
      </c>
      <c r="B2335" s="7" t="s">
        <v>3883</v>
      </c>
      <c r="C2335" s="9">
        <v>739745.0</v>
      </c>
      <c r="D2335" s="9">
        <v>0.0</v>
      </c>
      <c r="E2335" s="9">
        <v>24504.0</v>
      </c>
      <c r="F2335" s="7" t="s">
        <v>352</v>
      </c>
      <c r="G2335" s="7" t="s">
        <v>353</v>
      </c>
      <c r="H2335" s="7" t="s">
        <v>354</v>
      </c>
      <c r="I2335" s="7" t="s">
        <v>410</v>
      </c>
      <c r="J2335" s="14"/>
      <c r="K2335" s="14"/>
      <c r="O2335" s="22"/>
      <c r="P2335" s="22"/>
      <c r="Q2335" s="23"/>
      <c r="R2335" s="23"/>
      <c r="S2335" s="14"/>
    </row>
    <row r="2336" ht="18.75" customHeight="1">
      <c r="A2336" s="7" t="s">
        <v>351</v>
      </c>
      <c r="B2336" s="7" t="s">
        <v>3883</v>
      </c>
      <c r="C2336" s="9">
        <v>222221.0</v>
      </c>
      <c r="D2336" s="9">
        <v>2902.0</v>
      </c>
      <c r="E2336" s="9">
        <v>134.0</v>
      </c>
      <c r="F2336" s="7" t="s">
        <v>352</v>
      </c>
      <c r="G2336" s="7" t="s">
        <v>353</v>
      </c>
      <c r="H2336" s="7" t="s">
        <v>354</v>
      </c>
      <c r="I2336" s="7" t="s">
        <v>410</v>
      </c>
      <c r="J2336" s="14"/>
      <c r="K2336" s="14"/>
      <c r="O2336" s="22"/>
      <c r="P2336" s="22"/>
      <c r="Q2336" s="23"/>
      <c r="R2336" s="23"/>
      <c r="S2336" s="14"/>
    </row>
    <row r="2337" ht="18.75" customHeight="1">
      <c r="A2337" s="7" t="s">
        <v>351</v>
      </c>
      <c r="B2337" s="7" t="s">
        <v>3883</v>
      </c>
      <c r="C2337" s="9">
        <v>1082378.0</v>
      </c>
      <c r="D2337" s="9">
        <v>14216.0</v>
      </c>
      <c r="E2337" s="9">
        <v>1906.0</v>
      </c>
      <c r="F2337" s="7" t="s">
        <v>352</v>
      </c>
      <c r="G2337" s="7" t="s">
        <v>353</v>
      </c>
      <c r="H2337" s="7" t="s">
        <v>354</v>
      </c>
      <c r="I2337" s="7" t="s">
        <v>410</v>
      </c>
      <c r="J2337" s="14"/>
      <c r="K2337" s="14"/>
      <c r="O2337" s="22"/>
      <c r="P2337" s="22"/>
      <c r="Q2337" s="23"/>
      <c r="R2337" s="23"/>
      <c r="S2337" s="14"/>
    </row>
    <row r="2338" ht="18.75" customHeight="1">
      <c r="A2338" s="7" t="s">
        <v>351</v>
      </c>
      <c r="B2338" s="7" t="s">
        <v>3883</v>
      </c>
      <c r="C2338" s="9">
        <v>319680.0</v>
      </c>
      <c r="D2338" s="9">
        <v>0.0</v>
      </c>
      <c r="E2338" s="9">
        <v>15.0</v>
      </c>
      <c r="F2338" s="7" t="s">
        <v>352</v>
      </c>
      <c r="G2338" s="7" t="s">
        <v>353</v>
      </c>
      <c r="H2338" s="7" t="s">
        <v>354</v>
      </c>
      <c r="I2338" s="7" t="s">
        <v>410</v>
      </c>
      <c r="J2338" s="14"/>
      <c r="K2338" s="14"/>
      <c r="O2338" s="22"/>
      <c r="P2338" s="22"/>
      <c r="Q2338" s="23"/>
      <c r="R2338" s="23"/>
      <c r="S2338" s="14"/>
    </row>
    <row r="2339" ht="18.75" customHeight="1">
      <c r="A2339" s="7" t="s">
        <v>351</v>
      </c>
      <c r="B2339" s="7" t="s">
        <v>3883</v>
      </c>
      <c r="C2339" s="9">
        <v>1153651.0</v>
      </c>
      <c r="D2339" s="9">
        <v>0.0</v>
      </c>
      <c r="E2339" s="9">
        <v>41042.0</v>
      </c>
      <c r="F2339" s="7" t="s">
        <v>352</v>
      </c>
      <c r="G2339" s="7" t="s">
        <v>353</v>
      </c>
      <c r="H2339" s="7" t="s">
        <v>354</v>
      </c>
      <c r="I2339" s="7" t="s">
        <v>410</v>
      </c>
      <c r="J2339" s="14"/>
      <c r="K2339" s="14"/>
      <c r="O2339" s="22"/>
      <c r="P2339" s="22"/>
      <c r="Q2339" s="23"/>
      <c r="R2339" s="23"/>
      <c r="S2339" s="14"/>
    </row>
    <row r="2340" ht="18.75" customHeight="1">
      <c r="A2340" s="7" t="s">
        <v>351</v>
      </c>
      <c r="B2340" s="7" t="s">
        <v>3883</v>
      </c>
      <c r="C2340" s="9">
        <v>1125804.0</v>
      </c>
      <c r="D2340" s="9">
        <v>54566.0</v>
      </c>
      <c r="E2340" s="9">
        <v>953.0</v>
      </c>
      <c r="F2340" s="7" t="s">
        <v>352</v>
      </c>
      <c r="G2340" s="7" t="s">
        <v>353</v>
      </c>
      <c r="H2340" s="7" t="s">
        <v>354</v>
      </c>
      <c r="I2340" s="7" t="s">
        <v>410</v>
      </c>
      <c r="J2340" s="14"/>
      <c r="K2340" s="14"/>
      <c r="O2340" s="22"/>
      <c r="P2340" s="22"/>
      <c r="Q2340" s="23"/>
      <c r="R2340" s="23"/>
      <c r="S2340" s="14"/>
    </row>
    <row r="2341" ht="18.75" customHeight="1">
      <c r="A2341" s="7" t="s">
        <v>351</v>
      </c>
      <c r="B2341" s="7" t="s">
        <v>3883</v>
      </c>
      <c r="C2341" s="9">
        <v>262760.0</v>
      </c>
      <c r="D2341" s="9">
        <v>3576.0</v>
      </c>
      <c r="E2341" s="9">
        <v>223.0</v>
      </c>
      <c r="F2341" s="7" t="s">
        <v>352</v>
      </c>
      <c r="G2341" s="7" t="s">
        <v>353</v>
      </c>
      <c r="H2341" s="7" t="s">
        <v>354</v>
      </c>
      <c r="I2341" s="7" t="s">
        <v>410</v>
      </c>
      <c r="J2341" s="14"/>
      <c r="K2341" s="14"/>
      <c r="O2341" s="22"/>
      <c r="P2341" s="22"/>
      <c r="Q2341" s="23"/>
      <c r="R2341" s="23"/>
      <c r="S2341" s="14"/>
    </row>
    <row r="2342" ht="18.75" customHeight="1">
      <c r="A2342" s="7" t="s">
        <v>351</v>
      </c>
      <c r="B2342" s="7" t="s">
        <v>3883</v>
      </c>
      <c r="C2342" s="9">
        <v>580466.0</v>
      </c>
      <c r="D2342" s="9">
        <v>0.0</v>
      </c>
      <c r="E2342" s="9">
        <v>42.0</v>
      </c>
      <c r="F2342" s="7" t="s">
        <v>352</v>
      </c>
      <c r="G2342" s="7" t="s">
        <v>353</v>
      </c>
      <c r="H2342" s="7" t="s">
        <v>354</v>
      </c>
      <c r="I2342" s="7" t="s">
        <v>410</v>
      </c>
      <c r="J2342" s="14"/>
      <c r="K2342" s="14"/>
      <c r="O2342" s="22"/>
      <c r="P2342" s="22"/>
      <c r="Q2342" s="23"/>
      <c r="R2342" s="23"/>
      <c r="S2342" s="14"/>
    </row>
    <row r="2343" ht="18.75" customHeight="1">
      <c r="A2343" s="7" t="s">
        <v>351</v>
      </c>
      <c r="B2343" s="7" t="s">
        <v>3883</v>
      </c>
      <c r="C2343" s="9">
        <v>2016071.0</v>
      </c>
      <c r="D2343" s="9">
        <v>90777.0</v>
      </c>
      <c r="E2343" s="9">
        <v>50049.0</v>
      </c>
      <c r="F2343" s="7" t="s">
        <v>352</v>
      </c>
      <c r="G2343" s="7" t="s">
        <v>353</v>
      </c>
      <c r="H2343" s="7" t="s">
        <v>354</v>
      </c>
      <c r="I2343" s="7" t="s">
        <v>410</v>
      </c>
      <c r="J2343" s="14"/>
      <c r="K2343" s="14"/>
      <c r="O2343" s="22"/>
      <c r="P2343" s="22"/>
      <c r="Q2343" s="23"/>
      <c r="R2343" s="23"/>
      <c r="S2343" s="14"/>
    </row>
    <row r="2344" ht="18.75" customHeight="1">
      <c r="A2344" s="7" t="s">
        <v>351</v>
      </c>
      <c r="B2344" s="7" t="s">
        <v>3883</v>
      </c>
      <c r="C2344" s="9">
        <v>882212.0</v>
      </c>
      <c r="D2344" s="9">
        <v>0.0</v>
      </c>
      <c r="E2344" s="9">
        <v>13532.0</v>
      </c>
      <c r="F2344" s="7" t="s">
        <v>352</v>
      </c>
      <c r="G2344" s="7" t="s">
        <v>353</v>
      </c>
      <c r="H2344" s="7" t="s">
        <v>354</v>
      </c>
      <c r="I2344" s="7" t="s">
        <v>410</v>
      </c>
      <c r="J2344" s="14"/>
      <c r="K2344" s="14"/>
      <c r="O2344" s="22"/>
      <c r="P2344" s="22"/>
      <c r="Q2344" s="23"/>
      <c r="R2344" s="23"/>
      <c r="S2344" s="14"/>
    </row>
    <row r="2345" ht="18.75" customHeight="1">
      <c r="A2345" s="7" t="s">
        <v>351</v>
      </c>
      <c r="B2345" s="7" t="s">
        <v>3883</v>
      </c>
      <c r="C2345" s="9">
        <v>789346.0</v>
      </c>
      <c r="D2345" s="9">
        <v>0.0</v>
      </c>
      <c r="E2345" s="9">
        <v>13533.0</v>
      </c>
      <c r="F2345" s="7" t="s">
        <v>352</v>
      </c>
      <c r="G2345" s="7" t="s">
        <v>353</v>
      </c>
      <c r="H2345" s="7" t="s">
        <v>354</v>
      </c>
      <c r="I2345" s="7" t="s">
        <v>410</v>
      </c>
      <c r="J2345" s="14"/>
      <c r="K2345" s="14"/>
      <c r="O2345" s="22"/>
      <c r="P2345" s="22"/>
      <c r="Q2345" s="23"/>
      <c r="R2345" s="23"/>
      <c r="S2345" s="14"/>
    </row>
    <row r="2346" ht="18.75" customHeight="1">
      <c r="A2346" s="7" t="s">
        <v>351</v>
      </c>
      <c r="B2346" s="7" t="s">
        <v>3883</v>
      </c>
      <c r="C2346" s="9">
        <v>588819.0</v>
      </c>
      <c r="D2346" s="9">
        <v>0.0</v>
      </c>
      <c r="E2346" s="9">
        <v>9646.0</v>
      </c>
      <c r="F2346" s="7" t="s">
        <v>352</v>
      </c>
      <c r="G2346" s="7" t="s">
        <v>353</v>
      </c>
      <c r="H2346" s="7" t="s">
        <v>354</v>
      </c>
      <c r="I2346" s="7" t="s">
        <v>410</v>
      </c>
      <c r="J2346" s="14"/>
      <c r="K2346" s="14"/>
      <c r="O2346" s="22"/>
      <c r="P2346" s="22"/>
      <c r="Q2346" s="23"/>
      <c r="R2346" s="23"/>
      <c r="S2346" s="14"/>
    </row>
    <row r="2347" ht="18.75" customHeight="1">
      <c r="A2347" s="7" t="s">
        <v>351</v>
      </c>
      <c r="B2347" s="7" t="s">
        <v>3883</v>
      </c>
      <c r="C2347" s="9">
        <v>907077.0</v>
      </c>
      <c r="D2347" s="9">
        <v>0.0</v>
      </c>
      <c r="E2347" s="9">
        <v>14065.0</v>
      </c>
      <c r="F2347" s="7" t="s">
        <v>352</v>
      </c>
      <c r="G2347" s="7" t="s">
        <v>353</v>
      </c>
      <c r="H2347" s="7" t="s">
        <v>354</v>
      </c>
      <c r="I2347" s="7" t="s">
        <v>410</v>
      </c>
      <c r="J2347" s="14"/>
      <c r="K2347" s="14"/>
      <c r="O2347" s="22"/>
      <c r="P2347" s="22"/>
      <c r="Q2347" s="23"/>
      <c r="R2347" s="23"/>
      <c r="S2347" s="14"/>
    </row>
    <row r="2348" ht="18.75" customHeight="1">
      <c r="A2348" s="7" t="s">
        <v>351</v>
      </c>
      <c r="B2348" s="7" t="s">
        <v>3883</v>
      </c>
      <c r="C2348" s="9">
        <v>456043.0</v>
      </c>
      <c r="D2348" s="9">
        <v>0.0</v>
      </c>
      <c r="E2348" s="9">
        <v>8080.0</v>
      </c>
      <c r="F2348" s="7" t="s">
        <v>352</v>
      </c>
      <c r="G2348" s="7" t="s">
        <v>353</v>
      </c>
      <c r="H2348" s="7" t="s">
        <v>354</v>
      </c>
      <c r="I2348" s="7" t="s">
        <v>410</v>
      </c>
      <c r="J2348" s="14"/>
      <c r="K2348" s="14"/>
      <c r="O2348" s="22"/>
      <c r="P2348" s="22"/>
      <c r="Q2348" s="23"/>
      <c r="R2348" s="23"/>
      <c r="S2348" s="14"/>
    </row>
    <row r="2349" ht="18.75" customHeight="1">
      <c r="A2349" s="7" t="s">
        <v>351</v>
      </c>
      <c r="B2349" s="7" t="s">
        <v>3883</v>
      </c>
      <c r="C2349" s="9">
        <v>603209.0</v>
      </c>
      <c r="D2349" s="9">
        <v>0.0</v>
      </c>
      <c r="E2349" s="9">
        <v>9685.0</v>
      </c>
      <c r="F2349" s="7" t="s">
        <v>352</v>
      </c>
      <c r="G2349" s="7" t="s">
        <v>353</v>
      </c>
      <c r="H2349" s="7" t="s">
        <v>354</v>
      </c>
      <c r="I2349" s="7" t="s">
        <v>410</v>
      </c>
      <c r="J2349" s="14"/>
      <c r="K2349" s="14"/>
      <c r="O2349" s="22"/>
      <c r="P2349" s="22"/>
      <c r="Q2349" s="23"/>
      <c r="R2349" s="23"/>
      <c r="S2349" s="14"/>
    </row>
    <row r="2350" ht="18.75" customHeight="1">
      <c r="A2350" s="7" t="s">
        <v>351</v>
      </c>
      <c r="B2350" s="7" t="s">
        <v>3883</v>
      </c>
      <c r="C2350" s="9">
        <v>613252.0</v>
      </c>
      <c r="D2350" s="9">
        <v>0.0</v>
      </c>
      <c r="E2350" s="9">
        <v>9573.0</v>
      </c>
      <c r="F2350" s="7" t="s">
        <v>352</v>
      </c>
      <c r="G2350" s="7" t="s">
        <v>353</v>
      </c>
      <c r="H2350" s="7" t="s">
        <v>354</v>
      </c>
      <c r="I2350" s="7" t="s">
        <v>410</v>
      </c>
      <c r="J2350" s="14"/>
      <c r="K2350" s="14"/>
      <c r="O2350" s="22"/>
      <c r="P2350" s="22"/>
      <c r="Q2350" s="23"/>
      <c r="R2350" s="23"/>
      <c r="S2350" s="14"/>
    </row>
    <row r="2351" ht="18.75" customHeight="1">
      <c r="A2351" s="7" t="s">
        <v>351</v>
      </c>
      <c r="B2351" s="7" t="s">
        <v>3883</v>
      </c>
      <c r="C2351" s="9">
        <v>593017.0</v>
      </c>
      <c r="D2351" s="9">
        <v>0.0</v>
      </c>
      <c r="E2351" s="9">
        <v>9753.0</v>
      </c>
      <c r="F2351" s="7" t="s">
        <v>352</v>
      </c>
      <c r="G2351" s="7" t="s">
        <v>353</v>
      </c>
      <c r="H2351" s="7" t="s">
        <v>354</v>
      </c>
      <c r="I2351" s="7" t="s">
        <v>410</v>
      </c>
      <c r="J2351" s="14"/>
      <c r="K2351" s="14"/>
      <c r="O2351" s="22"/>
      <c r="P2351" s="22"/>
      <c r="Q2351" s="23"/>
      <c r="R2351" s="23"/>
      <c r="S2351" s="14"/>
    </row>
    <row r="2352" ht="18.75" customHeight="1">
      <c r="A2352" s="7" t="s">
        <v>408</v>
      </c>
      <c r="B2352" s="7" t="s">
        <v>3883</v>
      </c>
      <c r="C2352" s="9">
        <v>565701.0</v>
      </c>
      <c r="D2352" s="9">
        <v>0.0</v>
      </c>
      <c r="E2352" s="9">
        <v>11051.0</v>
      </c>
      <c r="F2352" s="7" t="s">
        <v>409</v>
      </c>
      <c r="G2352" s="7" t="s">
        <v>353</v>
      </c>
      <c r="H2352" s="7" t="s">
        <v>354</v>
      </c>
      <c r="I2352" s="7" t="s">
        <v>410</v>
      </c>
      <c r="J2352" s="14"/>
      <c r="K2352" s="14"/>
      <c r="O2352" s="22"/>
      <c r="P2352" s="22"/>
      <c r="Q2352" s="23"/>
      <c r="R2352" s="23"/>
      <c r="S2352" s="14"/>
    </row>
    <row r="2353" ht="18.75" customHeight="1">
      <c r="A2353" s="7" t="s">
        <v>408</v>
      </c>
      <c r="B2353" s="7" t="s">
        <v>3883</v>
      </c>
      <c r="C2353" s="9">
        <v>674326.0</v>
      </c>
      <c r="D2353" s="9">
        <v>127024.0</v>
      </c>
      <c r="E2353" s="9">
        <v>665.0</v>
      </c>
      <c r="F2353" s="7" t="s">
        <v>409</v>
      </c>
      <c r="G2353" s="7" t="s">
        <v>353</v>
      </c>
      <c r="H2353" s="7" t="s">
        <v>354</v>
      </c>
      <c r="I2353" s="7" t="s">
        <v>410</v>
      </c>
      <c r="J2353" s="14"/>
      <c r="K2353" s="14"/>
      <c r="O2353" s="22"/>
      <c r="P2353" s="22"/>
      <c r="Q2353" s="23"/>
      <c r="R2353" s="23"/>
      <c r="S2353" s="14"/>
    </row>
    <row r="2354" ht="18.75" customHeight="1">
      <c r="A2354" s="7" t="s">
        <v>408</v>
      </c>
      <c r="B2354" s="7" t="s">
        <v>3883</v>
      </c>
      <c r="C2354" s="9">
        <v>177173.0</v>
      </c>
      <c r="D2354" s="9">
        <v>3907.0</v>
      </c>
      <c r="E2354" s="9">
        <v>277.0</v>
      </c>
      <c r="F2354" s="7" t="s">
        <v>409</v>
      </c>
      <c r="G2354" s="7" t="s">
        <v>353</v>
      </c>
      <c r="H2354" s="7" t="s">
        <v>354</v>
      </c>
      <c r="I2354" s="7" t="s">
        <v>410</v>
      </c>
      <c r="J2354" s="14"/>
      <c r="K2354" s="14"/>
      <c r="O2354" s="22"/>
      <c r="P2354" s="22"/>
      <c r="Q2354" s="23"/>
      <c r="R2354" s="23"/>
      <c r="S2354" s="14"/>
    </row>
    <row r="2355" ht="18.75" customHeight="1">
      <c r="A2355" s="7" t="s">
        <v>553</v>
      </c>
      <c r="B2355" s="7" t="s">
        <v>3883</v>
      </c>
      <c r="C2355" s="9">
        <v>139398.0</v>
      </c>
      <c r="D2355" s="9">
        <v>0.0</v>
      </c>
      <c r="E2355" s="9">
        <v>4189.0</v>
      </c>
      <c r="F2355" s="7" t="s">
        <v>554</v>
      </c>
      <c r="G2355" s="7" t="s">
        <v>364</v>
      </c>
      <c r="H2355" s="7" t="s">
        <v>365</v>
      </c>
      <c r="I2355" s="7" t="s">
        <v>355</v>
      </c>
      <c r="J2355" s="14"/>
      <c r="K2355" s="14"/>
      <c r="O2355" s="22"/>
      <c r="P2355" s="22"/>
      <c r="Q2355" s="23"/>
      <c r="R2355" s="23"/>
      <c r="S2355" s="14"/>
    </row>
    <row r="2356" ht="18.75" customHeight="1">
      <c r="A2356" s="7" t="s">
        <v>383</v>
      </c>
      <c r="B2356" s="7" t="s">
        <v>3883</v>
      </c>
      <c r="C2356" s="9">
        <v>17598.0</v>
      </c>
      <c r="D2356" s="9">
        <v>0.0</v>
      </c>
      <c r="E2356" s="9">
        <v>1012.0</v>
      </c>
      <c r="F2356" s="7" t="s">
        <v>384</v>
      </c>
      <c r="G2356" s="7" t="s">
        <v>353</v>
      </c>
      <c r="H2356" s="7" t="s">
        <v>378</v>
      </c>
      <c r="I2356" s="7" t="s">
        <v>355</v>
      </c>
      <c r="J2356" s="14"/>
      <c r="K2356" s="14"/>
      <c r="O2356" s="22"/>
      <c r="P2356" s="22"/>
      <c r="Q2356" s="23"/>
      <c r="R2356" s="23"/>
      <c r="S2356" s="14"/>
    </row>
    <row r="2357" ht="18.75" customHeight="1">
      <c r="A2357" s="7" t="s">
        <v>383</v>
      </c>
      <c r="B2357" s="7" t="s">
        <v>3883</v>
      </c>
      <c r="C2357" s="9">
        <v>22899.0</v>
      </c>
      <c r="D2357" s="9">
        <v>0.0</v>
      </c>
      <c r="E2357" s="9">
        <v>1046.0</v>
      </c>
      <c r="F2357" s="7" t="s">
        <v>384</v>
      </c>
      <c r="G2357" s="7" t="s">
        <v>353</v>
      </c>
      <c r="H2357" s="7" t="s">
        <v>378</v>
      </c>
      <c r="I2357" s="7" t="s">
        <v>355</v>
      </c>
      <c r="J2357" s="14"/>
      <c r="K2357" s="14"/>
      <c r="O2357" s="22"/>
      <c r="P2357" s="22"/>
      <c r="Q2357" s="23"/>
      <c r="R2357" s="23"/>
      <c r="S2357" s="14"/>
    </row>
    <row r="2358" ht="18.75" customHeight="1">
      <c r="A2358" s="7" t="s">
        <v>539</v>
      </c>
      <c r="B2358" s="7" t="s">
        <v>3883</v>
      </c>
      <c r="C2358" s="9">
        <v>156035.0</v>
      </c>
      <c r="D2358" s="9">
        <v>110868.0</v>
      </c>
      <c r="E2358" s="9">
        <v>273.0</v>
      </c>
      <c r="F2358" s="7" t="s">
        <v>540</v>
      </c>
      <c r="G2358" s="7" t="s">
        <v>416</v>
      </c>
      <c r="H2358" s="7" t="s">
        <v>417</v>
      </c>
      <c r="I2358" s="7" t="s">
        <v>355</v>
      </c>
      <c r="J2358" s="14"/>
      <c r="K2358" s="14"/>
      <c r="O2358" s="22"/>
      <c r="P2358" s="22"/>
      <c r="Q2358" s="23"/>
      <c r="R2358" s="23"/>
      <c r="S2358" s="14"/>
    </row>
    <row r="2359" ht="18.75" customHeight="1">
      <c r="A2359" s="7" t="s">
        <v>597</v>
      </c>
      <c r="B2359" s="7" t="s">
        <v>3883</v>
      </c>
      <c r="C2359" s="9">
        <v>111151.0</v>
      </c>
      <c r="D2359" s="9">
        <v>77279.0</v>
      </c>
      <c r="E2359" s="9">
        <v>218.0</v>
      </c>
      <c r="F2359" s="7" t="s">
        <v>598</v>
      </c>
      <c r="G2359" s="7" t="s">
        <v>416</v>
      </c>
      <c r="H2359" s="7" t="s">
        <v>417</v>
      </c>
      <c r="I2359" s="7" t="s">
        <v>355</v>
      </c>
      <c r="J2359" s="14"/>
      <c r="K2359" s="14"/>
      <c r="O2359" s="22"/>
      <c r="P2359" s="22"/>
      <c r="Q2359" s="23"/>
      <c r="R2359" s="23"/>
      <c r="S2359" s="14"/>
    </row>
    <row r="2360" ht="18.75" customHeight="1">
      <c r="A2360" s="7" t="s">
        <v>601</v>
      </c>
      <c r="B2360" s="7" t="s">
        <v>3883</v>
      </c>
      <c r="C2360" s="9">
        <v>115791.0</v>
      </c>
      <c r="D2360" s="9">
        <v>88645.0</v>
      </c>
      <c r="E2360" s="9">
        <v>301.0</v>
      </c>
      <c r="F2360" s="7" t="s">
        <v>602</v>
      </c>
      <c r="G2360" s="7" t="s">
        <v>416</v>
      </c>
      <c r="H2360" s="7" t="s">
        <v>417</v>
      </c>
      <c r="I2360" s="7" t="s">
        <v>355</v>
      </c>
      <c r="J2360" s="14"/>
      <c r="K2360" s="14"/>
      <c r="O2360" s="22"/>
      <c r="P2360" s="22"/>
      <c r="Q2360" s="23"/>
      <c r="R2360" s="23"/>
      <c r="S2360" s="14"/>
    </row>
    <row r="2361" ht="18.75" customHeight="1">
      <c r="A2361" s="7" t="s">
        <v>670</v>
      </c>
      <c r="B2361" s="7" t="s">
        <v>3883</v>
      </c>
      <c r="C2361" s="9">
        <v>126624.0</v>
      </c>
      <c r="D2361" s="9">
        <v>107259.0</v>
      </c>
      <c r="E2361" s="9">
        <v>92.0</v>
      </c>
      <c r="F2361" s="7" t="s">
        <v>671</v>
      </c>
      <c r="G2361" s="7" t="s">
        <v>416</v>
      </c>
      <c r="H2361" s="7" t="s">
        <v>417</v>
      </c>
      <c r="I2361" s="7" t="s">
        <v>355</v>
      </c>
      <c r="J2361" s="14"/>
      <c r="K2361" s="14"/>
      <c r="O2361" s="22"/>
      <c r="P2361" s="22"/>
      <c r="Q2361" s="23"/>
      <c r="R2361" s="23"/>
      <c r="S2361" s="14"/>
    </row>
    <row r="2362" ht="18.75" customHeight="1">
      <c r="A2362" s="7" t="s">
        <v>668</v>
      </c>
      <c r="B2362" s="7" t="s">
        <v>3883</v>
      </c>
      <c r="C2362" s="9">
        <v>104692.0</v>
      </c>
      <c r="D2362" s="9">
        <v>82656.0</v>
      </c>
      <c r="E2362" s="9">
        <v>63.0</v>
      </c>
      <c r="F2362" s="7" t="s">
        <v>669</v>
      </c>
      <c r="G2362" s="7" t="s">
        <v>416</v>
      </c>
      <c r="H2362" s="7" t="s">
        <v>417</v>
      </c>
      <c r="I2362" s="7" t="s">
        <v>355</v>
      </c>
      <c r="J2362" s="14"/>
      <c r="K2362" s="14"/>
      <c r="O2362" s="22"/>
      <c r="P2362" s="22"/>
      <c r="Q2362" s="23"/>
      <c r="R2362" s="23"/>
      <c r="S2362" s="14"/>
    </row>
    <row r="2363" ht="18.75" customHeight="1">
      <c r="A2363" s="7" t="s">
        <v>728</v>
      </c>
      <c r="B2363" s="7" t="s">
        <v>3883</v>
      </c>
      <c r="C2363" s="9">
        <v>7220.0</v>
      </c>
      <c r="D2363" s="9">
        <v>5427.0</v>
      </c>
      <c r="E2363" s="9">
        <v>3.0</v>
      </c>
      <c r="F2363" s="7" t="s">
        <v>729</v>
      </c>
      <c r="G2363" s="7" t="s">
        <v>416</v>
      </c>
      <c r="H2363" s="7" t="s">
        <v>417</v>
      </c>
      <c r="I2363" s="7" t="s">
        <v>355</v>
      </c>
      <c r="J2363" s="14"/>
      <c r="K2363" s="14"/>
      <c r="O2363" s="22"/>
      <c r="P2363" s="22"/>
      <c r="Q2363" s="23"/>
      <c r="R2363" s="23"/>
      <c r="S2363" s="14"/>
    </row>
    <row r="2364" ht="18.75" customHeight="1">
      <c r="A2364" s="7" t="s">
        <v>730</v>
      </c>
      <c r="B2364" s="7" t="s">
        <v>3883</v>
      </c>
      <c r="C2364" s="9">
        <v>3990.0</v>
      </c>
      <c r="D2364" s="9">
        <v>3164.0</v>
      </c>
      <c r="E2364" s="9">
        <v>7.0</v>
      </c>
      <c r="F2364" s="7" t="s">
        <v>731</v>
      </c>
      <c r="G2364" s="7" t="s">
        <v>416</v>
      </c>
      <c r="H2364" s="7" t="s">
        <v>417</v>
      </c>
      <c r="I2364" s="7" t="s">
        <v>355</v>
      </c>
      <c r="J2364" s="14"/>
      <c r="K2364" s="14"/>
      <c r="O2364" s="22"/>
      <c r="P2364" s="22"/>
      <c r="Q2364" s="23"/>
      <c r="R2364" s="23"/>
      <c r="S2364" s="14"/>
    </row>
    <row r="2365" ht="18.75" customHeight="1">
      <c r="A2365" s="7" t="s">
        <v>643</v>
      </c>
      <c r="B2365" s="7" t="s">
        <v>3883</v>
      </c>
      <c r="C2365" s="9">
        <v>138249.0</v>
      </c>
      <c r="D2365" s="9">
        <v>128721.0</v>
      </c>
      <c r="E2365" s="9">
        <v>97.0</v>
      </c>
      <c r="F2365" s="7" t="s">
        <v>644</v>
      </c>
      <c r="G2365" s="7" t="s">
        <v>353</v>
      </c>
      <c r="H2365" s="7" t="s">
        <v>378</v>
      </c>
      <c r="I2365" s="7" t="s">
        <v>355</v>
      </c>
      <c r="J2365" s="14"/>
      <c r="K2365" s="14"/>
      <c r="O2365" s="22"/>
      <c r="P2365" s="22"/>
      <c r="Q2365" s="23"/>
      <c r="R2365" s="23"/>
      <c r="S2365" s="14"/>
    </row>
    <row r="2366" ht="18.75" customHeight="1">
      <c r="A2366" s="7" t="s">
        <v>643</v>
      </c>
      <c r="B2366" s="7" t="s">
        <v>3883</v>
      </c>
      <c r="C2366" s="9">
        <v>98220.0</v>
      </c>
      <c r="D2366" s="9">
        <v>0.0</v>
      </c>
      <c r="E2366" s="9">
        <v>726.0</v>
      </c>
      <c r="F2366" s="7" t="s">
        <v>644</v>
      </c>
      <c r="G2366" s="7" t="s">
        <v>353</v>
      </c>
      <c r="H2366" s="7" t="s">
        <v>378</v>
      </c>
      <c r="I2366" s="7" t="s">
        <v>355</v>
      </c>
      <c r="J2366" s="14"/>
      <c r="K2366" s="14"/>
      <c r="O2366" s="22"/>
      <c r="P2366" s="22"/>
      <c r="Q2366" s="23"/>
      <c r="R2366" s="23"/>
      <c r="S2366" s="14"/>
    </row>
    <row r="2367" ht="18.75" customHeight="1">
      <c r="A2367" s="7" t="s">
        <v>699</v>
      </c>
      <c r="B2367" s="7" t="s">
        <v>3883</v>
      </c>
      <c r="C2367" s="9">
        <v>1013.0</v>
      </c>
      <c r="D2367" s="9">
        <v>0.0</v>
      </c>
      <c r="E2367" s="9">
        <v>16.0</v>
      </c>
      <c r="F2367" s="7" t="s">
        <v>700</v>
      </c>
      <c r="G2367" s="7" t="s">
        <v>353</v>
      </c>
      <c r="H2367" s="7" t="s">
        <v>378</v>
      </c>
      <c r="I2367" s="7" t="s">
        <v>355</v>
      </c>
      <c r="J2367" s="14"/>
      <c r="K2367" s="14"/>
      <c r="O2367" s="22"/>
      <c r="P2367" s="22"/>
      <c r="Q2367" s="23"/>
      <c r="R2367" s="23"/>
      <c r="S2367" s="14"/>
    </row>
    <row r="2368" ht="18.75" customHeight="1">
      <c r="A2368" s="7" t="s">
        <v>645</v>
      </c>
      <c r="B2368" s="7" t="s">
        <v>3883</v>
      </c>
      <c r="C2368" s="9">
        <v>396307.0</v>
      </c>
      <c r="D2368" s="9">
        <v>0.0</v>
      </c>
      <c r="E2368" s="9">
        <v>11556.0</v>
      </c>
      <c r="F2368" s="7" t="s">
        <v>646</v>
      </c>
      <c r="G2368" s="7" t="s">
        <v>364</v>
      </c>
      <c r="H2368" s="7" t="s">
        <v>365</v>
      </c>
      <c r="I2368" s="7" t="s">
        <v>355</v>
      </c>
      <c r="J2368" s="14"/>
      <c r="K2368" s="14"/>
      <c r="O2368" s="22"/>
      <c r="P2368" s="22"/>
      <c r="Q2368" s="23"/>
      <c r="R2368" s="23"/>
      <c r="S2368" s="14"/>
    </row>
    <row r="2369" ht="18.75" customHeight="1">
      <c r="A2369" s="7" t="s">
        <v>625</v>
      </c>
      <c r="B2369" s="7" t="s">
        <v>3883</v>
      </c>
      <c r="C2369" s="9">
        <v>623727.0</v>
      </c>
      <c r="D2369" s="9">
        <v>0.0</v>
      </c>
      <c r="E2369" s="9">
        <v>18665.0</v>
      </c>
      <c r="F2369" s="7" t="s">
        <v>626</v>
      </c>
      <c r="G2369" s="7" t="s">
        <v>353</v>
      </c>
      <c r="H2369" s="7" t="s">
        <v>354</v>
      </c>
      <c r="I2369" s="7" t="s">
        <v>355</v>
      </c>
      <c r="J2369" s="14"/>
      <c r="K2369" s="14"/>
      <c r="O2369" s="22"/>
      <c r="P2369" s="22"/>
      <c r="Q2369" s="23"/>
      <c r="R2369" s="23"/>
      <c r="S2369" s="14"/>
    </row>
    <row r="2370" ht="18.75" customHeight="1">
      <c r="A2370" s="7" t="s">
        <v>625</v>
      </c>
      <c r="B2370" s="7" t="s">
        <v>3883</v>
      </c>
      <c r="C2370" s="9">
        <v>49372.0</v>
      </c>
      <c r="D2370" s="9">
        <v>0.0</v>
      </c>
      <c r="E2370" s="9">
        <v>10343.0</v>
      </c>
      <c r="F2370" s="7" t="s">
        <v>626</v>
      </c>
      <c r="G2370" s="7" t="s">
        <v>353</v>
      </c>
      <c r="H2370" s="7" t="s">
        <v>354</v>
      </c>
      <c r="I2370" s="7" t="s">
        <v>355</v>
      </c>
      <c r="J2370" s="14"/>
      <c r="K2370" s="14"/>
      <c r="O2370" s="22"/>
      <c r="P2370" s="22"/>
      <c r="Q2370" s="23"/>
      <c r="R2370" s="23"/>
      <c r="S2370" s="14"/>
    </row>
    <row r="2371" ht="18.75" customHeight="1">
      <c r="A2371" s="7" t="s">
        <v>686</v>
      </c>
      <c r="B2371" s="7" t="s">
        <v>3883</v>
      </c>
      <c r="C2371" s="9">
        <v>318258.0</v>
      </c>
      <c r="D2371" s="9">
        <v>28820.0</v>
      </c>
      <c r="E2371" s="9">
        <v>680.0</v>
      </c>
      <c r="F2371" s="7" t="s">
        <v>687</v>
      </c>
      <c r="G2371" s="7" t="s">
        <v>473</v>
      </c>
      <c r="H2371" s="7" t="s">
        <v>688</v>
      </c>
      <c r="I2371" s="7" t="s">
        <v>355</v>
      </c>
      <c r="J2371" s="14"/>
      <c r="K2371" s="14"/>
      <c r="O2371" s="22"/>
      <c r="P2371" s="22"/>
      <c r="Q2371" s="23"/>
      <c r="R2371" s="23"/>
      <c r="S2371" s="14"/>
    </row>
    <row r="2372" ht="18.75" customHeight="1">
      <c r="A2372" s="7" t="s">
        <v>686</v>
      </c>
      <c r="B2372" s="7" t="s">
        <v>3883</v>
      </c>
      <c r="C2372" s="9">
        <v>406430.0</v>
      </c>
      <c r="D2372" s="9">
        <v>183733.0</v>
      </c>
      <c r="E2372" s="9">
        <v>239.0</v>
      </c>
      <c r="F2372" s="7" t="s">
        <v>687</v>
      </c>
      <c r="G2372" s="7" t="s">
        <v>473</v>
      </c>
      <c r="H2372" s="7" t="s">
        <v>688</v>
      </c>
      <c r="I2372" s="7" t="s">
        <v>355</v>
      </c>
      <c r="J2372" s="14"/>
      <c r="K2372" s="14"/>
      <c r="O2372" s="22"/>
      <c r="P2372" s="22"/>
      <c r="Q2372" s="23"/>
      <c r="R2372" s="23"/>
      <c r="S2372" s="14"/>
    </row>
    <row r="2373" ht="18.75" customHeight="1">
      <c r="A2373" s="7" t="s">
        <v>651</v>
      </c>
      <c r="B2373" s="7" t="s">
        <v>3883</v>
      </c>
      <c r="C2373" s="9">
        <v>1479510.0</v>
      </c>
      <c r="D2373" s="9">
        <v>0.0</v>
      </c>
      <c r="E2373" s="9">
        <v>17168.0</v>
      </c>
      <c r="F2373" s="7" t="s">
        <v>652</v>
      </c>
      <c r="G2373" s="7" t="s">
        <v>353</v>
      </c>
      <c r="H2373" s="7" t="s">
        <v>378</v>
      </c>
      <c r="I2373" s="7" t="s">
        <v>355</v>
      </c>
      <c r="J2373" s="14"/>
      <c r="K2373" s="14"/>
      <c r="O2373" s="22"/>
      <c r="P2373" s="22"/>
      <c r="Q2373" s="23"/>
      <c r="R2373" s="23"/>
      <c r="S2373" s="14"/>
    </row>
    <row r="2374" ht="18.75" customHeight="1">
      <c r="A2374" s="7" t="s">
        <v>621</v>
      </c>
      <c r="B2374" s="7" t="s">
        <v>3883</v>
      </c>
      <c r="C2374" s="9">
        <v>525357.0</v>
      </c>
      <c r="D2374" s="9">
        <v>0.0</v>
      </c>
      <c r="E2374" s="9">
        <v>28069.0</v>
      </c>
      <c r="F2374" s="7" t="s">
        <v>622</v>
      </c>
      <c r="G2374" s="7" t="s">
        <v>353</v>
      </c>
      <c r="H2374" s="7" t="s">
        <v>354</v>
      </c>
      <c r="I2374" s="7" t="s">
        <v>355</v>
      </c>
      <c r="J2374" s="14"/>
      <c r="K2374" s="14"/>
      <c r="O2374" s="22"/>
      <c r="P2374" s="22"/>
      <c r="Q2374" s="23"/>
      <c r="R2374" s="23"/>
      <c r="S2374" s="14"/>
    </row>
    <row r="2375" ht="18.75" customHeight="1">
      <c r="A2375" s="7" t="s">
        <v>621</v>
      </c>
      <c r="B2375" s="7" t="s">
        <v>3883</v>
      </c>
      <c r="C2375" s="9">
        <v>50502.0</v>
      </c>
      <c r="D2375" s="9">
        <v>0.0</v>
      </c>
      <c r="E2375" s="9">
        <v>12813.0</v>
      </c>
      <c r="F2375" s="7" t="s">
        <v>622</v>
      </c>
      <c r="G2375" s="7" t="s">
        <v>353</v>
      </c>
      <c r="H2375" s="7" t="s">
        <v>354</v>
      </c>
      <c r="I2375" s="7" t="s">
        <v>355</v>
      </c>
      <c r="J2375" s="14"/>
      <c r="K2375" s="14"/>
      <c r="O2375" s="22"/>
      <c r="P2375" s="22"/>
      <c r="Q2375" s="23"/>
      <c r="R2375" s="23"/>
      <c r="S2375" s="14"/>
    </row>
    <row r="2376" ht="18.75" customHeight="1">
      <c r="A2376" s="7" t="s">
        <v>689</v>
      </c>
      <c r="B2376" s="7" t="s">
        <v>3883</v>
      </c>
      <c r="C2376" s="9">
        <v>335591.0</v>
      </c>
      <c r="D2376" s="9">
        <v>0.0</v>
      </c>
      <c r="E2376" s="9">
        <v>9162.0</v>
      </c>
      <c r="F2376" s="7" t="s">
        <v>690</v>
      </c>
      <c r="G2376" s="7" t="s">
        <v>353</v>
      </c>
      <c r="H2376" s="7" t="s">
        <v>378</v>
      </c>
      <c r="I2376" s="7" t="s">
        <v>355</v>
      </c>
      <c r="J2376" s="14"/>
      <c r="K2376" s="14"/>
      <c r="O2376" s="22"/>
      <c r="P2376" s="22"/>
      <c r="Q2376" s="23"/>
      <c r="R2376" s="23"/>
      <c r="S2376" s="14"/>
    </row>
    <row r="2377" ht="18.75" customHeight="1">
      <c r="A2377" s="7" t="s">
        <v>719</v>
      </c>
      <c r="B2377" s="7" t="s">
        <v>3883</v>
      </c>
      <c r="C2377" s="9">
        <v>1059968.0</v>
      </c>
      <c r="D2377" s="9">
        <v>759659.0</v>
      </c>
      <c r="E2377" s="9">
        <v>1494.0</v>
      </c>
      <c r="F2377" s="7" t="s">
        <v>720</v>
      </c>
      <c r="G2377" s="7" t="s">
        <v>358</v>
      </c>
      <c r="H2377" s="7" t="s">
        <v>466</v>
      </c>
      <c r="I2377" s="7" t="s">
        <v>355</v>
      </c>
      <c r="J2377" s="14"/>
      <c r="K2377" s="14"/>
      <c r="O2377" s="22"/>
      <c r="P2377" s="22"/>
      <c r="Q2377" s="23"/>
      <c r="R2377" s="23"/>
      <c r="S2377" s="14"/>
    </row>
    <row r="2378" ht="18.75" customHeight="1">
      <c r="A2378" s="7" t="s">
        <v>792</v>
      </c>
      <c r="B2378" s="7" t="s">
        <v>3883</v>
      </c>
      <c r="C2378" s="9">
        <v>102797.0</v>
      </c>
      <c r="D2378" s="9">
        <v>0.0</v>
      </c>
      <c r="E2378" s="9">
        <v>2621.0</v>
      </c>
      <c r="F2378" s="7" t="s">
        <v>793</v>
      </c>
      <c r="G2378" s="7" t="s">
        <v>364</v>
      </c>
      <c r="H2378" s="7" t="s">
        <v>365</v>
      </c>
      <c r="I2378" s="7" t="s">
        <v>355</v>
      </c>
      <c r="J2378" s="14"/>
      <c r="K2378" s="14"/>
      <c r="O2378" s="22"/>
      <c r="P2378" s="22"/>
      <c r="Q2378" s="23"/>
      <c r="R2378" s="23"/>
      <c r="S2378" s="14"/>
    </row>
    <row r="2379" ht="18.75" customHeight="1">
      <c r="A2379" s="7" t="s">
        <v>817</v>
      </c>
      <c r="B2379" s="7" t="s">
        <v>3883</v>
      </c>
      <c r="C2379" s="9">
        <v>36010.0</v>
      </c>
      <c r="D2379" s="9">
        <v>0.0</v>
      </c>
      <c r="E2379" s="9">
        <v>615.0</v>
      </c>
      <c r="F2379" s="7" t="s">
        <v>818</v>
      </c>
      <c r="G2379" s="7" t="s">
        <v>364</v>
      </c>
      <c r="H2379" s="7" t="s">
        <v>365</v>
      </c>
      <c r="I2379" s="7" t="s">
        <v>355</v>
      </c>
      <c r="J2379" s="14"/>
      <c r="K2379" s="14"/>
      <c r="O2379" s="22"/>
      <c r="P2379" s="22"/>
      <c r="Q2379" s="23"/>
      <c r="R2379" s="23"/>
      <c r="S2379" s="14"/>
    </row>
    <row r="2380" ht="18.75" customHeight="1">
      <c r="A2380" s="7" t="s">
        <v>701</v>
      </c>
      <c r="B2380" s="7" t="s">
        <v>3883</v>
      </c>
      <c r="C2380" s="9">
        <v>100891.0</v>
      </c>
      <c r="D2380" s="9">
        <v>87008.0</v>
      </c>
      <c r="E2380" s="9">
        <v>282.0</v>
      </c>
      <c r="F2380" s="7" t="s">
        <v>702</v>
      </c>
      <c r="G2380" s="7" t="s">
        <v>353</v>
      </c>
      <c r="H2380" s="7" t="s">
        <v>378</v>
      </c>
      <c r="I2380" s="7" t="s">
        <v>355</v>
      </c>
      <c r="J2380" s="14"/>
      <c r="K2380" s="14"/>
      <c r="O2380" s="22"/>
      <c r="P2380" s="22"/>
      <c r="Q2380" s="23"/>
      <c r="R2380" s="23"/>
      <c r="S2380" s="14"/>
    </row>
    <row r="2381" ht="18.75" customHeight="1">
      <c r="A2381" s="7" t="s">
        <v>758</v>
      </c>
      <c r="B2381" s="7" t="s">
        <v>3883</v>
      </c>
      <c r="C2381" s="9">
        <v>48889.0</v>
      </c>
      <c r="D2381" s="9">
        <v>34318.0</v>
      </c>
      <c r="E2381" s="9">
        <v>93.0</v>
      </c>
      <c r="F2381" s="7" t="s">
        <v>759</v>
      </c>
      <c r="G2381" s="7" t="s">
        <v>404</v>
      </c>
      <c r="H2381" s="7" t="s">
        <v>760</v>
      </c>
      <c r="I2381" s="7" t="s">
        <v>355</v>
      </c>
      <c r="J2381" s="14"/>
      <c r="K2381" s="14"/>
      <c r="O2381" s="22"/>
      <c r="P2381" s="22"/>
      <c r="Q2381" s="23"/>
      <c r="R2381" s="23"/>
      <c r="S2381" s="14"/>
    </row>
    <row r="2382" ht="18.75" customHeight="1">
      <c r="A2382" s="7" t="s">
        <v>713</v>
      </c>
      <c r="B2382" s="7" t="s">
        <v>3883</v>
      </c>
      <c r="C2382" s="9">
        <v>1176.0</v>
      </c>
      <c r="D2382" s="9">
        <v>0.0</v>
      </c>
      <c r="E2382" s="9">
        <v>60.0</v>
      </c>
      <c r="F2382" s="7" t="s">
        <v>714</v>
      </c>
      <c r="G2382" s="7" t="s">
        <v>353</v>
      </c>
      <c r="H2382" s="7" t="s">
        <v>378</v>
      </c>
      <c r="I2382" s="7" t="s">
        <v>355</v>
      </c>
      <c r="J2382" s="14"/>
      <c r="K2382" s="14"/>
      <c r="O2382" s="22"/>
      <c r="P2382" s="22"/>
      <c r="Q2382" s="23"/>
      <c r="R2382" s="23"/>
      <c r="S2382" s="14"/>
    </row>
    <row r="2383" ht="18.75" customHeight="1">
      <c r="A2383" s="7" t="s">
        <v>777</v>
      </c>
      <c r="B2383" s="7" t="s">
        <v>3883</v>
      </c>
      <c r="C2383" s="9">
        <v>228050.0</v>
      </c>
      <c r="D2383" s="9">
        <v>0.0</v>
      </c>
      <c r="E2383" s="9">
        <v>3999.0</v>
      </c>
      <c r="F2383" s="7" t="s">
        <v>778</v>
      </c>
      <c r="G2383" s="7" t="s">
        <v>353</v>
      </c>
      <c r="H2383" s="7" t="s">
        <v>725</v>
      </c>
      <c r="I2383" s="7" t="s">
        <v>355</v>
      </c>
      <c r="J2383" s="14"/>
      <c r="K2383" s="14"/>
      <c r="O2383" s="22"/>
      <c r="P2383" s="22"/>
      <c r="Q2383" s="23"/>
      <c r="R2383" s="23"/>
      <c r="S2383" s="14"/>
    </row>
    <row r="2384" ht="18.75" customHeight="1">
      <c r="A2384" s="7" t="s">
        <v>402</v>
      </c>
      <c r="B2384" s="7" t="s">
        <v>3883</v>
      </c>
      <c r="C2384" s="9">
        <v>763.0</v>
      </c>
      <c r="D2384" s="9">
        <v>0.0</v>
      </c>
      <c r="E2384" s="9">
        <v>84.0</v>
      </c>
      <c r="F2384" s="7" t="s">
        <v>403</v>
      </c>
      <c r="G2384" s="7" t="s">
        <v>404</v>
      </c>
      <c r="H2384" s="7" t="s">
        <v>405</v>
      </c>
      <c r="I2384" s="7" t="s">
        <v>355</v>
      </c>
      <c r="J2384" s="14"/>
      <c r="K2384" s="14"/>
      <c r="O2384" s="22"/>
      <c r="P2384" s="22"/>
      <c r="Q2384" s="23"/>
      <c r="R2384" s="23"/>
      <c r="S2384" s="14"/>
    </row>
    <row r="2385" ht="18.75" customHeight="1">
      <c r="A2385" s="7" t="s">
        <v>402</v>
      </c>
      <c r="B2385" s="7" t="s">
        <v>3883</v>
      </c>
      <c r="C2385" s="9">
        <v>4347.0</v>
      </c>
      <c r="D2385" s="9">
        <v>0.0</v>
      </c>
      <c r="E2385" s="9">
        <v>122.0</v>
      </c>
      <c r="F2385" s="7" t="s">
        <v>403</v>
      </c>
      <c r="G2385" s="7" t="s">
        <v>404</v>
      </c>
      <c r="H2385" s="7" t="s">
        <v>405</v>
      </c>
      <c r="I2385" s="7" t="s">
        <v>355</v>
      </c>
      <c r="J2385" s="14"/>
      <c r="K2385" s="14"/>
      <c r="O2385" s="22"/>
      <c r="P2385" s="22"/>
      <c r="Q2385" s="23"/>
      <c r="R2385" s="23"/>
      <c r="S2385" s="14"/>
    </row>
    <row r="2386" ht="18.75" customHeight="1">
      <c r="A2386" s="7" t="s">
        <v>402</v>
      </c>
      <c r="B2386" s="7" t="s">
        <v>3883</v>
      </c>
      <c r="C2386" s="9">
        <v>32684.0</v>
      </c>
      <c r="D2386" s="9">
        <v>0.0</v>
      </c>
      <c r="E2386" s="9">
        <v>30.0</v>
      </c>
      <c r="F2386" s="7" t="s">
        <v>403</v>
      </c>
      <c r="G2386" s="7" t="s">
        <v>404</v>
      </c>
      <c r="H2386" s="7" t="s">
        <v>405</v>
      </c>
      <c r="I2386" s="7" t="s">
        <v>355</v>
      </c>
      <c r="J2386" s="14"/>
      <c r="K2386" s="14"/>
      <c r="O2386" s="22"/>
      <c r="P2386" s="22"/>
      <c r="Q2386" s="23"/>
      <c r="R2386" s="23"/>
      <c r="S2386" s="14"/>
    </row>
    <row r="2387" ht="18.75" customHeight="1">
      <c r="A2387" s="7" t="s">
        <v>402</v>
      </c>
      <c r="B2387" s="7" t="s">
        <v>3883</v>
      </c>
      <c r="C2387" s="9">
        <v>80230.0</v>
      </c>
      <c r="D2387" s="9">
        <v>62936.0</v>
      </c>
      <c r="E2387" s="9">
        <v>30.0</v>
      </c>
      <c r="F2387" s="7" t="s">
        <v>403</v>
      </c>
      <c r="G2387" s="7" t="s">
        <v>404</v>
      </c>
      <c r="H2387" s="7" t="s">
        <v>405</v>
      </c>
      <c r="I2387" s="7" t="s">
        <v>355</v>
      </c>
      <c r="J2387" s="14"/>
      <c r="K2387" s="14"/>
      <c r="O2387" s="22"/>
      <c r="P2387" s="22"/>
      <c r="Q2387" s="23"/>
      <c r="R2387" s="23"/>
      <c r="S2387" s="14"/>
    </row>
    <row r="2388" ht="18.75" customHeight="1">
      <c r="A2388" s="7" t="s">
        <v>402</v>
      </c>
      <c r="B2388" s="7" t="s">
        <v>3883</v>
      </c>
      <c r="C2388" s="9">
        <v>110305.0</v>
      </c>
      <c r="D2388" s="9">
        <v>5862.0</v>
      </c>
      <c r="E2388" s="9">
        <v>237.0</v>
      </c>
      <c r="F2388" s="7" t="s">
        <v>403</v>
      </c>
      <c r="G2388" s="7" t="s">
        <v>404</v>
      </c>
      <c r="H2388" s="7" t="s">
        <v>405</v>
      </c>
      <c r="I2388" s="7" t="s">
        <v>355</v>
      </c>
      <c r="J2388" s="14"/>
      <c r="K2388" s="14"/>
      <c r="O2388" s="22"/>
      <c r="P2388" s="22"/>
      <c r="Q2388" s="23"/>
      <c r="R2388" s="23"/>
      <c r="S2388" s="14"/>
    </row>
    <row r="2389" ht="18.75" customHeight="1">
      <c r="A2389" s="7" t="s">
        <v>402</v>
      </c>
      <c r="B2389" s="7" t="s">
        <v>3883</v>
      </c>
      <c r="C2389" s="9">
        <v>151461.0</v>
      </c>
      <c r="D2389" s="9">
        <v>0.0</v>
      </c>
      <c r="E2389" s="9">
        <v>25154.0</v>
      </c>
      <c r="F2389" s="7" t="s">
        <v>403</v>
      </c>
      <c r="G2389" s="7" t="s">
        <v>404</v>
      </c>
      <c r="H2389" s="7" t="s">
        <v>405</v>
      </c>
      <c r="I2389" s="7" t="s">
        <v>355</v>
      </c>
      <c r="J2389" s="14"/>
      <c r="K2389" s="14"/>
      <c r="O2389" s="22"/>
      <c r="P2389" s="22"/>
      <c r="Q2389" s="23"/>
      <c r="R2389" s="23"/>
      <c r="S2389" s="14"/>
    </row>
    <row r="2390" ht="18.75" customHeight="1">
      <c r="A2390" s="7" t="s">
        <v>402</v>
      </c>
      <c r="B2390" s="7" t="s">
        <v>3883</v>
      </c>
      <c r="C2390" s="9">
        <v>1122007.0</v>
      </c>
      <c r="D2390" s="9">
        <v>0.0</v>
      </c>
      <c r="E2390" s="9">
        <v>51296.0</v>
      </c>
      <c r="F2390" s="7" t="s">
        <v>403</v>
      </c>
      <c r="G2390" s="7" t="s">
        <v>404</v>
      </c>
      <c r="H2390" s="7" t="s">
        <v>405</v>
      </c>
      <c r="I2390" s="7" t="s">
        <v>355</v>
      </c>
      <c r="J2390" s="14"/>
      <c r="K2390" s="14"/>
      <c r="O2390" s="22"/>
      <c r="P2390" s="22"/>
      <c r="Q2390" s="23"/>
      <c r="R2390" s="23"/>
      <c r="S2390" s="14"/>
    </row>
    <row r="2391" ht="18.75" customHeight="1">
      <c r="A2391" s="7" t="s">
        <v>402</v>
      </c>
      <c r="B2391" s="7" t="s">
        <v>3883</v>
      </c>
      <c r="C2391" s="9">
        <v>351722.0</v>
      </c>
      <c r="D2391" s="9">
        <v>0.0</v>
      </c>
      <c r="E2391" s="9">
        <v>412.0</v>
      </c>
      <c r="F2391" s="7" t="s">
        <v>403</v>
      </c>
      <c r="G2391" s="7" t="s">
        <v>404</v>
      </c>
      <c r="H2391" s="7" t="s">
        <v>405</v>
      </c>
      <c r="I2391" s="7" t="s">
        <v>355</v>
      </c>
      <c r="J2391" s="14"/>
      <c r="K2391" s="14"/>
      <c r="O2391" s="22"/>
      <c r="P2391" s="22"/>
      <c r="Q2391" s="23"/>
      <c r="R2391" s="23"/>
      <c r="S2391" s="14"/>
    </row>
    <row r="2392" ht="18.75" customHeight="1">
      <c r="A2392" s="7" t="s">
        <v>402</v>
      </c>
      <c r="B2392" s="7" t="s">
        <v>3883</v>
      </c>
      <c r="C2392" s="9">
        <v>517408.0</v>
      </c>
      <c r="D2392" s="9">
        <v>496876.0</v>
      </c>
      <c r="E2392" s="9">
        <v>246.0</v>
      </c>
      <c r="F2392" s="7" t="s">
        <v>403</v>
      </c>
      <c r="G2392" s="7" t="s">
        <v>404</v>
      </c>
      <c r="H2392" s="7" t="s">
        <v>405</v>
      </c>
      <c r="I2392" s="7" t="s">
        <v>355</v>
      </c>
      <c r="J2392" s="14"/>
      <c r="K2392" s="14"/>
      <c r="O2392" s="22"/>
      <c r="P2392" s="22"/>
      <c r="Q2392" s="23"/>
      <c r="R2392" s="23"/>
      <c r="S2392" s="14"/>
    </row>
    <row r="2393" ht="18.75" customHeight="1">
      <c r="A2393" s="7" t="s">
        <v>402</v>
      </c>
      <c r="B2393" s="7" t="s">
        <v>3883</v>
      </c>
      <c r="C2393" s="9">
        <v>495465.0</v>
      </c>
      <c r="D2393" s="9">
        <v>54350.0</v>
      </c>
      <c r="E2393" s="9">
        <v>1007.0</v>
      </c>
      <c r="F2393" s="7" t="s">
        <v>403</v>
      </c>
      <c r="G2393" s="7" t="s">
        <v>404</v>
      </c>
      <c r="H2393" s="7" t="s">
        <v>405</v>
      </c>
      <c r="I2393" s="7" t="s">
        <v>355</v>
      </c>
      <c r="J2393" s="14"/>
      <c r="K2393" s="14"/>
      <c r="O2393" s="22"/>
      <c r="P2393" s="22"/>
      <c r="Q2393" s="23"/>
      <c r="R2393" s="23"/>
      <c r="S2393" s="14"/>
    </row>
    <row r="2394" ht="18.75" customHeight="1">
      <c r="A2394" s="7" t="s">
        <v>829</v>
      </c>
      <c r="B2394" s="7" t="s">
        <v>3883</v>
      </c>
      <c r="C2394" s="9">
        <v>386164.0</v>
      </c>
      <c r="D2394" s="9">
        <v>0.0</v>
      </c>
      <c r="E2394" s="9">
        <v>13877.0</v>
      </c>
      <c r="F2394" s="7" t="s">
        <v>830</v>
      </c>
      <c r="G2394" s="7" t="s">
        <v>364</v>
      </c>
      <c r="H2394" s="7" t="s">
        <v>365</v>
      </c>
      <c r="I2394" s="7" t="s">
        <v>355</v>
      </c>
      <c r="J2394" s="14"/>
      <c r="K2394" s="14"/>
      <c r="O2394" s="22"/>
      <c r="P2394" s="22"/>
      <c r="Q2394" s="23"/>
      <c r="R2394" s="23"/>
      <c r="S2394" s="14"/>
    </row>
    <row r="2395" ht="18.75" customHeight="1">
      <c r="A2395" s="7" t="s">
        <v>815</v>
      </c>
      <c r="B2395" s="7" t="s">
        <v>3883</v>
      </c>
      <c r="C2395" s="9">
        <v>226045.0</v>
      </c>
      <c r="D2395" s="9">
        <v>0.0</v>
      </c>
      <c r="E2395" s="9">
        <v>4865.0</v>
      </c>
      <c r="F2395" s="7" t="s">
        <v>816</v>
      </c>
      <c r="G2395" s="7" t="s">
        <v>404</v>
      </c>
      <c r="H2395" s="7" t="s">
        <v>783</v>
      </c>
      <c r="I2395" s="7" t="s">
        <v>355</v>
      </c>
      <c r="J2395" s="14"/>
      <c r="K2395" s="14"/>
      <c r="O2395" s="22"/>
      <c r="P2395" s="22"/>
      <c r="Q2395" s="23"/>
      <c r="R2395" s="23"/>
      <c r="S2395" s="14"/>
    </row>
    <row r="2396" ht="18.75" customHeight="1">
      <c r="A2396" s="7" t="s">
        <v>815</v>
      </c>
      <c r="B2396" s="7" t="s">
        <v>3883</v>
      </c>
      <c r="C2396" s="9">
        <v>96161.0</v>
      </c>
      <c r="D2396" s="9">
        <v>59445.0</v>
      </c>
      <c r="E2396" s="9">
        <v>138.0</v>
      </c>
      <c r="F2396" s="7" t="s">
        <v>816</v>
      </c>
      <c r="G2396" s="7" t="s">
        <v>404</v>
      </c>
      <c r="H2396" s="7" t="s">
        <v>783</v>
      </c>
      <c r="I2396" s="7" t="s">
        <v>355</v>
      </c>
      <c r="J2396" s="14"/>
      <c r="K2396" s="14"/>
      <c r="O2396" s="22"/>
      <c r="P2396" s="22"/>
      <c r="Q2396" s="23"/>
      <c r="R2396" s="23"/>
      <c r="S2396" s="14"/>
    </row>
    <row r="2397" ht="18.75" customHeight="1">
      <c r="A2397" s="7" t="s">
        <v>815</v>
      </c>
      <c r="B2397" s="7" t="s">
        <v>3883</v>
      </c>
      <c r="C2397" s="9">
        <v>107395.0</v>
      </c>
      <c r="D2397" s="9">
        <v>71409.0</v>
      </c>
      <c r="E2397" s="9">
        <v>72.0</v>
      </c>
      <c r="F2397" s="7" t="s">
        <v>816</v>
      </c>
      <c r="G2397" s="7" t="s">
        <v>404</v>
      </c>
      <c r="H2397" s="7" t="s">
        <v>783</v>
      </c>
      <c r="I2397" s="7" t="s">
        <v>355</v>
      </c>
      <c r="J2397" s="14"/>
      <c r="K2397" s="14"/>
      <c r="O2397" s="22"/>
      <c r="P2397" s="22"/>
      <c r="Q2397" s="23"/>
      <c r="R2397" s="23"/>
      <c r="S2397" s="14"/>
    </row>
    <row r="2398" ht="18.75" customHeight="1">
      <c r="A2398" s="7" t="s">
        <v>505</v>
      </c>
      <c r="B2398" s="7" t="s">
        <v>3883</v>
      </c>
      <c r="C2398" s="9">
        <v>1.0</v>
      </c>
      <c r="D2398" s="9">
        <v>0.0</v>
      </c>
      <c r="E2398" s="9">
        <v>1.0</v>
      </c>
      <c r="F2398" s="7" t="s">
        <v>506</v>
      </c>
      <c r="G2398" s="7" t="s">
        <v>358</v>
      </c>
      <c r="H2398" s="7" t="s">
        <v>365</v>
      </c>
      <c r="I2398" s="7" t="s">
        <v>355</v>
      </c>
      <c r="J2398" s="14"/>
      <c r="K2398" s="14"/>
      <c r="O2398" s="22"/>
      <c r="P2398" s="22"/>
      <c r="Q2398" s="23"/>
      <c r="R2398" s="23"/>
      <c r="S2398" s="14"/>
    </row>
    <row r="2399" ht="18.75" customHeight="1">
      <c r="A2399" s="7" t="s">
        <v>505</v>
      </c>
      <c r="B2399" s="7" t="s">
        <v>3883</v>
      </c>
      <c r="C2399" s="9">
        <v>233260.0</v>
      </c>
      <c r="D2399" s="9">
        <v>0.0</v>
      </c>
      <c r="E2399" s="9">
        <v>6034.0</v>
      </c>
      <c r="F2399" s="7" t="s">
        <v>506</v>
      </c>
      <c r="G2399" s="7" t="s">
        <v>358</v>
      </c>
      <c r="H2399" s="7" t="s">
        <v>365</v>
      </c>
      <c r="I2399" s="7" t="s">
        <v>355</v>
      </c>
      <c r="J2399" s="14"/>
      <c r="K2399" s="14"/>
      <c r="O2399" s="22"/>
      <c r="P2399" s="22"/>
      <c r="Q2399" s="23"/>
      <c r="R2399" s="23"/>
      <c r="S2399" s="14"/>
    </row>
    <row r="2400" ht="18.75" customHeight="1">
      <c r="A2400" s="7" t="s">
        <v>761</v>
      </c>
      <c r="B2400" s="7" t="s">
        <v>3883</v>
      </c>
      <c r="C2400" s="9">
        <v>26856.0</v>
      </c>
      <c r="D2400" s="9">
        <v>0.0</v>
      </c>
      <c r="E2400" s="9">
        <v>8424.0</v>
      </c>
      <c r="F2400" s="7" t="s">
        <v>762</v>
      </c>
      <c r="G2400" s="7" t="s">
        <v>404</v>
      </c>
      <c r="H2400" s="7" t="s">
        <v>760</v>
      </c>
      <c r="I2400" s="7" t="s">
        <v>355</v>
      </c>
      <c r="J2400" s="14"/>
      <c r="K2400" s="14"/>
      <c r="O2400" s="22"/>
      <c r="P2400" s="22"/>
      <c r="Q2400" s="23"/>
      <c r="R2400" s="23"/>
      <c r="S2400" s="14"/>
    </row>
    <row r="2401" ht="18.75" customHeight="1">
      <c r="A2401" s="7" t="s">
        <v>761</v>
      </c>
      <c r="B2401" s="7" t="s">
        <v>3883</v>
      </c>
      <c r="C2401" s="9">
        <v>115820.0</v>
      </c>
      <c r="D2401" s="9">
        <v>8776.0</v>
      </c>
      <c r="E2401" s="9">
        <v>354.0</v>
      </c>
      <c r="F2401" s="7" t="s">
        <v>762</v>
      </c>
      <c r="G2401" s="7" t="s">
        <v>404</v>
      </c>
      <c r="H2401" s="7" t="s">
        <v>760</v>
      </c>
      <c r="I2401" s="7" t="s">
        <v>355</v>
      </c>
      <c r="J2401" s="14"/>
      <c r="K2401" s="14"/>
      <c r="O2401" s="22"/>
      <c r="P2401" s="22"/>
      <c r="Q2401" s="23"/>
      <c r="R2401" s="23"/>
      <c r="S2401" s="14"/>
    </row>
    <row r="2402" ht="18.75" customHeight="1">
      <c r="A2402" s="7" t="s">
        <v>761</v>
      </c>
      <c r="B2402" s="7" t="s">
        <v>3883</v>
      </c>
      <c r="C2402" s="9">
        <v>222910.0</v>
      </c>
      <c r="D2402" s="9">
        <v>205176.0</v>
      </c>
      <c r="E2402" s="9">
        <v>454.0</v>
      </c>
      <c r="F2402" s="7" t="s">
        <v>762</v>
      </c>
      <c r="G2402" s="7" t="s">
        <v>404</v>
      </c>
      <c r="H2402" s="7" t="s">
        <v>760</v>
      </c>
      <c r="I2402" s="7" t="s">
        <v>355</v>
      </c>
      <c r="J2402" s="14"/>
      <c r="K2402" s="14"/>
      <c r="O2402" s="22"/>
      <c r="P2402" s="22"/>
      <c r="Q2402" s="23"/>
      <c r="R2402" s="23"/>
      <c r="S2402" s="14"/>
    </row>
    <row r="2403" ht="18.75" customHeight="1">
      <c r="A2403" s="7" t="s">
        <v>761</v>
      </c>
      <c r="B2403" s="7" t="s">
        <v>3883</v>
      </c>
      <c r="C2403" s="9">
        <v>162064.0</v>
      </c>
      <c r="D2403" s="9">
        <v>0.0</v>
      </c>
      <c r="E2403" s="9">
        <v>445.0</v>
      </c>
      <c r="F2403" s="7" t="s">
        <v>762</v>
      </c>
      <c r="G2403" s="7" t="s">
        <v>404</v>
      </c>
      <c r="H2403" s="7" t="s">
        <v>760</v>
      </c>
      <c r="I2403" s="7" t="s">
        <v>355</v>
      </c>
      <c r="J2403" s="14"/>
      <c r="K2403" s="14"/>
      <c r="O2403" s="22"/>
      <c r="P2403" s="22"/>
      <c r="Q2403" s="23"/>
      <c r="R2403" s="23"/>
      <c r="S2403" s="14"/>
    </row>
    <row r="2404" ht="18.75" customHeight="1">
      <c r="A2404" s="7" t="s">
        <v>761</v>
      </c>
      <c r="B2404" s="7" t="s">
        <v>3883</v>
      </c>
      <c r="C2404" s="9">
        <v>409655.0</v>
      </c>
      <c r="D2404" s="9">
        <v>361054.0</v>
      </c>
      <c r="E2404" s="9">
        <v>109.0</v>
      </c>
      <c r="F2404" s="7" t="s">
        <v>762</v>
      </c>
      <c r="G2404" s="7" t="s">
        <v>404</v>
      </c>
      <c r="H2404" s="7" t="s">
        <v>760</v>
      </c>
      <c r="I2404" s="7" t="s">
        <v>355</v>
      </c>
      <c r="J2404" s="14"/>
      <c r="K2404" s="14"/>
      <c r="O2404" s="22"/>
      <c r="P2404" s="22"/>
      <c r="Q2404" s="23"/>
      <c r="R2404" s="23"/>
      <c r="S2404" s="14"/>
    </row>
    <row r="2405" ht="18.75" customHeight="1">
      <c r="A2405" s="7" t="s">
        <v>761</v>
      </c>
      <c r="B2405" s="7" t="s">
        <v>3883</v>
      </c>
      <c r="C2405" s="9">
        <v>81.0</v>
      </c>
      <c r="D2405" s="9">
        <v>0.0</v>
      </c>
      <c r="E2405" s="9">
        <v>0.0</v>
      </c>
      <c r="F2405" s="7" t="s">
        <v>762</v>
      </c>
      <c r="G2405" s="7" t="s">
        <v>404</v>
      </c>
      <c r="H2405" s="7" t="s">
        <v>760</v>
      </c>
      <c r="I2405" s="7" t="s">
        <v>355</v>
      </c>
      <c r="J2405" s="14"/>
      <c r="K2405" s="14"/>
      <c r="O2405" s="22"/>
      <c r="P2405" s="22"/>
      <c r="Q2405" s="23"/>
      <c r="R2405" s="23"/>
      <c r="S2405" s="14"/>
    </row>
    <row r="2406" ht="18.75" customHeight="1">
      <c r="A2406" s="7" t="s">
        <v>761</v>
      </c>
      <c r="B2406" s="7" t="s">
        <v>3883</v>
      </c>
      <c r="C2406" s="9">
        <v>578752.0</v>
      </c>
      <c r="D2406" s="9">
        <v>456481.0</v>
      </c>
      <c r="E2406" s="9">
        <v>485.0</v>
      </c>
      <c r="F2406" s="7" t="s">
        <v>762</v>
      </c>
      <c r="G2406" s="7" t="s">
        <v>404</v>
      </c>
      <c r="H2406" s="7" t="s">
        <v>760</v>
      </c>
      <c r="I2406" s="7" t="s">
        <v>355</v>
      </c>
      <c r="J2406" s="14"/>
      <c r="K2406" s="14"/>
      <c r="O2406" s="22"/>
      <c r="P2406" s="22"/>
      <c r="Q2406" s="23"/>
      <c r="R2406" s="23"/>
      <c r="S2406" s="14"/>
    </row>
    <row r="2407" ht="18.75" customHeight="1">
      <c r="A2407" s="7" t="s">
        <v>761</v>
      </c>
      <c r="B2407" s="7" t="s">
        <v>3883</v>
      </c>
      <c r="C2407" s="9">
        <v>502940.0</v>
      </c>
      <c r="D2407" s="9">
        <v>447136.0</v>
      </c>
      <c r="E2407" s="9">
        <v>246.0</v>
      </c>
      <c r="F2407" s="7" t="s">
        <v>762</v>
      </c>
      <c r="G2407" s="7" t="s">
        <v>404</v>
      </c>
      <c r="H2407" s="7" t="s">
        <v>760</v>
      </c>
      <c r="I2407" s="7" t="s">
        <v>355</v>
      </c>
      <c r="J2407" s="14"/>
      <c r="K2407" s="14"/>
      <c r="O2407" s="22"/>
      <c r="P2407" s="22"/>
      <c r="Q2407" s="23"/>
      <c r="R2407" s="23"/>
      <c r="S2407" s="14"/>
    </row>
    <row r="2408" ht="18.75" customHeight="1">
      <c r="A2408" s="7" t="s">
        <v>709</v>
      </c>
      <c r="B2408" s="7" t="s">
        <v>3883</v>
      </c>
      <c r="C2408" s="9">
        <v>2430086.0</v>
      </c>
      <c r="D2408" s="9">
        <v>0.0</v>
      </c>
      <c r="E2408" s="9">
        <v>34281.0</v>
      </c>
      <c r="F2408" s="7" t="s">
        <v>710</v>
      </c>
      <c r="G2408" s="7" t="s">
        <v>404</v>
      </c>
      <c r="H2408" s="7" t="s">
        <v>667</v>
      </c>
      <c r="I2408" s="7" t="s">
        <v>410</v>
      </c>
      <c r="J2408" s="14"/>
      <c r="K2408" s="14"/>
      <c r="O2408" s="22"/>
      <c r="P2408" s="22"/>
      <c r="Q2408" s="23"/>
      <c r="R2408" s="23"/>
      <c r="S2408" s="14"/>
    </row>
    <row r="2409" ht="18.75" customHeight="1">
      <c r="A2409" s="7" t="s">
        <v>773</v>
      </c>
      <c r="B2409" s="7" t="s">
        <v>3883</v>
      </c>
      <c r="C2409" s="9">
        <v>1039549.0</v>
      </c>
      <c r="D2409" s="9">
        <v>582980.0</v>
      </c>
      <c r="E2409" s="9">
        <v>435.0</v>
      </c>
      <c r="F2409" s="7" t="s">
        <v>774</v>
      </c>
      <c r="G2409" s="7" t="s">
        <v>404</v>
      </c>
      <c r="H2409" s="7" t="s">
        <v>405</v>
      </c>
      <c r="I2409" s="7" t="s">
        <v>355</v>
      </c>
      <c r="J2409" s="14"/>
      <c r="K2409" s="14"/>
      <c r="O2409" s="22"/>
      <c r="P2409" s="22"/>
      <c r="Q2409" s="23"/>
      <c r="R2409" s="23"/>
      <c r="S2409" s="14"/>
    </row>
    <row r="2410" ht="18.75" customHeight="1">
      <c r="A2410" s="7" t="s">
        <v>773</v>
      </c>
      <c r="B2410" s="7" t="s">
        <v>3883</v>
      </c>
      <c r="C2410" s="9">
        <v>982615.0</v>
      </c>
      <c r="D2410" s="9">
        <v>828852.0</v>
      </c>
      <c r="E2410" s="9">
        <v>904.0</v>
      </c>
      <c r="F2410" s="7" t="s">
        <v>774</v>
      </c>
      <c r="G2410" s="7" t="s">
        <v>404</v>
      </c>
      <c r="H2410" s="7" t="s">
        <v>405</v>
      </c>
      <c r="I2410" s="7" t="s">
        <v>355</v>
      </c>
      <c r="J2410" s="14"/>
      <c r="K2410" s="14"/>
      <c r="O2410" s="22"/>
      <c r="P2410" s="22"/>
      <c r="Q2410" s="23"/>
      <c r="R2410" s="23"/>
      <c r="S2410" s="14"/>
    </row>
    <row r="2411" ht="18.75" customHeight="1">
      <c r="A2411" s="7" t="s">
        <v>912</v>
      </c>
      <c r="B2411" s="7" t="s">
        <v>3883</v>
      </c>
      <c r="C2411" s="9">
        <v>96634.0</v>
      </c>
      <c r="D2411" s="9">
        <v>79934.0</v>
      </c>
      <c r="E2411" s="9">
        <v>156.0</v>
      </c>
      <c r="F2411" s="7" t="s">
        <v>913</v>
      </c>
      <c r="G2411" s="7" t="s">
        <v>358</v>
      </c>
      <c r="H2411" s="7" t="s">
        <v>466</v>
      </c>
      <c r="I2411" s="7" t="s">
        <v>355</v>
      </c>
      <c r="J2411" s="14"/>
      <c r="K2411" s="14"/>
      <c r="O2411" s="22"/>
      <c r="P2411" s="22"/>
      <c r="Q2411" s="23"/>
      <c r="R2411" s="23"/>
      <c r="S2411" s="14"/>
    </row>
    <row r="2412" ht="18.75" customHeight="1">
      <c r="A2412" s="7" t="s">
        <v>912</v>
      </c>
      <c r="B2412" s="7" t="s">
        <v>3883</v>
      </c>
      <c r="C2412" s="9">
        <v>51718.0</v>
      </c>
      <c r="D2412" s="9">
        <v>6105.0</v>
      </c>
      <c r="E2412" s="9">
        <v>358.0</v>
      </c>
      <c r="F2412" s="7" t="s">
        <v>913</v>
      </c>
      <c r="G2412" s="7" t="s">
        <v>358</v>
      </c>
      <c r="H2412" s="7" t="s">
        <v>466</v>
      </c>
      <c r="I2412" s="7" t="s">
        <v>355</v>
      </c>
      <c r="J2412" s="14"/>
      <c r="K2412" s="14"/>
      <c r="O2412" s="22"/>
      <c r="P2412" s="22"/>
      <c r="Q2412" s="23"/>
      <c r="R2412" s="23"/>
      <c r="S2412" s="14"/>
    </row>
    <row r="2413" ht="18.75" customHeight="1">
      <c r="A2413" s="7" t="s">
        <v>1087</v>
      </c>
      <c r="B2413" s="7" t="s">
        <v>3883</v>
      </c>
      <c r="C2413" s="9">
        <v>21985.0</v>
      </c>
      <c r="D2413" s="9">
        <v>326.0</v>
      </c>
      <c r="E2413" s="9">
        <v>758.0</v>
      </c>
      <c r="F2413" s="7" t="s">
        <v>1088</v>
      </c>
      <c r="G2413" s="7" t="s">
        <v>416</v>
      </c>
      <c r="H2413" s="7" t="s">
        <v>417</v>
      </c>
      <c r="I2413" s="7" t="s">
        <v>355</v>
      </c>
      <c r="J2413" s="14"/>
      <c r="K2413" s="14"/>
      <c r="O2413" s="22"/>
      <c r="P2413" s="22"/>
      <c r="Q2413" s="23"/>
      <c r="R2413" s="23"/>
      <c r="S2413" s="14"/>
    </row>
    <row r="2414" ht="18.75" customHeight="1">
      <c r="A2414" s="7" t="s">
        <v>721</v>
      </c>
      <c r="B2414" s="7" t="s">
        <v>3883</v>
      </c>
      <c r="C2414" s="9">
        <v>140030.0</v>
      </c>
      <c r="D2414" s="9">
        <v>0.0</v>
      </c>
      <c r="E2414" s="9">
        <v>2064.0</v>
      </c>
      <c r="F2414" s="7" t="s">
        <v>722</v>
      </c>
      <c r="G2414" s="7" t="s">
        <v>358</v>
      </c>
      <c r="H2414" s="7" t="s">
        <v>466</v>
      </c>
      <c r="I2414" s="7" t="s">
        <v>355</v>
      </c>
      <c r="J2414" s="14"/>
      <c r="K2414" s="14"/>
      <c r="O2414" s="22"/>
      <c r="P2414" s="22"/>
      <c r="Q2414" s="23"/>
      <c r="R2414" s="23"/>
      <c r="S2414" s="14"/>
    </row>
    <row r="2415" ht="18.75" customHeight="1">
      <c r="A2415" s="7" t="s">
        <v>721</v>
      </c>
      <c r="B2415" s="7" t="s">
        <v>3883</v>
      </c>
      <c r="C2415" s="9">
        <v>192543.0</v>
      </c>
      <c r="D2415" s="9">
        <v>129531.0</v>
      </c>
      <c r="E2415" s="9">
        <v>390.0</v>
      </c>
      <c r="F2415" s="7" t="s">
        <v>722</v>
      </c>
      <c r="G2415" s="7" t="s">
        <v>358</v>
      </c>
      <c r="H2415" s="7" t="s">
        <v>466</v>
      </c>
      <c r="I2415" s="7" t="s">
        <v>355</v>
      </c>
      <c r="J2415" s="14"/>
      <c r="K2415" s="14"/>
      <c r="O2415" s="22"/>
      <c r="P2415" s="22"/>
      <c r="Q2415" s="23"/>
      <c r="R2415" s="23"/>
      <c r="S2415" s="14"/>
    </row>
    <row r="2416" ht="18.75" customHeight="1">
      <c r="A2416" s="7" t="s">
        <v>535</v>
      </c>
      <c r="B2416" s="7" t="s">
        <v>3883</v>
      </c>
      <c r="C2416" s="9">
        <v>272421.0</v>
      </c>
      <c r="D2416" s="9">
        <v>0.0</v>
      </c>
      <c r="E2416" s="9">
        <v>8880.0</v>
      </c>
      <c r="F2416" s="7" t="s">
        <v>536</v>
      </c>
      <c r="G2416" s="7" t="s">
        <v>358</v>
      </c>
      <c r="H2416" s="7" t="s">
        <v>359</v>
      </c>
      <c r="I2416" s="7" t="s">
        <v>355</v>
      </c>
      <c r="J2416" s="14"/>
      <c r="K2416" s="14"/>
      <c r="O2416" s="22"/>
      <c r="P2416" s="22"/>
      <c r="Q2416" s="23"/>
      <c r="R2416" s="23"/>
      <c r="S2416" s="14"/>
    </row>
    <row r="2417" ht="18.75" customHeight="1">
      <c r="A2417" s="7" t="s">
        <v>537</v>
      </c>
      <c r="B2417" s="7" t="s">
        <v>3883</v>
      </c>
      <c r="C2417" s="9">
        <v>163162.0</v>
      </c>
      <c r="D2417" s="9">
        <v>0.0</v>
      </c>
      <c r="E2417" s="9">
        <v>8848.0</v>
      </c>
      <c r="F2417" s="7" t="s">
        <v>538</v>
      </c>
      <c r="G2417" s="7" t="s">
        <v>358</v>
      </c>
      <c r="H2417" s="7" t="s">
        <v>359</v>
      </c>
      <c r="I2417" s="7" t="s">
        <v>355</v>
      </c>
      <c r="J2417" s="14"/>
      <c r="K2417" s="14"/>
      <c r="O2417" s="22"/>
      <c r="P2417" s="22"/>
      <c r="Q2417" s="23"/>
      <c r="R2417" s="23"/>
      <c r="S2417" s="14"/>
    </row>
    <row r="2418" ht="18.75" customHeight="1">
      <c r="A2418" s="7" t="s">
        <v>533</v>
      </c>
      <c r="B2418" s="7" t="s">
        <v>3883</v>
      </c>
      <c r="C2418" s="9">
        <v>94492.0</v>
      </c>
      <c r="D2418" s="9">
        <v>0.0</v>
      </c>
      <c r="E2418" s="9">
        <v>4212.0</v>
      </c>
      <c r="F2418" s="7" t="s">
        <v>534</v>
      </c>
      <c r="G2418" s="7" t="s">
        <v>358</v>
      </c>
      <c r="H2418" s="7" t="s">
        <v>359</v>
      </c>
      <c r="I2418" s="7" t="s">
        <v>355</v>
      </c>
      <c r="J2418" s="14"/>
      <c r="K2418" s="14"/>
      <c r="O2418" s="22"/>
      <c r="P2418" s="22"/>
      <c r="Q2418" s="23"/>
      <c r="R2418" s="23"/>
      <c r="S2418" s="14"/>
    </row>
    <row r="2419" ht="18.75" customHeight="1">
      <c r="A2419" s="7" t="s">
        <v>533</v>
      </c>
      <c r="B2419" s="7" t="s">
        <v>3883</v>
      </c>
      <c r="C2419" s="9">
        <v>83648.0</v>
      </c>
      <c r="D2419" s="9">
        <v>52098.0</v>
      </c>
      <c r="E2419" s="9">
        <v>81.0</v>
      </c>
      <c r="F2419" s="7" t="s">
        <v>534</v>
      </c>
      <c r="G2419" s="7" t="s">
        <v>358</v>
      </c>
      <c r="H2419" s="7" t="s">
        <v>359</v>
      </c>
      <c r="I2419" s="7" t="s">
        <v>355</v>
      </c>
      <c r="J2419" s="14"/>
      <c r="K2419" s="14"/>
      <c r="O2419" s="22"/>
      <c r="P2419" s="22"/>
      <c r="Q2419" s="23"/>
      <c r="R2419" s="23"/>
      <c r="S2419" s="14"/>
    </row>
    <row r="2420" ht="18.75" customHeight="1">
      <c r="A2420" s="7" t="s">
        <v>647</v>
      </c>
      <c r="B2420" s="7" t="s">
        <v>3883</v>
      </c>
      <c r="C2420" s="9">
        <v>5638.0</v>
      </c>
      <c r="D2420" s="9">
        <v>0.0</v>
      </c>
      <c r="E2420" s="9">
        <v>415.0</v>
      </c>
      <c r="F2420" s="7" t="s">
        <v>648</v>
      </c>
      <c r="G2420" s="7" t="s">
        <v>353</v>
      </c>
      <c r="H2420" s="7" t="s">
        <v>378</v>
      </c>
      <c r="I2420" s="7" t="s">
        <v>355</v>
      </c>
      <c r="J2420" s="14"/>
      <c r="K2420" s="14"/>
      <c r="O2420" s="22"/>
      <c r="P2420" s="22"/>
      <c r="Q2420" s="23"/>
      <c r="R2420" s="23"/>
      <c r="S2420" s="14"/>
    </row>
    <row r="2421" ht="18.75" customHeight="1">
      <c r="A2421" s="7" t="s">
        <v>680</v>
      </c>
      <c r="B2421" s="7" t="s">
        <v>3883</v>
      </c>
      <c r="C2421" s="9">
        <v>702963.0</v>
      </c>
      <c r="D2421" s="9">
        <v>566272.0</v>
      </c>
      <c r="E2421" s="9">
        <v>418.0</v>
      </c>
      <c r="F2421" s="7" t="s">
        <v>681</v>
      </c>
      <c r="G2421" s="7" t="s">
        <v>358</v>
      </c>
      <c r="H2421" s="7" t="s">
        <v>466</v>
      </c>
      <c r="I2421" s="7" t="s">
        <v>355</v>
      </c>
      <c r="J2421" s="14"/>
      <c r="K2421" s="14"/>
      <c r="O2421" s="22"/>
      <c r="P2421" s="22"/>
      <c r="Q2421" s="23"/>
      <c r="R2421" s="23"/>
      <c r="S2421" s="14"/>
    </row>
    <row r="2422" ht="18.75" customHeight="1">
      <c r="A2422" s="7" t="s">
        <v>767</v>
      </c>
      <c r="B2422" s="7" t="s">
        <v>3883</v>
      </c>
      <c r="C2422" s="9">
        <v>203736.0</v>
      </c>
      <c r="D2422" s="9">
        <v>130252.0</v>
      </c>
      <c r="E2422" s="9">
        <v>317.0</v>
      </c>
      <c r="F2422" s="7" t="s">
        <v>768</v>
      </c>
      <c r="G2422" s="7" t="s">
        <v>358</v>
      </c>
      <c r="H2422" s="7" t="s">
        <v>466</v>
      </c>
      <c r="I2422" s="7" t="s">
        <v>355</v>
      </c>
      <c r="J2422" s="14"/>
      <c r="K2422" s="14"/>
      <c r="O2422" s="22"/>
      <c r="P2422" s="22"/>
      <c r="Q2422" s="23"/>
      <c r="R2422" s="23"/>
      <c r="S2422" s="14"/>
    </row>
    <row r="2423" ht="18.75" customHeight="1">
      <c r="A2423" s="7" t="s">
        <v>836</v>
      </c>
      <c r="B2423" s="7" t="s">
        <v>3883</v>
      </c>
      <c r="C2423" s="9">
        <v>29470.0</v>
      </c>
      <c r="D2423" s="9">
        <v>0.0</v>
      </c>
      <c r="E2423" s="9">
        <v>1407.0</v>
      </c>
      <c r="F2423" s="7" t="s">
        <v>837</v>
      </c>
      <c r="G2423" s="7" t="s">
        <v>416</v>
      </c>
      <c r="H2423" s="7" t="s">
        <v>417</v>
      </c>
      <c r="I2423" s="7" t="s">
        <v>355</v>
      </c>
      <c r="J2423" s="14"/>
      <c r="K2423" s="14"/>
      <c r="O2423" s="22"/>
      <c r="P2423" s="22"/>
      <c r="Q2423" s="23"/>
      <c r="R2423" s="23"/>
      <c r="S2423" s="14"/>
    </row>
    <row r="2424" ht="18.75" customHeight="1">
      <c r="A2424" s="7" t="s">
        <v>902</v>
      </c>
      <c r="B2424" s="7" t="s">
        <v>3883</v>
      </c>
      <c r="C2424" s="9">
        <v>91501.0</v>
      </c>
      <c r="D2424" s="9">
        <v>1763.0</v>
      </c>
      <c r="E2424" s="9">
        <v>3925.0</v>
      </c>
      <c r="F2424" s="7" t="s">
        <v>903</v>
      </c>
      <c r="G2424" s="7" t="s">
        <v>416</v>
      </c>
      <c r="H2424" s="7" t="s">
        <v>417</v>
      </c>
      <c r="I2424" s="7" t="s">
        <v>355</v>
      </c>
      <c r="J2424" s="14"/>
      <c r="K2424" s="14"/>
      <c r="O2424" s="22"/>
      <c r="P2424" s="22"/>
      <c r="Q2424" s="23"/>
      <c r="R2424" s="23"/>
      <c r="S2424" s="14"/>
    </row>
    <row r="2425" ht="18.75" customHeight="1">
      <c r="A2425" s="7" t="s">
        <v>3751</v>
      </c>
      <c r="B2425" s="7" t="s">
        <v>3883</v>
      </c>
      <c r="C2425" s="9">
        <v>176399.0</v>
      </c>
      <c r="D2425" s="9">
        <v>2810.0</v>
      </c>
      <c r="E2425" s="9">
        <v>6536.0</v>
      </c>
      <c r="F2425" s="7" t="s">
        <v>3890</v>
      </c>
      <c r="G2425" s="7" t="s">
        <v>416</v>
      </c>
      <c r="H2425" s="7" t="s">
        <v>417</v>
      </c>
      <c r="I2425" s="7" t="s">
        <v>3886</v>
      </c>
      <c r="J2425" s="14"/>
      <c r="K2425" s="14"/>
      <c r="O2425" s="22"/>
      <c r="P2425" s="22"/>
      <c r="Q2425" s="23"/>
      <c r="R2425" s="23"/>
      <c r="S2425" s="14"/>
    </row>
    <row r="2426" ht="18.75" customHeight="1">
      <c r="A2426" s="7" t="s">
        <v>910</v>
      </c>
      <c r="B2426" s="7" t="s">
        <v>3883</v>
      </c>
      <c r="C2426" s="9">
        <v>291670.0</v>
      </c>
      <c r="D2426" s="9">
        <v>9200.0</v>
      </c>
      <c r="E2426" s="9">
        <v>9631.0</v>
      </c>
      <c r="F2426" s="7" t="s">
        <v>911</v>
      </c>
      <c r="G2426" s="7" t="s">
        <v>416</v>
      </c>
      <c r="H2426" s="7" t="s">
        <v>417</v>
      </c>
      <c r="I2426" s="7" t="s">
        <v>355</v>
      </c>
      <c r="J2426" s="14"/>
      <c r="K2426" s="14"/>
      <c r="O2426" s="22"/>
      <c r="P2426" s="22"/>
      <c r="Q2426" s="23"/>
      <c r="R2426" s="23"/>
      <c r="S2426" s="14"/>
    </row>
    <row r="2427" ht="18.75" customHeight="1">
      <c r="A2427" s="7" t="s">
        <v>961</v>
      </c>
      <c r="B2427" s="7" t="s">
        <v>3883</v>
      </c>
      <c r="C2427" s="9">
        <v>73023.0</v>
      </c>
      <c r="D2427" s="9">
        <v>0.0</v>
      </c>
      <c r="E2427" s="9">
        <v>2782.0</v>
      </c>
      <c r="F2427" s="7" t="s">
        <v>962</v>
      </c>
      <c r="G2427" s="7" t="s">
        <v>416</v>
      </c>
      <c r="H2427" s="7" t="s">
        <v>417</v>
      </c>
      <c r="I2427" s="7" t="s">
        <v>355</v>
      </c>
      <c r="J2427" s="14"/>
      <c r="K2427" s="14"/>
      <c r="O2427" s="22"/>
      <c r="P2427" s="22"/>
      <c r="Q2427" s="23"/>
      <c r="R2427" s="23"/>
      <c r="S2427" s="14"/>
    </row>
    <row r="2428" ht="18.75" customHeight="1">
      <c r="A2428" s="7" t="s">
        <v>963</v>
      </c>
      <c r="B2428" s="7" t="s">
        <v>3883</v>
      </c>
      <c r="C2428" s="9">
        <v>79239.0</v>
      </c>
      <c r="D2428" s="9">
        <v>974.0</v>
      </c>
      <c r="E2428" s="9">
        <v>3901.0</v>
      </c>
      <c r="F2428" s="7" t="s">
        <v>964</v>
      </c>
      <c r="G2428" s="7" t="s">
        <v>416</v>
      </c>
      <c r="H2428" s="7" t="s">
        <v>417</v>
      </c>
      <c r="I2428" s="7" t="s">
        <v>355</v>
      </c>
      <c r="J2428" s="14"/>
      <c r="K2428" s="14"/>
      <c r="O2428" s="22"/>
      <c r="P2428" s="22"/>
      <c r="Q2428" s="23"/>
      <c r="R2428" s="23"/>
      <c r="S2428" s="14"/>
    </row>
    <row r="2429" ht="18.75" customHeight="1">
      <c r="A2429" s="7" t="s">
        <v>1033</v>
      </c>
      <c r="B2429" s="7" t="s">
        <v>3883</v>
      </c>
      <c r="C2429" s="9">
        <v>30651.0</v>
      </c>
      <c r="D2429" s="9">
        <v>197.0</v>
      </c>
      <c r="E2429" s="9">
        <v>2203.0</v>
      </c>
      <c r="F2429" s="7" t="s">
        <v>1034</v>
      </c>
      <c r="G2429" s="7" t="s">
        <v>416</v>
      </c>
      <c r="H2429" s="7" t="s">
        <v>417</v>
      </c>
      <c r="I2429" s="7" t="s">
        <v>355</v>
      </c>
      <c r="J2429" s="14"/>
      <c r="K2429" s="14"/>
      <c r="O2429" s="22"/>
      <c r="P2429" s="22"/>
      <c r="Q2429" s="23"/>
      <c r="R2429" s="23"/>
      <c r="S2429" s="14"/>
    </row>
    <row r="2430" ht="18.75" customHeight="1">
      <c r="A2430" s="7" t="s">
        <v>1035</v>
      </c>
      <c r="B2430" s="7" t="s">
        <v>3883</v>
      </c>
      <c r="C2430" s="9">
        <v>41928.0</v>
      </c>
      <c r="D2430" s="9">
        <v>0.0</v>
      </c>
      <c r="E2430" s="9">
        <v>1752.0</v>
      </c>
      <c r="F2430" s="7" t="s">
        <v>1036</v>
      </c>
      <c r="G2430" s="7" t="s">
        <v>416</v>
      </c>
      <c r="H2430" s="7" t="s">
        <v>417</v>
      </c>
      <c r="I2430" s="7" t="s">
        <v>355</v>
      </c>
      <c r="J2430" s="14"/>
      <c r="K2430" s="14"/>
      <c r="O2430" s="22"/>
      <c r="P2430" s="22"/>
      <c r="Q2430" s="23"/>
      <c r="R2430" s="23"/>
      <c r="S2430" s="14"/>
    </row>
    <row r="2431" ht="18.75" customHeight="1">
      <c r="A2431" s="7" t="s">
        <v>1071</v>
      </c>
      <c r="B2431" s="7" t="s">
        <v>3883</v>
      </c>
      <c r="C2431" s="9">
        <v>13073.0</v>
      </c>
      <c r="D2431" s="9">
        <v>0.0</v>
      </c>
      <c r="E2431" s="9">
        <v>815.0</v>
      </c>
      <c r="F2431" s="7" t="s">
        <v>1072</v>
      </c>
      <c r="G2431" s="7" t="s">
        <v>416</v>
      </c>
      <c r="H2431" s="7" t="s">
        <v>417</v>
      </c>
      <c r="I2431" s="7" t="s">
        <v>355</v>
      </c>
      <c r="J2431" s="14"/>
      <c r="K2431" s="14"/>
      <c r="O2431" s="22"/>
      <c r="P2431" s="22"/>
      <c r="Q2431" s="23"/>
      <c r="R2431" s="23"/>
      <c r="S2431" s="14"/>
    </row>
    <row r="2432" ht="18.75" customHeight="1">
      <c r="A2432" s="7" t="s">
        <v>1045</v>
      </c>
      <c r="B2432" s="7" t="s">
        <v>3883</v>
      </c>
      <c r="C2432" s="9">
        <v>1358589.0</v>
      </c>
      <c r="D2432" s="9">
        <v>152229.0</v>
      </c>
      <c r="E2432" s="9">
        <v>851.0</v>
      </c>
      <c r="F2432" s="7" t="s">
        <v>1046</v>
      </c>
      <c r="G2432" s="7" t="s">
        <v>364</v>
      </c>
      <c r="H2432" s="7" t="s">
        <v>504</v>
      </c>
      <c r="I2432" s="7" t="s">
        <v>355</v>
      </c>
      <c r="J2432" s="14"/>
      <c r="K2432" s="14"/>
      <c r="O2432" s="22"/>
      <c r="P2432" s="22"/>
      <c r="Q2432" s="23"/>
      <c r="R2432" s="23"/>
      <c r="S2432" s="14"/>
    </row>
    <row r="2433" ht="18.75" customHeight="1">
      <c r="A2433" s="7" t="s">
        <v>1029</v>
      </c>
      <c r="B2433" s="7" t="s">
        <v>3883</v>
      </c>
      <c r="C2433" s="9">
        <v>287032.0</v>
      </c>
      <c r="D2433" s="9">
        <v>0.0</v>
      </c>
      <c r="E2433" s="9">
        <v>7866.0</v>
      </c>
      <c r="F2433" s="7" t="s">
        <v>1030</v>
      </c>
      <c r="G2433" s="7" t="s">
        <v>404</v>
      </c>
      <c r="H2433" s="7" t="s">
        <v>667</v>
      </c>
      <c r="I2433" s="7" t="s">
        <v>355</v>
      </c>
      <c r="J2433" s="14"/>
      <c r="K2433" s="14"/>
      <c r="O2433" s="22"/>
      <c r="P2433" s="22"/>
      <c r="Q2433" s="23"/>
      <c r="R2433" s="23"/>
      <c r="S2433" s="14"/>
    </row>
    <row r="2434" ht="18.75" customHeight="1">
      <c r="A2434" s="7" t="s">
        <v>870</v>
      </c>
      <c r="B2434" s="7" t="s">
        <v>3883</v>
      </c>
      <c r="C2434" s="9">
        <v>114764.0</v>
      </c>
      <c r="D2434" s="9">
        <v>0.0</v>
      </c>
      <c r="E2434" s="9">
        <v>2908.0</v>
      </c>
      <c r="F2434" s="7" t="s">
        <v>871</v>
      </c>
      <c r="G2434" s="7" t="s">
        <v>353</v>
      </c>
      <c r="H2434" s="7" t="s">
        <v>378</v>
      </c>
      <c r="I2434" s="7" t="s">
        <v>355</v>
      </c>
      <c r="J2434" s="14"/>
      <c r="K2434" s="14"/>
      <c r="O2434" s="22"/>
      <c r="P2434" s="22"/>
      <c r="Q2434" s="23"/>
      <c r="R2434" s="23"/>
      <c r="S2434" s="14"/>
    </row>
    <row r="2435" ht="18.75" customHeight="1">
      <c r="A2435" s="7" t="s">
        <v>1053</v>
      </c>
      <c r="B2435" s="7" t="s">
        <v>3883</v>
      </c>
      <c r="C2435" s="9">
        <v>102492.0</v>
      </c>
      <c r="D2435" s="9">
        <v>24872.0</v>
      </c>
      <c r="E2435" s="9">
        <v>829.0</v>
      </c>
      <c r="F2435" s="7" t="s">
        <v>1054</v>
      </c>
      <c r="G2435" s="7" t="s">
        <v>353</v>
      </c>
      <c r="H2435" s="7" t="s">
        <v>378</v>
      </c>
      <c r="I2435" s="7" t="s">
        <v>355</v>
      </c>
      <c r="J2435" s="14"/>
      <c r="K2435" s="14"/>
      <c r="O2435" s="22"/>
      <c r="P2435" s="22"/>
      <c r="Q2435" s="23"/>
      <c r="R2435" s="23"/>
      <c r="S2435" s="14"/>
    </row>
    <row r="2436" ht="18.75" customHeight="1">
      <c r="A2436" s="7" t="s">
        <v>1053</v>
      </c>
      <c r="B2436" s="7" t="s">
        <v>3883</v>
      </c>
      <c r="C2436" s="9">
        <v>24632.0</v>
      </c>
      <c r="D2436" s="9">
        <v>1741.0</v>
      </c>
      <c r="E2436" s="9">
        <v>48.0</v>
      </c>
      <c r="F2436" s="7" t="s">
        <v>1054</v>
      </c>
      <c r="G2436" s="7" t="s">
        <v>353</v>
      </c>
      <c r="H2436" s="7" t="s">
        <v>378</v>
      </c>
      <c r="I2436" s="7" t="s">
        <v>355</v>
      </c>
      <c r="J2436" s="14"/>
      <c r="K2436" s="14"/>
      <c r="O2436" s="22"/>
      <c r="P2436" s="22"/>
      <c r="Q2436" s="23"/>
      <c r="R2436" s="23"/>
      <c r="S2436" s="14"/>
    </row>
    <row r="2437" ht="18.75" customHeight="1">
      <c r="A2437" s="7" t="s">
        <v>993</v>
      </c>
      <c r="B2437" s="7" t="s">
        <v>3883</v>
      </c>
      <c r="C2437" s="9">
        <v>60736.0</v>
      </c>
      <c r="D2437" s="9">
        <v>50588.0</v>
      </c>
      <c r="E2437" s="9">
        <v>41.0</v>
      </c>
      <c r="F2437" s="7" t="s">
        <v>994</v>
      </c>
      <c r="G2437" s="7" t="s">
        <v>358</v>
      </c>
      <c r="H2437" s="7" t="s">
        <v>466</v>
      </c>
      <c r="I2437" s="7" t="s">
        <v>355</v>
      </c>
      <c r="J2437" s="14"/>
      <c r="K2437" s="14"/>
      <c r="O2437" s="22"/>
      <c r="P2437" s="22"/>
      <c r="Q2437" s="23"/>
      <c r="R2437" s="23"/>
      <c r="S2437" s="14"/>
    </row>
    <row r="2438" ht="18.75" customHeight="1">
      <c r="A2438" s="7" t="s">
        <v>993</v>
      </c>
      <c r="B2438" s="7" t="s">
        <v>3883</v>
      </c>
      <c r="C2438" s="9">
        <v>58992.0</v>
      </c>
      <c r="D2438" s="9">
        <v>45289.0</v>
      </c>
      <c r="E2438" s="9">
        <v>180.0</v>
      </c>
      <c r="F2438" s="7" t="s">
        <v>994</v>
      </c>
      <c r="G2438" s="7" t="s">
        <v>358</v>
      </c>
      <c r="H2438" s="7" t="s">
        <v>466</v>
      </c>
      <c r="I2438" s="7" t="s">
        <v>355</v>
      </c>
      <c r="J2438" s="14"/>
      <c r="O2438" s="22"/>
      <c r="P2438" s="22"/>
      <c r="Q2438" s="23"/>
      <c r="R2438" s="23"/>
      <c r="S2438" s="14"/>
    </row>
    <row r="2439" ht="18.75" customHeight="1">
      <c r="A2439" s="7" t="s">
        <v>993</v>
      </c>
      <c r="B2439" s="7" t="s">
        <v>3883</v>
      </c>
      <c r="C2439" s="9">
        <v>51991.0</v>
      </c>
      <c r="D2439" s="9">
        <v>46259.0</v>
      </c>
      <c r="E2439" s="9">
        <v>51.0</v>
      </c>
      <c r="F2439" s="7" t="s">
        <v>994</v>
      </c>
      <c r="G2439" s="7" t="s">
        <v>358</v>
      </c>
      <c r="H2439" s="7" t="s">
        <v>466</v>
      </c>
      <c r="I2439" s="7" t="s">
        <v>355</v>
      </c>
      <c r="J2439" s="14"/>
      <c r="O2439" s="22"/>
      <c r="P2439" s="22"/>
      <c r="Q2439" s="23"/>
      <c r="R2439" s="23"/>
      <c r="S2439" s="14"/>
    </row>
    <row r="2440" ht="18.75" customHeight="1">
      <c r="A2440" s="7" t="s">
        <v>993</v>
      </c>
      <c r="B2440" s="7" t="s">
        <v>3883</v>
      </c>
      <c r="C2440" s="9">
        <v>58134.0</v>
      </c>
      <c r="D2440" s="9">
        <v>49538.0</v>
      </c>
      <c r="E2440" s="9">
        <v>139.0</v>
      </c>
      <c r="F2440" s="7" t="s">
        <v>994</v>
      </c>
      <c r="G2440" s="7" t="s">
        <v>358</v>
      </c>
      <c r="H2440" s="7" t="s">
        <v>466</v>
      </c>
      <c r="I2440" s="7" t="s">
        <v>355</v>
      </c>
      <c r="J2440" s="14"/>
      <c r="O2440" s="22"/>
      <c r="P2440" s="22"/>
      <c r="Q2440" s="23"/>
      <c r="R2440" s="23"/>
      <c r="S2440" s="14"/>
    </row>
    <row r="2441" ht="18.75" customHeight="1">
      <c r="A2441" s="7" t="s">
        <v>993</v>
      </c>
      <c r="B2441" s="7" t="s">
        <v>3883</v>
      </c>
      <c r="C2441" s="9">
        <v>55812.0</v>
      </c>
      <c r="D2441" s="9">
        <v>6920.0</v>
      </c>
      <c r="E2441" s="9">
        <v>235.0</v>
      </c>
      <c r="F2441" s="7" t="s">
        <v>994</v>
      </c>
      <c r="G2441" s="7" t="s">
        <v>358</v>
      </c>
      <c r="H2441" s="7" t="s">
        <v>466</v>
      </c>
      <c r="I2441" s="7" t="s">
        <v>355</v>
      </c>
      <c r="J2441" s="14"/>
      <c r="O2441" s="22"/>
      <c r="P2441" s="22"/>
      <c r="Q2441" s="23"/>
      <c r="R2441" s="23"/>
      <c r="S2441" s="14"/>
    </row>
    <row r="2442" ht="18.75" customHeight="1">
      <c r="A2442" s="7" t="s">
        <v>993</v>
      </c>
      <c r="B2442" s="7" t="s">
        <v>3883</v>
      </c>
      <c r="C2442" s="9">
        <v>2776.0</v>
      </c>
      <c r="D2442" s="9">
        <v>542.0</v>
      </c>
      <c r="E2442" s="9">
        <v>13.0</v>
      </c>
      <c r="F2442" s="7" t="s">
        <v>994</v>
      </c>
      <c r="G2442" s="7" t="s">
        <v>358</v>
      </c>
      <c r="H2442" s="7" t="s">
        <v>466</v>
      </c>
      <c r="I2442" s="7" t="s">
        <v>355</v>
      </c>
      <c r="J2442" s="14"/>
      <c r="O2442" s="22"/>
      <c r="P2442" s="22"/>
      <c r="Q2442" s="23"/>
      <c r="R2442" s="23"/>
      <c r="S2442" s="14"/>
    </row>
    <row r="2443" ht="18.75" customHeight="1">
      <c r="A2443" s="7" t="s">
        <v>993</v>
      </c>
      <c r="B2443" s="7" t="s">
        <v>3883</v>
      </c>
      <c r="C2443" s="9">
        <v>8.0</v>
      </c>
      <c r="D2443" s="9">
        <v>0.0</v>
      </c>
      <c r="E2443" s="9">
        <v>0.0</v>
      </c>
      <c r="F2443" s="7" t="s">
        <v>994</v>
      </c>
      <c r="G2443" s="7" t="s">
        <v>358</v>
      </c>
      <c r="H2443" s="7" t="s">
        <v>466</v>
      </c>
      <c r="I2443" s="7" t="s">
        <v>355</v>
      </c>
      <c r="J2443" s="14"/>
      <c r="O2443" s="22"/>
      <c r="P2443" s="22"/>
      <c r="Q2443" s="23"/>
      <c r="R2443" s="23"/>
      <c r="S2443" s="14"/>
    </row>
    <row r="2444" ht="18.75" customHeight="1">
      <c r="A2444" s="7" t="s">
        <v>993</v>
      </c>
      <c r="B2444" s="7" t="s">
        <v>3883</v>
      </c>
      <c r="C2444" s="9">
        <v>12.0</v>
      </c>
      <c r="D2444" s="9">
        <v>0.0</v>
      </c>
      <c r="E2444" s="9">
        <v>1.0</v>
      </c>
      <c r="F2444" s="7" t="s">
        <v>994</v>
      </c>
      <c r="G2444" s="7" t="s">
        <v>358</v>
      </c>
      <c r="H2444" s="7" t="s">
        <v>466</v>
      </c>
      <c r="I2444" s="7" t="s">
        <v>355</v>
      </c>
      <c r="J2444" s="14"/>
      <c r="O2444" s="22"/>
      <c r="P2444" s="22"/>
      <c r="Q2444" s="23"/>
      <c r="R2444" s="23"/>
      <c r="S2444" s="14"/>
    </row>
    <row r="2445" ht="18.75" customHeight="1">
      <c r="A2445" s="7" t="s">
        <v>730</v>
      </c>
      <c r="B2445" s="7" t="s">
        <v>3883</v>
      </c>
      <c r="C2445" s="9">
        <v>387.0</v>
      </c>
      <c r="D2445" s="9">
        <v>309.0</v>
      </c>
      <c r="E2445" s="9">
        <v>0.0</v>
      </c>
      <c r="F2445" s="7" t="s">
        <v>731</v>
      </c>
      <c r="G2445" s="7" t="s">
        <v>416</v>
      </c>
      <c r="H2445" s="7" t="s">
        <v>417</v>
      </c>
      <c r="I2445" s="7" t="s">
        <v>355</v>
      </c>
      <c r="J2445" s="14"/>
      <c r="O2445" s="22"/>
      <c r="P2445" s="22"/>
      <c r="Q2445" s="23"/>
      <c r="R2445" s="23"/>
      <c r="S2445" s="14"/>
    </row>
    <row r="2446" ht="18.75" customHeight="1">
      <c r="A2446" s="7" t="s">
        <v>728</v>
      </c>
      <c r="B2446" s="7" t="s">
        <v>3883</v>
      </c>
      <c r="C2446" s="9">
        <v>80379.0</v>
      </c>
      <c r="D2446" s="9">
        <v>68292.0</v>
      </c>
      <c r="E2446" s="9">
        <v>41.0</v>
      </c>
      <c r="F2446" s="7" t="s">
        <v>729</v>
      </c>
      <c r="G2446" s="7" t="s">
        <v>416</v>
      </c>
      <c r="H2446" s="7" t="s">
        <v>417</v>
      </c>
      <c r="I2446" s="7" t="s">
        <v>355</v>
      </c>
      <c r="J2446" s="14"/>
      <c r="O2446" s="22"/>
      <c r="P2446" s="22"/>
      <c r="Q2446" s="23"/>
      <c r="R2446" s="23"/>
      <c r="S2446" s="14"/>
    </row>
    <row r="2447" ht="18.75" customHeight="1">
      <c r="A2447" s="7" t="s">
        <v>802</v>
      </c>
      <c r="B2447" s="7" t="s">
        <v>3883</v>
      </c>
      <c r="C2447" s="9">
        <v>85.0</v>
      </c>
      <c r="D2447" s="9">
        <v>68.0</v>
      </c>
      <c r="E2447" s="9">
        <v>0.0</v>
      </c>
      <c r="F2447" s="7" t="s">
        <v>803</v>
      </c>
      <c r="G2447" s="7" t="s">
        <v>416</v>
      </c>
      <c r="H2447" s="7" t="s">
        <v>417</v>
      </c>
      <c r="I2447" s="7" t="s">
        <v>355</v>
      </c>
      <c r="J2447" s="14"/>
      <c r="O2447" s="22"/>
      <c r="P2447" s="22"/>
      <c r="Q2447" s="23"/>
      <c r="R2447" s="23"/>
      <c r="S2447" s="14"/>
    </row>
    <row r="2448" ht="18.75" customHeight="1">
      <c r="A2448" s="7" t="s">
        <v>902</v>
      </c>
      <c r="B2448" s="7" t="s">
        <v>3883</v>
      </c>
      <c r="C2448" s="9">
        <v>143888.0</v>
      </c>
      <c r="D2448" s="9">
        <v>123867.0</v>
      </c>
      <c r="E2448" s="9">
        <v>58.0</v>
      </c>
      <c r="F2448" s="7" t="s">
        <v>903</v>
      </c>
      <c r="G2448" s="7" t="s">
        <v>416</v>
      </c>
      <c r="H2448" s="7" t="s">
        <v>417</v>
      </c>
      <c r="I2448" s="7" t="s">
        <v>355</v>
      </c>
      <c r="J2448" s="14"/>
      <c r="O2448" s="22"/>
      <c r="P2448" s="22"/>
      <c r="Q2448" s="23"/>
      <c r="R2448" s="23"/>
      <c r="S2448" s="14"/>
    </row>
    <row r="2449" ht="18.75" customHeight="1">
      <c r="A2449" s="7" t="s">
        <v>961</v>
      </c>
      <c r="B2449" s="7" t="s">
        <v>3883</v>
      </c>
      <c r="C2449" s="9">
        <v>110717.0</v>
      </c>
      <c r="D2449" s="9">
        <v>96311.0</v>
      </c>
      <c r="E2449" s="9">
        <v>49.0</v>
      </c>
      <c r="F2449" s="7" t="s">
        <v>962</v>
      </c>
      <c r="G2449" s="7" t="s">
        <v>416</v>
      </c>
      <c r="H2449" s="7" t="s">
        <v>417</v>
      </c>
      <c r="I2449" s="7" t="s">
        <v>355</v>
      </c>
      <c r="J2449" s="14"/>
      <c r="O2449" s="22"/>
      <c r="P2449" s="22"/>
      <c r="Q2449" s="23"/>
      <c r="R2449" s="23"/>
      <c r="S2449" s="14"/>
    </row>
    <row r="2450" ht="18.75" customHeight="1">
      <c r="A2450" s="7" t="s">
        <v>1033</v>
      </c>
      <c r="B2450" s="7" t="s">
        <v>3883</v>
      </c>
      <c r="C2450" s="9">
        <v>40410.0</v>
      </c>
      <c r="D2450" s="9">
        <v>32285.0</v>
      </c>
      <c r="E2450" s="9">
        <v>69.0</v>
      </c>
      <c r="F2450" s="7" t="s">
        <v>1034</v>
      </c>
      <c r="G2450" s="7" t="s">
        <v>416</v>
      </c>
      <c r="H2450" s="7" t="s">
        <v>417</v>
      </c>
      <c r="I2450" s="7" t="s">
        <v>355</v>
      </c>
      <c r="J2450" s="14"/>
      <c r="O2450" s="22"/>
      <c r="P2450" s="22"/>
      <c r="Q2450" s="23"/>
      <c r="R2450" s="23"/>
      <c r="S2450" s="14"/>
    </row>
    <row r="2451" ht="18.75" customHeight="1">
      <c r="A2451" s="7" t="s">
        <v>699</v>
      </c>
      <c r="B2451" s="7" t="s">
        <v>3883</v>
      </c>
      <c r="C2451" s="9">
        <v>186727.0</v>
      </c>
      <c r="D2451" s="9">
        <v>0.0</v>
      </c>
      <c r="E2451" s="9">
        <v>1935.0</v>
      </c>
      <c r="F2451" s="7" t="s">
        <v>700</v>
      </c>
      <c r="G2451" s="7" t="s">
        <v>353</v>
      </c>
      <c r="H2451" s="7" t="s">
        <v>378</v>
      </c>
      <c r="I2451" s="7" t="s">
        <v>355</v>
      </c>
      <c r="J2451" s="14"/>
      <c r="O2451" s="22"/>
      <c r="P2451" s="22"/>
      <c r="Q2451" s="23"/>
      <c r="R2451" s="23"/>
      <c r="S2451" s="14"/>
    </row>
    <row r="2452" ht="18.75" customHeight="1">
      <c r="A2452" s="7" t="s">
        <v>625</v>
      </c>
      <c r="B2452" s="7" t="s">
        <v>3883</v>
      </c>
      <c r="C2452" s="9">
        <v>39247.0</v>
      </c>
      <c r="D2452" s="9">
        <v>0.0</v>
      </c>
      <c r="E2452" s="9">
        <v>1988.0</v>
      </c>
      <c r="F2452" s="7" t="s">
        <v>626</v>
      </c>
      <c r="G2452" s="7" t="s">
        <v>353</v>
      </c>
      <c r="H2452" s="7" t="s">
        <v>354</v>
      </c>
      <c r="I2452" s="7" t="s">
        <v>355</v>
      </c>
      <c r="J2452" s="14"/>
      <c r="O2452" s="22"/>
      <c r="P2452" s="22"/>
      <c r="Q2452" s="23"/>
      <c r="R2452" s="23"/>
      <c r="S2452" s="14"/>
    </row>
    <row r="2453" ht="18.75" customHeight="1">
      <c r="A2453" s="7" t="s">
        <v>625</v>
      </c>
      <c r="B2453" s="7" t="s">
        <v>3883</v>
      </c>
      <c r="C2453" s="9">
        <v>4963.0</v>
      </c>
      <c r="D2453" s="9">
        <v>0.0</v>
      </c>
      <c r="E2453" s="9">
        <v>835.0</v>
      </c>
      <c r="F2453" s="7" t="s">
        <v>626</v>
      </c>
      <c r="G2453" s="7" t="s">
        <v>353</v>
      </c>
      <c r="H2453" s="7" t="s">
        <v>354</v>
      </c>
      <c r="I2453" s="7" t="s">
        <v>355</v>
      </c>
      <c r="J2453" s="14"/>
      <c r="O2453" s="22"/>
      <c r="P2453" s="22"/>
      <c r="Q2453" s="23"/>
      <c r="R2453" s="23"/>
      <c r="S2453" s="14"/>
    </row>
    <row r="2454" ht="18.75" customHeight="1">
      <c r="A2454" s="7" t="s">
        <v>651</v>
      </c>
      <c r="B2454" s="7" t="s">
        <v>3883</v>
      </c>
      <c r="C2454" s="9">
        <v>1197899.0</v>
      </c>
      <c r="D2454" s="9">
        <v>0.0</v>
      </c>
      <c r="E2454" s="9">
        <v>17965.0</v>
      </c>
      <c r="F2454" s="7" t="s">
        <v>652</v>
      </c>
      <c r="G2454" s="7" t="s">
        <v>353</v>
      </c>
      <c r="H2454" s="7" t="s">
        <v>378</v>
      </c>
      <c r="I2454" s="7" t="s">
        <v>355</v>
      </c>
      <c r="J2454" s="14"/>
      <c r="O2454" s="22"/>
      <c r="P2454" s="22"/>
      <c r="Q2454" s="23"/>
      <c r="R2454" s="23"/>
      <c r="S2454" s="14"/>
    </row>
    <row r="2455" ht="18.75" customHeight="1">
      <c r="A2455" s="7" t="s">
        <v>689</v>
      </c>
      <c r="B2455" s="7" t="s">
        <v>3883</v>
      </c>
      <c r="C2455" s="9">
        <v>154088.0</v>
      </c>
      <c r="D2455" s="9">
        <v>0.0</v>
      </c>
      <c r="E2455" s="9">
        <v>4685.0</v>
      </c>
      <c r="F2455" s="7" t="s">
        <v>690</v>
      </c>
      <c r="G2455" s="7" t="s">
        <v>353</v>
      </c>
      <c r="H2455" s="7" t="s">
        <v>378</v>
      </c>
      <c r="I2455" s="7" t="s">
        <v>355</v>
      </c>
      <c r="J2455" s="14"/>
      <c r="O2455" s="22"/>
      <c r="P2455" s="22"/>
      <c r="Q2455" s="23"/>
      <c r="R2455" s="23"/>
      <c r="S2455" s="14"/>
    </row>
    <row r="2456" ht="18.75" customHeight="1">
      <c r="A2456" s="7" t="s">
        <v>719</v>
      </c>
      <c r="B2456" s="7" t="s">
        <v>3883</v>
      </c>
      <c r="C2456" s="9">
        <v>496086.0</v>
      </c>
      <c r="D2456" s="9">
        <v>315965.0</v>
      </c>
      <c r="E2456" s="9">
        <v>641.0</v>
      </c>
      <c r="F2456" s="7" t="s">
        <v>720</v>
      </c>
      <c r="G2456" s="7" t="s">
        <v>358</v>
      </c>
      <c r="H2456" s="7" t="s">
        <v>466</v>
      </c>
      <c r="I2456" s="7" t="s">
        <v>355</v>
      </c>
      <c r="J2456" s="14"/>
      <c r="O2456" s="22"/>
      <c r="P2456" s="22"/>
      <c r="Q2456" s="23"/>
      <c r="R2456" s="23"/>
      <c r="S2456" s="14"/>
    </row>
    <row r="2457" ht="18.75" customHeight="1">
      <c r="A2457" s="7" t="s">
        <v>792</v>
      </c>
      <c r="B2457" s="7" t="s">
        <v>3883</v>
      </c>
      <c r="C2457" s="9">
        <v>26240.0</v>
      </c>
      <c r="D2457" s="9">
        <v>0.0</v>
      </c>
      <c r="E2457" s="9">
        <v>737.0</v>
      </c>
      <c r="F2457" s="7" t="s">
        <v>793</v>
      </c>
      <c r="G2457" s="7" t="s">
        <v>364</v>
      </c>
      <c r="H2457" s="7" t="s">
        <v>365</v>
      </c>
      <c r="I2457" s="7" t="s">
        <v>355</v>
      </c>
      <c r="J2457" s="14"/>
      <c r="O2457" s="22"/>
      <c r="P2457" s="22"/>
      <c r="Q2457" s="23"/>
      <c r="R2457" s="23"/>
      <c r="S2457" s="14"/>
    </row>
    <row r="2458" ht="18.75" customHeight="1">
      <c r="A2458" s="7" t="s">
        <v>817</v>
      </c>
      <c r="B2458" s="7" t="s">
        <v>3883</v>
      </c>
      <c r="C2458" s="9">
        <v>330601.0</v>
      </c>
      <c r="D2458" s="9">
        <v>0.0</v>
      </c>
      <c r="E2458" s="9">
        <v>4704.0</v>
      </c>
      <c r="F2458" s="7" t="s">
        <v>818</v>
      </c>
      <c r="G2458" s="7" t="s">
        <v>364</v>
      </c>
      <c r="H2458" s="7" t="s">
        <v>365</v>
      </c>
      <c r="I2458" s="7" t="s">
        <v>355</v>
      </c>
      <c r="J2458" s="14"/>
      <c r="O2458" s="22"/>
      <c r="P2458" s="22"/>
      <c r="Q2458" s="23"/>
      <c r="R2458" s="23"/>
      <c r="S2458" s="14"/>
    </row>
    <row r="2459" ht="18.75" customHeight="1">
      <c r="A2459" s="7" t="s">
        <v>701</v>
      </c>
      <c r="B2459" s="7" t="s">
        <v>3883</v>
      </c>
      <c r="C2459" s="9">
        <v>9755.0</v>
      </c>
      <c r="D2459" s="9">
        <v>8248.0</v>
      </c>
      <c r="E2459" s="9">
        <v>23.0</v>
      </c>
      <c r="F2459" s="7" t="s">
        <v>702</v>
      </c>
      <c r="G2459" s="7" t="s">
        <v>353</v>
      </c>
      <c r="H2459" s="7" t="s">
        <v>378</v>
      </c>
      <c r="I2459" s="7" t="s">
        <v>355</v>
      </c>
      <c r="J2459" s="14"/>
      <c r="O2459" s="22"/>
      <c r="P2459" s="22"/>
      <c r="Q2459" s="23"/>
      <c r="R2459" s="23"/>
      <c r="S2459" s="14"/>
    </row>
    <row r="2460" ht="18.75" customHeight="1">
      <c r="A2460" s="7" t="s">
        <v>713</v>
      </c>
      <c r="B2460" s="7" t="s">
        <v>3883</v>
      </c>
      <c r="C2460" s="9">
        <v>199224.0</v>
      </c>
      <c r="D2460" s="9">
        <v>0.0</v>
      </c>
      <c r="E2460" s="9">
        <v>10571.0</v>
      </c>
      <c r="F2460" s="7" t="s">
        <v>714</v>
      </c>
      <c r="G2460" s="7" t="s">
        <v>353</v>
      </c>
      <c r="H2460" s="7" t="s">
        <v>378</v>
      </c>
      <c r="I2460" s="7" t="s">
        <v>355</v>
      </c>
      <c r="J2460" s="14"/>
      <c r="O2460" s="22"/>
      <c r="P2460" s="22"/>
      <c r="Q2460" s="23"/>
      <c r="R2460" s="23"/>
      <c r="S2460" s="14"/>
    </row>
    <row r="2461" ht="18.75" customHeight="1">
      <c r="A2461" s="7" t="s">
        <v>713</v>
      </c>
      <c r="B2461" s="7" t="s">
        <v>3883</v>
      </c>
      <c r="C2461" s="9">
        <v>197947.0</v>
      </c>
      <c r="D2461" s="9">
        <v>172279.0</v>
      </c>
      <c r="E2461" s="9">
        <v>445.0</v>
      </c>
      <c r="F2461" s="7" t="s">
        <v>714</v>
      </c>
      <c r="G2461" s="7" t="s">
        <v>353</v>
      </c>
      <c r="H2461" s="7" t="s">
        <v>378</v>
      </c>
      <c r="I2461" s="7" t="s">
        <v>355</v>
      </c>
      <c r="J2461" s="14"/>
      <c r="O2461" s="22"/>
      <c r="P2461" s="22"/>
      <c r="Q2461" s="23"/>
      <c r="R2461" s="23"/>
      <c r="S2461" s="14"/>
    </row>
    <row r="2462" ht="18.75" customHeight="1">
      <c r="A2462" s="7" t="s">
        <v>713</v>
      </c>
      <c r="B2462" s="7" t="s">
        <v>3883</v>
      </c>
      <c r="C2462" s="9">
        <v>421994.0</v>
      </c>
      <c r="D2462" s="9">
        <v>312083.0</v>
      </c>
      <c r="E2462" s="9">
        <v>217.0</v>
      </c>
      <c r="F2462" s="7" t="s">
        <v>714</v>
      </c>
      <c r="G2462" s="7" t="s">
        <v>353</v>
      </c>
      <c r="H2462" s="7" t="s">
        <v>378</v>
      </c>
      <c r="I2462" s="7" t="s">
        <v>355</v>
      </c>
      <c r="J2462" s="14"/>
      <c r="O2462" s="22"/>
      <c r="P2462" s="22"/>
      <c r="Q2462" s="23"/>
      <c r="R2462" s="23"/>
      <c r="S2462" s="14"/>
    </row>
    <row r="2463" ht="18.75" customHeight="1">
      <c r="A2463" s="7" t="s">
        <v>754</v>
      </c>
      <c r="B2463" s="7" t="s">
        <v>3883</v>
      </c>
      <c r="C2463" s="9">
        <v>1225831.0</v>
      </c>
      <c r="D2463" s="9">
        <v>0.0</v>
      </c>
      <c r="E2463" s="9">
        <v>20617.0</v>
      </c>
      <c r="F2463" s="7" t="s">
        <v>755</v>
      </c>
      <c r="G2463" s="7" t="s">
        <v>353</v>
      </c>
      <c r="H2463" s="7" t="s">
        <v>378</v>
      </c>
      <c r="I2463" s="7" t="s">
        <v>355</v>
      </c>
      <c r="J2463" s="14"/>
      <c r="O2463" s="22"/>
      <c r="P2463" s="22"/>
      <c r="Q2463" s="23"/>
      <c r="R2463" s="23"/>
      <c r="S2463" s="14"/>
    </row>
    <row r="2464" ht="18.75" customHeight="1">
      <c r="A2464" s="7" t="s">
        <v>754</v>
      </c>
      <c r="B2464" s="7" t="s">
        <v>3883</v>
      </c>
      <c r="C2464" s="9">
        <v>81659.0</v>
      </c>
      <c r="D2464" s="9">
        <v>0.0</v>
      </c>
      <c r="E2464" s="9">
        <v>9267.0</v>
      </c>
      <c r="F2464" s="7" t="s">
        <v>755</v>
      </c>
      <c r="G2464" s="7" t="s">
        <v>353</v>
      </c>
      <c r="H2464" s="7" t="s">
        <v>378</v>
      </c>
      <c r="I2464" s="7" t="s">
        <v>355</v>
      </c>
      <c r="J2464" s="14"/>
      <c r="O2464" s="22"/>
      <c r="P2464" s="22"/>
      <c r="Q2464" s="23"/>
      <c r="R2464" s="23"/>
      <c r="S2464" s="14"/>
    </row>
    <row r="2465" ht="18.75" customHeight="1">
      <c r="A2465" s="7" t="s">
        <v>754</v>
      </c>
      <c r="B2465" s="7" t="s">
        <v>3883</v>
      </c>
      <c r="C2465" s="9">
        <v>610007.0</v>
      </c>
      <c r="D2465" s="9">
        <v>538358.0</v>
      </c>
      <c r="E2465" s="9">
        <v>161.0</v>
      </c>
      <c r="F2465" s="7" t="s">
        <v>755</v>
      </c>
      <c r="G2465" s="7" t="s">
        <v>353</v>
      </c>
      <c r="H2465" s="7" t="s">
        <v>378</v>
      </c>
      <c r="I2465" s="7" t="s">
        <v>355</v>
      </c>
      <c r="J2465" s="14"/>
      <c r="O2465" s="22"/>
      <c r="P2465" s="22"/>
      <c r="Q2465" s="23"/>
      <c r="R2465" s="23"/>
      <c r="S2465" s="14"/>
    </row>
    <row r="2466" ht="18.75" customHeight="1">
      <c r="A2466" s="7" t="s">
        <v>754</v>
      </c>
      <c r="B2466" s="7" t="s">
        <v>3883</v>
      </c>
      <c r="C2466" s="9">
        <v>590766.0</v>
      </c>
      <c r="D2466" s="9">
        <v>530757.0</v>
      </c>
      <c r="E2466" s="9">
        <v>190.0</v>
      </c>
      <c r="F2466" s="7" t="s">
        <v>755</v>
      </c>
      <c r="G2466" s="7" t="s">
        <v>353</v>
      </c>
      <c r="H2466" s="7" t="s">
        <v>378</v>
      </c>
      <c r="I2466" s="7" t="s">
        <v>355</v>
      </c>
      <c r="J2466" s="14"/>
      <c r="O2466" s="22"/>
      <c r="P2466" s="22"/>
      <c r="Q2466" s="23"/>
      <c r="R2466" s="23"/>
      <c r="S2466" s="14"/>
    </row>
    <row r="2467" ht="18.75" customHeight="1">
      <c r="A2467" s="7" t="s">
        <v>777</v>
      </c>
      <c r="B2467" s="7" t="s">
        <v>3883</v>
      </c>
      <c r="C2467" s="9">
        <v>541398.0</v>
      </c>
      <c r="D2467" s="9">
        <v>0.0</v>
      </c>
      <c r="E2467" s="9">
        <v>16498.0</v>
      </c>
      <c r="F2467" s="7" t="s">
        <v>778</v>
      </c>
      <c r="G2467" s="7" t="s">
        <v>353</v>
      </c>
      <c r="H2467" s="7" t="s">
        <v>725</v>
      </c>
      <c r="I2467" s="7" t="s">
        <v>355</v>
      </c>
      <c r="J2467" s="14"/>
      <c r="O2467" s="22"/>
      <c r="P2467" s="22"/>
      <c r="Q2467" s="23"/>
      <c r="R2467" s="23"/>
      <c r="S2467" s="14"/>
    </row>
    <row r="2468" ht="18.75" customHeight="1">
      <c r="A2468" s="7" t="s">
        <v>777</v>
      </c>
      <c r="B2468" s="7" t="s">
        <v>3883</v>
      </c>
      <c r="C2468" s="9">
        <v>3690.0</v>
      </c>
      <c r="D2468" s="9">
        <v>0.0</v>
      </c>
      <c r="E2468" s="9">
        <v>601.0</v>
      </c>
      <c r="F2468" s="7" t="s">
        <v>778</v>
      </c>
      <c r="G2468" s="7" t="s">
        <v>353</v>
      </c>
      <c r="H2468" s="7" t="s">
        <v>725</v>
      </c>
      <c r="I2468" s="7" t="s">
        <v>355</v>
      </c>
      <c r="J2468" s="14"/>
      <c r="O2468" s="22"/>
      <c r="P2468" s="22"/>
      <c r="Q2468" s="23"/>
      <c r="R2468" s="23"/>
      <c r="S2468" s="14"/>
    </row>
    <row r="2469" ht="18.75" customHeight="1">
      <c r="A2469" s="7" t="s">
        <v>590</v>
      </c>
      <c r="B2469" s="7" t="s">
        <v>3883</v>
      </c>
      <c r="C2469" s="9">
        <v>484157.0</v>
      </c>
      <c r="D2469" s="9">
        <v>387787.0</v>
      </c>
      <c r="E2469" s="9">
        <v>544.0</v>
      </c>
      <c r="F2469" s="7" t="s">
        <v>591</v>
      </c>
      <c r="G2469" s="7" t="s">
        <v>358</v>
      </c>
      <c r="H2469" s="7" t="s">
        <v>466</v>
      </c>
      <c r="I2469" s="7" t="s">
        <v>355</v>
      </c>
      <c r="J2469" s="14"/>
      <c r="O2469" s="22"/>
      <c r="P2469" s="22"/>
      <c r="Q2469" s="23"/>
      <c r="R2469" s="23"/>
      <c r="S2469" s="14"/>
    </row>
    <row r="2470" ht="18.75" customHeight="1">
      <c r="A2470" s="7" t="s">
        <v>590</v>
      </c>
      <c r="B2470" s="7" t="s">
        <v>3883</v>
      </c>
      <c r="C2470" s="9">
        <v>472897.0</v>
      </c>
      <c r="D2470" s="9">
        <v>0.0</v>
      </c>
      <c r="E2470" s="9">
        <v>11874.0</v>
      </c>
      <c r="F2470" s="7" t="s">
        <v>591</v>
      </c>
      <c r="G2470" s="7" t="s">
        <v>358</v>
      </c>
      <c r="H2470" s="7" t="s">
        <v>466</v>
      </c>
      <c r="I2470" s="7" t="s">
        <v>355</v>
      </c>
      <c r="J2470" s="14"/>
      <c r="O2470" s="22"/>
      <c r="P2470" s="22"/>
      <c r="Q2470" s="23"/>
      <c r="R2470" s="23"/>
      <c r="S2470" s="14"/>
    </row>
    <row r="2471" ht="18.75" customHeight="1">
      <c r="A2471" s="7" t="s">
        <v>886</v>
      </c>
      <c r="B2471" s="7" t="s">
        <v>3883</v>
      </c>
      <c r="C2471" s="9">
        <v>781840.0</v>
      </c>
      <c r="D2471" s="9">
        <v>611997.0</v>
      </c>
      <c r="E2471" s="9">
        <v>648.0</v>
      </c>
      <c r="F2471" s="7" t="s">
        <v>887</v>
      </c>
      <c r="G2471" s="7" t="s">
        <v>358</v>
      </c>
      <c r="H2471" s="7" t="s">
        <v>466</v>
      </c>
      <c r="I2471" s="7" t="s">
        <v>355</v>
      </c>
      <c r="J2471" s="14"/>
      <c r="O2471" s="22"/>
      <c r="P2471" s="22"/>
      <c r="Q2471" s="23"/>
      <c r="R2471" s="23"/>
      <c r="S2471" s="14"/>
    </row>
    <row r="2472" ht="18.75" customHeight="1">
      <c r="A2472" s="7" t="s">
        <v>886</v>
      </c>
      <c r="B2472" s="7" t="s">
        <v>3883</v>
      </c>
      <c r="C2472" s="9">
        <v>619107.0</v>
      </c>
      <c r="D2472" s="9">
        <v>267601.0</v>
      </c>
      <c r="E2472" s="9">
        <v>708.0</v>
      </c>
      <c r="F2472" s="7" t="s">
        <v>887</v>
      </c>
      <c r="G2472" s="7" t="s">
        <v>358</v>
      </c>
      <c r="H2472" s="7" t="s">
        <v>466</v>
      </c>
      <c r="I2472" s="7" t="s">
        <v>355</v>
      </c>
      <c r="J2472" s="14"/>
      <c r="O2472" s="22"/>
      <c r="P2472" s="22"/>
      <c r="Q2472" s="23"/>
      <c r="R2472" s="23"/>
      <c r="S2472" s="14"/>
    </row>
    <row r="2473" ht="18.75" customHeight="1">
      <c r="A2473" s="7" t="s">
        <v>985</v>
      </c>
      <c r="B2473" s="7" t="s">
        <v>3883</v>
      </c>
      <c r="C2473" s="9">
        <v>895048.0</v>
      </c>
      <c r="D2473" s="9">
        <v>811308.0</v>
      </c>
      <c r="E2473" s="9">
        <v>383.0</v>
      </c>
      <c r="F2473" s="7" t="s">
        <v>986</v>
      </c>
      <c r="G2473" s="7" t="s">
        <v>358</v>
      </c>
      <c r="H2473" s="7" t="s">
        <v>466</v>
      </c>
      <c r="I2473" s="7" t="s">
        <v>355</v>
      </c>
      <c r="J2473" s="14"/>
      <c r="O2473" s="22"/>
      <c r="P2473" s="22"/>
      <c r="Q2473" s="23"/>
      <c r="R2473" s="23"/>
      <c r="S2473" s="14"/>
    </row>
    <row r="2474" ht="18.75" customHeight="1">
      <c r="A2474" s="7" t="s">
        <v>985</v>
      </c>
      <c r="B2474" s="7" t="s">
        <v>3883</v>
      </c>
      <c r="C2474" s="9">
        <v>628383.0</v>
      </c>
      <c r="D2474" s="9">
        <v>580180.0</v>
      </c>
      <c r="E2474" s="9">
        <v>294.0</v>
      </c>
      <c r="F2474" s="7" t="s">
        <v>986</v>
      </c>
      <c r="G2474" s="7" t="s">
        <v>358</v>
      </c>
      <c r="H2474" s="7" t="s">
        <v>466</v>
      </c>
      <c r="I2474" s="7" t="s">
        <v>355</v>
      </c>
      <c r="J2474" s="14"/>
      <c r="O2474" s="22"/>
      <c r="P2474" s="22"/>
      <c r="Q2474" s="23"/>
      <c r="R2474" s="23"/>
      <c r="S2474" s="14"/>
    </row>
    <row r="2475" ht="18.75" customHeight="1">
      <c r="A2475" s="7" t="s">
        <v>834</v>
      </c>
      <c r="B2475" s="7" t="s">
        <v>3883</v>
      </c>
      <c r="C2475" s="9">
        <v>208205.0</v>
      </c>
      <c r="D2475" s="9">
        <v>1947.0</v>
      </c>
      <c r="E2475" s="9">
        <v>10694.0</v>
      </c>
      <c r="F2475" s="7" t="s">
        <v>835</v>
      </c>
      <c r="G2475" s="7" t="s">
        <v>404</v>
      </c>
      <c r="H2475" s="7" t="s">
        <v>405</v>
      </c>
      <c r="I2475" s="7" t="s">
        <v>355</v>
      </c>
      <c r="J2475" s="14"/>
      <c r="O2475" s="22"/>
      <c r="P2475" s="22"/>
      <c r="Q2475" s="23"/>
      <c r="R2475" s="23"/>
      <c r="S2475" s="14"/>
    </row>
    <row r="2476" ht="18.75" customHeight="1">
      <c r="A2476" s="7" t="s">
        <v>834</v>
      </c>
      <c r="B2476" s="7" t="s">
        <v>3883</v>
      </c>
      <c r="C2476" s="9">
        <v>60320.0</v>
      </c>
      <c r="D2476" s="9">
        <v>37243.0</v>
      </c>
      <c r="E2476" s="9">
        <v>38.0</v>
      </c>
      <c r="F2476" s="7" t="s">
        <v>835</v>
      </c>
      <c r="G2476" s="7" t="s">
        <v>404</v>
      </c>
      <c r="H2476" s="7" t="s">
        <v>405</v>
      </c>
      <c r="I2476" s="7" t="s">
        <v>355</v>
      </c>
      <c r="J2476" s="14"/>
      <c r="O2476" s="22"/>
      <c r="P2476" s="22"/>
      <c r="Q2476" s="23"/>
      <c r="R2476" s="23"/>
      <c r="S2476" s="14"/>
    </row>
    <row r="2477" ht="18.75" customHeight="1">
      <c r="A2477" s="7" t="s">
        <v>834</v>
      </c>
      <c r="B2477" s="7" t="s">
        <v>3883</v>
      </c>
      <c r="C2477" s="9">
        <v>100182.0</v>
      </c>
      <c r="D2477" s="9">
        <v>68268.0</v>
      </c>
      <c r="E2477" s="9">
        <v>37.0</v>
      </c>
      <c r="F2477" s="7" t="s">
        <v>835</v>
      </c>
      <c r="G2477" s="7" t="s">
        <v>404</v>
      </c>
      <c r="H2477" s="7" t="s">
        <v>405</v>
      </c>
      <c r="I2477" s="7" t="s">
        <v>355</v>
      </c>
      <c r="J2477" s="14"/>
      <c r="O2477" s="22"/>
      <c r="P2477" s="22"/>
      <c r="Q2477" s="23"/>
      <c r="R2477" s="23"/>
      <c r="S2477" s="14"/>
    </row>
    <row r="2478" ht="18.75" customHeight="1">
      <c r="A2478" s="7" t="s">
        <v>834</v>
      </c>
      <c r="B2478" s="7" t="s">
        <v>3883</v>
      </c>
      <c r="C2478" s="9">
        <v>7007.0</v>
      </c>
      <c r="D2478" s="9">
        <v>0.0</v>
      </c>
      <c r="E2478" s="9">
        <v>302.0</v>
      </c>
      <c r="F2478" s="7" t="s">
        <v>835</v>
      </c>
      <c r="G2478" s="7" t="s">
        <v>404</v>
      </c>
      <c r="H2478" s="7" t="s">
        <v>405</v>
      </c>
      <c r="I2478" s="7" t="s">
        <v>355</v>
      </c>
      <c r="J2478" s="14"/>
      <c r="O2478" s="22"/>
      <c r="P2478" s="22"/>
      <c r="Q2478" s="23"/>
      <c r="R2478" s="23"/>
      <c r="S2478" s="14"/>
    </row>
    <row r="2479" ht="18.75" customHeight="1">
      <c r="A2479" s="7" t="s">
        <v>941</v>
      </c>
      <c r="B2479" s="7" t="s">
        <v>3883</v>
      </c>
      <c r="C2479" s="9">
        <v>98171.0</v>
      </c>
      <c r="D2479" s="9">
        <v>88535.0</v>
      </c>
      <c r="E2479" s="9">
        <v>73.0</v>
      </c>
      <c r="F2479" s="7" t="s">
        <v>942</v>
      </c>
      <c r="G2479" s="7" t="s">
        <v>404</v>
      </c>
      <c r="H2479" s="7" t="s">
        <v>405</v>
      </c>
      <c r="I2479" s="7" t="s">
        <v>355</v>
      </c>
      <c r="J2479" s="14"/>
      <c r="O2479" s="22"/>
      <c r="P2479" s="22"/>
      <c r="Q2479" s="23"/>
      <c r="R2479" s="23"/>
      <c r="S2479" s="14"/>
    </row>
    <row r="2480" ht="18.75" customHeight="1">
      <c r="A2480" s="7" t="s">
        <v>941</v>
      </c>
      <c r="B2480" s="7" t="s">
        <v>3883</v>
      </c>
      <c r="C2480" s="9">
        <v>80843.0</v>
      </c>
      <c r="D2480" s="9">
        <v>0.0</v>
      </c>
      <c r="E2480" s="9">
        <v>1685.0</v>
      </c>
      <c r="F2480" s="7" t="s">
        <v>942</v>
      </c>
      <c r="G2480" s="7" t="s">
        <v>404</v>
      </c>
      <c r="H2480" s="7" t="s">
        <v>405</v>
      </c>
      <c r="I2480" s="7" t="s">
        <v>355</v>
      </c>
      <c r="J2480" s="14"/>
      <c r="O2480" s="22"/>
      <c r="P2480" s="22"/>
      <c r="Q2480" s="23"/>
      <c r="R2480" s="23"/>
      <c r="S2480" s="14"/>
    </row>
    <row r="2481" ht="18.75" customHeight="1">
      <c r="A2481" s="7" t="s">
        <v>941</v>
      </c>
      <c r="B2481" s="7" t="s">
        <v>3883</v>
      </c>
      <c r="C2481" s="9">
        <v>43604.0</v>
      </c>
      <c r="D2481" s="9">
        <v>24723.0</v>
      </c>
      <c r="E2481" s="9">
        <v>35.0</v>
      </c>
      <c r="F2481" s="7" t="s">
        <v>942</v>
      </c>
      <c r="G2481" s="7" t="s">
        <v>404</v>
      </c>
      <c r="H2481" s="7" t="s">
        <v>405</v>
      </c>
      <c r="I2481" s="7" t="s">
        <v>355</v>
      </c>
      <c r="J2481" s="14"/>
      <c r="O2481" s="22"/>
      <c r="P2481" s="22"/>
      <c r="Q2481" s="23"/>
      <c r="R2481" s="23"/>
      <c r="S2481" s="14"/>
    </row>
    <row r="2482" ht="18.75" customHeight="1">
      <c r="A2482" s="7" t="s">
        <v>939</v>
      </c>
      <c r="B2482" s="7" t="s">
        <v>3883</v>
      </c>
      <c r="C2482" s="9">
        <v>148137.0</v>
      </c>
      <c r="D2482" s="9">
        <v>132433.0</v>
      </c>
      <c r="E2482" s="9">
        <v>93.0</v>
      </c>
      <c r="F2482" s="7" t="s">
        <v>940</v>
      </c>
      <c r="G2482" s="7" t="s">
        <v>404</v>
      </c>
      <c r="H2482" s="7" t="s">
        <v>405</v>
      </c>
      <c r="I2482" s="7" t="s">
        <v>355</v>
      </c>
      <c r="J2482" s="14"/>
      <c r="O2482" s="22"/>
      <c r="P2482" s="22"/>
      <c r="Q2482" s="23"/>
      <c r="R2482" s="23"/>
      <c r="S2482" s="14"/>
    </row>
    <row r="2483" ht="18.75" customHeight="1">
      <c r="A2483" s="7" t="s">
        <v>939</v>
      </c>
      <c r="B2483" s="7" t="s">
        <v>3883</v>
      </c>
      <c r="C2483" s="9">
        <v>82414.0</v>
      </c>
      <c r="D2483" s="9">
        <v>0.0</v>
      </c>
      <c r="E2483" s="9">
        <v>789.0</v>
      </c>
      <c r="F2483" s="7" t="s">
        <v>940</v>
      </c>
      <c r="G2483" s="7" t="s">
        <v>404</v>
      </c>
      <c r="H2483" s="7" t="s">
        <v>405</v>
      </c>
      <c r="I2483" s="7" t="s">
        <v>355</v>
      </c>
      <c r="J2483" s="14"/>
      <c r="O2483" s="22"/>
      <c r="P2483" s="22"/>
      <c r="Q2483" s="23"/>
      <c r="R2483" s="23"/>
      <c r="S2483" s="14"/>
    </row>
    <row r="2484" ht="18.75" customHeight="1">
      <c r="A2484" s="7" t="s">
        <v>939</v>
      </c>
      <c r="B2484" s="7" t="s">
        <v>3883</v>
      </c>
      <c r="C2484" s="9">
        <v>62360.0</v>
      </c>
      <c r="D2484" s="9">
        <v>51340.0</v>
      </c>
      <c r="E2484" s="9">
        <v>28.0</v>
      </c>
      <c r="F2484" s="7" t="s">
        <v>940</v>
      </c>
      <c r="G2484" s="7" t="s">
        <v>404</v>
      </c>
      <c r="H2484" s="7" t="s">
        <v>405</v>
      </c>
      <c r="I2484" s="7" t="s">
        <v>355</v>
      </c>
      <c r="J2484" s="14"/>
      <c r="O2484" s="22"/>
      <c r="P2484" s="22"/>
      <c r="Q2484" s="23"/>
      <c r="R2484" s="23"/>
      <c r="S2484" s="14"/>
    </row>
    <row r="2485" ht="18.75" customHeight="1">
      <c r="A2485" s="7" t="s">
        <v>758</v>
      </c>
      <c r="B2485" s="7" t="s">
        <v>3883</v>
      </c>
      <c r="C2485" s="9">
        <v>197529.0</v>
      </c>
      <c r="D2485" s="9">
        <v>100500.0</v>
      </c>
      <c r="E2485" s="9">
        <v>95.0</v>
      </c>
      <c r="F2485" s="7" t="s">
        <v>759</v>
      </c>
      <c r="G2485" s="7" t="s">
        <v>404</v>
      </c>
      <c r="H2485" s="7" t="s">
        <v>760</v>
      </c>
      <c r="I2485" s="7" t="s">
        <v>355</v>
      </c>
      <c r="J2485" s="14"/>
      <c r="O2485" s="22"/>
      <c r="P2485" s="22"/>
      <c r="Q2485" s="23"/>
      <c r="R2485" s="23"/>
      <c r="S2485" s="14"/>
    </row>
    <row r="2486" ht="18.75" customHeight="1">
      <c r="A2486" s="7" t="s">
        <v>758</v>
      </c>
      <c r="B2486" s="7" t="s">
        <v>3883</v>
      </c>
      <c r="C2486" s="9">
        <v>170541.0</v>
      </c>
      <c r="D2486" s="9">
        <v>92285.0</v>
      </c>
      <c r="E2486" s="9">
        <v>57.0</v>
      </c>
      <c r="F2486" s="7" t="s">
        <v>759</v>
      </c>
      <c r="G2486" s="7" t="s">
        <v>404</v>
      </c>
      <c r="H2486" s="7" t="s">
        <v>760</v>
      </c>
      <c r="I2486" s="7" t="s">
        <v>355</v>
      </c>
      <c r="J2486" s="14"/>
      <c r="O2486" s="22"/>
      <c r="P2486" s="22"/>
      <c r="Q2486" s="23"/>
      <c r="R2486" s="23"/>
      <c r="S2486" s="14"/>
    </row>
    <row r="2487" ht="18.75" customHeight="1">
      <c r="A2487" s="7" t="s">
        <v>351</v>
      </c>
      <c r="B2487" s="7" t="s">
        <v>3883</v>
      </c>
      <c r="C2487" s="9">
        <v>23838.0</v>
      </c>
      <c r="D2487" s="9">
        <v>0.0</v>
      </c>
      <c r="E2487" s="9">
        <v>2507.0</v>
      </c>
      <c r="F2487" s="7" t="s">
        <v>352</v>
      </c>
      <c r="G2487" s="7" t="s">
        <v>353</v>
      </c>
      <c r="H2487" s="7" t="s">
        <v>354</v>
      </c>
      <c r="I2487" s="7" t="s">
        <v>410</v>
      </c>
      <c r="J2487" s="14"/>
      <c r="O2487" s="22"/>
      <c r="P2487" s="22"/>
      <c r="Q2487" s="23"/>
      <c r="R2487" s="23"/>
      <c r="S2487" s="14"/>
    </row>
    <row r="2488" ht="18.75" customHeight="1">
      <c r="A2488" s="7" t="s">
        <v>351</v>
      </c>
      <c r="B2488" s="7" t="s">
        <v>3883</v>
      </c>
      <c r="C2488" s="9">
        <v>159115.0</v>
      </c>
      <c r="D2488" s="9">
        <v>0.0</v>
      </c>
      <c r="E2488" s="9">
        <v>3966.0</v>
      </c>
      <c r="F2488" s="7" t="s">
        <v>352</v>
      </c>
      <c r="G2488" s="7" t="s">
        <v>353</v>
      </c>
      <c r="H2488" s="7" t="s">
        <v>354</v>
      </c>
      <c r="I2488" s="7" t="s">
        <v>410</v>
      </c>
      <c r="J2488" s="14"/>
      <c r="O2488" s="22"/>
      <c r="P2488" s="22"/>
      <c r="Q2488" s="23"/>
      <c r="R2488" s="23"/>
      <c r="S2488" s="14"/>
    </row>
    <row r="2489" ht="18.75" customHeight="1">
      <c r="A2489" s="7" t="s">
        <v>351</v>
      </c>
      <c r="B2489" s="7" t="s">
        <v>3883</v>
      </c>
      <c r="C2489" s="9">
        <v>182695.0</v>
      </c>
      <c r="D2489" s="9">
        <v>2452.0</v>
      </c>
      <c r="E2489" s="9">
        <v>139.0</v>
      </c>
      <c r="F2489" s="7" t="s">
        <v>352</v>
      </c>
      <c r="G2489" s="7" t="s">
        <v>353</v>
      </c>
      <c r="H2489" s="7" t="s">
        <v>354</v>
      </c>
      <c r="I2489" s="7" t="s">
        <v>410</v>
      </c>
      <c r="J2489" s="14"/>
      <c r="O2489" s="22"/>
      <c r="P2489" s="22"/>
      <c r="Q2489" s="23"/>
      <c r="R2489" s="23"/>
      <c r="S2489" s="14"/>
    </row>
    <row r="2490" ht="18.75" customHeight="1">
      <c r="A2490" s="7" t="s">
        <v>351</v>
      </c>
      <c r="B2490" s="7" t="s">
        <v>3883</v>
      </c>
      <c r="C2490" s="9">
        <v>440429.0</v>
      </c>
      <c r="D2490" s="9">
        <v>6092.0</v>
      </c>
      <c r="E2490" s="9">
        <v>303.0</v>
      </c>
      <c r="F2490" s="7" t="s">
        <v>352</v>
      </c>
      <c r="G2490" s="7" t="s">
        <v>353</v>
      </c>
      <c r="H2490" s="7" t="s">
        <v>354</v>
      </c>
      <c r="I2490" s="7" t="s">
        <v>410</v>
      </c>
      <c r="J2490" s="14"/>
      <c r="O2490" s="22"/>
      <c r="P2490" s="22"/>
      <c r="Q2490" s="23"/>
      <c r="R2490" s="23"/>
      <c r="S2490" s="14"/>
    </row>
    <row r="2491" ht="18.75" customHeight="1">
      <c r="A2491" s="7" t="s">
        <v>351</v>
      </c>
      <c r="B2491" s="7" t="s">
        <v>3883</v>
      </c>
      <c r="C2491" s="9">
        <v>57141.0</v>
      </c>
      <c r="D2491" s="9">
        <v>0.0</v>
      </c>
      <c r="E2491" s="9">
        <v>6.0</v>
      </c>
      <c r="F2491" s="7" t="s">
        <v>352</v>
      </c>
      <c r="G2491" s="7" t="s">
        <v>353</v>
      </c>
      <c r="H2491" s="7" t="s">
        <v>354</v>
      </c>
      <c r="I2491" s="7" t="s">
        <v>410</v>
      </c>
      <c r="J2491" s="14"/>
      <c r="O2491" s="22"/>
      <c r="P2491" s="22"/>
      <c r="Q2491" s="23"/>
      <c r="R2491" s="23"/>
      <c r="S2491" s="14"/>
    </row>
    <row r="2492" ht="18.75" customHeight="1">
      <c r="A2492" s="7" t="s">
        <v>351</v>
      </c>
      <c r="B2492" s="7" t="s">
        <v>3883</v>
      </c>
      <c r="C2492" s="9">
        <v>144339.0</v>
      </c>
      <c r="D2492" s="9">
        <v>0.0</v>
      </c>
      <c r="E2492" s="9">
        <v>4181.0</v>
      </c>
      <c r="F2492" s="7" t="s">
        <v>352</v>
      </c>
      <c r="G2492" s="7" t="s">
        <v>353</v>
      </c>
      <c r="H2492" s="7" t="s">
        <v>354</v>
      </c>
      <c r="I2492" s="7" t="s">
        <v>410</v>
      </c>
      <c r="J2492" s="14"/>
      <c r="O2492" s="22"/>
      <c r="P2492" s="22"/>
      <c r="Q2492" s="23"/>
      <c r="R2492" s="23"/>
      <c r="S2492" s="14"/>
    </row>
    <row r="2493" ht="18.75" customHeight="1">
      <c r="A2493" s="7" t="s">
        <v>351</v>
      </c>
      <c r="B2493" s="7" t="s">
        <v>3883</v>
      </c>
      <c r="C2493" s="9">
        <v>482630.0</v>
      </c>
      <c r="D2493" s="9">
        <v>13633.0</v>
      </c>
      <c r="E2493" s="9">
        <v>186.0</v>
      </c>
      <c r="F2493" s="7" t="s">
        <v>352</v>
      </c>
      <c r="G2493" s="7" t="s">
        <v>353</v>
      </c>
      <c r="H2493" s="7" t="s">
        <v>354</v>
      </c>
      <c r="I2493" s="7" t="s">
        <v>410</v>
      </c>
      <c r="J2493" s="14"/>
      <c r="O2493" s="22"/>
      <c r="P2493" s="22"/>
      <c r="Q2493" s="23"/>
      <c r="R2493" s="23"/>
      <c r="S2493" s="14"/>
    </row>
    <row r="2494" ht="18.75" customHeight="1">
      <c r="A2494" s="7" t="s">
        <v>351</v>
      </c>
      <c r="B2494" s="7" t="s">
        <v>3883</v>
      </c>
      <c r="C2494" s="9">
        <v>299992.0</v>
      </c>
      <c r="D2494" s="9">
        <v>4371.0</v>
      </c>
      <c r="E2494" s="9">
        <v>308.0</v>
      </c>
      <c r="F2494" s="7" t="s">
        <v>352</v>
      </c>
      <c r="G2494" s="7" t="s">
        <v>353</v>
      </c>
      <c r="H2494" s="7" t="s">
        <v>354</v>
      </c>
      <c r="I2494" s="7" t="s">
        <v>410</v>
      </c>
      <c r="J2494" s="14"/>
      <c r="O2494" s="22"/>
      <c r="P2494" s="22"/>
      <c r="Q2494" s="23"/>
      <c r="R2494" s="23"/>
      <c r="S2494" s="14"/>
    </row>
    <row r="2495" ht="18.75" customHeight="1">
      <c r="A2495" s="7" t="s">
        <v>351</v>
      </c>
      <c r="B2495" s="7" t="s">
        <v>3883</v>
      </c>
      <c r="C2495" s="9">
        <v>55662.0</v>
      </c>
      <c r="D2495" s="9">
        <v>0.0</v>
      </c>
      <c r="E2495" s="9">
        <v>2.0</v>
      </c>
      <c r="F2495" s="7" t="s">
        <v>352</v>
      </c>
      <c r="G2495" s="7" t="s">
        <v>353</v>
      </c>
      <c r="H2495" s="7" t="s">
        <v>354</v>
      </c>
      <c r="I2495" s="7" t="s">
        <v>410</v>
      </c>
      <c r="J2495" s="14"/>
      <c r="O2495" s="22"/>
      <c r="P2495" s="22"/>
      <c r="Q2495" s="23"/>
      <c r="R2495" s="23"/>
      <c r="S2495" s="14"/>
    </row>
    <row r="2496" ht="18.75" customHeight="1">
      <c r="A2496" s="7" t="s">
        <v>351</v>
      </c>
      <c r="B2496" s="7" t="s">
        <v>3883</v>
      </c>
      <c r="C2496" s="9">
        <v>462824.0</v>
      </c>
      <c r="D2496" s="9">
        <v>36565.0</v>
      </c>
      <c r="E2496" s="9">
        <v>13278.0</v>
      </c>
      <c r="F2496" s="7" t="s">
        <v>352</v>
      </c>
      <c r="G2496" s="7" t="s">
        <v>353</v>
      </c>
      <c r="H2496" s="7" t="s">
        <v>354</v>
      </c>
      <c r="I2496" s="7" t="s">
        <v>410</v>
      </c>
      <c r="J2496" s="14"/>
      <c r="O2496" s="22"/>
      <c r="P2496" s="22"/>
      <c r="Q2496" s="23"/>
      <c r="R2496" s="23"/>
      <c r="S2496" s="14"/>
    </row>
    <row r="2497" ht="18.75" customHeight="1">
      <c r="A2497" s="7" t="s">
        <v>351</v>
      </c>
      <c r="B2497" s="7" t="s">
        <v>3883</v>
      </c>
      <c r="C2497" s="9">
        <v>387182.0</v>
      </c>
      <c r="D2497" s="9">
        <v>0.0</v>
      </c>
      <c r="E2497" s="9">
        <v>7155.0</v>
      </c>
      <c r="F2497" s="7" t="s">
        <v>352</v>
      </c>
      <c r="G2497" s="7" t="s">
        <v>353</v>
      </c>
      <c r="H2497" s="7" t="s">
        <v>354</v>
      </c>
      <c r="I2497" s="7" t="s">
        <v>410</v>
      </c>
      <c r="J2497" s="14"/>
      <c r="O2497" s="22"/>
      <c r="P2497" s="22"/>
      <c r="Q2497" s="23"/>
      <c r="R2497" s="23"/>
      <c r="S2497" s="14"/>
    </row>
    <row r="2498" ht="18.75" customHeight="1">
      <c r="A2498" s="7" t="s">
        <v>351</v>
      </c>
      <c r="B2498" s="7" t="s">
        <v>3883</v>
      </c>
      <c r="C2498" s="9">
        <v>414212.0</v>
      </c>
      <c r="D2498" s="9">
        <v>0.0</v>
      </c>
      <c r="E2498" s="9">
        <v>7538.0</v>
      </c>
      <c r="F2498" s="7" t="s">
        <v>352</v>
      </c>
      <c r="G2498" s="7" t="s">
        <v>353</v>
      </c>
      <c r="H2498" s="7" t="s">
        <v>354</v>
      </c>
      <c r="I2498" s="7" t="s">
        <v>410</v>
      </c>
      <c r="J2498" s="14"/>
      <c r="O2498" s="22"/>
      <c r="P2498" s="22"/>
      <c r="Q2498" s="23"/>
      <c r="R2498" s="23"/>
      <c r="S2498" s="14"/>
    </row>
    <row r="2499" ht="18.75" customHeight="1">
      <c r="A2499" s="7" t="s">
        <v>351</v>
      </c>
      <c r="B2499" s="7" t="s">
        <v>3883</v>
      </c>
      <c r="C2499" s="9">
        <v>414659.0</v>
      </c>
      <c r="D2499" s="9">
        <v>0.0</v>
      </c>
      <c r="E2499" s="9">
        <v>7338.0</v>
      </c>
      <c r="F2499" s="7" t="s">
        <v>352</v>
      </c>
      <c r="G2499" s="7" t="s">
        <v>353</v>
      </c>
      <c r="H2499" s="7" t="s">
        <v>354</v>
      </c>
      <c r="I2499" s="7" t="s">
        <v>410</v>
      </c>
      <c r="J2499" s="14"/>
      <c r="O2499" s="22"/>
      <c r="P2499" s="22"/>
      <c r="Q2499" s="23"/>
      <c r="R2499" s="23"/>
      <c r="S2499" s="14"/>
    </row>
    <row r="2500" ht="18.75" customHeight="1">
      <c r="A2500" s="7" t="s">
        <v>351</v>
      </c>
      <c r="B2500" s="7" t="s">
        <v>3883</v>
      </c>
      <c r="C2500" s="9">
        <v>421106.0</v>
      </c>
      <c r="D2500" s="9">
        <v>0.0</v>
      </c>
      <c r="E2500" s="9">
        <v>7377.0</v>
      </c>
      <c r="F2500" s="7" t="s">
        <v>352</v>
      </c>
      <c r="G2500" s="7" t="s">
        <v>353</v>
      </c>
      <c r="H2500" s="7" t="s">
        <v>354</v>
      </c>
      <c r="I2500" s="7" t="s">
        <v>410</v>
      </c>
      <c r="J2500" s="14"/>
      <c r="O2500" s="22"/>
      <c r="P2500" s="22"/>
      <c r="Q2500" s="23"/>
      <c r="R2500" s="23"/>
      <c r="S2500" s="14"/>
    </row>
    <row r="2501" ht="18.75" customHeight="1">
      <c r="A2501" s="7" t="s">
        <v>351</v>
      </c>
      <c r="B2501" s="7" t="s">
        <v>3883</v>
      </c>
      <c r="C2501" s="9">
        <v>414816.0</v>
      </c>
      <c r="D2501" s="9">
        <v>0.0</v>
      </c>
      <c r="E2501" s="9">
        <v>7451.0</v>
      </c>
      <c r="F2501" s="7" t="s">
        <v>352</v>
      </c>
      <c r="G2501" s="7" t="s">
        <v>353</v>
      </c>
      <c r="H2501" s="7" t="s">
        <v>354</v>
      </c>
      <c r="I2501" s="7" t="s">
        <v>410</v>
      </c>
      <c r="J2501" s="14"/>
      <c r="O2501" s="22"/>
      <c r="P2501" s="22"/>
      <c r="Q2501" s="23"/>
      <c r="R2501" s="23"/>
      <c r="S2501" s="14"/>
    </row>
    <row r="2502" ht="18.75" customHeight="1">
      <c r="A2502" s="7" t="s">
        <v>351</v>
      </c>
      <c r="B2502" s="7" t="s">
        <v>3883</v>
      </c>
      <c r="C2502" s="9">
        <v>420704.0</v>
      </c>
      <c r="D2502" s="9">
        <v>0.0</v>
      </c>
      <c r="E2502" s="9">
        <v>7205.0</v>
      </c>
      <c r="F2502" s="7" t="s">
        <v>352</v>
      </c>
      <c r="G2502" s="7" t="s">
        <v>353</v>
      </c>
      <c r="H2502" s="7" t="s">
        <v>354</v>
      </c>
      <c r="I2502" s="7" t="s">
        <v>410</v>
      </c>
      <c r="J2502" s="14"/>
      <c r="O2502" s="22"/>
      <c r="P2502" s="22"/>
      <c r="Q2502" s="23"/>
      <c r="R2502" s="23"/>
      <c r="S2502" s="14"/>
    </row>
    <row r="2503" ht="18.75" customHeight="1">
      <c r="A2503" s="7" t="s">
        <v>351</v>
      </c>
      <c r="B2503" s="7" t="s">
        <v>3883</v>
      </c>
      <c r="C2503" s="9">
        <v>430469.0</v>
      </c>
      <c r="D2503" s="9">
        <v>0.0</v>
      </c>
      <c r="E2503" s="9">
        <v>7500.0</v>
      </c>
      <c r="F2503" s="7" t="s">
        <v>352</v>
      </c>
      <c r="G2503" s="7" t="s">
        <v>353</v>
      </c>
      <c r="H2503" s="7" t="s">
        <v>354</v>
      </c>
      <c r="I2503" s="7" t="s">
        <v>410</v>
      </c>
      <c r="J2503" s="14"/>
      <c r="O2503" s="22"/>
      <c r="P2503" s="22"/>
      <c r="Q2503" s="23"/>
      <c r="R2503" s="23"/>
      <c r="S2503" s="14"/>
    </row>
    <row r="2504" ht="18.75" customHeight="1">
      <c r="A2504" s="7" t="s">
        <v>351</v>
      </c>
      <c r="B2504" s="7" t="s">
        <v>3883</v>
      </c>
      <c r="C2504" s="9">
        <v>418532.0</v>
      </c>
      <c r="D2504" s="9">
        <v>0.0</v>
      </c>
      <c r="E2504" s="9">
        <v>7403.0</v>
      </c>
      <c r="F2504" s="7" t="s">
        <v>352</v>
      </c>
      <c r="G2504" s="7" t="s">
        <v>353</v>
      </c>
      <c r="H2504" s="7" t="s">
        <v>354</v>
      </c>
      <c r="I2504" s="7" t="s">
        <v>410</v>
      </c>
      <c r="J2504" s="14"/>
      <c r="O2504" s="22"/>
      <c r="P2504" s="22"/>
      <c r="Q2504" s="23"/>
      <c r="R2504" s="23"/>
      <c r="S2504" s="14"/>
    </row>
    <row r="2505" ht="18.75" customHeight="1">
      <c r="A2505" s="7" t="s">
        <v>408</v>
      </c>
      <c r="B2505" s="7" t="s">
        <v>3883</v>
      </c>
      <c r="C2505" s="9">
        <v>834510.0</v>
      </c>
      <c r="D2505" s="9">
        <v>0.0</v>
      </c>
      <c r="E2505" s="9">
        <v>14279.0</v>
      </c>
      <c r="F2505" s="7" t="s">
        <v>409</v>
      </c>
      <c r="G2505" s="7" t="s">
        <v>353</v>
      </c>
      <c r="H2505" s="7" t="s">
        <v>354</v>
      </c>
      <c r="I2505" s="7" t="s">
        <v>410</v>
      </c>
      <c r="J2505" s="14"/>
      <c r="O2505" s="22"/>
      <c r="P2505" s="22"/>
      <c r="Q2505" s="23"/>
      <c r="R2505" s="23"/>
      <c r="S2505" s="14"/>
    </row>
    <row r="2506" ht="18.75" customHeight="1">
      <c r="A2506" s="7" t="s">
        <v>408</v>
      </c>
      <c r="B2506" s="7" t="s">
        <v>3883</v>
      </c>
      <c r="C2506" s="9">
        <v>844974.0</v>
      </c>
      <c r="D2506" s="9">
        <v>125004.0</v>
      </c>
      <c r="E2506" s="9">
        <v>579.0</v>
      </c>
      <c r="F2506" s="7" t="s">
        <v>409</v>
      </c>
      <c r="G2506" s="7" t="s">
        <v>353</v>
      </c>
      <c r="H2506" s="7" t="s">
        <v>354</v>
      </c>
      <c r="I2506" s="7" t="s">
        <v>410</v>
      </c>
      <c r="J2506" s="14"/>
      <c r="O2506" s="22"/>
      <c r="P2506" s="22"/>
      <c r="Q2506" s="23"/>
      <c r="R2506" s="23"/>
      <c r="S2506" s="14"/>
    </row>
    <row r="2507" ht="18.75" customHeight="1">
      <c r="A2507" s="7" t="s">
        <v>408</v>
      </c>
      <c r="B2507" s="7" t="s">
        <v>3883</v>
      </c>
      <c r="C2507" s="9">
        <v>352343.0</v>
      </c>
      <c r="D2507" s="9">
        <v>8006.0</v>
      </c>
      <c r="E2507" s="9">
        <v>484.0</v>
      </c>
      <c r="F2507" s="7" t="s">
        <v>409</v>
      </c>
      <c r="G2507" s="7" t="s">
        <v>353</v>
      </c>
      <c r="H2507" s="7" t="s">
        <v>354</v>
      </c>
      <c r="I2507" s="7" t="s">
        <v>410</v>
      </c>
      <c r="J2507" s="14"/>
      <c r="O2507" s="22"/>
      <c r="P2507" s="22"/>
      <c r="Q2507" s="23"/>
      <c r="R2507" s="23"/>
      <c r="S2507" s="14"/>
    </row>
    <row r="2508" ht="18.75" customHeight="1">
      <c r="A2508" s="7" t="s">
        <v>884</v>
      </c>
      <c r="B2508" s="7" t="s">
        <v>3883</v>
      </c>
      <c r="C2508" s="9">
        <v>372746.0</v>
      </c>
      <c r="D2508" s="9">
        <v>0.0</v>
      </c>
      <c r="E2508" s="9">
        <v>7001.0</v>
      </c>
      <c r="F2508" s="7" t="s">
        <v>885</v>
      </c>
      <c r="G2508" s="7" t="s">
        <v>364</v>
      </c>
      <c r="H2508" s="7" t="s">
        <v>365</v>
      </c>
      <c r="I2508" s="7" t="s">
        <v>355</v>
      </c>
      <c r="J2508" s="14"/>
      <c r="O2508" s="22"/>
      <c r="P2508" s="22"/>
      <c r="Q2508" s="23"/>
      <c r="R2508" s="23"/>
      <c r="S2508" s="14"/>
    </row>
    <row r="2509" ht="18.75" customHeight="1">
      <c r="A2509" s="7" t="s">
        <v>884</v>
      </c>
      <c r="B2509" s="7" t="s">
        <v>3883</v>
      </c>
      <c r="C2509" s="9">
        <v>786486.0</v>
      </c>
      <c r="D2509" s="9">
        <v>0.0</v>
      </c>
      <c r="E2509" s="9">
        <v>11123.0</v>
      </c>
      <c r="F2509" s="7" t="s">
        <v>885</v>
      </c>
      <c r="G2509" s="7" t="s">
        <v>364</v>
      </c>
      <c r="H2509" s="7" t="s">
        <v>365</v>
      </c>
      <c r="I2509" s="7" t="s">
        <v>355</v>
      </c>
      <c r="J2509" s="14"/>
      <c r="O2509" s="22"/>
      <c r="P2509" s="22"/>
      <c r="Q2509" s="23"/>
      <c r="R2509" s="23"/>
      <c r="S2509" s="14"/>
    </row>
    <row r="2510" ht="18.75" customHeight="1">
      <c r="A2510" s="7" t="s">
        <v>872</v>
      </c>
      <c r="B2510" s="7" t="s">
        <v>3883</v>
      </c>
      <c r="C2510" s="9">
        <v>145403.0</v>
      </c>
      <c r="D2510" s="9">
        <v>0.0</v>
      </c>
      <c r="E2510" s="9">
        <v>4460.0</v>
      </c>
      <c r="F2510" s="7" t="s">
        <v>873</v>
      </c>
      <c r="G2510" s="7" t="s">
        <v>353</v>
      </c>
      <c r="H2510" s="7" t="s">
        <v>378</v>
      </c>
      <c r="I2510" s="7" t="s">
        <v>355</v>
      </c>
      <c r="J2510" s="14"/>
      <c r="O2510" s="22"/>
      <c r="P2510" s="22"/>
      <c r="Q2510" s="23"/>
      <c r="R2510" s="23"/>
      <c r="S2510" s="14"/>
    </row>
    <row r="2511" ht="18.75" customHeight="1">
      <c r="A2511" s="7" t="s">
        <v>1005</v>
      </c>
      <c r="B2511" s="7" t="s">
        <v>3883</v>
      </c>
      <c r="C2511" s="9">
        <v>61280.0</v>
      </c>
      <c r="D2511" s="9">
        <v>38193.0</v>
      </c>
      <c r="E2511" s="9">
        <v>19.0</v>
      </c>
      <c r="F2511" s="7" t="s">
        <v>1006</v>
      </c>
      <c r="G2511" s="7" t="s">
        <v>503</v>
      </c>
      <c r="H2511" s="7" t="s">
        <v>783</v>
      </c>
      <c r="I2511" s="7" t="s">
        <v>2117</v>
      </c>
      <c r="J2511" s="14"/>
      <c r="O2511" s="22"/>
      <c r="P2511" s="22"/>
      <c r="Q2511" s="23"/>
      <c r="R2511" s="23"/>
      <c r="S2511" s="14"/>
    </row>
    <row r="2512" ht="18.75" customHeight="1">
      <c r="A2512" s="7" t="s">
        <v>1005</v>
      </c>
      <c r="B2512" s="7" t="s">
        <v>3883</v>
      </c>
      <c r="C2512" s="9">
        <v>0.0</v>
      </c>
      <c r="D2512" s="9">
        <v>0.0</v>
      </c>
      <c r="E2512" s="9">
        <v>0.0</v>
      </c>
      <c r="F2512" s="7" t="s">
        <v>1006</v>
      </c>
      <c r="G2512" s="7" t="s">
        <v>503</v>
      </c>
      <c r="H2512" s="7" t="s">
        <v>783</v>
      </c>
      <c r="I2512" s="7" t="s">
        <v>2117</v>
      </c>
      <c r="J2512" s="14"/>
      <c r="O2512" s="22"/>
      <c r="P2512" s="22"/>
      <c r="Q2512" s="23"/>
      <c r="R2512" s="23"/>
      <c r="S2512" s="14"/>
    </row>
    <row r="2513" ht="18.75" customHeight="1">
      <c r="A2513" s="7" t="s">
        <v>1037</v>
      </c>
      <c r="B2513" s="7" t="s">
        <v>3883</v>
      </c>
      <c r="C2513" s="9">
        <v>245011.0</v>
      </c>
      <c r="D2513" s="9">
        <v>6273.0</v>
      </c>
      <c r="E2513" s="9">
        <v>5880.0</v>
      </c>
      <c r="F2513" s="7" t="s">
        <v>1038</v>
      </c>
      <c r="G2513" s="7" t="s">
        <v>416</v>
      </c>
      <c r="H2513" s="7" t="s">
        <v>417</v>
      </c>
      <c r="I2513" s="7" t="s">
        <v>355</v>
      </c>
      <c r="J2513" s="14"/>
      <c r="O2513" s="22"/>
      <c r="P2513" s="22"/>
      <c r="Q2513" s="23"/>
      <c r="R2513" s="23"/>
      <c r="S2513" s="14"/>
    </row>
    <row r="2514" ht="18.75" customHeight="1">
      <c r="A2514" s="7" t="s">
        <v>1037</v>
      </c>
      <c r="B2514" s="7" t="s">
        <v>3883</v>
      </c>
      <c r="C2514" s="9">
        <v>216139.0</v>
      </c>
      <c r="D2514" s="9">
        <v>10375.0</v>
      </c>
      <c r="E2514" s="9">
        <v>4679.0</v>
      </c>
      <c r="F2514" s="7" t="s">
        <v>1038</v>
      </c>
      <c r="G2514" s="7" t="s">
        <v>416</v>
      </c>
      <c r="H2514" s="7" t="s">
        <v>417</v>
      </c>
      <c r="I2514" s="7" t="s">
        <v>355</v>
      </c>
      <c r="J2514" s="14"/>
      <c r="O2514" s="22"/>
      <c r="P2514" s="22"/>
      <c r="Q2514" s="23"/>
      <c r="R2514" s="23"/>
      <c r="S2514" s="14"/>
    </row>
    <row r="2515" ht="18.75" customHeight="1">
      <c r="A2515" s="7" t="s">
        <v>402</v>
      </c>
      <c r="B2515" s="7" t="s">
        <v>3883</v>
      </c>
      <c r="C2515" s="9">
        <v>543260.0</v>
      </c>
      <c r="D2515" s="9">
        <v>0.0</v>
      </c>
      <c r="E2515" s="9">
        <v>571.0</v>
      </c>
      <c r="F2515" s="7" t="s">
        <v>403</v>
      </c>
      <c r="G2515" s="7" t="s">
        <v>404</v>
      </c>
      <c r="H2515" s="7" t="s">
        <v>405</v>
      </c>
      <c r="I2515" s="7" t="s">
        <v>355</v>
      </c>
      <c r="J2515" s="14"/>
      <c r="O2515" s="22"/>
      <c r="P2515" s="22"/>
      <c r="Q2515" s="23"/>
      <c r="R2515" s="23"/>
      <c r="S2515" s="14"/>
    </row>
    <row r="2516" ht="18.75" customHeight="1">
      <c r="A2516" s="7" t="s">
        <v>402</v>
      </c>
      <c r="B2516" s="7" t="s">
        <v>3883</v>
      </c>
      <c r="C2516" s="9">
        <v>927815.0</v>
      </c>
      <c r="D2516" s="9">
        <v>834666.0</v>
      </c>
      <c r="E2516" s="9">
        <v>265.0</v>
      </c>
      <c r="F2516" s="7" t="s">
        <v>403</v>
      </c>
      <c r="G2516" s="7" t="s">
        <v>404</v>
      </c>
      <c r="H2516" s="7" t="s">
        <v>405</v>
      </c>
      <c r="I2516" s="7" t="s">
        <v>355</v>
      </c>
      <c r="J2516" s="14"/>
      <c r="O2516" s="22"/>
      <c r="P2516" s="22"/>
      <c r="Q2516" s="23"/>
      <c r="R2516" s="23"/>
      <c r="S2516" s="14"/>
    </row>
    <row r="2517" ht="18.75" customHeight="1">
      <c r="A2517" s="7" t="s">
        <v>912</v>
      </c>
      <c r="B2517" s="7" t="s">
        <v>3883</v>
      </c>
      <c r="C2517" s="9">
        <v>43.0</v>
      </c>
      <c r="D2517" s="9">
        <v>35.0</v>
      </c>
      <c r="E2517" s="9">
        <v>0.0</v>
      </c>
      <c r="F2517" s="7" t="s">
        <v>913</v>
      </c>
      <c r="G2517" s="7" t="s">
        <v>358</v>
      </c>
      <c r="H2517" s="7" t="s">
        <v>466</v>
      </c>
      <c r="I2517" s="7" t="s">
        <v>355</v>
      </c>
      <c r="J2517" s="14"/>
      <c r="O2517" s="22"/>
      <c r="P2517" s="22"/>
      <c r="Q2517" s="23"/>
      <c r="R2517" s="23"/>
      <c r="S2517" s="14"/>
    </row>
    <row r="2518" ht="18.75" customHeight="1">
      <c r="A2518" s="7" t="s">
        <v>912</v>
      </c>
      <c r="B2518" s="7" t="s">
        <v>3883</v>
      </c>
      <c r="C2518" s="9">
        <v>32370.0</v>
      </c>
      <c r="D2518" s="9">
        <v>4472.0</v>
      </c>
      <c r="E2518" s="9">
        <v>154.0</v>
      </c>
      <c r="F2518" s="7" t="s">
        <v>913</v>
      </c>
      <c r="G2518" s="7" t="s">
        <v>358</v>
      </c>
      <c r="H2518" s="7" t="s">
        <v>466</v>
      </c>
      <c r="I2518" s="7" t="s">
        <v>355</v>
      </c>
      <c r="J2518" s="14"/>
      <c r="O2518" s="22"/>
      <c r="P2518" s="22"/>
      <c r="Q2518" s="23"/>
      <c r="R2518" s="23"/>
      <c r="S2518" s="14"/>
    </row>
    <row r="2519" ht="18.75" customHeight="1">
      <c r="A2519" s="7" t="s">
        <v>943</v>
      </c>
      <c r="B2519" s="7" t="s">
        <v>3883</v>
      </c>
      <c r="C2519" s="9">
        <v>192676.0</v>
      </c>
      <c r="D2519" s="9">
        <v>175321.0</v>
      </c>
      <c r="E2519" s="9">
        <v>119.0</v>
      </c>
      <c r="F2519" s="7" t="s">
        <v>944</v>
      </c>
      <c r="G2519" s="7" t="s">
        <v>353</v>
      </c>
      <c r="H2519" s="7" t="s">
        <v>378</v>
      </c>
      <c r="I2519" s="7" t="s">
        <v>355</v>
      </c>
      <c r="J2519" s="14"/>
      <c r="O2519" s="22"/>
      <c r="P2519" s="22"/>
      <c r="Q2519" s="23"/>
      <c r="R2519" s="23"/>
      <c r="S2519" s="14"/>
    </row>
    <row r="2520" ht="18.75" customHeight="1">
      <c r="A2520" s="7" t="s">
        <v>943</v>
      </c>
      <c r="B2520" s="7" t="s">
        <v>3883</v>
      </c>
      <c r="C2520" s="9">
        <v>289279.0</v>
      </c>
      <c r="D2520" s="9">
        <v>0.0</v>
      </c>
      <c r="E2520" s="9">
        <v>2915.0</v>
      </c>
      <c r="F2520" s="7" t="s">
        <v>944</v>
      </c>
      <c r="G2520" s="7" t="s">
        <v>353</v>
      </c>
      <c r="H2520" s="7" t="s">
        <v>378</v>
      </c>
      <c r="I2520" s="7" t="s">
        <v>355</v>
      </c>
      <c r="J2520" s="14"/>
      <c r="O2520" s="22"/>
      <c r="P2520" s="22"/>
      <c r="Q2520" s="23"/>
      <c r="R2520" s="23"/>
      <c r="S2520" s="14"/>
    </row>
    <row r="2521" ht="18.75" customHeight="1">
      <c r="A2521" s="7" t="s">
        <v>943</v>
      </c>
      <c r="B2521" s="7" t="s">
        <v>3883</v>
      </c>
      <c r="C2521" s="9">
        <v>490502.0</v>
      </c>
      <c r="D2521" s="9">
        <v>0.0</v>
      </c>
      <c r="E2521" s="9">
        <v>4166.0</v>
      </c>
      <c r="F2521" s="7" t="s">
        <v>944</v>
      </c>
      <c r="G2521" s="7" t="s">
        <v>353</v>
      </c>
      <c r="H2521" s="7" t="s">
        <v>378</v>
      </c>
      <c r="I2521" s="7" t="s">
        <v>355</v>
      </c>
      <c r="J2521" s="14"/>
      <c r="O2521" s="22"/>
      <c r="P2521" s="22"/>
      <c r="Q2521" s="23"/>
      <c r="R2521" s="23"/>
      <c r="S2521" s="14"/>
    </row>
    <row r="2522" ht="18.75" customHeight="1">
      <c r="A2522" s="7" t="s">
        <v>989</v>
      </c>
      <c r="B2522" s="7" t="s">
        <v>3883</v>
      </c>
      <c r="C2522" s="9">
        <v>449424.0</v>
      </c>
      <c r="D2522" s="9">
        <v>419747.0</v>
      </c>
      <c r="E2522" s="9">
        <v>105.0</v>
      </c>
      <c r="F2522" s="7" t="s">
        <v>990</v>
      </c>
      <c r="G2522" s="7" t="s">
        <v>353</v>
      </c>
      <c r="H2522" s="7" t="s">
        <v>378</v>
      </c>
      <c r="I2522" s="7" t="s">
        <v>355</v>
      </c>
      <c r="J2522" s="14"/>
      <c r="O2522" s="22"/>
      <c r="P2522" s="22"/>
      <c r="Q2522" s="23"/>
      <c r="R2522" s="23"/>
      <c r="S2522" s="14"/>
    </row>
    <row r="2523" ht="18.75" customHeight="1">
      <c r="A2523" s="7" t="s">
        <v>989</v>
      </c>
      <c r="B2523" s="7" t="s">
        <v>3883</v>
      </c>
      <c r="C2523" s="9">
        <v>143114.0</v>
      </c>
      <c r="D2523" s="9">
        <v>131722.0</v>
      </c>
      <c r="E2523" s="9">
        <v>44.0</v>
      </c>
      <c r="F2523" s="7" t="s">
        <v>990</v>
      </c>
      <c r="G2523" s="7" t="s">
        <v>353</v>
      </c>
      <c r="H2523" s="7" t="s">
        <v>378</v>
      </c>
      <c r="I2523" s="7" t="s">
        <v>355</v>
      </c>
      <c r="J2523" s="14"/>
      <c r="O2523" s="22"/>
      <c r="P2523" s="22"/>
      <c r="Q2523" s="23"/>
      <c r="R2523" s="23"/>
      <c r="S2523" s="14"/>
    </row>
    <row r="2524" ht="18.75" customHeight="1">
      <c r="A2524" s="7" t="s">
        <v>989</v>
      </c>
      <c r="B2524" s="7" t="s">
        <v>3883</v>
      </c>
      <c r="C2524" s="9">
        <v>326049.0</v>
      </c>
      <c r="D2524" s="9">
        <v>281568.0</v>
      </c>
      <c r="E2524" s="9">
        <v>197.0</v>
      </c>
      <c r="F2524" s="7" t="s">
        <v>990</v>
      </c>
      <c r="G2524" s="7" t="s">
        <v>353</v>
      </c>
      <c r="H2524" s="7" t="s">
        <v>378</v>
      </c>
      <c r="I2524" s="7" t="s">
        <v>355</v>
      </c>
      <c r="J2524" s="14"/>
      <c r="O2524" s="22"/>
      <c r="P2524" s="22"/>
      <c r="Q2524" s="23"/>
      <c r="R2524" s="23"/>
      <c r="S2524" s="14"/>
    </row>
    <row r="2525" ht="18.75" customHeight="1">
      <c r="A2525" s="7" t="s">
        <v>989</v>
      </c>
      <c r="B2525" s="7" t="s">
        <v>3883</v>
      </c>
      <c r="C2525" s="9">
        <v>134886.0</v>
      </c>
      <c r="D2525" s="9">
        <v>118305.0</v>
      </c>
      <c r="E2525" s="9">
        <v>261.0</v>
      </c>
      <c r="F2525" s="7" t="s">
        <v>990</v>
      </c>
      <c r="G2525" s="7" t="s">
        <v>353</v>
      </c>
      <c r="H2525" s="7" t="s">
        <v>378</v>
      </c>
      <c r="I2525" s="7" t="s">
        <v>355</v>
      </c>
      <c r="J2525" s="14"/>
      <c r="O2525" s="22"/>
      <c r="P2525" s="22"/>
      <c r="Q2525" s="23"/>
      <c r="R2525" s="23"/>
      <c r="S2525" s="14"/>
    </row>
    <row r="2526" ht="18.75" customHeight="1">
      <c r="A2526" s="7" t="s">
        <v>831</v>
      </c>
      <c r="B2526" s="7" t="s">
        <v>3883</v>
      </c>
      <c r="C2526" s="9">
        <v>349295.0</v>
      </c>
      <c r="D2526" s="9">
        <v>0.0</v>
      </c>
      <c r="E2526" s="9">
        <v>11053.0</v>
      </c>
      <c r="F2526" s="7" t="s">
        <v>832</v>
      </c>
      <c r="G2526" s="7" t="s">
        <v>353</v>
      </c>
      <c r="H2526" s="7" t="s">
        <v>833</v>
      </c>
      <c r="I2526" s="7" t="s">
        <v>355</v>
      </c>
      <c r="J2526" s="14"/>
      <c r="O2526" s="22"/>
      <c r="P2526" s="22"/>
      <c r="Q2526" s="23"/>
      <c r="R2526" s="23"/>
      <c r="S2526" s="14"/>
    </row>
    <row r="2527" ht="18.75" customHeight="1">
      <c r="A2527" s="7" t="s">
        <v>831</v>
      </c>
      <c r="B2527" s="7" t="s">
        <v>3883</v>
      </c>
      <c r="C2527" s="9">
        <v>4314.0</v>
      </c>
      <c r="D2527" s="9">
        <v>0.0</v>
      </c>
      <c r="E2527" s="9">
        <v>166.0</v>
      </c>
      <c r="F2527" s="7" t="s">
        <v>832</v>
      </c>
      <c r="G2527" s="7" t="s">
        <v>353</v>
      </c>
      <c r="H2527" s="7" t="s">
        <v>833</v>
      </c>
      <c r="I2527" s="7" t="s">
        <v>355</v>
      </c>
      <c r="J2527" s="14"/>
      <c r="O2527" s="22"/>
      <c r="P2527" s="22"/>
      <c r="Q2527" s="23"/>
      <c r="R2527" s="23"/>
      <c r="S2527" s="14"/>
    </row>
    <row r="2528" ht="18.75" customHeight="1">
      <c r="A2528" s="7" t="s">
        <v>882</v>
      </c>
      <c r="B2528" s="7" t="s">
        <v>3883</v>
      </c>
      <c r="C2528" s="9">
        <v>30908.0</v>
      </c>
      <c r="D2528" s="9">
        <v>0.0</v>
      </c>
      <c r="E2528" s="9">
        <v>1433.0</v>
      </c>
      <c r="F2528" s="7" t="s">
        <v>883</v>
      </c>
      <c r="G2528" s="7" t="s">
        <v>364</v>
      </c>
      <c r="H2528" s="7" t="s">
        <v>365</v>
      </c>
      <c r="I2528" s="7" t="s">
        <v>2117</v>
      </c>
      <c r="J2528" s="14"/>
      <c r="O2528" s="22"/>
      <c r="P2528" s="22"/>
      <c r="Q2528" s="23"/>
      <c r="R2528" s="23"/>
      <c r="S2528" s="14"/>
    </row>
    <row r="2529" ht="18.75" customHeight="1">
      <c r="A2529" s="7" t="s">
        <v>1077</v>
      </c>
      <c r="B2529" s="7" t="s">
        <v>3883</v>
      </c>
      <c r="C2529" s="9">
        <v>0.0</v>
      </c>
      <c r="D2529" s="9">
        <v>0.0</v>
      </c>
      <c r="E2529" s="9">
        <v>0.0</v>
      </c>
      <c r="F2529" s="7" t="s">
        <v>1078</v>
      </c>
      <c r="G2529" s="7" t="s">
        <v>353</v>
      </c>
      <c r="H2529" s="7" t="s">
        <v>378</v>
      </c>
      <c r="I2529" s="7" t="s">
        <v>355</v>
      </c>
      <c r="J2529" s="14"/>
      <c r="O2529" s="22"/>
      <c r="P2529" s="22"/>
      <c r="Q2529" s="23"/>
      <c r="R2529" s="23"/>
      <c r="S2529" s="14"/>
    </row>
    <row r="2530" ht="18.75" customHeight="1">
      <c r="A2530" s="7" t="s">
        <v>1077</v>
      </c>
      <c r="B2530" s="7" t="s">
        <v>3883</v>
      </c>
      <c r="C2530" s="9">
        <v>313002.0</v>
      </c>
      <c r="D2530" s="9">
        <v>289428.0</v>
      </c>
      <c r="E2530" s="9">
        <v>149.0</v>
      </c>
      <c r="F2530" s="7" t="s">
        <v>1078</v>
      </c>
      <c r="G2530" s="7" t="s">
        <v>353</v>
      </c>
      <c r="H2530" s="7" t="s">
        <v>378</v>
      </c>
      <c r="I2530" s="7" t="s">
        <v>355</v>
      </c>
      <c r="J2530" s="14"/>
      <c r="O2530" s="22"/>
      <c r="P2530" s="22"/>
      <c r="Q2530" s="23"/>
      <c r="R2530" s="23"/>
      <c r="S2530" s="14"/>
    </row>
    <row r="2531" ht="18.75" customHeight="1">
      <c r="A2531" s="7" t="s">
        <v>1297</v>
      </c>
      <c r="B2531" s="7" t="s">
        <v>3883</v>
      </c>
      <c r="C2531" s="9">
        <v>313357.0</v>
      </c>
      <c r="D2531" s="9">
        <v>280194.0</v>
      </c>
      <c r="E2531" s="9">
        <v>99.0</v>
      </c>
      <c r="F2531" s="7" t="s">
        <v>1298</v>
      </c>
      <c r="G2531" s="7" t="s">
        <v>404</v>
      </c>
      <c r="H2531" s="7" t="s">
        <v>405</v>
      </c>
      <c r="I2531" s="7" t="s">
        <v>355</v>
      </c>
      <c r="J2531" s="14"/>
      <c r="O2531" s="22"/>
      <c r="P2531" s="22"/>
      <c r="Q2531" s="23"/>
      <c r="R2531" s="23"/>
      <c r="S2531" s="14"/>
    </row>
    <row r="2532" ht="18.75" customHeight="1">
      <c r="A2532" s="7" t="s">
        <v>1297</v>
      </c>
      <c r="B2532" s="7" t="s">
        <v>3883</v>
      </c>
      <c r="C2532" s="9">
        <v>411755.0</v>
      </c>
      <c r="D2532" s="9">
        <v>47565.0</v>
      </c>
      <c r="E2532" s="9">
        <v>1001.0</v>
      </c>
      <c r="F2532" s="7" t="s">
        <v>1298</v>
      </c>
      <c r="G2532" s="7" t="s">
        <v>404</v>
      </c>
      <c r="H2532" s="7" t="s">
        <v>405</v>
      </c>
      <c r="I2532" s="7" t="s">
        <v>355</v>
      </c>
      <c r="J2532" s="14"/>
      <c r="O2532" s="22"/>
      <c r="P2532" s="22"/>
      <c r="Q2532" s="23"/>
      <c r="R2532" s="23"/>
      <c r="S2532" s="14"/>
    </row>
    <row r="2533" ht="18.75" customHeight="1">
      <c r="A2533" s="7" t="s">
        <v>1289</v>
      </c>
      <c r="B2533" s="7" t="s">
        <v>3883</v>
      </c>
      <c r="C2533" s="9">
        <v>337046.0</v>
      </c>
      <c r="D2533" s="9">
        <v>246524.0</v>
      </c>
      <c r="E2533" s="9">
        <v>224.0</v>
      </c>
      <c r="F2533" s="7" t="s">
        <v>1290</v>
      </c>
      <c r="G2533" s="7" t="s">
        <v>364</v>
      </c>
      <c r="H2533" s="7" t="s">
        <v>365</v>
      </c>
      <c r="I2533" s="7" t="s">
        <v>355</v>
      </c>
      <c r="J2533" s="14"/>
      <c r="O2533" s="22"/>
      <c r="P2533" s="22"/>
      <c r="Q2533" s="23"/>
      <c r="R2533" s="23"/>
      <c r="S2533" s="14"/>
    </row>
    <row r="2534" ht="18.75" customHeight="1">
      <c r="A2534" s="7" t="s">
        <v>1283</v>
      </c>
      <c r="B2534" s="7" t="s">
        <v>3883</v>
      </c>
      <c r="C2534" s="9">
        <v>4282.0</v>
      </c>
      <c r="D2534" s="9">
        <v>0.0</v>
      </c>
      <c r="E2534" s="9">
        <v>66.0</v>
      </c>
      <c r="F2534" s="7" t="s">
        <v>1284</v>
      </c>
      <c r="G2534" s="7" t="s">
        <v>503</v>
      </c>
      <c r="H2534" s="7" t="s">
        <v>928</v>
      </c>
      <c r="I2534" s="7" t="s">
        <v>355</v>
      </c>
      <c r="J2534" s="14"/>
      <c r="O2534" s="22"/>
      <c r="P2534" s="22"/>
      <c r="Q2534" s="23"/>
      <c r="R2534" s="23"/>
      <c r="S2534" s="14"/>
    </row>
    <row r="2535" ht="18.75" customHeight="1">
      <c r="A2535" s="7" t="s">
        <v>1305</v>
      </c>
      <c r="B2535" s="7" t="s">
        <v>3883</v>
      </c>
      <c r="C2535" s="9">
        <v>379332.0</v>
      </c>
      <c r="D2535" s="9">
        <v>0.0</v>
      </c>
      <c r="E2535" s="9">
        <v>3016.0</v>
      </c>
      <c r="F2535" s="7" t="s">
        <v>1306</v>
      </c>
      <c r="G2535" s="7" t="s">
        <v>353</v>
      </c>
      <c r="H2535" s="7" t="s">
        <v>378</v>
      </c>
      <c r="I2535" s="7" t="s">
        <v>355</v>
      </c>
      <c r="J2535" s="14"/>
      <c r="O2535" s="22"/>
      <c r="P2535" s="22"/>
      <c r="Q2535" s="23"/>
      <c r="R2535" s="23"/>
      <c r="S2535" s="14"/>
    </row>
    <row r="2536" ht="18.75" customHeight="1">
      <c r="A2536" s="7" t="s">
        <v>1149</v>
      </c>
      <c r="B2536" s="7" t="s">
        <v>3883</v>
      </c>
      <c r="C2536" s="9">
        <v>283039.0</v>
      </c>
      <c r="D2536" s="9">
        <v>7077.0</v>
      </c>
      <c r="E2536" s="9">
        <v>431.0</v>
      </c>
      <c r="F2536" s="7" t="s">
        <v>1150</v>
      </c>
      <c r="G2536" s="7" t="s">
        <v>404</v>
      </c>
      <c r="H2536" s="7" t="s">
        <v>667</v>
      </c>
      <c r="I2536" s="7" t="s">
        <v>355</v>
      </c>
      <c r="J2536" s="14"/>
      <c r="O2536" s="22"/>
      <c r="P2536" s="22"/>
      <c r="Q2536" s="23"/>
      <c r="R2536" s="23"/>
      <c r="S2536" s="14"/>
    </row>
    <row r="2537" ht="18.75" customHeight="1">
      <c r="A2537" s="7" t="s">
        <v>1149</v>
      </c>
      <c r="B2537" s="7" t="s">
        <v>3883</v>
      </c>
      <c r="C2537" s="9">
        <v>25624.0</v>
      </c>
      <c r="D2537" s="9">
        <v>0.0</v>
      </c>
      <c r="E2537" s="9">
        <v>1399.0</v>
      </c>
      <c r="F2537" s="7" t="s">
        <v>1150</v>
      </c>
      <c r="G2537" s="7" t="s">
        <v>404</v>
      </c>
      <c r="H2537" s="7" t="s">
        <v>667</v>
      </c>
      <c r="I2537" s="7" t="s">
        <v>355</v>
      </c>
      <c r="J2537" s="14"/>
      <c r="O2537" s="22"/>
      <c r="P2537" s="22"/>
      <c r="Q2537" s="23"/>
      <c r="R2537" s="23"/>
      <c r="S2537" s="14"/>
    </row>
    <row r="2538" ht="18.75" customHeight="1">
      <c r="A2538" s="7" t="s">
        <v>1143</v>
      </c>
      <c r="B2538" s="7" t="s">
        <v>3883</v>
      </c>
      <c r="C2538" s="9">
        <v>647331.0</v>
      </c>
      <c r="D2538" s="9">
        <v>99195.0</v>
      </c>
      <c r="E2538" s="9">
        <v>4269.0</v>
      </c>
      <c r="F2538" s="7" t="s">
        <v>1144</v>
      </c>
      <c r="G2538" s="7" t="s">
        <v>358</v>
      </c>
      <c r="H2538" s="7" t="s">
        <v>466</v>
      </c>
      <c r="I2538" s="7" t="s">
        <v>355</v>
      </c>
      <c r="J2538" s="14"/>
      <c r="O2538" s="22"/>
      <c r="P2538" s="22"/>
      <c r="Q2538" s="23"/>
      <c r="R2538" s="23"/>
      <c r="S2538" s="14"/>
    </row>
    <row r="2539" ht="18.75" customHeight="1">
      <c r="A2539" s="7" t="s">
        <v>1243</v>
      </c>
      <c r="B2539" s="7" t="s">
        <v>3883</v>
      </c>
      <c r="C2539" s="9">
        <v>346628.0</v>
      </c>
      <c r="D2539" s="9">
        <v>284843.0</v>
      </c>
      <c r="E2539" s="9">
        <v>476.0</v>
      </c>
      <c r="F2539" s="7" t="s">
        <v>1244</v>
      </c>
      <c r="G2539" s="7" t="s">
        <v>358</v>
      </c>
      <c r="H2539" s="7" t="s">
        <v>466</v>
      </c>
      <c r="I2539" s="7" t="s">
        <v>355</v>
      </c>
      <c r="J2539" s="14"/>
      <c r="O2539" s="22"/>
      <c r="P2539" s="22"/>
      <c r="Q2539" s="23"/>
      <c r="R2539" s="23"/>
      <c r="S2539" s="14"/>
    </row>
    <row r="2540" ht="18.75" customHeight="1">
      <c r="A2540" s="7" t="s">
        <v>1243</v>
      </c>
      <c r="B2540" s="7" t="s">
        <v>3883</v>
      </c>
      <c r="C2540" s="9">
        <v>454444.0</v>
      </c>
      <c r="D2540" s="9">
        <v>396680.0</v>
      </c>
      <c r="E2540" s="9">
        <v>514.0</v>
      </c>
      <c r="F2540" s="7" t="s">
        <v>1244</v>
      </c>
      <c r="G2540" s="7" t="s">
        <v>358</v>
      </c>
      <c r="H2540" s="7" t="s">
        <v>466</v>
      </c>
      <c r="I2540" s="7" t="s">
        <v>355</v>
      </c>
      <c r="J2540" s="14"/>
      <c r="O2540" s="22"/>
      <c r="P2540" s="22"/>
      <c r="Q2540" s="23"/>
      <c r="R2540" s="23"/>
      <c r="S2540" s="14"/>
    </row>
    <row r="2541" ht="18.75" customHeight="1">
      <c r="A2541" s="7" t="s">
        <v>1001</v>
      </c>
      <c r="B2541" s="7" t="s">
        <v>3883</v>
      </c>
      <c r="C2541" s="9">
        <v>914487.0</v>
      </c>
      <c r="D2541" s="9">
        <v>0.0</v>
      </c>
      <c r="E2541" s="9">
        <v>8947.0</v>
      </c>
      <c r="F2541" s="7" t="s">
        <v>1002</v>
      </c>
      <c r="G2541" s="7" t="s">
        <v>353</v>
      </c>
      <c r="H2541" s="7" t="s">
        <v>378</v>
      </c>
      <c r="I2541" s="7" t="s">
        <v>355</v>
      </c>
      <c r="J2541" s="14"/>
      <c r="O2541" s="22"/>
      <c r="P2541" s="22"/>
      <c r="Q2541" s="23"/>
      <c r="R2541" s="23"/>
      <c r="S2541" s="14"/>
    </row>
    <row r="2542" ht="18.75" customHeight="1">
      <c r="A2542" s="7" t="s">
        <v>943</v>
      </c>
      <c r="B2542" s="7" t="s">
        <v>3883</v>
      </c>
      <c r="C2542" s="9">
        <v>214580.0</v>
      </c>
      <c r="D2542" s="9">
        <v>187159.0</v>
      </c>
      <c r="E2542" s="9">
        <v>108.0</v>
      </c>
      <c r="F2542" s="7" t="s">
        <v>944</v>
      </c>
      <c r="G2542" s="7" t="s">
        <v>353</v>
      </c>
      <c r="H2542" s="7" t="s">
        <v>378</v>
      </c>
      <c r="I2542" s="7" t="s">
        <v>355</v>
      </c>
      <c r="J2542" s="14"/>
      <c r="O2542" s="22"/>
      <c r="P2542" s="22"/>
      <c r="Q2542" s="23"/>
      <c r="R2542" s="23"/>
      <c r="S2542" s="14"/>
    </row>
    <row r="2543" ht="18.75" customHeight="1">
      <c r="A2543" s="7" t="s">
        <v>870</v>
      </c>
      <c r="B2543" s="7" t="s">
        <v>3883</v>
      </c>
      <c r="C2543" s="9">
        <v>0.0</v>
      </c>
      <c r="D2543" s="9">
        <v>0.0</v>
      </c>
      <c r="E2543" s="9">
        <v>0.0</v>
      </c>
      <c r="F2543" s="7" t="s">
        <v>871</v>
      </c>
      <c r="G2543" s="7" t="s">
        <v>353</v>
      </c>
      <c r="H2543" s="7" t="s">
        <v>378</v>
      </c>
      <c r="I2543" s="7" t="s">
        <v>355</v>
      </c>
      <c r="J2543" s="14"/>
      <c r="O2543" s="22"/>
      <c r="P2543" s="22"/>
      <c r="Q2543" s="23"/>
      <c r="R2543" s="23"/>
      <c r="S2543" s="14"/>
    </row>
    <row r="2544" ht="18.75" customHeight="1">
      <c r="A2544" s="7" t="s">
        <v>870</v>
      </c>
      <c r="B2544" s="7" t="s">
        <v>3883</v>
      </c>
      <c r="C2544" s="9">
        <v>620830.0</v>
      </c>
      <c r="D2544" s="9">
        <v>365852.0</v>
      </c>
      <c r="E2544" s="9">
        <v>383.0</v>
      </c>
      <c r="F2544" s="7" t="s">
        <v>871</v>
      </c>
      <c r="G2544" s="7" t="s">
        <v>353</v>
      </c>
      <c r="H2544" s="7" t="s">
        <v>378</v>
      </c>
      <c r="I2544" s="7" t="s">
        <v>355</v>
      </c>
      <c r="J2544" s="14"/>
      <c r="O2544" s="22"/>
      <c r="P2544" s="22"/>
      <c r="Q2544" s="23"/>
      <c r="R2544" s="23"/>
      <c r="S2544" s="14"/>
    </row>
    <row r="2545" ht="18.75" customHeight="1">
      <c r="A2545" s="7" t="s">
        <v>870</v>
      </c>
      <c r="B2545" s="7" t="s">
        <v>3883</v>
      </c>
      <c r="C2545" s="9">
        <v>830012.0</v>
      </c>
      <c r="D2545" s="9">
        <v>421359.0</v>
      </c>
      <c r="E2545" s="9">
        <v>316.0</v>
      </c>
      <c r="F2545" s="7" t="s">
        <v>871</v>
      </c>
      <c r="G2545" s="7" t="s">
        <v>353</v>
      </c>
      <c r="H2545" s="7" t="s">
        <v>378</v>
      </c>
      <c r="I2545" s="7" t="s">
        <v>355</v>
      </c>
      <c r="J2545" s="14"/>
      <c r="O2545" s="22"/>
      <c r="P2545" s="22"/>
      <c r="Q2545" s="23"/>
      <c r="R2545" s="23"/>
      <c r="S2545" s="14"/>
    </row>
    <row r="2546" ht="18.75" customHeight="1">
      <c r="A2546" s="7" t="s">
        <v>1101</v>
      </c>
      <c r="B2546" s="7" t="s">
        <v>3883</v>
      </c>
      <c r="C2546" s="9">
        <v>1139235.0</v>
      </c>
      <c r="D2546" s="9">
        <v>0.0</v>
      </c>
      <c r="E2546" s="9">
        <v>13387.0</v>
      </c>
      <c r="F2546" s="7" t="s">
        <v>1102</v>
      </c>
      <c r="G2546" s="7" t="s">
        <v>353</v>
      </c>
      <c r="H2546" s="7" t="s">
        <v>378</v>
      </c>
      <c r="I2546" s="7" t="s">
        <v>355</v>
      </c>
      <c r="J2546" s="14"/>
      <c r="O2546" s="22"/>
      <c r="P2546" s="22"/>
      <c r="Q2546" s="23"/>
      <c r="R2546" s="23"/>
      <c r="S2546" s="14"/>
    </row>
    <row r="2547" ht="18.75" customHeight="1">
      <c r="A2547" s="7" t="s">
        <v>1101</v>
      </c>
      <c r="B2547" s="7" t="s">
        <v>3883</v>
      </c>
      <c r="C2547" s="9">
        <v>617451.0</v>
      </c>
      <c r="D2547" s="9">
        <v>577007.0</v>
      </c>
      <c r="E2547" s="9">
        <v>182.0</v>
      </c>
      <c r="F2547" s="7" t="s">
        <v>1102</v>
      </c>
      <c r="G2547" s="7" t="s">
        <v>353</v>
      </c>
      <c r="H2547" s="7" t="s">
        <v>378</v>
      </c>
      <c r="I2547" s="7" t="s">
        <v>355</v>
      </c>
      <c r="J2547" s="14"/>
      <c r="O2547" s="22"/>
      <c r="P2547" s="22"/>
      <c r="Q2547" s="23"/>
      <c r="R2547" s="23"/>
      <c r="S2547" s="14"/>
    </row>
    <row r="2548" ht="18.75" customHeight="1">
      <c r="A2548" s="7" t="s">
        <v>1101</v>
      </c>
      <c r="B2548" s="7" t="s">
        <v>3883</v>
      </c>
      <c r="C2548" s="9">
        <v>506652.0</v>
      </c>
      <c r="D2548" s="9">
        <v>50694.0</v>
      </c>
      <c r="E2548" s="9">
        <v>657.0</v>
      </c>
      <c r="F2548" s="7" t="s">
        <v>1102</v>
      </c>
      <c r="G2548" s="7" t="s">
        <v>353</v>
      </c>
      <c r="H2548" s="7" t="s">
        <v>378</v>
      </c>
      <c r="I2548" s="7" t="s">
        <v>355</v>
      </c>
      <c r="J2548" s="14"/>
      <c r="O2548" s="22"/>
      <c r="P2548" s="22"/>
      <c r="Q2548" s="23"/>
      <c r="R2548" s="23"/>
      <c r="S2548" s="14"/>
    </row>
    <row r="2549" ht="18.75" customHeight="1">
      <c r="A2549" s="7" t="s">
        <v>993</v>
      </c>
      <c r="B2549" s="7" t="s">
        <v>3883</v>
      </c>
      <c r="C2549" s="9">
        <v>0.0</v>
      </c>
      <c r="D2549" s="9">
        <v>0.0</v>
      </c>
      <c r="E2549" s="9">
        <v>0.0</v>
      </c>
      <c r="F2549" s="7" t="s">
        <v>994</v>
      </c>
      <c r="G2549" s="7" t="s">
        <v>358</v>
      </c>
      <c r="H2549" s="7" t="s">
        <v>466</v>
      </c>
      <c r="I2549" s="7" t="s">
        <v>355</v>
      </c>
      <c r="J2549" s="14"/>
      <c r="O2549" s="22"/>
      <c r="P2549" s="22"/>
      <c r="Q2549" s="23"/>
      <c r="R2549" s="23"/>
      <c r="S2549" s="14"/>
    </row>
    <row r="2550" ht="18.75" customHeight="1">
      <c r="A2550" s="7" t="s">
        <v>993</v>
      </c>
      <c r="B2550" s="7" t="s">
        <v>3883</v>
      </c>
      <c r="C2550" s="9">
        <v>0.0</v>
      </c>
      <c r="D2550" s="9">
        <v>0.0</v>
      </c>
      <c r="E2550" s="9">
        <v>0.0</v>
      </c>
      <c r="F2550" s="7" t="s">
        <v>994</v>
      </c>
      <c r="G2550" s="7" t="s">
        <v>358</v>
      </c>
      <c r="H2550" s="7" t="s">
        <v>466</v>
      </c>
      <c r="I2550" s="7" t="s">
        <v>355</v>
      </c>
      <c r="J2550" s="14"/>
      <c r="O2550" s="22"/>
      <c r="P2550" s="22"/>
      <c r="Q2550" s="23"/>
      <c r="R2550" s="23"/>
      <c r="S2550" s="14"/>
    </row>
    <row r="2551" ht="18.75" customHeight="1">
      <c r="A2551" s="7" t="s">
        <v>993</v>
      </c>
      <c r="B2551" s="7" t="s">
        <v>3883</v>
      </c>
      <c r="C2551" s="9">
        <v>0.0</v>
      </c>
      <c r="D2551" s="9">
        <v>0.0</v>
      </c>
      <c r="E2551" s="9">
        <v>0.0</v>
      </c>
      <c r="F2551" s="7" t="s">
        <v>994</v>
      </c>
      <c r="G2551" s="7" t="s">
        <v>358</v>
      </c>
      <c r="H2551" s="7" t="s">
        <v>466</v>
      </c>
      <c r="I2551" s="7" t="s">
        <v>355</v>
      </c>
      <c r="J2551" s="14"/>
      <c r="O2551" s="22"/>
      <c r="P2551" s="22"/>
      <c r="Q2551" s="23"/>
      <c r="R2551" s="23"/>
      <c r="S2551" s="14"/>
    </row>
    <row r="2552" ht="18.75" customHeight="1">
      <c r="A2552" s="7" t="s">
        <v>993</v>
      </c>
      <c r="B2552" s="7" t="s">
        <v>3883</v>
      </c>
      <c r="C2552" s="9">
        <v>0.0</v>
      </c>
      <c r="D2552" s="9">
        <v>0.0</v>
      </c>
      <c r="E2552" s="9">
        <v>0.0</v>
      </c>
      <c r="F2552" s="7" t="s">
        <v>994</v>
      </c>
      <c r="G2552" s="7" t="s">
        <v>358</v>
      </c>
      <c r="H2552" s="7" t="s">
        <v>466</v>
      </c>
      <c r="I2552" s="7" t="s">
        <v>355</v>
      </c>
      <c r="J2552" s="14"/>
      <c r="O2552" s="22"/>
      <c r="P2552" s="22"/>
      <c r="Q2552" s="23"/>
      <c r="R2552" s="23"/>
      <c r="S2552" s="14"/>
    </row>
    <row r="2553" ht="18.75" customHeight="1">
      <c r="A2553" s="7" t="s">
        <v>993</v>
      </c>
      <c r="B2553" s="7" t="s">
        <v>3883</v>
      </c>
      <c r="C2553" s="9">
        <v>0.0</v>
      </c>
      <c r="D2553" s="9">
        <v>0.0</v>
      </c>
      <c r="E2553" s="9">
        <v>0.0</v>
      </c>
      <c r="F2553" s="7" t="s">
        <v>994</v>
      </c>
      <c r="G2553" s="7" t="s">
        <v>358</v>
      </c>
      <c r="H2553" s="7" t="s">
        <v>466</v>
      </c>
      <c r="I2553" s="7" t="s">
        <v>355</v>
      </c>
      <c r="J2553" s="14"/>
      <c r="O2553" s="22"/>
      <c r="P2553" s="22"/>
      <c r="Q2553" s="23"/>
      <c r="R2553" s="23"/>
      <c r="S2553" s="14"/>
    </row>
    <row r="2554" ht="18.75" customHeight="1">
      <c r="A2554" s="7" t="s">
        <v>993</v>
      </c>
      <c r="B2554" s="7" t="s">
        <v>3883</v>
      </c>
      <c r="C2554" s="9">
        <v>43552.0</v>
      </c>
      <c r="D2554" s="9">
        <v>11847.0</v>
      </c>
      <c r="E2554" s="9">
        <v>254.0</v>
      </c>
      <c r="F2554" s="7" t="s">
        <v>994</v>
      </c>
      <c r="G2554" s="7" t="s">
        <v>358</v>
      </c>
      <c r="H2554" s="7" t="s">
        <v>466</v>
      </c>
      <c r="I2554" s="7" t="s">
        <v>355</v>
      </c>
      <c r="J2554" s="14"/>
      <c r="O2554" s="22"/>
      <c r="P2554" s="22"/>
      <c r="Q2554" s="23"/>
      <c r="R2554" s="23"/>
      <c r="S2554" s="14"/>
    </row>
    <row r="2555" ht="18.75" customHeight="1">
      <c r="A2555" s="7" t="s">
        <v>993</v>
      </c>
      <c r="B2555" s="7" t="s">
        <v>3883</v>
      </c>
      <c r="C2555" s="9">
        <v>35723.0</v>
      </c>
      <c r="D2555" s="9">
        <v>0.0</v>
      </c>
      <c r="E2555" s="9">
        <v>1213.0</v>
      </c>
      <c r="F2555" s="7" t="s">
        <v>994</v>
      </c>
      <c r="G2555" s="7" t="s">
        <v>358</v>
      </c>
      <c r="H2555" s="7" t="s">
        <v>466</v>
      </c>
      <c r="I2555" s="7" t="s">
        <v>355</v>
      </c>
      <c r="J2555" s="14"/>
      <c r="O2555" s="22"/>
      <c r="P2555" s="22"/>
      <c r="Q2555" s="23"/>
      <c r="R2555" s="23"/>
      <c r="S2555" s="14"/>
    </row>
    <row r="2556" ht="18.75" customHeight="1">
      <c r="A2556" s="7" t="s">
        <v>993</v>
      </c>
      <c r="B2556" s="7" t="s">
        <v>3883</v>
      </c>
      <c r="C2556" s="9">
        <v>56463.0</v>
      </c>
      <c r="D2556" s="9">
        <v>0.0</v>
      </c>
      <c r="E2556" s="9">
        <v>1585.0</v>
      </c>
      <c r="F2556" s="7" t="s">
        <v>994</v>
      </c>
      <c r="G2556" s="7" t="s">
        <v>358</v>
      </c>
      <c r="H2556" s="7" t="s">
        <v>466</v>
      </c>
      <c r="I2556" s="7" t="s">
        <v>355</v>
      </c>
      <c r="J2556" s="14"/>
      <c r="O2556" s="22"/>
      <c r="P2556" s="22"/>
      <c r="Q2556" s="23"/>
      <c r="R2556" s="23"/>
      <c r="S2556" s="14"/>
    </row>
    <row r="2557" ht="18.75" customHeight="1">
      <c r="A2557" s="7" t="s">
        <v>1045</v>
      </c>
      <c r="B2557" s="7" t="s">
        <v>3883</v>
      </c>
      <c r="C2557" s="9">
        <v>0.0</v>
      </c>
      <c r="D2557" s="9">
        <v>0.0</v>
      </c>
      <c r="E2557" s="9">
        <v>0.0</v>
      </c>
      <c r="F2557" s="7" t="s">
        <v>1046</v>
      </c>
      <c r="G2557" s="7" t="s">
        <v>364</v>
      </c>
      <c r="H2557" s="7" t="s">
        <v>504</v>
      </c>
      <c r="I2557" s="7" t="s">
        <v>355</v>
      </c>
      <c r="J2557" s="14"/>
      <c r="O2557" s="22"/>
      <c r="P2557" s="22"/>
      <c r="Q2557" s="23"/>
      <c r="R2557" s="23"/>
      <c r="S2557" s="14"/>
    </row>
    <row r="2558" ht="18.75" customHeight="1">
      <c r="A2558" s="7" t="s">
        <v>1029</v>
      </c>
      <c r="B2558" s="7" t="s">
        <v>3883</v>
      </c>
      <c r="C2558" s="9">
        <v>318566.0</v>
      </c>
      <c r="D2558" s="9">
        <v>250969.0</v>
      </c>
      <c r="E2558" s="9">
        <v>306.0</v>
      </c>
      <c r="F2558" s="7" t="s">
        <v>1030</v>
      </c>
      <c r="G2558" s="7" t="s">
        <v>404</v>
      </c>
      <c r="H2558" s="7" t="s">
        <v>667</v>
      </c>
      <c r="I2558" s="7" t="s">
        <v>355</v>
      </c>
      <c r="J2558" s="14"/>
      <c r="O2558" s="22"/>
      <c r="P2558" s="22"/>
      <c r="Q2558" s="23"/>
      <c r="R2558" s="23"/>
      <c r="S2558" s="14"/>
    </row>
    <row r="2559" ht="18.75" customHeight="1">
      <c r="A2559" s="7" t="s">
        <v>1135</v>
      </c>
      <c r="B2559" s="7" t="s">
        <v>3883</v>
      </c>
      <c r="C2559" s="9">
        <v>339149.0</v>
      </c>
      <c r="D2559" s="9">
        <v>297770.0</v>
      </c>
      <c r="E2559" s="9">
        <v>373.0</v>
      </c>
      <c r="F2559" s="7" t="s">
        <v>1136</v>
      </c>
      <c r="G2559" s="7" t="s">
        <v>404</v>
      </c>
      <c r="H2559" s="7" t="s">
        <v>667</v>
      </c>
      <c r="I2559" s="7" t="s">
        <v>355</v>
      </c>
      <c r="J2559" s="14"/>
      <c r="O2559" s="22"/>
      <c r="P2559" s="22"/>
      <c r="Q2559" s="23"/>
      <c r="R2559" s="23"/>
      <c r="S2559" s="14"/>
    </row>
    <row r="2560" ht="18.75" customHeight="1">
      <c r="A2560" s="7" t="s">
        <v>1135</v>
      </c>
      <c r="B2560" s="7" t="s">
        <v>3883</v>
      </c>
      <c r="C2560" s="9">
        <v>503343.0</v>
      </c>
      <c r="D2560" s="9">
        <v>29380.0</v>
      </c>
      <c r="E2560" s="9">
        <v>653.0</v>
      </c>
      <c r="F2560" s="7" t="s">
        <v>1136</v>
      </c>
      <c r="G2560" s="7" t="s">
        <v>404</v>
      </c>
      <c r="H2560" s="7" t="s">
        <v>667</v>
      </c>
      <c r="I2560" s="7" t="s">
        <v>355</v>
      </c>
      <c r="J2560" s="14"/>
      <c r="O2560" s="22"/>
      <c r="P2560" s="22"/>
      <c r="Q2560" s="23"/>
      <c r="R2560" s="23"/>
      <c r="S2560" s="14"/>
    </row>
    <row r="2561" ht="18.75" customHeight="1">
      <c r="A2561" s="7" t="s">
        <v>1135</v>
      </c>
      <c r="B2561" s="7" t="s">
        <v>3883</v>
      </c>
      <c r="C2561" s="9">
        <v>247899.0</v>
      </c>
      <c r="D2561" s="9">
        <v>216019.0</v>
      </c>
      <c r="E2561" s="9">
        <v>146.0</v>
      </c>
      <c r="F2561" s="7" t="s">
        <v>1136</v>
      </c>
      <c r="G2561" s="7" t="s">
        <v>404</v>
      </c>
      <c r="H2561" s="7" t="s">
        <v>667</v>
      </c>
      <c r="I2561" s="7" t="s">
        <v>355</v>
      </c>
      <c r="J2561" s="14"/>
      <c r="O2561" s="22"/>
      <c r="P2561" s="22"/>
      <c r="Q2561" s="23"/>
      <c r="R2561" s="23"/>
      <c r="S2561" s="14"/>
    </row>
    <row r="2562" ht="18.75" customHeight="1">
      <c r="A2562" s="7" t="s">
        <v>1135</v>
      </c>
      <c r="B2562" s="7" t="s">
        <v>3883</v>
      </c>
      <c r="C2562" s="9">
        <v>165098.0</v>
      </c>
      <c r="D2562" s="9">
        <v>0.0</v>
      </c>
      <c r="E2562" s="9">
        <v>13191.0</v>
      </c>
      <c r="F2562" s="7" t="s">
        <v>1136</v>
      </c>
      <c r="G2562" s="7" t="s">
        <v>404</v>
      </c>
      <c r="H2562" s="7" t="s">
        <v>667</v>
      </c>
      <c r="I2562" s="7" t="s">
        <v>355</v>
      </c>
      <c r="J2562" s="14"/>
      <c r="O2562" s="22"/>
      <c r="P2562" s="22"/>
      <c r="Q2562" s="23"/>
      <c r="R2562" s="23"/>
      <c r="S2562" s="14"/>
    </row>
    <row r="2563" ht="18.75" customHeight="1">
      <c r="A2563" s="7" t="s">
        <v>1135</v>
      </c>
      <c r="B2563" s="7" t="s">
        <v>3883</v>
      </c>
      <c r="C2563" s="9">
        <v>225145.0</v>
      </c>
      <c r="D2563" s="9">
        <v>0.0</v>
      </c>
      <c r="E2563" s="9">
        <v>4299.0</v>
      </c>
      <c r="F2563" s="7" t="s">
        <v>1136</v>
      </c>
      <c r="G2563" s="7" t="s">
        <v>404</v>
      </c>
      <c r="H2563" s="7" t="s">
        <v>667</v>
      </c>
      <c r="I2563" s="7" t="s">
        <v>355</v>
      </c>
      <c r="J2563" s="14"/>
      <c r="O2563" s="22"/>
      <c r="P2563" s="22"/>
      <c r="Q2563" s="23"/>
      <c r="R2563" s="23"/>
      <c r="S2563" s="14"/>
    </row>
    <row r="2564" ht="18.75" customHeight="1">
      <c r="A2564" s="7" t="s">
        <v>1233</v>
      </c>
      <c r="B2564" s="7" t="s">
        <v>3883</v>
      </c>
      <c r="C2564" s="9">
        <v>0.0</v>
      </c>
      <c r="D2564" s="9">
        <v>0.0</v>
      </c>
      <c r="E2564" s="9">
        <v>0.0</v>
      </c>
      <c r="F2564" s="7" t="s">
        <v>1234</v>
      </c>
      <c r="G2564" s="7" t="s">
        <v>404</v>
      </c>
      <c r="H2564" s="7" t="s">
        <v>405</v>
      </c>
      <c r="I2564" s="7" t="s">
        <v>355</v>
      </c>
      <c r="J2564" s="14"/>
      <c r="O2564" s="22"/>
      <c r="P2564" s="22"/>
      <c r="Q2564" s="23"/>
      <c r="R2564" s="23"/>
      <c r="S2564" s="14"/>
    </row>
    <row r="2565" ht="18.75" customHeight="1">
      <c r="A2565" s="7" t="s">
        <v>1111</v>
      </c>
      <c r="B2565" s="7" t="s">
        <v>3883</v>
      </c>
      <c r="C2565" s="9">
        <v>155259.0</v>
      </c>
      <c r="D2565" s="9">
        <v>0.0</v>
      </c>
      <c r="E2565" s="9">
        <v>5803.0</v>
      </c>
      <c r="F2565" s="7" t="s">
        <v>1112</v>
      </c>
      <c r="G2565" s="7" t="s">
        <v>416</v>
      </c>
      <c r="H2565" s="7" t="s">
        <v>417</v>
      </c>
      <c r="I2565" s="7" t="s">
        <v>355</v>
      </c>
      <c r="J2565" s="14"/>
      <c r="O2565" s="22"/>
      <c r="P2565" s="22"/>
      <c r="Q2565" s="23"/>
      <c r="R2565" s="23"/>
      <c r="S2565" s="14"/>
    </row>
    <row r="2566" ht="18.75" customHeight="1">
      <c r="A2566" s="7" t="s">
        <v>3754</v>
      </c>
      <c r="B2566" s="7" t="s">
        <v>3883</v>
      </c>
      <c r="C2566" s="9">
        <v>39514.0</v>
      </c>
      <c r="D2566" s="9">
        <v>0.0</v>
      </c>
      <c r="E2566" s="9">
        <v>1499.0</v>
      </c>
      <c r="F2566" s="7" t="s">
        <v>3895</v>
      </c>
      <c r="G2566" s="7" t="s">
        <v>416</v>
      </c>
      <c r="H2566" s="7" t="s">
        <v>417</v>
      </c>
      <c r="I2566" s="7" t="s">
        <v>3886</v>
      </c>
      <c r="J2566" s="14"/>
      <c r="O2566" s="22"/>
      <c r="P2566" s="22"/>
      <c r="Q2566" s="23"/>
      <c r="R2566" s="23"/>
      <c r="S2566" s="14"/>
    </row>
    <row r="2567" ht="18.75" customHeight="1">
      <c r="A2567" s="7" t="s">
        <v>1351</v>
      </c>
      <c r="B2567" s="7" t="s">
        <v>3883</v>
      </c>
      <c r="C2567" s="9">
        <v>75171.0</v>
      </c>
      <c r="D2567" s="9">
        <v>0.0</v>
      </c>
      <c r="E2567" s="9">
        <v>2628.0</v>
      </c>
      <c r="F2567" s="7" t="s">
        <v>1352</v>
      </c>
      <c r="G2567" s="7" t="s">
        <v>416</v>
      </c>
      <c r="H2567" s="7" t="s">
        <v>417</v>
      </c>
      <c r="I2567" s="7" t="s">
        <v>355</v>
      </c>
      <c r="J2567" s="14"/>
      <c r="O2567" s="22"/>
      <c r="P2567" s="22"/>
      <c r="Q2567" s="23"/>
      <c r="R2567" s="23"/>
      <c r="S2567" s="14"/>
    </row>
    <row r="2568" ht="18.75" customHeight="1">
      <c r="A2568" s="7" t="s">
        <v>1137</v>
      </c>
      <c r="B2568" s="7" t="s">
        <v>3883</v>
      </c>
      <c r="C2568" s="9">
        <v>25734.0</v>
      </c>
      <c r="D2568" s="9">
        <v>0.0</v>
      </c>
      <c r="E2568" s="9">
        <v>753.0</v>
      </c>
      <c r="F2568" s="7" t="s">
        <v>1138</v>
      </c>
      <c r="G2568" s="7" t="s">
        <v>416</v>
      </c>
      <c r="H2568" s="7" t="s">
        <v>417</v>
      </c>
      <c r="I2568" s="7" t="s">
        <v>355</v>
      </c>
      <c r="J2568" s="14"/>
      <c r="O2568" s="22"/>
      <c r="P2568" s="22"/>
      <c r="Q2568" s="23"/>
      <c r="R2568" s="23"/>
      <c r="S2568" s="14"/>
    </row>
    <row r="2569" ht="18.75" customHeight="1">
      <c r="A2569" s="7" t="s">
        <v>1307</v>
      </c>
      <c r="B2569" s="7" t="s">
        <v>3883</v>
      </c>
      <c r="C2569" s="9">
        <v>230261.0</v>
      </c>
      <c r="D2569" s="9">
        <v>0.0</v>
      </c>
      <c r="E2569" s="9">
        <v>3748.0</v>
      </c>
      <c r="F2569" s="7" t="s">
        <v>1308</v>
      </c>
      <c r="G2569" s="7" t="s">
        <v>416</v>
      </c>
      <c r="H2569" s="7" t="s">
        <v>417</v>
      </c>
      <c r="I2569" s="7" t="s">
        <v>355</v>
      </c>
      <c r="J2569" s="14"/>
      <c r="O2569" s="22"/>
      <c r="P2569" s="22"/>
      <c r="Q2569" s="23"/>
      <c r="R2569" s="23"/>
      <c r="S2569" s="14"/>
    </row>
    <row r="2570" ht="18.75" customHeight="1">
      <c r="A2570" s="7" t="s">
        <v>1145</v>
      </c>
      <c r="B2570" s="7" t="s">
        <v>3883</v>
      </c>
      <c r="C2570" s="9">
        <v>630656.0</v>
      </c>
      <c r="D2570" s="9">
        <v>0.0</v>
      </c>
      <c r="E2570" s="9">
        <v>14616.0</v>
      </c>
      <c r="F2570" s="7" t="s">
        <v>1146</v>
      </c>
      <c r="G2570" s="7" t="s">
        <v>353</v>
      </c>
      <c r="H2570" s="7" t="s">
        <v>378</v>
      </c>
      <c r="I2570" s="7" t="s">
        <v>355</v>
      </c>
      <c r="J2570" s="14"/>
      <c r="O2570" s="22"/>
      <c r="P2570" s="22"/>
      <c r="Q2570" s="23"/>
      <c r="R2570" s="23"/>
      <c r="S2570" s="14"/>
    </row>
    <row r="2571" ht="18.75" customHeight="1">
      <c r="A2571" s="7" t="s">
        <v>1193</v>
      </c>
      <c r="B2571" s="7" t="s">
        <v>3883</v>
      </c>
      <c r="C2571" s="9">
        <v>803170.0</v>
      </c>
      <c r="D2571" s="9">
        <v>0.0</v>
      </c>
      <c r="E2571" s="9">
        <v>11695.0</v>
      </c>
      <c r="F2571" s="7" t="s">
        <v>1194</v>
      </c>
      <c r="G2571" s="7" t="s">
        <v>353</v>
      </c>
      <c r="H2571" s="7" t="s">
        <v>378</v>
      </c>
      <c r="I2571" s="7" t="s">
        <v>355</v>
      </c>
      <c r="J2571" s="14"/>
      <c r="O2571" s="22"/>
      <c r="P2571" s="22"/>
      <c r="Q2571" s="23"/>
      <c r="R2571" s="23"/>
      <c r="S2571" s="14"/>
    </row>
    <row r="2572" ht="18.75" customHeight="1">
      <c r="A2572" s="7" t="s">
        <v>1223</v>
      </c>
      <c r="B2572" s="7" t="s">
        <v>3883</v>
      </c>
      <c r="C2572" s="9">
        <v>384416.0</v>
      </c>
      <c r="D2572" s="9">
        <v>0.0</v>
      </c>
      <c r="E2572" s="9">
        <v>16111.0</v>
      </c>
      <c r="F2572" s="7" t="s">
        <v>1224</v>
      </c>
      <c r="G2572" s="7" t="s">
        <v>353</v>
      </c>
      <c r="H2572" s="7" t="s">
        <v>378</v>
      </c>
      <c r="I2572" s="7" t="s">
        <v>355</v>
      </c>
      <c r="J2572" s="14"/>
      <c r="O2572" s="22"/>
      <c r="P2572" s="22"/>
      <c r="Q2572" s="23"/>
      <c r="R2572" s="23"/>
      <c r="S2572" s="14"/>
    </row>
    <row r="2573" ht="18.75" customHeight="1">
      <c r="A2573" s="7" t="s">
        <v>1279</v>
      </c>
      <c r="B2573" s="7" t="s">
        <v>3883</v>
      </c>
      <c r="C2573" s="9">
        <v>101714.0</v>
      </c>
      <c r="D2573" s="9">
        <v>0.0</v>
      </c>
      <c r="E2573" s="9">
        <v>3347.0</v>
      </c>
      <c r="F2573" s="7" t="s">
        <v>1280</v>
      </c>
      <c r="G2573" s="7" t="s">
        <v>353</v>
      </c>
      <c r="H2573" s="7" t="s">
        <v>378</v>
      </c>
      <c r="I2573" s="7" t="s">
        <v>355</v>
      </c>
      <c r="J2573" s="14"/>
      <c r="O2573" s="22"/>
      <c r="P2573" s="22"/>
      <c r="Q2573" s="23"/>
      <c r="R2573" s="23"/>
      <c r="S2573" s="14"/>
    </row>
    <row r="2574" ht="18.75" customHeight="1">
      <c r="A2574" s="7" t="s">
        <v>1183</v>
      </c>
      <c r="B2574" s="7" t="s">
        <v>3883</v>
      </c>
      <c r="C2574" s="9">
        <v>203790.0</v>
      </c>
      <c r="D2574" s="9">
        <v>164039.0</v>
      </c>
      <c r="E2574" s="9">
        <v>70.0</v>
      </c>
      <c r="F2574" s="7" t="s">
        <v>1184</v>
      </c>
      <c r="G2574" s="7" t="s">
        <v>416</v>
      </c>
      <c r="H2574" s="7" t="s">
        <v>417</v>
      </c>
      <c r="I2574" s="7" t="s">
        <v>355</v>
      </c>
      <c r="J2574" s="14"/>
      <c r="O2574" s="22"/>
      <c r="P2574" s="22"/>
      <c r="Q2574" s="23"/>
      <c r="R2574" s="23"/>
      <c r="S2574" s="14"/>
    </row>
    <row r="2575" ht="18.75" customHeight="1">
      <c r="A2575" s="7" t="s">
        <v>713</v>
      </c>
      <c r="B2575" s="7" t="s">
        <v>3883</v>
      </c>
      <c r="C2575" s="9">
        <v>8588.0</v>
      </c>
      <c r="D2575" s="9">
        <v>0.0</v>
      </c>
      <c r="E2575" s="9">
        <v>605.0</v>
      </c>
      <c r="F2575" s="7" t="s">
        <v>714</v>
      </c>
      <c r="G2575" s="7" t="s">
        <v>353</v>
      </c>
      <c r="H2575" s="7" t="s">
        <v>378</v>
      </c>
      <c r="I2575" s="7" t="s">
        <v>355</v>
      </c>
      <c r="J2575" s="14"/>
      <c r="O2575" s="22"/>
      <c r="P2575" s="22"/>
      <c r="Q2575" s="23"/>
      <c r="R2575" s="23"/>
      <c r="S2575" s="14"/>
    </row>
    <row r="2576" ht="18.75" customHeight="1">
      <c r="A2576" s="7" t="s">
        <v>713</v>
      </c>
      <c r="B2576" s="7" t="s">
        <v>3883</v>
      </c>
      <c r="C2576" s="9">
        <v>4431.0</v>
      </c>
      <c r="D2576" s="9">
        <v>3617.0</v>
      </c>
      <c r="E2576" s="9">
        <v>7.0</v>
      </c>
      <c r="F2576" s="7" t="s">
        <v>714</v>
      </c>
      <c r="G2576" s="7" t="s">
        <v>353</v>
      </c>
      <c r="H2576" s="7" t="s">
        <v>378</v>
      </c>
      <c r="I2576" s="7" t="s">
        <v>355</v>
      </c>
      <c r="J2576" s="14"/>
      <c r="O2576" s="22"/>
      <c r="P2576" s="22"/>
      <c r="Q2576" s="23"/>
      <c r="R2576" s="23"/>
      <c r="S2576" s="14"/>
    </row>
    <row r="2577" ht="18.75" customHeight="1">
      <c r="A2577" s="7" t="s">
        <v>713</v>
      </c>
      <c r="B2577" s="7" t="s">
        <v>3883</v>
      </c>
      <c r="C2577" s="9">
        <v>16248.0</v>
      </c>
      <c r="D2577" s="9">
        <v>7478.0</v>
      </c>
      <c r="E2577" s="9">
        <v>12.0</v>
      </c>
      <c r="F2577" s="7" t="s">
        <v>714</v>
      </c>
      <c r="G2577" s="7" t="s">
        <v>353</v>
      </c>
      <c r="H2577" s="7" t="s">
        <v>378</v>
      </c>
      <c r="I2577" s="7" t="s">
        <v>355</v>
      </c>
      <c r="J2577" s="14"/>
      <c r="O2577" s="22"/>
      <c r="P2577" s="22"/>
      <c r="Q2577" s="23"/>
      <c r="R2577" s="23"/>
      <c r="S2577" s="14"/>
    </row>
    <row r="2578" ht="18.75" customHeight="1">
      <c r="A2578" s="7" t="s">
        <v>834</v>
      </c>
      <c r="B2578" s="7" t="s">
        <v>3883</v>
      </c>
      <c r="C2578" s="9">
        <v>8574.0</v>
      </c>
      <c r="D2578" s="9">
        <v>0.0</v>
      </c>
      <c r="E2578" s="9">
        <v>480.0</v>
      </c>
      <c r="F2578" s="7" t="s">
        <v>835</v>
      </c>
      <c r="G2578" s="7" t="s">
        <v>404</v>
      </c>
      <c r="H2578" s="7" t="s">
        <v>405</v>
      </c>
      <c r="I2578" s="7" t="s">
        <v>355</v>
      </c>
      <c r="J2578" s="14"/>
      <c r="O2578" s="22"/>
      <c r="P2578" s="22"/>
      <c r="Q2578" s="23"/>
      <c r="R2578" s="23"/>
      <c r="S2578" s="14"/>
    </row>
    <row r="2579" ht="18.75" customHeight="1">
      <c r="A2579" s="7" t="s">
        <v>834</v>
      </c>
      <c r="B2579" s="7" t="s">
        <v>3883</v>
      </c>
      <c r="C2579" s="9">
        <v>2112.0</v>
      </c>
      <c r="D2579" s="9">
        <v>1207.0</v>
      </c>
      <c r="E2579" s="9">
        <v>0.0</v>
      </c>
      <c r="F2579" s="7" t="s">
        <v>835</v>
      </c>
      <c r="G2579" s="7" t="s">
        <v>404</v>
      </c>
      <c r="H2579" s="7" t="s">
        <v>405</v>
      </c>
      <c r="I2579" s="7" t="s">
        <v>355</v>
      </c>
      <c r="J2579" s="14"/>
      <c r="O2579" s="22"/>
      <c r="P2579" s="22"/>
      <c r="Q2579" s="23"/>
      <c r="R2579" s="23"/>
      <c r="S2579" s="14"/>
    </row>
    <row r="2580" ht="18.75" customHeight="1">
      <c r="A2580" s="7" t="s">
        <v>834</v>
      </c>
      <c r="B2580" s="7" t="s">
        <v>3883</v>
      </c>
      <c r="C2580" s="9">
        <v>3842.0</v>
      </c>
      <c r="D2580" s="9">
        <v>2181.0</v>
      </c>
      <c r="E2580" s="9">
        <v>2.0</v>
      </c>
      <c r="F2580" s="7" t="s">
        <v>835</v>
      </c>
      <c r="G2580" s="7" t="s">
        <v>404</v>
      </c>
      <c r="H2580" s="7" t="s">
        <v>405</v>
      </c>
      <c r="I2580" s="7" t="s">
        <v>355</v>
      </c>
      <c r="J2580" s="14"/>
      <c r="O2580" s="22"/>
      <c r="P2580" s="22"/>
      <c r="Q2580" s="23"/>
      <c r="R2580" s="23"/>
      <c r="S2580" s="14"/>
    </row>
    <row r="2581" ht="18.75" customHeight="1">
      <c r="A2581" s="7" t="s">
        <v>941</v>
      </c>
      <c r="B2581" s="7" t="s">
        <v>3883</v>
      </c>
      <c r="C2581" s="9">
        <v>1959.0</v>
      </c>
      <c r="D2581" s="9">
        <v>1761.0</v>
      </c>
      <c r="E2581" s="9">
        <v>1.0</v>
      </c>
      <c r="F2581" s="7" t="s">
        <v>942</v>
      </c>
      <c r="G2581" s="7" t="s">
        <v>404</v>
      </c>
      <c r="H2581" s="7" t="s">
        <v>405</v>
      </c>
      <c r="I2581" s="7" t="s">
        <v>355</v>
      </c>
      <c r="J2581" s="14"/>
      <c r="O2581" s="22"/>
      <c r="P2581" s="22"/>
      <c r="Q2581" s="23"/>
      <c r="R2581" s="23"/>
      <c r="S2581" s="14"/>
    </row>
    <row r="2582" ht="18.75" customHeight="1">
      <c r="A2582" s="7" t="s">
        <v>941</v>
      </c>
      <c r="B2582" s="7" t="s">
        <v>3883</v>
      </c>
      <c r="C2582" s="9">
        <v>4821.0</v>
      </c>
      <c r="D2582" s="9">
        <v>0.0</v>
      </c>
      <c r="E2582" s="9">
        <v>133.0</v>
      </c>
      <c r="F2582" s="7" t="s">
        <v>942</v>
      </c>
      <c r="G2582" s="7" t="s">
        <v>404</v>
      </c>
      <c r="H2582" s="7" t="s">
        <v>405</v>
      </c>
      <c r="I2582" s="7" t="s">
        <v>355</v>
      </c>
      <c r="J2582" s="14"/>
      <c r="O2582" s="22"/>
      <c r="P2582" s="22"/>
      <c r="Q2582" s="23"/>
      <c r="R2582" s="23"/>
      <c r="S2582" s="14"/>
    </row>
    <row r="2583" ht="18.75" customHeight="1">
      <c r="A2583" s="7" t="s">
        <v>941</v>
      </c>
      <c r="B2583" s="7" t="s">
        <v>3883</v>
      </c>
      <c r="C2583" s="9">
        <v>1351.0</v>
      </c>
      <c r="D2583" s="9">
        <v>929.0</v>
      </c>
      <c r="E2583" s="9">
        <v>1.0</v>
      </c>
      <c r="F2583" s="7" t="s">
        <v>942</v>
      </c>
      <c r="G2583" s="7" t="s">
        <v>404</v>
      </c>
      <c r="H2583" s="7" t="s">
        <v>405</v>
      </c>
      <c r="I2583" s="7" t="s">
        <v>355</v>
      </c>
      <c r="J2583" s="14"/>
      <c r="O2583" s="22"/>
      <c r="P2583" s="22"/>
      <c r="Q2583" s="23"/>
      <c r="R2583" s="23"/>
      <c r="S2583" s="14"/>
    </row>
    <row r="2584" ht="18.75" customHeight="1">
      <c r="A2584" s="7" t="s">
        <v>939</v>
      </c>
      <c r="B2584" s="7" t="s">
        <v>3883</v>
      </c>
      <c r="C2584" s="9">
        <v>2757.0</v>
      </c>
      <c r="D2584" s="9">
        <v>2444.0</v>
      </c>
      <c r="E2584" s="9">
        <v>3.0</v>
      </c>
      <c r="F2584" s="7" t="s">
        <v>940</v>
      </c>
      <c r="G2584" s="7" t="s">
        <v>404</v>
      </c>
      <c r="H2584" s="7" t="s">
        <v>405</v>
      </c>
      <c r="I2584" s="7" t="s">
        <v>355</v>
      </c>
      <c r="J2584" s="14"/>
      <c r="O2584" s="22"/>
      <c r="P2584" s="22"/>
      <c r="Q2584" s="23"/>
      <c r="R2584" s="23"/>
      <c r="S2584" s="14"/>
    </row>
    <row r="2585" ht="18.75" customHeight="1">
      <c r="A2585" s="7" t="s">
        <v>939</v>
      </c>
      <c r="B2585" s="7" t="s">
        <v>3883</v>
      </c>
      <c r="C2585" s="9">
        <v>5153.0</v>
      </c>
      <c r="D2585" s="9">
        <v>0.0</v>
      </c>
      <c r="E2585" s="9">
        <v>117.0</v>
      </c>
      <c r="F2585" s="7" t="s">
        <v>940</v>
      </c>
      <c r="G2585" s="7" t="s">
        <v>404</v>
      </c>
      <c r="H2585" s="7" t="s">
        <v>405</v>
      </c>
      <c r="I2585" s="7" t="s">
        <v>355</v>
      </c>
      <c r="J2585" s="14"/>
      <c r="O2585" s="22"/>
      <c r="P2585" s="22"/>
      <c r="Q2585" s="23"/>
      <c r="R2585" s="23"/>
      <c r="S2585" s="14"/>
    </row>
    <row r="2586" ht="18.75" customHeight="1">
      <c r="A2586" s="7" t="s">
        <v>939</v>
      </c>
      <c r="B2586" s="7" t="s">
        <v>3883</v>
      </c>
      <c r="C2586" s="9">
        <v>1753.0</v>
      </c>
      <c r="D2586" s="9">
        <v>1557.0</v>
      </c>
      <c r="E2586" s="9">
        <v>0.0</v>
      </c>
      <c r="F2586" s="7" t="s">
        <v>940</v>
      </c>
      <c r="G2586" s="7" t="s">
        <v>404</v>
      </c>
      <c r="H2586" s="7" t="s">
        <v>405</v>
      </c>
      <c r="I2586" s="7" t="s">
        <v>355</v>
      </c>
      <c r="J2586" s="14"/>
      <c r="O2586" s="22"/>
      <c r="P2586" s="22"/>
      <c r="Q2586" s="23"/>
      <c r="R2586" s="23"/>
      <c r="S2586" s="14"/>
    </row>
    <row r="2587" ht="18.75" customHeight="1">
      <c r="A2587" s="7" t="s">
        <v>1033</v>
      </c>
      <c r="B2587" s="7" t="s">
        <v>3883</v>
      </c>
      <c r="C2587" s="9">
        <v>1365.0</v>
      </c>
      <c r="D2587" s="9">
        <v>1175.0</v>
      </c>
      <c r="E2587" s="9">
        <v>1.0</v>
      </c>
      <c r="F2587" s="7" t="s">
        <v>1034</v>
      </c>
      <c r="G2587" s="7" t="s">
        <v>416</v>
      </c>
      <c r="H2587" s="7" t="s">
        <v>417</v>
      </c>
      <c r="I2587" s="7" t="s">
        <v>355</v>
      </c>
      <c r="J2587" s="14"/>
      <c r="O2587" s="22"/>
      <c r="P2587" s="22"/>
      <c r="Q2587" s="23"/>
      <c r="R2587" s="23"/>
      <c r="S2587" s="14"/>
    </row>
    <row r="2588" ht="18.75" customHeight="1">
      <c r="A2588" s="7" t="s">
        <v>1071</v>
      </c>
      <c r="B2588" s="7" t="s">
        <v>3883</v>
      </c>
      <c r="C2588" s="9">
        <v>72747.0</v>
      </c>
      <c r="D2588" s="9">
        <v>24626.0</v>
      </c>
      <c r="E2588" s="9">
        <v>138.0</v>
      </c>
      <c r="F2588" s="7" t="s">
        <v>1072</v>
      </c>
      <c r="G2588" s="7" t="s">
        <v>416</v>
      </c>
      <c r="H2588" s="7" t="s">
        <v>417</v>
      </c>
      <c r="I2588" s="7" t="s">
        <v>355</v>
      </c>
      <c r="J2588" s="14"/>
      <c r="O2588" s="22"/>
      <c r="P2588" s="22"/>
      <c r="Q2588" s="23"/>
      <c r="R2588" s="23"/>
      <c r="S2588" s="14"/>
    </row>
    <row r="2589" ht="18.75" customHeight="1">
      <c r="A2589" s="7" t="s">
        <v>1035</v>
      </c>
      <c r="B2589" s="7" t="s">
        <v>3883</v>
      </c>
      <c r="C2589" s="9">
        <v>183760.0</v>
      </c>
      <c r="D2589" s="9">
        <v>133647.0</v>
      </c>
      <c r="E2589" s="9">
        <v>91.0</v>
      </c>
      <c r="F2589" s="7" t="s">
        <v>1036</v>
      </c>
      <c r="G2589" s="7" t="s">
        <v>416</v>
      </c>
      <c r="H2589" s="7" t="s">
        <v>417</v>
      </c>
      <c r="I2589" s="7" t="s">
        <v>355</v>
      </c>
      <c r="J2589" s="14"/>
      <c r="O2589" s="22"/>
      <c r="P2589" s="22"/>
      <c r="Q2589" s="23"/>
      <c r="R2589" s="23"/>
      <c r="S2589" s="14"/>
    </row>
    <row r="2590" ht="18.75" customHeight="1">
      <c r="A2590" s="7" t="s">
        <v>1111</v>
      </c>
      <c r="B2590" s="7" t="s">
        <v>3883</v>
      </c>
      <c r="C2590" s="9">
        <v>322904.0</v>
      </c>
      <c r="D2590" s="9">
        <v>237185.0</v>
      </c>
      <c r="E2590" s="9">
        <v>172.0</v>
      </c>
      <c r="F2590" s="7" t="s">
        <v>1112</v>
      </c>
      <c r="G2590" s="7" t="s">
        <v>416</v>
      </c>
      <c r="H2590" s="7" t="s">
        <v>417</v>
      </c>
      <c r="I2590" s="7" t="s">
        <v>355</v>
      </c>
      <c r="J2590" s="14"/>
      <c r="O2590" s="22"/>
      <c r="P2590" s="22"/>
      <c r="Q2590" s="23"/>
      <c r="R2590" s="23"/>
      <c r="S2590" s="14"/>
    </row>
    <row r="2591" ht="18.75" customHeight="1">
      <c r="A2591" s="7" t="s">
        <v>910</v>
      </c>
      <c r="B2591" s="7" t="s">
        <v>3883</v>
      </c>
      <c r="C2591" s="9">
        <v>241268.0</v>
      </c>
      <c r="D2591" s="9">
        <v>179354.0</v>
      </c>
      <c r="E2591" s="9">
        <v>540.0</v>
      </c>
      <c r="F2591" s="7" t="s">
        <v>911</v>
      </c>
      <c r="G2591" s="7" t="s">
        <v>416</v>
      </c>
      <c r="H2591" s="7" t="s">
        <v>417</v>
      </c>
      <c r="I2591" s="7" t="s">
        <v>355</v>
      </c>
      <c r="J2591" s="14"/>
      <c r="O2591" s="22"/>
      <c r="P2591" s="22"/>
      <c r="Q2591" s="23"/>
      <c r="R2591" s="23"/>
      <c r="S2591" s="14"/>
    </row>
    <row r="2592" ht="18.75" customHeight="1">
      <c r="A2592" s="7" t="s">
        <v>1037</v>
      </c>
      <c r="B2592" s="7" t="s">
        <v>3883</v>
      </c>
      <c r="C2592" s="9">
        <v>155799.0</v>
      </c>
      <c r="D2592" s="9">
        <v>90630.0</v>
      </c>
      <c r="E2592" s="9">
        <v>100.0</v>
      </c>
      <c r="F2592" s="7" t="s">
        <v>1038</v>
      </c>
      <c r="G2592" s="7" t="s">
        <v>416</v>
      </c>
      <c r="H2592" s="7" t="s">
        <v>417</v>
      </c>
      <c r="I2592" s="7" t="s">
        <v>355</v>
      </c>
      <c r="J2592" s="14"/>
      <c r="O2592" s="22"/>
      <c r="P2592" s="22"/>
      <c r="Q2592" s="23"/>
      <c r="R2592" s="23"/>
      <c r="S2592" s="14"/>
    </row>
    <row r="2593" ht="18.75" customHeight="1">
      <c r="A2593" s="7" t="s">
        <v>1037</v>
      </c>
      <c r="B2593" s="7" t="s">
        <v>3883</v>
      </c>
      <c r="C2593" s="9">
        <v>148396.0</v>
      </c>
      <c r="D2593" s="9">
        <v>97828.0</v>
      </c>
      <c r="E2593" s="9">
        <v>179.0</v>
      </c>
      <c r="F2593" s="7" t="s">
        <v>1038</v>
      </c>
      <c r="G2593" s="7" t="s">
        <v>416</v>
      </c>
      <c r="H2593" s="7" t="s">
        <v>417</v>
      </c>
      <c r="I2593" s="7" t="s">
        <v>355</v>
      </c>
      <c r="J2593" s="14"/>
      <c r="O2593" s="22"/>
      <c r="P2593" s="22"/>
      <c r="Q2593" s="23"/>
      <c r="R2593" s="23"/>
      <c r="S2593" s="14"/>
    </row>
    <row r="2594" ht="18.75" customHeight="1">
      <c r="A2594" s="7" t="s">
        <v>1103</v>
      </c>
      <c r="B2594" s="7" t="s">
        <v>3883</v>
      </c>
      <c r="C2594" s="9">
        <v>122441.0</v>
      </c>
      <c r="D2594" s="9">
        <v>70539.0</v>
      </c>
      <c r="E2594" s="9">
        <v>89.0</v>
      </c>
      <c r="F2594" s="7" t="s">
        <v>1104</v>
      </c>
      <c r="G2594" s="7" t="s">
        <v>416</v>
      </c>
      <c r="H2594" s="7" t="s">
        <v>417</v>
      </c>
      <c r="I2594" s="7" t="s">
        <v>355</v>
      </c>
      <c r="J2594" s="14"/>
      <c r="O2594" s="22"/>
      <c r="P2594" s="22"/>
      <c r="Q2594" s="23"/>
      <c r="R2594" s="23"/>
      <c r="S2594" s="14"/>
    </row>
    <row r="2595" ht="18.75" customHeight="1">
      <c r="A2595" s="7" t="s">
        <v>1185</v>
      </c>
      <c r="B2595" s="7" t="s">
        <v>3883</v>
      </c>
      <c r="C2595" s="9">
        <v>190610.0</v>
      </c>
      <c r="D2595" s="9">
        <v>76260.0</v>
      </c>
      <c r="E2595" s="9">
        <v>108.0</v>
      </c>
      <c r="F2595" s="7" t="s">
        <v>1186</v>
      </c>
      <c r="G2595" s="7" t="s">
        <v>416</v>
      </c>
      <c r="H2595" s="7" t="s">
        <v>417</v>
      </c>
      <c r="I2595" s="7" t="s">
        <v>355</v>
      </c>
      <c r="J2595" s="14"/>
      <c r="O2595" s="22"/>
      <c r="P2595" s="22"/>
      <c r="Q2595" s="23"/>
      <c r="R2595" s="23"/>
      <c r="S2595" s="14"/>
    </row>
    <row r="2596" ht="18.75" customHeight="1">
      <c r="A2596" s="7" t="s">
        <v>1185</v>
      </c>
      <c r="B2596" s="7" t="s">
        <v>3883</v>
      </c>
      <c r="C2596" s="9">
        <v>236595.0</v>
      </c>
      <c r="D2596" s="9">
        <v>111958.0</v>
      </c>
      <c r="E2596" s="9">
        <v>79.0</v>
      </c>
      <c r="F2596" s="7" t="s">
        <v>1186</v>
      </c>
      <c r="G2596" s="7" t="s">
        <v>416</v>
      </c>
      <c r="H2596" s="7" t="s">
        <v>417</v>
      </c>
      <c r="I2596" s="7" t="s">
        <v>355</v>
      </c>
      <c r="J2596" s="14"/>
      <c r="O2596" s="22"/>
      <c r="P2596" s="22"/>
      <c r="Q2596" s="23"/>
      <c r="R2596" s="23"/>
      <c r="S2596" s="14"/>
    </row>
    <row r="2597" ht="18.75" customHeight="1">
      <c r="A2597" s="7" t="s">
        <v>1103</v>
      </c>
      <c r="B2597" s="7" t="s">
        <v>3883</v>
      </c>
      <c r="C2597" s="9">
        <v>696969.0</v>
      </c>
      <c r="D2597" s="9">
        <v>0.0</v>
      </c>
      <c r="E2597" s="9">
        <v>18603.0</v>
      </c>
      <c r="F2597" s="7" t="s">
        <v>1104</v>
      </c>
      <c r="G2597" s="7" t="s">
        <v>416</v>
      </c>
      <c r="H2597" s="7" t="s">
        <v>417</v>
      </c>
      <c r="I2597" s="7" t="s">
        <v>355</v>
      </c>
      <c r="J2597" s="14"/>
      <c r="O2597" s="22"/>
      <c r="P2597" s="22"/>
      <c r="Q2597" s="23"/>
      <c r="R2597" s="23"/>
      <c r="S2597" s="14"/>
    </row>
    <row r="2598" ht="18.75" customHeight="1">
      <c r="A2598" s="7" t="s">
        <v>1185</v>
      </c>
      <c r="B2598" s="7" t="s">
        <v>3883</v>
      </c>
      <c r="C2598" s="9">
        <v>254273.0</v>
      </c>
      <c r="D2598" s="9">
        <v>0.0</v>
      </c>
      <c r="E2598" s="9">
        <v>7054.0</v>
      </c>
      <c r="F2598" s="7" t="s">
        <v>1186</v>
      </c>
      <c r="G2598" s="7" t="s">
        <v>416</v>
      </c>
      <c r="H2598" s="7" t="s">
        <v>417</v>
      </c>
      <c r="I2598" s="7" t="s">
        <v>355</v>
      </c>
      <c r="J2598" s="14"/>
      <c r="O2598" s="22"/>
      <c r="P2598" s="22"/>
      <c r="Q2598" s="23"/>
      <c r="R2598" s="23"/>
      <c r="S2598" s="14"/>
    </row>
    <row r="2599" ht="18.75" customHeight="1">
      <c r="A2599" s="7" t="s">
        <v>1185</v>
      </c>
      <c r="B2599" s="7" t="s">
        <v>3883</v>
      </c>
      <c r="C2599" s="9">
        <v>388615.0</v>
      </c>
      <c r="D2599" s="9">
        <v>0.0</v>
      </c>
      <c r="E2599" s="9">
        <v>12599.0</v>
      </c>
      <c r="F2599" s="7" t="s">
        <v>1186</v>
      </c>
      <c r="G2599" s="7" t="s">
        <v>416</v>
      </c>
      <c r="H2599" s="7" t="s">
        <v>417</v>
      </c>
      <c r="I2599" s="7" t="s">
        <v>355</v>
      </c>
      <c r="J2599" s="14"/>
      <c r="O2599" s="22"/>
      <c r="P2599" s="22"/>
      <c r="Q2599" s="23"/>
      <c r="R2599" s="23"/>
      <c r="S2599" s="14"/>
    </row>
    <row r="2600" ht="18.75" customHeight="1">
      <c r="A2600" s="7" t="s">
        <v>1183</v>
      </c>
      <c r="B2600" s="7" t="s">
        <v>3883</v>
      </c>
      <c r="C2600" s="9">
        <v>44108.0</v>
      </c>
      <c r="D2600" s="9">
        <v>0.0</v>
      </c>
      <c r="E2600" s="9">
        <v>2150.0</v>
      </c>
      <c r="F2600" s="7" t="s">
        <v>1184</v>
      </c>
      <c r="G2600" s="7" t="s">
        <v>416</v>
      </c>
      <c r="H2600" s="7" t="s">
        <v>417</v>
      </c>
      <c r="I2600" s="7" t="s">
        <v>355</v>
      </c>
      <c r="J2600" s="14"/>
      <c r="O2600" s="22"/>
      <c r="P2600" s="22"/>
      <c r="Q2600" s="23"/>
      <c r="R2600" s="23"/>
      <c r="S2600" s="14"/>
    </row>
    <row r="2601" ht="18.75" customHeight="1">
      <c r="A2601" s="7" t="s">
        <v>926</v>
      </c>
      <c r="B2601" s="7" t="s">
        <v>3883</v>
      </c>
      <c r="C2601" s="9">
        <v>1815577.0</v>
      </c>
      <c r="D2601" s="9">
        <v>0.0</v>
      </c>
      <c r="E2601" s="9">
        <v>65320.0</v>
      </c>
      <c r="F2601" s="7" t="s">
        <v>927</v>
      </c>
      <c r="G2601" s="7" t="s">
        <v>503</v>
      </c>
      <c r="H2601" s="7" t="s">
        <v>928</v>
      </c>
      <c r="I2601" s="7" t="s">
        <v>355</v>
      </c>
      <c r="J2601" s="14"/>
      <c r="O2601" s="22"/>
      <c r="P2601" s="22"/>
      <c r="Q2601" s="23"/>
      <c r="R2601" s="23"/>
      <c r="S2601" s="14"/>
    </row>
    <row r="2602" ht="18.75" customHeight="1">
      <c r="A2602" s="7" t="s">
        <v>926</v>
      </c>
      <c r="B2602" s="7" t="s">
        <v>3883</v>
      </c>
      <c r="C2602" s="9">
        <v>623934.0</v>
      </c>
      <c r="D2602" s="9">
        <v>510754.0</v>
      </c>
      <c r="E2602" s="9">
        <v>348.0</v>
      </c>
      <c r="F2602" s="7" t="s">
        <v>927</v>
      </c>
      <c r="G2602" s="7" t="s">
        <v>503</v>
      </c>
      <c r="H2602" s="7" t="s">
        <v>928</v>
      </c>
      <c r="I2602" s="7" t="s">
        <v>355</v>
      </c>
      <c r="J2602" s="14"/>
      <c r="O2602" s="22"/>
      <c r="P2602" s="22"/>
      <c r="Q2602" s="23"/>
      <c r="R2602" s="23"/>
      <c r="S2602" s="14"/>
    </row>
    <row r="2603" ht="18.75" customHeight="1">
      <c r="A2603" s="7" t="s">
        <v>926</v>
      </c>
      <c r="B2603" s="7" t="s">
        <v>3883</v>
      </c>
      <c r="C2603" s="9">
        <v>439140.0</v>
      </c>
      <c r="D2603" s="9">
        <v>27449.0</v>
      </c>
      <c r="E2603" s="9">
        <v>380.0</v>
      </c>
      <c r="F2603" s="7" t="s">
        <v>927</v>
      </c>
      <c r="G2603" s="7" t="s">
        <v>503</v>
      </c>
      <c r="H2603" s="7" t="s">
        <v>928</v>
      </c>
      <c r="I2603" s="7" t="s">
        <v>355</v>
      </c>
      <c r="J2603" s="14"/>
      <c r="O2603" s="22"/>
      <c r="P2603" s="22"/>
      <c r="Q2603" s="23"/>
      <c r="R2603" s="23"/>
      <c r="S2603" s="14"/>
    </row>
    <row r="2604" ht="18.75" customHeight="1">
      <c r="A2604" s="7" t="s">
        <v>926</v>
      </c>
      <c r="B2604" s="7" t="s">
        <v>3883</v>
      </c>
      <c r="C2604" s="9">
        <v>78103.0</v>
      </c>
      <c r="D2604" s="9">
        <v>0.0</v>
      </c>
      <c r="E2604" s="9">
        <v>14345.0</v>
      </c>
      <c r="F2604" s="7" t="s">
        <v>927</v>
      </c>
      <c r="G2604" s="7" t="s">
        <v>503</v>
      </c>
      <c r="H2604" s="7" t="s">
        <v>928</v>
      </c>
      <c r="I2604" s="7" t="s">
        <v>355</v>
      </c>
      <c r="J2604" s="14"/>
      <c r="O2604" s="22"/>
      <c r="P2604" s="22"/>
      <c r="Q2604" s="23"/>
      <c r="R2604" s="23"/>
      <c r="S2604" s="14"/>
    </row>
    <row r="2605" ht="18.75" customHeight="1">
      <c r="A2605" s="7" t="s">
        <v>926</v>
      </c>
      <c r="B2605" s="7" t="s">
        <v>3883</v>
      </c>
      <c r="C2605" s="9">
        <v>588927.0</v>
      </c>
      <c r="D2605" s="9">
        <v>562787.0</v>
      </c>
      <c r="E2605" s="9">
        <v>200.0</v>
      </c>
      <c r="F2605" s="7" t="s">
        <v>927</v>
      </c>
      <c r="G2605" s="7" t="s">
        <v>503</v>
      </c>
      <c r="H2605" s="7" t="s">
        <v>928</v>
      </c>
      <c r="I2605" s="7" t="s">
        <v>355</v>
      </c>
      <c r="J2605" s="14"/>
      <c r="O2605" s="22"/>
      <c r="P2605" s="22"/>
      <c r="Q2605" s="23"/>
      <c r="R2605" s="23"/>
      <c r="S2605" s="14"/>
    </row>
    <row r="2606" ht="18.75" customHeight="1">
      <c r="A2606" s="7" t="s">
        <v>926</v>
      </c>
      <c r="B2606" s="7" t="s">
        <v>3883</v>
      </c>
      <c r="C2606" s="9">
        <v>557054.0</v>
      </c>
      <c r="D2606" s="9">
        <v>0.0</v>
      </c>
      <c r="E2606" s="9">
        <v>108.0</v>
      </c>
      <c r="F2606" s="7" t="s">
        <v>927</v>
      </c>
      <c r="G2606" s="7" t="s">
        <v>503</v>
      </c>
      <c r="H2606" s="7" t="s">
        <v>928</v>
      </c>
      <c r="I2606" s="7" t="s">
        <v>355</v>
      </c>
      <c r="J2606" s="14"/>
      <c r="O2606" s="22"/>
      <c r="P2606" s="22"/>
      <c r="Q2606" s="23"/>
      <c r="R2606" s="23"/>
      <c r="S2606" s="14"/>
    </row>
    <row r="2607" ht="18.75" customHeight="1">
      <c r="A2607" s="7" t="s">
        <v>991</v>
      </c>
      <c r="B2607" s="7" t="s">
        <v>3883</v>
      </c>
      <c r="C2607" s="9">
        <v>1214001.0</v>
      </c>
      <c r="D2607" s="9">
        <v>0.0</v>
      </c>
      <c r="E2607" s="9">
        <v>26836.0</v>
      </c>
      <c r="F2607" s="7" t="s">
        <v>992</v>
      </c>
      <c r="G2607" s="7" t="s">
        <v>404</v>
      </c>
      <c r="H2607" s="7" t="s">
        <v>667</v>
      </c>
      <c r="I2607" s="7" t="s">
        <v>355</v>
      </c>
      <c r="J2607" s="14"/>
      <c r="O2607" s="22"/>
      <c r="P2607" s="22"/>
      <c r="Q2607" s="23"/>
      <c r="R2607" s="23"/>
      <c r="S2607" s="14"/>
    </row>
    <row r="2608" ht="18.75" customHeight="1">
      <c r="A2608" s="7" t="s">
        <v>991</v>
      </c>
      <c r="B2608" s="7" t="s">
        <v>3883</v>
      </c>
      <c r="C2608" s="9">
        <v>127669.0</v>
      </c>
      <c r="D2608" s="9">
        <v>0.0</v>
      </c>
      <c r="E2608" s="9">
        <v>35680.0</v>
      </c>
      <c r="F2608" s="7" t="s">
        <v>992</v>
      </c>
      <c r="G2608" s="7" t="s">
        <v>404</v>
      </c>
      <c r="H2608" s="7" t="s">
        <v>667</v>
      </c>
      <c r="I2608" s="7" t="s">
        <v>355</v>
      </c>
      <c r="J2608" s="14"/>
      <c r="O2608" s="22"/>
      <c r="P2608" s="22"/>
      <c r="Q2608" s="23"/>
      <c r="R2608" s="23"/>
      <c r="S2608" s="14"/>
    </row>
    <row r="2609" ht="18.75" customHeight="1">
      <c r="A2609" s="7" t="s">
        <v>991</v>
      </c>
      <c r="B2609" s="7" t="s">
        <v>3883</v>
      </c>
      <c r="C2609" s="9">
        <v>725283.0</v>
      </c>
      <c r="D2609" s="9">
        <v>677868.0</v>
      </c>
      <c r="E2609" s="9">
        <v>408.0</v>
      </c>
      <c r="F2609" s="7" t="s">
        <v>992</v>
      </c>
      <c r="G2609" s="7" t="s">
        <v>404</v>
      </c>
      <c r="H2609" s="7" t="s">
        <v>667</v>
      </c>
      <c r="I2609" s="7" t="s">
        <v>355</v>
      </c>
      <c r="J2609" s="14"/>
      <c r="O2609" s="22"/>
      <c r="P2609" s="22"/>
      <c r="Q2609" s="23"/>
      <c r="R2609" s="23"/>
      <c r="S2609" s="14"/>
    </row>
    <row r="2610" ht="18.75" customHeight="1">
      <c r="A2610" s="7" t="s">
        <v>991</v>
      </c>
      <c r="B2610" s="7" t="s">
        <v>3883</v>
      </c>
      <c r="C2610" s="9">
        <v>288212.0</v>
      </c>
      <c r="D2610" s="9">
        <v>18471.0</v>
      </c>
      <c r="E2610" s="9">
        <v>350.0</v>
      </c>
      <c r="F2610" s="7" t="s">
        <v>992</v>
      </c>
      <c r="G2610" s="7" t="s">
        <v>404</v>
      </c>
      <c r="H2610" s="7" t="s">
        <v>667</v>
      </c>
      <c r="I2610" s="7" t="s">
        <v>355</v>
      </c>
      <c r="J2610" s="14"/>
      <c r="O2610" s="22"/>
      <c r="P2610" s="22"/>
      <c r="Q2610" s="23"/>
      <c r="R2610" s="23"/>
      <c r="S2610" s="14"/>
    </row>
    <row r="2611" ht="18.75" customHeight="1">
      <c r="A2611" s="7" t="s">
        <v>991</v>
      </c>
      <c r="B2611" s="7" t="s">
        <v>3883</v>
      </c>
      <c r="C2611" s="9">
        <v>335599.0</v>
      </c>
      <c r="D2611" s="9">
        <v>292097.0</v>
      </c>
      <c r="E2611" s="9">
        <v>255.0</v>
      </c>
      <c r="F2611" s="7" t="s">
        <v>992</v>
      </c>
      <c r="G2611" s="7" t="s">
        <v>404</v>
      </c>
      <c r="H2611" s="7" t="s">
        <v>667</v>
      </c>
      <c r="I2611" s="7" t="s">
        <v>355</v>
      </c>
      <c r="J2611" s="14"/>
      <c r="O2611" s="22"/>
      <c r="P2611" s="22"/>
      <c r="Q2611" s="23"/>
      <c r="R2611" s="23"/>
      <c r="S2611" s="14"/>
    </row>
    <row r="2612" ht="18.75" customHeight="1">
      <c r="A2612" s="7" t="s">
        <v>991</v>
      </c>
      <c r="B2612" s="7" t="s">
        <v>3883</v>
      </c>
      <c r="C2612" s="9">
        <v>294547.0</v>
      </c>
      <c r="D2612" s="9">
        <v>0.0</v>
      </c>
      <c r="E2612" s="9">
        <v>91.0</v>
      </c>
      <c r="F2612" s="7" t="s">
        <v>992</v>
      </c>
      <c r="G2612" s="7" t="s">
        <v>404</v>
      </c>
      <c r="H2612" s="7" t="s">
        <v>667</v>
      </c>
      <c r="I2612" s="7" t="s">
        <v>355</v>
      </c>
      <c r="J2612" s="14"/>
      <c r="O2612" s="22"/>
      <c r="P2612" s="22"/>
      <c r="Q2612" s="23"/>
      <c r="R2612" s="23"/>
      <c r="S2612" s="14"/>
    </row>
    <row r="2613" ht="18.75" customHeight="1">
      <c r="A2613" s="7" t="s">
        <v>991</v>
      </c>
      <c r="B2613" s="7" t="s">
        <v>3883</v>
      </c>
      <c r="C2613" s="9">
        <v>4629.0</v>
      </c>
      <c r="D2613" s="9">
        <v>430.0</v>
      </c>
      <c r="E2613" s="9">
        <v>7.0</v>
      </c>
      <c r="F2613" s="7" t="s">
        <v>992</v>
      </c>
      <c r="G2613" s="7" t="s">
        <v>404</v>
      </c>
      <c r="H2613" s="7" t="s">
        <v>667</v>
      </c>
      <c r="I2613" s="7" t="s">
        <v>355</v>
      </c>
      <c r="J2613" s="14"/>
      <c r="O2613" s="22"/>
      <c r="P2613" s="22"/>
      <c r="Q2613" s="23"/>
      <c r="R2613" s="23"/>
      <c r="S2613" s="14"/>
    </row>
    <row r="2614" ht="18.75" customHeight="1">
      <c r="A2614" s="7" t="s">
        <v>991</v>
      </c>
      <c r="B2614" s="7" t="s">
        <v>3883</v>
      </c>
      <c r="C2614" s="9">
        <v>2887.0</v>
      </c>
      <c r="D2614" s="9">
        <v>1992.0</v>
      </c>
      <c r="E2614" s="9">
        <v>3.0</v>
      </c>
      <c r="F2614" s="7" t="s">
        <v>992</v>
      </c>
      <c r="G2614" s="7" t="s">
        <v>404</v>
      </c>
      <c r="H2614" s="7" t="s">
        <v>667</v>
      </c>
      <c r="I2614" s="7" t="s">
        <v>355</v>
      </c>
      <c r="J2614" s="14"/>
      <c r="O2614" s="22"/>
      <c r="P2614" s="22"/>
      <c r="Q2614" s="23"/>
      <c r="R2614" s="23"/>
      <c r="S2614" s="14"/>
    </row>
    <row r="2615" ht="18.75" customHeight="1">
      <c r="A2615" s="7" t="s">
        <v>1039</v>
      </c>
      <c r="B2615" s="7" t="s">
        <v>3883</v>
      </c>
      <c r="C2615" s="9">
        <v>490591.0</v>
      </c>
      <c r="D2615" s="9">
        <v>456035.0</v>
      </c>
      <c r="E2615" s="9">
        <v>156.0</v>
      </c>
      <c r="F2615" s="7" t="s">
        <v>1040</v>
      </c>
      <c r="G2615" s="7" t="s">
        <v>353</v>
      </c>
      <c r="H2615" s="7" t="s">
        <v>354</v>
      </c>
      <c r="I2615" s="7" t="s">
        <v>355</v>
      </c>
      <c r="J2615" s="14"/>
      <c r="O2615" s="22"/>
      <c r="P2615" s="22"/>
      <c r="Q2615" s="23"/>
      <c r="R2615" s="23"/>
      <c r="S2615" s="14"/>
    </row>
    <row r="2616" ht="18.75" customHeight="1">
      <c r="A2616" s="7" t="s">
        <v>1299</v>
      </c>
      <c r="B2616" s="7" t="s">
        <v>3883</v>
      </c>
      <c r="C2616" s="9">
        <v>283273.0</v>
      </c>
      <c r="D2616" s="9">
        <v>164250.0</v>
      </c>
      <c r="E2616" s="9">
        <v>169.0</v>
      </c>
      <c r="F2616" s="7" t="s">
        <v>1300</v>
      </c>
      <c r="G2616" s="7" t="s">
        <v>364</v>
      </c>
      <c r="H2616" s="7" t="s">
        <v>688</v>
      </c>
      <c r="I2616" s="7" t="s">
        <v>355</v>
      </c>
      <c r="J2616" s="14"/>
      <c r="O2616" s="22"/>
      <c r="P2616" s="22"/>
      <c r="Q2616" s="23"/>
      <c r="R2616" s="23"/>
      <c r="S2616" s="14"/>
    </row>
    <row r="2617" ht="18.75" customHeight="1">
      <c r="A2617" s="7" t="s">
        <v>1299</v>
      </c>
      <c r="B2617" s="7" t="s">
        <v>3883</v>
      </c>
      <c r="C2617" s="9">
        <v>352448.0</v>
      </c>
      <c r="D2617" s="9">
        <v>48774.0</v>
      </c>
      <c r="E2617" s="9">
        <v>857.0</v>
      </c>
      <c r="F2617" s="7" t="s">
        <v>1300</v>
      </c>
      <c r="G2617" s="7" t="s">
        <v>364</v>
      </c>
      <c r="H2617" s="7" t="s">
        <v>688</v>
      </c>
      <c r="I2617" s="7" t="s">
        <v>355</v>
      </c>
      <c r="J2617" s="14"/>
      <c r="O2617" s="22"/>
      <c r="P2617" s="22"/>
      <c r="Q2617" s="23"/>
      <c r="R2617" s="23"/>
      <c r="S2617" s="14"/>
    </row>
    <row r="2618" ht="18.75" customHeight="1">
      <c r="A2618" s="7" t="s">
        <v>1265</v>
      </c>
      <c r="B2618" s="7" t="s">
        <v>3883</v>
      </c>
      <c r="C2618" s="9">
        <v>848080.0</v>
      </c>
      <c r="D2618" s="9">
        <v>0.0</v>
      </c>
      <c r="E2618" s="9">
        <v>29643.0</v>
      </c>
      <c r="F2618" s="7" t="s">
        <v>1266</v>
      </c>
      <c r="G2618" s="7" t="s">
        <v>404</v>
      </c>
      <c r="H2618" s="7" t="s">
        <v>783</v>
      </c>
      <c r="I2618" s="7" t="s">
        <v>355</v>
      </c>
      <c r="J2618" s="14"/>
      <c r="O2618" s="22"/>
      <c r="P2618" s="22"/>
      <c r="Q2618" s="23"/>
      <c r="R2618" s="23"/>
      <c r="S2618" s="14"/>
    </row>
    <row r="2619" ht="18.75" customHeight="1">
      <c r="A2619" s="7" t="s">
        <v>1265</v>
      </c>
      <c r="B2619" s="7" t="s">
        <v>3883</v>
      </c>
      <c r="C2619" s="9">
        <v>226629.0</v>
      </c>
      <c r="D2619" s="9">
        <v>168825.0</v>
      </c>
      <c r="E2619" s="9">
        <v>523.0</v>
      </c>
      <c r="F2619" s="7" t="s">
        <v>1266</v>
      </c>
      <c r="G2619" s="7" t="s">
        <v>404</v>
      </c>
      <c r="H2619" s="7" t="s">
        <v>783</v>
      </c>
      <c r="I2619" s="7" t="s">
        <v>355</v>
      </c>
      <c r="J2619" s="14"/>
      <c r="O2619" s="22"/>
      <c r="P2619" s="22"/>
      <c r="Q2619" s="23"/>
      <c r="R2619" s="23"/>
      <c r="S2619" s="14"/>
    </row>
    <row r="2620" ht="18.75" customHeight="1">
      <c r="A2620" s="7" t="s">
        <v>351</v>
      </c>
      <c r="B2620" s="7" t="s">
        <v>3883</v>
      </c>
      <c r="C2620" s="9">
        <v>6640.0</v>
      </c>
      <c r="D2620" s="9">
        <v>0.0</v>
      </c>
      <c r="E2620" s="9">
        <v>494.0</v>
      </c>
      <c r="F2620" s="7" t="s">
        <v>352</v>
      </c>
      <c r="G2620" s="7" t="s">
        <v>353</v>
      </c>
      <c r="H2620" s="7" t="s">
        <v>354</v>
      </c>
      <c r="I2620" s="7" t="s">
        <v>410</v>
      </c>
      <c r="J2620" s="14"/>
      <c r="O2620" s="22"/>
      <c r="P2620" s="22"/>
      <c r="Q2620" s="23"/>
      <c r="R2620" s="23"/>
      <c r="S2620" s="14"/>
    </row>
    <row r="2621" ht="18.75" customHeight="1">
      <c r="A2621" s="7" t="s">
        <v>351</v>
      </c>
      <c r="B2621" s="7" t="s">
        <v>3883</v>
      </c>
      <c r="C2621" s="9">
        <v>264634.0</v>
      </c>
      <c r="D2621" s="9">
        <v>0.0</v>
      </c>
      <c r="E2621" s="9">
        <v>9981.0</v>
      </c>
      <c r="F2621" s="7" t="s">
        <v>352</v>
      </c>
      <c r="G2621" s="7" t="s">
        <v>353</v>
      </c>
      <c r="H2621" s="7" t="s">
        <v>354</v>
      </c>
      <c r="I2621" s="7" t="s">
        <v>410</v>
      </c>
      <c r="J2621" s="14"/>
      <c r="O2621" s="22"/>
      <c r="P2621" s="22"/>
      <c r="Q2621" s="23"/>
      <c r="R2621" s="23"/>
      <c r="S2621" s="14"/>
    </row>
    <row r="2622" ht="18.75" customHeight="1">
      <c r="A2622" s="7" t="s">
        <v>351</v>
      </c>
      <c r="B2622" s="7" t="s">
        <v>3883</v>
      </c>
      <c r="C2622" s="9">
        <v>201555.0</v>
      </c>
      <c r="D2622" s="9">
        <v>2629.0</v>
      </c>
      <c r="E2622" s="9">
        <v>165.0</v>
      </c>
      <c r="F2622" s="7" t="s">
        <v>352</v>
      </c>
      <c r="G2622" s="7" t="s">
        <v>353</v>
      </c>
      <c r="H2622" s="7" t="s">
        <v>354</v>
      </c>
      <c r="I2622" s="7" t="s">
        <v>410</v>
      </c>
      <c r="J2622" s="14"/>
      <c r="O2622" s="22"/>
      <c r="P2622" s="22"/>
      <c r="Q2622" s="23"/>
      <c r="R2622" s="23"/>
      <c r="S2622" s="14"/>
    </row>
    <row r="2623" ht="18.75" customHeight="1">
      <c r="A2623" s="7" t="s">
        <v>351</v>
      </c>
      <c r="B2623" s="7" t="s">
        <v>3883</v>
      </c>
      <c r="C2623" s="9">
        <v>298005.0</v>
      </c>
      <c r="D2623" s="9">
        <v>7845.0</v>
      </c>
      <c r="E2623" s="9">
        <v>325.0</v>
      </c>
      <c r="F2623" s="7" t="s">
        <v>352</v>
      </c>
      <c r="G2623" s="7" t="s">
        <v>353</v>
      </c>
      <c r="H2623" s="7" t="s">
        <v>354</v>
      </c>
      <c r="I2623" s="7" t="s">
        <v>410</v>
      </c>
      <c r="J2623" s="14"/>
      <c r="O2623" s="22"/>
      <c r="P2623" s="22"/>
      <c r="Q2623" s="23"/>
      <c r="R2623" s="23"/>
      <c r="S2623" s="14"/>
    </row>
    <row r="2624" ht="18.75" customHeight="1">
      <c r="A2624" s="7" t="s">
        <v>351</v>
      </c>
      <c r="B2624" s="7" t="s">
        <v>3883</v>
      </c>
      <c r="C2624" s="9">
        <v>120858.0</v>
      </c>
      <c r="D2624" s="9">
        <v>0.0</v>
      </c>
      <c r="E2624" s="9">
        <v>2.0</v>
      </c>
      <c r="F2624" s="7" t="s">
        <v>352</v>
      </c>
      <c r="G2624" s="7" t="s">
        <v>353</v>
      </c>
      <c r="H2624" s="7" t="s">
        <v>354</v>
      </c>
      <c r="I2624" s="7" t="s">
        <v>410</v>
      </c>
      <c r="J2624" s="14"/>
      <c r="O2624" s="22"/>
      <c r="P2624" s="22"/>
      <c r="Q2624" s="23"/>
      <c r="R2624" s="23"/>
      <c r="S2624" s="14"/>
    </row>
    <row r="2625" ht="18.75" customHeight="1">
      <c r="A2625" s="7" t="s">
        <v>351</v>
      </c>
      <c r="B2625" s="7" t="s">
        <v>3883</v>
      </c>
      <c r="C2625" s="9">
        <v>278319.0</v>
      </c>
      <c r="D2625" s="9">
        <v>0.0</v>
      </c>
      <c r="E2625" s="9">
        <v>10234.0</v>
      </c>
      <c r="F2625" s="7" t="s">
        <v>352</v>
      </c>
      <c r="G2625" s="7" t="s">
        <v>353</v>
      </c>
      <c r="H2625" s="7" t="s">
        <v>354</v>
      </c>
      <c r="I2625" s="7" t="s">
        <v>410</v>
      </c>
      <c r="J2625" s="14"/>
      <c r="O2625" s="22"/>
      <c r="P2625" s="22"/>
      <c r="Q2625" s="23"/>
      <c r="R2625" s="23"/>
      <c r="S2625" s="14"/>
    </row>
    <row r="2626" ht="18.75" customHeight="1">
      <c r="A2626" s="7" t="s">
        <v>351</v>
      </c>
      <c r="B2626" s="7" t="s">
        <v>3883</v>
      </c>
      <c r="C2626" s="9">
        <v>268452.0</v>
      </c>
      <c r="D2626" s="9">
        <v>8076.0</v>
      </c>
      <c r="E2626" s="9">
        <v>116.0</v>
      </c>
      <c r="F2626" s="7" t="s">
        <v>352</v>
      </c>
      <c r="G2626" s="7" t="s">
        <v>353</v>
      </c>
      <c r="H2626" s="7" t="s">
        <v>354</v>
      </c>
      <c r="I2626" s="7" t="s">
        <v>410</v>
      </c>
      <c r="J2626" s="14"/>
      <c r="O2626" s="22"/>
      <c r="P2626" s="22"/>
      <c r="Q2626" s="23"/>
      <c r="R2626" s="23"/>
      <c r="S2626" s="14"/>
    </row>
    <row r="2627" ht="18.75" customHeight="1">
      <c r="A2627" s="7" t="s">
        <v>351</v>
      </c>
      <c r="B2627" s="7" t="s">
        <v>3883</v>
      </c>
      <c r="C2627" s="9">
        <v>186466.0</v>
      </c>
      <c r="D2627" s="9">
        <v>2397.0</v>
      </c>
      <c r="E2627" s="9">
        <v>134.0</v>
      </c>
      <c r="F2627" s="7" t="s">
        <v>352</v>
      </c>
      <c r="G2627" s="7" t="s">
        <v>353</v>
      </c>
      <c r="H2627" s="7" t="s">
        <v>354</v>
      </c>
      <c r="I2627" s="7" t="s">
        <v>410</v>
      </c>
      <c r="J2627" s="14"/>
      <c r="O2627" s="22"/>
      <c r="P2627" s="22"/>
      <c r="Q2627" s="23"/>
      <c r="R2627" s="23"/>
      <c r="S2627" s="14"/>
    </row>
    <row r="2628" ht="18.75" customHeight="1">
      <c r="A2628" s="7" t="s">
        <v>351</v>
      </c>
      <c r="B2628" s="7" t="s">
        <v>3883</v>
      </c>
      <c r="C2628" s="9">
        <v>119852.0</v>
      </c>
      <c r="D2628" s="9">
        <v>0.0</v>
      </c>
      <c r="E2628" s="9">
        <v>6.0</v>
      </c>
      <c r="F2628" s="7" t="s">
        <v>352</v>
      </c>
      <c r="G2628" s="7" t="s">
        <v>353</v>
      </c>
      <c r="H2628" s="7" t="s">
        <v>354</v>
      </c>
      <c r="I2628" s="7" t="s">
        <v>410</v>
      </c>
      <c r="J2628" s="14"/>
      <c r="O2628" s="22"/>
      <c r="P2628" s="22"/>
      <c r="Q2628" s="23"/>
      <c r="R2628" s="23"/>
      <c r="S2628" s="14"/>
    </row>
    <row r="2629" ht="18.75" customHeight="1">
      <c r="A2629" s="7" t="s">
        <v>351</v>
      </c>
      <c r="B2629" s="7" t="s">
        <v>3883</v>
      </c>
      <c r="C2629" s="9">
        <v>409301.0</v>
      </c>
      <c r="D2629" s="9">
        <v>38970.0</v>
      </c>
      <c r="E2629" s="9">
        <v>11841.0</v>
      </c>
      <c r="F2629" s="7" t="s">
        <v>352</v>
      </c>
      <c r="G2629" s="7" t="s">
        <v>353</v>
      </c>
      <c r="H2629" s="7" t="s">
        <v>354</v>
      </c>
      <c r="I2629" s="7" t="s">
        <v>410</v>
      </c>
      <c r="J2629" s="14"/>
      <c r="O2629" s="22"/>
      <c r="P2629" s="22"/>
      <c r="Q2629" s="23"/>
      <c r="R2629" s="23"/>
      <c r="S2629" s="14"/>
    </row>
    <row r="2630" ht="18.75" customHeight="1">
      <c r="A2630" s="7" t="s">
        <v>351</v>
      </c>
      <c r="B2630" s="7" t="s">
        <v>3883</v>
      </c>
      <c r="C2630" s="9">
        <v>526218.0</v>
      </c>
      <c r="D2630" s="9">
        <v>0.0</v>
      </c>
      <c r="E2630" s="9">
        <v>9406.0</v>
      </c>
      <c r="F2630" s="7" t="s">
        <v>352</v>
      </c>
      <c r="G2630" s="7" t="s">
        <v>353</v>
      </c>
      <c r="H2630" s="7" t="s">
        <v>354</v>
      </c>
      <c r="I2630" s="7" t="s">
        <v>410</v>
      </c>
      <c r="J2630" s="14"/>
      <c r="O2630" s="22"/>
      <c r="P2630" s="22"/>
      <c r="Q2630" s="23"/>
      <c r="R2630" s="23"/>
      <c r="S2630" s="14"/>
    </row>
    <row r="2631" ht="18.75" customHeight="1">
      <c r="A2631" s="7" t="s">
        <v>351</v>
      </c>
      <c r="B2631" s="7" t="s">
        <v>3883</v>
      </c>
      <c r="C2631" s="9">
        <v>497885.0</v>
      </c>
      <c r="D2631" s="9">
        <v>0.0</v>
      </c>
      <c r="E2631" s="9">
        <v>8754.0</v>
      </c>
      <c r="F2631" s="7" t="s">
        <v>352</v>
      </c>
      <c r="G2631" s="7" t="s">
        <v>353</v>
      </c>
      <c r="H2631" s="7" t="s">
        <v>354</v>
      </c>
      <c r="I2631" s="7" t="s">
        <v>410</v>
      </c>
      <c r="J2631" s="14"/>
      <c r="O2631" s="22"/>
      <c r="P2631" s="22"/>
      <c r="Q2631" s="23"/>
      <c r="R2631" s="23"/>
      <c r="S2631" s="14"/>
    </row>
    <row r="2632" ht="18.75" customHeight="1">
      <c r="A2632" s="7" t="s">
        <v>351</v>
      </c>
      <c r="B2632" s="7" t="s">
        <v>3883</v>
      </c>
      <c r="C2632" s="9">
        <v>502886.0</v>
      </c>
      <c r="D2632" s="9">
        <v>0.0</v>
      </c>
      <c r="E2632" s="9">
        <v>9195.0</v>
      </c>
      <c r="F2632" s="7" t="s">
        <v>352</v>
      </c>
      <c r="G2632" s="7" t="s">
        <v>353</v>
      </c>
      <c r="H2632" s="7" t="s">
        <v>354</v>
      </c>
      <c r="I2632" s="7" t="s">
        <v>410</v>
      </c>
      <c r="J2632" s="14"/>
      <c r="O2632" s="22"/>
      <c r="P2632" s="22"/>
      <c r="Q2632" s="23"/>
      <c r="R2632" s="23"/>
      <c r="S2632" s="14"/>
    </row>
    <row r="2633" ht="18.75" customHeight="1">
      <c r="A2633" s="7" t="s">
        <v>351</v>
      </c>
      <c r="B2633" s="7" t="s">
        <v>3883</v>
      </c>
      <c r="C2633" s="9">
        <v>513974.0</v>
      </c>
      <c r="D2633" s="9">
        <v>0.0</v>
      </c>
      <c r="E2633" s="9">
        <v>9261.0</v>
      </c>
      <c r="F2633" s="7" t="s">
        <v>352</v>
      </c>
      <c r="G2633" s="7" t="s">
        <v>353</v>
      </c>
      <c r="H2633" s="7" t="s">
        <v>354</v>
      </c>
      <c r="I2633" s="7" t="s">
        <v>410</v>
      </c>
      <c r="J2633" s="14"/>
      <c r="O2633" s="22"/>
      <c r="P2633" s="22"/>
      <c r="Q2633" s="23"/>
      <c r="R2633" s="23"/>
      <c r="S2633" s="14"/>
    </row>
    <row r="2634" ht="18.75" customHeight="1">
      <c r="A2634" s="7" t="s">
        <v>351</v>
      </c>
      <c r="B2634" s="7" t="s">
        <v>3883</v>
      </c>
      <c r="C2634" s="9">
        <v>553024.0</v>
      </c>
      <c r="D2634" s="9">
        <v>0.0</v>
      </c>
      <c r="E2634" s="9">
        <v>8709.0</v>
      </c>
      <c r="F2634" s="7" t="s">
        <v>352</v>
      </c>
      <c r="G2634" s="7" t="s">
        <v>353</v>
      </c>
      <c r="H2634" s="7" t="s">
        <v>354</v>
      </c>
      <c r="I2634" s="7" t="s">
        <v>410</v>
      </c>
      <c r="J2634" s="14"/>
      <c r="O2634" s="22"/>
      <c r="P2634" s="22"/>
      <c r="Q2634" s="23"/>
      <c r="R2634" s="23"/>
      <c r="S2634" s="14"/>
    </row>
    <row r="2635" ht="18.75" customHeight="1">
      <c r="A2635" s="7" t="s">
        <v>351</v>
      </c>
      <c r="B2635" s="7" t="s">
        <v>3883</v>
      </c>
      <c r="C2635" s="9">
        <v>603051.0</v>
      </c>
      <c r="D2635" s="9">
        <v>0.0</v>
      </c>
      <c r="E2635" s="9">
        <v>9165.0</v>
      </c>
      <c r="F2635" s="7" t="s">
        <v>352</v>
      </c>
      <c r="G2635" s="7" t="s">
        <v>353</v>
      </c>
      <c r="H2635" s="7" t="s">
        <v>354</v>
      </c>
      <c r="I2635" s="7" t="s">
        <v>410</v>
      </c>
      <c r="J2635" s="14"/>
      <c r="O2635" s="22"/>
      <c r="P2635" s="22"/>
      <c r="Q2635" s="23"/>
      <c r="R2635" s="23"/>
      <c r="S2635" s="14"/>
    </row>
    <row r="2636" ht="18.75" customHeight="1">
      <c r="A2636" s="7" t="s">
        <v>351</v>
      </c>
      <c r="B2636" s="7" t="s">
        <v>3883</v>
      </c>
      <c r="C2636" s="9">
        <v>550338.0</v>
      </c>
      <c r="D2636" s="9">
        <v>0.0</v>
      </c>
      <c r="E2636" s="9">
        <v>9396.0</v>
      </c>
      <c r="F2636" s="7" t="s">
        <v>352</v>
      </c>
      <c r="G2636" s="7" t="s">
        <v>353</v>
      </c>
      <c r="H2636" s="7" t="s">
        <v>354</v>
      </c>
      <c r="I2636" s="7" t="s">
        <v>410</v>
      </c>
      <c r="J2636" s="14"/>
      <c r="O2636" s="22"/>
      <c r="P2636" s="22"/>
      <c r="Q2636" s="23"/>
      <c r="R2636" s="23"/>
      <c r="S2636" s="14"/>
    </row>
    <row r="2637" ht="18.75" customHeight="1">
      <c r="A2637" s="7" t="s">
        <v>408</v>
      </c>
      <c r="B2637" s="7" t="s">
        <v>3883</v>
      </c>
      <c r="C2637" s="9">
        <v>410224.0</v>
      </c>
      <c r="D2637" s="9">
        <v>0.0</v>
      </c>
      <c r="E2637" s="9">
        <v>7150.0</v>
      </c>
      <c r="F2637" s="7" t="s">
        <v>409</v>
      </c>
      <c r="G2637" s="7" t="s">
        <v>353</v>
      </c>
      <c r="H2637" s="7" t="s">
        <v>354</v>
      </c>
      <c r="I2637" s="7" t="s">
        <v>410</v>
      </c>
      <c r="J2637" s="14"/>
      <c r="O2637" s="22"/>
      <c r="P2637" s="22"/>
      <c r="Q2637" s="23"/>
      <c r="R2637" s="23"/>
      <c r="S2637" s="14"/>
    </row>
    <row r="2638" ht="18.75" customHeight="1">
      <c r="A2638" s="7" t="s">
        <v>408</v>
      </c>
      <c r="B2638" s="7" t="s">
        <v>3883</v>
      </c>
      <c r="C2638" s="9">
        <v>257982.0</v>
      </c>
      <c r="D2638" s="9">
        <v>49304.0</v>
      </c>
      <c r="E2638" s="9">
        <v>175.0</v>
      </c>
      <c r="F2638" s="7" t="s">
        <v>409</v>
      </c>
      <c r="G2638" s="7" t="s">
        <v>353</v>
      </c>
      <c r="H2638" s="7" t="s">
        <v>354</v>
      </c>
      <c r="I2638" s="7" t="s">
        <v>410</v>
      </c>
      <c r="J2638" s="14"/>
      <c r="O2638" s="22"/>
      <c r="P2638" s="22"/>
      <c r="Q2638" s="23"/>
      <c r="R2638" s="23"/>
      <c r="S2638" s="14"/>
    </row>
    <row r="2639" ht="18.75" customHeight="1">
      <c r="A2639" s="7" t="s">
        <v>408</v>
      </c>
      <c r="B2639" s="7" t="s">
        <v>3883</v>
      </c>
      <c r="C2639" s="9">
        <v>140540.0</v>
      </c>
      <c r="D2639" s="9">
        <v>3220.0</v>
      </c>
      <c r="E2639" s="9">
        <v>164.0</v>
      </c>
      <c r="F2639" s="7" t="s">
        <v>409</v>
      </c>
      <c r="G2639" s="7" t="s">
        <v>353</v>
      </c>
      <c r="H2639" s="7" t="s">
        <v>354</v>
      </c>
      <c r="I2639" s="7" t="s">
        <v>410</v>
      </c>
      <c r="J2639" s="14"/>
      <c r="O2639" s="22"/>
      <c r="P2639" s="22"/>
      <c r="Q2639" s="23"/>
      <c r="R2639" s="23"/>
      <c r="S2639" s="14"/>
    </row>
    <row r="2640" ht="18.75" customHeight="1">
      <c r="A2640" s="7" t="s">
        <v>1131</v>
      </c>
      <c r="B2640" s="7" t="s">
        <v>3883</v>
      </c>
      <c r="C2640" s="9">
        <v>241608.0</v>
      </c>
      <c r="D2640" s="9">
        <v>0.0</v>
      </c>
      <c r="E2640" s="9">
        <v>7972.0</v>
      </c>
      <c r="F2640" s="7" t="s">
        <v>1132</v>
      </c>
      <c r="G2640" s="7" t="s">
        <v>404</v>
      </c>
      <c r="H2640" s="7" t="s">
        <v>760</v>
      </c>
      <c r="I2640" s="7" t="s">
        <v>355</v>
      </c>
      <c r="J2640" s="14"/>
      <c r="O2640" s="22"/>
      <c r="P2640" s="22"/>
      <c r="Q2640" s="23"/>
      <c r="R2640" s="23"/>
      <c r="S2640" s="14"/>
    </row>
    <row r="2641" ht="18.75" customHeight="1">
      <c r="A2641" s="7" t="s">
        <v>1131</v>
      </c>
      <c r="B2641" s="7" t="s">
        <v>3883</v>
      </c>
      <c r="C2641" s="9">
        <v>291827.0</v>
      </c>
      <c r="D2641" s="9">
        <v>248578.0</v>
      </c>
      <c r="E2641" s="9">
        <v>275.0</v>
      </c>
      <c r="F2641" s="7" t="s">
        <v>1132</v>
      </c>
      <c r="G2641" s="7" t="s">
        <v>404</v>
      </c>
      <c r="H2641" s="7" t="s">
        <v>760</v>
      </c>
      <c r="I2641" s="7" t="s">
        <v>355</v>
      </c>
      <c r="J2641" s="14"/>
      <c r="O2641" s="22"/>
      <c r="P2641" s="22"/>
      <c r="Q2641" s="23"/>
      <c r="R2641" s="23"/>
      <c r="S2641" s="14"/>
    </row>
    <row r="2642" ht="18.75" customHeight="1">
      <c r="A2642" s="7" t="s">
        <v>1131</v>
      </c>
      <c r="B2642" s="7" t="s">
        <v>3883</v>
      </c>
      <c r="C2642" s="9">
        <v>353912.0</v>
      </c>
      <c r="D2642" s="9">
        <v>337106.0</v>
      </c>
      <c r="E2642" s="9">
        <v>832.0</v>
      </c>
      <c r="F2642" s="7" t="s">
        <v>1132</v>
      </c>
      <c r="G2642" s="7" t="s">
        <v>404</v>
      </c>
      <c r="H2642" s="7" t="s">
        <v>760</v>
      </c>
      <c r="I2642" s="7" t="s">
        <v>355</v>
      </c>
      <c r="J2642" s="14"/>
      <c r="O2642" s="22"/>
      <c r="P2642" s="22"/>
      <c r="Q2642" s="23"/>
      <c r="R2642" s="23"/>
      <c r="S2642" s="14"/>
    </row>
    <row r="2643" ht="18.75" customHeight="1">
      <c r="A2643" s="7" t="s">
        <v>1131</v>
      </c>
      <c r="B2643" s="7" t="s">
        <v>3883</v>
      </c>
      <c r="C2643" s="9">
        <v>252770.0</v>
      </c>
      <c r="D2643" s="9">
        <v>119895.0</v>
      </c>
      <c r="E2643" s="9">
        <v>225.0</v>
      </c>
      <c r="F2643" s="7" t="s">
        <v>1132</v>
      </c>
      <c r="G2643" s="7" t="s">
        <v>404</v>
      </c>
      <c r="H2643" s="7" t="s">
        <v>760</v>
      </c>
      <c r="I2643" s="7" t="s">
        <v>355</v>
      </c>
      <c r="J2643" s="14"/>
      <c r="O2643" s="22"/>
      <c r="P2643" s="22"/>
      <c r="Q2643" s="23"/>
      <c r="R2643" s="23"/>
      <c r="S2643" s="14"/>
    </row>
    <row r="2644" ht="18.75" customHeight="1">
      <c r="A2644" s="7" t="s">
        <v>1131</v>
      </c>
      <c r="B2644" s="7" t="s">
        <v>3883</v>
      </c>
      <c r="C2644" s="9">
        <v>1054410.0</v>
      </c>
      <c r="D2644" s="9">
        <v>50461.0</v>
      </c>
      <c r="E2644" s="9">
        <v>880.0</v>
      </c>
      <c r="F2644" s="7" t="s">
        <v>1132</v>
      </c>
      <c r="G2644" s="7" t="s">
        <v>404</v>
      </c>
      <c r="H2644" s="7" t="s">
        <v>760</v>
      </c>
      <c r="I2644" s="7" t="s">
        <v>355</v>
      </c>
      <c r="J2644" s="14"/>
      <c r="O2644" s="22"/>
      <c r="P2644" s="22"/>
      <c r="Q2644" s="23"/>
      <c r="R2644" s="23"/>
      <c r="S2644" s="14"/>
    </row>
    <row r="2645" ht="18.75" customHeight="1">
      <c r="A2645" s="7" t="s">
        <v>1131</v>
      </c>
      <c r="B2645" s="7" t="s">
        <v>3883</v>
      </c>
      <c r="C2645" s="9">
        <v>144584.0</v>
      </c>
      <c r="D2645" s="9">
        <v>130304.0</v>
      </c>
      <c r="E2645" s="9">
        <v>43.0</v>
      </c>
      <c r="F2645" s="7" t="s">
        <v>1132</v>
      </c>
      <c r="G2645" s="7" t="s">
        <v>404</v>
      </c>
      <c r="H2645" s="7" t="s">
        <v>760</v>
      </c>
      <c r="I2645" s="7" t="s">
        <v>355</v>
      </c>
      <c r="J2645" s="14"/>
      <c r="O2645" s="22"/>
      <c r="P2645" s="22"/>
      <c r="Q2645" s="23"/>
      <c r="R2645" s="23"/>
      <c r="S2645" s="14"/>
    </row>
    <row r="2646" ht="18.75" customHeight="1">
      <c r="A2646" s="7" t="s">
        <v>1201</v>
      </c>
      <c r="B2646" s="7" t="s">
        <v>3883</v>
      </c>
      <c r="C2646" s="9">
        <v>1001143.0</v>
      </c>
      <c r="D2646" s="9">
        <v>0.0</v>
      </c>
      <c r="E2646" s="9">
        <v>34554.0</v>
      </c>
      <c r="F2646" s="7" t="s">
        <v>1202</v>
      </c>
      <c r="G2646" s="7" t="s">
        <v>364</v>
      </c>
      <c r="H2646" s="7" t="s">
        <v>365</v>
      </c>
      <c r="I2646" s="7" t="s">
        <v>355</v>
      </c>
      <c r="J2646" s="14"/>
      <c r="O2646" s="22"/>
      <c r="P2646" s="22"/>
      <c r="Q2646" s="23"/>
      <c r="R2646" s="23"/>
      <c r="S2646" s="14"/>
    </row>
    <row r="2647" ht="18.75" customHeight="1">
      <c r="A2647" s="7" t="s">
        <v>1155</v>
      </c>
      <c r="B2647" s="7" t="s">
        <v>3883</v>
      </c>
      <c r="C2647" s="9">
        <v>258093.0</v>
      </c>
      <c r="D2647" s="9">
        <v>0.0</v>
      </c>
      <c r="E2647" s="9">
        <v>1839.0</v>
      </c>
      <c r="F2647" s="7" t="s">
        <v>1156</v>
      </c>
      <c r="G2647" s="7" t="s">
        <v>358</v>
      </c>
      <c r="H2647" s="7" t="s">
        <v>359</v>
      </c>
      <c r="I2647" s="7" t="s">
        <v>355</v>
      </c>
      <c r="J2647" s="14"/>
      <c r="O2647" s="22"/>
      <c r="P2647" s="22"/>
      <c r="Q2647" s="23"/>
      <c r="R2647" s="23"/>
      <c r="S2647" s="14"/>
    </row>
    <row r="2648" ht="18.75" customHeight="1">
      <c r="A2648" s="7" t="s">
        <v>1155</v>
      </c>
      <c r="B2648" s="7" t="s">
        <v>3883</v>
      </c>
      <c r="C2648" s="9">
        <v>302174.0</v>
      </c>
      <c r="D2648" s="9">
        <v>0.0</v>
      </c>
      <c r="E2648" s="9">
        <v>6914.0</v>
      </c>
      <c r="F2648" s="7" t="s">
        <v>1156</v>
      </c>
      <c r="G2648" s="7" t="s">
        <v>358</v>
      </c>
      <c r="H2648" s="7" t="s">
        <v>359</v>
      </c>
      <c r="I2648" s="7" t="s">
        <v>355</v>
      </c>
      <c r="J2648" s="14"/>
      <c r="O2648" s="22"/>
      <c r="P2648" s="22"/>
      <c r="Q2648" s="23"/>
      <c r="R2648" s="23"/>
      <c r="S2648" s="14"/>
    </row>
    <row r="2649" ht="18.75" customHeight="1">
      <c r="A2649" s="7" t="s">
        <v>1155</v>
      </c>
      <c r="B2649" s="7" t="s">
        <v>3883</v>
      </c>
      <c r="C2649" s="9">
        <v>819526.0</v>
      </c>
      <c r="D2649" s="9">
        <v>0.0</v>
      </c>
      <c r="E2649" s="9">
        <v>9276.0</v>
      </c>
      <c r="F2649" s="7" t="s">
        <v>1156</v>
      </c>
      <c r="G2649" s="7" t="s">
        <v>358</v>
      </c>
      <c r="H2649" s="7" t="s">
        <v>359</v>
      </c>
      <c r="I2649" s="7" t="s">
        <v>355</v>
      </c>
      <c r="J2649" s="14"/>
      <c r="O2649" s="22"/>
      <c r="P2649" s="22"/>
      <c r="Q2649" s="23"/>
      <c r="R2649" s="23"/>
      <c r="S2649" s="14"/>
    </row>
    <row r="2650" ht="18.75" customHeight="1">
      <c r="A2650" s="7" t="s">
        <v>1155</v>
      </c>
      <c r="B2650" s="7" t="s">
        <v>3883</v>
      </c>
      <c r="C2650" s="9">
        <v>460805.0</v>
      </c>
      <c r="D2650" s="9">
        <v>414738.0</v>
      </c>
      <c r="E2650" s="9">
        <v>207.0</v>
      </c>
      <c r="F2650" s="7" t="s">
        <v>1156</v>
      </c>
      <c r="G2650" s="7" t="s">
        <v>358</v>
      </c>
      <c r="H2650" s="7" t="s">
        <v>359</v>
      </c>
      <c r="I2650" s="7" t="s">
        <v>355</v>
      </c>
      <c r="J2650" s="14"/>
      <c r="O2650" s="22"/>
      <c r="P2650" s="22"/>
      <c r="Q2650" s="23"/>
      <c r="R2650" s="23"/>
      <c r="S2650" s="14"/>
    </row>
    <row r="2651" ht="18.75" customHeight="1">
      <c r="A2651" s="7" t="s">
        <v>1155</v>
      </c>
      <c r="B2651" s="7" t="s">
        <v>3883</v>
      </c>
      <c r="C2651" s="9">
        <v>567403.0</v>
      </c>
      <c r="D2651" s="9">
        <v>516681.0</v>
      </c>
      <c r="E2651" s="9">
        <v>218.0</v>
      </c>
      <c r="F2651" s="7" t="s">
        <v>1156</v>
      </c>
      <c r="G2651" s="7" t="s">
        <v>358</v>
      </c>
      <c r="H2651" s="7" t="s">
        <v>359</v>
      </c>
      <c r="I2651" s="7" t="s">
        <v>355</v>
      </c>
      <c r="J2651" s="14"/>
      <c r="O2651" s="22"/>
      <c r="P2651" s="22"/>
      <c r="Q2651" s="23"/>
      <c r="R2651" s="23"/>
      <c r="S2651" s="14"/>
    </row>
    <row r="2652" ht="18.75" customHeight="1">
      <c r="A2652" s="7" t="s">
        <v>1371</v>
      </c>
      <c r="B2652" s="7" t="s">
        <v>3883</v>
      </c>
      <c r="C2652" s="9">
        <v>306753.0</v>
      </c>
      <c r="D2652" s="9">
        <v>126323.0</v>
      </c>
      <c r="E2652" s="9">
        <v>421.0</v>
      </c>
      <c r="F2652" s="7" t="s">
        <v>1372</v>
      </c>
      <c r="G2652" s="7" t="s">
        <v>358</v>
      </c>
      <c r="H2652" s="7" t="s">
        <v>466</v>
      </c>
      <c r="I2652" s="7" t="s">
        <v>355</v>
      </c>
      <c r="J2652" s="14"/>
      <c r="O2652" s="22"/>
      <c r="P2652" s="22"/>
      <c r="Q2652" s="23"/>
      <c r="R2652" s="23"/>
      <c r="S2652" s="14"/>
    </row>
    <row r="2653" ht="18.75" customHeight="1">
      <c r="A2653" s="7" t="s">
        <v>1395</v>
      </c>
      <c r="B2653" s="7" t="s">
        <v>3883</v>
      </c>
      <c r="C2653" s="9">
        <v>435746.0</v>
      </c>
      <c r="D2653" s="9">
        <v>414737.0</v>
      </c>
      <c r="E2653" s="9">
        <v>1044.0</v>
      </c>
      <c r="F2653" s="7" t="s">
        <v>1396</v>
      </c>
      <c r="G2653" s="7" t="s">
        <v>358</v>
      </c>
      <c r="H2653" s="7" t="s">
        <v>466</v>
      </c>
      <c r="I2653" s="7" t="s">
        <v>355</v>
      </c>
      <c r="J2653" s="14"/>
      <c r="O2653" s="22"/>
      <c r="P2653" s="22"/>
      <c r="Q2653" s="23"/>
      <c r="R2653" s="23"/>
      <c r="S2653" s="14"/>
    </row>
    <row r="2654" ht="18.75" customHeight="1">
      <c r="A2654" s="7" t="s">
        <v>1533</v>
      </c>
      <c r="B2654" s="7" t="s">
        <v>3883</v>
      </c>
      <c r="C2654" s="9">
        <v>63912.0</v>
      </c>
      <c r="D2654" s="9">
        <v>23271.0</v>
      </c>
      <c r="E2654" s="9">
        <v>762.0</v>
      </c>
      <c r="F2654" s="7" t="s">
        <v>1534</v>
      </c>
      <c r="G2654" s="7" t="s">
        <v>358</v>
      </c>
      <c r="H2654" s="7" t="s">
        <v>466</v>
      </c>
      <c r="I2654" s="7" t="s">
        <v>355</v>
      </c>
      <c r="J2654" s="14"/>
      <c r="O2654" s="22"/>
      <c r="P2654" s="22"/>
      <c r="Q2654" s="23"/>
      <c r="R2654" s="23"/>
      <c r="S2654" s="14"/>
    </row>
    <row r="2655" ht="18.75" customHeight="1">
      <c r="A2655" s="7" t="s">
        <v>1561</v>
      </c>
      <c r="B2655" s="7" t="s">
        <v>3883</v>
      </c>
      <c r="C2655" s="9">
        <v>204977.0</v>
      </c>
      <c r="D2655" s="9">
        <v>138935.0</v>
      </c>
      <c r="E2655" s="9">
        <v>170.0</v>
      </c>
      <c r="F2655" s="7" t="s">
        <v>1562</v>
      </c>
      <c r="G2655" s="7" t="s">
        <v>358</v>
      </c>
      <c r="H2655" s="7" t="s">
        <v>466</v>
      </c>
      <c r="I2655" s="7" t="s">
        <v>355</v>
      </c>
      <c r="J2655" s="14"/>
      <c r="O2655" s="22"/>
      <c r="P2655" s="22"/>
      <c r="Q2655" s="23"/>
      <c r="R2655" s="23"/>
      <c r="S2655" s="14"/>
    </row>
    <row r="2656" ht="18.75" customHeight="1">
      <c r="A2656" s="7" t="s">
        <v>1471</v>
      </c>
      <c r="B2656" s="7" t="s">
        <v>3883</v>
      </c>
      <c r="C2656" s="9">
        <v>1013330.0</v>
      </c>
      <c r="D2656" s="9">
        <v>0.0</v>
      </c>
      <c r="E2656" s="9">
        <v>44014.0</v>
      </c>
      <c r="F2656" s="7" t="s">
        <v>1472</v>
      </c>
      <c r="G2656" s="7" t="s">
        <v>404</v>
      </c>
      <c r="H2656" s="7" t="s">
        <v>405</v>
      </c>
      <c r="I2656" s="7" t="s">
        <v>355</v>
      </c>
      <c r="J2656" s="14"/>
      <c r="O2656" s="22"/>
      <c r="P2656" s="22"/>
      <c r="Q2656" s="23"/>
      <c r="R2656" s="23"/>
      <c r="S2656" s="14"/>
    </row>
    <row r="2657" ht="18.75" customHeight="1">
      <c r="A2657" s="7" t="s">
        <v>1471</v>
      </c>
      <c r="B2657" s="7" t="s">
        <v>3883</v>
      </c>
      <c r="C2657" s="9">
        <v>478152.0</v>
      </c>
      <c r="D2657" s="9">
        <v>374849.0</v>
      </c>
      <c r="E2657" s="9">
        <v>397.0</v>
      </c>
      <c r="F2657" s="7" t="s">
        <v>1472</v>
      </c>
      <c r="G2657" s="7" t="s">
        <v>404</v>
      </c>
      <c r="H2657" s="7" t="s">
        <v>405</v>
      </c>
      <c r="I2657" s="7" t="s">
        <v>355</v>
      </c>
      <c r="J2657" s="14"/>
      <c r="O2657" s="22"/>
      <c r="P2657" s="22"/>
      <c r="Q2657" s="23"/>
      <c r="R2657" s="23"/>
      <c r="S2657" s="14"/>
    </row>
    <row r="2658" ht="18.75" customHeight="1">
      <c r="A2658" s="7" t="s">
        <v>1471</v>
      </c>
      <c r="B2658" s="7" t="s">
        <v>3883</v>
      </c>
      <c r="C2658" s="9">
        <v>1439815.0</v>
      </c>
      <c r="D2658" s="9">
        <v>193953.0</v>
      </c>
      <c r="E2658" s="9">
        <v>200.0</v>
      </c>
      <c r="F2658" s="7" t="s">
        <v>1472</v>
      </c>
      <c r="G2658" s="7" t="s">
        <v>404</v>
      </c>
      <c r="H2658" s="7" t="s">
        <v>405</v>
      </c>
      <c r="I2658" s="7" t="s">
        <v>355</v>
      </c>
      <c r="J2658" s="14"/>
      <c r="O2658" s="22"/>
      <c r="P2658" s="22"/>
      <c r="Q2658" s="23"/>
      <c r="R2658" s="23"/>
      <c r="S2658" s="14"/>
    </row>
    <row r="2659" ht="18.75" customHeight="1">
      <c r="A2659" s="7" t="s">
        <v>1471</v>
      </c>
      <c r="B2659" s="7" t="s">
        <v>3883</v>
      </c>
      <c r="C2659" s="9">
        <v>416038.0</v>
      </c>
      <c r="D2659" s="9">
        <v>22484.0</v>
      </c>
      <c r="E2659" s="9">
        <v>89.0</v>
      </c>
      <c r="F2659" s="7" t="s">
        <v>1472</v>
      </c>
      <c r="G2659" s="7" t="s">
        <v>404</v>
      </c>
      <c r="H2659" s="7" t="s">
        <v>405</v>
      </c>
      <c r="I2659" s="7" t="s">
        <v>355</v>
      </c>
      <c r="J2659" s="14"/>
      <c r="O2659" s="22"/>
      <c r="P2659" s="22"/>
      <c r="Q2659" s="23"/>
      <c r="R2659" s="23"/>
      <c r="S2659" s="14"/>
    </row>
    <row r="2660" ht="18.75" customHeight="1">
      <c r="A2660" s="7" t="s">
        <v>1601</v>
      </c>
      <c r="B2660" s="7" t="s">
        <v>3883</v>
      </c>
      <c r="C2660" s="9">
        <v>111155.0</v>
      </c>
      <c r="D2660" s="9">
        <v>79845.0</v>
      </c>
      <c r="E2660" s="9">
        <v>219.0</v>
      </c>
      <c r="F2660" s="7" t="s">
        <v>1602</v>
      </c>
      <c r="G2660" s="7" t="s">
        <v>404</v>
      </c>
      <c r="H2660" s="7" t="s">
        <v>405</v>
      </c>
      <c r="I2660" s="7" t="s">
        <v>355</v>
      </c>
      <c r="J2660" s="14"/>
      <c r="O2660" s="22"/>
      <c r="P2660" s="22"/>
      <c r="Q2660" s="23"/>
      <c r="R2660" s="23"/>
      <c r="S2660" s="14"/>
    </row>
    <row r="2661" ht="18.75" customHeight="1">
      <c r="A2661" s="7" t="s">
        <v>1601</v>
      </c>
      <c r="B2661" s="7" t="s">
        <v>3883</v>
      </c>
      <c r="C2661" s="9">
        <v>180383.0</v>
      </c>
      <c r="D2661" s="9">
        <v>19218.0</v>
      </c>
      <c r="E2661" s="9">
        <v>511.0</v>
      </c>
      <c r="F2661" s="7" t="s">
        <v>1602</v>
      </c>
      <c r="G2661" s="7" t="s">
        <v>404</v>
      </c>
      <c r="H2661" s="7" t="s">
        <v>405</v>
      </c>
      <c r="I2661" s="7" t="s">
        <v>355</v>
      </c>
      <c r="J2661" s="14"/>
      <c r="O2661" s="22"/>
      <c r="P2661" s="22"/>
      <c r="Q2661" s="23"/>
      <c r="R2661" s="23"/>
      <c r="S2661" s="14"/>
    </row>
    <row r="2662" ht="18.75" customHeight="1">
      <c r="A2662" s="7" t="s">
        <v>1149</v>
      </c>
      <c r="B2662" s="7" t="s">
        <v>3883</v>
      </c>
      <c r="C2662" s="9">
        <v>644772.0</v>
      </c>
      <c r="D2662" s="9">
        <v>552910.0</v>
      </c>
      <c r="E2662" s="9">
        <v>391.0</v>
      </c>
      <c r="F2662" s="7" t="s">
        <v>1150</v>
      </c>
      <c r="G2662" s="7" t="s">
        <v>404</v>
      </c>
      <c r="H2662" s="7" t="s">
        <v>667</v>
      </c>
      <c r="I2662" s="7" t="s">
        <v>355</v>
      </c>
      <c r="J2662" s="14"/>
      <c r="O2662" s="22"/>
      <c r="P2662" s="22"/>
      <c r="Q2662" s="23"/>
      <c r="R2662" s="23"/>
      <c r="S2662" s="14"/>
    </row>
    <row r="2663" ht="18.75" customHeight="1">
      <c r="A2663" s="7" t="s">
        <v>1149</v>
      </c>
      <c r="B2663" s="7" t="s">
        <v>3883</v>
      </c>
      <c r="C2663" s="9">
        <v>860729.0</v>
      </c>
      <c r="D2663" s="9">
        <v>0.0</v>
      </c>
      <c r="E2663" s="9">
        <v>19121.0</v>
      </c>
      <c r="F2663" s="7" t="s">
        <v>1150</v>
      </c>
      <c r="G2663" s="7" t="s">
        <v>404</v>
      </c>
      <c r="H2663" s="7" t="s">
        <v>667</v>
      </c>
      <c r="I2663" s="7" t="s">
        <v>355</v>
      </c>
      <c r="J2663" s="14"/>
      <c r="O2663" s="22"/>
      <c r="P2663" s="22"/>
      <c r="Q2663" s="23"/>
      <c r="R2663" s="23"/>
      <c r="S2663" s="14"/>
    </row>
    <row r="2664" ht="18.75" customHeight="1">
      <c r="A2664" s="7" t="s">
        <v>1149</v>
      </c>
      <c r="B2664" s="7" t="s">
        <v>3883</v>
      </c>
      <c r="C2664" s="9">
        <v>530005.0</v>
      </c>
      <c r="D2664" s="9">
        <v>12092.0</v>
      </c>
      <c r="E2664" s="9">
        <v>314.0</v>
      </c>
      <c r="F2664" s="7" t="s">
        <v>1150</v>
      </c>
      <c r="G2664" s="7" t="s">
        <v>404</v>
      </c>
      <c r="H2664" s="7" t="s">
        <v>667</v>
      </c>
      <c r="I2664" s="7" t="s">
        <v>355</v>
      </c>
      <c r="J2664" s="14"/>
      <c r="O2664" s="22"/>
      <c r="P2664" s="22"/>
      <c r="Q2664" s="23"/>
      <c r="R2664" s="23"/>
      <c r="S2664" s="14"/>
    </row>
    <row r="2665" ht="18.75" customHeight="1">
      <c r="A2665" s="7" t="s">
        <v>1149</v>
      </c>
      <c r="B2665" s="7" t="s">
        <v>3883</v>
      </c>
      <c r="C2665" s="9">
        <v>155916.0</v>
      </c>
      <c r="D2665" s="9">
        <v>0.0</v>
      </c>
      <c r="E2665" s="9">
        <v>7730.0</v>
      </c>
      <c r="F2665" s="7" t="s">
        <v>1150</v>
      </c>
      <c r="G2665" s="7" t="s">
        <v>404</v>
      </c>
      <c r="H2665" s="7" t="s">
        <v>667</v>
      </c>
      <c r="I2665" s="7" t="s">
        <v>355</v>
      </c>
      <c r="J2665" s="14"/>
      <c r="O2665" s="22"/>
      <c r="P2665" s="22"/>
      <c r="Q2665" s="23"/>
      <c r="R2665" s="23"/>
      <c r="S2665" s="14"/>
    </row>
    <row r="2666" ht="18.75" customHeight="1">
      <c r="A2666" s="7" t="s">
        <v>709</v>
      </c>
      <c r="B2666" s="7" t="s">
        <v>3883</v>
      </c>
      <c r="C2666" s="9">
        <v>464991.0</v>
      </c>
      <c r="D2666" s="9">
        <v>0.0</v>
      </c>
      <c r="E2666" s="9">
        <v>12750.0</v>
      </c>
      <c r="F2666" s="7" t="s">
        <v>710</v>
      </c>
      <c r="G2666" s="7" t="s">
        <v>404</v>
      </c>
      <c r="H2666" s="7" t="s">
        <v>667</v>
      </c>
      <c r="I2666" s="7" t="s">
        <v>410</v>
      </c>
      <c r="J2666" s="14"/>
      <c r="O2666" s="22"/>
      <c r="P2666" s="22"/>
      <c r="Q2666" s="23"/>
      <c r="R2666" s="23"/>
      <c r="S2666" s="14"/>
    </row>
    <row r="2667" ht="18.75" customHeight="1">
      <c r="A2667" s="7" t="s">
        <v>1289</v>
      </c>
      <c r="B2667" s="7" t="s">
        <v>3883</v>
      </c>
      <c r="C2667" s="9">
        <v>214563.0</v>
      </c>
      <c r="D2667" s="9">
        <v>134102.0</v>
      </c>
      <c r="E2667" s="9">
        <v>130.0</v>
      </c>
      <c r="F2667" s="7" t="s">
        <v>1290</v>
      </c>
      <c r="G2667" s="7" t="s">
        <v>364</v>
      </c>
      <c r="H2667" s="7" t="s">
        <v>365</v>
      </c>
      <c r="I2667" s="7" t="s">
        <v>355</v>
      </c>
      <c r="J2667" s="14"/>
      <c r="O2667" s="22"/>
      <c r="P2667" s="22"/>
      <c r="Q2667" s="23"/>
      <c r="R2667" s="23"/>
      <c r="S2667" s="14"/>
    </row>
    <row r="2668" ht="18.75" customHeight="1">
      <c r="A2668" s="7" t="s">
        <v>565</v>
      </c>
      <c r="B2668" s="7" t="s">
        <v>3883</v>
      </c>
      <c r="C2668" s="9">
        <v>530654.0</v>
      </c>
      <c r="D2668" s="9">
        <v>0.0</v>
      </c>
      <c r="E2668" s="9">
        <v>25226.0</v>
      </c>
      <c r="F2668" s="7" t="s">
        <v>566</v>
      </c>
      <c r="G2668" s="7" t="s">
        <v>364</v>
      </c>
      <c r="H2668" s="7" t="s">
        <v>365</v>
      </c>
      <c r="I2668" s="7" t="s">
        <v>355</v>
      </c>
      <c r="J2668" s="14"/>
      <c r="O2668" s="22"/>
      <c r="P2668" s="22"/>
      <c r="Q2668" s="23"/>
      <c r="R2668" s="23"/>
      <c r="S2668" s="14"/>
    </row>
    <row r="2669" ht="18.75" customHeight="1">
      <c r="A2669" s="7" t="s">
        <v>565</v>
      </c>
      <c r="B2669" s="7" t="s">
        <v>3883</v>
      </c>
      <c r="C2669" s="9">
        <v>344519.0</v>
      </c>
      <c r="D2669" s="9">
        <v>280524.0</v>
      </c>
      <c r="E2669" s="9">
        <v>164.0</v>
      </c>
      <c r="F2669" s="7" t="s">
        <v>566</v>
      </c>
      <c r="G2669" s="7" t="s">
        <v>364</v>
      </c>
      <c r="H2669" s="7" t="s">
        <v>365</v>
      </c>
      <c r="I2669" s="7" t="s">
        <v>355</v>
      </c>
      <c r="J2669" s="14"/>
      <c r="O2669" s="22"/>
      <c r="P2669" s="22"/>
      <c r="Q2669" s="23"/>
      <c r="R2669" s="23"/>
      <c r="S2669" s="14"/>
    </row>
    <row r="2670" ht="18.75" customHeight="1">
      <c r="A2670" s="7" t="s">
        <v>565</v>
      </c>
      <c r="B2670" s="7" t="s">
        <v>3883</v>
      </c>
      <c r="C2670" s="9">
        <v>147823.0</v>
      </c>
      <c r="D2670" s="9">
        <v>140363.0</v>
      </c>
      <c r="E2670" s="9">
        <v>41.0</v>
      </c>
      <c r="F2670" s="7" t="s">
        <v>566</v>
      </c>
      <c r="G2670" s="7" t="s">
        <v>364</v>
      </c>
      <c r="H2670" s="7" t="s">
        <v>365</v>
      </c>
      <c r="I2670" s="7" t="s">
        <v>355</v>
      </c>
      <c r="J2670" s="14"/>
      <c r="O2670" s="22"/>
      <c r="P2670" s="22"/>
      <c r="Q2670" s="23"/>
      <c r="R2670" s="23"/>
      <c r="S2670" s="14"/>
    </row>
    <row r="2671" ht="18.75" customHeight="1">
      <c r="A2671" s="7" t="s">
        <v>1283</v>
      </c>
      <c r="B2671" s="7" t="s">
        <v>3883</v>
      </c>
      <c r="C2671" s="9">
        <v>710913.0</v>
      </c>
      <c r="D2671" s="9">
        <v>0.0</v>
      </c>
      <c r="E2671" s="9">
        <v>17209.0</v>
      </c>
      <c r="F2671" s="7" t="s">
        <v>1284</v>
      </c>
      <c r="G2671" s="7" t="s">
        <v>503</v>
      </c>
      <c r="H2671" s="7" t="s">
        <v>928</v>
      </c>
      <c r="I2671" s="7" t="s">
        <v>355</v>
      </c>
      <c r="J2671" s="14"/>
      <c r="O2671" s="22"/>
      <c r="P2671" s="22"/>
      <c r="Q2671" s="23"/>
      <c r="R2671" s="23"/>
      <c r="S2671" s="14"/>
    </row>
    <row r="2672" ht="18.75" customHeight="1">
      <c r="A2672" s="7" t="s">
        <v>1305</v>
      </c>
      <c r="B2672" s="7" t="s">
        <v>3883</v>
      </c>
      <c r="C2672" s="9">
        <v>50798.0</v>
      </c>
      <c r="D2672" s="9">
        <v>0.0</v>
      </c>
      <c r="E2672" s="9">
        <v>587.0</v>
      </c>
      <c r="F2672" s="7" t="s">
        <v>1306</v>
      </c>
      <c r="G2672" s="7" t="s">
        <v>353</v>
      </c>
      <c r="H2672" s="7" t="s">
        <v>378</v>
      </c>
      <c r="I2672" s="7" t="s">
        <v>355</v>
      </c>
      <c r="J2672" s="14"/>
      <c r="O2672" s="22"/>
      <c r="P2672" s="22"/>
      <c r="Q2672" s="23"/>
      <c r="R2672" s="23"/>
      <c r="S2672" s="14"/>
    </row>
    <row r="2673" ht="18.75" customHeight="1">
      <c r="A2673" s="7" t="s">
        <v>1579</v>
      </c>
      <c r="B2673" s="7" t="s">
        <v>3883</v>
      </c>
      <c r="C2673" s="9">
        <v>39670.0</v>
      </c>
      <c r="D2673" s="9">
        <v>31261.0</v>
      </c>
      <c r="E2673" s="9">
        <v>63.0</v>
      </c>
      <c r="F2673" s="7" t="s">
        <v>1580</v>
      </c>
      <c r="G2673" s="7" t="s">
        <v>353</v>
      </c>
      <c r="H2673" s="7" t="s">
        <v>378</v>
      </c>
      <c r="I2673" s="7" t="s">
        <v>355</v>
      </c>
      <c r="J2673" s="14"/>
      <c r="O2673" s="22"/>
      <c r="P2673" s="22"/>
      <c r="Q2673" s="23"/>
      <c r="R2673" s="23"/>
      <c r="S2673" s="14"/>
    </row>
    <row r="2674" ht="18.75" customHeight="1">
      <c r="A2674" s="7" t="s">
        <v>1361</v>
      </c>
      <c r="B2674" s="7" t="s">
        <v>3883</v>
      </c>
      <c r="C2674" s="9">
        <v>320125.0</v>
      </c>
      <c r="D2674" s="9">
        <v>0.0</v>
      </c>
      <c r="E2674" s="9">
        <v>7095.0</v>
      </c>
      <c r="F2674" s="7" t="s">
        <v>1362</v>
      </c>
      <c r="G2674" s="7" t="s">
        <v>353</v>
      </c>
      <c r="H2674" s="7" t="s">
        <v>378</v>
      </c>
      <c r="I2674" s="7" t="s">
        <v>355</v>
      </c>
      <c r="J2674" s="14"/>
      <c r="O2674" s="22"/>
      <c r="P2674" s="22"/>
      <c r="Q2674" s="23"/>
      <c r="R2674" s="23"/>
      <c r="S2674" s="14"/>
    </row>
    <row r="2675" ht="18.75" customHeight="1">
      <c r="A2675" s="7" t="s">
        <v>1275</v>
      </c>
      <c r="B2675" s="7" t="s">
        <v>3883</v>
      </c>
      <c r="C2675" s="9">
        <v>3309809.0</v>
      </c>
      <c r="D2675" s="9">
        <v>0.0</v>
      </c>
      <c r="E2675" s="9">
        <v>87378.0</v>
      </c>
      <c r="F2675" s="7" t="s">
        <v>1276</v>
      </c>
      <c r="G2675" s="7" t="s">
        <v>353</v>
      </c>
      <c r="H2675" s="7" t="s">
        <v>378</v>
      </c>
      <c r="I2675" s="7" t="s">
        <v>355</v>
      </c>
      <c r="J2675" s="14"/>
      <c r="O2675" s="22"/>
      <c r="P2675" s="22"/>
      <c r="Q2675" s="23"/>
      <c r="R2675" s="23"/>
      <c r="S2675" s="14"/>
    </row>
    <row r="2676" ht="18.75" customHeight="1">
      <c r="A2676" s="7" t="s">
        <v>1275</v>
      </c>
      <c r="B2676" s="7" t="s">
        <v>3883</v>
      </c>
      <c r="C2676" s="9">
        <v>1334163.0</v>
      </c>
      <c r="D2676" s="9">
        <v>1120743.0</v>
      </c>
      <c r="E2676" s="9">
        <v>725.0</v>
      </c>
      <c r="F2676" s="7" t="s">
        <v>1276</v>
      </c>
      <c r="G2676" s="7" t="s">
        <v>353</v>
      </c>
      <c r="H2676" s="7" t="s">
        <v>378</v>
      </c>
      <c r="I2676" s="7" t="s">
        <v>355</v>
      </c>
      <c r="J2676" s="14"/>
      <c r="O2676" s="22"/>
      <c r="P2676" s="22"/>
      <c r="Q2676" s="23"/>
      <c r="R2676" s="23"/>
      <c r="S2676" s="14"/>
    </row>
    <row r="2677" ht="18.75" customHeight="1">
      <c r="A2677" s="7" t="s">
        <v>1369</v>
      </c>
      <c r="B2677" s="7" t="s">
        <v>3883</v>
      </c>
      <c r="C2677" s="9">
        <v>187635.0</v>
      </c>
      <c r="D2677" s="9">
        <v>91517.0</v>
      </c>
      <c r="E2677" s="9">
        <v>324.0</v>
      </c>
      <c r="F2677" s="7" t="s">
        <v>1370</v>
      </c>
      <c r="G2677" s="7" t="s">
        <v>353</v>
      </c>
      <c r="H2677" s="7" t="s">
        <v>378</v>
      </c>
      <c r="I2677" s="7" t="s">
        <v>355</v>
      </c>
      <c r="J2677" s="14"/>
      <c r="O2677" s="22"/>
      <c r="P2677" s="22"/>
      <c r="Q2677" s="23"/>
      <c r="R2677" s="23"/>
      <c r="S2677" s="14"/>
    </row>
    <row r="2678" ht="18.75" customHeight="1">
      <c r="A2678" s="7" t="s">
        <v>1369</v>
      </c>
      <c r="B2678" s="7" t="s">
        <v>3883</v>
      </c>
      <c r="C2678" s="9">
        <v>864026.0</v>
      </c>
      <c r="D2678" s="9">
        <v>0.0</v>
      </c>
      <c r="E2678" s="9">
        <v>28158.0</v>
      </c>
      <c r="F2678" s="7" t="s">
        <v>1370</v>
      </c>
      <c r="G2678" s="7" t="s">
        <v>353</v>
      </c>
      <c r="H2678" s="7" t="s">
        <v>378</v>
      </c>
      <c r="I2678" s="7" t="s">
        <v>355</v>
      </c>
      <c r="J2678" s="14"/>
      <c r="O2678" s="22"/>
      <c r="P2678" s="22"/>
      <c r="Q2678" s="23"/>
      <c r="R2678" s="23"/>
      <c r="S2678" s="14"/>
    </row>
    <row r="2679" ht="18.75" customHeight="1">
      <c r="A2679" s="7" t="s">
        <v>943</v>
      </c>
      <c r="B2679" s="7" t="s">
        <v>3883</v>
      </c>
      <c r="C2679" s="9">
        <v>192012.0</v>
      </c>
      <c r="D2679" s="9">
        <v>152515.0</v>
      </c>
      <c r="E2679" s="9">
        <v>154.0</v>
      </c>
      <c r="F2679" s="7" t="s">
        <v>944</v>
      </c>
      <c r="G2679" s="7" t="s">
        <v>353</v>
      </c>
      <c r="H2679" s="7" t="s">
        <v>378</v>
      </c>
      <c r="I2679" s="7" t="s">
        <v>355</v>
      </c>
      <c r="J2679" s="14"/>
      <c r="O2679" s="22"/>
      <c r="P2679" s="22"/>
      <c r="Q2679" s="23"/>
      <c r="R2679" s="23"/>
      <c r="S2679" s="14"/>
    </row>
    <row r="2680" ht="18.75" customHeight="1">
      <c r="A2680" s="7" t="s">
        <v>943</v>
      </c>
      <c r="B2680" s="7" t="s">
        <v>3883</v>
      </c>
      <c r="C2680" s="9">
        <v>234299.0</v>
      </c>
      <c r="D2680" s="9">
        <v>198469.0</v>
      </c>
      <c r="E2680" s="9">
        <v>165.0</v>
      </c>
      <c r="F2680" s="7" t="s">
        <v>944</v>
      </c>
      <c r="G2680" s="7" t="s">
        <v>353</v>
      </c>
      <c r="H2680" s="7" t="s">
        <v>378</v>
      </c>
      <c r="I2680" s="7" t="s">
        <v>355</v>
      </c>
      <c r="J2680" s="14"/>
      <c r="O2680" s="22"/>
      <c r="P2680" s="22"/>
      <c r="Q2680" s="23"/>
      <c r="R2680" s="23"/>
      <c r="S2680" s="14"/>
    </row>
    <row r="2681" ht="18.75" customHeight="1">
      <c r="A2681" s="7" t="s">
        <v>943</v>
      </c>
      <c r="B2681" s="7" t="s">
        <v>3883</v>
      </c>
      <c r="C2681" s="9">
        <v>184748.0</v>
      </c>
      <c r="D2681" s="9">
        <v>170436.0</v>
      </c>
      <c r="E2681" s="9">
        <v>80.0</v>
      </c>
      <c r="F2681" s="7" t="s">
        <v>944</v>
      </c>
      <c r="G2681" s="7" t="s">
        <v>353</v>
      </c>
      <c r="H2681" s="7" t="s">
        <v>378</v>
      </c>
      <c r="I2681" s="7" t="s">
        <v>355</v>
      </c>
      <c r="J2681" s="14"/>
      <c r="O2681" s="22"/>
      <c r="P2681" s="22"/>
      <c r="Q2681" s="23"/>
      <c r="R2681" s="23"/>
      <c r="S2681" s="14"/>
    </row>
    <row r="2682" ht="18.75" customHeight="1">
      <c r="A2682" s="7" t="s">
        <v>943</v>
      </c>
      <c r="B2682" s="7" t="s">
        <v>3883</v>
      </c>
      <c r="C2682" s="9">
        <v>317598.0</v>
      </c>
      <c r="D2682" s="9">
        <v>306678.0</v>
      </c>
      <c r="E2682" s="9">
        <v>75.0</v>
      </c>
      <c r="F2682" s="7" t="s">
        <v>944</v>
      </c>
      <c r="G2682" s="7" t="s">
        <v>353</v>
      </c>
      <c r="H2682" s="7" t="s">
        <v>378</v>
      </c>
      <c r="I2682" s="7" t="s">
        <v>355</v>
      </c>
      <c r="J2682" s="14"/>
      <c r="O2682" s="22"/>
      <c r="P2682" s="22"/>
      <c r="Q2682" s="23"/>
      <c r="R2682" s="23"/>
      <c r="S2682" s="14"/>
    </row>
    <row r="2683" ht="18.75" customHeight="1">
      <c r="A2683" s="7" t="s">
        <v>1393</v>
      </c>
      <c r="B2683" s="7" t="s">
        <v>3883</v>
      </c>
      <c r="C2683" s="9">
        <v>474743.0</v>
      </c>
      <c r="D2683" s="9">
        <v>0.0</v>
      </c>
      <c r="E2683" s="9">
        <v>13265.0</v>
      </c>
      <c r="F2683" s="7" t="s">
        <v>1394</v>
      </c>
      <c r="G2683" s="7" t="s">
        <v>353</v>
      </c>
      <c r="H2683" s="7" t="s">
        <v>378</v>
      </c>
      <c r="I2683" s="7" t="s">
        <v>355</v>
      </c>
      <c r="J2683" s="14"/>
      <c r="O2683" s="22"/>
      <c r="P2683" s="22"/>
      <c r="Q2683" s="23"/>
      <c r="R2683" s="23"/>
      <c r="S2683" s="14"/>
    </row>
    <row r="2684" ht="18.75" customHeight="1">
      <c r="A2684" s="7" t="s">
        <v>1393</v>
      </c>
      <c r="B2684" s="7" t="s">
        <v>3883</v>
      </c>
      <c r="C2684" s="9">
        <v>863631.0</v>
      </c>
      <c r="D2684" s="9">
        <v>119834.0</v>
      </c>
      <c r="E2684" s="9">
        <v>0.0</v>
      </c>
      <c r="F2684" s="7" t="s">
        <v>1394</v>
      </c>
      <c r="G2684" s="7" t="s">
        <v>353</v>
      </c>
      <c r="H2684" s="7" t="s">
        <v>378</v>
      </c>
      <c r="I2684" s="7" t="s">
        <v>355</v>
      </c>
      <c r="J2684" s="14"/>
      <c r="O2684" s="22"/>
      <c r="P2684" s="22"/>
      <c r="Q2684" s="23"/>
      <c r="R2684" s="23"/>
      <c r="S2684" s="14"/>
    </row>
    <row r="2685" ht="18.75" customHeight="1">
      <c r="A2685" s="7" t="s">
        <v>1423</v>
      </c>
      <c r="B2685" s="7" t="s">
        <v>3883</v>
      </c>
      <c r="C2685" s="9">
        <v>13960.0</v>
      </c>
      <c r="D2685" s="9">
        <v>0.0</v>
      </c>
      <c r="E2685" s="9">
        <v>146.0</v>
      </c>
      <c r="F2685" s="7" t="s">
        <v>1424</v>
      </c>
      <c r="G2685" s="7" t="s">
        <v>358</v>
      </c>
      <c r="H2685" s="7" t="s">
        <v>466</v>
      </c>
      <c r="I2685" s="7" t="s">
        <v>355</v>
      </c>
      <c r="J2685" s="14"/>
      <c r="O2685" s="22"/>
      <c r="P2685" s="22"/>
      <c r="Q2685" s="23"/>
      <c r="R2685" s="23"/>
      <c r="S2685" s="14"/>
    </row>
    <row r="2686" ht="18.75" customHeight="1">
      <c r="A2686" s="7" t="s">
        <v>1423</v>
      </c>
      <c r="B2686" s="7" t="s">
        <v>3883</v>
      </c>
      <c r="C2686" s="9">
        <v>211971.0</v>
      </c>
      <c r="D2686" s="9">
        <v>137938.0</v>
      </c>
      <c r="E2686" s="9">
        <v>246.0</v>
      </c>
      <c r="F2686" s="7" t="s">
        <v>1424</v>
      </c>
      <c r="G2686" s="7" t="s">
        <v>358</v>
      </c>
      <c r="H2686" s="7" t="s">
        <v>466</v>
      </c>
      <c r="I2686" s="7" t="s">
        <v>355</v>
      </c>
      <c r="J2686" s="14"/>
      <c r="O2686" s="22"/>
      <c r="P2686" s="22"/>
      <c r="Q2686" s="23"/>
      <c r="R2686" s="23"/>
      <c r="S2686" s="14"/>
    </row>
    <row r="2687" ht="18.75" customHeight="1">
      <c r="A2687" s="7" t="s">
        <v>1567</v>
      </c>
      <c r="B2687" s="7" t="s">
        <v>3883</v>
      </c>
      <c r="C2687" s="9">
        <v>2498028.0</v>
      </c>
      <c r="D2687" s="9">
        <v>1852971.0</v>
      </c>
      <c r="E2687" s="9">
        <v>2425.0</v>
      </c>
      <c r="F2687" s="7" t="s">
        <v>1568</v>
      </c>
      <c r="G2687" s="7" t="s">
        <v>358</v>
      </c>
      <c r="H2687" s="7" t="s">
        <v>466</v>
      </c>
      <c r="I2687" s="7" t="s">
        <v>355</v>
      </c>
      <c r="J2687" s="14"/>
      <c r="O2687" s="22"/>
      <c r="P2687" s="22"/>
      <c r="Q2687" s="23"/>
      <c r="R2687" s="23"/>
      <c r="S2687" s="14"/>
    </row>
    <row r="2688" ht="18.75" customHeight="1">
      <c r="A2688" s="7" t="s">
        <v>1571</v>
      </c>
      <c r="B2688" s="7" t="s">
        <v>3883</v>
      </c>
      <c r="C2688" s="9">
        <v>193768.0</v>
      </c>
      <c r="D2688" s="9">
        <v>0.0</v>
      </c>
      <c r="E2688" s="9">
        <v>7528.0</v>
      </c>
      <c r="F2688" s="7" t="s">
        <v>1572</v>
      </c>
      <c r="G2688" s="7" t="s">
        <v>404</v>
      </c>
      <c r="H2688" s="7" t="s">
        <v>405</v>
      </c>
      <c r="I2688" s="7" t="s">
        <v>355</v>
      </c>
      <c r="J2688" s="14"/>
      <c r="O2688" s="22"/>
      <c r="P2688" s="22"/>
      <c r="Q2688" s="23"/>
      <c r="R2688" s="23"/>
      <c r="S2688" s="14"/>
    </row>
    <row r="2689" ht="18.75" customHeight="1">
      <c r="A2689" s="7" t="s">
        <v>1573</v>
      </c>
      <c r="B2689" s="7" t="s">
        <v>3883</v>
      </c>
      <c r="C2689" s="9">
        <v>153496.0</v>
      </c>
      <c r="D2689" s="9">
        <v>0.0</v>
      </c>
      <c r="E2689" s="9">
        <v>5628.0</v>
      </c>
      <c r="F2689" s="7" t="s">
        <v>1574</v>
      </c>
      <c r="G2689" s="7" t="s">
        <v>404</v>
      </c>
      <c r="H2689" s="7" t="s">
        <v>405</v>
      </c>
      <c r="I2689" s="7" t="s">
        <v>355</v>
      </c>
      <c r="J2689" s="14"/>
      <c r="O2689" s="22"/>
      <c r="P2689" s="22"/>
      <c r="Q2689" s="23"/>
      <c r="R2689" s="23"/>
      <c r="S2689" s="14"/>
    </row>
    <row r="2690" ht="18.75" customHeight="1">
      <c r="A2690" s="7" t="s">
        <v>1569</v>
      </c>
      <c r="B2690" s="7" t="s">
        <v>3883</v>
      </c>
      <c r="C2690" s="9">
        <v>700979.0</v>
      </c>
      <c r="D2690" s="9">
        <v>0.0</v>
      </c>
      <c r="E2690" s="9">
        <v>20170.0</v>
      </c>
      <c r="F2690" s="7" t="s">
        <v>1570</v>
      </c>
      <c r="G2690" s="7" t="s">
        <v>404</v>
      </c>
      <c r="H2690" s="7" t="s">
        <v>405</v>
      </c>
      <c r="I2690" s="7" t="s">
        <v>355</v>
      </c>
      <c r="J2690" s="14"/>
      <c r="O2690" s="22"/>
      <c r="P2690" s="22"/>
      <c r="Q2690" s="23"/>
      <c r="R2690" s="23"/>
      <c r="S2690" s="14"/>
    </row>
    <row r="2691" ht="18.75" customHeight="1">
      <c r="A2691" s="7" t="s">
        <v>1577</v>
      </c>
      <c r="B2691" s="7" t="s">
        <v>3883</v>
      </c>
      <c r="C2691" s="9">
        <v>571021.0</v>
      </c>
      <c r="D2691" s="9">
        <v>0.0</v>
      </c>
      <c r="E2691" s="9">
        <v>19055.0</v>
      </c>
      <c r="F2691" s="7" t="s">
        <v>1578</v>
      </c>
      <c r="G2691" s="7" t="s">
        <v>404</v>
      </c>
      <c r="H2691" s="7" t="s">
        <v>405</v>
      </c>
      <c r="I2691" s="7" t="s">
        <v>355</v>
      </c>
      <c r="J2691" s="14"/>
      <c r="O2691" s="22"/>
      <c r="P2691" s="22"/>
      <c r="Q2691" s="23"/>
      <c r="R2691" s="23"/>
      <c r="S2691" s="14"/>
    </row>
    <row r="2692" ht="18.75" customHeight="1">
      <c r="A2692" s="7" t="s">
        <v>1575</v>
      </c>
      <c r="B2692" s="7" t="s">
        <v>3883</v>
      </c>
      <c r="C2692" s="9">
        <v>138999.0</v>
      </c>
      <c r="D2692" s="9">
        <v>0.0</v>
      </c>
      <c r="E2692" s="9">
        <v>8664.0</v>
      </c>
      <c r="F2692" s="7" t="s">
        <v>1576</v>
      </c>
      <c r="G2692" s="7" t="s">
        <v>404</v>
      </c>
      <c r="H2692" s="7" t="s">
        <v>405</v>
      </c>
      <c r="I2692" s="7" t="s">
        <v>355</v>
      </c>
      <c r="J2692" s="14"/>
      <c r="O2692" s="22"/>
      <c r="P2692" s="22"/>
      <c r="Q2692" s="23"/>
      <c r="R2692" s="23"/>
      <c r="S2692" s="14"/>
    </row>
    <row r="2693" ht="18.75" customHeight="1">
      <c r="A2693" s="7" t="s">
        <v>1575</v>
      </c>
      <c r="B2693" s="7" t="s">
        <v>3883</v>
      </c>
      <c r="C2693" s="9">
        <v>76835.0</v>
      </c>
      <c r="D2693" s="9">
        <v>65612.0</v>
      </c>
      <c r="E2693" s="9">
        <v>192.0</v>
      </c>
      <c r="F2693" s="7" t="s">
        <v>1576</v>
      </c>
      <c r="G2693" s="7" t="s">
        <v>404</v>
      </c>
      <c r="H2693" s="7" t="s">
        <v>405</v>
      </c>
      <c r="I2693" s="7" t="s">
        <v>355</v>
      </c>
      <c r="J2693" s="14"/>
      <c r="O2693" s="22"/>
      <c r="P2693" s="22"/>
      <c r="Q2693" s="23"/>
      <c r="R2693" s="23"/>
      <c r="S2693" s="14"/>
    </row>
    <row r="2694" ht="18.75" customHeight="1">
      <c r="A2694" s="7" t="s">
        <v>1575</v>
      </c>
      <c r="B2694" s="7" t="s">
        <v>3883</v>
      </c>
      <c r="C2694" s="9">
        <v>2412.0</v>
      </c>
      <c r="D2694" s="9">
        <v>212.0</v>
      </c>
      <c r="E2694" s="9">
        <v>8.0</v>
      </c>
      <c r="F2694" s="7" t="s">
        <v>1576</v>
      </c>
      <c r="G2694" s="7" t="s">
        <v>404</v>
      </c>
      <c r="H2694" s="7" t="s">
        <v>405</v>
      </c>
      <c r="I2694" s="7" t="s">
        <v>355</v>
      </c>
      <c r="J2694" s="14"/>
      <c r="O2694" s="22"/>
      <c r="P2694" s="22"/>
      <c r="Q2694" s="23"/>
      <c r="R2694" s="23"/>
      <c r="S2694" s="14"/>
    </row>
    <row r="2695" ht="18.75" customHeight="1">
      <c r="A2695" s="7" t="s">
        <v>1523</v>
      </c>
      <c r="B2695" s="7" t="s">
        <v>3883</v>
      </c>
      <c r="C2695" s="9">
        <v>269489.0</v>
      </c>
      <c r="D2695" s="9">
        <v>126273.0</v>
      </c>
      <c r="E2695" s="9">
        <v>383.0</v>
      </c>
      <c r="F2695" s="7" t="s">
        <v>1524</v>
      </c>
      <c r="G2695" s="7" t="s">
        <v>364</v>
      </c>
      <c r="H2695" s="7" t="s">
        <v>365</v>
      </c>
      <c r="I2695" s="7" t="s">
        <v>410</v>
      </c>
      <c r="J2695" s="14"/>
      <c r="O2695" s="22"/>
      <c r="P2695" s="22"/>
      <c r="Q2695" s="23"/>
      <c r="R2695" s="23"/>
      <c r="S2695" s="14"/>
    </row>
    <row r="2696" ht="18.75" customHeight="1">
      <c r="A2696" s="7" t="s">
        <v>1221</v>
      </c>
      <c r="B2696" s="7" t="s">
        <v>3883</v>
      </c>
      <c r="C2696" s="9">
        <v>532797.0</v>
      </c>
      <c r="D2696" s="9">
        <v>0.0</v>
      </c>
      <c r="E2696" s="9">
        <v>8108.0</v>
      </c>
      <c r="F2696" s="7" t="s">
        <v>1222</v>
      </c>
      <c r="G2696" s="7" t="s">
        <v>353</v>
      </c>
      <c r="H2696" s="7" t="s">
        <v>378</v>
      </c>
      <c r="I2696" s="7" t="s">
        <v>355</v>
      </c>
      <c r="J2696" s="14"/>
      <c r="O2696" s="22"/>
      <c r="P2696" s="22"/>
      <c r="Q2696" s="23"/>
      <c r="R2696" s="23"/>
      <c r="S2696" s="14"/>
    </row>
    <row r="2697" ht="18.75" customHeight="1">
      <c r="A2697" s="7" t="s">
        <v>1309</v>
      </c>
      <c r="B2697" s="7" t="s">
        <v>3883</v>
      </c>
      <c r="C2697" s="9">
        <v>123185.0</v>
      </c>
      <c r="D2697" s="9">
        <v>0.0</v>
      </c>
      <c r="E2697" s="9">
        <v>4349.0</v>
      </c>
      <c r="F2697" s="7" t="s">
        <v>1310</v>
      </c>
      <c r="G2697" s="7" t="s">
        <v>353</v>
      </c>
      <c r="H2697" s="7" t="s">
        <v>378</v>
      </c>
      <c r="I2697" s="7" t="s">
        <v>355</v>
      </c>
      <c r="J2697" s="14"/>
      <c r="O2697" s="22"/>
      <c r="P2697" s="22"/>
      <c r="Q2697" s="23"/>
      <c r="R2697" s="23"/>
      <c r="S2697" s="14"/>
    </row>
    <row r="2698" ht="18.75" customHeight="1">
      <c r="A2698" s="7" t="s">
        <v>870</v>
      </c>
      <c r="B2698" s="7" t="s">
        <v>3883</v>
      </c>
      <c r="C2698" s="9">
        <v>7778.0</v>
      </c>
      <c r="D2698" s="9">
        <v>0.0</v>
      </c>
      <c r="E2698" s="9">
        <v>626.0</v>
      </c>
      <c r="F2698" s="7" t="s">
        <v>871</v>
      </c>
      <c r="G2698" s="7" t="s">
        <v>353</v>
      </c>
      <c r="H2698" s="7" t="s">
        <v>378</v>
      </c>
      <c r="I2698" s="7" t="s">
        <v>355</v>
      </c>
      <c r="J2698" s="14"/>
      <c r="O2698" s="22"/>
      <c r="P2698" s="22"/>
      <c r="Q2698" s="23"/>
      <c r="R2698" s="23"/>
      <c r="S2698" s="14"/>
    </row>
    <row r="2699" ht="18.75" customHeight="1">
      <c r="A2699" s="7" t="s">
        <v>1397</v>
      </c>
      <c r="B2699" s="7" t="s">
        <v>3883</v>
      </c>
      <c r="C2699" s="9">
        <v>59567.0</v>
      </c>
      <c r="D2699" s="9">
        <v>0.0</v>
      </c>
      <c r="E2699" s="9">
        <v>4215.0</v>
      </c>
      <c r="F2699" s="7" t="s">
        <v>1398</v>
      </c>
      <c r="G2699" s="7" t="s">
        <v>416</v>
      </c>
      <c r="H2699" s="7" t="s">
        <v>417</v>
      </c>
      <c r="I2699" s="7" t="s">
        <v>355</v>
      </c>
      <c r="J2699" s="14"/>
      <c r="O2699" s="22"/>
      <c r="P2699" s="22"/>
      <c r="Q2699" s="23"/>
      <c r="R2699" s="23"/>
      <c r="S2699" s="14"/>
    </row>
    <row r="2700" ht="18.75" customHeight="1">
      <c r="A2700" s="7" t="s">
        <v>1455</v>
      </c>
      <c r="B2700" s="7" t="s">
        <v>3883</v>
      </c>
      <c r="C2700" s="9">
        <v>20621.0</v>
      </c>
      <c r="D2700" s="9">
        <v>0.0</v>
      </c>
      <c r="E2700" s="9">
        <v>906.0</v>
      </c>
      <c r="F2700" s="7" t="s">
        <v>1456</v>
      </c>
      <c r="G2700" s="7" t="s">
        <v>416</v>
      </c>
      <c r="H2700" s="7" t="s">
        <v>417</v>
      </c>
      <c r="I2700" s="7" t="s">
        <v>355</v>
      </c>
      <c r="J2700" s="14"/>
      <c r="O2700" s="22"/>
      <c r="P2700" s="22"/>
      <c r="Q2700" s="23"/>
      <c r="R2700" s="23"/>
      <c r="S2700" s="14"/>
    </row>
    <row r="2701" ht="18.75" customHeight="1">
      <c r="A2701" s="7" t="s">
        <v>1539</v>
      </c>
      <c r="B2701" s="7" t="s">
        <v>3883</v>
      </c>
      <c r="C2701" s="9">
        <v>34679.0</v>
      </c>
      <c r="D2701" s="9">
        <v>0.0</v>
      </c>
      <c r="E2701" s="9">
        <v>1475.0</v>
      </c>
      <c r="F2701" s="7" t="s">
        <v>1540</v>
      </c>
      <c r="G2701" s="7" t="s">
        <v>416</v>
      </c>
      <c r="H2701" s="7" t="s">
        <v>417</v>
      </c>
      <c r="I2701" s="7" t="s">
        <v>355</v>
      </c>
      <c r="J2701" s="14"/>
      <c r="O2701" s="22"/>
      <c r="P2701" s="22"/>
      <c r="Q2701" s="23"/>
      <c r="R2701" s="23"/>
      <c r="S2701" s="14"/>
    </row>
    <row r="2702" ht="18.75" customHeight="1">
      <c r="A2702" s="7" t="s">
        <v>3897</v>
      </c>
      <c r="B2702" s="7" t="s">
        <v>3883</v>
      </c>
      <c r="C2702" s="9">
        <v>41601.0</v>
      </c>
      <c r="D2702" s="9">
        <v>0.0</v>
      </c>
      <c r="E2702" s="9">
        <v>1971.0</v>
      </c>
      <c r="F2702" s="7" t="s">
        <v>3898</v>
      </c>
      <c r="G2702" s="7" t="s">
        <v>416</v>
      </c>
      <c r="H2702" s="7" t="s">
        <v>417</v>
      </c>
      <c r="I2702" s="7" t="s">
        <v>3886</v>
      </c>
      <c r="J2702" s="14"/>
      <c r="O2702" s="22"/>
      <c r="P2702" s="22"/>
      <c r="Q2702" s="23"/>
      <c r="R2702" s="23"/>
      <c r="S2702" s="14"/>
    </row>
    <row r="2703" ht="18.75" customHeight="1">
      <c r="A2703" s="7" t="s">
        <v>1678</v>
      </c>
      <c r="B2703" s="7" t="s">
        <v>3883</v>
      </c>
      <c r="C2703" s="9">
        <v>41737.0</v>
      </c>
      <c r="D2703" s="9">
        <v>0.0</v>
      </c>
      <c r="E2703" s="9">
        <v>1736.0</v>
      </c>
      <c r="F2703" s="7" t="s">
        <v>1679</v>
      </c>
      <c r="G2703" s="7" t="s">
        <v>416</v>
      </c>
      <c r="H2703" s="7" t="s">
        <v>417</v>
      </c>
      <c r="I2703" s="7" t="s">
        <v>355</v>
      </c>
      <c r="J2703" s="14"/>
      <c r="O2703" s="22"/>
      <c r="P2703" s="22"/>
      <c r="Q2703" s="23"/>
      <c r="R2703" s="23"/>
      <c r="S2703" s="14"/>
    </row>
    <row r="2704" ht="18.75" customHeight="1">
      <c r="A2704" s="7" t="s">
        <v>1605</v>
      </c>
      <c r="B2704" s="7" t="s">
        <v>3883</v>
      </c>
      <c r="C2704" s="9">
        <v>18151.0</v>
      </c>
      <c r="D2704" s="9">
        <v>0.0</v>
      </c>
      <c r="E2704" s="9">
        <v>805.0</v>
      </c>
      <c r="F2704" s="7" t="s">
        <v>1606</v>
      </c>
      <c r="G2704" s="7" t="s">
        <v>416</v>
      </c>
      <c r="H2704" s="7" t="s">
        <v>417</v>
      </c>
      <c r="I2704" s="7" t="s">
        <v>355</v>
      </c>
      <c r="J2704" s="14"/>
      <c r="O2704" s="22"/>
      <c r="P2704" s="22"/>
      <c r="Q2704" s="23"/>
      <c r="R2704" s="23"/>
      <c r="S2704" s="14"/>
    </row>
    <row r="2705" ht="18.75" customHeight="1">
      <c r="A2705" s="7" t="s">
        <v>1135</v>
      </c>
      <c r="B2705" s="7" t="s">
        <v>3883</v>
      </c>
      <c r="C2705" s="9">
        <v>20547.0</v>
      </c>
      <c r="D2705" s="9">
        <v>1428.0</v>
      </c>
      <c r="E2705" s="9">
        <v>18.0</v>
      </c>
      <c r="F2705" s="7" t="s">
        <v>1136</v>
      </c>
      <c r="G2705" s="7" t="s">
        <v>404</v>
      </c>
      <c r="H2705" s="7" t="s">
        <v>667</v>
      </c>
      <c r="I2705" s="7" t="s">
        <v>355</v>
      </c>
      <c r="J2705" s="14"/>
      <c r="O2705" s="22"/>
      <c r="P2705" s="22"/>
      <c r="Q2705" s="23"/>
      <c r="R2705" s="23"/>
      <c r="S2705" s="14"/>
    </row>
    <row r="2706" ht="18.75" customHeight="1">
      <c r="A2706" s="7" t="s">
        <v>1135</v>
      </c>
      <c r="B2706" s="7" t="s">
        <v>3883</v>
      </c>
      <c r="C2706" s="9">
        <v>41529.0</v>
      </c>
      <c r="D2706" s="9">
        <v>36971.0</v>
      </c>
      <c r="E2706" s="9">
        <v>25.0</v>
      </c>
      <c r="F2706" s="7" t="s">
        <v>1136</v>
      </c>
      <c r="G2706" s="7" t="s">
        <v>404</v>
      </c>
      <c r="H2706" s="7" t="s">
        <v>667</v>
      </c>
      <c r="I2706" s="7" t="s">
        <v>355</v>
      </c>
      <c r="J2706" s="14"/>
      <c r="O2706" s="22"/>
      <c r="P2706" s="22"/>
      <c r="Q2706" s="23"/>
      <c r="R2706" s="23"/>
      <c r="S2706" s="14"/>
    </row>
    <row r="2707" ht="18.75" customHeight="1">
      <c r="A2707" s="7" t="s">
        <v>1135</v>
      </c>
      <c r="B2707" s="7" t="s">
        <v>3883</v>
      </c>
      <c r="C2707" s="9">
        <v>15451.0</v>
      </c>
      <c r="D2707" s="9">
        <v>13099.0</v>
      </c>
      <c r="E2707" s="9">
        <v>16.0</v>
      </c>
      <c r="F2707" s="7" t="s">
        <v>1136</v>
      </c>
      <c r="G2707" s="7" t="s">
        <v>404</v>
      </c>
      <c r="H2707" s="7" t="s">
        <v>667</v>
      </c>
      <c r="I2707" s="7" t="s">
        <v>355</v>
      </c>
      <c r="J2707" s="14"/>
      <c r="O2707" s="22"/>
      <c r="P2707" s="22"/>
      <c r="Q2707" s="23"/>
      <c r="R2707" s="23"/>
      <c r="S2707" s="14"/>
    </row>
    <row r="2708" ht="18.75" customHeight="1">
      <c r="A2708" s="7" t="s">
        <v>1135</v>
      </c>
      <c r="B2708" s="7" t="s">
        <v>3883</v>
      </c>
      <c r="C2708" s="9">
        <v>5445.0</v>
      </c>
      <c r="D2708" s="9">
        <v>0.0</v>
      </c>
      <c r="E2708" s="9">
        <v>112.0</v>
      </c>
      <c r="F2708" s="7" t="s">
        <v>1136</v>
      </c>
      <c r="G2708" s="7" t="s">
        <v>404</v>
      </c>
      <c r="H2708" s="7" t="s">
        <v>667</v>
      </c>
      <c r="I2708" s="7" t="s">
        <v>355</v>
      </c>
      <c r="J2708" s="14"/>
      <c r="O2708" s="22"/>
      <c r="P2708" s="22"/>
      <c r="Q2708" s="23"/>
      <c r="R2708" s="23"/>
      <c r="S2708" s="14"/>
    </row>
    <row r="2709" ht="18.75" customHeight="1">
      <c r="A2709" s="7" t="s">
        <v>1135</v>
      </c>
      <c r="B2709" s="7" t="s">
        <v>3883</v>
      </c>
      <c r="C2709" s="9">
        <v>89594.0</v>
      </c>
      <c r="D2709" s="9">
        <v>66415.0</v>
      </c>
      <c r="E2709" s="9">
        <v>94.0</v>
      </c>
      <c r="F2709" s="7" t="s">
        <v>1136</v>
      </c>
      <c r="G2709" s="7" t="s">
        <v>404</v>
      </c>
      <c r="H2709" s="7" t="s">
        <v>667</v>
      </c>
      <c r="I2709" s="7" t="s">
        <v>355</v>
      </c>
      <c r="J2709" s="14"/>
      <c r="O2709" s="22"/>
      <c r="P2709" s="22"/>
      <c r="Q2709" s="23"/>
      <c r="R2709" s="23"/>
      <c r="S2709" s="14"/>
    </row>
    <row r="2710" ht="18.75" customHeight="1">
      <c r="A2710" s="7" t="s">
        <v>1135</v>
      </c>
      <c r="B2710" s="7" t="s">
        <v>3883</v>
      </c>
      <c r="C2710" s="9">
        <v>74423.0</v>
      </c>
      <c r="D2710" s="9">
        <v>7621.0</v>
      </c>
      <c r="E2710" s="9">
        <v>199.0</v>
      </c>
      <c r="F2710" s="7" t="s">
        <v>1136</v>
      </c>
      <c r="G2710" s="7" t="s">
        <v>404</v>
      </c>
      <c r="H2710" s="7" t="s">
        <v>667</v>
      </c>
      <c r="I2710" s="7" t="s">
        <v>355</v>
      </c>
      <c r="J2710" s="14"/>
      <c r="O2710" s="22"/>
      <c r="P2710" s="22"/>
      <c r="Q2710" s="23"/>
      <c r="R2710" s="23"/>
      <c r="S2710" s="14"/>
    </row>
    <row r="2711" ht="18.75" customHeight="1">
      <c r="A2711" s="7" t="s">
        <v>1193</v>
      </c>
      <c r="B2711" s="7" t="s">
        <v>3883</v>
      </c>
      <c r="C2711" s="9">
        <v>90711.0</v>
      </c>
      <c r="D2711" s="9">
        <v>0.0</v>
      </c>
      <c r="E2711" s="9">
        <v>2213.0</v>
      </c>
      <c r="F2711" s="7" t="s">
        <v>1194</v>
      </c>
      <c r="G2711" s="7" t="s">
        <v>353</v>
      </c>
      <c r="H2711" s="7" t="s">
        <v>378</v>
      </c>
      <c r="I2711" s="7" t="s">
        <v>355</v>
      </c>
      <c r="J2711" s="14"/>
      <c r="O2711" s="22"/>
      <c r="P2711" s="22"/>
      <c r="Q2711" s="23"/>
      <c r="R2711" s="23"/>
      <c r="S2711" s="14"/>
    </row>
    <row r="2712" ht="18.75" customHeight="1">
      <c r="A2712" s="7" t="s">
        <v>1223</v>
      </c>
      <c r="B2712" s="7" t="s">
        <v>3883</v>
      </c>
      <c r="C2712" s="9">
        <v>74052.0</v>
      </c>
      <c r="D2712" s="9">
        <v>0.0</v>
      </c>
      <c r="E2712" s="9">
        <v>2252.0</v>
      </c>
      <c r="F2712" s="7" t="s">
        <v>1224</v>
      </c>
      <c r="G2712" s="7" t="s">
        <v>353</v>
      </c>
      <c r="H2712" s="7" t="s">
        <v>378</v>
      </c>
      <c r="I2712" s="7" t="s">
        <v>355</v>
      </c>
      <c r="J2712" s="14"/>
      <c r="O2712" s="22"/>
      <c r="P2712" s="22"/>
      <c r="Q2712" s="23"/>
      <c r="R2712" s="23"/>
      <c r="S2712" s="14"/>
    </row>
    <row r="2713" ht="18.75" customHeight="1">
      <c r="A2713" s="7" t="s">
        <v>1391</v>
      </c>
      <c r="B2713" s="7" t="s">
        <v>3883</v>
      </c>
      <c r="C2713" s="9">
        <v>501948.0</v>
      </c>
      <c r="D2713" s="9">
        <v>0.0</v>
      </c>
      <c r="E2713" s="9">
        <v>15593.0</v>
      </c>
      <c r="F2713" s="7" t="s">
        <v>1392</v>
      </c>
      <c r="G2713" s="7" t="s">
        <v>353</v>
      </c>
      <c r="H2713" s="7" t="s">
        <v>378</v>
      </c>
      <c r="I2713" s="7" t="s">
        <v>355</v>
      </c>
      <c r="J2713" s="14"/>
      <c r="O2713" s="22"/>
      <c r="P2713" s="22"/>
      <c r="Q2713" s="23"/>
      <c r="R2713" s="23"/>
      <c r="S2713" s="14"/>
    </row>
    <row r="2714" ht="18.75" customHeight="1">
      <c r="A2714" s="7" t="s">
        <v>1391</v>
      </c>
      <c r="B2714" s="7" t="s">
        <v>3883</v>
      </c>
      <c r="C2714" s="9">
        <v>260571.0</v>
      </c>
      <c r="D2714" s="9">
        <v>232172.0</v>
      </c>
      <c r="E2714" s="9">
        <v>470.0</v>
      </c>
      <c r="F2714" s="7" t="s">
        <v>1392</v>
      </c>
      <c r="G2714" s="7" t="s">
        <v>353</v>
      </c>
      <c r="H2714" s="7" t="s">
        <v>378</v>
      </c>
      <c r="I2714" s="7" t="s">
        <v>355</v>
      </c>
      <c r="J2714" s="14"/>
      <c r="O2714" s="22"/>
      <c r="P2714" s="22"/>
      <c r="Q2714" s="23"/>
      <c r="R2714" s="23"/>
      <c r="S2714" s="14"/>
    </row>
    <row r="2715" ht="18.75" customHeight="1">
      <c r="A2715" s="7" t="s">
        <v>1391</v>
      </c>
      <c r="B2715" s="7" t="s">
        <v>3883</v>
      </c>
      <c r="C2715" s="9">
        <v>485140.0</v>
      </c>
      <c r="D2715" s="9">
        <v>456673.0</v>
      </c>
      <c r="E2715" s="9">
        <v>154.0</v>
      </c>
      <c r="F2715" s="7" t="s">
        <v>1392</v>
      </c>
      <c r="G2715" s="7" t="s">
        <v>353</v>
      </c>
      <c r="H2715" s="7" t="s">
        <v>378</v>
      </c>
      <c r="I2715" s="7" t="s">
        <v>355</v>
      </c>
      <c r="J2715" s="14"/>
      <c r="O2715" s="22"/>
      <c r="P2715" s="22"/>
      <c r="Q2715" s="23"/>
      <c r="R2715" s="23"/>
      <c r="S2715" s="14"/>
    </row>
    <row r="2716" ht="18.75" customHeight="1">
      <c r="A2716" s="14"/>
      <c r="B2716" s="7" t="s">
        <v>3883</v>
      </c>
      <c r="C2716" s="9">
        <v>0.0</v>
      </c>
      <c r="D2716" s="9">
        <v>0.0</v>
      </c>
      <c r="E2716" s="9">
        <v>0.0</v>
      </c>
      <c r="F2716" s="14"/>
      <c r="G2716" s="14"/>
      <c r="H2716" s="14"/>
      <c r="I2716" s="14"/>
      <c r="J2716" s="14"/>
      <c r="O2716" s="22"/>
      <c r="P2716" s="22"/>
      <c r="Q2716" s="23"/>
      <c r="R2716" s="23"/>
      <c r="S2716" s="14"/>
    </row>
    <row r="2717" ht="18.75" customHeight="1">
      <c r="A2717" s="7" t="s">
        <v>1387</v>
      </c>
      <c r="B2717" s="7" t="s">
        <v>3883</v>
      </c>
      <c r="C2717" s="9">
        <v>318690.0</v>
      </c>
      <c r="D2717" s="9">
        <v>0.0</v>
      </c>
      <c r="E2717" s="9">
        <v>15577.0</v>
      </c>
      <c r="F2717" s="7" t="s">
        <v>1388</v>
      </c>
      <c r="G2717" s="7" t="s">
        <v>353</v>
      </c>
      <c r="H2717" s="7" t="s">
        <v>725</v>
      </c>
      <c r="I2717" s="7" t="s">
        <v>355</v>
      </c>
      <c r="J2717" s="14"/>
      <c r="O2717" s="22"/>
      <c r="P2717" s="22"/>
      <c r="Q2717" s="23"/>
      <c r="R2717" s="23"/>
      <c r="S2717" s="14"/>
    </row>
    <row r="2718" ht="18.75" customHeight="1">
      <c r="A2718" s="7" t="s">
        <v>1509</v>
      </c>
      <c r="B2718" s="7" t="s">
        <v>3883</v>
      </c>
      <c r="C2718" s="9">
        <v>59019.0</v>
      </c>
      <c r="D2718" s="9">
        <v>0.0</v>
      </c>
      <c r="E2718" s="9">
        <v>3025.0</v>
      </c>
      <c r="F2718" s="7" t="s">
        <v>1510</v>
      </c>
      <c r="G2718" s="7" t="s">
        <v>353</v>
      </c>
      <c r="H2718" s="7" t="s">
        <v>725</v>
      </c>
      <c r="I2718" s="7" t="s">
        <v>355</v>
      </c>
      <c r="J2718" s="14"/>
      <c r="O2718" s="22"/>
      <c r="P2718" s="22"/>
      <c r="Q2718" s="23"/>
      <c r="R2718" s="23"/>
      <c r="S2718" s="14"/>
    </row>
    <row r="2719" ht="18.75" customHeight="1">
      <c r="A2719" s="7" t="s">
        <v>1453</v>
      </c>
      <c r="B2719" s="7" t="s">
        <v>3883</v>
      </c>
      <c r="C2719" s="9">
        <v>314995.0</v>
      </c>
      <c r="D2719" s="9">
        <v>106412.0</v>
      </c>
      <c r="E2719" s="9">
        <v>535.0</v>
      </c>
      <c r="F2719" s="7" t="s">
        <v>1454</v>
      </c>
      <c r="G2719" s="7" t="s">
        <v>358</v>
      </c>
      <c r="H2719" s="7" t="s">
        <v>466</v>
      </c>
      <c r="I2719" s="7" t="s">
        <v>355</v>
      </c>
      <c r="J2719" s="14"/>
      <c r="O2719" s="22"/>
      <c r="P2719" s="22"/>
      <c r="Q2719" s="23"/>
      <c r="R2719" s="23"/>
      <c r="S2719" s="14"/>
    </row>
    <row r="2720" ht="18.75" customHeight="1">
      <c r="A2720" s="7" t="s">
        <v>1453</v>
      </c>
      <c r="B2720" s="7" t="s">
        <v>3883</v>
      </c>
      <c r="C2720" s="9">
        <v>665394.0</v>
      </c>
      <c r="D2720" s="9">
        <v>0.0</v>
      </c>
      <c r="E2720" s="9">
        <v>24131.0</v>
      </c>
      <c r="F2720" s="7" t="s">
        <v>1454</v>
      </c>
      <c r="G2720" s="7" t="s">
        <v>358</v>
      </c>
      <c r="H2720" s="7" t="s">
        <v>466</v>
      </c>
      <c r="I2720" s="7" t="s">
        <v>355</v>
      </c>
      <c r="J2720" s="14"/>
      <c r="O2720" s="22"/>
      <c r="P2720" s="22"/>
      <c r="Q2720" s="23"/>
      <c r="R2720" s="23"/>
      <c r="S2720" s="14"/>
    </row>
    <row r="2721" ht="18.75" customHeight="1">
      <c r="A2721" s="7" t="s">
        <v>1427</v>
      </c>
      <c r="B2721" s="7" t="s">
        <v>3883</v>
      </c>
      <c r="C2721" s="9">
        <v>249351.0</v>
      </c>
      <c r="D2721" s="9">
        <v>0.0</v>
      </c>
      <c r="E2721" s="9">
        <v>6574.0</v>
      </c>
      <c r="F2721" s="7" t="s">
        <v>1428</v>
      </c>
      <c r="G2721" s="7" t="s">
        <v>358</v>
      </c>
      <c r="H2721" s="7" t="s">
        <v>466</v>
      </c>
      <c r="I2721" s="7" t="s">
        <v>355</v>
      </c>
      <c r="J2721" s="14"/>
      <c r="O2721" s="22"/>
      <c r="P2721" s="22"/>
      <c r="Q2721" s="23"/>
      <c r="R2721" s="23"/>
      <c r="S2721" s="14"/>
    </row>
    <row r="2722" ht="18.75" customHeight="1">
      <c r="A2722" s="7" t="s">
        <v>1427</v>
      </c>
      <c r="B2722" s="7" t="s">
        <v>3883</v>
      </c>
      <c r="C2722" s="9">
        <v>318015.0</v>
      </c>
      <c r="D2722" s="9">
        <v>283414.0</v>
      </c>
      <c r="E2722" s="9">
        <v>102.0</v>
      </c>
      <c r="F2722" s="7" t="s">
        <v>1428</v>
      </c>
      <c r="G2722" s="7" t="s">
        <v>358</v>
      </c>
      <c r="H2722" s="7" t="s">
        <v>466</v>
      </c>
      <c r="I2722" s="7" t="s">
        <v>355</v>
      </c>
      <c r="J2722" s="14"/>
      <c r="O2722" s="22"/>
      <c r="P2722" s="22"/>
      <c r="Q2722" s="23"/>
      <c r="R2722" s="23"/>
      <c r="S2722" s="14"/>
    </row>
    <row r="2723" ht="18.75" customHeight="1">
      <c r="A2723" s="7" t="s">
        <v>1427</v>
      </c>
      <c r="B2723" s="7" t="s">
        <v>3883</v>
      </c>
      <c r="C2723" s="9">
        <v>293260.0</v>
      </c>
      <c r="D2723" s="9">
        <v>137159.0</v>
      </c>
      <c r="E2723" s="9">
        <v>278.0</v>
      </c>
      <c r="F2723" s="7" t="s">
        <v>1428</v>
      </c>
      <c r="G2723" s="7" t="s">
        <v>358</v>
      </c>
      <c r="H2723" s="7" t="s">
        <v>466</v>
      </c>
      <c r="I2723" s="7" t="s">
        <v>355</v>
      </c>
      <c r="J2723" s="14"/>
      <c r="O2723" s="22"/>
      <c r="P2723" s="22"/>
      <c r="Q2723" s="23"/>
      <c r="R2723" s="23"/>
      <c r="S2723" s="14"/>
    </row>
    <row r="2724" ht="18.75" customHeight="1">
      <c r="A2724" s="7" t="s">
        <v>1277</v>
      </c>
      <c r="B2724" s="7" t="s">
        <v>3883</v>
      </c>
      <c r="C2724" s="9">
        <v>4155447.0</v>
      </c>
      <c r="D2724" s="9">
        <v>0.0</v>
      </c>
      <c r="E2724" s="9">
        <v>63014.0</v>
      </c>
      <c r="F2724" s="7" t="s">
        <v>1278</v>
      </c>
      <c r="G2724" s="7" t="s">
        <v>353</v>
      </c>
      <c r="H2724" s="7" t="s">
        <v>378</v>
      </c>
      <c r="I2724" s="7" t="s">
        <v>355</v>
      </c>
      <c r="J2724" s="14"/>
      <c r="O2724" s="22"/>
      <c r="P2724" s="22"/>
      <c r="Q2724" s="23"/>
      <c r="R2724" s="23"/>
      <c r="S2724" s="14"/>
    </row>
    <row r="2725" ht="18.75" customHeight="1">
      <c r="A2725" s="7" t="s">
        <v>1277</v>
      </c>
      <c r="B2725" s="7" t="s">
        <v>3883</v>
      </c>
      <c r="C2725" s="9">
        <v>345070.0</v>
      </c>
      <c r="D2725" s="9">
        <v>257038.0</v>
      </c>
      <c r="E2725" s="9">
        <v>234.0</v>
      </c>
      <c r="F2725" s="7" t="s">
        <v>1278</v>
      </c>
      <c r="G2725" s="7" t="s">
        <v>353</v>
      </c>
      <c r="H2725" s="7" t="s">
        <v>378</v>
      </c>
      <c r="I2725" s="7" t="s">
        <v>355</v>
      </c>
      <c r="J2725" s="14"/>
      <c r="O2725" s="22"/>
      <c r="P2725" s="22"/>
      <c r="Q2725" s="23"/>
      <c r="R2725" s="23"/>
      <c r="S2725" s="14"/>
    </row>
    <row r="2726" ht="18.75" customHeight="1">
      <c r="A2726" s="7" t="s">
        <v>1661</v>
      </c>
      <c r="B2726" s="7" t="s">
        <v>3883</v>
      </c>
      <c r="C2726" s="9">
        <v>16752.0</v>
      </c>
      <c r="D2726" s="9">
        <v>0.0</v>
      </c>
      <c r="E2726" s="9">
        <v>524.0</v>
      </c>
      <c r="F2726" s="7" t="s">
        <v>1662</v>
      </c>
      <c r="G2726" s="7" t="s">
        <v>416</v>
      </c>
      <c r="H2726" s="7" t="s">
        <v>417</v>
      </c>
      <c r="I2726" s="7" t="s">
        <v>355</v>
      </c>
      <c r="J2726" s="14"/>
      <c r="O2726" s="22"/>
      <c r="P2726" s="22"/>
      <c r="Q2726" s="23"/>
      <c r="R2726" s="23"/>
      <c r="S2726" s="14"/>
    </row>
    <row r="2727" ht="18.75" customHeight="1">
      <c r="A2727" s="7" t="s">
        <v>1135</v>
      </c>
      <c r="B2727" s="7" t="s">
        <v>3883</v>
      </c>
      <c r="C2727" s="9">
        <v>0.0</v>
      </c>
      <c r="D2727" s="9">
        <v>0.0</v>
      </c>
      <c r="E2727" s="9">
        <v>0.0</v>
      </c>
      <c r="F2727" s="7" t="s">
        <v>1136</v>
      </c>
      <c r="G2727" s="7" t="s">
        <v>404</v>
      </c>
      <c r="H2727" s="7" t="s">
        <v>667</v>
      </c>
      <c r="I2727" s="7" t="s">
        <v>355</v>
      </c>
      <c r="J2727" s="14"/>
      <c r="O2727" s="22"/>
      <c r="P2727" s="22"/>
      <c r="Q2727" s="23"/>
      <c r="R2727" s="23"/>
      <c r="S2727" s="14"/>
    </row>
    <row r="2728" ht="18.75" customHeight="1">
      <c r="A2728" s="7" t="s">
        <v>1279</v>
      </c>
      <c r="B2728" s="7" t="s">
        <v>3883</v>
      </c>
      <c r="C2728" s="9">
        <v>0.0</v>
      </c>
      <c r="D2728" s="9">
        <v>0.0</v>
      </c>
      <c r="E2728" s="9">
        <v>0.0</v>
      </c>
      <c r="F2728" s="7" t="s">
        <v>1280</v>
      </c>
      <c r="G2728" s="7" t="s">
        <v>353</v>
      </c>
      <c r="H2728" s="7" t="s">
        <v>378</v>
      </c>
      <c r="I2728" s="7" t="s">
        <v>355</v>
      </c>
      <c r="J2728" s="14"/>
      <c r="O2728" s="22"/>
      <c r="P2728" s="22"/>
      <c r="Q2728" s="23"/>
      <c r="R2728" s="23"/>
      <c r="S2728" s="14"/>
    </row>
    <row r="2729" ht="18.75" customHeight="1">
      <c r="A2729" s="7" t="s">
        <v>1155</v>
      </c>
      <c r="B2729" s="7" t="s">
        <v>3883</v>
      </c>
      <c r="C2729" s="9">
        <v>355186.0</v>
      </c>
      <c r="D2729" s="9">
        <v>0.0</v>
      </c>
      <c r="E2729" s="9">
        <v>4804.0</v>
      </c>
      <c r="F2729" s="7" t="s">
        <v>1156</v>
      </c>
      <c r="G2729" s="7" t="s">
        <v>358</v>
      </c>
      <c r="H2729" s="7" t="s">
        <v>359</v>
      </c>
      <c r="I2729" s="7" t="s">
        <v>355</v>
      </c>
      <c r="J2729" s="14"/>
      <c r="O2729" s="22"/>
      <c r="P2729" s="22"/>
      <c r="Q2729" s="23"/>
      <c r="R2729" s="23"/>
      <c r="S2729" s="14"/>
    </row>
    <row r="2730" ht="18.75" customHeight="1">
      <c r="A2730" s="7" t="s">
        <v>1155</v>
      </c>
      <c r="B2730" s="7" t="s">
        <v>3883</v>
      </c>
      <c r="C2730" s="9">
        <v>377092.0</v>
      </c>
      <c r="D2730" s="9">
        <v>0.0</v>
      </c>
      <c r="E2730" s="9">
        <v>3847.0</v>
      </c>
      <c r="F2730" s="7" t="s">
        <v>1156</v>
      </c>
      <c r="G2730" s="7" t="s">
        <v>358</v>
      </c>
      <c r="H2730" s="7" t="s">
        <v>359</v>
      </c>
      <c r="I2730" s="7" t="s">
        <v>355</v>
      </c>
      <c r="J2730" s="14"/>
      <c r="O2730" s="22"/>
      <c r="P2730" s="22"/>
      <c r="Q2730" s="23"/>
      <c r="R2730" s="23"/>
      <c r="S2730" s="14"/>
    </row>
    <row r="2731" ht="18.75" customHeight="1">
      <c r="A2731" s="7" t="s">
        <v>1155</v>
      </c>
      <c r="B2731" s="7" t="s">
        <v>3883</v>
      </c>
      <c r="C2731" s="9">
        <v>404349.0</v>
      </c>
      <c r="D2731" s="9">
        <v>0.0</v>
      </c>
      <c r="E2731" s="9">
        <v>14394.0</v>
      </c>
      <c r="F2731" s="7" t="s">
        <v>1156</v>
      </c>
      <c r="G2731" s="7" t="s">
        <v>358</v>
      </c>
      <c r="H2731" s="7" t="s">
        <v>359</v>
      </c>
      <c r="I2731" s="7" t="s">
        <v>355</v>
      </c>
      <c r="J2731" s="14"/>
      <c r="O2731" s="22"/>
      <c r="P2731" s="22"/>
      <c r="Q2731" s="23"/>
      <c r="R2731" s="23"/>
      <c r="S2731" s="14"/>
    </row>
    <row r="2732" ht="18.75" customHeight="1">
      <c r="A2732" s="7" t="s">
        <v>1155</v>
      </c>
      <c r="B2732" s="7" t="s">
        <v>3883</v>
      </c>
      <c r="C2732" s="9">
        <v>503942.0</v>
      </c>
      <c r="D2732" s="9">
        <v>0.0</v>
      </c>
      <c r="E2732" s="9">
        <v>9758.0</v>
      </c>
      <c r="F2732" s="7" t="s">
        <v>1156</v>
      </c>
      <c r="G2732" s="7" t="s">
        <v>358</v>
      </c>
      <c r="H2732" s="7" t="s">
        <v>359</v>
      </c>
      <c r="I2732" s="7" t="s">
        <v>355</v>
      </c>
      <c r="J2732" s="14"/>
      <c r="O2732" s="22"/>
      <c r="P2732" s="22"/>
      <c r="Q2732" s="23"/>
      <c r="R2732" s="23"/>
      <c r="S2732" s="14"/>
    </row>
    <row r="2733" ht="18.75" customHeight="1">
      <c r="A2733" s="7" t="s">
        <v>1155</v>
      </c>
      <c r="B2733" s="7" t="s">
        <v>3883</v>
      </c>
      <c r="C2733" s="9">
        <v>440387.0</v>
      </c>
      <c r="D2733" s="9">
        <v>409462.0</v>
      </c>
      <c r="E2733" s="9">
        <v>111.0</v>
      </c>
      <c r="F2733" s="7" t="s">
        <v>1156</v>
      </c>
      <c r="G2733" s="7" t="s">
        <v>358</v>
      </c>
      <c r="H2733" s="7" t="s">
        <v>359</v>
      </c>
      <c r="I2733" s="7" t="s">
        <v>355</v>
      </c>
      <c r="J2733" s="14"/>
      <c r="O2733" s="22"/>
      <c r="P2733" s="22"/>
      <c r="Q2733" s="23"/>
      <c r="R2733" s="23"/>
      <c r="S2733" s="14"/>
    </row>
    <row r="2734" ht="18.75" customHeight="1">
      <c r="A2734" s="7" t="s">
        <v>1155</v>
      </c>
      <c r="B2734" s="7" t="s">
        <v>3883</v>
      </c>
      <c r="C2734" s="9">
        <v>369726.0</v>
      </c>
      <c r="D2734" s="9">
        <v>351568.0</v>
      </c>
      <c r="E2734" s="9">
        <v>103.0</v>
      </c>
      <c r="F2734" s="7" t="s">
        <v>1156</v>
      </c>
      <c r="G2734" s="7" t="s">
        <v>358</v>
      </c>
      <c r="H2734" s="7" t="s">
        <v>359</v>
      </c>
      <c r="I2734" s="7" t="s">
        <v>355</v>
      </c>
      <c r="J2734" s="14"/>
      <c r="O2734" s="22"/>
      <c r="P2734" s="22"/>
      <c r="Q2734" s="23"/>
      <c r="R2734" s="23"/>
      <c r="S2734" s="14"/>
    </row>
    <row r="2735" ht="18.75" customHeight="1">
      <c r="A2735" s="7" t="s">
        <v>1155</v>
      </c>
      <c r="B2735" s="7" t="s">
        <v>3883</v>
      </c>
      <c r="C2735" s="9">
        <v>922805.0</v>
      </c>
      <c r="D2735" s="9">
        <v>884135.0</v>
      </c>
      <c r="E2735" s="9">
        <v>408.0</v>
      </c>
      <c r="F2735" s="7" t="s">
        <v>1156</v>
      </c>
      <c r="G2735" s="7" t="s">
        <v>358</v>
      </c>
      <c r="H2735" s="7" t="s">
        <v>359</v>
      </c>
      <c r="I2735" s="7" t="s">
        <v>355</v>
      </c>
      <c r="J2735" s="14"/>
      <c r="O2735" s="22"/>
      <c r="P2735" s="22"/>
      <c r="Q2735" s="23"/>
      <c r="R2735" s="23"/>
      <c r="S2735" s="14"/>
    </row>
    <row r="2736" ht="18.75" customHeight="1">
      <c r="A2736" s="7" t="s">
        <v>1155</v>
      </c>
      <c r="B2736" s="7" t="s">
        <v>3883</v>
      </c>
      <c r="C2736" s="9">
        <v>805815.0</v>
      </c>
      <c r="D2736" s="9">
        <v>775085.0</v>
      </c>
      <c r="E2736" s="9">
        <v>217.0</v>
      </c>
      <c r="F2736" s="7" t="s">
        <v>1156</v>
      </c>
      <c r="G2736" s="7" t="s">
        <v>358</v>
      </c>
      <c r="H2736" s="7" t="s">
        <v>359</v>
      </c>
      <c r="I2736" s="7" t="s">
        <v>355</v>
      </c>
      <c r="J2736" s="14"/>
      <c r="O2736" s="22"/>
      <c r="P2736" s="22"/>
      <c r="Q2736" s="23"/>
      <c r="R2736" s="23"/>
      <c r="S2736" s="14"/>
    </row>
    <row r="2737" ht="18.75" customHeight="1">
      <c r="A2737" s="7" t="s">
        <v>1537</v>
      </c>
      <c r="B2737" s="7" t="s">
        <v>3883</v>
      </c>
      <c r="C2737" s="9">
        <v>318439.0</v>
      </c>
      <c r="D2737" s="9">
        <v>0.0</v>
      </c>
      <c r="E2737" s="9">
        <v>10528.0</v>
      </c>
      <c r="F2737" s="7" t="s">
        <v>1538</v>
      </c>
      <c r="G2737" s="7" t="s">
        <v>416</v>
      </c>
      <c r="H2737" s="7" t="s">
        <v>417</v>
      </c>
      <c r="I2737" s="7" t="s">
        <v>355</v>
      </c>
      <c r="J2737" s="14"/>
      <c r="O2737" s="22"/>
      <c r="P2737" s="22"/>
      <c r="Q2737" s="23"/>
      <c r="R2737" s="23"/>
      <c r="S2737" s="14"/>
    </row>
    <row r="2738" ht="18.75" customHeight="1">
      <c r="A2738" s="7" t="s">
        <v>1537</v>
      </c>
      <c r="B2738" s="7" t="s">
        <v>3883</v>
      </c>
      <c r="C2738" s="9">
        <v>316254.0</v>
      </c>
      <c r="D2738" s="9">
        <v>0.0</v>
      </c>
      <c r="E2738" s="9">
        <v>9359.0</v>
      </c>
      <c r="F2738" s="7" t="s">
        <v>1538</v>
      </c>
      <c r="G2738" s="7" t="s">
        <v>416</v>
      </c>
      <c r="H2738" s="7" t="s">
        <v>417</v>
      </c>
      <c r="I2738" s="7" t="s">
        <v>355</v>
      </c>
      <c r="J2738" s="14"/>
      <c r="O2738" s="22"/>
      <c r="P2738" s="22"/>
      <c r="Q2738" s="23"/>
      <c r="R2738" s="23"/>
      <c r="S2738" s="14"/>
    </row>
    <row r="2739" ht="18.75" customHeight="1">
      <c r="A2739" s="7" t="s">
        <v>1607</v>
      </c>
      <c r="B2739" s="7" t="s">
        <v>3883</v>
      </c>
      <c r="C2739" s="9">
        <v>169178.0</v>
      </c>
      <c r="D2739" s="9">
        <v>0.0</v>
      </c>
      <c r="E2739" s="9">
        <v>4104.0</v>
      </c>
      <c r="F2739" s="7" t="s">
        <v>1608</v>
      </c>
      <c r="G2739" s="7" t="s">
        <v>416</v>
      </c>
      <c r="H2739" s="7" t="s">
        <v>417</v>
      </c>
      <c r="I2739" s="7" t="s">
        <v>355</v>
      </c>
      <c r="J2739" s="14"/>
      <c r="O2739" s="22"/>
      <c r="P2739" s="22"/>
      <c r="Q2739" s="23"/>
      <c r="R2739" s="23"/>
      <c r="S2739" s="14"/>
    </row>
    <row r="2740" ht="18.75" customHeight="1">
      <c r="A2740" s="7" t="s">
        <v>1607</v>
      </c>
      <c r="B2740" s="7" t="s">
        <v>3883</v>
      </c>
      <c r="C2740" s="9">
        <v>187844.0</v>
      </c>
      <c r="D2740" s="9">
        <v>0.0</v>
      </c>
      <c r="E2740" s="9">
        <v>5281.0</v>
      </c>
      <c r="F2740" s="7" t="s">
        <v>1608</v>
      </c>
      <c r="G2740" s="7" t="s">
        <v>416</v>
      </c>
      <c r="H2740" s="7" t="s">
        <v>417</v>
      </c>
      <c r="I2740" s="7" t="s">
        <v>355</v>
      </c>
      <c r="J2740" s="14"/>
      <c r="O2740" s="22"/>
      <c r="P2740" s="22"/>
      <c r="Q2740" s="23"/>
      <c r="R2740" s="23"/>
      <c r="S2740" s="14"/>
    </row>
    <row r="2741" ht="18.75" customHeight="1">
      <c r="A2741" s="7" t="s">
        <v>1676</v>
      </c>
      <c r="B2741" s="7" t="s">
        <v>3883</v>
      </c>
      <c r="C2741" s="9">
        <v>359670.0</v>
      </c>
      <c r="D2741" s="9">
        <v>0.0</v>
      </c>
      <c r="E2741" s="9">
        <v>9995.0</v>
      </c>
      <c r="F2741" s="7" t="s">
        <v>1677</v>
      </c>
      <c r="G2741" s="7" t="s">
        <v>416</v>
      </c>
      <c r="H2741" s="7" t="s">
        <v>417</v>
      </c>
      <c r="I2741" s="7" t="s">
        <v>355</v>
      </c>
      <c r="J2741" s="14"/>
      <c r="O2741" s="22"/>
      <c r="P2741" s="22"/>
      <c r="Q2741" s="23"/>
      <c r="R2741" s="23"/>
      <c r="S2741" s="14"/>
    </row>
    <row r="2742" ht="18.75" customHeight="1">
      <c r="A2742" s="7" t="s">
        <v>1676</v>
      </c>
      <c r="B2742" s="7" t="s">
        <v>3883</v>
      </c>
      <c r="C2742" s="9">
        <v>389471.0</v>
      </c>
      <c r="D2742" s="9">
        <v>0.0</v>
      </c>
      <c r="E2742" s="9">
        <v>16589.0</v>
      </c>
      <c r="F2742" s="7" t="s">
        <v>1677</v>
      </c>
      <c r="G2742" s="7" t="s">
        <v>416</v>
      </c>
      <c r="H2742" s="7" t="s">
        <v>417</v>
      </c>
      <c r="I2742" s="7" t="s">
        <v>355</v>
      </c>
      <c r="J2742" s="14"/>
      <c r="O2742" s="22"/>
      <c r="P2742" s="22"/>
      <c r="Q2742" s="23"/>
      <c r="R2742" s="23"/>
      <c r="S2742" s="14"/>
    </row>
    <row r="2743" ht="18.75" customHeight="1">
      <c r="A2743" s="7" t="s">
        <v>991</v>
      </c>
      <c r="B2743" s="7" t="s">
        <v>3883</v>
      </c>
      <c r="C2743" s="9">
        <v>6454.0</v>
      </c>
      <c r="D2743" s="9">
        <v>1097.0</v>
      </c>
      <c r="E2743" s="9">
        <v>6.0</v>
      </c>
      <c r="F2743" s="7" t="s">
        <v>992</v>
      </c>
      <c r="G2743" s="7" t="s">
        <v>404</v>
      </c>
      <c r="H2743" s="7" t="s">
        <v>667</v>
      </c>
      <c r="I2743" s="7" t="s">
        <v>355</v>
      </c>
      <c r="J2743" s="14"/>
      <c r="O2743" s="22"/>
      <c r="P2743" s="22"/>
      <c r="Q2743" s="23"/>
      <c r="R2743" s="23"/>
      <c r="S2743" s="14"/>
    </row>
    <row r="2744" ht="18.75" customHeight="1">
      <c r="A2744" s="7" t="s">
        <v>991</v>
      </c>
      <c r="B2744" s="7" t="s">
        <v>3883</v>
      </c>
      <c r="C2744" s="9">
        <v>5747.0</v>
      </c>
      <c r="D2744" s="9">
        <v>4625.0</v>
      </c>
      <c r="E2744" s="9">
        <v>0.0</v>
      </c>
      <c r="F2744" s="7" t="s">
        <v>992</v>
      </c>
      <c r="G2744" s="7" t="s">
        <v>404</v>
      </c>
      <c r="H2744" s="7" t="s">
        <v>667</v>
      </c>
      <c r="I2744" s="7" t="s">
        <v>355</v>
      </c>
      <c r="J2744" s="14"/>
      <c r="O2744" s="22"/>
      <c r="P2744" s="22"/>
      <c r="Q2744" s="23"/>
      <c r="R2744" s="23"/>
      <c r="S2744" s="14"/>
    </row>
    <row r="2745" ht="18.75" customHeight="1">
      <c r="A2745" s="7" t="s">
        <v>991</v>
      </c>
      <c r="B2745" s="7" t="s">
        <v>3883</v>
      </c>
      <c r="C2745" s="9">
        <v>32672.0</v>
      </c>
      <c r="D2745" s="9">
        <v>30520.0</v>
      </c>
      <c r="E2745" s="9">
        <v>8.0</v>
      </c>
      <c r="F2745" s="7" t="s">
        <v>992</v>
      </c>
      <c r="G2745" s="7" t="s">
        <v>404</v>
      </c>
      <c r="H2745" s="7" t="s">
        <v>667</v>
      </c>
      <c r="I2745" s="7" t="s">
        <v>355</v>
      </c>
      <c r="J2745" s="14"/>
      <c r="O2745" s="22"/>
      <c r="P2745" s="22"/>
      <c r="Q2745" s="23"/>
      <c r="R2745" s="23"/>
      <c r="S2745" s="14"/>
    </row>
    <row r="2746" ht="18.75" customHeight="1">
      <c r="A2746" s="7" t="s">
        <v>1131</v>
      </c>
      <c r="B2746" s="7" t="s">
        <v>3883</v>
      </c>
      <c r="C2746" s="9">
        <v>33233.0</v>
      </c>
      <c r="D2746" s="9">
        <v>30545.0</v>
      </c>
      <c r="E2746" s="9">
        <v>4.0</v>
      </c>
      <c r="F2746" s="7" t="s">
        <v>1132</v>
      </c>
      <c r="G2746" s="7" t="s">
        <v>404</v>
      </c>
      <c r="H2746" s="7" t="s">
        <v>760</v>
      </c>
      <c r="I2746" s="7" t="s">
        <v>355</v>
      </c>
      <c r="J2746" s="14"/>
      <c r="O2746" s="22"/>
      <c r="P2746" s="22"/>
      <c r="Q2746" s="23"/>
      <c r="R2746" s="23"/>
      <c r="S2746" s="14"/>
    </row>
    <row r="2747" ht="18.75" customHeight="1">
      <c r="A2747" s="7" t="s">
        <v>1299</v>
      </c>
      <c r="B2747" s="7" t="s">
        <v>3883</v>
      </c>
      <c r="C2747" s="9">
        <v>0.0</v>
      </c>
      <c r="D2747" s="9">
        <v>0.0</v>
      </c>
      <c r="E2747" s="9">
        <v>0.0</v>
      </c>
      <c r="F2747" s="7" t="s">
        <v>1300</v>
      </c>
      <c r="G2747" s="7" t="s">
        <v>364</v>
      </c>
      <c r="H2747" s="7" t="s">
        <v>688</v>
      </c>
      <c r="I2747" s="7" t="s">
        <v>355</v>
      </c>
      <c r="J2747" s="14"/>
      <c r="O2747" s="22"/>
      <c r="P2747" s="22"/>
      <c r="Q2747" s="23"/>
      <c r="R2747" s="23"/>
      <c r="S2747" s="14"/>
    </row>
    <row r="2748" ht="18.75" customHeight="1">
      <c r="A2748" s="7" t="s">
        <v>1351</v>
      </c>
      <c r="B2748" s="7" t="s">
        <v>3883</v>
      </c>
      <c r="C2748" s="9">
        <v>226766.0</v>
      </c>
      <c r="D2748" s="9">
        <v>189006.0</v>
      </c>
      <c r="E2748" s="9">
        <v>263.0</v>
      </c>
      <c r="F2748" s="7" t="s">
        <v>1352</v>
      </c>
      <c r="G2748" s="7" t="s">
        <v>416</v>
      </c>
      <c r="H2748" s="7" t="s">
        <v>417</v>
      </c>
      <c r="I2748" s="7" t="s">
        <v>355</v>
      </c>
      <c r="J2748" s="14"/>
      <c r="O2748" s="22"/>
      <c r="P2748" s="22"/>
      <c r="Q2748" s="23"/>
      <c r="R2748" s="23"/>
      <c r="S2748" s="14"/>
    </row>
    <row r="2749" ht="18.75" customHeight="1">
      <c r="A2749" s="7" t="s">
        <v>1397</v>
      </c>
      <c r="B2749" s="7" t="s">
        <v>3883</v>
      </c>
      <c r="C2749" s="9">
        <v>147621.0</v>
      </c>
      <c r="D2749" s="9">
        <v>114283.0</v>
      </c>
      <c r="E2749" s="9">
        <v>261.0</v>
      </c>
      <c r="F2749" s="7" t="s">
        <v>1398</v>
      </c>
      <c r="G2749" s="7" t="s">
        <v>416</v>
      </c>
      <c r="H2749" s="7" t="s">
        <v>417</v>
      </c>
      <c r="I2749" s="7" t="s">
        <v>355</v>
      </c>
      <c r="J2749" s="14"/>
      <c r="O2749" s="22"/>
      <c r="P2749" s="22"/>
      <c r="Q2749" s="23"/>
      <c r="R2749" s="23"/>
      <c r="S2749" s="14"/>
    </row>
    <row r="2750" ht="18.75" customHeight="1">
      <c r="A2750" s="7" t="s">
        <v>1455</v>
      </c>
      <c r="B2750" s="7" t="s">
        <v>3883</v>
      </c>
      <c r="C2750" s="9">
        <v>327134.0</v>
      </c>
      <c r="D2750" s="9">
        <v>264539.0</v>
      </c>
      <c r="E2750" s="9">
        <v>315.0</v>
      </c>
      <c r="F2750" s="7" t="s">
        <v>1456</v>
      </c>
      <c r="G2750" s="7" t="s">
        <v>416</v>
      </c>
      <c r="H2750" s="7" t="s">
        <v>417</v>
      </c>
      <c r="I2750" s="7" t="s">
        <v>355</v>
      </c>
      <c r="J2750" s="14"/>
      <c r="O2750" s="22"/>
      <c r="P2750" s="22"/>
      <c r="Q2750" s="23"/>
      <c r="R2750" s="23"/>
      <c r="S2750" s="14"/>
    </row>
    <row r="2751" ht="18.75" customHeight="1">
      <c r="A2751" s="7" t="s">
        <v>1539</v>
      </c>
      <c r="B2751" s="7" t="s">
        <v>3883</v>
      </c>
      <c r="C2751" s="9">
        <v>395243.0</v>
      </c>
      <c r="D2751" s="9">
        <v>339794.0</v>
      </c>
      <c r="E2751" s="9">
        <v>200.0</v>
      </c>
      <c r="F2751" s="7" t="s">
        <v>1540</v>
      </c>
      <c r="G2751" s="7" t="s">
        <v>416</v>
      </c>
      <c r="H2751" s="7" t="s">
        <v>417</v>
      </c>
      <c r="I2751" s="7" t="s">
        <v>355</v>
      </c>
      <c r="J2751" s="14"/>
      <c r="O2751" s="22"/>
      <c r="P2751" s="22"/>
      <c r="Q2751" s="23"/>
      <c r="R2751" s="23"/>
      <c r="S2751" s="14"/>
    </row>
    <row r="2752" ht="18.75" customHeight="1">
      <c r="A2752" s="7" t="s">
        <v>1131</v>
      </c>
      <c r="B2752" s="7" t="s">
        <v>3883</v>
      </c>
      <c r="C2752" s="9">
        <v>83929.0</v>
      </c>
      <c r="D2752" s="9">
        <v>72470.0</v>
      </c>
      <c r="E2752" s="9">
        <v>36.0</v>
      </c>
      <c r="F2752" s="7" t="s">
        <v>1132</v>
      </c>
      <c r="G2752" s="7" t="s">
        <v>404</v>
      </c>
      <c r="H2752" s="7" t="s">
        <v>760</v>
      </c>
      <c r="I2752" s="7" t="s">
        <v>355</v>
      </c>
      <c r="J2752" s="14"/>
      <c r="O2752" s="22"/>
      <c r="P2752" s="22"/>
      <c r="Q2752" s="23"/>
      <c r="R2752" s="23"/>
      <c r="S2752" s="14"/>
    </row>
    <row r="2753" ht="18.75" customHeight="1">
      <c r="A2753" s="7" t="s">
        <v>1131</v>
      </c>
      <c r="B2753" s="7" t="s">
        <v>3883</v>
      </c>
      <c r="C2753" s="9">
        <v>168900.0</v>
      </c>
      <c r="D2753" s="9">
        <v>129835.0</v>
      </c>
      <c r="E2753" s="9">
        <v>43.0</v>
      </c>
      <c r="F2753" s="7" t="s">
        <v>1132</v>
      </c>
      <c r="G2753" s="7" t="s">
        <v>404</v>
      </c>
      <c r="H2753" s="7" t="s">
        <v>760</v>
      </c>
      <c r="I2753" s="7" t="s">
        <v>355</v>
      </c>
      <c r="J2753" s="14"/>
      <c r="O2753" s="22"/>
      <c r="P2753" s="22"/>
      <c r="Q2753" s="23"/>
      <c r="R2753" s="23"/>
      <c r="S2753" s="14"/>
    </row>
    <row r="2754" ht="18.75" customHeight="1">
      <c r="A2754" s="7" t="s">
        <v>1131</v>
      </c>
      <c r="B2754" s="7" t="s">
        <v>3883</v>
      </c>
      <c r="C2754" s="9">
        <v>61996.0</v>
      </c>
      <c r="D2754" s="9">
        <v>7577.0</v>
      </c>
      <c r="E2754" s="9">
        <v>84.0</v>
      </c>
      <c r="F2754" s="7" t="s">
        <v>1132</v>
      </c>
      <c r="G2754" s="7" t="s">
        <v>404</v>
      </c>
      <c r="H2754" s="7" t="s">
        <v>760</v>
      </c>
      <c r="I2754" s="7" t="s">
        <v>355</v>
      </c>
      <c r="J2754" s="14"/>
      <c r="O2754" s="22"/>
      <c r="P2754" s="22"/>
      <c r="Q2754" s="23"/>
      <c r="R2754" s="23"/>
      <c r="S2754" s="14"/>
    </row>
    <row r="2755" ht="18.75" customHeight="1">
      <c r="A2755" s="7" t="s">
        <v>1373</v>
      </c>
      <c r="B2755" s="7" t="s">
        <v>3883</v>
      </c>
      <c r="C2755" s="9">
        <v>206687.0</v>
      </c>
      <c r="D2755" s="9">
        <v>173214.0</v>
      </c>
      <c r="E2755" s="9">
        <v>221.0</v>
      </c>
      <c r="F2755" s="7" t="s">
        <v>1374</v>
      </c>
      <c r="G2755" s="7" t="s">
        <v>364</v>
      </c>
      <c r="H2755" s="7" t="s">
        <v>365</v>
      </c>
      <c r="I2755" s="7" t="s">
        <v>355</v>
      </c>
      <c r="J2755" s="14"/>
      <c r="O2755" s="22"/>
      <c r="P2755" s="22"/>
      <c r="Q2755" s="23"/>
      <c r="R2755" s="23"/>
      <c r="S2755" s="14"/>
    </row>
    <row r="2756" ht="18.75" customHeight="1">
      <c r="A2756" s="7" t="s">
        <v>1373</v>
      </c>
      <c r="B2756" s="7" t="s">
        <v>3883</v>
      </c>
      <c r="C2756" s="9">
        <v>681696.0</v>
      </c>
      <c r="D2756" s="9">
        <v>0.0</v>
      </c>
      <c r="E2756" s="9">
        <v>20254.0</v>
      </c>
      <c r="F2756" s="7" t="s">
        <v>1374</v>
      </c>
      <c r="G2756" s="7" t="s">
        <v>364</v>
      </c>
      <c r="H2756" s="7" t="s">
        <v>365</v>
      </c>
      <c r="I2756" s="7" t="s">
        <v>355</v>
      </c>
      <c r="J2756" s="14"/>
      <c r="O2756" s="22"/>
      <c r="P2756" s="22"/>
      <c r="Q2756" s="23"/>
      <c r="R2756" s="23"/>
      <c r="S2756" s="14"/>
    </row>
    <row r="2757" ht="18.75" customHeight="1">
      <c r="A2757" s="7" t="s">
        <v>1443</v>
      </c>
      <c r="B2757" s="7" t="s">
        <v>3883</v>
      </c>
      <c r="C2757" s="9">
        <v>243280.0</v>
      </c>
      <c r="D2757" s="9">
        <v>0.0</v>
      </c>
      <c r="E2757" s="9">
        <v>11796.0</v>
      </c>
      <c r="F2757" s="7" t="s">
        <v>1444</v>
      </c>
      <c r="G2757" s="7" t="s">
        <v>404</v>
      </c>
      <c r="H2757" s="7" t="s">
        <v>783</v>
      </c>
      <c r="I2757" s="7" t="s">
        <v>355</v>
      </c>
      <c r="J2757" s="14"/>
      <c r="O2757" s="22"/>
      <c r="P2757" s="22"/>
      <c r="Q2757" s="23"/>
      <c r="R2757" s="23"/>
      <c r="S2757" s="14"/>
    </row>
    <row r="2758" ht="18.75" customHeight="1">
      <c r="A2758" s="7" t="s">
        <v>1443</v>
      </c>
      <c r="B2758" s="7" t="s">
        <v>3883</v>
      </c>
      <c r="C2758" s="9">
        <v>51886.0</v>
      </c>
      <c r="D2758" s="9">
        <v>36941.0</v>
      </c>
      <c r="E2758" s="9">
        <v>29.0</v>
      </c>
      <c r="F2758" s="7" t="s">
        <v>1444</v>
      </c>
      <c r="G2758" s="7" t="s">
        <v>404</v>
      </c>
      <c r="H2758" s="7" t="s">
        <v>783</v>
      </c>
      <c r="I2758" s="7" t="s">
        <v>355</v>
      </c>
      <c r="J2758" s="14"/>
      <c r="O2758" s="22"/>
      <c r="P2758" s="22"/>
      <c r="Q2758" s="23"/>
      <c r="R2758" s="23"/>
      <c r="S2758" s="14"/>
    </row>
    <row r="2759" ht="18.75" customHeight="1">
      <c r="A2759" s="7" t="s">
        <v>3755</v>
      </c>
      <c r="B2759" s="7" t="s">
        <v>3883</v>
      </c>
      <c r="C2759" s="9">
        <v>278628.0</v>
      </c>
      <c r="D2759" s="9">
        <v>0.0</v>
      </c>
      <c r="E2759" s="9">
        <v>8869.0</v>
      </c>
      <c r="F2759" s="7" t="s">
        <v>3896</v>
      </c>
      <c r="G2759" s="7" t="s">
        <v>416</v>
      </c>
      <c r="H2759" s="7" t="s">
        <v>417</v>
      </c>
      <c r="I2759" s="7" t="s">
        <v>3886</v>
      </c>
      <c r="J2759" s="14"/>
      <c r="O2759" s="22"/>
      <c r="P2759" s="22"/>
      <c r="Q2759" s="23"/>
      <c r="R2759" s="23"/>
      <c r="S2759" s="14"/>
    </row>
    <row r="2760" ht="18.75" customHeight="1">
      <c r="A2760" s="7" t="s">
        <v>926</v>
      </c>
      <c r="B2760" s="7" t="s">
        <v>3883</v>
      </c>
      <c r="C2760" s="9">
        <v>586402.0</v>
      </c>
      <c r="D2760" s="9">
        <v>0.0</v>
      </c>
      <c r="E2760" s="9">
        <v>22158.0</v>
      </c>
      <c r="F2760" s="7" t="s">
        <v>927</v>
      </c>
      <c r="G2760" s="7" t="s">
        <v>503</v>
      </c>
      <c r="H2760" s="7" t="s">
        <v>928</v>
      </c>
      <c r="I2760" s="7" t="s">
        <v>355</v>
      </c>
      <c r="J2760" s="14"/>
      <c r="O2760" s="22"/>
      <c r="P2760" s="22"/>
      <c r="Q2760" s="23"/>
      <c r="R2760" s="23"/>
      <c r="S2760" s="14"/>
    </row>
    <row r="2761" ht="18.75" customHeight="1">
      <c r="A2761" s="7" t="s">
        <v>926</v>
      </c>
      <c r="B2761" s="7" t="s">
        <v>3883</v>
      </c>
      <c r="C2761" s="9">
        <v>274953.0</v>
      </c>
      <c r="D2761" s="9">
        <v>154093.0</v>
      </c>
      <c r="E2761" s="9">
        <v>202.0</v>
      </c>
      <c r="F2761" s="7" t="s">
        <v>927</v>
      </c>
      <c r="G2761" s="7" t="s">
        <v>503</v>
      </c>
      <c r="H2761" s="7" t="s">
        <v>928</v>
      </c>
      <c r="I2761" s="7" t="s">
        <v>355</v>
      </c>
      <c r="J2761" s="14"/>
      <c r="O2761" s="22"/>
      <c r="P2761" s="22"/>
      <c r="Q2761" s="23"/>
      <c r="R2761" s="23"/>
      <c r="S2761" s="14"/>
    </row>
    <row r="2762" ht="18.75" customHeight="1">
      <c r="A2762" s="7" t="s">
        <v>926</v>
      </c>
      <c r="B2762" s="7" t="s">
        <v>3883</v>
      </c>
      <c r="C2762" s="9">
        <v>230385.0</v>
      </c>
      <c r="D2762" s="9">
        <v>18444.0</v>
      </c>
      <c r="E2762" s="9">
        <v>135.0</v>
      </c>
      <c r="F2762" s="7" t="s">
        <v>927</v>
      </c>
      <c r="G2762" s="7" t="s">
        <v>503</v>
      </c>
      <c r="H2762" s="7" t="s">
        <v>928</v>
      </c>
      <c r="I2762" s="7" t="s">
        <v>355</v>
      </c>
      <c r="J2762" s="14"/>
      <c r="O2762" s="22"/>
      <c r="P2762" s="22"/>
      <c r="Q2762" s="23"/>
      <c r="R2762" s="23"/>
      <c r="S2762" s="14"/>
    </row>
    <row r="2763" ht="18.75" customHeight="1">
      <c r="A2763" s="7" t="s">
        <v>926</v>
      </c>
      <c r="B2763" s="7" t="s">
        <v>3883</v>
      </c>
      <c r="C2763" s="9">
        <v>284068.0</v>
      </c>
      <c r="D2763" s="9">
        <v>162201.0</v>
      </c>
      <c r="E2763" s="9">
        <v>165.0</v>
      </c>
      <c r="F2763" s="7" t="s">
        <v>927</v>
      </c>
      <c r="G2763" s="7" t="s">
        <v>503</v>
      </c>
      <c r="H2763" s="7" t="s">
        <v>928</v>
      </c>
      <c r="I2763" s="7" t="s">
        <v>355</v>
      </c>
      <c r="J2763" s="14"/>
      <c r="O2763" s="22"/>
      <c r="P2763" s="22"/>
      <c r="Q2763" s="23"/>
      <c r="R2763" s="23"/>
      <c r="S2763" s="14"/>
    </row>
    <row r="2764" ht="18.75" customHeight="1">
      <c r="A2764" s="7" t="s">
        <v>351</v>
      </c>
      <c r="B2764" s="7" t="s">
        <v>3883</v>
      </c>
      <c r="C2764" s="9">
        <v>18952.0</v>
      </c>
      <c r="D2764" s="9">
        <v>0.0</v>
      </c>
      <c r="E2764" s="9">
        <v>1113.0</v>
      </c>
      <c r="F2764" s="7" t="s">
        <v>352</v>
      </c>
      <c r="G2764" s="7" t="s">
        <v>353</v>
      </c>
      <c r="H2764" s="7" t="s">
        <v>354</v>
      </c>
      <c r="I2764" s="7" t="s">
        <v>410</v>
      </c>
      <c r="J2764" s="14"/>
      <c r="O2764" s="22"/>
      <c r="P2764" s="22"/>
      <c r="Q2764" s="23"/>
      <c r="R2764" s="23"/>
      <c r="S2764" s="14"/>
    </row>
    <row r="2765" ht="18.75" customHeight="1">
      <c r="A2765" s="7" t="s">
        <v>351</v>
      </c>
      <c r="B2765" s="7" t="s">
        <v>3883</v>
      </c>
      <c r="C2765" s="9">
        <v>452102.0</v>
      </c>
      <c r="D2765" s="9">
        <v>0.0</v>
      </c>
      <c r="E2765" s="9">
        <v>12099.0</v>
      </c>
      <c r="F2765" s="7" t="s">
        <v>352</v>
      </c>
      <c r="G2765" s="7" t="s">
        <v>353</v>
      </c>
      <c r="H2765" s="7" t="s">
        <v>354</v>
      </c>
      <c r="I2765" s="7" t="s">
        <v>410</v>
      </c>
      <c r="J2765" s="14"/>
      <c r="O2765" s="22"/>
      <c r="P2765" s="22"/>
      <c r="Q2765" s="23"/>
      <c r="R2765" s="23"/>
      <c r="S2765" s="14"/>
    </row>
    <row r="2766" ht="18.75" customHeight="1">
      <c r="A2766" s="7" t="s">
        <v>351</v>
      </c>
      <c r="B2766" s="7" t="s">
        <v>3883</v>
      </c>
      <c r="C2766" s="9">
        <v>370357.0</v>
      </c>
      <c r="D2766" s="9">
        <v>5025.0</v>
      </c>
      <c r="E2766" s="9">
        <v>297.0</v>
      </c>
      <c r="F2766" s="7" t="s">
        <v>352</v>
      </c>
      <c r="G2766" s="7" t="s">
        <v>353</v>
      </c>
      <c r="H2766" s="7" t="s">
        <v>354</v>
      </c>
      <c r="I2766" s="7" t="s">
        <v>410</v>
      </c>
      <c r="J2766" s="14"/>
      <c r="O2766" s="22"/>
      <c r="P2766" s="22"/>
      <c r="Q2766" s="23"/>
      <c r="R2766" s="23"/>
      <c r="S2766" s="14"/>
    </row>
    <row r="2767" ht="18.75" customHeight="1">
      <c r="A2767" s="7" t="s">
        <v>351</v>
      </c>
      <c r="B2767" s="7" t="s">
        <v>3883</v>
      </c>
      <c r="C2767" s="9">
        <v>540755.0</v>
      </c>
      <c r="D2767" s="9">
        <v>14606.0</v>
      </c>
      <c r="E2767" s="9">
        <v>491.0</v>
      </c>
      <c r="F2767" s="7" t="s">
        <v>352</v>
      </c>
      <c r="G2767" s="7" t="s">
        <v>353</v>
      </c>
      <c r="H2767" s="7" t="s">
        <v>354</v>
      </c>
      <c r="I2767" s="7" t="s">
        <v>410</v>
      </c>
      <c r="J2767" s="14"/>
      <c r="O2767" s="22"/>
      <c r="P2767" s="22"/>
      <c r="Q2767" s="23"/>
      <c r="R2767" s="23"/>
      <c r="S2767" s="14"/>
    </row>
    <row r="2768" ht="18.75" customHeight="1">
      <c r="A2768" s="7" t="s">
        <v>351</v>
      </c>
      <c r="B2768" s="7" t="s">
        <v>3883</v>
      </c>
      <c r="C2768" s="9">
        <v>80702.0</v>
      </c>
      <c r="D2768" s="9">
        <v>0.0</v>
      </c>
      <c r="E2768" s="9">
        <v>6.0</v>
      </c>
      <c r="F2768" s="7" t="s">
        <v>352</v>
      </c>
      <c r="G2768" s="7" t="s">
        <v>353</v>
      </c>
      <c r="H2768" s="7" t="s">
        <v>354</v>
      </c>
      <c r="I2768" s="7" t="s">
        <v>410</v>
      </c>
      <c r="J2768" s="14"/>
      <c r="O2768" s="22"/>
      <c r="P2768" s="22"/>
      <c r="Q2768" s="23"/>
      <c r="R2768" s="23"/>
      <c r="S2768" s="14"/>
    </row>
    <row r="2769" ht="18.75" customHeight="1">
      <c r="A2769" s="7" t="s">
        <v>351</v>
      </c>
      <c r="B2769" s="7" t="s">
        <v>3883</v>
      </c>
      <c r="C2769" s="9">
        <v>441407.0</v>
      </c>
      <c r="D2769" s="9">
        <v>0.0</v>
      </c>
      <c r="E2769" s="9">
        <v>12101.0</v>
      </c>
      <c r="F2769" s="7" t="s">
        <v>352</v>
      </c>
      <c r="G2769" s="7" t="s">
        <v>353</v>
      </c>
      <c r="H2769" s="7" t="s">
        <v>354</v>
      </c>
      <c r="I2769" s="7" t="s">
        <v>410</v>
      </c>
      <c r="J2769" s="14"/>
      <c r="O2769" s="22"/>
      <c r="P2769" s="22"/>
      <c r="Q2769" s="23"/>
      <c r="R2769" s="23"/>
      <c r="S2769" s="14"/>
    </row>
    <row r="2770" ht="18.75" customHeight="1">
      <c r="A2770" s="7" t="s">
        <v>351</v>
      </c>
      <c r="B2770" s="7" t="s">
        <v>3883</v>
      </c>
      <c r="C2770" s="9">
        <v>460343.0</v>
      </c>
      <c r="D2770" s="9">
        <v>15480.0</v>
      </c>
      <c r="E2770" s="9">
        <v>219.0</v>
      </c>
      <c r="F2770" s="7" t="s">
        <v>352</v>
      </c>
      <c r="G2770" s="7" t="s">
        <v>353</v>
      </c>
      <c r="H2770" s="7" t="s">
        <v>354</v>
      </c>
      <c r="I2770" s="7" t="s">
        <v>410</v>
      </c>
      <c r="J2770" s="14"/>
      <c r="O2770" s="22"/>
      <c r="P2770" s="22"/>
      <c r="Q2770" s="23"/>
      <c r="R2770" s="23"/>
      <c r="S2770" s="14"/>
    </row>
    <row r="2771" ht="18.75" customHeight="1">
      <c r="A2771" s="7" t="s">
        <v>351</v>
      </c>
      <c r="B2771" s="7" t="s">
        <v>3883</v>
      </c>
      <c r="C2771" s="9">
        <v>353087.0</v>
      </c>
      <c r="D2771" s="9">
        <v>4529.0</v>
      </c>
      <c r="E2771" s="9">
        <v>267.0</v>
      </c>
      <c r="F2771" s="7" t="s">
        <v>352</v>
      </c>
      <c r="G2771" s="7" t="s">
        <v>353</v>
      </c>
      <c r="H2771" s="7" t="s">
        <v>354</v>
      </c>
      <c r="I2771" s="7" t="s">
        <v>410</v>
      </c>
      <c r="J2771" s="14"/>
      <c r="O2771" s="22"/>
      <c r="P2771" s="22"/>
      <c r="Q2771" s="23"/>
      <c r="R2771" s="23"/>
      <c r="S2771" s="14"/>
    </row>
    <row r="2772" ht="18.75" customHeight="1">
      <c r="A2772" s="7" t="s">
        <v>351</v>
      </c>
      <c r="B2772" s="7" t="s">
        <v>3883</v>
      </c>
      <c r="C2772" s="9">
        <v>96176.0</v>
      </c>
      <c r="D2772" s="9">
        <v>0.0</v>
      </c>
      <c r="E2772" s="9">
        <v>4.0</v>
      </c>
      <c r="F2772" s="7" t="s">
        <v>352</v>
      </c>
      <c r="G2772" s="7" t="s">
        <v>353</v>
      </c>
      <c r="H2772" s="7" t="s">
        <v>354</v>
      </c>
      <c r="I2772" s="7" t="s">
        <v>410</v>
      </c>
      <c r="J2772" s="14"/>
      <c r="O2772" s="22"/>
      <c r="P2772" s="22"/>
      <c r="Q2772" s="23"/>
      <c r="R2772" s="23"/>
      <c r="S2772" s="14"/>
    </row>
    <row r="2773" ht="18.75" customHeight="1">
      <c r="A2773" s="7" t="s">
        <v>351</v>
      </c>
      <c r="B2773" s="7" t="s">
        <v>3883</v>
      </c>
      <c r="C2773" s="9">
        <v>488564.0</v>
      </c>
      <c r="D2773" s="9">
        <v>53021.0</v>
      </c>
      <c r="E2773" s="9">
        <v>14270.0</v>
      </c>
      <c r="F2773" s="7" t="s">
        <v>352</v>
      </c>
      <c r="G2773" s="7" t="s">
        <v>353</v>
      </c>
      <c r="H2773" s="7" t="s">
        <v>354</v>
      </c>
      <c r="I2773" s="7" t="s">
        <v>410</v>
      </c>
      <c r="J2773" s="14"/>
      <c r="O2773" s="22"/>
      <c r="P2773" s="22"/>
      <c r="Q2773" s="23"/>
      <c r="R2773" s="23"/>
      <c r="S2773" s="14"/>
    </row>
    <row r="2774" ht="18.75" customHeight="1">
      <c r="A2774" s="7" t="s">
        <v>351</v>
      </c>
      <c r="B2774" s="7" t="s">
        <v>3883</v>
      </c>
      <c r="C2774" s="9">
        <v>702165.0</v>
      </c>
      <c r="D2774" s="9">
        <v>0.0</v>
      </c>
      <c r="E2774" s="9">
        <v>12863.0</v>
      </c>
      <c r="F2774" s="7" t="s">
        <v>352</v>
      </c>
      <c r="G2774" s="7" t="s">
        <v>353</v>
      </c>
      <c r="H2774" s="7" t="s">
        <v>354</v>
      </c>
      <c r="I2774" s="7" t="s">
        <v>410</v>
      </c>
      <c r="J2774" s="14"/>
      <c r="O2774" s="22"/>
      <c r="P2774" s="22"/>
      <c r="Q2774" s="23"/>
      <c r="R2774" s="23"/>
      <c r="S2774" s="14"/>
    </row>
    <row r="2775" ht="18.75" customHeight="1">
      <c r="A2775" s="7" t="s">
        <v>351</v>
      </c>
      <c r="B2775" s="7" t="s">
        <v>3883</v>
      </c>
      <c r="C2775" s="9">
        <v>682255.0</v>
      </c>
      <c r="D2775" s="9">
        <v>0.0</v>
      </c>
      <c r="E2775" s="9">
        <v>12325.0</v>
      </c>
      <c r="F2775" s="7" t="s">
        <v>352</v>
      </c>
      <c r="G2775" s="7" t="s">
        <v>353</v>
      </c>
      <c r="H2775" s="7" t="s">
        <v>354</v>
      </c>
      <c r="I2775" s="7" t="s">
        <v>410</v>
      </c>
      <c r="J2775" s="14"/>
      <c r="O2775" s="22"/>
      <c r="P2775" s="22"/>
      <c r="Q2775" s="23"/>
      <c r="R2775" s="23"/>
      <c r="S2775" s="14"/>
    </row>
    <row r="2776" ht="18.75" customHeight="1">
      <c r="A2776" s="7" t="s">
        <v>351</v>
      </c>
      <c r="B2776" s="7" t="s">
        <v>3883</v>
      </c>
      <c r="C2776" s="9">
        <v>698194.0</v>
      </c>
      <c r="D2776" s="9">
        <v>0.0</v>
      </c>
      <c r="E2776" s="9">
        <v>12143.0</v>
      </c>
      <c r="F2776" s="7" t="s">
        <v>352</v>
      </c>
      <c r="G2776" s="7" t="s">
        <v>353</v>
      </c>
      <c r="H2776" s="7" t="s">
        <v>354</v>
      </c>
      <c r="I2776" s="7" t="s">
        <v>410</v>
      </c>
      <c r="J2776" s="14"/>
      <c r="O2776" s="22"/>
      <c r="P2776" s="22"/>
      <c r="Q2776" s="23"/>
      <c r="R2776" s="23"/>
      <c r="S2776" s="14"/>
    </row>
    <row r="2777" ht="18.75" customHeight="1">
      <c r="A2777" s="7" t="s">
        <v>351</v>
      </c>
      <c r="B2777" s="7" t="s">
        <v>3883</v>
      </c>
      <c r="C2777" s="9">
        <v>704462.0</v>
      </c>
      <c r="D2777" s="9">
        <v>0.0</v>
      </c>
      <c r="E2777" s="9">
        <v>12129.0</v>
      </c>
      <c r="F2777" s="7" t="s">
        <v>352</v>
      </c>
      <c r="G2777" s="7" t="s">
        <v>353</v>
      </c>
      <c r="H2777" s="7" t="s">
        <v>354</v>
      </c>
      <c r="I2777" s="7" t="s">
        <v>410</v>
      </c>
      <c r="J2777" s="14"/>
      <c r="O2777" s="22"/>
      <c r="P2777" s="22"/>
      <c r="Q2777" s="23"/>
      <c r="R2777" s="23"/>
      <c r="S2777" s="14"/>
    </row>
    <row r="2778" ht="18.75" customHeight="1">
      <c r="A2778" s="7" t="s">
        <v>351</v>
      </c>
      <c r="B2778" s="7" t="s">
        <v>3883</v>
      </c>
      <c r="C2778" s="9">
        <v>763434.0</v>
      </c>
      <c r="D2778" s="9">
        <v>0.0</v>
      </c>
      <c r="E2778" s="9">
        <v>12403.0</v>
      </c>
      <c r="F2778" s="7" t="s">
        <v>352</v>
      </c>
      <c r="G2778" s="7" t="s">
        <v>353</v>
      </c>
      <c r="H2778" s="7" t="s">
        <v>354</v>
      </c>
      <c r="I2778" s="7" t="s">
        <v>410</v>
      </c>
      <c r="J2778" s="14"/>
      <c r="O2778" s="22"/>
      <c r="P2778" s="22"/>
      <c r="Q2778" s="23"/>
      <c r="R2778" s="23"/>
      <c r="S2778" s="14"/>
    </row>
    <row r="2779" ht="18.75" customHeight="1">
      <c r="A2779" s="7" t="s">
        <v>351</v>
      </c>
      <c r="B2779" s="7" t="s">
        <v>3883</v>
      </c>
      <c r="C2779" s="9">
        <v>758875.0</v>
      </c>
      <c r="D2779" s="9">
        <v>0.0</v>
      </c>
      <c r="E2779" s="9">
        <v>12943.0</v>
      </c>
      <c r="F2779" s="7" t="s">
        <v>352</v>
      </c>
      <c r="G2779" s="7" t="s">
        <v>353</v>
      </c>
      <c r="H2779" s="7" t="s">
        <v>354</v>
      </c>
      <c r="I2779" s="7" t="s">
        <v>410</v>
      </c>
      <c r="J2779" s="14"/>
      <c r="O2779" s="22"/>
      <c r="P2779" s="22"/>
      <c r="Q2779" s="23"/>
      <c r="R2779" s="23"/>
      <c r="S2779" s="14"/>
    </row>
    <row r="2780" ht="18.75" customHeight="1">
      <c r="A2780" s="7" t="s">
        <v>351</v>
      </c>
      <c r="B2780" s="7" t="s">
        <v>3883</v>
      </c>
      <c r="C2780" s="9">
        <v>764476.0</v>
      </c>
      <c r="D2780" s="9">
        <v>0.0</v>
      </c>
      <c r="E2780" s="9">
        <v>12648.0</v>
      </c>
      <c r="F2780" s="7" t="s">
        <v>352</v>
      </c>
      <c r="G2780" s="7" t="s">
        <v>353</v>
      </c>
      <c r="H2780" s="7" t="s">
        <v>354</v>
      </c>
      <c r="I2780" s="7" t="s">
        <v>410</v>
      </c>
      <c r="J2780" s="14"/>
      <c r="O2780" s="22"/>
      <c r="P2780" s="22"/>
      <c r="Q2780" s="23"/>
      <c r="R2780" s="23"/>
      <c r="S2780" s="14"/>
    </row>
    <row r="2781" ht="18.75" customHeight="1">
      <c r="A2781" s="7" t="s">
        <v>408</v>
      </c>
      <c r="B2781" s="7" t="s">
        <v>3883</v>
      </c>
      <c r="C2781" s="9">
        <v>2869542.0</v>
      </c>
      <c r="D2781" s="9">
        <v>0.0</v>
      </c>
      <c r="E2781" s="9">
        <v>36817.0</v>
      </c>
      <c r="F2781" s="7" t="s">
        <v>409</v>
      </c>
      <c r="G2781" s="7" t="s">
        <v>353</v>
      </c>
      <c r="H2781" s="7" t="s">
        <v>354</v>
      </c>
      <c r="I2781" s="7" t="s">
        <v>410</v>
      </c>
      <c r="J2781" s="14"/>
      <c r="O2781" s="22"/>
      <c r="P2781" s="22"/>
      <c r="Q2781" s="23"/>
      <c r="R2781" s="23"/>
      <c r="S2781" s="14"/>
    </row>
    <row r="2782" ht="18.75" customHeight="1">
      <c r="A2782" s="7" t="s">
        <v>408</v>
      </c>
      <c r="B2782" s="7" t="s">
        <v>3883</v>
      </c>
      <c r="C2782" s="9">
        <v>746821.0</v>
      </c>
      <c r="D2782" s="9">
        <v>116185.0</v>
      </c>
      <c r="E2782" s="9">
        <v>534.0</v>
      </c>
      <c r="F2782" s="7" t="s">
        <v>409</v>
      </c>
      <c r="G2782" s="7" t="s">
        <v>353</v>
      </c>
      <c r="H2782" s="7" t="s">
        <v>354</v>
      </c>
      <c r="I2782" s="7" t="s">
        <v>410</v>
      </c>
      <c r="J2782" s="14"/>
      <c r="O2782" s="22"/>
      <c r="P2782" s="22"/>
      <c r="Q2782" s="23"/>
      <c r="R2782" s="23"/>
      <c r="S2782" s="14"/>
    </row>
    <row r="2783" ht="18.75" customHeight="1">
      <c r="A2783" s="7" t="s">
        <v>408</v>
      </c>
      <c r="B2783" s="7" t="s">
        <v>3883</v>
      </c>
      <c r="C2783" s="9">
        <v>322758.0</v>
      </c>
      <c r="D2783" s="9">
        <v>7148.0</v>
      </c>
      <c r="E2783" s="9">
        <v>398.0</v>
      </c>
      <c r="F2783" s="7" t="s">
        <v>409</v>
      </c>
      <c r="G2783" s="7" t="s">
        <v>353</v>
      </c>
      <c r="H2783" s="7" t="s">
        <v>354</v>
      </c>
      <c r="I2783" s="7" t="s">
        <v>410</v>
      </c>
      <c r="J2783" s="14"/>
      <c r="O2783" s="22"/>
      <c r="P2783" s="22"/>
      <c r="Q2783" s="23"/>
      <c r="R2783" s="23"/>
      <c r="S2783" s="14"/>
    </row>
    <row r="2784" ht="18.75" customHeight="1">
      <c r="A2784" s="7" t="s">
        <v>1291</v>
      </c>
      <c r="B2784" s="7" t="s">
        <v>3883</v>
      </c>
      <c r="C2784" s="9">
        <v>191309.0</v>
      </c>
      <c r="D2784" s="9">
        <v>168092.0</v>
      </c>
      <c r="E2784" s="9">
        <v>125.0</v>
      </c>
      <c r="F2784" s="7" t="s">
        <v>1292</v>
      </c>
      <c r="G2784" s="7" t="s">
        <v>353</v>
      </c>
      <c r="H2784" s="7" t="s">
        <v>354</v>
      </c>
      <c r="I2784" s="7" t="s">
        <v>410</v>
      </c>
      <c r="J2784" s="14"/>
      <c r="O2784" s="22"/>
      <c r="P2784" s="22"/>
      <c r="Q2784" s="23"/>
      <c r="R2784" s="23"/>
      <c r="S2784" s="14"/>
    </row>
    <row r="2785" ht="18.75" customHeight="1">
      <c r="A2785" s="7" t="s">
        <v>1299</v>
      </c>
      <c r="B2785" s="7" t="s">
        <v>3883</v>
      </c>
      <c r="C2785" s="9">
        <v>28901.0</v>
      </c>
      <c r="D2785" s="9">
        <v>4158.0</v>
      </c>
      <c r="E2785" s="9">
        <v>54.0</v>
      </c>
      <c r="F2785" s="7" t="s">
        <v>1300</v>
      </c>
      <c r="G2785" s="7" t="s">
        <v>364</v>
      </c>
      <c r="H2785" s="7" t="s">
        <v>688</v>
      </c>
      <c r="I2785" s="7" t="s">
        <v>355</v>
      </c>
      <c r="J2785" s="14"/>
      <c r="O2785" s="22"/>
      <c r="P2785" s="22"/>
      <c r="Q2785" s="23"/>
      <c r="R2785" s="23"/>
      <c r="S2785" s="14"/>
    </row>
    <row r="2786" ht="18.75" customHeight="1">
      <c r="A2786" s="7" t="s">
        <v>1525</v>
      </c>
      <c r="B2786" s="7" t="s">
        <v>3883</v>
      </c>
      <c r="C2786" s="9">
        <v>746041.0</v>
      </c>
      <c r="D2786" s="9">
        <v>68689.0</v>
      </c>
      <c r="E2786" s="9">
        <v>854.0</v>
      </c>
      <c r="F2786" s="7" t="s">
        <v>1526</v>
      </c>
      <c r="G2786" s="7" t="s">
        <v>503</v>
      </c>
      <c r="H2786" s="7" t="s">
        <v>688</v>
      </c>
      <c r="I2786" s="7" t="s">
        <v>355</v>
      </c>
      <c r="J2786" s="14"/>
      <c r="O2786" s="22"/>
      <c r="P2786" s="22"/>
      <c r="Q2786" s="23"/>
      <c r="R2786" s="23"/>
      <c r="S2786" s="14"/>
    </row>
    <row r="2787" ht="18.75" customHeight="1">
      <c r="A2787" s="7" t="s">
        <v>1525</v>
      </c>
      <c r="B2787" s="7" t="s">
        <v>3883</v>
      </c>
      <c r="C2787" s="9">
        <v>771213.0</v>
      </c>
      <c r="D2787" s="9">
        <v>412295.0</v>
      </c>
      <c r="E2787" s="9">
        <v>641.0</v>
      </c>
      <c r="F2787" s="7" t="s">
        <v>1526</v>
      </c>
      <c r="G2787" s="7" t="s">
        <v>503</v>
      </c>
      <c r="H2787" s="7" t="s">
        <v>688</v>
      </c>
      <c r="I2787" s="7" t="s">
        <v>355</v>
      </c>
      <c r="J2787" s="14"/>
      <c r="O2787" s="22"/>
      <c r="P2787" s="22"/>
      <c r="Q2787" s="23"/>
      <c r="R2787" s="23"/>
      <c r="S2787" s="14"/>
    </row>
    <row r="2788" ht="18.75" customHeight="1">
      <c r="A2788" s="7" t="s">
        <v>1425</v>
      </c>
      <c r="B2788" s="7" t="s">
        <v>3883</v>
      </c>
      <c r="C2788" s="9">
        <v>208790.0</v>
      </c>
      <c r="D2788" s="9">
        <v>177410.0</v>
      </c>
      <c r="E2788" s="9">
        <v>223.0</v>
      </c>
      <c r="F2788" s="7" t="s">
        <v>1426</v>
      </c>
      <c r="G2788" s="7" t="s">
        <v>358</v>
      </c>
      <c r="H2788" s="7" t="s">
        <v>466</v>
      </c>
      <c r="I2788" s="7" t="s">
        <v>355</v>
      </c>
      <c r="J2788" s="14"/>
      <c r="O2788" s="22"/>
      <c r="P2788" s="22"/>
      <c r="Q2788" s="23"/>
      <c r="R2788" s="23"/>
      <c r="S2788" s="14"/>
    </row>
    <row r="2789" ht="18.75" customHeight="1">
      <c r="A2789" s="7" t="s">
        <v>1425</v>
      </c>
      <c r="B2789" s="7" t="s">
        <v>3883</v>
      </c>
      <c r="C2789" s="9">
        <v>718927.0</v>
      </c>
      <c r="D2789" s="9">
        <v>0.0</v>
      </c>
      <c r="E2789" s="9">
        <v>26512.0</v>
      </c>
      <c r="F2789" s="7" t="s">
        <v>1426</v>
      </c>
      <c r="G2789" s="7" t="s">
        <v>358</v>
      </c>
      <c r="H2789" s="7" t="s">
        <v>466</v>
      </c>
      <c r="I2789" s="7" t="s">
        <v>355</v>
      </c>
      <c r="J2789" s="14"/>
      <c r="O2789" s="22"/>
      <c r="P2789" s="22"/>
      <c r="Q2789" s="23"/>
      <c r="R2789" s="23"/>
      <c r="S2789" s="14"/>
    </row>
    <row r="2790" ht="18.75" customHeight="1">
      <c r="A2790" s="7" t="s">
        <v>1531</v>
      </c>
      <c r="B2790" s="7" t="s">
        <v>3883</v>
      </c>
      <c r="C2790" s="9">
        <v>505757.0</v>
      </c>
      <c r="D2790" s="9">
        <v>0.0</v>
      </c>
      <c r="E2790" s="9">
        <v>19082.0</v>
      </c>
      <c r="F2790" s="7" t="s">
        <v>1532</v>
      </c>
      <c r="G2790" s="7" t="s">
        <v>404</v>
      </c>
      <c r="H2790" s="7" t="s">
        <v>405</v>
      </c>
      <c r="I2790" s="7" t="s">
        <v>355</v>
      </c>
      <c r="J2790" s="14"/>
      <c r="O2790" s="22"/>
      <c r="P2790" s="22"/>
      <c r="Q2790" s="23"/>
      <c r="R2790" s="23"/>
      <c r="S2790" s="14"/>
    </row>
    <row r="2791" ht="18.75" customHeight="1">
      <c r="A2791" s="7" t="s">
        <v>1615</v>
      </c>
      <c r="B2791" s="7" t="s">
        <v>3883</v>
      </c>
      <c r="C2791" s="9">
        <v>485851.0</v>
      </c>
      <c r="D2791" s="9">
        <v>0.0</v>
      </c>
      <c r="E2791" s="9">
        <v>13827.0</v>
      </c>
      <c r="F2791" s="7" t="s">
        <v>1616</v>
      </c>
      <c r="G2791" s="7" t="s">
        <v>404</v>
      </c>
      <c r="H2791" s="7" t="s">
        <v>783</v>
      </c>
      <c r="I2791" s="7" t="s">
        <v>355</v>
      </c>
      <c r="J2791" s="14"/>
      <c r="O2791" s="22"/>
      <c r="P2791" s="22"/>
      <c r="Q2791" s="23"/>
      <c r="R2791" s="23"/>
      <c r="S2791" s="14"/>
    </row>
    <row r="2792" ht="18.75" customHeight="1">
      <c r="A2792" s="7" t="s">
        <v>1401</v>
      </c>
      <c r="B2792" s="7" t="s">
        <v>3883</v>
      </c>
      <c r="C2792" s="9">
        <v>8533.0</v>
      </c>
      <c r="D2792" s="9">
        <v>0.0</v>
      </c>
      <c r="E2792" s="9">
        <v>542.0</v>
      </c>
      <c r="F2792" s="7" t="s">
        <v>1402</v>
      </c>
      <c r="G2792" s="7" t="s">
        <v>358</v>
      </c>
      <c r="H2792" s="7" t="s">
        <v>466</v>
      </c>
      <c r="I2792" s="7" t="s">
        <v>410</v>
      </c>
      <c r="J2792" s="14"/>
      <c r="O2792" s="22"/>
      <c r="P2792" s="22"/>
      <c r="Q2792" s="23"/>
      <c r="R2792" s="23"/>
      <c r="S2792" s="14"/>
    </row>
    <row r="2793" ht="18.75" customHeight="1">
      <c r="A2793" s="7" t="s">
        <v>1401</v>
      </c>
      <c r="B2793" s="7" t="s">
        <v>3883</v>
      </c>
      <c r="C2793" s="9">
        <v>1884311.0</v>
      </c>
      <c r="D2793" s="9">
        <v>0.0</v>
      </c>
      <c r="E2793" s="9">
        <v>50560.0</v>
      </c>
      <c r="F2793" s="7" t="s">
        <v>1402</v>
      </c>
      <c r="G2793" s="7" t="s">
        <v>358</v>
      </c>
      <c r="H2793" s="7" t="s">
        <v>466</v>
      </c>
      <c r="I2793" s="7" t="s">
        <v>410</v>
      </c>
      <c r="J2793" s="14"/>
      <c r="O2793" s="22"/>
      <c r="P2793" s="22"/>
      <c r="Q2793" s="23"/>
      <c r="R2793" s="23"/>
      <c r="S2793" s="14"/>
    </row>
    <row r="2794" ht="18.75" customHeight="1">
      <c r="A2794" s="7" t="s">
        <v>1401</v>
      </c>
      <c r="B2794" s="7" t="s">
        <v>3883</v>
      </c>
      <c r="C2794" s="9">
        <v>0.0</v>
      </c>
      <c r="D2794" s="9">
        <v>0.0</v>
      </c>
      <c r="E2794" s="9">
        <v>0.0</v>
      </c>
      <c r="F2794" s="7" t="s">
        <v>1402</v>
      </c>
      <c r="G2794" s="7" t="s">
        <v>358</v>
      </c>
      <c r="H2794" s="7" t="s">
        <v>466</v>
      </c>
      <c r="I2794" s="7" t="s">
        <v>410</v>
      </c>
      <c r="J2794" s="14"/>
      <c r="O2794" s="22"/>
      <c r="P2794" s="22"/>
      <c r="Q2794" s="23"/>
      <c r="R2794" s="23"/>
      <c r="S2794" s="14"/>
    </row>
    <row r="2795" ht="18.75" customHeight="1">
      <c r="A2795" s="7" t="s">
        <v>1401</v>
      </c>
      <c r="B2795" s="7" t="s">
        <v>3883</v>
      </c>
      <c r="C2795" s="9">
        <v>365095.0</v>
      </c>
      <c r="D2795" s="9">
        <v>199051.0</v>
      </c>
      <c r="E2795" s="9">
        <v>293.0</v>
      </c>
      <c r="F2795" s="7" t="s">
        <v>1402</v>
      </c>
      <c r="G2795" s="7" t="s">
        <v>358</v>
      </c>
      <c r="H2795" s="7" t="s">
        <v>466</v>
      </c>
      <c r="I2795" s="7" t="s">
        <v>410</v>
      </c>
      <c r="J2795" s="14"/>
      <c r="O2795" s="22"/>
      <c r="P2795" s="22"/>
      <c r="Q2795" s="23"/>
      <c r="R2795" s="23"/>
      <c r="S2795" s="14"/>
    </row>
    <row r="2796" ht="18.75" customHeight="1">
      <c r="A2796" s="7" t="s">
        <v>1401</v>
      </c>
      <c r="B2796" s="7" t="s">
        <v>3883</v>
      </c>
      <c r="C2796" s="9">
        <v>880237.0</v>
      </c>
      <c r="D2796" s="9">
        <v>72225.0</v>
      </c>
      <c r="E2796" s="9">
        <v>1290.0</v>
      </c>
      <c r="F2796" s="7" t="s">
        <v>1402</v>
      </c>
      <c r="G2796" s="7" t="s">
        <v>358</v>
      </c>
      <c r="H2796" s="7" t="s">
        <v>466</v>
      </c>
      <c r="I2796" s="7" t="s">
        <v>410</v>
      </c>
      <c r="J2796" s="14"/>
      <c r="O2796" s="22"/>
      <c r="P2796" s="22"/>
      <c r="Q2796" s="23"/>
      <c r="R2796" s="23"/>
      <c r="S2796" s="14"/>
    </row>
    <row r="2797" ht="18.75" customHeight="1">
      <c r="A2797" s="7" t="s">
        <v>1401</v>
      </c>
      <c r="B2797" s="7" t="s">
        <v>3883</v>
      </c>
      <c r="C2797" s="9">
        <v>1182187.0</v>
      </c>
      <c r="D2797" s="9">
        <v>764350.0</v>
      </c>
      <c r="E2797" s="9">
        <v>625.0</v>
      </c>
      <c r="F2797" s="7" t="s">
        <v>1402</v>
      </c>
      <c r="G2797" s="7" t="s">
        <v>358</v>
      </c>
      <c r="H2797" s="7" t="s">
        <v>466</v>
      </c>
      <c r="I2797" s="7" t="s">
        <v>410</v>
      </c>
      <c r="J2797" s="14"/>
      <c r="O2797" s="22"/>
      <c r="P2797" s="22"/>
      <c r="Q2797" s="23"/>
      <c r="R2797" s="23"/>
      <c r="S2797" s="14"/>
    </row>
    <row r="2798" ht="18.75" customHeight="1">
      <c r="A2798" s="7" t="s">
        <v>1401</v>
      </c>
      <c r="B2798" s="7" t="s">
        <v>3883</v>
      </c>
      <c r="C2798" s="9">
        <v>477076.0</v>
      </c>
      <c r="D2798" s="9">
        <v>0.0</v>
      </c>
      <c r="E2798" s="9">
        <v>581.0</v>
      </c>
      <c r="F2798" s="7" t="s">
        <v>1402</v>
      </c>
      <c r="G2798" s="7" t="s">
        <v>358</v>
      </c>
      <c r="H2798" s="7" t="s">
        <v>466</v>
      </c>
      <c r="I2798" s="7" t="s">
        <v>410</v>
      </c>
      <c r="J2798" s="14"/>
      <c r="O2798" s="22"/>
      <c r="P2798" s="22"/>
      <c r="Q2798" s="23"/>
      <c r="R2798" s="23"/>
      <c r="S2798" s="14"/>
    </row>
    <row r="2799" ht="18.75" customHeight="1">
      <c r="A2799" s="7" t="s">
        <v>1401</v>
      </c>
      <c r="B2799" s="7" t="s">
        <v>3883</v>
      </c>
      <c r="C2799" s="9">
        <v>106689.0</v>
      </c>
      <c r="D2799" s="9">
        <v>53056.0</v>
      </c>
      <c r="E2799" s="9">
        <v>99.0</v>
      </c>
      <c r="F2799" s="7" t="s">
        <v>1402</v>
      </c>
      <c r="G2799" s="7" t="s">
        <v>358</v>
      </c>
      <c r="H2799" s="7" t="s">
        <v>466</v>
      </c>
      <c r="I2799" s="7" t="s">
        <v>410</v>
      </c>
      <c r="J2799" s="14"/>
      <c r="O2799" s="22"/>
      <c r="P2799" s="22"/>
      <c r="Q2799" s="23"/>
      <c r="R2799" s="23"/>
      <c r="S2799" s="14"/>
    </row>
    <row r="2800" ht="18.75" customHeight="1">
      <c r="A2800" s="7" t="s">
        <v>1401</v>
      </c>
      <c r="B2800" s="7" t="s">
        <v>3883</v>
      </c>
      <c r="C2800" s="9">
        <v>82216.0</v>
      </c>
      <c r="D2800" s="9">
        <v>32244.0</v>
      </c>
      <c r="E2800" s="9">
        <v>64.0</v>
      </c>
      <c r="F2800" s="7" t="s">
        <v>1402</v>
      </c>
      <c r="G2800" s="7" t="s">
        <v>358</v>
      </c>
      <c r="H2800" s="7" t="s">
        <v>466</v>
      </c>
      <c r="I2800" s="7" t="s">
        <v>410</v>
      </c>
      <c r="J2800" s="14"/>
      <c r="O2800" s="22"/>
      <c r="P2800" s="22"/>
      <c r="Q2800" s="23"/>
      <c r="R2800" s="23"/>
      <c r="S2800" s="14"/>
    </row>
    <row r="2801" ht="18.75" customHeight="1">
      <c r="A2801" s="7" t="s">
        <v>1401</v>
      </c>
      <c r="B2801" s="7" t="s">
        <v>3883</v>
      </c>
      <c r="C2801" s="9">
        <v>93673.0</v>
      </c>
      <c r="D2801" s="9">
        <v>34695.0</v>
      </c>
      <c r="E2801" s="9">
        <v>80.0</v>
      </c>
      <c r="F2801" s="7" t="s">
        <v>1402</v>
      </c>
      <c r="G2801" s="7" t="s">
        <v>358</v>
      </c>
      <c r="H2801" s="7" t="s">
        <v>466</v>
      </c>
      <c r="I2801" s="7" t="s">
        <v>410</v>
      </c>
      <c r="J2801" s="14"/>
      <c r="O2801" s="22"/>
      <c r="P2801" s="22"/>
      <c r="Q2801" s="23"/>
      <c r="R2801" s="23"/>
      <c r="S2801" s="14"/>
    </row>
    <row r="2802" ht="18.75" customHeight="1">
      <c r="A2802" s="7" t="s">
        <v>1401</v>
      </c>
      <c r="B2802" s="7" t="s">
        <v>3883</v>
      </c>
      <c r="C2802" s="9">
        <v>81246.0</v>
      </c>
      <c r="D2802" s="9">
        <v>37536.0</v>
      </c>
      <c r="E2802" s="9">
        <v>90.0</v>
      </c>
      <c r="F2802" s="7" t="s">
        <v>1402</v>
      </c>
      <c r="G2802" s="7" t="s">
        <v>358</v>
      </c>
      <c r="H2802" s="7" t="s">
        <v>466</v>
      </c>
      <c r="I2802" s="7" t="s">
        <v>410</v>
      </c>
      <c r="J2802" s="14"/>
      <c r="O2802" s="22"/>
      <c r="P2802" s="22"/>
      <c r="Q2802" s="23"/>
      <c r="R2802" s="23"/>
      <c r="S2802" s="14"/>
    </row>
    <row r="2803" ht="18.75" customHeight="1">
      <c r="A2803" s="7" t="s">
        <v>1401</v>
      </c>
      <c r="B2803" s="7" t="s">
        <v>3883</v>
      </c>
      <c r="C2803" s="9">
        <v>85175.0</v>
      </c>
      <c r="D2803" s="9">
        <v>31369.0</v>
      </c>
      <c r="E2803" s="9">
        <v>75.0</v>
      </c>
      <c r="F2803" s="7" t="s">
        <v>1402</v>
      </c>
      <c r="G2803" s="7" t="s">
        <v>358</v>
      </c>
      <c r="H2803" s="7" t="s">
        <v>466</v>
      </c>
      <c r="I2803" s="7" t="s">
        <v>410</v>
      </c>
      <c r="J2803" s="14"/>
      <c r="O2803" s="22"/>
      <c r="P2803" s="22"/>
      <c r="Q2803" s="23"/>
      <c r="R2803" s="23"/>
      <c r="S2803" s="14"/>
    </row>
    <row r="2804" ht="18.75" customHeight="1">
      <c r="A2804" s="7" t="s">
        <v>1401</v>
      </c>
      <c r="B2804" s="7" t="s">
        <v>3883</v>
      </c>
      <c r="C2804" s="9">
        <v>99770.0</v>
      </c>
      <c r="D2804" s="9">
        <v>30375.0</v>
      </c>
      <c r="E2804" s="9">
        <v>76.0</v>
      </c>
      <c r="F2804" s="7" t="s">
        <v>1402</v>
      </c>
      <c r="G2804" s="7" t="s">
        <v>358</v>
      </c>
      <c r="H2804" s="7" t="s">
        <v>466</v>
      </c>
      <c r="I2804" s="7" t="s">
        <v>410</v>
      </c>
      <c r="J2804" s="14"/>
      <c r="O2804" s="22"/>
      <c r="P2804" s="22"/>
      <c r="Q2804" s="23"/>
      <c r="R2804" s="23"/>
      <c r="S2804" s="14"/>
    </row>
    <row r="2805" ht="18.75" customHeight="1">
      <c r="A2805" s="7" t="s">
        <v>1401</v>
      </c>
      <c r="B2805" s="7" t="s">
        <v>3883</v>
      </c>
      <c r="C2805" s="9">
        <v>104340.0</v>
      </c>
      <c r="D2805" s="9">
        <v>40985.0</v>
      </c>
      <c r="E2805" s="9">
        <v>80.0</v>
      </c>
      <c r="F2805" s="7" t="s">
        <v>1402</v>
      </c>
      <c r="G2805" s="7" t="s">
        <v>358</v>
      </c>
      <c r="H2805" s="7" t="s">
        <v>466</v>
      </c>
      <c r="I2805" s="7" t="s">
        <v>410</v>
      </c>
      <c r="J2805" s="14"/>
      <c r="O2805" s="22"/>
      <c r="P2805" s="22"/>
      <c r="Q2805" s="23"/>
      <c r="R2805" s="23"/>
      <c r="S2805" s="14"/>
    </row>
    <row r="2806" ht="18.75" customHeight="1">
      <c r="A2806" s="7" t="s">
        <v>1401</v>
      </c>
      <c r="B2806" s="7" t="s">
        <v>3883</v>
      </c>
      <c r="C2806" s="9">
        <v>74607.0</v>
      </c>
      <c r="D2806" s="9">
        <v>30574.0</v>
      </c>
      <c r="E2806" s="9">
        <v>61.0</v>
      </c>
      <c r="F2806" s="7" t="s">
        <v>1402</v>
      </c>
      <c r="G2806" s="7" t="s">
        <v>358</v>
      </c>
      <c r="H2806" s="7" t="s">
        <v>466</v>
      </c>
      <c r="I2806" s="7" t="s">
        <v>410</v>
      </c>
      <c r="J2806" s="14"/>
      <c r="O2806" s="22"/>
      <c r="P2806" s="22"/>
      <c r="Q2806" s="23"/>
      <c r="R2806" s="23"/>
      <c r="S2806" s="14"/>
    </row>
    <row r="2807" ht="18.75" customHeight="1">
      <c r="A2807" s="7" t="s">
        <v>1401</v>
      </c>
      <c r="B2807" s="7" t="s">
        <v>3883</v>
      </c>
      <c r="C2807" s="9">
        <v>78697.0</v>
      </c>
      <c r="D2807" s="9">
        <v>37477.0</v>
      </c>
      <c r="E2807" s="9">
        <v>80.0</v>
      </c>
      <c r="F2807" s="7" t="s">
        <v>1402</v>
      </c>
      <c r="G2807" s="7" t="s">
        <v>358</v>
      </c>
      <c r="H2807" s="7" t="s">
        <v>466</v>
      </c>
      <c r="I2807" s="7" t="s">
        <v>410</v>
      </c>
      <c r="J2807" s="14"/>
      <c r="O2807" s="22"/>
      <c r="P2807" s="22"/>
      <c r="Q2807" s="23"/>
      <c r="R2807" s="23"/>
      <c r="S2807" s="14"/>
    </row>
    <row r="2808" ht="18.75" customHeight="1">
      <c r="A2808" s="7" t="s">
        <v>1401</v>
      </c>
      <c r="B2808" s="7" t="s">
        <v>3883</v>
      </c>
      <c r="C2808" s="9">
        <v>66063.0</v>
      </c>
      <c r="D2808" s="9">
        <v>29568.0</v>
      </c>
      <c r="E2808" s="9">
        <v>50.0</v>
      </c>
      <c r="F2808" s="7" t="s">
        <v>1402</v>
      </c>
      <c r="G2808" s="7" t="s">
        <v>358</v>
      </c>
      <c r="H2808" s="7" t="s">
        <v>466</v>
      </c>
      <c r="I2808" s="7" t="s">
        <v>410</v>
      </c>
      <c r="J2808" s="14"/>
      <c r="O2808" s="22"/>
      <c r="P2808" s="22"/>
      <c r="Q2808" s="23"/>
      <c r="R2808" s="23"/>
      <c r="S2808" s="14"/>
    </row>
    <row r="2809" ht="18.75" customHeight="1">
      <c r="A2809" s="7" t="s">
        <v>1401</v>
      </c>
      <c r="B2809" s="7" t="s">
        <v>3883</v>
      </c>
      <c r="C2809" s="9">
        <v>79754.0</v>
      </c>
      <c r="D2809" s="9">
        <v>35183.0</v>
      </c>
      <c r="E2809" s="9">
        <v>62.0</v>
      </c>
      <c r="F2809" s="7" t="s">
        <v>1402</v>
      </c>
      <c r="G2809" s="7" t="s">
        <v>358</v>
      </c>
      <c r="H2809" s="7" t="s">
        <v>466</v>
      </c>
      <c r="I2809" s="7" t="s">
        <v>410</v>
      </c>
      <c r="J2809" s="14"/>
      <c r="O2809" s="22"/>
      <c r="P2809" s="22"/>
      <c r="Q2809" s="23"/>
      <c r="R2809" s="23"/>
      <c r="S2809" s="14"/>
    </row>
    <row r="2810" ht="18.75" customHeight="1">
      <c r="A2810" s="7" t="s">
        <v>1401</v>
      </c>
      <c r="B2810" s="7" t="s">
        <v>3883</v>
      </c>
      <c r="C2810" s="9">
        <v>70761.0</v>
      </c>
      <c r="D2810" s="9">
        <v>28559.0</v>
      </c>
      <c r="E2810" s="9">
        <v>63.0</v>
      </c>
      <c r="F2810" s="7" t="s">
        <v>1402</v>
      </c>
      <c r="G2810" s="7" t="s">
        <v>358</v>
      </c>
      <c r="H2810" s="7" t="s">
        <v>466</v>
      </c>
      <c r="I2810" s="7" t="s">
        <v>410</v>
      </c>
      <c r="J2810" s="14"/>
      <c r="O2810" s="22"/>
      <c r="P2810" s="22"/>
      <c r="Q2810" s="23"/>
      <c r="R2810" s="23"/>
      <c r="S2810" s="14"/>
    </row>
    <row r="2811" ht="18.75" customHeight="1">
      <c r="A2811" s="7" t="s">
        <v>1401</v>
      </c>
      <c r="B2811" s="7" t="s">
        <v>3883</v>
      </c>
      <c r="C2811" s="9">
        <v>73700.0</v>
      </c>
      <c r="D2811" s="9">
        <v>33231.0</v>
      </c>
      <c r="E2811" s="9">
        <v>52.0</v>
      </c>
      <c r="F2811" s="7" t="s">
        <v>1402</v>
      </c>
      <c r="G2811" s="7" t="s">
        <v>358</v>
      </c>
      <c r="H2811" s="7" t="s">
        <v>466</v>
      </c>
      <c r="I2811" s="7" t="s">
        <v>410</v>
      </c>
      <c r="J2811" s="14"/>
      <c r="O2811" s="22"/>
      <c r="P2811" s="22"/>
      <c r="Q2811" s="23"/>
      <c r="R2811" s="23"/>
      <c r="S2811" s="14"/>
    </row>
    <row r="2812" ht="18.75" customHeight="1">
      <c r="A2812" s="7" t="s">
        <v>1401</v>
      </c>
      <c r="B2812" s="7" t="s">
        <v>3883</v>
      </c>
      <c r="C2812" s="9">
        <v>80713.0</v>
      </c>
      <c r="D2812" s="9">
        <v>32176.0</v>
      </c>
      <c r="E2812" s="9">
        <v>74.0</v>
      </c>
      <c r="F2812" s="7" t="s">
        <v>1402</v>
      </c>
      <c r="G2812" s="7" t="s">
        <v>358</v>
      </c>
      <c r="H2812" s="7" t="s">
        <v>466</v>
      </c>
      <c r="I2812" s="7" t="s">
        <v>410</v>
      </c>
      <c r="J2812" s="14"/>
      <c r="O2812" s="22"/>
      <c r="P2812" s="22"/>
      <c r="Q2812" s="23"/>
      <c r="R2812" s="23"/>
      <c r="S2812" s="14"/>
    </row>
    <row r="2813" ht="18.75" customHeight="1">
      <c r="A2813" s="7" t="s">
        <v>1401</v>
      </c>
      <c r="B2813" s="7" t="s">
        <v>3883</v>
      </c>
      <c r="C2813" s="9">
        <v>93621.0</v>
      </c>
      <c r="D2813" s="9">
        <v>34257.0</v>
      </c>
      <c r="E2813" s="9">
        <v>66.0</v>
      </c>
      <c r="F2813" s="7" t="s">
        <v>1402</v>
      </c>
      <c r="G2813" s="7" t="s">
        <v>358</v>
      </c>
      <c r="H2813" s="7" t="s">
        <v>466</v>
      </c>
      <c r="I2813" s="7" t="s">
        <v>410</v>
      </c>
      <c r="J2813" s="14"/>
      <c r="O2813" s="22"/>
      <c r="P2813" s="22"/>
      <c r="Q2813" s="23"/>
      <c r="R2813" s="23"/>
      <c r="S2813" s="14"/>
    </row>
    <row r="2814" ht="18.75" customHeight="1">
      <c r="A2814" s="7" t="s">
        <v>1657</v>
      </c>
      <c r="B2814" s="7" t="s">
        <v>3883</v>
      </c>
      <c r="C2814" s="9">
        <v>332411.0</v>
      </c>
      <c r="D2814" s="9">
        <v>22619.0</v>
      </c>
      <c r="E2814" s="9">
        <v>347.0</v>
      </c>
      <c r="F2814" s="7" t="s">
        <v>1658</v>
      </c>
      <c r="G2814" s="7" t="s">
        <v>358</v>
      </c>
      <c r="H2814" s="7" t="s">
        <v>466</v>
      </c>
      <c r="I2814" s="7" t="s">
        <v>355</v>
      </c>
      <c r="J2814" s="14"/>
      <c r="O2814" s="22"/>
      <c r="P2814" s="22"/>
      <c r="Q2814" s="23"/>
      <c r="R2814" s="23"/>
      <c r="S2814" s="14"/>
    </row>
    <row r="2815" ht="18.75" customHeight="1">
      <c r="A2815" s="7" t="s">
        <v>1579</v>
      </c>
      <c r="B2815" s="7" t="s">
        <v>3883</v>
      </c>
      <c r="C2815" s="9">
        <v>16248.0</v>
      </c>
      <c r="D2815" s="9">
        <v>13389.0</v>
      </c>
      <c r="E2815" s="9">
        <v>18.0</v>
      </c>
      <c r="F2815" s="7" t="s">
        <v>1580</v>
      </c>
      <c r="G2815" s="7" t="s">
        <v>353</v>
      </c>
      <c r="H2815" s="7" t="s">
        <v>378</v>
      </c>
      <c r="I2815" s="7" t="s">
        <v>355</v>
      </c>
      <c r="J2815" s="14"/>
      <c r="O2815" s="22"/>
      <c r="P2815" s="22"/>
      <c r="Q2815" s="23"/>
      <c r="R2815" s="23"/>
      <c r="S2815" s="14"/>
    </row>
    <row r="2816" ht="18.75" customHeight="1">
      <c r="A2816" s="7" t="s">
        <v>1579</v>
      </c>
      <c r="B2816" s="7" t="s">
        <v>3883</v>
      </c>
      <c r="C2816" s="9">
        <v>482584.0</v>
      </c>
      <c r="D2816" s="9">
        <v>0.0</v>
      </c>
      <c r="E2816" s="9">
        <v>21541.0</v>
      </c>
      <c r="F2816" s="7" t="s">
        <v>1580</v>
      </c>
      <c r="G2816" s="7" t="s">
        <v>353</v>
      </c>
      <c r="H2816" s="7" t="s">
        <v>378</v>
      </c>
      <c r="I2816" s="7" t="s">
        <v>355</v>
      </c>
      <c r="J2816" s="14"/>
      <c r="O2816" s="22"/>
      <c r="P2816" s="22"/>
      <c r="Q2816" s="23"/>
      <c r="R2816" s="23"/>
      <c r="S2816" s="14"/>
    </row>
    <row r="2817" ht="18.75" customHeight="1">
      <c r="A2817" s="7" t="s">
        <v>1221</v>
      </c>
      <c r="B2817" s="7" t="s">
        <v>3883</v>
      </c>
      <c r="C2817" s="9">
        <v>169260.0</v>
      </c>
      <c r="D2817" s="9">
        <v>0.0</v>
      </c>
      <c r="E2817" s="9">
        <v>3261.0</v>
      </c>
      <c r="F2817" s="7" t="s">
        <v>1222</v>
      </c>
      <c r="G2817" s="7" t="s">
        <v>353</v>
      </c>
      <c r="H2817" s="7" t="s">
        <v>378</v>
      </c>
      <c r="I2817" s="7" t="s">
        <v>355</v>
      </c>
      <c r="J2817" s="14"/>
      <c r="O2817" s="22"/>
      <c r="P2817" s="22"/>
      <c r="Q2817" s="23"/>
      <c r="R2817" s="23"/>
      <c r="S2817" s="14"/>
    </row>
    <row r="2818" ht="18.75" customHeight="1">
      <c r="A2818" s="7" t="s">
        <v>1423</v>
      </c>
      <c r="B2818" s="7" t="s">
        <v>3883</v>
      </c>
      <c r="C2818" s="9">
        <v>10731.0</v>
      </c>
      <c r="D2818" s="9">
        <v>0.0</v>
      </c>
      <c r="E2818" s="9">
        <v>166.0</v>
      </c>
      <c r="F2818" s="7" t="s">
        <v>1424</v>
      </c>
      <c r="G2818" s="7" t="s">
        <v>358</v>
      </c>
      <c r="H2818" s="7" t="s">
        <v>466</v>
      </c>
      <c r="I2818" s="7" t="s">
        <v>355</v>
      </c>
      <c r="J2818" s="14"/>
      <c r="O2818" s="22"/>
      <c r="P2818" s="22"/>
      <c r="Q2818" s="23"/>
      <c r="R2818" s="23"/>
      <c r="S2818" s="14"/>
    </row>
    <row r="2819" ht="18.75" customHeight="1">
      <c r="A2819" s="7" t="s">
        <v>1423</v>
      </c>
      <c r="B2819" s="7" t="s">
        <v>3883</v>
      </c>
      <c r="C2819" s="9">
        <v>46906.0</v>
      </c>
      <c r="D2819" s="9">
        <v>28965.0</v>
      </c>
      <c r="E2819" s="9">
        <v>20.0</v>
      </c>
      <c r="F2819" s="7" t="s">
        <v>1424</v>
      </c>
      <c r="G2819" s="7" t="s">
        <v>358</v>
      </c>
      <c r="H2819" s="7" t="s">
        <v>466</v>
      </c>
      <c r="I2819" s="7" t="s">
        <v>355</v>
      </c>
      <c r="J2819" s="14"/>
      <c r="O2819" s="22"/>
      <c r="P2819" s="22"/>
      <c r="Q2819" s="23"/>
      <c r="R2819" s="23"/>
      <c r="S2819" s="14"/>
    </row>
    <row r="2820" ht="18.75" customHeight="1">
      <c r="A2820" s="7" t="s">
        <v>1567</v>
      </c>
      <c r="B2820" s="7" t="s">
        <v>3883</v>
      </c>
      <c r="C2820" s="9">
        <v>1904706.0</v>
      </c>
      <c r="D2820" s="9">
        <v>1461637.0</v>
      </c>
      <c r="E2820" s="9">
        <v>2725.0</v>
      </c>
      <c r="F2820" s="7" t="s">
        <v>1568</v>
      </c>
      <c r="G2820" s="7" t="s">
        <v>358</v>
      </c>
      <c r="H2820" s="7" t="s">
        <v>466</v>
      </c>
      <c r="I2820" s="7" t="s">
        <v>355</v>
      </c>
      <c r="J2820" s="14"/>
      <c r="O2820" s="22"/>
      <c r="P2820" s="22"/>
      <c r="Q2820" s="23"/>
      <c r="R2820" s="23"/>
      <c r="S2820" s="14"/>
    </row>
    <row r="2821" ht="18.75" customHeight="1">
      <c r="A2821" s="7" t="s">
        <v>1763</v>
      </c>
      <c r="B2821" s="7" t="s">
        <v>3883</v>
      </c>
      <c r="C2821" s="9">
        <v>587381.0</v>
      </c>
      <c r="D2821" s="9">
        <v>0.0</v>
      </c>
      <c r="E2821" s="9">
        <v>12298.0</v>
      </c>
      <c r="F2821" s="7" t="s">
        <v>1764</v>
      </c>
      <c r="G2821" s="7" t="s">
        <v>358</v>
      </c>
      <c r="H2821" s="7" t="s">
        <v>466</v>
      </c>
      <c r="I2821" s="7" t="s">
        <v>355</v>
      </c>
      <c r="J2821" s="14"/>
      <c r="O2821" s="22"/>
      <c r="P2821" s="22"/>
      <c r="Q2821" s="23"/>
      <c r="R2821" s="23"/>
      <c r="S2821" s="14"/>
    </row>
    <row r="2822" ht="18.75" customHeight="1">
      <c r="A2822" s="7" t="s">
        <v>1763</v>
      </c>
      <c r="B2822" s="7" t="s">
        <v>3883</v>
      </c>
      <c r="C2822" s="9">
        <v>306368.0</v>
      </c>
      <c r="D2822" s="9">
        <v>253570.0</v>
      </c>
      <c r="E2822" s="9">
        <v>119.0</v>
      </c>
      <c r="F2822" s="7" t="s">
        <v>1764</v>
      </c>
      <c r="G2822" s="7" t="s">
        <v>358</v>
      </c>
      <c r="H2822" s="7" t="s">
        <v>466</v>
      </c>
      <c r="I2822" s="7" t="s">
        <v>355</v>
      </c>
      <c r="J2822" s="14"/>
      <c r="O2822" s="22"/>
      <c r="P2822" s="22"/>
      <c r="Q2822" s="23"/>
      <c r="R2822" s="23"/>
      <c r="S2822" s="14"/>
    </row>
    <row r="2823" ht="18.75" customHeight="1">
      <c r="A2823" s="7" t="s">
        <v>1763</v>
      </c>
      <c r="B2823" s="7" t="s">
        <v>3883</v>
      </c>
      <c r="C2823" s="9">
        <v>255181.0</v>
      </c>
      <c r="D2823" s="9">
        <v>200359.0</v>
      </c>
      <c r="E2823" s="9">
        <v>165.0</v>
      </c>
      <c r="F2823" s="7" t="s">
        <v>1764</v>
      </c>
      <c r="G2823" s="7" t="s">
        <v>358</v>
      </c>
      <c r="H2823" s="7" t="s">
        <v>466</v>
      </c>
      <c r="I2823" s="7" t="s">
        <v>355</v>
      </c>
      <c r="J2823" s="14"/>
      <c r="O2823" s="22"/>
      <c r="P2823" s="22"/>
      <c r="Q2823" s="23"/>
      <c r="R2823" s="23"/>
      <c r="S2823" s="14"/>
    </row>
    <row r="2824" ht="18.75" customHeight="1">
      <c r="A2824" s="7" t="s">
        <v>1831</v>
      </c>
      <c r="B2824" s="7" t="s">
        <v>3883</v>
      </c>
      <c r="C2824" s="9">
        <v>742347.0</v>
      </c>
      <c r="D2824" s="9">
        <v>0.0</v>
      </c>
      <c r="E2824" s="9">
        <v>29083.0</v>
      </c>
      <c r="F2824" s="7" t="s">
        <v>1832</v>
      </c>
      <c r="G2824" s="7" t="s">
        <v>358</v>
      </c>
      <c r="H2824" s="7" t="s">
        <v>1665</v>
      </c>
      <c r="I2824" s="7" t="s">
        <v>410</v>
      </c>
      <c r="J2824" s="14"/>
      <c r="O2824" s="22"/>
      <c r="P2824" s="22"/>
      <c r="Q2824" s="23"/>
      <c r="R2824" s="23"/>
      <c r="S2824" s="14"/>
    </row>
    <row r="2825" ht="18.75" customHeight="1">
      <c r="A2825" s="7" t="s">
        <v>1523</v>
      </c>
      <c r="B2825" s="7" t="s">
        <v>3883</v>
      </c>
      <c r="C2825" s="9">
        <v>1100496.0</v>
      </c>
      <c r="D2825" s="9">
        <v>562932.0</v>
      </c>
      <c r="E2825" s="9">
        <v>1332.0</v>
      </c>
      <c r="F2825" s="7" t="s">
        <v>1524</v>
      </c>
      <c r="G2825" s="7" t="s">
        <v>364</v>
      </c>
      <c r="H2825" s="7" t="s">
        <v>365</v>
      </c>
      <c r="I2825" s="7" t="s">
        <v>410</v>
      </c>
      <c r="J2825" s="14"/>
      <c r="O2825" s="22"/>
      <c r="P2825" s="22"/>
      <c r="Q2825" s="23"/>
      <c r="R2825" s="23"/>
      <c r="S2825" s="14"/>
    </row>
    <row r="2826" ht="18.75" customHeight="1">
      <c r="A2826" s="7" t="s">
        <v>1523</v>
      </c>
      <c r="B2826" s="7" t="s">
        <v>3883</v>
      </c>
      <c r="C2826" s="9">
        <v>19611.0</v>
      </c>
      <c r="D2826" s="9">
        <v>12796.0</v>
      </c>
      <c r="E2826" s="9">
        <v>17.0</v>
      </c>
      <c r="F2826" s="7" t="s">
        <v>1524</v>
      </c>
      <c r="G2826" s="7" t="s">
        <v>364</v>
      </c>
      <c r="H2826" s="7" t="s">
        <v>365</v>
      </c>
      <c r="I2826" s="7" t="s">
        <v>410</v>
      </c>
      <c r="J2826" s="14"/>
      <c r="O2826" s="22"/>
      <c r="P2826" s="22"/>
      <c r="Q2826" s="23"/>
      <c r="R2826" s="23"/>
      <c r="S2826" s="14"/>
    </row>
    <row r="2827" ht="18.75" customHeight="1">
      <c r="A2827" s="7" t="s">
        <v>1523</v>
      </c>
      <c r="B2827" s="7" t="s">
        <v>3883</v>
      </c>
      <c r="C2827" s="9">
        <v>390659.0</v>
      </c>
      <c r="D2827" s="9">
        <v>29958.0</v>
      </c>
      <c r="E2827" s="9">
        <v>463.0</v>
      </c>
      <c r="F2827" s="7" t="s">
        <v>1524</v>
      </c>
      <c r="G2827" s="7" t="s">
        <v>364</v>
      </c>
      <c r="H2827" s="7" t="s">
        <v>365</v>
      </c>
      <c r="I2827" s="7" t="s">
        <v>410</v>
      </c>
      <c r="J2827" s="14"/>
      <c r="O2827" s="22"/>
      <c r="P2827" s="22"/>
      <c r="Q2827" s="23"/>
      <c r="R2827" s="23"/>
      <c r="S2827" s="14"/>
    </row>
    <row r="2828" ht="18.75" customHeight="1">
      <c r="A2828" s="7" t="s">
        <v>1523</v>
      </c>
      <c r="B2828" s="7" t="s">
        <v>3883</v>
      </c>
      <c r="C2828" s="9">
        <v>348213.0</v>
      </c>
      <c r="D2828" s="9">
        <v>261972.0</v>
      </c>
      <c r="E2828" s="9">
        <v>50.0</v>
      </c>
      <c r="F2828" s="7" t="s">
        <v>1524</v>
      </c>
      <c r="G2828" s="7" t="s">
        <v>364</v>
      </c>
      <c r="H2828" s="7" t="s">
        <v>365</v>
      </c>
      <c r="I2828" s="7" t="s">
        <v>410</v>
      </c>
      <c r="J2828" s="14"/>
      <c r="O2828" s="22"/>
      <c r="P2828" s="22"/>
      <c r="Q2828" s="23"/>
      <c r="R2828" s="23"/>
      <c r="S2828" s="14"/>
    </row>
    <row r="2829" ht="18.75" customHeight="1">
      <c r="A2829" s="7" t="s">
        <v>1523</v>
      </c>
      <c r="B2829" s="7" t="s">
        <v>3883</v>
      </c>
      <c r="C2829" s="9">
        <v>248569.0</v>
      </c>
      <c r="D2829" s="9">
        <v>192865.0</v>
      </c>
      <c r="E2829" s="9">
        <v>196.0</v>
      </c>
      <c r="F2829" s="7" t="s">
        <v>1524</v>
      </c>
      <c r="G2829" s="7" t="s">
        <v>364</v>
      </c>
      <c r="H2829" s="7" t="s">
        <v>365</v>
      </c>
      <c r="I2829" s="7" t="s">
        <v>410</v>
      </c>
      <c r="J2829" s="14"/>
      <c r="O2829" s="22"/>
      <c r="P2829" s="22"/>
      <c r="Q2829" s="23"/>
      <c r="R2829" s="23"/>
      <c r="S2829" s="14"/>
    </row>
    <row r="2830" ht="18.75" customHeight="1">
      <c r="A2830" s="7" t="s">
        <v>1523</v>
      </c>
      <c r="B2830" s="7" t="s">
        <v>3883</v>
      </c>
      <c r="C2830" s="9">
        <v>266999.0</v>
      </c>
      <c r="D2830" s="9">
        <v>39443.0</v>
      </c>
      <c r="E2830" s="9">
        <v>546.0</v>
      </c>
      <c r="F2830" s="7" t="s">
        <v>1524</v>
      </c>
      <c r="G2830" s="7" t="s">
        <v>364</v>
      </c>
      <c r="H2830" s="7" t="s">
        <v>365</v>
      </c>
      <c r="I2830" s="7" t="s">
        <v>410</v>
      </c>
      <c r="J2830" s="14"/>
      <c r="O2830" s="22"/>
      <c r="P2830" s="22"/>
      <c r="Q2830" s="23"/>
      <c r="R2830" s="23"/>
      <c r="S2830" s="14"/>
    </row>
    <row r="2831" ht="18.75" customHeight="1">
      <c r="A2831" s="7" t="s">
        <v>1523</v>
      </c>
      <c r="B2831" s="7" t="s">
        <v>3883</v>
      </c>
      <c r="C2831" s="9">
        <v>36229.0</v>
      </c>
      <c r="D2831" s="9">
        <v>34387.0</v>
      </c>
      <c r="E2831" s="9">
        <v>5.0</v>
      </c>
      <c r="F2831" s="7" t="s">
        <v>1524</v>
      </c>
      <c r="G2831" s="7" t="s">
        <v>364</v>
      </c>
      <c r="H2831" s="7" t="s">
        <v>365</v>
      </c>
      <c r="I2831" s="7" t="s">
        <v>410</v>
      </c>
      <c r="J2831" s="14"/>
      <c r="O2831" s="22"/>
      <c r="P2831" s="22"/>
      <c r="Q2831" s="23"/>
      <c r="R2831" s="23"/>
      <c r="S2831" s="14"/>
    </row>
    <row r="2832" ht="18.75" customHeight="1">
      <c r="A2832" s="7" t="s">
        <v>1691</v>
      </c>
      <c r="B2832" s="7" t="s">
        <v>3883</v>
      </c>
      <c r="C2832" s="9">
        <v>1919523.0</v>
      </c>
      <c r="D2832" s="9">
        <v>1485279.0</v>
      </c>
      <c r="E2832" s="9">
        <v>2046.0</v>
      </c>
      <c r="F2832" s="7" t="s">
        <v>1692</v>
      </c>
      <c r="G2832" s="7" t="s">
        <v>364</v>
      </c>
      <c r="H2832" s="7" t="s">
        <v>365</v>
      </c>
      <c r="I2832" s="7" t="s">
        <v>355</v>
      </c>
      <c r="J2832" s="14"/>
      <c r="O2832" s="22"/>
      <c r="P2832" s="22"/>
      <c r="Q2832" s="23"/>
      <c r="R2832" s="23"/>
      <c r="S2832" s="14"/>
    </row>
    <row r="2833" ht="18.75" customHeight="1">
      <c r="A2833" s="7" t="s">
        <v>1705</v>
      </c>
      <c r="B2833" s="7" t="s">
        <v>3883</v>
      </c>
      <c r="C2833" s="9">
        <v>281940.0</v>
      </c>
      <c r="D2833" s="9">
        <v>219138.0</v>
      </c>
      <c r="E2833" s="9">
        <v>231.0</v>
      </c>
      <c r="F2833" s="7" t="s">
        <v>1706</v>
      </c>
      <c r="G2833" s="7" t="s">
        <v>364</v>
      </c>
      <c r="H2833" s="7" t="s">
        <v>365</v>
      </c>
      <c r="I2833" s="7" t="s">
        <v>355</v>
      </c>
      <c r="J2833" s="14"/>
      <c r="O2833" s="22"/>
      <c r="P2833" s="22"/>
      <c r="Q2833" s="23"/>
      <c r="R2833" s="23"/>
      <c r="S2833" s="14"/>
    </row>
    <row r="2834" ht="18.75" customHeight="1">
      <c r="A2834" s="7" t="s">
        <v>856</v>
      </c>
      <c r="B2834" s="7" t="s">
        <v>3883</v>
      </c>
      <c r="C2834" s="9">
        <v>158588.0</v>
      </c>
      <c r="D2834" s="9">
        <v>0.0</v>
      </c>
      <c r="E2834" s="9">
        <v>5452.0</v>
      </c>
      <c r="F2834" s="7" t="s">
        <v>857</v>
      </c>
      <c r="G2834" s="7" t="s">
        <v>364</v>
      </c>
      <c r="H2834" s="7" t="s">
        <v>365</v>
      </c>
      <c r="I2834" s="7" t="s">
        <v>355</v>
      </c>
      <c r="J2834" s="14"/>
      <c r="O2834" s="22"/>
      <c r="P2834" s="22"/>
      <c r="Q2834" s="23"/>
      <c r="R2834" s="23"/>
      <c r="S2834" s="14"/>
    </row>
    <row r="2835" ht="18.75" customHeight="1">
      <c r="A2835" s="7" t="s">
        <v>856</v>
      </c>
      <c r="B2835" s="7" t="s">
        <v>3883</v>
      </c>
      <c r="C2835" s="9">
        <v>108445.0</v>
      </c>
      <c r="D2835" s="9">
        <v>94387.0</v>
      </c>
      <c r="E2835" s="9">
        <v>203.0</v>
      </c>
      <c r="F2835" s="7" t="s">
        <v>857</v>
      </c>
      <c r="G2835" s="7" t="s">
        <v>364</v>
      </c>
      <c r="H2835" s="7" t="s">
        <v>365</v>
      </c>
      <c r="I2835" s="7" t="s">
        <v>355</v>
      </c>
      <c r="J2835" s="14"/>
      <c r="O2835" s="22"/>
      <c r="P2835" s="22"/>
      <c r="Q2835" s="23"/>
      <c r="R2835" s="23"/>
      <c r="S2835" s="14"/>
    </row>
    <row r="2836" ht="18.75" customHeight="1">
      <c r="A2836" s="7" t="s">
        <v>1497</v>
      </c>
      <c r="B2836" s="7" t="s">
        <v>3883</v>
      </c>
      <c r="C2836" s="9">
        <v>126570.0</v>
      </c>
      <c r="D2836" s="9">
        <v>110045.0</v>
      </c>
      <c r="E2836" s="9">
        <v>137.0</v>
      </c>
      <c r="F2836" s="7" t="s">
        <v>1498</v>
      </c>
      <c r="G2836" s="7" t="s">
        <v>404</v>
      </c>
      <c r="H2836" s="7" t="s">
        <v>405</v>
      </c>
      <c r="I2836" s="7" t="s">
        <v>410</v>
      </c>
      <c r="J2836" s="14"/>
      <c r="O2836" s="22"/>
      <c r="P2836" s="22"/>
      <c r="Q2836" s="23"/>
      <c r="R2836" s="23"/>
      <c r="S2836" s="14"/>
    </row>
    <row r="2837" ht="18.75" customHeight="1">
      <c r="A2837" s="7" t="s">
        <v>1497</v>
      </c>
      <c r="B2837" s="7" t="s">
        <v>3883</v>
      </c>
      <c r="C2837" s="9">
        <v>237746.0</v>
      </c>
      <c r="D2837" s="9">
        <v>19786.0</v>
      </c>
      <c r="E2837" s="9">
        <v>545.0</v>
      </c>
      <c r="F2837" s="7" t="s">
        <v>1498</v>
      </c>
      <c r="G2837" s="7" t="s">
        <v>404</v>
      </c>
      <c r="H2837" s="7" t="s">
        <v>405</v>
      </c>
      <c r="I2837" s="7" t="s">
        <v>410</v>
      </c>
      <c r="J2837" s="14"/>
      <c r="O2837" s="22"/>
      <c r="P2837" s="22"/>
      <c r="Q2837" s="23"/>
      <c r="R2837" s="23"/>
      <c r="S2837" s="14"/>
    </row>
    <row r="2838" ht="18.75" customHeight="1">
      <c r="A2838" s="7" t="s">
        <v>1497</v>
      </c>
      <c r="B2838" s="7" t="s">
        <v>3883</v>
      </c>
      <c r="C2838" s="9">
        <v>222395.0</v>
      </c>
      <c r="D2838" s="9">
        <v>195036.0</v>
      </c>
      <c r="E2838" s="9">
        <v>70.0</v>
      </c>
      <c r="F2838" s="7" t="s">
        <v>1498</v>
      </c>
      <c r="G2838" s="7" t="s">
        <v>404</v>
      </c>
      <c r="H2838" s="7" t="s">
        <v>405</v>
      </c>
      <c r="I2838" s="7" t="s">
        <v>410</v>
      </c>
      <c r="J2838" s="14"/>
      <c r="O2838" s="22"/>
      <c r="P2838" s="22"/>
      <c r="Q2838" s="23"/>
      <c r="R2838" s="23"/>
      <c r="S2838" s="14"/>
    </row>
    <row r="2839" ht="18.75" customHeight="1">
      <c r="A2839" s="7" t="s">
        <v>1497</v>
      </c>
      <c r="B2839" s="7" t="s">
        <v>3883</v>
      </c>
      <c r="C2839" s="9">
        <v>84267.0</v>
      </c>
      <c r="D2839" s="9">
        <v>0.0</v>
      </c>
      <c r="E2839" s="9">
        <v>7009.0</v>
      </c>
      <c r="F2839" s="7" t="s">
        <v>1498</v>
      </c>
      <c r="G2839" s="7" t="s">
        <v>404</v>
      </c>
      <c r="H2839" s="7" t="s">
        <v>405</v>
      </c>
      <c r="I2839" s="7" t="s">
        <v>410</v>
      </c>
      <c r="J2839" s="14"/>
      <c r="O2839" s="22"/>
      <c r="P2839" s="22"/>
      <c r="Q2839" s="23"/>
      <c r="R2839" s="23"/>
      <c r="S2839" s="14"/>
    </row>
    <row r="2840" ht="18.75" customHeight="1">
      <c r="A2840" s="7" t="s">
        <v>1497</v>
      </c>
      <c r="B2840" s="7" t="s">
        <v>3883</v>
      </c>
      <c r="C2840" s="9">
        <v>440319.0</v>
      </c>
      <c r="D2840" s="9">
        <v>0.0</v>
      </c>
      <c r="E2840" s="9">
        <v>10575.0</v>
      </c>
      <c r="F2840" s="7" t="s">
        <v>1498</v>
      </c>
      <c r="G2840" s="7" t="s">
        <v>404</v>
      </c>
      <c r="H2840" s="7" t="s">
        <v>405</v>
      </c>
      <c r="I2840" s="7" t="s">
        <v>410</v>
      </c>
      <c r="J2840" s="14"/>
      <c r="O2840" s="22"/>
      <c r="P2840" s="22"/>
      <c r="Q2840" s="23"/>
      <c r="R2840" s="23"/>
      <c r="S2840" s="14"/>
    </row>
    <row r="2841" ht="18.75" customHeight="1">
      <c r="A2841" s="7" t="s">
        <v>1505</v>
      </c>
      <c r="B2841" s="7" t="s">
        <v>3883</v>
      </c>
      <c r="C2841" s="9">
        <v>2793541.0</v>
      </c>
      <c r="D2841" s="9">
        <v>0.0</v>
      </c>
      <c r="E2841" s="9">
        <v>72697.0</v>
      </c>
      <c r="F2841" s="7" t="s">
        <v>1506</v>
      </c>
      <c r="G2841" s="7" t="s">
        <v>404</v>
      </c>
      <c r="H2841" s="7" t="s">
        <v>405</v>
      </c>
      <c r="I2841" s="7" t="s">
        <v>410</v>
      </c>
      <c r="J2841" s="14"/>
      <c r="O2841" s="22"/>
      <c r="P2841" s="22"/>
      <c r="Q2841" s="23"/>
      <c r="R2841" s="23"/>
      <c r="S2841" s="14"/>
    </row>
    <row r="2842" ht="18.75" customHeight="1">
      <c r="A2842" s="7" t="s">
        <v>1505</v>
      </c>
      <c r="B2842" s="7" t="s">
        <v>3883</v>
      </c>
      <c r="C2842" s="9">
        <v>1012037.0</v>
      </c>
      <c r="D2842" s="9">
        <v>831426.0</v>
      </c>
      <c r="E2842" s="9">
        <v>762.0</v>
      </c>
      <c r="F2842" s="7" t="s">
        <v>1506</v>
      </c>
      <c r="G2842" s="7" t="s">
        <v>404</v>
      </c>
      <c r="H2842" s="7" t="s">
        <v>405</v>
      </c>
      <c r="I2842" s="7" t="s">
        <v>410</v>
      </c>
      <c r="J2842" s="14"/>
      <c r="O2842" s="22"/>
      <c r="P2842" s="22"/>
      <c r="Q2842" s="23"/>
      <c r="R2842" s="23"/>
      <c r="S2842" s="14"/>
    </row>
    <row r="2843" ht="18.75" customHeight="1">
      <c r="A2843" s="7" t="s">
        <v>1505</v>
      </c>
      <c r="B2843" s="7" t="s">
        <v>3883</v>
      </c>
      <c r="C2843" s="9">
        <v>324797.0</v>
      </c>
      <c r="D2843" s="9">
        <v>212598.0</v>
      </c>
      <c r="E2843" s="9">
        <v>549.0</v>
      </c>
      <c r="F2843" s="7" t="s">
        <v>1506</v>
      </c>
      <c r="G2843" s="7" t="s">
        <v>404</v>
      </c>
      <c r="H2843" s="7" t="s">
        <v>405</v>
      </c>
      <c r="I2843" s="7" t="s">
        <v>410</v>
      </c>
      <c r="J2843" s="14"/>
      <c r="O2843" s="22"/>
      <c r="P2843" s="22"/>
      <c r="Q2843" s="23"/>
      <c r="R2843" s="23"/>
      <c r="S2843" s="14"/>
    </row>
    <row r="2844" ht="18.75" customHeight="1">
      <c r="A2844" s="7" t="s">
        <v>1507</v>
      </c>
      <c r="B2844" s="7" t="s">
        <v>3883</v>
      </c>
      <c r="C2844" s="9">
        <v>140980.0</v>
      </c>
      <c r="D2844" s="9">
        <v>109291.0</v>
      </c>
      <c r="E2844" s="9">
        <v>332.0</v>
      </c>
      <c r="F2844" s="7" t="s">
        <v>1508</v>
      </c>
      <c r="G2844" s="7" t="s">
        <v>404</v>
      </c>
      <c r="H2844" s="7" t="s">
        <v>405</v>
      </c>
      <c r="I2844" s="7" t="s">
        <v>410</v>
      </c>
      <c r="J2844" s="14"/>
      <c r="O2844" s="22"/>
      <c r="P2844" s="22"/>
      <c r="Q2844" s="23"/>
      <c r="R2844" s="23"/>
      <c r="S2844" s="14"/>
    </row>
    <row r="2845" ht="18.75" customHeight="1">
      <c r="A2845" s="7" t="s">
        <v>1507</v>
      </c>
      <c r="B2845" s="7" t="s">
        <v>3883</v>
      </c>
      <c r="C2845" s="9">
        <v>6476.0</v>
      </c>
      <c r="D2845" s="9">
        <v>270.0</v>
      </c>
      <c r="E2845" s="9">
        <v>9.0</v>
      </c>
      <c r="F2845" s="7" t="s">
        <v>1508</v>
      </c>
      <c r="G2845" s="7" t="s">
        <v>404</v>
      </c>
      <c r="H2845" s="7" t="s">
        <v>405</v>
      </c>
      <c r="I2845" s="7" t="s">
        <v>410</v>
      </c>
      <c r="J2845" s="14"/>
      <c r="O2845" s="22"/>
      <c r="P2845" s="22"/>
      <c r="Q2845" s="23"/>
      <c r="R2845" s="23"/>
      <c r="S2845" s="14"/>
    </row>
    <row r="2846" ht="18.75" customHeight="1">
      <c r="A2846" s="7" t="s">
        <v>1507</v>
      </c>
      <c r="B2846" s="7" t="s">
        <v>3883</v>
      </c>
      <c r="C2846" s="9">
        <v>162115.0</v>
      </c>
      <c r="D2846" s="9">
        <v>0.0</v>
      </c>
      <c r="E2846" s="9">
        <v>8284.0</v>
      </c>
      <c r="F2846" s="7" t="s">
        <v>1508</v>
      </c>
      <c r="G2846" s="7" t="s">
        <v>404</v>
      </c>
      <c r="H2846" s="7" t="s">
        <v>405</v>
      </c>
      <c r="I2846" s="7" t="s">
        <v>410</v>
      </c>
      <c r="J2846" s="14"/>
      <c r="O2846" s="22"/>
      <c r="P2846" s="22"/>
      <c r="Q2846" s="23"/>
      <c r="R2846" s="23"/>
      <c r="S2846" s="14"/>
    </row>
    <row r="2847" ht="18.75" customHeight="1">
      <c r="A2847" s="7" t="s">
        <v>1507</v>
      </c>
      <c r="B2847" s="7" t="s">
        <v>3883</v>
      </c>
      <c r="C2847" s="9">
        <v>2371.0</v>
      </c>
      <c r="D2847" s="9">
        <v>164.0</v>
      </c>
      <c r="E2847" s="9">
        <v>0.0</v>
      </c>
      <c r="F2847" s="7" t="s">
        <v>1508</v>
      </c>
      <c r="G2847" s="7" t="s">
        <v>404</v>
      </c>
      <c r="H2847" s="7" t="s">
        <v>405</v>
      </c>
      <c r="I2847" s="7" t="s">
        <v>410</v>
      </c>
      <c r="J2847" s="14"/>
      <c r="O2847" s="22"/>
      <c r="P2847" s="22"/>
      <c r="Q2847" s="23"/>
      <c r="R2847" s="23"/>
      <c r="S2847" s="14"/>
    </row>
    <row r="2848" ht="18.75" customHeight="1">
      <c r="A2848" s="7" t="s">
        <v>1507</v>
      </c>
      <c r="B2848" s="7" t="s">
        <v>3883</v>
      </c>
      <c r="C2848" s="9">
        <v>33770.0</v>
      </c>
      <c r="D2848" s="9">
        <v>14294.0</v>
      </c>
      <c r="E2848" s="9">
        <v>31.0</v>
      </c>
      <c r="F2848" s="7" t="s">
        <v>1508</v>
      </c>
      <c r="G2848" s="7" t="s">
        <v>404</v>
      </c>
      <c r="H2848" s="7" t="s">
        <v>405</v>
      </c>
      <c r="I2848" s="7" t="s">
        <v>410</v>
      </c>
      <c r="J2848" s="14"/>
      <c r="O2848" s="22"/>
      <c r="P2848" s="22"/>
      <c r="Q2848" s="23"/>
      <c r="R2848" s="23"/>
      <c r="S2848" s="14"/>
    </row>
    <row r="2849" ht="18.75" customHeight="1">
      <c r="A2849" s="7" t="s">
        <v>1507</v>
      </c>
      <c r="B2849" s="7" t="s">
        <v>3883</v>
      </c>
      <c r="C2849" s="9">
        <v>0.0</v>
      </c>
      <c r="D2849" s="9">
        <v>0.0</v>
      </c>
      <c r="E2849" s="9">
        <v>0.0</v>
      </c>
      <c r="F2849" s="7" t="s">
        <v>1508</v>
      </c>
      <c r="G2849" s="7" t="s">
        <v>404</v>
      </c>
      <c r="H2849" s="7" t="s">
        <v>405</v>
      </c>
      <c r="I2849" s="7" t="s">
        <v>410</v>
      </c>
      <c r="J2849" s="14"/>
      <c r="O2849" s="22"/>
      <c r="P2849" s="22"/>
      <c r="Q2849" s="23"/>
      <c r="R2849" s="23"/>
      <c r="S2849" s="14"/>
    </row>
    <row r="2850" ht="18.75" customHeight="1">
      <c r="A2850" s="7" t="s">
        <v>1507</v>
      </c>
      <c r="B2850" s="7" t="s">
        <v>3883</v>
      </c>
      <c r="C2850" s="9">
        <v>0.0</v>
      </c>
      <c r="D2850" s="9">
        <v>0.0</v>
      </c>
      <c r="E2850" s="9">
        <v>0.0</v>
      </c>
      <c r="F2850" s="7" t="s">
        <v>1508</v>
      </c>
      <c r="G2850" s="7" t="s">
        <v>404</v>
      </c>
      <c r="H2850" s="7" t="s">
        <v>405</v>
      </c>
      <c r="I2850" s="7" t="s">
        <v>410</v>
      </c>
      <c r="J2850" s="14"/>
      <c r="O2850" s="22"/>
      <c r="P2850" s="22"/>
      <c r="Q2850" s="23"/>
      <c r="R2850" s="23"/>
      <c r="S2850" s="14"/>
    </row>
    <row r="2851" ht="18.75" customHeight="1">
      <c r="A2851" s="7" t="s">
        <v>1507</v>
      </c>
      <c r="B2851" s="7" t="s">
        <v>3883</v>
      </c>
      <c r="C2851" s="9">
        <v>64536.0</v>
      </c>
      <c r="D2851" s="9">
        <v>55343.0</v>
      </c>
      <c r="E2851" s="9">
        <v>14.0</v>
      </c>
      <c r="F2851" s="7" t="s">
        <v>1508</v>
      </c>
      <c r="G2851" s="7" t="s">
        <v>404</v>
      </c>
      <c r="H2851" s="7" t="s">
        <v>405</v>
      </c>
      <c r="I2851" s="7" t="s">
        <v>410</v>
      </c>
      <c r="J2851" s="14"/>
      <c r="O2851" s="22"/>
      <c r="P2851" s="22"/>
      <c r="Q2851" s="23"/>
      <c r="R2851" s="23"/>
      <c r="S2851" s="14"/>
    </row>
    <row r="2852" ht="18.75" customHeight="1">
      <c r="A2852" s="7" t="s">
        <v>1507</v>
      </c>
      <c r="B2852" s="7" t="s">
        <v>3883</v>
      </c>
      <c r="C2852" s="9">
        <v>175690.0</v>
      </c>
      <c r="D2852" s="9">
        <v>0.0</v>
      </c>
      <c r="E2852" s="9">
        <v>6197.0</v>
      </c>
      <c r="F2852" s="7" t="s">
        <v>1508</v>
      </c>
      <c r="G2852" s="7" t="s">
        <v>404</v>
      </c>
      <c r="H2852" s="7" t="s">
        <v>405</v>
      </c>
      <c r="I2852" s="7" t="s">
        <v>410</v>
      </c>
      <c r="J2852" s="14"/>
      <c r="O2852" s="22"/>
      <c r="P2852" s="22"/>
      <c r="Q2852" s="23"/>
      <c r="R2852" s="23"/>
      <c r="S2852" s="14"/>
    </row>
    <row r="2853" ht="18.75" customHeight="1">
      <c r="A2853" s="7" t="s">
        <v>1555</v>
      </c>
      <c r="B2853" s="7" t="s">
        <v>3883</v>
      </c>
      <c r="C2853" s="9">
        <v>313132.0</v>
      </c>
      <c r="D2853" s="9">
        <v>267719.0</v>
      </c>
      <c r="E2853" s="9">
        <v>336.0</v>
      </c>
      <c r="F2853" s="7" t="s">
        <v>1556</v>
      </c>
      <c r="G2853" s="7" t="s">
        <v>404</v>
      </c>
      <c r="H2853" s="7" t="s">
        <v>760</v>
      </c>
      <c r="I2853" s="7" t="s">
        <v>355</v>
      </c>
      <c r="J2853" s="14"/>
      <c r="O2853" s="22"/>
      <c r="P2853" s="22"/>
      <c r="Q2853" s="23"/>
      <c r="R2853" s="23"/>
      <c r="S2853" s="14"/>
    </row>
    <row r="2854" ht="18.75" customHeight="1">
      <c r="A2854" s="7" t="s">
        <v>1555</v>
      </c>
      <c r="B2854" s="7" t="s">
        <v>3883</v>
      </c>
      <c r="C2854" s="9">
        <v>528749.0</v>
      </c>
      <c r="D2854" s="9">
        <v>32719.0</v>
      </c>
      <c r="E2854" s="9">
        <v>736.0</v>
      </c>
      <c r="F2854" s="7" t="s">
        <v>1556</v>
      </c>
      <c r="G2854" s="7" t="s">
        <v>404</v>
      </c>
      <c r="H2854" s="7" t="s">
        <v>760</v>
      </c>
      <c r="I2854" s="7" t="s">
        <v>355</v>
      </c>
      <c r="J2854" s="14"/>
      <c r="O2854" s="22"/>
      <c r="P2854" s="22"/>
      <c r="Q2854" s="23"/>
      <c r="R2854" s="23"/>
      <c r="S2854" s="14"/>
    </row>
    <row r="2855" ht="18.75" customHeight="1">
      <c r="A2855" s="7" t="s">
        <v>1555</v>
      </c>
      <c r="B2855" s="7" t="s">
        <v>3883</v>
      </c>
      <c r="C2855" s="9">
        <v>591721.0</v>
      </c>
      <c r="D2855" s="9">
        <v>537632.0</v>
      </c>
      <c r="E2855" s="9">
        <v>191.0</v>
      </c>
      <c r="F2855" s="7" t="s">
        <v>1556</v>
      </c>
      <c r="G2855" s="7" t="s">
        <v>404</v>
      </c>
      <c r="H2855" s="7" t="s">
        <v>760</v>
      </c>
      <c r="I2855" s="7" t="s">
        <v>355</v>
      </c>
      <c r="J2855" s="14"/>
      <c r="O2855" s="22"/>
      <c r="P2855" s="22"/>
      <c r="Q2855" s="23"/>
      <c r="R2855" s="23"/>
      <c r="S2855" s="14"/>
    </row>
    <row r="2856" ht="18.75" customHeight="1">
      <c r="A2856" s="7" t="s">
        <v>1555</v>
      </c>
      <c r="B2856" s="7" t="s">
        <v>3883</v>
      </c>
      <c r="C2856" s="9">
        <v>700133.0</v>
      </c>
      <c r="D2856" s="9">
        <v>0.0</v>
      </c>
      <c r="E2856" s="9">
        <v>10624.0</v>
      </c>
      <c r="F2856" s="7" t="s">
        <v>1556</v>
      </c>
      <c r="G2856" s="7" t="s">
        <v>404</v>
      </c>
      <c r="H2856" s="7" t="s">
        <v>760</v>
      </c>
      <c r="I2856" s="7" t="s">
        <v>355</v>
      </c>
      <c r="J2856" s="14"/>
      <c r="O2856" s="22"/>
      <c r="P2856" s="22"/>
      <c r="Q2856" s="23"/>
      <c r="R2856" s="23"/>
      <c r="S2856" s="14"/>
    </row>
    <row r="2857" ht="18.75" customHeight="1">
      <c r="A2857" s="7" t="s">
        <v>1729</v>
      </c>
      <c r="B2857" s="7" t="s">
        <v>3883</v>
      </c>
      <c r="C2857" s="9">
        <v>374368.0</v>
      </c>
      <c r="D2857" s="9">
        <v>0.0</v>
      </c>
      <c r="E2857" s="9">
        <v>14061.0</v>
      </c>
      <c r="F2857" s="7" t="s">
        <v>1730</v>
      </c>
      <c r="G2857" s="7" t="s">
        <v>404</v>
      </c>
      <c r="H2857" s="7" t="s">
        <v>405</v>
      </c>
      <c r="I2857" s="7" t="s">
        <v>355</v>
      </c>
      <c r="J2857" s="14"/>
      <c r="O2857" s="22"/>
      <c r="P2857" s="22"/>
      <c r="Q2857" s="23"/>
      <c r="R2857" s="23"/>
      <c r="S2857" s="14"/>
    </row>
    <row r="2858" ht="18.75" customHeight="1">
      <c r="A2858" s="7" t="s">
        <v>1711</v>
      </c>
      <c r="B2858" s="7" t="s">
        <v>3883</v>
      </c>
      <c r="C2858" s="9">
        <v>380192.0</v>
      </c>
      <c r="D2858" s="9">
        <v>0.0</v>
      </c>
      <c r="E2858" s="9">
        <v>17862.0</v>
      </c>
      <c r="F2858" s="7" t="s">
        <v>1712</v>
      </c>
      <c r="G2858" s="7" t="s">
        <v>404</v>
      </c>
      <c r="H2858" s="7" t="s">
        <v>667</v>
      </c>
      <c r="I2858" s="7" t="s">
        <v>355</v>
      </c>
      <c r="J2858" s="14"/>
      <c r="O2858" s="22"/>
      <c r="P2858" s="22"/>
      <c r="Q2858" s="23"/>
      <c r="R2858" s="23"/>
      <c r="S2858" s="14"/>
    </row>
    <row r="2859" ht="18.75" customHeight="1">
      <c r="A2859" s="7" t="s">
        <v>1811</v>
      </c>
      <c r="B2859" s="7" t="s">
        <v>3883</v>
      </c>
      <c r="C2859" s="9">
        <v>391604.0</v>
      </c>
      <c r="D2859" s="9">
        <v>0.0</v>
      </c>
      <c r="E2859" s="9">
        <v>18924.0</v>
      </c>
      <c r="F2859" s="7" t="s">
        <v>1812</v>
      </c>
      <c r="G2859" s="7" t="s">
        <v>416</v>
      </c>
      <c r="H2859" s="7" t="s">
        <v>405</v>
      </c>
      <c r="I2859" s="7" t="s">
        <v>355</v>
      </c>
      <c r="J2859" s="14"/>
      <c r="O2859" s="22"/>
      <c r="P2859" s="22"/>
      <c r="Q2859" s="23"/>
      <c r="R2859" s="23"/>
      <c r="S2859" s="14"/>
    </row>
    <row r="2860" ht="18.75" customHeight="1">
      <c r="A2860" s="7" t="s">
        <v>1639</v>
      </c>
      <c r="B2860" s="7" t="s">
        <v>3883</v>
      </c>
      <c r="C2860" s="9">
        <v>118838.0</v>
      </c>
      <c r="D2860" s="9">
        <v>100077.0</v>
      </c>
      <c r="E2860" s="9">
        <v>167.0</v>
      </c>
      <c r="F2860" s="7" t="s">
        <v>1640</v>
      </c>
      <c r="G2860" s="7" t="s">
        <v>404</v>
      </c>
      <c r="H2860" s="7" t="s">
        <v>667</v>
      </c>
      <c r="I2860" s="7" t="s">
        <v>355</v>
      </c>
      <c r="J2860" s="14"/>
      <c r="O2860" s="22"/>
      <c r="P2860" s="22"/>
      <c r="Q2860" s="23"/>
      <c r="R2860" s="23"/>
      <c r="S2860" s="14"/>
    </row>
    <row r="2861" ht="18.75" customHeight="1">
      <c r="A2861" s="7" t="s">
        <v>1807</v>
      </c>
      <c r="B2861" s="7" t="s">
        <v>3883</v>
      </c>
      <c r="C2861" s="9">
        <v>164524.0</v>
      </c>
      <c r="D2861" s="9">
        <v>140222.0</v>
      </c>
      <c r="E2861" s="9">
        <v>248.0</v>
      </c>
      <c r="F2861" s="7" t="s">
        <v>1808</v>
      </c>
      <c r="G2861" s="7" t="s">
        <v>353</v>
      </c>
      <c r="H2861" s="7" t="s">
        <v>354</v>
      </c>
      <c r="I2861" s="7" t="s">
        <v>355</v>
      </c>
      <c r="J2861" s="14"/>
      <c r="O2861" s="22"/>
      <c r="P2861" s="22"/>
      <c r="Q2861" s="23"/>
      <c r="R2861" s="23"/>
      <c r="S2861" s="14"/>
    </row>
    <row r="2862" ht="18.75" customHeight="1">
      <c r="A2862" s="7" t="s">
        <v>1723</v>
      </c>
      <c r="B2862" s="7" t="s">
        <v>3883</v>
      </c>
      <c r="C2862" s="9">
        <v>37280.0</v>
      </c>
      <c r="D2862" s="9">
        <v>0.0</v>
      </c>
      <c r="E2862" s="9">
        <v>2255.0</v>
      </c>
      <c r="F2862" s="7" t="s">
        <v>1724</v>
      </c>
      <c r="G2862" s="7" t="s">
        <v>353</v>
      </c>
      <c r="H2862" s="7" t="s">
        <v>413</v>
      </c>
      <c r="I2862" s="7" t="s">
        <v>355</v>
      </c>
      <c r="J2862" s="14"/>
      <c r="O2862" s="22"/>
      <c r="P2862" s="22"/>
      <c r="Q2862" s="23"/>
      <c r="R2862" s="23"/>
      <c r="S2862" s="14"/>
    </row>
    <row r="2863" ht="18.75" customHeight="1">
      <c r="A2863" s="7" t="s">
        <v>1930</v>
      </c>
      <c r="B2863" s="7" t="s">
        <v>3883</v>
      </c>
      <c r="C2863" s="9">
        <v>523659.0</v>
      </c>
      <c r="D2863" s="9">
        <v>0.0</v>
      </c>
      <c r="E2863" s="9">
        <v>10174.0</v>
      </c>
      <c r="F2863" s="7" t="s">
        <v>1931</v>
      </c>
      <c r="G2863" s="7" t="s">
        <v>353</v>
      </c>
      <c r="H2863" s="7" t="s">
        <v>354</v>
      </c>
      <c r="I2863" s="7" t="s">
        <v>355</v>
      </c>
      <c r="J2863" s="14"/>
      <c r="O2863" s="22"/>
      <c r="P2863" s="22"/>
      <c r="Q2863" s="23"/>
      <c r="R2863" s="23"/>
      <c r="S2863" s="14"/>
    </row>
    <row r="2864" ht="18.75" customHeight="1">
      <c r="A2864" s="7" t="s">
        <v>1680</v>
      </c>
      <c r="B2864" s="7" t="s">
        <v>3883</v>
      </c>
      <c r="C2864" s="9">
        <v>194562.0</v>
      </c>
      <c r="D2864" s="9">
        <v>0.0</v>
      </c>
      <c r="E2864" s="9">
        <v>5184.0</v>
      </c>
      <c r="F2864" s="7" t="s">
        <v>1681</v>
      </c>
      <c r="G2864" s="7" t="s">
        <v>353</v>
      </c>
      <c r="H2864" s="7" t="s">
        <v>378</v>
      </c>
      <c r="I2864" s="7" t="s">
        <v>355</v>
      </c>
      <c r="J2864" s="14"/>
      <c r="O2864" s="22"/>
      <c r="P2864" s="22"/>
      <c r="Q2864" s="23"/>
      <c r="R2864" s="23"/>
      <c r="S2864" s="14"/>
    </row>
    <row r="2865" ht="18.75" customHeight="1">
      <c r="A2865" s="7" t="s">
        <v>1946</v>
      </c>
      <c r="B2865" s="7" t="s">
        <v>3883</v>
      </c>
      <c r="C2865" s="9">
        <v>147265.0</v>
      </c>
      <c r="D2865" s="9">
        <v>0.0</v>
      </c>
      <c r="E2865" s="9">
        <v>5086.0</v>
      </c>
      <c r="F2865" s="7" t="s">
        <v>1947</v>
      </c>
      <c r="G2865" s="7" t="s">
        <v>353</v>
      </c>
      <c r="H2865" s="7" t="s">
        <v>378</v>
      </c>
      <c r="I2865" s="7" t="s">
        <v>355</v>
      </c>
      <c r="J2865" s="14"/>
      <c r="O2865" s="22"/>
      <c r="P2865" s="22"/>
      <c r="Q2865" s="23"/>
      <c r="R2865" s="23"/>
      <c r="S2865" s="14"/>
    </row>
    <row r="2866" ht="18.75" customHeight="1">
      <c r="A2866" s="7" t="s">
        <v>3758</v>
      </c>
      <c r="B2866" s="7" t="s">
        <v>3883</v>
      </c>
      <c r="C2866" s="9">
        <v>3984.0</v>
      </c>
      <c r="D2866" s="9">
        <v>2533.0</v>
      </c>
      <c r="E2866" s="9">
        <v>2.0</v>
      </c>
      <c r="F2866" s="7" t="s">
        <v>3899</v>
      </c>
      <c r="G2866" s="7" t="s">
        <v>416</v>
      </c>
      <c r="H2866" s="7" t="s">
        <v>417</v>
      </c>
      <c r="I2866" s="7" t="s">
        <v>3886</v>
      </c>
      <c r="J2866" s="14"/>
      <c r="O2866" s="22"/>
      <c r="P2866" s="22"/>
      <c r="Q2866" s="23"/>
      <c r="R2866" s="23"/>
      <c r="S2866" s="14"/>
    </row>
    <row r="2867" ht="18.75" customHeight="1">
      <c r="A2867" s="7" t="s">
        <v>1837</v>
      </c>
      <c r="B2867" s="7" t="s">
        <v>3883</v>
      </c>
      <c r="C2867" s="9">
        <v>208325.0</v>
      </c>
      <c r="D2867" s="9">
        <v>0.0</v>
      </c>
      <c r="E2867" s="9">
        <v>7492.0</v>
      </c>
      <c r="F2867" s="7" t="s">
        <v>1838</v>
      </c>
      <c r="G2867" s="7" t="s">
        <v>416</v>
      </c>
      <c r="H2867" s="7" t="s">
        <v>417</v>
      </c>
      <c r="I2867" s="7" t="s">
        <v>355</v>
      </c>
      <c r="J2867" s="14"/>
      <c r="O2867" s="22"/>
      <c r="P2867" s="22"/>
      <c r="Q2867" s="23"/>
      <c r="R2867" s="23"/>
      <c r="S2867" s="14"/>
    </row>
    <row r="2868" ht="18.75" customHeight="1">
      <c r="A2868" s="7" t="s">
        <v>1753</v>
      </c>
      <c r="B2868" s="7" t="s">
        <v>3883</v>
      </c>
      <c r="C2868" s="9">
        <v>51809.0</v>
      </c>
      <c r="D2868" s="9">
        <v>0.0</v>
      </c>
      <c r="E2868" s="9">
        <v>2018.0</v>
      </c>
      <c r="F2868" s="7" t="s">
        <v>1754</v>
      </c>
      <c r="G2868" s="7" t="s">
        <v>416</v>
      </c>
      <c r="H2868" s="7" t="s">
        <v>417</v>
      </c>
      <c r="I2868" s="7" t="s">
        <v>355</v>
      </c>
      <c r="J2868" s="14"/>
      <c r="O2868" s="22"/>
      <c r="P2868" s="22"/>
      <c r="Q2868" s="23"/>
      <c r="R2868" s="23"/>
      <c r="S2868" s="14"/>
    </row>
    <row r="2869" ht="18.75" customHeight="1">
      <c r="A2869" s="7" t="s">
        <v>3902</v>
      </c>
      <c r="B2869" s="7" t="s">
        <v>3883</v>
      </c>
      <c r="C2869" s="9">
        <v>284397.0</v>
      </c>
      <c r="D2869" s="9">
        <v>0.0</v>
      </c>
      <c r="E2869" s="9">
        <v>11096.0</v>
      </c>
      <c r="F2869" s="7" t="s">
        <v>3903</v>
      </c>
      <c r="G2869" s="7" t="s">
        <v>416</v>
      </c>
      <c r="H2869" s="7" t="s">
        <v>417</v>
      </c>
      <c r="I2869" s="7" t="s">
        <v>3886</v>
      </c>
      <c r="J2869" s="14"/>
      <c r="O2869" s="22"/>
      <c r="P2869" s="22"/>
      <c r="Q2869" s="23"/>
      <c r="R2869" s="23"/>
      <c r="S2869" s="14"/>
    </row>
    <row r="2870" ht="18.75" customHeight="1">
      <c r="A2870" s="7" t="s">
        <v>1839</v>
      </c>
      <c r="B2870" s="7" t="s">
        <v>3883</v>
      </c>
      <c r="C2870" s="9">
        <v>21402.0</v>
      </c>
      <c r="D2870" s="9">
        <v>0.0</v>
      </c>
      <c r="E2870" s="9">
        <v>773.0</v>
      </c>
      <c r="F2870" s="7" t="s">
        <v>1840</v>
      </c>
      <c r="G2870" s="7" t="s">
        <v>416</v>
      </c>
      <c r="H2870" s="7" t="s">
        <v>417</v>
      </c>
      <c r="I2870" s="7" t="s">
        <v>355</v>
      </c>
      <c r="J2870" s="14"/>
      <c r="O2870" s="22"/>
      <c r="P2870" s="22"/>
      <c r="Q2870" s="23"/>
      <c r="R2870" s="23"/>
      <c r="S2870" s="14"/>
    </row>
    <row r="2871" ht="18.75" customHeight="1">
      <c r="A2871" s="7" t="s">
        <v>1731</v>
      </c>
      <c r="B2871" s="7" t="s">
        <v>3883</v>
      </c>
      <c r="C2871" s="9">
        <v>350520.0</v>
      </c>
      <c r="D2871" s="9">
        <v>249793.0</v>
      </c>
      <c r="E2871" s="9">
        <v>176.0</v>
      </c>
      <c r="F2871" s="7" t="s">
        <v>1732</v>
      </c>
      <c r="G2871" s="7" t="s">
        <v>416</v>
      </c>
      <c r="H2871" s="7" t="s">
        <v>417</v>
      </c>
      <c r="I2871" s="7" t="s">
        <v>355</v>
      </c>
      <c r="J2871" s="14"/>
      <c r="O2871" s="22"/>
      <c r="P2871" s="22"/>
      <c r="Q2871" s="23"/>
      <c r="R2871" s="23"/>
      <c r="S2871" s="14"/>
    </row>
    <row r="2872" ht="18.75" customHeight="1">
      <c r="A2872" s="7" t="s">
        <v>1678</v>
      </c>
      <c r="B2872" s="7" t="s">
        <v>3883</v>
      </c>
      <c r="C2872" s="9">
        <v>260533.0</v>
      </c>
      <c r="D2872" s="9">
        <v>206646.0</v>
      </c>
      <c r="E2872" s="9">
        <v>259.0</v>
      </c>
      <c r="F2872" s="7" t="s">
        <v>1679</v>
      </c>
      <c r="G2872" s="7" t="s">
        <v>416</v>
      </c>
      <c r="H2872" s="7" t="s">
        <v>417</v>
      </c>
      <c r="I2872" s="7" t="s">
        <v>355</v>
      </c>
      <c r="J2872" s="14"/>
      <c r="O2872" s="22"/>
      <c r="P2872" s="22"/>
      <c r="Q2872" s="23"/>
      <c r="R2872" s="23"/>
      <c r="S2872" s="14"/>
    </row>
    <row r="2873" ht="18.75" customHeight="1">
      <c r="A2873" s="7" t="s">
        <v>1757</v>
      </c>
      <c r="B2873" s="7" t="s">
        <v>3883</v>
      </c>
      <c r="C2873" s="9">
        <v>94414.0</v>
      </c>
      <c r="D2873" s="9">
        <v>75982.0</v>
      </c>
      <c r="E2873" s="9">
        <v>190.0</v>
      </c>
      <c r="F2873" s="7" t="s">
        <v>1758</v>
      </c>
      <c r="G2873" s="7" t="s">
        <v>416</v>
      </c>
      <c r="H2873" s="7" t="s">
        <v>417</v>
      </c>
      <c r="I2873" s="7" t="s">
        <v>355</v>
      </c>
      <c r="J2873" s="14"/>
      <c r="O2873" s="22"/>
      <c r="P2873" s="22"/>
      <c r="Q2873" s="23"/>
      <c r="R2873" s="23"/>
      <c r="S2873" s="14"/>
    </row>
    <row r="2874" ht="18.75" customHeight="1">
      <c r="A2874" s="7" t="s">
        <v>1661</v>
      </c>
      <c r="B2874" s="7" t="s">
        <v>3883</v>
      </c>
      <c r="C2874" s="9">
        <v>228862.0</v>
      </c>
      <c r="D2874" s="9">
        <v>178567.0</v>
      </c>
      <c r="E2874" s="9">
        <v>216.0</v>
      </c>
      <c r="F2874" s="7" t="s">
        <v>1662</v>
      </c>
      <c r="G2874" s="7" t="s">
        <v>416</v>
      </c>
      <c r="H2874" s="7" t="s">
        <v>417</v>
      </c>
      <c r="I2874" s="7" t="s">
        <v>355</v>
      </c>
      <c r="J2874" s="14"/>
      <c r="O2874" s="22"/>
      <c r="P2874" s="22"/>
      <c r="Q2874" s="23"/>
      <c r="R2874" s="23"/>
      <c r="S2874" s="14"/>
    </row>
    <row r="2875" ht="18.75" customHeight="1">
      <c r="A2875" s="7" t="s">
        <v>1321</v>
      </c>
      <c r="B2875" s="7" t="s">
        <v>3883</v>
      </c>
      <c r="C2875" s="9">
        <v>88567.0</v>
      </c>
      <c r="D2875" s="9">
        <v>0.0</v>
      </c>
      <c r="E2875" s="9">
        <v>1580.0</v>
      </c>
      <c r="F2875" s="7" t="s">
        <v>1322</v>
      </c>
      <c r="G2875" s="7" t="s">
        <v>416</v>
      </c>
      <c r="H2875" s="7" t="s">
        <v>417</v>
      </c>
      <c r="I2875" s="7" t="s">
        <v>2117</v>
      </c>
      <c r="J2875" s="14"/>
      <c r="O2875" s="22"/>
      <c r="P2875" s="22"/>
      <c r="Q2875" s="23"/>
      <c r="R2875" s="23"/>
      <c r="S2875" s="14"/>
    </row>
    <row r="2876" ht="18.75" customHeight="1">
      <c r="A2876" s="7" t="s">
        <v>1739</v>
      </c>
      <c r="B2876" s="7" t="s">
        <v>3883</v>
      </c>
      <c r="C2876" s="9">
        <v>118906.0</v>
      </c>
      <c r="D2876" s="9">
        <v>91685.0</v>
      </c>
      <c r="E2876" s="9">
        <v>92.0</v>
      </c>
      <c r="F2876" s="7" t="s">
        <v>1740</v>
      </c>
      <c r="G2876" s="7" t="s">
        <v>364</v>
      </c>
      <c r="H2876" s="7" t="s">
        <v>365</v>
      </c>
      <c r="I2876" s="7" t="s">
        <v>355</v>
      </c>
      <c r="J2876" s="14"/>
      <c r="O2876" s="22"/>
      <c r="P2876" s="22"/>
      <c r="Q2876" s="23"/>
      <c r="R2876" s="23"/>
      <c r="S2876" s="14"/>
    </row>
    <row r="2877" ht="18.75" customHeight="1">
      <c r="A2877" s="7" t="s">
        <v>1739</v>
      </c>
      <c r="B2877" s="7" t="s">
        <v>3883</v>
      </c>
      <c r="C2877" s="9">
        <v>146920.0</v>
      </c>
      <c r="D2877" s="9">
        <v>0.0</v>
      </c>
      <c r="E2877" s="9">
        <v>7637.0</v>
      </c>
      <c r="F2877" s="7" t="s">
        <v>1740</v>
      </c>
      <c r="G2877" s="7" t="s">
        <v>364</v>
      </c>
      <c r="H2877" s="7" t="s">
        <v>365</v>
      </c>
      <c r="I2877" s="7" t="s">
        <v>355</v>
      </c>
      <c r="J2877" s="14"/>
      <c r="O2877" s="22"/>
      <c r="P2877" s="22"/>
      <c r="Q2877" s="23"/>
      <c r="R2877" s="23"/>
      <c r="S2877" s="14"/>
    </row>
    <row r="2878" ht="18.75" customHeight="1">
      <c r="A2878" s="7" t="s">
        <v>1743</v>
      </c>
      <c r="B2878" s="7" t="s">
        <v>3883</v>
      </c>
      <c r="C2878" s="9">
        <v>322401.0</v>
      </c>
      <c r="D2878" s="9">
        <v>0.0</v>
      </c>
      <c r="E2878" s="9">
        <v>5652.0</v>
      </c>
      <c r="F2878" s="7" t="s">
        <v>1744</v>
      </c>
      <c r="G2878" s="7" t="s">
        <v>353</v>
      </c>
      <c r="H2878" s="7" t="s">
        <v>354</v>
      </c>
      <c r="I2878" s="7" t="s">
        <v>355</v>
      </c>
      <c r="J2878" s="14"/>
      <c r="O2878" s="22"/>
      <c r="P2878" s="22"/>
      <c r="Q2878" s="23"/>
      <c r="R2878" s="23"/>
      <c r="S2878" s="14"/>
    </row>
    <row r="2879" ht="18.75" customHeight="1">
      <c r="A2879" s="7" t="s">
        <v>1743</v>
      </c>
      <c r="B2879" s="7" t="s">
        <v>3883</v>
      </c>
      <c r="C2879" s="9">
        <v>361986.0</v>
      </c>
      <c r="D2879" s="9">
        <v>0.0</v>
      </c>
      <c r="E2879" s="9">
        <v>5934.0</v>
      </c>
      <c r="F2879" s="7" t="s">
        <v>1744</v>
      </c>
      <c r="G2879" s="7" t="s">
        <v>353</v>
      </c>
      <c r="H2879" s="7" t="s">
        <v>354</v>
      </c>
      <c r="I2879" s="7" t="s">
        <v>355</v>
      </c>
      <c r="J2879" s="14"/>
      <c r="O2879" s="22"/>
      <c r="P2879" s="22"/>
      <c r="Q2879" s="23"/>
      <c r="R2879" s="23"/>
      <c r="S2879" s="14"/>
    </row>
    <row r="2880" ht="18.75" customHeight="1">
      <c r="A2880" s="7" t="s">
        <v>1833</v>
      </c>
      <c r="B2880" s="7" t="s">
        <v>3883</v>
      </c>
      <c r="C2880" s="9">
        <v>480173.0</v>
      </c>
      <c r="D2880" s="9">
        <v>0.0</v>
      </c>
      <c r="E2880" s="9">
        <v>15525.0</v>
      </c>
      <c r="F2880" s="7" t="s">
        <v>1834</v>
      </c>
      <c r="G2880" s="7" t="s">
        <v>404</v>
      </c>
      <c r="H2880" s="7" t="s">
        <v>760</v>
      </c>
      <c r="I2880" s="7" t="s">
        <v>355</v>
      </c>
      <c r="J2880" s="14"/>
      <c r="O2880" s="22"/>
      <c r="P2880" s="22"/>
      <c r="Q2880" s="23"/>
      <c r="R2880" s="23"/>
      <c r="S2880" s="14"/>
    </row>
    <row r="2881" ht="18.75" customHeight="1">
      <c r="A2881" s="7" t="s">
        <v>1863</v>
      </c>
      <c r="B2881" s="7" t="s">
        <v>3883</v>
      </c>
      <c r="C2881" s="9">
        <v>180940.0</v>
      </c>
      <c r="D2881" s="9">
        <v>117793.0</v>
      </c>
      <c r="E2881" s="9">
        <v>267.0</v>
      </c>
      <c r="F2881" s="7" t="s">
        <v>1864</v>
      </c>
      <c r="G2881" s="7" t="s">
        <v>358</v>
      </c>
      <c r="H2881" s="7" t="s">
        <v>466</v>
      </c>
      <c r="I2881" s="7" t="s">
        <v>410</v>
      </c>
      <c r="J2881" s="14"/>
      <c r="O2881" s="22"/>
      <c r="P2881" s="22"/>
      <c r="Q2881" s="23"/>
      <c r="R2881" s="23"/>
      <c r="S2881" s="14"/>
    </row>
    <row r="2882" ht="18.75" customHeight="1">
      <c r="A2882" s="7" t="s">
        <v>1863</v>
      </c>
      <c r="B2882" s="7" t="s">
        <v>3883</v>
      </c>
      <c r="C2882" s="9">
        <v>118888.0</v>
      </c>
      <c r="D2882" s="9">
        <v>7658.0</v>
      </c>
      <c r="E2882" s="9">
        <v>492.0</v>
      </c>
      <c r="F2882" s="7" t="s">
        <v>1864</v>
      </c>
      <c r="G2882" s="7" t="s">
        <v>358</v>
      </c>
      <c r="H2882" s="7" t="s">
        <v>466</v>
      </c>
      <c r="I2882" s="7" t="s">
        <v>410</v>
      </c>
      <c r="J2882" s="14"/>
      <c r="O2882" s="22"/>
      <c r="P2882" s="22"/>
      <c r="Q2882" s="23"/>
      <c r="R2882" s="23"/>
      <c r="S2882" s="14"/>
    </row>
    <row r="2883" ht="18.75" customHeight="1">
      <c r="A2883" s="7" t="s">
        <v>1686</v>
      </c>
      <c r="B2883" s="7" t="s">
        <v>3883</v>
      </c>
      <c r="C2883" s="9">
        <v>2226257.0</v>
      </c>
      <c r="D2883" s="9">
        <v>1692899.0</v>
      </c>
      <c r="E2883" s="9">
        <v>2399.0</v>
      </c>
      <c r="F2883" s="7" t="s">
        <v>1687</v>
      </c>
      <c r="G2883" s="7" t="s">
        <v>364</v>
      </c>
      <c r="H2883" s="7" t="s">
        <v>365</v>
      </c>
      <c r="I2883" s="7" t="s">
        <v>355</v>
      </c>
      <c r="J2883" s="14"/>
      <c r="O2883" s="22"/>
      <c r="P2883" s="22"/>
      <c r="Q2883" s="23"/>
      <c r="R2883" s="23"/>
      <c r="S2883" s="14"/>
    </row>
    <row r="2884" ht="18.75" customHeight="1">
      <c r="A2884" s="7" t="s">
        <v>1401</v>
      </c>
      <c r="B2884" s="7" t="s">
        <v>3883</v>
      </c>
      <c r="C2884" s="9">
        <v>10264.0</v>
      </c>
      <c r="D2884" s="9">
        <v>0.0</v>
      </c>
      <c r="E2884" s="9">
        <v>668.0</v>
      </c>
      <c r="F2884" s="7" t="s">
        <v>1402</v>
      </c>
      <c r="G2884" s="7" t="s">
        <v>358</v>
      </c>
      <c r="H2884" s="7" t="s">
        <v>466</v>
      </c>
      <c r="I2884" s="7" t="s">
        <v>410</v>
      </c>
      <c r="J2884" s="14"/>
      <c r="O2884" s="22"/>
      <c r="P2884" s="22"/>
      <c r="Q2884" s="23"/>
      <c r="R2884" s="23"/>
      <c r="S2884" s="14"/>
    </row>
    <row r="2885" ht="18.75" customHeight="1">
      <c r="A2885" s="7" t="s">
        <v>1401</v>
      </c>
      <c r="B2885" s="7" t="s">
        <v>3883</v>
      </c>
      <c r="C2885" s="9">
        <v>4217647.0</v>
      </c>
      <c r="D2885" s="9">
        <v>0.0</v>
      </c>
      <c r="E2885" s="9">
        <v>109299.0</v>
      </c>
      <c r="F2885" s="7" t="s">
        <v>1402</v>
      </c>
      <c r="G2885" s="7" t="s">
        <v>358</v>
      </c>
      <c r="H2885" s="7" t="s">
        <v>466</v>
      </c>
      <c r="I2885" s="7" t="s">
        <v>410</v>
      </c>
      <c r="J2885" s="14"/>
      <c r="O2885" s="22"/>
      <c r="P2885" s="22"/>
      <c r="Q2885" s="23"/>
      <c r="R2885" s="23"/>
      <c r="S2885" s="14"/>
    </row>
    <row r="2886" ht="18.75" customHeight="1">
      <c r="A2886" s="7" t="s">
        <v>1401</v>
      </c>
      <c r="B2886" s="7" t="s">
        <v>3883</v>
      </c>
      <c r="C2886" s="9">
        <v>1328490.0</v>
      </c>
      <c r="D2886" s="9">
        <v>752357.0</v>
      </c>
      <c r="E2886" s="9">
        <v>1151.0</v>
      </c>
      <c r="F2886" s="7" t="s">
        <v>1402</v>
      </c>
      <c r="G2886" s="7" t="s">
        <v>358</v>
      </c>
      <c r="H2886" s="7" t="s">
        <v>466</v>
      </c>
      <c r="I2886" s="7" t="s">
        <v>410</v>
      </c>
      <c r="J2886" s="14"/>
      <c r="O2886" s="22"/>
      <c r="P2886" s="22"/>
      <c r="Q2886" s="23"/>
      <c r="R2886" s="23"/>
      <c r="S2886" s="14"/>
    </row>
    <row r="2887" ht="18.75" customHeight="1">
      <c r="A2887" s="7" t="s">
        <v>1401</v>
      </c>
      <c r="B2887" s="7" t="s">
        <v>3883</v>
      </c>
      <c r="C2887" s="9">
        <v>2348827.0</v>
      </c>
      <c r="D2887" s="9">
        <v>146608.0</v>
      </c>
      <c r="E2887" s="9">
        <v>3403.0</v>
      </c>
      <c r="F2887" s="7" t="s">
        <v>1402</v>
      </c>
      <c r="G2887" s="7" t="s">
        <v>358</v>
      </c>
      <c r="H2887" s="7" t="s">
        <v>466</v>
      </c>
      <c r="I2887" s="7" t="s">
        <v>410</v>
      </c>
      <c r="J2887" s="14"/>
      <c r="O2887" s="22"/>
      <c r="P2887" s="22"/>
      <c r="Q2887" s="23"/>
      <c r="R2887" s="23"/>
      <c r="S2887" s="14"/>
    </row>
    <row r="2888" ht="18.75" customHeight="1">
      <c r="A2888" s="7" t="s">
        <v>1401</v>
      </c>
      <c r="B2888" s="7" t="s">
        <v>3883</v>
      </c>
      <c r="C2888" s="9">
        <v>3465859.0</v>
      </c>
      <c r="D2888" s="9">
        <v>2150905.0</v>
      </c>
      <c r="E2888" s="9">
        <v>1881.0</v>
      </c>
      <c r="F2888" s="7" t="s">
        <v>1402</v>
      </c>
      <c r="G2888" s="7" t="s">
        <v>358</v>
      </c>
      <c r="H2888" s="7" t="s">
        <v>466</v>
      </c>
      <c r="I2888" s="7" t="s">
        <v>410</v>
      </c>
      <c r="J2888" s="14"/>
      <c r="O2888" s="22"/>
      <c r="P2888" s="22"/>
      <c r="Q2888" s="23"/>
      <c r="R2888" s="23"/>
      <c r="S2888" s="14"/>
    </row>
    <row r="2889" ht="18.75" customHeight="1">
      <c r="A2889" s="7" t="s">
        <v>1401</v>
      </c>
      <c r="B2889" s="7" t="s">
        <v>3883</v>
      </c>
      <c r="C2889" s="9">
        <v>2777414.0</v>
      </c>
      <c r="D2889" s="9">
        <v>0.0</v>
      </c>
      <c r="E2889" s="9">
        <v>3167.0</v>
      </c>
      <c r="F2889" s="7" t="s">
        <v>1402</v>
      </c>
      <c r="G2889" s="7" t="s">
        <v>358</v>
      </c>
      <c r="H2889" s="7" t="s">
        <v>466</v>
      </c>
      <c r="I2889" s="7" t="s">
        <v>410</v>
      </c>
      <c r="J2889" s="14"/>
      <c r="O2889" s="22"/>
      <c r="P2889" s="22"/>
      <c r="Q2889" s="23"/>
      <c r="R2889" s="23"/>
      <c r="S2889" s="14"/>
    </row>
    <row r="2890" ht="18.75" customHeight="1">
      <c r="A2890" s="7" t="s">
        <v>1401</v>
      </c>
      <c r="B2890" s="7" t="s">
        <v>3883</v>
      </c>
      <c r="C2890" s="9">
        <v>1461331.0</v>
      </c>
      <c r="D2890" s="9">
        <v>84256.0</v>
      </c>
      <c r="E2890" s="9">
        <v>288.0</v>
      </c>
      <c r="F2890" s="7" t="s">
        <v>1402</v>
      </c>
      <c r="G2890" s="7" t="s">
        <v>358</v>
      </c>
      <c r="H2890" s="7" t="s">
        <v>466</v>
      </c>
      <c r="I2890" s="7" t="s">
        <v>410</v>
      </c>
      <c r="J2890" s="14"/>
      <c r="O2890" s="22"/>
      <c r="P2890" s="22"/>
      <c r="Q2890" s="23"/>
      <c r="R2890" s="23"/>
      <c r="S2890" s="14"/>
    </row>
    <row r="2891" ht="18.75" customHeight="1">
      <c r="A2891" s="7" t="s">
        <v>1401</v>
      </c>
      <c r="B2891" s="7" t="s">
        <v>3883</v>
      </c>
      <c r="C2891" s="9">
        <v>15439.0</v>
      </c>
      <c r="D2891" s="9">
        <v>6494.0</v>
      </c>
      <c r="E2891" s="9">
        <v>5.0</v>
      </c>
      <c r="F2891" s="7" t="s">
        <v>1402</v>
      </c>
      <c r="G2891" s="7" t="s">
        <v>358</v>
      </c>
      <c r="H2891" s="7" t="s">
        <v>466</v>
      </c>
      <c r="I2891" s="7" t="s">
        <v>410</v>
      </c>
      <c r="J2891" s="14"/>
      <c r="O2891" s="22"/>
      <c r="P2891" s="22"/>
      <c r="Q2891" s="23"/>
      <c r="R2891" s="23"/>
      <c r="S2891" s="14"/>
    </row>
    <row r="2892" ht="18.75" customHeight="1">
      <c r="A2892" s="7" t="s">
        <v>1401</v>
      </c>
      <c r="B2892" s="7" t="s">
        <v>3883</v>
      </c>
      <c r="C2892" s="9">
        <v>12921.0</v>
      </c>
      <c r="D2892" s="9">
        <v>5396.0</v>
      </c>
      <c r="E2892" s="9">
        <v>2.0</v>
      </c>
      <c r="F2892" s="7" t="s">
        <v>1402</v>
      </c>
      <c r="G2892" s="7" t="s">
        <v>358</v>
      </c>
      <c r="H2892" s="7" t="s">
        <v>466</v>
      </c>
      <c r="I2892" s="7" t="s">
        <v>410</v>
      </c>
      <c r="J2892" s="14"/>
      <c r="O2892" s="22"/>
      <c r="P2892" s="22"/>
      <c r="Q2892" s="23"/>
      <c r="R2892" s="23"/>
      <c r="S2892" s="14"/>
    </row>
    <row r="2893" ht="18.75" customHeight="1">
      <c r="A2893" s="7" t="s">
        <v>1401</v>
      </c>
      <c r="B2893" s="7" t="s">
        <v>3883</v>
      </c>
      <c r="C2893" s="9">
        <v>12250.0</v>
      </c>
      <c r="D2893" s="9">
        <v>5216.0</v>
      </c>
      <c r="E2893" s="9">
        <v>3.0</v>
      </c>
      <c r="F2893" s="7" t="s">
        <v>1402</v>
      </c>
      <c r="G2893" s="7" t="s">
        <v>358</v>
      </c>
      <c r="H2893" s="7" t="s">
        <v>466</v>
      </c>
      <c r="I2893" s="7" t="s">
        <v>410</v>
      </c>
      <c r="J2893" s="14"/>
      <c r="O2893" s="22"/>
      <c r="P2893" s="22"/>
      <c r="Q2893" s="23"/>
      <c r="R2893" s="23"/>
      <c r="S2893" s="14"/>
    </row>
    <row r="2894" ht="18.75" customHeight="1">
      <c r="A2894" s="7" t="s">
        <v>1401</v>
      </c>
      <c r="B2894" s="7" t="s">
        <v>3883</v>
      </c>
      <c r="C2894" s="9">
        <v>15456.0</v>
      </c>
      <c r="D2894" s="9">
        <v>5846.0</v>
      </c>
      <c r="E2894" s="9">
        <v>12.0</v>
      </c>
      <c r="F2894" s="7" t="s">
        <v>1402</v>
      </c>
      <c r="G2894" s="7" t="s">
        <v>358</v>
      </c>
      <c r="H2894" s="7" t="s">
        <v>466</v>
      </c>
      <c r="I2894" s="7" t="s">
        <v>410</v>
      </c>
      <c r="J2894" s="14"/>
      <c r="O2894" s="22"/>
      <c r="P2894" s="22"/>
      <c r="Q2894" s="23"/>
      <c r="R2894" s="23"/>
      <c r="S2894" s="14"/>
    </row>
    <row r="2895" ht="18.75" customHeight="1">
      <c r="A2895" s="7" t="s">
        <v>1401</v>
      </c>
      <c r="B2895" s="7" t="s">
        <v>3883</v>
      </c>
      <c r="C2895" s="9">
        <v>12648.0</v>
      </c>
      <c r="D2895" s="9">
        <v>4892.0</v>
      </c>
      <c r="E2895" s="9">
        <v>6.0</v>
      </c>
      <c r="F2895" s="7" t="s">
        <v>1402</v>
      </c>
      <c r="G2895" s="7" t="s">
        <v>358</v>
      </c>
      <c r="H2895" s="7" t="s">
        <v>466</v>
      </c>
      <c r="I2895" s="7" t="s">
        <v>410</v>
      </c>
      <c r="J2895" s="14"/>
      <c r="O2895" s="22"/>
      <c r="P2895" s="22"/>
      <c r="Q2895" s="23"/>
      <c r="R2895" s="23"/>
      <c r="S2895" s="14"/>
    </row>
    <row r="2896" ht="18.75" customHeight="1">
      <c r="A2896" s="7" t="s">
        <v>1401</v>
      </c>
      <c r="B2896" s="7" t="s">
        <v>3883</v>
      </c>
      <c r="C2896" s="9">
        <v>13610.0</v>
      </c>
      <c r="D2896" s="9">
        <v>4817.0</v>
      </c>
      <c r="E2896" s="9">
        <v>6.0</v>
      </c>
      <c r="F2896" s="7" t="s">
        <v>1402</v>
      </c>
      <c r="G2896" s="7" t="s">
        <v>358</v>
      </c>
      <c r="H2896" s="7" t="s">
        <v>466</v>
      </c>
      <c r="I2896" s="7" t="s">
        <v>410</v>
      </c>
      <c r="J2896" s="14"/>
      <c r="O2896" s="22"/>
      <c r="P2896" s="22"/>
      <c r="Q2896" s="23"/>
      <c r="R2896" s="23"/>
      <c r="S2896" s="14"/>
    </row>
    <row r="2897" ht="18.75" customHeight="1">
      <c r="A2897" s="7" t="s">
        <v>1401</v>
      </c>
      <c r="B2897" s="7" t="s">
        <v>3883</v>
      </c>
      <c r="C2897" s="9">
        <v>15493.0</v>
      </c>
      <c r="D2897" s="9">
        <v>6230.0</v>
      </c>
      <c r="E2897" s="9">
        <v>5.0</v>
      </c>
      <c r="F2897" s="7" t="s">
        <v>1402</v>
      </c>
      <c r="G2897" s="7" t="s">
        <v>358</v>
      </c>
      <c r="H2897" s="7" t="s">
        <v>466</v>
      </c>
      <c r="I2897" s="7" t="s">
        <v>410</v>
      </c>
      <c r="J2897" s="14"/>
      <c r="O2897" s="22"/>
      <c r="P2897" s="22"/>
      <c r="Q2897" s="23"/>
      <c r="R2897" s="23"/>
      <c r="S2897" s="14"/>
    </row>
    <row r="2898" ht="18.75" customHeight="1">
      <c r="A2898" s="7" t="s">
        <v>1401</v>
      </c>
      <c r="B2898" s="7" t="s">
        <v>3883</v>
      </c>
      <c r="C2898" s="9">
        <v>11614.0</v>
      </c>
      <c r="D2898" s="9">
        <v>7152.0</v>
      </c>
      <c r="E2898" s="9">
        <v>7.0</v>
      </c>
      <c r="F2898" s="7" t="s">
        <v>1402</v>
      </c>
      <c r="G2898" s="7" t="s">
        <v>358</v>
      </c>
      <c r="H2898" s="7" t="s">
        <v>466</v>
      </c>
      <c r="I2898" s="7" t="s">
        <v>410</v>
      </c>
      <c r="J2898" s="14"/>
      <c r="O2898" s="22"/>
      <c r="P2898" s="22"/>
      <c r="Q2898" s="23"/>
      <c r="R2898" s="23"/>
      <c r="S2898" s="14"/>
    </row>
    <row r="2899" ht="18.75" customHeight="1">
      <c r="A2899" s="7" t="s">
        <v>1401</v>
      </c>
      <c r="B2899" s="7" t="s">
        <v>3883</v>
      </c>
      <c r="C2899" s="9">
        <v>12137.0</v>
      </c>
      <c r="D2899" s="9">
        <v>7734.0</v>
      </c>
      <c r="E2899" s="9">
        <v>3.0</v>
      </c>
      <c r="F2899" s="7" t="s">
        <v>1402</v>
      </c>
      <c r="G2899" s="7" t="s">
        <v>358</v>
      </c>
      <c r="H2899" s="7" t="s">
        <v>466</v>
      </c>
      <c r="I2899" s="7" t="s">
        <v>410</v>
      </c>
      <c r="J2899" s="14"/>
      <c r="O2899" s="22"/>
      <c r="P2899" s="22"/>
      <c r="Q2899" s="23"/>
      <c r="R2899" s="23"/>
      <c r="S2899" s="14"/>
    </row>
    <row r="2900" ht="18.75" customHeight="1">
      <c r="A2900" s="7" t="s">
        <v>1401</v>
      </c>
      <c r="B2900" s="7" t="s">
        <v>3883</v>
      </c>
      <c r="C2900" s="9">
        <v>11101.0</v>
      </c>
      <c r="D2900" s="9">
        <v>6418.0</v>
      </c>
      <c r="E2900" s="9">
        <v>5.0</v>
      </c>
      <c r="F2900" s="7" t="s">
        <v>1402</v>
      </c>
      <c r="G2900" s="7" t="s">
        <v>358</v>
      </c>
      <c r="H2900" s="7" t="s">
        <v>466</v>
      </c>
      <c r="I2900" s="7" t="s">
        <v>410</v>
      </c>
      <c r="J2900" s="14"/>
      <c r="O2900" s="22"/>
      <c r="P2900" s="22"/>
      <c r="Q2900" s="23"/>
      <c r="R2900" s="23"/>
      <c r="S2900" s="14"/>
    </row>
    <row r="2901" ht="18.75" customHeight="1">
      <c r="A2901" s="7" t="s">
        <v>1401</v>
      </c>
      <c r="B2901" s="7" t="s">
        <v>3883</v>
      </c>
      <c r="C2901" s="9">
        <v>14062.0</v>
      </c>
      <c r="D2901" s="9">
        <v>6873.0</v>
      </c>
      <c r="E2901" s="9">
        <v>5.0</v>
      </c>
      <c r="F2901" s="7" t="s">
        <v>1402</v>
      </c>
      <c r="G2901" s="7" t="s">
        <v>358</v>
      </c>
      <c r="H2901" s="7" t="s">
        <v>466</v>
      </c>
      <c r="I2901" s="7" t="s">
        <v>410</v>
      </c>
      <c r="J2901" s="14"/>
      <c r="O2901" s="22"/>
      <c r="P2901" s="22"/>
      <c r="Q2901" s="23"/>
      <c r="R2901" s="23"/>
      <c r="S2901" s="14"/>
    </row>
    <row r="2902" ht="18.75" customHeight="1">
      <c r="A2902" s="7" t="s">
        <v>1401</v>
      </c>
      <c r="B2902" s="7" t="s">
        <v>3883</v>
      </c>
      <c r="C2902" s="9">
        <v>11531.0</v>
      </c>
      <c r="D2902" s="9">
        <v>6949.0</v>
      </c>
      <c r="E2902" s="9">
        <v>8.0</v>
      </c>
      <c r="F2902" s="7" t="s">
        <v>1402</v>
      </c>
      <c r="G2902" s="7" t="s">
        <v>358</v>
      </c>
      <c r="H2902" s="7" t="s">
        <v>466</v>
      </c>
      <c r="I2902" s="7" t="s">
        <v>410</v>
      </c>
      <c r="J2902" s="14"/>
      <c r="O2902" s="22"/>
      <c r="P2902" s="22"/>
      <c r="Q2902" s="23"/>
      <c r="R2902" s="23"/>
      <c r="S2902" s="14"/>
    </row>
    <row r="2903" ht="18.75" customHeight="1">
      <c r="A2903" s="7" t="s">
        <v>1401</v>
      </c>
      <c r="B2903" s="7" t="s">
        <v>3883</v>
      </c>
      <c r="C2903" s="9">
        <v>12599.0</v>
      </c>
      <c r="D2903" s="9">
        <v>7039.0</v>
      </c>
      <c r="E2903" s="9">
        <v>7.0</v>
      </c>
      <c r="F2903" s="7" t="s">
        <v>1402</v>
      </c>
      <c r="G2903" s="7" t="s">
        <v>358</v>
      </c>
      <c r="H2903" s="7" t="s">
        <v>466</v>
      </c>
      <c r="I2903" s="7" t="s">
        <v>410</v>
      </c>
      <c r="J2903" s="14"/>
      <c r="O2903" s="22"/>
      <c r="P2903" s="22"/>
      <c r="Q2903" s="23"/>
      <c r="R2903" s="23"/>
      <c r="S2903" s="14"/>
    </row>
    <row r="2904" ht="18.75" customHeight="1">
      <c r="A2904" s="7" t="s">
        <v>1401</v>
      </c>
      <c r="B2904" s="7" t="s">
        <v>3883</v>
      </c>
      <c r="C2904" s="9">
        <v>15836.0</v>
      </c>
      <c r="D2904" s="9">
        <v>6391.0</v>
      </c>
      <c r="E2904" s="9">
        <v>2.0</v>
      </c>
      <c r="F2904" s="7" t="s">
        <v>1402</v>
      </c>
      <c r="G2904" s="7" t="s">
        <v>358</v>
      </c>
      <c r="H2904" s="7" t="s">
        <v>466</v>
      </c>
      <c r="I2904" s="7" t="s">
        <v>410</v>
      </c>
      <c r="J2904" s="14"/>
      <c r="O2904" s="22"/>
      <c r="P2904" s="22"/>
      <c r="Q2904" s="23"/>
      <c r="R2904" s="23"/>
      <c r="S2904" s="14"/>
    </row>
    <row r="2905" ht="18.75" customHeight="1">
      <c r="A2905" s="7" t="s">
        <v>1401</v>
      </c>
      <c r="B2905" s="7" t="s">
        <v>3883</v>
      </c>
      <c r="C2905" s="9">
        <v>4513.0</v>
      </c>
      <c r="D2905" s="9">
        <v>2389.0</v>
      </c>
      <c r="E2905" s="9">
        <v>2.0</v>
      </c>
      <c r="F2905" s="7" t="s">
        <v>1402</v>
      </c>
      <c r="G2905" s="7" t="s">
        <v>358</v>
      </c>
      <c r="H2905" s="7" t="s">
        <v>466</v>
      </c>
      <c r="I2905" s="7" t="s">
        <v>410</v>
      </c>
      <c r="J2905" s="14"/>
      <c r="O2905" s="22"/>
      <c r="P2905" s="22"/>
      <c r="Q2905" s="23"/>
      <c r="R2905" s="23"/>
      <c r="S2905" s="14"/>
    </row>
    <row r="2906" ht="18.75" customHeight="1">
      <c r="A2906" s="7" t="s">
        <v>1401</v>
      </c>
      <c r="B2906" s="7" t="s">
        <v>3883</v>
      </c>
      <c r="C2906" s="9">
        <v>966519.0</v>
      </c>
      <c r="D2906" s="9">
        <v>721319.0</v>
      </c>
      <c r="E2906" s="9">
        <v>628.0</v>
      </c>
      <c r="F2906" s="7" t="s">
        <v>1402</v>
      </c>
      <c r="G2906" s="7" t="s">
        <v>358</v>
      </c>
      <c r="H2906" s="7" t="s">
        <v>466</v>
      </c>
      <c r="I2906" s="7" t="s">
        <v>410</v>
      </c>
      <c r="J2906" s="14"/>
      <c r="O2906" s="22"/>
      <c r="P2906" s="22"/>
      <c r="Q2906" s="23"/>
      <c r="R2906" s="23"/>
      <c r="S2906" s="14"/>
    </row>
    <row r="2907" ht="18.75" customHeight="1">
      <c r="A2907" s="7" t="s">
        <v>1401</v>
      </c>
      <c r="B2907" s="7" t="s">
        <v>3883</v>
      </c>
      <c r="C2907" s="9">
        <v>995629.0</v>
      </c>
      <c r="D2907" s="9">
        <v>760131.0</v>
      </c>
      <c r="E2907" s="9">
        <v>545.0</v>
      </c>
      <c r="F2907" s="7" t="s">
        <v>1402</v>
      </c>
      <c r="G2907" s="7" t="s">
        <v>358</v>
      </c>
      <c r="H2907" s="7" t="s">
        <v>466</v>
      </c>
      <c r="I2907" s="7" t="s">
        <v>410</v>
      </c>
      <c r="J2907" s="14"/>
      <c r="O2907" s="22"/>
      <c r="P2907" s="22"/>
      <c r="Q2907" s="23"/>
      <c r="R2907" s="23"/>
      <c r="S2907" s="14"/>
    </row>
    <row r="2908" ht="18.75" customHeight="1">
      <c r="A2908" s="7" t="s">
        <v>1401</v>
      </c>
      <c r="B2908" s="7" t="s">
        <v>3883</v>
      </c>
      <c r="C2908" s="9">
        <v>972163.0</v>
      </c>
      <c r="D2908" s="9">
        <v>787732.0</v>
      </c>
      <c r="E2908" s="9">
        <v>527.0</v>
      </c>
      <c r="F2908" s="7" t="s">
        <v>1402</v>
      </c>
      <c r="G2908" s="7" t="s">
        <v>358</v>
      </c>
      <c r="H2908" s="7" t="s">
        <v>466</v>
      </c>
      <c r="I2908" s="7" t="s">
        <v>410</v>
      </c>
      <c r="J2908" s="14"/>
      <c r="O2908" s="22"/>
      <c r="P2908" s="22"/>
      <c r="Q2908" s="23"/>
      <c r="R2908" s="23"/>
      <c r="S2908" s="14"/>
    </row>
    <row r="2909" ht="18.75" customHeight="1">
      <c r="A2909" s="7" t="s">
        <v>1867</v>
      </c>
      <c r="B2909" s="7" t="s">
        <v>3883</v>
      </c>
      <c r="C2909" s="9">
        <v>390814.0</v>
      </c>
      <c r="D2909" s="9">
        <v>312306.0</v>
      </c>
      <c r="E2909" s="9">
        <v>547.0</v>
      </c>
      <c r="F2909" s="7" t="s">
        <v>1868</v>
      </c>
      <c r="G2909" s="7" t="s">
        <v>358</v>
      </c>
      <c r="H2909" s="7" t="s">
        <v>466</v>
      </c>
      <c r="I2909" s="7" t="s">
        <v>355</v>
      </c>
      <c r="J2909" s="14"/>
      <c r="O2909" s="22"/>
      <c r="P2909" s="22"/>
      <c r="Q2909" s="23"/>
      <c r="R2909" s="23"/>
      <c r="S2909" s="14"/>
    </row>
    <row r="2910" ht="18.75" customHeight="1">
      <c r="A2910" s="7" t="s">
        <v>1867</v>
      </c>
      <c r="B2910" s="7" t="s">
        <v>3883</v>
      </c>
      <c r="C2910" s="9">
        <v>285939.0</v>
      </c>
      <c r="D2910" s="9">
        <v>269231.0</v>
      </c>
      <c r="E2910" s="9">
        <v>764.0</v>
      </c>
      <c r="F2910" s="7" t="s">
        <v>1868</v>
      </c>
      <c r="G2910" s="7" t="s">
        <v>358</v>
      </c>
      <c r="H2910" s="7" t="s">
        <v>466</v>
      </c>
      <c r="I2910" s="7" t="s">
        <v>355</v>
      </c>
      <c r="J2910" s="14"/>
      <c r="O2910" s="22"/>
      <c r="P2910" s="22"/>
      <c r="Q2910" s="23"/>
      <c r="R2910" s="23"/>
      <c r="S2910" s="14"/>
    </row>
    <row r="2911" ht="18.75" customHeight="1">
      <c r="A2911" s="7" t="s">
        <v>1867</v>
      </c>
      <c r="B2911" s="7" t="s">
        <v>3883</v>
      </c>
      <c r="C2911" s="9">
        <v>0.0</v>
      </c>
      <c r="D2911" s="9">
        <v>0.0</v>
      </c>
      <c r="E2911" s="9">
        <v>0.0</v>
      </c>
      <c r="F2911" s="7" t="s">
        <v>1868</v>
      </c>
      <c r="G2911" s="7" t="s">
        <v>358</v>
      </c>
      <c r="H2911" s="7" t="s">
        <v>466</v>
      </c>
      <c r="I2911" s="7" t="s">
        <v>355</v>
      </c>
      <c r="J2911" s="14"/>
      <c r="O2911" s="22"/>
      <c r="P2911" s="22"/>
      <c r="Q2911" s="23"/>
      <c r="R2911" s="23"/>
      <c r="S2911" s="14"/>
    </row>
    <row r="2912" ht="18.75" customHeight="1">
      <c r="A2912" s="7" t="s">
        <v>1867</v>
      </c>
      <c r="B2912" s="7" t="s">
        <v>3883</v>
      </c>
      <c r="C2912" s="9">
        <v>176622.0</v>
      </c>
      <c r="D2912" s="9">
        <v>144677.0</v>
      </c>
      <c r="E2912" s="9">
        <v>92.0</v>
      </c>
      <c r="F2912" s="7" t="s">
        <v>1868</v>
      </c>
      <c r="G2912" s="7" t="s">
        <v>358</v>
      </c>
      <c r="H2912" s="7" t="s">
        <v>466</v>
      </c>
      <c r="I2912" s="7" t="s">
        <v>355</v>
      </c>
      <c r="J2912" s="14"/>
      <c r="O2912" s="22"/>
      <c r="P2912" s="22"/>
      <c r="Q2912" s="23"/>
      <c r="R2912" s="23"/>
      <c r="S2912" s="14"/>
    </row>
    <row r="2913" ht="18.75" customHeight="1">
      <c r="A2913" s="7" t="s">
        <v>1867</v>
      </c>
      <c r="B2913" s="7" t="s">
        <v>3883</v>
      </c>
      <c r="C2913" s="9">
        <v>75297.0</v>
      </c>
      <c r="D2913" s="9">
        <v>16948.0</v>
      </c>
      <c r="E2913" s="9">
        <v>360.0</v>
      </c>
      <c r="F2913" s="7" t="s">
        <v>1868</v>
      </c>
      <c r="G2913" s="7" t="s">
        <v>358</v>
      </c>
      <c r="H2913" s="7" t="s">
        <v>466</v>
      </c>
      <c r="I2913" s="7" t="s">
        <v>355</v>
      </c>
      <c r="J2913" s="14"/>
      <c r="O2913" s="22"/>
      <c r="P2913" s="22"/>
      <c r="Q2913" s="23"/>
      <c r="R2913" s="23"/>
      <c r="S2913" s="14"/>
    </row>
    <row r="2914" ht="18.75" customHeight="1">
      <c r="A2914" s="7" t="s">
        <v>1741</v>
      </c>
      <c r="B2914" s="7" t="s">
        <v>3883</v>
      </c>
      <c r="C2914" s="9">
        <v>269946.0</v>
      </c>
      <c r="D2914" s="9">
        <v>217746.0</v>
      </c>
      <c r="E2914" s="9">
        <v>114.0</v>
      </c>
      <c r="F2914" s="7" t="s">
        <v>1742</v>
      </c>
      <c r="G2914" s="7" t="s">
        <v>358</v>
      </c>
      <c r="H2914" s="7" t="s">
        <v>466</v>
      </c>
      <c r="I2914" s="7" t="s">
        <v>355</v>
      </c>
      <c r="J2914" s="14"/>
      <c r="O2914" s="22"/>
      <c r="P2914" s="22"/>
      <c r="Q2914" s="23"/>
      <c r="R2914" s="23"/>
      <c r="S2914" s="14"/>
    </row>
    <row r="2915" ht="18.75" customHeight="1">
      <c r="A2915" s="7" t="s">
        <v>1741</v>
      </c>
      <c r="B2915" s="7" t="s">
        <v>3883</v>
      </c>
      <c r="C2915" s="9">
        <v>763413.0</v>
      </c>
      <c r="D2915" s="9">
        <v>0.0</v>
      </c>
      <c r="E2915" s="9">
        <v>24046.0</v>
      </c>
      <c r="F2915" s="7" t="s">
        <v>1742</v>
      </c>
      <c r="G2915" s="7" t="s">
        <v>358</v>
      </c>
      <c r="H2915" s="7" t="s">
        <v>466</v>
      </c>
      <c r="I2915" s="7" t="s">
        <v>355</v>
      </c>
      <c r="J2915" s="14"/>
      <c r="O2915" s="22"/>
      <c r="P2915" s="22"/>
      <c r="Q2915" s="23"/>
      <c r="R2915" s="23"/>
      <c r="S2915" s="14"/>
    </row>
    <row r="2916" ht="18.75" customHeight="1">
      <c r="A2916" s="7" t="s">
        <v>1813</v>
      </c>
      <c r="B2916" s="7" t="s">
        <v>3883</v>
      </c>
      <c r="C2916" s="9">
        <v>271978.0</v>
      </c>
      <c r="D2916" s="9">
        <v>224358.0</v>
      </c>
      <c r="E2916" s="9">
        <v>455.0</v>
      </c>
      <c r="F2916" s="7" t="s">
        <v>1814</v>
      </c>
      <c r="G2916" s="7" t="s">
        <v>358</v>
      </c>
      <c r="H2916" s="7" t="s">
        <v>466</v>
      </c>
      <c r="I2916" s="7" t="s">
        <v>355</v>
      </c>
      <c r="J2916" s="14"/>
      <c r="O2916" s="22"/>
      <c r="P2916" s="22"/>
      <c r="Q2916" s="23"/>
      <c r="R2916" s="23"/>
      <c r="S2916" s="14"/>
    </row>
    <row r="2917" ht="18.75" customHeight="1">
      <c r="A2917" s="7" t="s">
        <v>1813</v>
      </c>
      <c r="B2917" s="7" t="s">
        <v>3883</v>
      </c>
      <c r="C2917" s="9">
        <v>327555.0</v>
      </c>
      <c r="D2917" s="9">
        <v>0.0</v>
      </c>
      <c r="E2917" s="9">
        <v>9804.0</v>
      </c>
      <c r="F2917" s="7" t="s">
        <v>1814</v>
      </c>
      <c r="G2917" s="7" t="s">
        <v>358</v>
      </c>
      <c r="H2917" s="7" t="s">
        <v>466</v>
      </c>
      <c r="I2917" s="7" t="s">
        <v>355</v>
      </c>
      <c r="J2917" s="14"/>
      <c r="O2917" s="22"/>
      <c r="P2917" s="22"/>
      <c r="Q2917" s="23"/>
      <c r="R2917" s="23"/>
      <c r="S2917" s="14"/>
    </row>
    <row r="2918" ht="18.75" customHeight="1">
      <c r="A2918" s="7" t="s">
        <v>1539</v>
      </c>
      <c r="B2918" s="7" t="s">
        <v>3883</v>
      </c>
      <c r="C2918" s="9">
        <v>46310.0</v>
      </c>
      <c r="D2918" s="9">
        <v>39478.0</v>
      </c>
      <c r="E2918" s="9">
        <v>25.0</v>
      </c>
      <c r="F2918" s="7" t="s">
        <v>1540</v>
      </c>
      <c r="G2918" s="7" t="s">
        <v>416</v>
      </c>
      <c r="H2918" s="7" t="s">
        <v>417</v>
      </c>
      <c r="I2918" s="7" t="s">
        <v>355</v>
      </c>
      <c r="J2918" s="14"/>
      <c r="O2918" s="22"/>
      <c r="P2918" s="22"/>
      <c r="Q2918" s="23"/>
      <c r="R2918" s="23"/>
      <c r="S2918" s="14"/>
    </row>
    <row r="2919" ht="18.75" customHeight="1">
      <c r="A2919" s="7" t="s">
        <v>1631</v>
      </c>
      <c r="B2919" s="7" t="s">
        <v>3883</v>
      </c>
      <c r="C2919" s="9">
        <v>249859.0</v>
      </c>
      <c r="D2919" s="9">
        <v>204196.0</v>
      </c>
      <c r="E2919" s="9">
        <v>129.0</v>
      </c>
      <c r="F2919" s="7" t="s">
        <v>1632</v>
      </c>
      <c r="G2919" s="7" t="s">
        <v>416</v>
      </c>
      <c r="H2919" s="7" t="s">
        <v>417</v>
      </c>
      <c r="I2919" s="7" t="s">
        <v>355</v>
      </c>
      <c r="J2919" s="14"/>
      <c r="O2919" s="22"/>
      <c r="P2919" s="22"/>
      <c r="Q2919" s="23"/>
      <c r="R2919" s="23"/>
      <c r="S2919" s="14"/>
    </row>
    <row r="2920" ht="18.75" customHeight="1">
      <c r="A2920" s="7" t="s">
        <v>1753</v>
      </c>
      <c r="B2920" s="7" t="s">
        <v>3883</v>
      </c>
      <c r="C2920" s="9">
        <v>461561.0</v>
      </c>
      <c r="D2920" s="9">
        <v>400980.0</v>
      </c>
      <c r="E2920" s="9">
        <v>214.0</v>
      </c>
      <c r="F2920" s="7" t="s">
        <v>1754</v>
      </c>
      <c r="G2920" s="7" t="s">
        <v>416</v>
      </c>
      <c r="H2920" s="7" t="s">
        <v>417</v>
      </c>
      <c r="I2920" s="7" t="s">
        <v>355</v>
      </c>
      <c r="J2920" s="14"/>
      <c r="O2920" s="22"/>
      <c r="P2920" s="22"/>
      <c r="Q2920" s="23"/>
      <c r="R2920" s="23"/>
      <c r="S2920" s="14"/>
    </row>
    <row r="2921" ht="18.75" customHeight="1">
      <c r="A2921" s="7" t="s">
        <v>1839</v>
      </c>
      <c r="B2921" s="7" t="s">
        <v>3883</v>
      </c>
      <c r="C2921" s="9">
        <v>35144.0</v>
      </c>
      <c r="D2921" s="9">
        <v>28304.0</v>
      </c>
      <c r="E2921" s="9">
        <v>27.0</v>
      </c>
      <c r="F2921" s="7" t="s">
        <v>1840</v>
      </c>
      <c r="G2921" s="7" t="s">
        <v>416</v>
      </c>
      <c r="H2921" s="7" t="s">
        <v>417</v>
      </c>
      <c r="I2921" s="7" t="s">
        <v>355</v>
      </c>
      <c r="J2921" s="14"/>
      <c r="O2921" s="22"/>
      <c r="P2921" s="22"/>
      <c r="Q2921" s="23"/>
      <c r="R2921" s="23"/>
      <c r="S2921" s="14"/>
    </row>
    <row r="2922" ht="18.75" customHeight="1">
      <c r="A2922" s="7" t="s">
        <v>1882</v>
      </c>
      <c r="B2922" s="7" t="s">
        <v>3883</v>
      </c>
      <c r="C2922" s="9">
        <v>60359.0</v>
      </c>
      <c r="D2922" s="9">
        <v>26427.0</v>
      </c>
      <c r="E2922" s="9">
        <v>131.0</v>
      </c>
      <c r="F2922" s="7" t="s">
        <v>1883</v>
      </c>
      <c r="G2922" s="7" t="s">
        <v>416</v>
      </c>
      <c r="H2922" s="7" t="s">
        <v>417</v>
      </c>
      <c r="I2922" s="7" t="s">
        <v>355</v>
      </c>
      <c r="J2922" s="14"/>
      <c r="O2922" s="22"/>
      <c r="P2922" s="22"/>
      <c r="Q2922" s="23"/>
      <c r="R2922" s="23"/>
      <c r="S2922" s="14"/>
    </row>
    <row r="2923" ht="18.75" customHeight="1">
      <c r="A2923" s="7" t="s">
        <v>1537</v>
      </c>
      <c r="B2923" s="7" t="s">
        <v>3883</v>
      </c>
      <c r="C2923" s="9">
        <v>238325.0</v>
      </c>
      <c r="D2923" s="9">
        <v>190460.0</v>
      </c>
      <c r="E2923" s="9">
        <v>304.0</v>
      </c>
      <c r="F2923" s="7" t="s">
        <v>1538</v>
      </c>
      <c r="G2923" s="7" t="s">
        <v>416</v>
      </c>
      <c r="H2923" s="7" t="s">
        <v>417</v>
      </c>
      <c r="I2923" s="7" t="s">
        <v>355</v>
      </c>
      <c r="J2923" s="14"/>
      <c r="O2923" s="22"/>
      <c r="P2923" s="22"/>
      <c r="Q2923" s="23"/>
      <c r="R2923" s="23"/>
      <c r="S2923" s="14"/>
    </row>
    <row r="2924" ht="18.75" customHeight="1">
      <c r="A2924" s="7" t="s">
        <v>1537</v>
      </c>
      <c r="B2924" s="7" t="s">
        <v>3883</v>
      </c>
      <c r="C2924" s="9">
        <v>182173.0</v>
      </c>
      <c r="D2924" s="9">
        <v>143593.0</v>
      </c>
      <c r="E2924" s="9">
        <v>277.0</v>
      </c>
      <c r="F2924" s="7" t="s">
        <v>1538</v>
      </c>
      <c r="G2924" s="7" t="s">
        <v>416</v>
      </c>
      <c r="H2924" s="7" t="s">
        <v>417</v>
      </c>
      <c r="I2924" s="7" t="s">
        <v>355</v>
      </c>
      <c r="J2924" s="14"/>
      <c r="O2924" s="22"/>
      <c r="P2924" s="22"/>
      <c r="Q2924" s="23"/>
      <c r="R2924" s="23"/>
      <c r="S2924" s="14"/>
    </row>
    <row r="2925" ht="18.75" customHeight="1">
      <c r="A2925" s="7" t="s">
        <v>1537</v>
      </c>
      <c r="B2925" s="7" t="s">
        <v>3883</v>
      </c>
      <c r="C2925" s="9">
        <v>203081.0</v>
      </c>
      <c r="D2925" s="9">
        <v>162866.0</v>
      </c>
      <c r="E2925" s="9">
        <v>208.0</v>
      </c>
      <c r="F2925" s="7" t="s">
        <v>1538</v>
      </c>
      <c r="G2925" s="7" t="s">
        <v>416</v>
      </c>
      <c r="H2925" s="7" t="s">
        <v>417</v>
      </c>
      <c r="I2925" s="7" t="s">
        <v>355</v>
      </c>
      <c r="J2925" s="14"/>
      <c r="O2925" s="22"/>
      <c r="P2925" s="22"/>
      <c r="Q2925" s="23"/>
      <c r="R2925" s="23"/>
      <c r="S2925" s="14"/>
    </row>
    <row r="2926" ht="18.75" customHeight="1">
      <c r="A2926" s="7" t="s">
        <v>1607</v>
      </c>
      <c r="B2926" s="7" t="s">
        <v>3883</v>
      </c>
      <c r="C2926" s="9">
        <v>346264.0</v>
      </c>
      <c r="D2926" s="9">
        <v>291310.0</v>
      </c>
      <c r="E2926" s="9">
        <v>178.0</v>
      </c>
      <c r="F2926" s="7" t="s">
        <v>1608</v>
      </c>
      <c r="G2926" s="7" t="s">
        <v>416</v>
      </c>
      <c r="H2926" s="7" t="s">
        <v>417</v>
      </c>
      <c r="I2926" s="7" t="s">
        <v>355</v>
      </c>
      <c r="J2926" s="14"/>
      <c r="O2926" s="22"/>
      <c r="P2926" s="22"/>
      <c r="Q2926" s="23"/>
      <c r="R2926" s="23"/>
      <c r="S2926" s="14"/>
    </row>
    <row r="2927" ht="18.75" customHeight="1">
      <c r="A2927" s="7" t="s">
        <v>1865</v>
      </c>
      <c r="B2927" s="7" t="s">
        <v>3883</v>
      </c>
      <c r="C2927" s="9">
        <v>209156.0</v>
      </c>
      <c r="D2927" s="9">
        <v>0.0</v>
      </c>
      <c r="E2927" s="9">
        <v>5852.0</v>
      </c>
      <c r="F2927" s="7" t="s">
        <v>1866</v>
      </c>
      <c r="G2927" s="7" t="s">
        <v>416</v>
      </c>
      <c r="H2927" s="7" t="s">
        <v>417</v>
      </c>
      <c r="I2927" s="7" t="s">
        <v>355</v>
      </c>
      <c r="J2927" s="14"/>
      <c r="O2927" s="22"/>
      <c r="P2927" s="22"/>
      <c r="Q2927" s="23"/>
      <c r="R2927" s="23"/>
      <c r="S2927" s="14"/>
    </row>
    <row r="2928" ht="18.75" customHeight="1">
      <c r="A2928" s="7" t="s">
        <v>1865</v>
      </c>
      <c r="B2928" s="7" t="s">
        <v>3883</v>
      </c>
      <c r="C2928" s="9">
        <v>339943.0</v>
      </c>
      <c r="D2928" s="9">
        <v>0.0</v>
      </c>
      <c r="E2928" s="9">
        <v>11136.0</v>
      </c>
      <c r="F2928" s="7" t="s">
        <v>1866</v>
      </c>
      <c r="G2928" s="7" t="s">
        <v>416</v>
      </c>
      <c r="H2928" s="7" t="s">
        <v>417</v>
      </c>
      <c r="I2928" s="7" t="s">
        <v>355</v>
      </c>
      <c r="J2928" s="14"/>
      <c r="O2928" s="22"/>
      <c r="P2928" s="22"/>
      <c r="Q2928" s="23"/>
      <c r="R2928" s="23"/>
      <c r="S2928" s="14"/>
    </row>
    <row r="2929" ht="18.75" customHeight="1">
      <c r="A2929" s="7" t="s">
        <v>1676</v>
      </c>
      <c r="B2929" s="7" t="s">
        <v>3883</v>
      </c>
      <c r="C2929" s="9">
        <v>265198.0</v>
      </c>
      <c r="D2929" s="9">
        <v>216542.0</v>
      </c>
      <c r="E2929" s="9">
        <v>448.0</v>
      </c>
      <c r="F2929" s="7" t="s">
        <v>1677</v>
      </c>
      <c r="G2929" s="7" t="s">
        <v>416</v>
      </c>
      <c r="H2929" s="7" t="s">
        <v>417</v>
      </c>
      <c r="I2929" s="7" t="s">
        <v>355</v>
      </c>
      <c r="J2929" s="14"/>
      <c r="O2929" s="22"/>
      <c r="P2929" s="22"/>
      <c r="Q2929" s="23"/>
      <c r="R2929" s="23"/>
      <c r="S2929" s="14"/>
    </row>
    <row r="2930" ht="18.75" customHeight="1">
      <c r="A2930" s="7" t="s">
        <v>1676</v>
      </c>
      <c r="B2930" s="7" t="s">
        <v>3883</v>
      </c>
      <c r="C2930" s="9">
        <v>282172.0</v>
      </c>
      <c r="D2930" s="9">
        <v>232618.0</v>
      </c>
      <c r="E2930" s="9">
        <v>569.0</v>
      </c>
      <c r="F2930" s="7" t="s">
        <v>1677</v>
      </c>
      <c r="G2930" s="7" t="s">
        <v>416</v>
      </c>
      <c r="H2930" s="7" t="s">
        <v>417</v>
      </c>
      <c r="I2930" s="7" t="s">
        <v>355</v>
      </c>
      <c r="J2930" s="14"/>
      <c r="O2930" s="22"/>
      <c r="P2930" s="22"/>
      <c r="Q2930" s="23"/>
      <c r="R2930" s="23"/>
      <c r="S2930" s="14"/>
    </row>
    <row r="2931" ht="18.75" customHeight="1">
      <c r="A2931" s="7" t="s">
        <v>1731</v>
      </c>
      <c r="B2931" s="7" t="s">
        <v>3883</v>
      </c>
      <c r="C2931" s="9">
        <v>325764.0</v>
      </c>
      <c r="D2931" s="9">
        <v>278982.0</v>
      </c>
      <c r="E2931" s="9">
        <v>146.0</v>
      </c>
      <c r="F2931" s="7" t="s">
        <v>1732</v>
      </c>
      <c r="G2931" s="7" t="s">
        <v>416</v>
      </c>
      <c r="H2931" s="7" t="s">
        <v>417</v>
      </c>
      <c r="I2931" s="7" t="s">
        <v>355</v>
      </c>
      <c r="J2931" s="14"/>
      <c r="O2931" s="22"/>
      <c r="P2931" s="22"/>
      <c r="Q2931" s="23"/>
      <c r="R2931" s="23"/>
      <c r="S2931" s="14"/>
    </row>
    <row r="2932" ht="18.75" customHeight="1">
      <c r="A2932" s="7" t="s">
        <v>1605</v>
      </c>
      <c r="B2932" s="7" t="s">
        <v>3883</v>
      </c>
      <c r="C2932" s="9">
        <v>168268.0</v>
      </c>
      <c r="D2932" s="9">
        <v>127935.0</v>
      </c>
      <c r="E2932" s="9">
        <v>80.0</v>
      </c>
      <c r="F2932" s="7" t="s">
        <v>1606</v>
      </c>
      <c r="G2932" s="7" t="s">
        <v>416</v>
      </c>
      <c r="H2932" s="7" t="s">
        <v>417</v>
      </c>
      <c r="I2932" s="7" t="s">
        <v>355</v>
      </c>
      <c r="J2932" s="14"/>
      <c r="O2932" s="22"/>
      <c r="P2932" s="22"/>
      <c r="Q2932" s="23"/>
      <c r="R2932" s="23"/>
      <c r="S2932" s="14"/>
    </row>
    <row r="2933" ht="18.75" customHeight="1">
      <c r="A2933" s="7" t="s">
        <v>1757</v>
      </c>
      <c r="B2933" s="7" t="s">
        <v>3883</v>
      </c>
      <c r="C2933" s="9">
        <v>276272.0</v>
      </c>
      <c r="D2933" s="9">
        <v>224918.0</v>
      </c>
      <c r="E2933" s="9">
        <v>136.0</v>
      </c>
      <c r="F2933" s="7" t="s">
        <v>1758</v>
      </c>
      <c r="G2933" s="7" t="s">
        <v>416</v>
      </c>
      <c r="H2933" s="7" t="s">
        <v>417</v>
      </c>
      <c r="I2933" s="7" t="s">
        <v>355</v>
      </c>
      <c r="J2933" s="14"/>
      <c r="O2933" s="22"/>
      <c r="P2933" s="22"/>
      <c r="Q2933" s="23"/>
      <c r="R2933" s="23"/>
      <c r="S2933" s="14"/>
    </row>
    <row r="2934" ht="18.75" customHeight="1">
      <c r="A2934" s="7" t="s">
        <v>1837</v>
      </c>
      <c r="B2934" s="7" t="s">
        <v>3883</v>
      </c>
      <c r="C2934" s="9">
        <v>124719.0</v>
      </c>
      <c r="D2934" s="9">
        <v>109137.0</v>
      </c>
      <c r="E2934" s="9">
        <v>351.0</v>
      </c>
      <c r="F2934" s="7" t="s">
        <v>1838</v>
      </c>
      <c r="G2934" s="7" t="s">
        <v>416</v>
      </c>
      <c r="H2934" s="7" t="s">
        <v>417</v>
      </c>
      <c r="I2934" s="7" t="s">
        <v>355</v>
      </c>
      <c r="J2934" s="14"/>
      <c r="O2934" s="22"/>
      <c r="P2934" s="22"/>
      <c r="Q2934" s="23"/>
      <c r="R2934" s="23"/>
      <c r="S2934" s="14"/>
    </row>
    <row r="2935" ht="18.75" customHeight="1">
      <c r="A2935" s="7" t="s">
        <v>1676</v>
      </c>
      <c r="B2935" s="7" t="s">
        <v>3883</v>
      </c>
      <c r="C2935" s="9">
        <v>52259.0</v>
      </c>
      <c r="D2935" s="9">
        <v>0.0</v>
      </c>
      <c r="E2935" s="9">
        <v>1528.0</v>
      </c>
      <c r="F2935" s="7" t="s">
        <v>1677</v>
      </c>
      <c r="G2935" s="7" t="s">
        <v>416</v>
      </c>
      <c r="H2935" s="7" t="s">
        <v>417</v>
      </c>
      <c r="I2935" s="7" t="s">
        <v>355</v>
      </c>
      <c r="J2935" s="14"/>
      <c r="O2935" s="22"/>
      <c r="P2935" s="22"/>
      <c r="Q2935" s="23"/>
      <c r="R2935" s="23"/>
      <c r="S2935" s="14"/>
    </row>
    <row r="2936" ht="18.75" customHeight="1">
      <c r="A2936" s="7" t="s">
        <v>1676</v>
      </c>
      <c r="B2936" s="7" t="s">
        <v>3883</v>
      </c>
      <c r="C2936" s="9">
        <v>45456.0</v>
      </c>
      <c r="D2936" s="9">
        <v>0.0</v>
      </c>
      <c r="E2936" s="9">
        <v>1952.0</v>
      </c>
      <c r="F2936" s="7" t="s">
        <v>1677</v>
      </c>
      <c r="G2936" s="7" t="s">
        <v>416</v>
      </c>
      <c r="H2936" s="7" t="s">
        <v>417</v>
      </c>
      <c r="I2936" s="7" t="s">
        <v>355</v>
      </c>
      <c r="J2936" s="14"/>
      <c r="O2936" s="22"/>
      <c r="P2936" s="22"/>
      <c r="Q2936" s="23"/>
      <c r="R2936" s="23"/>
      <c r="S2936" s="14"/>
    </row>
    <row r="2937" ht="18.75" customHeight="1">
      <c r="A2937" s="7" t="s">
        <v>1801</v>
      </c>
      <c r="B2937" s="7" t="s">
        <v>3883</v>
      </c>
      <c r="C2937" s="9">
        <v>373310.0</v>
      </c>
      <c r="D2937" s="9">
        <v>0.0</v>
      </c>
      <c r="E2937" s="9">
        <v>11849.0</v>
      </c>
      <c r="F2937" s="7" t="s">
        <v>1802</v>
      </c>
      <c r="G2937" s="7" t="s">
        <v>416</v>
      </c>
      <c r="H2937" s="7" t="s">
        <v>417</v>
      </c>
      <c r="I2937" s="7" t="s">
        <v>355</v>
      </c>
      <c r="J2937" s="14"/>
      <c r="O2937" s="22"/>
      <c r="P2937" s="22"/>
      <c r="Q2937" s="23"/>
      <c r="R2937" s="23"/>
      <c r="S2937" s="14"/>
    </row>
    <row r="2938" ht="18.75" customHeight="1">
      <c r="A2938" s="7" t="s">
        <v>1431</v>
      </c>
      <c r="B2938" s="7" t="s">
        <v>3883</v>
      </c>
      <c r="C2938" s="9">
        <v>0.0</v>
      </c>
      <c r="D2938" s="9">
        <v>0.0</v>
      </c>
      <c r="E2938" s="9">
        <v>0.0</v>
      </c>
      <c r="F2938" s="7" t="s">
        <v>1432</v>
      </c>
      <c r="G2938" s="7" t="s">
        <v>416</v>
      </c>
      <c r="H2938" s="7" t="s">
        <v>430</v>
      </c>
      <c r="I2938" s="7" t="s">
        <v>2120</v>
      </c>
      <c r="J2938" s="14"/>
      <c r="O2938" s="22"/>
      <c r="P2938" s="22"/>
      <c r="Q2938" s="23"/>
      <c r="R2938" s="23"/>
      <c r="S2938" s="14"/>
    </row>
    <row r="2939" ht="18.75" customHeight="1">
      <c r="A2939" s="7" t="s">
        <v>1431</v>
      </c>
      <c r="B2939" s="7" t="s">
        <v>3883</v>
      </c>
      <c r="C2939" s="9">
        <v>145183.0</v>
      </c>
      <c r="D2939" s="9">
        <v>123139.0</v>
      </c>
      <c r="E2939" s="9">
        <v>102.0</v>
      </c>
      <c r="F2939" s="7" t="s">
        <v>1432</v>
      </c>
      <c r="G2939" s="7" t="s">
        <v>416</v>
      </c>
      <c r="H2939" s="7" t="s">
        <v>430</v>
      </c>
      <c r="I2939" s="7" t="s">
        <v>2120</v>
      </c>
      <c r="J2939" s="14"/>
      <c r="O2939" s="22"/>
      <c r="P2939" s="22"/>
      <c r="Q2939" s="23"/>
      <c r="R2939" s="23"/>
      <c r="S2939" s="14"/>
    </row>
    <row r="2940" ht="18.75" customHeight="1">
      <c r="A2940" s="7" t="s">
        <v>1429</v>
      </c>
      <c r="B2940" s="7" t="s">
        <v>3883</v>
      </c>
      <c r="C2940" s="9">
        <v>538470.0</v>
      </c>
      <c r="D2940" s="9">
        <v>0.0</v>
      </c>
      <c r="E2940" s="9">
        <v>17279.0</v>
      </c>
      <c r="F2940" s="7" t="s">
        <v>1430</v>
      </c>
      <c r="G2940" s="7" t="s">
        <v>416</v>
      </c>
      <c r="H2940" s="7" t="s">
        <v>430</v>
      </c>
      <c r="I2940" s="7" t="s">
        <v>2120</v>
      </c>
      <c r="J2940" s="14"/>
      <c r="O2940" s="22"/>
      <c r="P2940" s="22"/>
      <c r="Q2940" s="23"/>
      <c r="R2940" s="23"/>
      <c r="S2940" s="14"/>
    </row>
    <row r="2941" ht="18.75" customHeight="1">
      <c r="A2941" s="7" t="s">
        <v>1429</v>
      </c>
      <c r="B2941" s="7" t="s">
        <v>3883</v>
      </c>
      <c r="C2941" s="9">
        <v>141144.0</v>
      </c>
      <c r="D2941" s="9">
        <v>122230.0</v>
      </c>
      <c r="E2941" s="9">
        <v>96.0</v>
      </c>
      <c r="F2941" s="7" t="s">
        <v>1430</v>
      </c>
      <c r="G2941" s="7" t="s">
        <v>416</v>
      </c>
      <c r="H2941" s="7" t="s">
        <v>430</v>
      </c>
      <c r="I2941" s="7" t="s">
        <v>2120</v>
      </c>
      <c r="J2941" s="14"/>
      <c r="O2941" s="22"/>
      <c r="P2941" s="22"/>
      <c r="Q2941" s="23"/>
      <c r="R2941" s="23"/>
      <c r="S2941" s="14"/>
    </row>
    <row r="2942" ht="18.75" customHeight="1">
      <c r="A2942" s="7" t="s">
        <v>1725</v>
      </c>
      <c r="B2942" s="7" t="s">
        <v>3883</v>
      </c>
      <c r="C2942" s="9">
        <v>20315.0</v>
      </c>
      <c r="D2942" s="9">
        <v>17429.0</v>
      </c>
      <c r="E2942" s="9">
        <v>20.0</v>
      </c>
      <c r="F2942" s="7" t="s">
        <v>1726</v>
      </c>
      <c r="G2942" s="7" t="s">
        <v>353</v>
      </c>
      <c r="H2942" s="7" t="s">
        <v>378</v>
      </c>
      <c r="I2942" s="7" t="s">
        <v>410</v>
      </c>
      <c r="J2942" s="14"/>
      <c r="O2942" s="22"/>
      <c r="P2942" s="22"/>
      <c r="Q2942" s="23"/>
      <c r="R2942" s="23"/>
      <c r="S2942" s="14"/>
    </row>
    <row r="2943" ht="18.75" customHeight="1">
      <c r="A2943" s="7" t="s">
        <v>351</v>
      </c>
      <c r="B2943" s="7" t="s">
        <v>3883</v>
      </c>
      <c r="C2943" s="9">
        <v>30809.0</v>
      </c>
      <c r="D2943" s="9">
        <v>0.0</v>
      </c>
      <c r="E2943" s="9">
        <v>1242.0</v>
      </c>
      <c r="F2943" s="7" t="s">
        <v>352</v>
      </c>
      <c r="G2943" s="7" t="s">
        <v>353</v>
      </c>
      <c r="H2943" s="7" t="s">
        <v>354</v>
      </c>
      <c r="I2943" s="7" t="s">
        <v>410</v>
      </c>
      <c r="J2943" s="14"/>
      <c r="O2943" s="22"/>
      <c r="P2943" s="22"/>
      <c r="Q2943" s="23"/>
      <c r="R2943" s="23"/>
      <c r="S2943" s="14"/>
    </row>
    <row r="2944" ht="18.75" customHeight="1">
      <c r="A2944" s="7" t="s">
        <v>351</v>
      </c>
      <c r="B2944" s="7" t="s">
        <v>3883</v>
      </c>
      <c r="C2944" s="9">
        <v>537735.0</v>
      </c>
      <c r="D2944" s="9">
        <v>0.0</v>
      </c>
      <c r="E2944" s="9">
        <v>14927.0</v>
      </c>
      <c r="F2944" s="7" t="s">
        <v>352</v>
      </c>
      <c r="G2944" s="7" t="s">
        <v>353</v>
      </c>
      <c r="H2944" s="7" t="s">
        <v>354</v>
      </c>
      <c r="I2944" s="7" t="s">
        <v>410</v>
      </c>
      <c r="J2944" s="14"/>
      <c r="O2944" s="22"/>
      <c r="P2944" s="22"/>
      <c r="Q2944" s="23"/>
      <c r="R2944" s="23"/>
      <c r="S2944" s="14"/>
    </row>
    <row r="2945" ht="18.75" customHeight="1">
      <c r="A2945" s="7" t="s">
        <v>351</v>
      </c>
      <c r="B2945" s="7" t="s">
        <v>3883</v>
      </c>
      <c r="C2945" s="9">
        <v>249294.0</v>
      </c>
      <c r="D2945" s="9">
        <v>3618.0</v>
      </c>
      <c r="E2945" s="9">
        <v>142.0</v>
      </c>
      <c r="F2945" s="7" t="s">
        <v>352</v>
      </c>
      <c r="G2945" s="7" t="s">
        <v>353</v>
      </c>
      <c r="H2945" s="7" t="s">
        <v>354</v>
      </c>
      <c r="I2945" s="7" t="s">
        <v>410</v>
      </c>
      <c r="J2945" s="14"/>
      <c r="O2945" s="22"/>
      <c r="P2945" s="22"/>
      <c r="Q2945" s="23"/>
      <c r="R2945" s="23"/>
      <c r="S2945" s="14"/>
    </row>
    <row r="2946" ht="18.75" customHeight="1">
      <c r="A2946" s="7" t="s">
        <v>351</v>
      </c>
      <c r="B2946" s="7" t="s">
        <v>3883</v>
      </c>
      <c r="C2946" s="9">
        <v>574509.0</v>
      </c>
      <c r="D2946" s="9">
        <v>10106.0</v>
      </c>
      <c r="E2946" s="9">
        <v>309.0</v>
      </c>
      <c r="F2946" s="7" t="s">
        <v>352</v>
      </c>
      <c r="G2946" s="7" t="s">
        <v>353</v>
      </c>
      <c r="H2946" s="7" t="s">
        <v>354</v>
      </c>
      <c r="I2946" s="7" t="s">
        <v>410</v>
      </c>
      <c r="J2946" s="14"/>
      <c r="O2946" s="22"/>
      <c r="P2946" s="22"/>
      <c r="Q2946" s="23"/>
      <c r="R2946" s="23"/>
      <c r="S2946" s="14"/>
    </row>
    <row r="2947" ht="18.75" customHeight="1">
      <c r="A2947" s="7" t="s">
        <v>351</v>
      </c>
      <c r="B2947" s="7" t="s">
        <v>3883</v>
      </c>
      <c r="C2947" s="9">
        <v>92838.0</v>
      </c>
      <c r="D2947" s="9">
        <v>0.0</v>
      </c>
      <c r="E2947" s="9">
        <v>6.0</v>
      </c>
      <c r="F2947" s="7" t="s">
        <v>352</v>
      </c>
      <c r="G2947" s="7" t="s">
        <v>353</v>
      </c>
      <c r="H2947" s="7" t="s">
        <v>354</v>
      </c>
      <c r="I2947" s="7" t="s">
        <v>410</v>
      </c>
      <c r="J2947" s="14"/>
      <c r="O2947" s="22"/>
      <c r="P2947" s="22"/>
      <c r="Q2947" s="23"/>
      <c r="R2947" s="23"/>
      <c r="S2947" s="14"/>
    </row>
    <row r="2948" ht="18.75" customHeight="1">
      <c r="A2948" s="7" t="s">
        <v>351</v>
      </c>
      <c r="B2948" s="7" t="s">
        <v>3883</v>
      </c>
      <c r="C2948" s="9">
        <v>544871.0</v>
      </c>
      <c r="D2948" s="9">
        <v>0.0</v>
      </c>
      <c r="E2948" s="9">
        <v>14894.0</v>
      </c>
      <c r="F2948" s="7" t="s">
        <v>352</v>
      </c>
      <c r="G2948" s="7" t="s">
        <v>353</v>
      </c>
      <c r="H2948" s="7" t="s">
        <v>354</v>
      </c>
      <c r="I2948" s="7" t="s">
        <v>410</v>
      </c>
      <c r="J2948" s="14"/>
      <c r="O2948" s="22"/>
      <c r="P2948" s="22"/>
      <c r="Q2948" s="23"/>
      <c r="R2948" s="23"/>
      <c r="S2948" s="14"/>
    </row>
    <row r="2949" ht="18.75" customHeight="1">
      <c r="A2949" s="7" t="s">
        <v>351</v>
      </c>
      <c r="B2949" s="7" t="s">
        <v>3883</v>
      </c>
      <c r="C2949" s="9">
        <v>334906.0</v>
      </c>
      <c r="D2949" s="9">
        <v>13561.0</v>
      </c>
      <c r="E2949" s="9">
        <v>121.0</v>
      </c>
      <c r="F2949" s="7" t="s">
        <v>352</v>
      </c>
      <c r="G2949" s="7" t="s">
        <v>353</v>
      </c>
      <c r="H2949" s="7" t="s">
        <v>354</v>
      </c>
      <c r="I2949" s="7" t="s">
        <v>410</v>
      </c>
      <c r="J2949" s="14"/>
      <c r="O2949" s="22"/>
      <c r="P2949" s="22"/>
      <c r="Q2949" s="23"/>
      <c r="R2949" s="23"/>
      <c r="S2949" s="14"/>
    </row>
    <row r="2950" ht="18.75" customHeight="1">
      <c r="A2950" s="7" t="s">
        <v>351</v>
      </c>
      <c r="B2950" s="7" t="s">
        <v>3883</v>
      </c>
      <c r="C2950" s="9">
        <v>256700.0</v>
      </c>
      <c r="D2950" s="9">
        <v>3463.0</v>
      </c>
      <c r="E2950" s="9">
        <v>148.0</v>
      </c>
      <c r="F2950" s="7" t="s">
        <v>352</v>
      </c>
      <c r="G2950" s="7" t="s">
        <v>353</v>
      </c>
      <c r="H2950" s="7" t="s">
        <v>354</v>
      </c>
      <c r="I2950" s="7" t="s">
        <v>410</v>
      </c>
      <c r="J2950" s="14"/>
      <c r="O2950" s="22"/>
      <c r="P2950" s="22"/>
      <c r="Q2950" s="23"/>
      <c r="R2950" s="23"/>
      <c r="S2950" s="14"/>
    </row>
    <row r="2951" ht="18.75" customHeight="1">
      <c r="A2951" s="7" t="s">
        <v>351</v>
      </c>
      <c r="B2951" s="7" t="s">
        <v>3883</v>
      </c>
      <c r="C2951" s="9">
        <v>90014.0</v>
      </c>
      <c r="D2951" s="9">
        <v>0.0</v>
      </c>
      <c r="E2951" s="9">
        <v>7.0</v>
      </c>
      <c r="F2951" s="7" t="s">
        <v>352</v>
      </c>
      <c r="G2951" s="7" t="s">
        <v>353</v>
      </c>
      <c r="H2951" s="7" t="s">
        <v>354</v>
      </c>
      <c r="I2951" s="7" t="s">
        <v>410</v>
      </c>
      <c r="J2951" s="14"/>
      <c r="O2951" s="22"/>
      <c r="P2951" s="22"/>
      <c r="Q2951" s="23"/>
      <c r="R2951" s="23"/>
      <c r="S2951" s="14"/>
    </row>
    <row r="2952" ht="18.75" customHeight="1">
      <c r="A2952" s="7" t="s">
        <v>351</v>
      </c>
      <c r="B2952" s="7" t="s">
        <v>3883</v>
      </c>
      <c r="C2952" s="9">
        <v>586529.0</v>
      </c>
      <c r="D2952" s="9">
        <v>51441.0</v>
      </c>
      <c r="E2952" s="9">
        <v>17849.0</v>
      </c>
      <c r="F2952" s="7" t="s">
        <v>352</v>
      </c>
      <c r="G2952" s="7" t="s">
        <v>353</v>
      </c>
      <c r="H2952" s="7" t="s">
        <v>354</v>
      </c>
      <c r="I2952" s="7" t="s">
        <v>410</v>
      </c>
      <c r="J2952" s="14"/>
      <c r="O2952" s="22"/>
      <c r="P2952" s="22"/>
      <c r="Q2952" s="23"/>
      <c r="R2952" s="23"/>
      <c r="S2952" s="14"/>
    </row>
    <row r="2953" ht="18.75" customHeight="1">
      <c r="A2953" s="7" t="s">
        <v>351</v>
      </c>
      <c r="B2953" s="7" t="s">
        <v>3883</v>
      </c>
      <c r="C2953" s="9">
        <v>733981.0</v>
      </c>
      <c r="D2953" s="9">
        <v>0.0</v>
      </c>
      <c r="E2953" s="9">
        <v>15809.0</v>
      </c>
      <c r="F2953" s="7" t="s">
        <v>352</v>
      </c>
      <c r="G2953" s="7" t="s">
        <v>353</v>
      </c>
      <c r="H2953" s="7" t="s">
        <v>354</v>
      </c>
      <c r="I2953" s="7" t="s">
        <v>410</v>
      </c>
      <c r="J2953" s="14"/>
      <c r="O2953" s="22"/>
      <c r="P2953" s="22"/>
      <c r="Q2953" s="23"/>
      <c r="R2953" s="23"/>
      <c r="S2953" s="14"/>
    </row>
    <row r="2954" ht="18.75" customHeight="1">
      <c r="A2954" s="7" t="s">
        <v>351</v>
      </c>
      <c r="B2954" s="7" t="s">
        <v>3883</v>
      </c>
      <c r="C2954" s="9">
        <v>719768.0</v>
      </c>
      <c r="D2954" s="9">
        <v>0.0</v>
      </c>
      <c r="E2954" s="9">
        <v>15445.0</v>
      </c>
      <c r="F2954" s="7" t="s">
        <v>352</v>
      </c>
      <c r="G2954" s="7" t="s">
        <v>353</v>
      </c>
      <c r="H2954" s="7" t="s">
        <v>354</v>
      </c>
      <c r="I2954" s="7" t="s">
        <v>410</v>
      </c>
      <c r="J2954" s="14"/>
      <c r="O2954" s="22"/>
      <c r="P2954" s="22"/>
      <c r="Q2954" s="23"/>
      <c r="R2954" s="23"/>
      <c r="S2954" s="14"/>
    </row>
    <row r="2955" ht="18.75" customHeight="1">
      <c r="A2955" s="7" t="s">
        <v>351</v>
      </c>
      <c r="B2955" s="7" t="s">
        <v>3883</v>
      </c>
      <c r="C2955" s="9">
        <v>746072.0</v>
      </c>
      <c r="D2955" s="9">
        <v>0.0</v>
      </c>
      <c r="E2955" s="9">
        <v>15597.0</v>
      </c>
      <c r="F2955" s="7" t="s">
        <v>352</v>
      </c>
      <c r="G2955" s="7" t="s">
        <v>353</v>
      </c>
      <c r="H2955" s="7" t="s">
        <v>354</v>
      </c>
      <c r="I2955" s="7" t="s">
        <v>410</v>
      </c>
      <c r="J2955" s="14"/>
      <c r="O2955" s="22"/>
      <c r="P2955" s="22"/>
      <c r="Q2955" s="23"/>
      <c r="R2955" s="23"/>
      <c r="S2955" s="14"/>
    </row>
    <row r="2956" ht="18.75" customHeight="1">
      <c r="A2956" s="7" t="s">
        <v>351</v>
      </c>
      <c r="B2956" s="7" t="s">
        <v>3883</v>
      </c>
      <c r="C2956" s="9">
        <v>1403131.0</v>
      </c>
      <c r="D2956" s="9">
        <v>0.0</v>
      </c>
      <c r="E2956" s="9">
        <v>28835.0</v>
      </c>
      <c r="F2956" s="7" t="s">
        <v>352</v>
      </c>
      <c r="G2956" s="7" t="s">
        <v>353</v>
      </c>
      <c r="H2956" s="7" t="s">
        <v>354</v>
      </c>
      <c r="I2956" s="7" t="s">
        <v>410</v>
      </c>
      <c r="J2956" s="14"/>
      <c r="O2956" s="22"/>
      <c r="P2956" s="22"/>
      <c r="Q2956" s="23"/>
      <c r="R2956" s="23"/>
      <c r="S2956" s="14"/>
    </row>
    <row r="2957" ht="18.75" customHeight="1">
      <c r="A2957" s="7" t="s">
        <v>351</v>
      </c>
      <c r="B2957" s="7" t="s">
        <v>3883</v>
      </c>
      <c r="C2957" s="9">
        <v>800103.0</v>
      </c>
      <c r="D2957" s="9">
        <v>0.0</v>
      </c>
      <c r="E2957" s="9">
        <v>15458.0</v>
      </c>
      <c r="F2957" s="7" t="s">
        <v>352</v>
      </c>
      <c r="G2957" s="7" t="s">
        <v>353</v>
      </c>
      <c r="H2957" s="7" t="s">
        <v>354</v>
      </c>
      <c r="I2957" s="7" t="s">
        <v>410</v>
      </c>
      <c r="J2957" s="14"/>
      <c r="O2957" s="22"/>
      <c r="P2957" s="22"/>
      <c r="Q2957" s="23"/>
      <c r="R2957" s="23"/>
      <c r="S2957" s="14"/>
    </row>
    <row r="2958" ht="18.75" customHeight="1">
      <c r="A2958" s="7" t="s">
        <v>351</v>
      </c>
      <c r="B2958" s="7" t="s">
        <v>3883</v>
      </c>
      <c r="C2958" s="9">
        <v>809819.0</v>
      </c>
      <c r="D2958" s="9">
        <v>0.0</v>
      </c>
      <c r="E2958" s="9">
        <v>15953.0</v>
      </c>
      <c r="F2958" s="7" t="s">
        <v>352</v>
      </c>
      <c r="G2958" s="7" t="s">
        <v>353</v>
      </c>
      <c r="H2958" s="7" t="s">
        <v>354</v>
      </c>
      <c r="I2958" s="7" t="s">
        <v>410</v>
      </c>
      <c r="J2958" s="14"/>
      <c r="O2958" s="22"/>
      <c r="P2958" s="22"/>
      <c r="Q2958" s="23"/>
      <c r="R2958" s="23"/>
      <c r="S2958" s="14"/>
    </row>
    <row r="2959" ht="18.75" customHeight="1">
      <c r="A2959" s="7" t="s">
        <v>351</v>
      </c>
      <c r="B2959" s="7" t="s">
        <v>3883</v>
      </c>
      <c r="C2959" s="9">
        <v>816191.0</v>
      </c>
      <c r="D2959" s="9">
        <v>0.0</v>
      </c>
      <c r="E2959" s="9">
        <v>15574.0</v>
      </c>
      <c r="F2959" s="7" t="s">
        <v>352</v>
      </c>
      <c r="G2959" s="7" t="s">
        <v>353</v>
      </c>
      <c r="H2959" s="7" t="s">
        <v>354</v>
      </c>
      <c r="I2959" s="7" t="s">
        <v>410</v>
      </c>
      <c r="J2959" s="14"/>
      <c r="O2959" s="22"/>
      <c r="P2959" s="22"/>
      <c r="Q2959" s="23"/>
      <c r="R2959" s="23"/>
      <c r="S2959" s="14"/>
    </row>
    <row r="2960" ht="18.75" customHeight="1">
      <c r="A2960" s="7" t="s">
        <v>408</v>
      </c>
      <c r="B2960" s="7" t="s">
        <v>3883</v>
      </c>
      <c r="C2960" s="9">
        <v>0.0</v>
      </c>
      <c r="D2960" s="9">
        <v>0.0</v>
      </c>
      <c r="E2960" s="9">
        <v>0.0</v>
      </c>
      <c r="F2960" s="7" t="s">
        <v>409</v>
      </c>
      <c r="G2960" s="7" t="s">
        <v>353</v>
      </c>
      <c r="H2960" s="7" t="s">
        <v>354</v>
      </c>
      <c r="I2960" s="7" t="s">
        <v>410</v>
      </c>
      <c r="J2960" s="14"/>
      <c r="O2960" s="22"/>
      <c r="P2960" s="22"/>
      <c r="Q2960" s="23"/>
      <c r="R2960" s="23"/>
      <c r="S2960" s="14"/>
    </row>
    <row r="2961" ht="18.75" customHeight="1">
      <c r="A2961" s="7" t="s">
        <v>408</v>
      </c>
      <c r="B2961" s="7" t="s">
        <v>3883</v>
      </c>
      <c r="C2961" s="9">
        <v>0.0</v>
      </c>
      <c r="D2961" s="9">
        <v>0.0</v>
      </c>
      <c r="E2961" s="9">
        <v>0.0</v>
      </c>
      <c r="F2961" s="7" t="s">
        <v>409</v>
      </c>
      <c r="G2961" s="7" t="s">
        <v>353</v>
      </c>
      <c r="H2961" s="7" t="s">
        <v>354</v>
      </c>
      <c r="I2961" s="7" t="s">
        <v>410</v>
      </c>
      <c r="J2961" s="14"/>
      <c r="O2961" s="22"/>
      <c r="P2961" s="22"/>
      <c r="Q2961" s="23"/>
      <c r="R2961" s="23"/>
      <c r="S2961" s="14"/>
    </row>
    <row r="2962" ht="18.75" customHeight="1">
      <c r="A2962" s="7" t="s">
        <v>408</v>
      </c>
      <c r="B2962" s="7" t="s">
        <v>3883</v>
      </c>
      <c r="C2962" s="9">
        <v>0.0</v>
      </c>
      <c r="D2962" s="9">
        <v>0.0</v>
      </c>
      <c r="E2962" s="9">
        <v>0.0</v>
      </c>
      <c r="F2962" s="7" t="s">
        <v>409</v>
      </c>
      <c r="G2962" s="7" t="s">
        <v>353</v>
      </c>
      <c r="H2962" s="7" t="s">
        <v>354</v>
      </c>
      <c r="I2962" s="7" t="s">
        <v>410</v>
      </c>
      <c r="J2962" s="14"/>
      <c r="O2962" s="22"/>
      <c r="P2962" s="22"/>
      <c r="Q2962" s="23"/>
      <c r="R2962" s="23"/>
      <c r="S2962" s="14"/>
    </row>
    <row r="2963" ht="18.75" customHeight="1">
      <c r="A2963" s="7" t="s">
        <v>1291</v>
      </c>
      <c r="B2963" s="7" t="s">
        <v>3883</v>
      </c>
      <c r="C2963" s="9">
        <v>0.0</v>
      </c>
      <c r="D2963" s="9">
        <v>0.0</v>
      </c>
      <c r="E2963" s="9">
        <v>0.0</v>
      </c>
      <c r="F2963" s="7" t="s">
        <v>1292</v>
      </c>
      <c r="G2963" s="7" t="s">
        <v>353</v>
      </c>
      <c r="H2963" s="7" t="s">
        <v>354</v>
      </c>
      <c r="I2963" s="7" t="s">
        <v>410</v>
      </c>
      <c r="J2963" s="14"/>
      <c r="O2963" s="22"/>
      <c r="P2963" s="22"/>
      <c r="Q2963" s="23"/>
      <c r="R2963" s="23"/>
      <c r="S2963" s="14"/>
    </row>
    <row r="2964" ht="18.75" customHeight="1">
      <c r="A2964" s="7" t="s">
        <v>1737</v>
      </c>
      <c r="B2964" s="7" t="s">
        <v>3883</v>
      </c>
      <c r="C2964" s="9">
        <v>271206.0</v>
      </c>
      <c r="D2964" s="9">
        <v>0.0</v>
      </c>
      <c r="E2964" s="9">
        <v>7105.0</v>
      </c>
      <c r="F2964" s="7" t="s">
        <v>1738</v>
      </c>
      <c r="G2964" s="7" t="s">
        <v>353</v>
      </c>
      <c r="H2964" s="7" t="s">
        <v>354</v>
      </c>
      <c r="I2964" s="7" t="s">
        <v>410</v>
      </c>
      <c r="J2964" s="14"/>
      <c r="O2964" s="22"/>
      <c r="P2964" s="22"/>
      <c r="Q2964" s="23"/>
      <c r="R2964" s="23"/>
      <c r="S2964" s="14"/>
    </row>
    <row r="2965" ht="18.75" customHeight="1">
      <c r="A2965" s="7" t="s">
        <v>1511</v>
      </c>
      <c r="B2965" s="7" t="s">
        <v>3883</v>
      </c>
      <c r="C2965" s="9">
        <v>605220.0</v>
      </c>
      <c r="D2965" s="9">
        <v>0.0</v>
      </c>
      <c r="E2965" s="9">
        <v>21711.0</v>
      </c>
      <c r="F2965" s="7" t="s">
        <v>1512</v>
      </c>
      <c r="G2965" s="7" t="s">
        <v>353</v>
      </c>
      <c r="H2965" s="7" t="s">
        <v>354</v>
      </c>
      <c r="I2965" s="7" t="s">
        <v>355</v>
      </c>
      <c r="J2965" s="14"/>
      <c r="O2965" s="22"/>
      <c r="P2965" s="22"/>
      <c r="Q2965" s="23"/>
      <c r="R2965" s="23"/>
      <c r="S2965" s="14"/>
    </row>
    <row r="2966" ht="18.75" customHeight="1">
      <c r="A2966" s="7" t="s">
        <v>1657</v>
      </c>
      <c r="B2966" s="7" t="s">
        <v>3883</v>
      </c>
      <c r="C2966" s="9">
        <v>10370.0</v>
      </c>
      <c r="D2966" s="9">
        <v>725.0</v>
      </c>
      <c r="E2966" s="9">
        <v>5.0</v>
      </c>
      <c r="F2966" s="7" t="s">
        <v>1658</v>
      </c>
      <c r="G2966" s="7" t="s">
        <v>358</v>
      </c>
      <c r="H2966" s="7" t="s">
        <v>466</v>
      </c>
      <c r="I2966" s="7" t="s">
        <v>355</v>
      </c>
      <c r="J2966" s="14"/>
      <c r="O2966" s="22"/>
      <c r="P2966" s="22"/>
      <c r="Q2966" s="23"/>
      <c r="R2966" s="23"/>
      <c r="S2966" s="14"/>
    </row>
    <row r="2967" ht="18.75" customHeight="1">
      <c r="A2967" s="7" t="s">
        <v>1657</v>
      </c>
      <c r="B2967" s="7" t="s">
        <v>3883</v>
      </c>
      <c r="C2967" s="9">
        <v>71723.0</v>
      </c>
      <c r="D2967" s="9">
        <v>52475.0</v>
      </c>
      <c r="E2967" s="9">
        <v>59.0</v>
      </c>
      <c r="F2967" s="7" t="s">
        <v>1658</v>
      </c>
      <c r="G2967" s="7" t="s">
        <v>358</v>
      </c>
      <c r="H2967" s="7" t="s">
        <v>466</v>
      </c>
      <c r="I2967" s="7" t="s">
        <v>355</v>
      </c>
      <c r="J2967" s="14"/>
      <c r="O2967" s="22"/>
      <c r="P2967" s="22"/>
      <c r="Q2967" s="23"/>
      <c r="R2967" s="23"/>
      <c r="S2967" s="14"/>
    </row>
    <row r="2968" ht="18.75" customHeight="1">
      <c r="A2968" s="7" t="s">
        <v>1657</v>
      </c>
      <c r="B2968" s="7" t="s">
        <v>3883</v>
      </c>
      <c r="C2968" s="9">
        <v>346249.0</v>
      </c>
      <c r="D2968" s="9">
        <v>287761.0</v>
      </c>
      <c r="E2968" s="9">
        <v>120.0</v>
      </c>
      <c r="F2968" s="7" t="s">
        <v>1658</v>
      </c>
      <c r="G2968" s="7" t="s">
        <v>358</v>
      </c>
      <c r="H2968" s="7" t="s">
        <v>466</v>
      </c>
      <c r="I2968" s="7" t="s">
        <v>355</v>
      </c>
      <c r="J2968" s="14"/>
      <c r="O2968" s="22"/>
      <c r="P2968" s="22"/>
      <c r="Q2968" s="23"/>
      <c r="R2968" s="23"/>
      <c r="S2968" s="14"/>
    </row>
    <row r="2969" ht="18.75" customHeight="1">
      <c r="A2969" s="7" t="s">
        <v>1657</v>
      </c>
      <c r="B2969" s="7" t="s">
        <v>3883</v>
      </c>
      <c r="C2969" s="9">
        <v>405067.0</v>
      </c>
      <c r="D2969" s="9">
        <v>229157.0</v>
      </c>
      <c r="E2969" s="9">
        <v>194.0</v>
      </c>
      <c r="F2969" s="7" t="s">
        <v>1658</v>
      </c>
      <c r="G2969" s="7" t="s">
        <v>358</v>
      </c>
      <c r="H2969" s="7" t="s">
        <v>466</v>
      </c>
      <c r="I2969" s="7" t="s">
        <v>355</v>
      </c>
      <c r="J2969" s="14"/>
      <c r="O2969" s="22"/>
      <c r="P2969" s="22"/>
      <c r="Q2969" s="23"/>
      <c r="R2969" s="23"/>
      <c r="S2969" s="14"/>
    </row>
    <row r="2970" ht="18.75" customHeight="1">
      <c r="A2970" s="7" t="s">
        <v>1751</v>
      </c>
      <c r="B2970" s="7" t="s">
        <v>3883</v>
      </c>
      <c r="C2970" s="9">
        <v>47567.0</v>
      </c>
      <c r="D2970" s="9">
        <v>0.0</v>
      </c>
      <c r="E2970" s="9">
        <v>842.0</v>
      </c>
      <c r="F2970" s="7" t="s">
        <v>1752</v>
      </c>
      <c r="G2970" s="7" t="s">
        <v>404</v>
      </c>
      <c r="H2970" s="7" t="s">
        <v>783</v>
      </c>
      <c r="I2970" s="7" t="s">
        <v>355</v>
      </c>
      <c r="J2970" s="14"/>
      <c r="O2970" s="22"/>
      <c r="P2970" s="22"/>
      <c r="Q2970" s="23"/>
      <c r="R2970" s="23"/>
      <c r="S2970" s="14"/>
    </row>
    <row r="2971" ht="18.75" customHeight="1">
      <c r="A2971" s="7" t="s">
        <v>1155</v>
      </c>
      <c r="B2971" s="7" t="s">
        <v>3883</v>
      </c>
      <c r="C2971" s="9">
        <v>89092.0</v>
      </c>
      <c r="D2971" s="9">
        <v>0.0</v>
      </c>
      <c r="E2971" s="9">
        <v>1542.0</v>
      </c>
      <c r="F2971" s="7" t="s">
        <v>1156</v>
      </c>
      <c r="G2971" s="7" t="s">
        <v>358</v>
      </c>
      <c r="H2971" s="7" t="s">
        <v>359</v>
      </c>
      <c r="I2971" s="7" t="s">
        <v>355</v>
      </c>
      <c r="J2971" s="14"/>
      <c r="O2971" s="22"/>
      <c r="P2971" s="22"/>
      <c r="Q2971" s="23"/>
      <c r="R2971" s="23"/>
      <c r="S2971" s="14"/>
    </row>
    <row r="2972" ht="18.75" customHeight="1">
      <c r="A2972" s="7" t="s">
        <v>1155</v>
      </c>
      <c r="B2972" s="7" t="s">
        <v>3883</v>
      </c>
      <c r="C2972" s="9">
        <v>251235.0</v>
      </c>
      <c r="D2972" s="9">
        <v>0.0</v>
      </c>
      <c r="E2972" s="9">
        <v>2200.0</v>
      </c>
      <c r="F2972" s="7" t="s">
        <v>1156</v>
      </c>
      <c r="G2972" s="7" t="s">
        <v>358</v>
      </c>
      <c r="H2972" s="7" t="s">
        <v>359</v>
      </c>
      <c r="I2972" s="7" t="s">
        <v>355</v>
      </c>
      <c r="J2972" s="14"/>
      <c r="O2972" s="22"/>
      <c r="P2972" s="22"/>
      <c r="Q2972" s="23"/>
      <c r="R2972" s="23"/>
      <c r="S2972" s="14"/>
    </row>
    <row r="2973" ht="18.75" customHeight="1">
      <c r="A2973" s="7" t="s">
        <v>1155</v>
      </c>
      <c r="B2973" s="7" t="s">
        <v>3883</v>
      </c>
      <c r="C2973" s="9">
        <v>158029.0</v>
      </c>
      <c r="D2973" s="9">
        <v>0.0</v>
      </c>
      <c r="E2973" s="9">
        <v>5927.0</v>
      </c>
      <c r="F2973" s="7" t="s">
        <v>1156</v>
      </c>
      <c r="G2973" s="7" t="s">
        <v>358</v>
      </c>
      <c r="H2973" s="7" t="s">
        <v>359</v>
      </c>
      <c r="I2973" s="7" t="s">
        <v>355</v>
      </c>
      <c r="J2973" s="14"/>
      <c r="O2973" s="22"/>
      <c r="P2973" s="22"/>
      <c r="Q2973" s="23"/>
      <c r="R2973" s="23"/>
      <c r="S2973" s="14"/>
    </row>
    <row r="2974" ht="18.75" customHeight="1">
      <c r="A2974" s="7" t="s">
        <v>1155</v>
      </c>
      <c r="B2974" s="7" t="s">
        <v>3883</v>
      </c>
      <c r="C2974" s="9">
        <v>451384.0</v>
      </c>
      <c r="D2974" s="9">
        <v>0.0</v>
      </c>
      <c r="E2974" s="9">
        <v>6843.0</v>
      </c>
      <c r="F2974" s="7" t="s">
        <v>1156</v>
      </c>
      <c r="G2974" s="7" t="s">
        <v>358</v>
      </c>
      <c r="H2974" s="7" t="s">
        <v>359</v>
      </c>
      <c r="I2974" s="7" t="s">
        <v>355</v>
      </c>
      <c r="J2974" s="14"/>
      <c r="O2974" s="22"/>
      <c r="P2974" s="22"/>
      <c r="Q2974" s="23"/>
      <c r="R2974" s="23"/>
      <c r="S2974" s="14"/>
    </row>
    <row r="2975" ht="18.75" customHeight="1">
      <c r="A2975" s="7" t="s">
        <v>1155</v>
      </c>
      <c r="B2975" s="7" t="s">
        <v>3883</v>
      </c>
      <c r="C2975" s="9">
        <v>51134.0</v>
      </c>
      <c r="D2975" s="9">
        <v>45098.0</v>
      </c>
      <c r="E2975" s="9">
        <v>26.0</v>
      </c>
      <c r="F2975" s="7" t="s">
        <v>1156</v>
      </c>
      <c r="G2975" s="7" t="s">
        <v>358</v>
      </c>
      <c r="H2975" s="7" t="s">
        <v>359</v>
      </c>
      <c r="I2975" s="7" t="s">
        <v>355</v>
      </c>
      <c r="J2975" s="14"/>
      <c r="O2975" s="22"/>
      <c r="P2975" s="22"/>
      <c r="Q2975" s="23"/>
      <c r="R2975" s="23"/>
      <c r="S2975" s="14"/>
    </row>
    <row r="2976" ht="18.75" customHeight="1">
      <c r="A2976" s="7" t="s">
        <v>1155</v>
      </c>
      <c r="B2976" s="7" t="s">
        <v>3883</v>
      </c>
      <c r="C2976" s="9">
        <v>48432.0</v>
      </c>
      <c r="D2976" s="9">
        <v>43955.0</v>
      </c>
      <c r="E2976" s="9">
        <v>21.0</v>
      </c>
      <c r="F2976" s="7" t="s">
        <v>1156</v>
      </c>
      <c r="G2976" s="7" t="s">
        <v>358</v>
      </c>
      <c r="H2976" s="7" t="s">
        <v>359</v>
      </c>
      <c r="I2976" s="7" t="s">
        <v>355</v>
      </c>
      <c r="J2976" s="14"/>
      <c r="O2976" s="22"/>
      <c r="P2976" s="22"/>
      <c r="Q2976" s="23"/>
      <c r="R2976" s="23"/>
      <c r="S2976" s="14"/>
    </row>
    <row r="2977" ht="18.75" customHeight="1">
      <c r="A2977" s="7" t="s">
        <v>1155</v>
      </c>
      <c r="B2977" s="7" t="s">
        <v>3883</v>
      </c>
      <c r="C2977" s="9">
        <v>102513.0</v>
      </c>
      <c r="D2977" s="9">
        <v>91663.0</v>
      </c>
      <c r="E2977" s="9">
        <v>87.0</v>
      </c>
      <c r="F2977" s="7" t="s">
        <v>1156</v>
      </c>
      <c r="G2977" s="7" t="s">
        <v>358</v>
      </c>
      <c r="H2977" s="7" t="s">
        <v>359</v>
      </c>
      <c r="I2977" s="7" t="s">
        <v>355</v>
      </c>
      <c r="J2977" s="14"/>
      <c r="O2977" s="22"/>
      <c r="P2977" s="22"/>
      <c r="Q2977" s="23"/>
      <c r="R2977" s="23"/>
      <c r="S2977" s="14"/>
    </row>
    <row r="2978" ht="18.75" customHeight="1">
      <c r="A2978" s="7" t="s">
        <v>1155</v>
      </c>
      <c r="B2978" s="7" t="s">
        <v>3883</v>
      </c>
      <c r="C2978" s="9">
        <v>103852.0</v>
      </c>
      <c r="D2978" s="9">
        <v>93254.0</v>
      </c>
      <c r="E2978" s="9">
        <v>57.0</v>
      </c>
      <c r="F2978" s="7" t="s">
        <v>1156</v>
      </c>
      <c r="G2978" s="7" t="s">
        <v>358</v>
      </c>
      <c r="H2978" s="7" t="s">
        <v>359</v>
      </c>
      <c r="I2978" s="7" t="s">
        <v>355</v>
      </c>
      <c r="J2978" s="14"/>
      <c r="O2978" s="22"/>
      <c r="P2978" s="22"/>
      <c r="Q2978" s="23"/>
      <c r="R2978" s="23"/>
      <c r="S2978" s="14"/>
    </row>
    <row r="2979" ht="18.75" customHeight="1">
      <c r="A2979" s="7" t="s">
        <v>1375</v>
      </c>
      <c r="B2979" s="7" t="s">
        <v>3883</v>
      </c>
      <c r="C2979" s="9">
        <v>251549.0</v>
      </c>
      <c r="D2979" s="9">
        <v>0.0</v>
      </c>
      <c r="E2979" s="9">
        <v>13524.0</v>
      </c>
      <c r="F2979" s="7" t="s">
        <v>1376</v>
      </c>
      <c r="G2979" s="7" t="s">
        <v>353</v>
      </c>
      <c r="H2979" s="7" t="s">
        <v>378</v>
      </c>
      <c r="I2979" s="7" t="s">
        <v>355</v>
      </c>
      <c r="J2979" s="14"/>
      <c r="O2979" s="22"/>
      <c r="P2979" s="22"/>
      <c r="Q2979" s="23"/>
      <c r="R2979" s="23"/>
      <c r="S2979" s="14"/>
    </row>
    <row r="2980" ht="18.75" customHeight="1">
      <c r="A2980" s="7" t="s">
        <v>1723</v>
      </c>
      <c r="B2980" s="7" t="s">
        <v>3883</v>
      </c>
      <c r="C2980" s="9">
        <v>0.0</v>
      </c>
      <c r="D2980" s="9">
        <v>0.0</v>
      </c>
      <c r="E2980" s="9">
        <v>0.0</v>
      </c>
      <c r="F2980" s="7" t="s">
        <v>1724</v>
      </c>
      <c r="G2980" s="7" t="s">
        <v>353</v>
      </c>
      <c r="H2980" s="7" t="s">
        <v>413</v>
      </c>
      <c r="I2980" s="7" t="s">
        <v>355</v>
      </c>
      <c r="J2980" s="14"/>
      <c r="O2980" s="22"/>
      <c r="P2980" s="22"/>
      <c r="Q2980" s="23"/>
      <c r="R2980" s="23"/>
      <c r="S2980" s="14"/>
    </row>
    <row r="2981" ht="18.75" customHeight="1">
      <c r="A2981" s="7" t="s">
        <v>1807</v>
      </c>
      <c r="B2981" s="7" t="s">
        <v>3883</v>
      </c>
      <c r="C2981" s="9">
        <v>16839.0</v>
      </c>
      <c r="D2981" s="9">
        <v>11410.0</v>
      </c>
      <c r="E2981" s="9">
        <v>17.0</v>
      </c>
      <c r="F2981" s="7" t="s">
        <v>1808</v>
      </c>
      <c r="G2981" s="7" t="s">
        <v>353</v>
      </c>
      <c r="H2981" s="7" t="s">
        <v>354</v>
      </c>
      <c r="I2981" s="7" t="s">
        <v>355</v>
      </c>
      <c r="J2981" s="14"/>
      <c r="O2981" s="22"/>
      <c r="P2981" s="22"/>
      <c r="Q2981" s="23"/>
      <c r="R2981" s="23"/>
      <c r="S2981" s="14"/>
    </row>
    <row r="2982" ht="18.75" customHeight="1">
      <c r="A2982" s="7" t="s">
        <v>1555</v>
      </c>
      <c r="B2982" s="7" t="s">
        <v>3883</v>
      </c>
      <c r="C2982" s="9">
        <v>0.0</v>
      </c>
      <c r="D2982" s="9">
        <v>0.0</v>
      </c>
      <c r="E2982" s="9">
        <v>0.0</v>
      </c>
      <c r="F2982" s="7" t="s">
        <v>1556</v>
      </c>
      <c r="G2982" s="7" t="s">
        <v>404</v>
      </c>
      <c r="H2982" s="7" t="s">
        <v>760</v>
      </c>
      <c r="I2982" s="7" t="s">
        <v>355</v>
      </c>
      <c r="J2982" s="14"/>
      <c r="O2982" s="22"/>
      <c r="P2982" s="22"/>
      <c r="Q2982" s="23"/>
      <c r="R2982" s="23"/>
      <c r="S2982" s="14"/>
    </row>
    <row r="2983" ht="18.75" customHeight="1">
      <c r="A2983" s="7" t="s">
        <v>1555</v>
      </c>
      <c r="B2983" s="7" t="s">
        <v>3883</v>
      </c>
      <c r="C2983" s="9">
        <v>107454.0</v>
      </c>
      <c r="D2983" s="9">
        <v>5782.0</v>
      </c>
      <c r="E2983" s="9">
        <v>155.0</v>
      </c>
      <c r="F2983" s="7" t="s">
        <v>1556</v>
      </c>
      <c r="G2983" s="7" t="s">
        <v>404</v>
      </c>
      <c r="H2983" s="7" t="s">
        <v>760</v>
      </c>
      <c r="I2983" s="7" t="s">
        <v>355</v>
      </c>
      <c r="J2983" s="14"/>
      <c r="O2983" s="22"/>
      <c r="P2983" s="22"/>
      <c r="Q2983" s="23"/>
      <c r="R2983" s="23"/>
      <c r="S2983" s="14"/>
    </row>
    <row r="2984" ht="18.75" customHeight="1">
      <c r="A2984" s="7" t="s">
        <v>1555</v>
      </c>
      <c r="B2984" s="7" t="s">
        <v>3883</v>
      </c>
      <c r="C2984" s="9">
        <v>120847.0</v>
      </c>
      <c r="D2984" s="9">
        <v>106525.0</v>
      </c>
      <c r="E2984" s="9">
        <v>25.0</v>
      </c>
      <c r="F2984" s="7" t="s">
        <v>1556</v>
      </c>
      <c r="G2984" s="7" t="s">
        <v>404</v>
      </c>
      <c r="H2984" s="7" t="s">
        <v>760</v>
      </c>
      <c r="I2984" s="7" t="s">
        <v>355</v>
      </c>
      <c r="J2984" s="14"/>
      <c r="O2984" s="22"/>
      <c r="P2984" s="22"/>
      <c r="Q2984" s="23"/>
      <c r="R2984" s="23"/>
      <c r="S2984" s="14"/>
    </row>
    <row r="2985" ht="18.75" customHeight="1">
      <c r="A2985" s="7" t="s">
        <v>1555</v>
      </c>
      <c r="B2985" s="7" t="s">
        <v>3883</v>
      </c>
      <c r="C2985" s="9">
        <v>93344.0</v>
      </c>
      <c r="D2985" s="9">
        <v>0.0</v>
      </c>
      <c r="E2985" s="9">
        <v>1387.0</v>
      </c>
      <c r="F2985" s="7" t="s">
        <v>1556</v>
      </c>
      <c r="G2985" s="7" t="s">
        <v>404</v>
      </c>
      <c r="H2985" s="7" t="s">
        <v>760</v>
      </c>
      <c r="I2985" s="7" t="s">
        <v>355</v>
      </c>
      <c r="J2985" s="14"/>
      <c r="O2985" s="22"/>
      <c r="P2985" s="22"/>
      <c r="Q2985" s="23"/>
      <c r="R2985" s="23"/>
      <c r="S2985" s="14"/>
    </row>
    <row r="2986" ht="18.75" customHeight="1">
      <c r="A2986" s="7" t="s">
        <v>856</v>
      </c>
      <c r="B2986" s="7" t="s">
        <v>3883</v>
      </c>
      <c r="C2986" s="9">
        <v>9628.0</v>
      </c>
      <c r="D2986" s="9">
        <v>0.0</v>
      </c>
      <c r="E2986" s="9">
        <v>224.0</v>
      </c>
      <c r="F2986" s="7" t="s">
        <v>857</v>
      </c>
      <c r="G2986" s="7" t="s">
        <v>364</v>
      </c>
      <c r="H2986" s="7" t="s">
        <v>365</v>
      </c>
      <c r="I2986" s="7" t="s">
        <v>355</v>
      </c>
      <c r="J2986" s="14"/>
      <c r="O2986" s="22"/>
      <c r="P2986" s="22"/>
      <c r="Q2986" s="23"/>
      <c r="R2986" s="23"/>
      <c r="S2986" s="14"/>
    </row>
    <row r="2987" ht="18.75" customHeight="1">
      <c r="A2987" s="7" t="s">
        <v>856</v>
      </c>
      <c r="B2987" s="7" t="s">
        <v>3883</v>
      </c>
      <c r="C2987" s="9">
        <v>8814.0</v>
      </c>
      <c r="D2987" s="9">
        <v>7540.0</v>
      </c>
      <c r="E2987" s="9">
        <v>16.0</v>
      </c>
      <c r="F2987" s="7" t="s">
        <v>857</v>
      </c>
      <c r="G2987" s="7" t="s">
        <v>364</v>
      </c>
      <c r="H2987" s="7" t="s">
        <v>365</v>
      </c>
      <c r="I2987" s="7" t="s">
        <v>355</v>
      </c>
      <c r="J2987" s="14"/>
      <c r="O2987" s="22"/>
      <c r="P2987" s="22"/>
      <c r="Q2987" s="23"/>
      <c r="R2987" s="23"/>
      <c r="S2987" s="14"/>
    </row>
    <row r="2988" ht="18.75" customHeight="1">
      <c r="A2988" s="7" t="s">
        <v>501</v>
      </c>
      <c r="B2988" s="7" t="s">
        <v>3883</v>
      </c>
      <c r="C2988" s="9">
        <v>37297.0</v>
      </c>
      <c r="D2988" s="9">
        <v>0.0</v>
      </c>
      <c r="E2988" s="9">
        <v>760.0</v>
      </c>
      <c r="F2988" s="7" t="s">
        <v>502</v>
      </c>
      <c r="G2988" s="7" t="s">
        <v>503</v>
      </c>
      <c r="H2988" s="7" t="s">
        <v>504</v>
      </c>
      <c r="I2988" s="7" t="s">
        <v>410</v>
      </c>
      <c r="J2988" s="14"/>
      <c r="O2988" s="22"/>
      <c r="P2988" s="22"/>
      <c r="Q2988" s="23"/>
      <c r="R2988" s="23"/>
      <c r="S2988" s="14"/>
    </row>
    <row r="2989" ht="18.75" customHeight="1">
      <c r="A2989" s="7" t="s">
        <v>501</v>
      </c>
      <c r="B2989" s="7" t="s">
        <v>3883</v>
      </c>
      <c r="C2989" s="9">
        <v>1256639.0</v>
      </c>
      <c r="D2989" s="9">
        <v>0.0</v>
      </c>
      <c r="E2989" s="9">
        <v>25322.0</v>
      </c>
      <c r="F2989" s="7" t="s">
        <v>502</v>
      </c>
      <c r="G2989" s="7" t="s">
        <v>503</v>
      </c>
      <c r="H2989" s="7" t="s">
        <v>504</v>
      </c>
      <c r="I2989" s="7" t="s">
        <v>410</v>
      </c>
      <c r="J2989" s="14"/>
      <c r="O2989" s="22"/>
      <c r="P2989" s="22"/>
      <c r="Q2989" s="23"/>
      <c r="R2989" s="23"/>
      <c r="S2989" s="14"/>
    </row>
    <row r="2990" ht="18.75" customHeight="1">
      <c r="A2990" s="7" t="s">
        <v>501</v>
      </c>
      <c r="B2990" s="7" t="s">
        <v>3883</v>
      </c>
      <c r="C2990" s="9">
        <v>1679183.0</v>
      </c>
      <c r="D2990" s="9">
        <v>0.0</v>
      </c>
      <c r="E2990" s="9">
        <v>49907.0</v>
      </c>
      <c r="F2990" s="7" t="s">
        <v>502</v>
      </c>
      <c r="G2990" s="7" t="s">
        <v>503</v>
      </c>
      <c r="H2990" s="7" t="s">
        <v>504</v>
      </c>
      <c r="I2990" s="7" t="s">
        <v>410</v>
      </c>
      <c r="J2990" s="14"/>
      <c r="O2990" s="22"/>
      <c r="P2990" s="22"/>
      <c r="Q2990" s="23"/>
      <c r="R2990" s="23"/>
      <c r="S2990" s="14"/>
    </row>
    <row r="2991" ht="18.75" customHeight="1">
      <c r="A2991" s="7" t="s">
        <v>501</v>
      </c>
      <c r="B2991" s="7" t="s">
        <v>3883</v>
      </c>
      <c r="C2991" s="9">
        <v>45475.0</v>
      </c>
      <c r="D2991" s="9">
        <v>0.0</v>
      </c>
      <c r="E2991" s="9">
        <v>539.0</v>
      </c>
      <c r="F2991" s="7" t="s">
        <v>502</v>
      </c>
      <c r="G2991" s="7" t="s">
        <v>503</v>
      </c>
      <c r="H2991" s="7" t="s">
        <v>504</v>
      </c>
      <c r="I2991" s="7" t="s">
        <v>410</v>
      </c>
      <c r="J2991" s="14"/>
      <c r="O2991" s="22"/>
      <c r="P2991" s="22"/>
      <c r="Q2991" s="23"/>
      <c r="R2991" s="23"/>
      <c r="S2991" s="14"/>
    </row>
    <row r="2992" ht="18.75" customHeight="1">
      <c r="A2992" s="7" t="s">
        <v>501</v>
      </c>
      <c r="B2992" s="7" t="s">
        <v>3883</v>
      </c>
      <c r="C2992" s="9">
        <v>607508.0</v>
      </c>
      <c r="D2992" s="9">
        <v>490647.0</v>
      </c>
      <c r="E2992" s="9">
        <v>481.0</v>
      </c>
      <c r="F2992" s="7" t="s">
        <v>502</v>
      </c>
      <c r="G2992" s="7" t="s">
        <v>503</v>
      </c>
      <c r="H2992" s="7" t="s">
        <v>504</v>
      </c>
      <c r="I2992" s="7" t="s">
        <v>410</v>
      </c>
      <c r="J2992" s="14"/>
      <c r="O2992" s="22"/>
      <c r="P2992" s="22"/>
      <c r="Q2992" s="23"/>
      <c r="R2992" s="23"/>
      <c r="S2992" s="14"/>
    </row>
    <row r="2993" ht="18.75" customHeight="1">
      <c r="A2993" s="7" t="s">
        <v>501</v>
      </c>
      <c r="B2993" s="7" t="s">
        <v>3883</v>
      </c>
      <c r="C2993" s="9">
        <v>30636.0</v>
      </c>
      <c r="D2993" s="9">
        <v>22608.0</v>
      </c>
      <c r="E2993" s="9">
        <v>44.0</v>
      </c>
      <c r="F2993" s="7" t="s">
        <v>502</v>
      </c>
      <c r="G2993" s="7" t="s">
        <v>503</v>
      </c>
      <c r="H2993" s="7" t="s">
        <v>504</v>
      </c>
      <c r="I2993" s="7" t="s">
        <v>410</v>
      </c>
      <c r="J2993" s="14"/>
      <c r="O2993" s="22"/>
      <c r="P2993" s="22"/>
      <c r="Q2993" s="23"/>
      <c r="R2993" s="23"/>
      <c r="S2993" s="14"/>
    </row>
    <row r="2994" ht="18.75" customHeight="1">
      <c r="A2994" s="7" t="s">
        <v>501</v>
      </c>
      <c r="B2994" s="7" t="s">
        <v>3883</v>
      </c>
      <c r="C2994" s="9">
        <v>326216.0</v>
      </c>
      <c r="D2994" s="9">
        <v>258833.0</v>
      </c>
      <c r="E2994" s="9">
        <v>544.0</v>
      </c>
      <c r="F2994" s="7" t="s">
        <v>502</v>
      </c>
      <c r="G2994" s="7" t="s">
        <v>503</v>
      </c>
      <c r="H2994" s="7" t="s">
        <v>504</v>
      </c>
      <c r="I2994" s="7" t="s">
        <v>410</v>
      </c>
      <c r="J2994" s="14"/>
      <c r="O2994" s="22"/>
      <c r="P2994" s="22"/>
      <c r="Q2994" s="23"/>
      <c r="R2994" s="23"/>
      <c r="S2994" s="14"/>
    </row>
    <row r="2995" ht="18.75" customHeight="1">
      <c r="A2995" s="7" t="s">
        <v>501</v>
      </c>
      <c r="B2995" s="7" t="s">
        <v>3883</v>
      </c>
      <c r="C2995" s="9">
        <v>380934.0</v>
      </c>
      <c r="D2995" s="9">
        <v>325054.0</v>
      </c>
      <c r="E2995" s="9">
        <v>314.0</v>
      </c>
      <c r="F2995" s="7" t="s">
        <v>502</v>
      </c>
      <c r="G2995" s="7" t="s">
        <v>503</v>
      </c>
      <c r="H2995" s="7" t="s">
        <v>504</v>
      </c>
      <c r="I2995" s="7" t="s">
        <v>410</v>
      </c>
      <c r="J2995" s="14"/>
      <c r="O2995" s="22"/>
      <c r="P2995" s="22"/>
      <c r="Q2995" s="23"/>
      <c r="R2995" s="23"/>
      <c r="S2995" s="14"/>
    </row>
    <row r="2996" ht="18.75" customHeight="1">
      <c r="A2996" s="7" t="s">
        <v>501</v>
      </c>
      <c r="B2996" s="7" t="s">
        <v>3883</v>
      </c>
      <c r="C2996" s="9">
        <v>197385.0</v>
      </c>
      <c r="D2996" s="9">
        <v>144567.0</v>
      </c>
      <c r="E2996" s="9">
        <v>359.0</v>
      </c>
      <c r="F2996" s="7" t="s">
        <v>502</v>
      </c>
      <c r="G2996" s="7" t="s">
        <v>503</v>
      </c>
      <c r="H2996" s="7" t="s">
        <v>504</v>
      </c>
      <c r="I2996" s="7" t="s">
        <v>410</v>
      </c>
      <c r="J2996" s="14"/>
      <c r="O2996" s="22"/>
      <c r="P2996" s="22"/>
      <c r="Q2996" s="23"/>
      <c r="R2996" s="23"/>
      <c r="S2996" s="14"/>
    </row>
    <row r="2997" ht="18.75" customHeight="1">
      <c r="A2997" s="7" t="s">
        <v>501</v>
      </c>
      <c r="B2997" s="7" t="s">
        <v>3883</v>
      </c>
      <c r="C2997" s="9">
        <v>563024.0</v>
      </c>
      <c r="D2997" s="9">
        <v>458160.0</v>
      </c>
      <c r="E2997" s="9">
        <v>39.0</v>
      </c>
      <c r="F2997" s="7" t="s">
        <v>502</v>
      </c>
      <c r="G2997" s="7" t="s">
        <v>503</v>
      </c>
      <c r="H2997" s="7" t="s">
        <v>504</v>
      </c>
      <c r="I2997" s="7" t="s">
        <v>410</v>
      </c>
      <c r="J2997" s="14"/>
      <c r="O2997" s="22"/>
      <c r="P2997" s="22"/>
      <c r="Q2997" s="23"/>
      <c r="R2997" s="23"/>
      <c r="S2997" s="14"/>
    </row>
    <row r="2998" ht="18.75" customHeight="1">
      <c r="A2998" s="7" t="s">
        <v>501</v>
      </c>
      <c r="B2998" s="7" t="s">
        <v>3883</v>
      </c>
      <c r="C2998" s="9">
        <v>3651644.0</v>
      </c>
      <c r="D2998" s="9">
        <v>6280.0</v>
      </c>
      <c r="E2998" s="9">
        <v>108415.0</v>
      </c>
      <c r="F2998" s="7" t="s">
        <v>502</v>
      </c>
      <c r="G2998" s="7" t="s">
        <v>503</v>
      </c>
      <c r="H2998" s="7" t="s">
        <v>504</v>
      </c>
      <c r="I2998" s="7" t="s">
        <v>410</v>
      </c>
      <c r="J2998" s="14"/>
      <c r="O2998" s="22"/>
      <c r="P2998" s="22"/>
      <c r="Q2998" s="23"/>
      <c r="R2998" s="23"/>
      <c r="S2998" s="14"/>
    </row>
    <row r="2999" ht="18.75" customHeight="1">
      <c r="A2999" s="7" t="s">
        <v>501</v>
      </c>
      <c r="B2999" s="7" t="s">
        <v>3883</v>
      </c>
      <c r="C2999" s="9">
        <v>270716.0</v>
      </c>
      <c r="D2999" s="9">
        <v>182447.0</v>
      </c>
      <c r="E2999" s="9">
        <v>17.0</v>
      </c>
      <c r="F2999" s="7" t="s">
        <v>502</v>
      </c>
      <c r="G2999" s="7" t="s">
        <v>503</v>
      </c>
      <c r="H2999" s="7" t="s">
        <v>504</v>
      </c>
      <c r="I2999" s="7" t="s">
        <v>410</v>
      </c>
      <c r="J2999" s="14"/>
      <c r="O2999" s="22"/>
      <c r="P2999" s="22"/>
      <c r="Q2999" s="23"/>
      <c r="R2999" s="23"/>
      <c r="S2999" s="14"/>
    </row>
    <row r="3000" ht="18.75" customHeight="1">
      <c r="A3000" s="7" t="s">
        <v>1497</v>
      </c>
      <c r="B3000" s="7" t="s">
        <v>3883</v>
      </c>
      <c r="C3000" s="9">
        <v>14013.0</v>
      </c>
      <c r="D3000" s="9">
        <v>12129.0</v>
      </c>
      <c r="E3000" s="9">
        <v>15.0</v>
      </c>
      <c r="F3000" s="7" t="s">
        <v>1498</v>
      </c>
      <c r="G3000" s="7" t="s">
        <v>404</v>
      </c>
      <c r="H3000" s="7" t="s">
        <v>405</v>
      </c>
      <c r="I3000" s="7" t="s">
        <v>410</v>
      </c>
      <c r="J3000" s="14"/>
      <c r="O3000" s="22"/>
      <c r="P3000" s="22"/>
      <c r="Q3000" s="23"/>
      <c r="R3000" s="23"/>
      <c r="S3000" s="14"/>
    </row>
    <row r="3001" ht="18.75" customHeight="1">
      <c r="A3001" s="7" t="s">
        <v>1497</v>
      </c>
      <c r="B3001" s="7" t="s">
        <v>3883</v>
      </c>
      <c r="C3001" s="9">
        <v>20072.0</v>
      </c>
      <c r="D3001" s="9">
        <v>1849.0</v>
      </c>
      <c r="E3001" s="9">
        <v>36.0</v>
      </c>
      <c r="F3001" s="7" t="s">
        <v>1498</v>
      </c>
      <c r="G3001" s="7" t="s">
        <v>404</v>
      </c>
      <c r="H3001" s="7" t="s">
        <v>405</v>
      </c>
      <c r="I3001" s="7" t="s">
        <v>410</v>
      </c>
      <c r="J3001" s="14"/>
      <c r="O3001" s="22"/>
      <c r="P3001" s="22"/>
      <c r="Q3001" s="23"/>
      <c r="R3001" s="23"/>
      <c r="S3001" s="14"/>
    </row>
    <row r="3002" ht="18.75" customHeight="1">
      <c r="A3002" s="7" t="s">
        <v>1497</v>
      </c>
      <c r="B3002" s="7" t="s">
        <v>3883</v>
      </c>
      <c r="C3002" s="9">
        <v>6938.0</v>
      </c>
      <c r="D3002" s="9">
        <v>6079.0</v>
      </c>
      <c r="E3002" s="9">
        <v>1.0</v>
      </c>
      <c r="F3002" s="7" t="s">
        <v>1498</v>
      </c>
      <c r="G3002" s="7" t="s">
        <v>404</v>
      </c>
      <c r="H3002" s="7" t="s">
        <v>405</v>
      </c>
      <c r="I3002" s="7" t="s">
        <v>410</v>
      </c>
      <c r="J3002" s="14"/>
      <c r="O3002" s="22"/>
      <c r="P3002" s="22"/>
      <c r="Q3002" s="23"/>
      <c r="R3002" s="23"/>
      <c r="S3002" s="14"/>
    </row>
    <row r="3003" ht="18.75" customHeight="1">
      <c r="A3003" s="7" t="s">
        <v>1497</v>
      </c>
      <c r="B3003" s="7" t="s">
        <v>3883</v>
      </c>
      <c r="C3003" s="9">
        <v>1459.0</v>
      </c>
      <c r="D3003" s="9">
        <v>0.0</v>
      </c>
      <c r="E3003" s="9">
        <v>294.0</v>
      </c>
      <c r="F3003" s="7" t="s">
        <v>1498</v>
      </c>
      <c r="G3003" s="7" t="s">
        <v>404</v>
      </c>
      <c r="H3003" s="7" t="s">
        <v>405</v>
      </c>
      <c r="I3003" s="7" t="s">
        <v>410</v>
      </c>
      <c r="J3003" s="14"/>
      <c r="O3003" s="22"/>
      <c r="P3003" s="22"/>
      <c r="Q3003" s="23"/>
      <c r="R3003" s="23"/>
      <c r="S3003" s="14"/>
    </row>
    <row r="3004" ht="18.75" customHeight="1">
      <c r="A3004" s="7" t="s">
        <v>1497</v>
      </c>
      <c r="B3004" s="7" t="s">
        <v>3883</v>
      </c>
      <c r="C3004" s="9">
        <v>61305.0</v>
      </c>
      <c r="D3004" s="9">
        <v>0.0</v>
      </c>
      <c r="E3004" s="9">
        <v>1533.0</v>
      </c>
      <c r="F3004" s="7" t="s">
        <v>1498</v>
      </c>
      <c r="G3004" s="7" t="s">
        <v>404</v>
      </c>
      <c r="H3004" s="7" t="s">
        <v>405</v>
      </c>
      <c r="I3004" s="7" t="s">
        <v>410</v>
      </c>
      <c r="J3004" s="14"/>
      <c r="O3004" s="22"/>
      <c r="P3004" s="22"/>
      <c r="Q3004" s="23"/>
      <c r="R3004" s="23"/>
      <c r="S3004" s="14"/>
    </row>
    <row r="3005" ht="18.75" customHeight="1">
      <c r="A3005" s="7" t="s">
        <v>1505</v>
      </c>
      <c r="B3005" s="7" t="s">
        <v>3883</v>
      </c>
      <c r="C3005" s="9">
        <v>1751457.0</v>
      </c>
      <c r="D3005" s="9">
        <v>0.0</v>
      </c>
      <c r="E3005" s="9">
        <v>50300.0</v>
      </c>
      <c r="F3005" s="7" t="s">
        <v>1506</v>
      </c>
      <c r="G3005" s="7" t="s">
        <v>404</v>
      </c>
      <c r="H3005" s="7" t="s">
        <v>405</v>
      </c>
      <c r="I3005" s="7" t="s">
        <v>410</v>
      </c>
      <c r="J3005" s="14"/>
      <c r="O3005" s="22"/>
      <c r="P3005" s="22"/>
      <c r="Q3005" s="23"/>
      <c r="R3005" s="23"/>
      <c r="S3005" s="14"/>
    </row>
    <row r="3006" ht="18.75" customHeight="1">
      <c r="A3006" s="7" t="s">
        <v>1505</v>
      </c>
      <c r="B3006" s="7" t="s">
        <v>3883</v>
      </c>
      <c r="C3006" s="9">
        <v>443682.0</v>
      </c>
      <c r="D3006" s="9">
        <v>353201.0</v>
      </c>
      <c r="E3006" s="9">
        <v>273.0</v>
      </c>
      <c r="F3006" s="7" t="s">
        <v>1506</v>
      </c>
      <c r="G3006" s="7" t="s">
        <v>404</v>
      </c>
      <c r="H3006" s="7" t="s">
        <v>405</v>
      </c>
      <c r="I3006" s="7" t="s">
        <v>410</v>
      </c>
      <c r="J3006" s="14"/>
      <c r="O3006" s="22"/>
      <c r="P3006" s="22"/>
      <c r="Q3006" s="23"/>
      <c r="R3006" s="23"/>
      <c r="S3006" s="14"/>
    </row>
    <row r="3007" ht="18.75" customHeight="1">
      <c r="A3007" s="7" t="s">
        <v>1505</v>
      </c>
      <c r="B3007" s="7" t="s">
        <v>3883</v>
      </c>
      <c r="C3007" s="9">
        <v>266836.0</v>
      </c>
      <c r="D3007" s="9">
        <v>168295.0</v>
      </c>
      <c r="E3007" s="9">
        <v>478.0</v>
      </c>
      <c r="F3007" s="7" t="s">
        <v>1506</v>
      </c>
      <c r="G3007" s="7" t="s">
        <v>404</v>
      </c>
      <c r="H3007" s="7" t="s">
        <v>405</v>
      </c>
      <c r="I3007" s="7" t="s">
        <v>410</v>
      </c>
      <c r="J3007" s="14"/>
      <c r="O3007" s="22"/>
      <c r="P3007" s="22"/>
      <c r="Q3007" s="23"/>
      <c r="R3007" s="23"/>
      <c r="S3007" s="14"/>
    </row>
    <row r="3008" ht="18.75" customHeight="1">
      <c r="A3008" s="7" t="s">
        <v>1507</v>
      </c>
      <c r="B3008" s="7" t="s">
        <v>3883</v>
      </c>
      <c r="C3008" s="9">
        <v>29126.0</v>
      </c>
      <c r="D3008" s="9">
        <v>25917.0</v>
      </c>
      <c r="E3008" s="9">
        <v>65.0</v>
      </c>
      <c r="F3008" s="7" t="s">
        <v>1508</v>
      </c>
      <c r="G3008" s="7" t="s">
        <v>404</v>
      </c>
      <c r="H3008" s="7" t="s">
        <v>405</v>
      </c>
      <c r="I3008" s="7" t="s">
        <v>410</v>
      </c>
      <c r="J3008" s="14"/>
      <c r="O3008" s="22"/>
      <c r="P3008" s="22"/>
      <c r="Q3008" s="23"/>
      <c r="R3008" s="23"/>
      <c r="S3008" s="14"/>
    </row>
    <row r="3009" ht="18.75" customHeight="1">
      <c r="A3009" s="7" t="s">
        <v>1507</v>
      </c>
      <c r="B3009" s="7" t="s">
        <v>3883</v>
      </c>
      <c r="C3009" s="9">
        <v>11875.0</v>
      </c>
      <c r="D3009" s="9">
        <v>464.0</v>
      </c>
      <c r="E3009" s="9">
        <v>13.0</v>
      </c>
      <c r="F3009" s="7" t="s">
        <v>1508</v>
      </c>
      <c r="G3009" s="7" t="s">
        <v>404</v>
      </c>
      <c r="H3009" s="7" t="s">
        <v>405</v>
      </c>
      <c r="I3009" s="7" t="s">
        <v>410</v>
      </c>
      <c r="J3009" s="14"/>
      <c r="O3009" s="22"/>
      <c r="P3009" s="22"/>
      <c r="Q3009" s="23"/>
      <c r="R3009" s="23"/>
      <c r="S3009" s="14"/>
    </row>
    <row r="3010" ht="18.75" customHeight="1">
      <c r="A3010" s="7" t="s">
        <v>1507</v>
      </c>
      <c r="B3010" s="7" t="s">
        <v>3883</v>
      </c>
      <c r="C3010" s="9">
        <v>989487.0</v>
      </c>
      <c r="D3010" s="9">
        <v>0.0</v>
      </c>
      <c r="E3010" s="9">
        <v>22055.0</v>
      </c>
      <c r="F3010" s="7" t="s">
        <v>1508</v>
      </c>
      <c r="G3010" s="7" t="s">
        <v>404</v>
      </c>
      <c r="H3010" s="7" t="s">
        <v>405</v>
      </c>
      <c r="I3010" s="7" t="s">
        <v>410</v>
      </c>
      <c r="J3010" s="14"/>
      <c r="O3010" s="22"/>
      <c r="P3010" s="22"/>
      <c r="Q3010" s="23"/>
      <c r="R3010" s="23"/>
      <c r="S3010" s="14"/>
    </row>
    <row r="3011" ht="18.75" customHeight="1">
      <c r="A3011" s="7" t="s">
        <v>1507</v>
      </c>
      <c r="B3011" s="7" t="s">
        <v>3883</v>
      </c>
      <c r="C3011" s="9">
        <v>0.0</v>
      </c>
      <c r="D3011" s="9">
        <v>0.0</v>
      </c>
      <c r="E3011" s="9">
        <v>0.0</v>
      </c>
      <c r="F3011" s="7" t="s">
        <v>1508</v>
      </c>
      <c r="G3011" s="7" t="s">
        <v>404</v>
      </c>
      <c r="H3011" s="7" t="s">
        <v>405</v>
      </c>
      <c r="I3011" s="7" t="s">
        <v>410</v>
      </c>
      <c r="J3011" s="14"/>
      <c r="O3011" s="22"/>
      <c r="P3011" s="22"/>
      <c r="Q3011" s="23"/>
      <c r="R3011" s="23"/>
      <c r="S3011" s="14"/>
    </row>
    <row r="3012" ht="18.75" customHeight="1">
      <c r="A3012" s="7" t="s">
        <v>1507</v>
      </c>
      <c r="B3012" s="7" t="s">
        <v>3883</v>
      </c>
      <c r="C3012" s="9">
        <v>0.0</v>
      </c>
      <c r="D3012" s="9">
        <v>0.0</v>
      </c>
      <c r="E3012" s="9">
        <v>0.0</v>
      </c>
      <c r="F3012" s="7" t="s">
        <v>1508</v>
      </c>
      <c r="G3012" s="7" t="s">
        <v>404</v>
      </c>
      <c r="H3012" s="7" t="s">
        <v>405</v>
      </c>
      <c r="I3012" s="7" t="s">
        <v>410</v>
      </c>
      <c r="J3012" s="14"/>
      <c r="O3012" s="22"/>
      <c r="P3012" s="22"/>
      <c r="Q3012" s="23"/>
      <c r="R3012" s="23"/>
      <c r="S3012" s="14"/>
    </row>
    <row r="3013" ht="18.75" customHeight="1">
      <c r="A3013" s="7" t="s">
        <v>1507</v>
      </c>
      <c r="B3013" s="7" t="s">
        <v>3883</v>
      </c>
      <c r="C3013" s="9">
        <v>0.0</v>
      </c>
      <c r="D3013" s="9">
        <v>0.0</v>
      </c>
      <c r="E3013" s="9">
        <v>0.0</v>
      </c>
      <c r="F3013" s="7" t="s">
        <v>1508</v>
      </c>
      <c r="G3013" s="7" t="s">
        <v>404</v>
      </c>
      <c r="H3013" s="7" t="s">
        <v>405</v>
      </c>
      <c r="I3013" s="7" t="s">
        <v>410</v>
      </c>
      <c r="J3013" s="14"/>
      <c r="O3013" s="22"/>
      <c r="P3013" s="22"/>
      <c r="Q3013" s="23"/>
      <c r="R3013" s="23"/>
      <c r="S3013" s="14"/>
    </row>
    <row r="3014" ht="18.75" customHeight="1">
      <c r="A3014" s="7" t="s">
        <v>1507</v>
      </c>
      <c r="B3014" s="7" t="s">
        <v>3883</v>
      </c>
      <c r="C3014" s="9">
        <v>0.0</v>
      </c>
      <c r="D3014" s="9">
        <v>0.0</v>
      </c>
      <c r="E3014" s="9">
        <v>0.0</v>
      </c>
      <c r="F3014" s="7" t="s">
        <v>1508</v>
      </c>
      <c r="G3014" s="7" t="s">
        <v>404</v>
      </c>
      <c r="H3014" s="7" t="s">
        <v>405</v>
      </c>
      <c r="I3014" s="7" t="s">
        <v>410</v>
      </c>
      <c r="J3014" s="14"/>
      <c r="O3014" s="22"/>
      <c r="P3014" s="22"/>
      <c r="Q3014" s="23"/>
      <c r="R3014" s="23"/>
      <c r="S3014" s="14"/>
    </row>
    <row r="3015" ht="18.75" customHeight="1">
      <c r="A3015" s="7" t="s">
        <v>1507</v>
      </c>
      <c r="B3015" s="7" t="s">
        <v>3883</v>
      </c>
      <c r="C3015" s="9">
        <v>0.0</v>
      </c>
      <c r="D3015" s="9">
        <v>0.0</v>
      </c>
      <c r="E3015" s="9">
        <v>0.0</v>
      </c>
      <c r="F3015" s="7" t="s">
        <v>1508</v>
      </c>
      <c r="G3015" s="7" t="s">
        <v>404</v>
      </c>
      <c r="H3015" s="7" t="s">
        <v>405</v>
      </c>
      <c r="I3015" s="7" t="s">
        <v>410</v>
      </c>
      <c r="J3015" s="14"/>
      <c r="O3015" s="22"/>
      <c r="P3015" s="22"/>
      <c r="Q3015" s="23"/>
      <c r="R3015" s="23"/>
      <c r="S3015" s="14"/>
    </row>
    <row r="3016" ht="18.75" customHeight="1">
      <c r="A3016" s="7" t="s">
        <v>1507</v>
      </c>
      <c r="B3016" s="7" t="s">
        <v>3883</v>
      </c>
      <c r="C3016" s="9">
        <v>0.0</v>
      </c>
      <c r="D3016" s="9">
        <v>0.0</v>
      </c>
      <c r="E3016" s="9">
        <v>0.0</v>
      </c>
      <c r="F3016" s="7" t="s">
        <v>1508</v>
      </c>
      <c r="G3016" s="7" t="s">
        <v>404</v>
      </c>
      <c r="H3016" s="7" t="s">
        <v>405</v>
      </c>
      <c r="I3016" s="7" t="s">
        <v>410</v>
      </c>
      <c r="J3016" s="14"/>
      <c r="O3016" s="22"/>
      <c r="P3016" s="22"/>
      <c r="Q3016" s="23"/>
      <c r="R3016" s="23"/>
      <c r="S3016" s="14"/>
    </row>
    <row r="3017" ht="18.75" customHeight="1">
      <c r="A3017" s="7" t="s">
        <v>1507</v>
      </c>
      <c r="B3017" s="7" t="s">
        <v>3883</v>
      </c>
      <c r="C3017" s="9">
        <v>0.0</v>
      </c>
      <c r="D3017" s="9">
        <v>0.0</v>
      </c>
      <c r="E3017" s="9">
        <v>0.0</v>
      </c>
      <c r="F3017" s="7" t="s">
        <v>1508</v>
      </c>
      <c r="G3017" s="7" t="s">
        <v>404</v>
      </c>
      <c r="H3017" s="7" t="s">
        <v>405</v>
      </c>
      <c r="I3017" s="7" t="s">
        <v>410</v>
      </c>
      <c r="J3017" s="14"/>
      <c r="O3017" s="22"/>
      <c r="P3017" s="22"/>
      <c r="Q3017" s="23"/>
      <c r="R3017" s="23"/>
      <c r="S3017" s="14"/>
    </row>
    <row r="3018" ht="18.75" customHeight="1">
      <c r="A3018" s="7" t="s">
        <v>3761</v>
      </c>
      <c r="B3018" s="7" t="s">
        <v>3883</v>
      </c>
      <c r="C3018" s="9">
        <v>16470.0</v>
      </c>
      <c r="D3018" s="9">
        <v>12987.0</v>
      </c>
      <c r="E3018" s="9">
        <v>22.0</v>
      </c>
      <c r="F3018" s="7" t="s">
        <v>3907</v>
      </c>
      <c r="G3018" s="7" t="s">
        <v>404</v>
      </c>
      <c r="H3018" s="7" t="s">
        <v>405</v>
      </c>
      <c r="I3018" s="7" t="s">
        <v>3886</v>
      </c>
      <c r="J3018" s="14"/>
      <c r="O3018" s="22"/>
      <c r="P3018" s="22"/>
      <c r="Q3018" s="23"/>
      <c r="R3018" s="23"/>
      <c r="S3018" s="14"/>
    </row>
    <row r="3019" ht="18.75" customHeight="1">
      <c r="A3019" s="7" t="s">
        <v>3761</v>
      </c>
      <c r="B3019" s="7" t="s">
        <v>3883</v>
      </c>
      <c r="C3019" s="9">
        <v>28441.0</v>
      </c>
      <c r="D3019" s="9">
        <v>2650.0</v>
      </c>
      <c r="E3019" s="9">
        <v>91.0</v>
      </c>
      <c r="F3019" s="7" t="s">
        <v>3907</v>
      </c>
      <c r="G3019" s="7" t="s">
        <v>404</v>
      </c>
      <c r="H3019" s="7" t="s">
        <v>405</v>
      </c>
      <c r="I3019" s="7" t="s">
        <v>3886</v>
      </c>
      <c r="J3019" s="14"/>
      <c r="O3019" s="22"/>
      <c r="P3019" s="22"/>
      <c r="Q3019" s="23"/>
      <c r="R3019" s="23"/>
      <c r="S3019" s="14"/>
    </row>
    <row r="3020" ht="18.75" customHeight="1">
      <c r="A3020" s="7" t="s">
        <v>1875</v>
      </c>
      <c r="B3020" s="7" t="s">
        <v>3883</v>
      </c>
      <c r="C3020" s="9">
        <v>88611.0</v>
      </c>
      <c r="D3020" s="9">
        <v>0.0</v>
      </c>
      <c r="E3020" s="9">
        <v>5919.0</v>
      </c>
      <c r="F3020" s="7" t="s">
        <v>1876</v>
      </c>
      <c r="G3020" s="7" t="s">
        <v>404</v>
      </c>
      <c r="H3020" s="7" t="s">
        <v>405</v>
      </c>
      <c r="I3020" s="7" t="s">
        <v>410</v>
      </c>
      <c r="J3020" s="14"/>
      <c r="O3020" s="22"/>
      <c r="P3020" s="22"/>
      <c r="Q3020" s="23"/>
      <c r="R3020" s="23"/>
      <c r="S3020" s="14"/>
    </row>
    <row r="3021" ht="18.75" customHeight="1">
      <c r="A3021" s="7" t="s">
        <v>1875</v>
      </c>
      <c r="B3021" s="7" t="s">
        <v>3883</v>
      </c>
      <c r="C3021" s="9">
        <v>243972.0</v>
      </c>
      <c r="D3021" s="9">
        <v>163997.0</v>
      </c>
      <c r="E3021" s="9">
        <v>251.0</v>
      </c>
      <c r="F3021" s="7" t="s">
        <v>1876</v>
      </c>
      <c r="G3021" s="7" t="s">
        <v>404</v>
      </c>
      <c r="H3021" s="7" t="s">
        <v>405</v>
      </c>
      <c r="I3021" s="7" t="s">
        <v>410</v>
      </c>
      <c r="J3021" s="14"/>
      <c r="O3021" s="22"/>
      <c r="P3021" s="22"/>
      <c r="Q3021" s="23"/>
      <c r="R3021" s="23"/>
      <c r="S3021" s="14"/>
    </row>
    <row r="3022" ht="18.75" customHeight="1">
      <c r="A3022" s="7" t="s">
        <v>1875</v>
      </c>
      <c r="B3022" s="7" t="s">
        <v>3883</v>
      </c>
      <c r="C3022" s="9">
        <v>278468.0</v>
      </c>
      <c r="D3022" s="9">
        <v>31093.0</v>
      </c>
      <c r="E3022" s="9">
        <v>673.0</v>
      </c>
      <c r="F3022" s="7" t="s">
        <v>1876</v>
      </c>
      <c r="G3022" s="7" t="s">
        <v>404</v>
      </c>
      <c r="H3022" s="7" t="s">
        <v>405</v>
      </c>
      <c r="I3022" s="7" t="s">
        <v>410</v>
      </c>
      <c r="J3022" s="14"/>
      <c r="O3022" s="22"/>
      <c r="P3022" s="22"/>
      <c r="Q3022" s="23"/>
      <c r="R3022" s="23"/>
      <c r="S3022" s="14"/>
    </row>
    <row r="3023" ht="18.75" customHeight="1">
      <c r="A3023" s="7" t="s">
        <v>1875</v>
      </c>
      <c r="B3023" s="7" t="s">
        <v>3883</v>
      </c>
      <c r="C3023" s="9">
        <v>4570.0</v>
      </c>
      <c r="D3023" s="9">
        <v>1421.0</v>
      </c>
      <c r="E3023" s="9">
        <v>1.0</v>
      </c>
      <c r="F3023" s="7" t="s">
        <v>1876</v>
      </c>
      <c r="G3023" s="7" t="s">
        <v>404</v>
      </c>
      <c r="H3023" s="7" t="s">
        <v>405</v>
      </c>
      <c r="I3023" s="7" t="s">
        <v>410</v>
      </c>
      <c r="J3023" s="14"/>
      <c r="O3023" s="22"/>
      <c r="P3023" s="22"/>
      <c r="Q3023" s="23"/>
      <c r="R3023" s="23"/>
      <c r="S3023" s="14"/>
    </row>
    <row r="3024" ht="18.75" customHeight="1">
      <c r="A3024" s="7" t="s">
        <v>1875</v>
      </c>
      <c r="B3024" s="7" t="s">
        <v>3883</v>
      </c>
      <c r="C3024" s="9">
        <v>66873.0</v>
      </c>
      <c r="D3024" s="9">
        <v>0.0</v>
      </c>
      <c r="E3024" s="9">
        <v>1462.0</v>
      </c>
      <c r="F3024" s="7" t="s">
        <v>1876</v>
      </c>
      <c r="G3024" s="7" t="s">
        <v>404</v>
      </c>
      <c r="H3024" s="7" t="s">
        <v>405</v>
      </c>
      <c r="I3024" s="7" t="s">
        <v>410</v>
      </c>
      <c r="J3024" s="14"/>
      <c r="O3024" s="22"/>
      <c r="P3024" s="22"/>
      <c r="Q3024" s="23"/>
      <c r="R3024" s="23"/>
      <c r="S3024" s="14"/>
    </row>
    <row r="3025" ht="18.75" customHeight="1">
      <c r="A3025" s="7" t="s">
        <v>2084</v>
      </c>
      <c r="B3025" s="7" t="s">
        <v>3883</v>
      </c>
      <c r="C3025" s="9">
        <v>36350.0</v>
      </c>
      <c r="D3025" s="9">
        <v>0.0</v>
      </c>
      <c r="E3025" s="9">
        <v>469.0</v>
      </c>
      <c r="F3025" s="7" t="s">
        <v>2085</v>
      </c>
      <c r="G3025" s="7" t="s">
        <v>404</v>
      </c>
      <c r="H3025" s="7" t="s">
        <v>667</v>
      </c>
      <c r="I3025" s="7" t="s">
        <v>2120</v>
      </c>
      <c r="J3025" s="14"/>
      <c r="O3025" s="22"/>
      <c r="P3025" s="22"/>
      <c r="Q3025" s="23"/>
      <c r="R3025" s="23"/>
      <c r="S3025" s="14"/>
    </row>
    <row r="3026" ht="18.75" customHeight="1">
      <c r="A3026" s="7" t="s">
        <v>2092</v>
      </c>
      <c r="B3026" s="7" t="s">
        <v>3883</v>
      </c>
      <c r="C3026" s="9">
        <v>454.0</v>
      </c>
      <c r="D3026" s="9">
        <v>0.0</v>
      </c>
      <c r="E3026" s="9">
        <v>4.0</v>
      </c>
      <c r="F3026" s="7" t="s">
        <v>2093</v>
      </c>
      <c r="G3026" s="7" t="s">
        <v>404</v>
      </c>
      <c r="H3026" s="7" t="s">
        <v>667</v>
      </c>
      <c r="I3026" s="7" t="s">
        <v>2120</v>
      </c>
      <c r="J3026" s="14"/>
      <c r="O3026" s="22"/>
      <c r="P3026" s="22"/>
      <c r="Q3026" s="23"/>
      <c r="R3026" s="23"/>
      <c r="S3026" s="14"/>
    </row>
    <row r="3027" ht="18.75" customHeight="1">
      <c r="A3027" s="7" t="s">
        <v>2092</v>
      </c>
      <c r="B3027" s="7" t="s">
        <v>3883</v>
      </c>
      <c r="C3027" s="9">
        <v>2538.0</v>
      </c>
      <c r="D3027" s="9">
        <v>1375.0</v>
      </c>
      <c r="E3027" s="9">
        <v>2.0</v>
      </c>
      <c r="F3027" s="7" t="s">
        <v>2093</v>
      </c>
      <c r="G3027" s="7" t="s">
        <v>404</v>
      </c>
      <c r="H3027" s="7" t="s">
        <v>667</v>
      </c>
      <c r="I3027" s="7" t="s">
        <v>2120</v>
      </c>
      <c r="J3027" s="14"/>
      <c r="O3027" s="22"/>
      <c r="P3027" s="22"/>
      <c r="Q3027" s="23"/>
      <c r="R3027" s="23"/>
      <c r="S3027" s="14"/>
    </row>
    <row r="3028" ht="18.75" customHeight="1">
      <c r="A3028" s="7" t="s">
        <v>2090</v>
      </c>
      <c r="B3028" s="7" t="s">
        <v>3883</v>
      </c>
      <c r="C3028" s="9">
        <v>0.0</v>
      </c>
      <c r="D3028" s="9">
        <v>0.0</v>
      </c>
      <c r="E3028" s="9">
        <v>0.0</v>
      </c>
      <c r="F3028" s="7" t="s">
        <v>2091</v>
      </c>
      <c r="G3028" s="7" t="s">
        <v>404</v>
      </c>
      <c r="H3028" s="7" t="s">
        <v>667</v>
      </c>
      <c r="I3028" s="7" t="s">
        <v>2120</v>
      </c>
      <c r="J3028" s="14"/>
      <c r="O3028" s="22"/>
      <c r="P3028" s="22"/>
      <c r="Q3028" s="23"/>
      <c r="R3028" s="23"/>
      <c r="S3028" s="14"/>
    </row>
    <row r="3029" ht="18.75" customHeight="1">
      <c r="A3029" s="7" t="s">
        <v>2090</v>
      </c>
      <c r="B3029" s="7" t="s">
        <v>3883</v>
      </c>
      <c r="C3029" s="9">
        <v>948.0</v>
      </c>
      <c r="D3029" s="9">
        <v>342.0</v>
      </c>
      <c r="E3029" s="9">
        <v>1.0</v>
      </c>
      <c r="F3029" s="7" t="s">
        <v>2091</v>
      </c>
      <c r="G3029" s="7" t="s">
        <v>404</v>
      </c>
      <c r="H3029" s="7" t="s">
        <v>667</v>
      </c>
      <c r="I3029" s="7" t="s">
        <v>2120</v>
      </c>
      <c r="J3029" s="14"/>
      <c r="O3029" s="22"/>
      <c r="P3029" s="22"/>
      <c r="Q3029" s="23"/>
      <c r="R3029" s="23"/>
      <c r="S3029" s="14"/>
    </row>
    <row r="3030" ht="18.75" customHeight="1">
      <c r="A3030" s="7" t="s">
        <v>1906</v>
      </c>
      <c r="B3030" s="7" t="s">
        <v>3883</v>
      </c>
      <c r="C3030" s="9">
        <v>1609.0</v>
      </c>
      <c r="D3030" s="9">
        <v>0.0</v>
      </c>
      <c r="E3030" s="9">
        <v>35.0</v>
      </c>
      <c r="F3030" s="7" t="s">
        <v>1907</v>
      </c>
      <c r="G3030" s="7" t="s">
        <v>404</v>
      </c>
      <c r="H3030" s="7" t="s">
        <v>405</v>
      </c>
      <c r="I3030" s="7" t="s">
        <v>2120</v>
      </c>
      <c r="J3030" s="14"/>
      <c r="O3030" s="22"/>
      <c r="P3030" s="22"/>
      <c r="Q3030" s="23"/>
      <c r="R3030" s="23"/>
      <c r="S3030" s="14"/>
    </row>
    <row r="3031" ht="18.75" customHeight="1">
      <c r="A3031" s="7" t="s">
        <v>1908</v>
      </c>
      <c r="B3031" s="7" t="s">
        <v>3883</v>
      </c>
      <c r="C3031" s="9">
        <v>44154.0</v>
      </c>
      <c r="D3031" s="9">
        <v>0.0</v>
      </c>
      <c r="E3031" s="9">
        <v>654.0</v>
      </c>
      <c r="F3031" s="7" t="s">
        <v>1909</v>
      </c>
      <c r="G3031" s="7" t="s">
        <v>404</v>
      </c>
      <c r="H3031" s="7" t="s">
        <v>405</v>
      </c>
      <c r="I3031" s="7" t="s">
        <v>410</v>
      </c>
      <c r="J3031" s="14"/>
      <c r="O3031" s="22"/>
      <c r="P3031" s="22"/>
      <c r="Q3031" s="23"/>
      <c r="R3031" s="23"/>
      <c r="S3031" s="14"/>
    </row>
    <row r="3032" ht="18.75" customHeight="1">
      <c r="A3032" s="7" t="s">
        <v>1908</v>
      </c>
      <c r="B3032" s="7" t="s">
        <v>3883</v>
      </c>
      <c r="C3032" s="9">
        <v>7405.0</v>
      </c>
      <c r="D3032" s="9">
        <v>0.0</v>
      </c>
      <c r="E3032" s="9">
        <v>108.0</v>
      </c>
      <c r="F3032" s="7" t="s">
        <v>1909</v>
      </c>
      <c r="G3032" s="7" t="s">
        <v>404</v>
      </c>
      <c r="H3032" s="7" t="s">
        <v>405</v>
      </c>
      <c r="I3032" s="7" t="s">
        <v>410</v>
      </c>
      <c r="J3032" s="14"/>
      <c r="O3032" s="22"/>
      <c r="P3032" s="22"/>
      <c r="Q3032" s="23"/>
      <c r="R3032" s="23"/>
      <c r="S3032" s="14"/>
    </row>
    <row r="3033" ht="18.75" customHeight="1">
      <c r="A3033" s="7" t="s">
        <v>1908</v>
      </c>
      <c r="B3033" s="7" t="s">
        <v>3883</v>
      </c>
      <c r="C3033" s="9">
        <v>5187.0</v>
      </c>
      <c r="D3033" s="9">
        <v>0.0</v>
      </c>
      <c r="E3033" s="9">
        <v>64.0</v>
      </c>
      <c r="F3033" s="7" t="s">
        <v>1909</v>
      </c>
      <c r="G3033" s="7" t="s">
        <v>404</v>
      </c>
      <c r="H3033" s="7" t="s">
        <v>405</v>
      </c>
      <c r="I3033" s="7" t="s">
        <v>410</v>
      </c>
      <c r="J3033" s="14"/>
      <c r="O3033" s="22"/>
      <c r="P3033" s="22"/>
      <c r="Q3033" s="23"/>
      <c r="R3033" s="23"/>
      <c r="S3033" s="14"/>
    </row>
    <row r="3034" ht="18.75" customHeight="1">
      <c r="A3034" s="7" t="s">
        <v>1908</v>
      </c>
      <c r="B3034" s="7" t="s">
        <v>3883</v>
      </c>
      <c r="C3034" s="9">
        <v>11706.0</v>
      </c>
      <c r="D3034" s="9">
        <v>0.0</v>
      </c>
      <c r="E3034" s="9">
        <v>144.0</v>
      </c>
      <c r="F3034" s="7" t="s">
        <v>1909</v>
      </c>
      <c r="G3034" s="7" t="s">
        <v>404</v>
      </c>
      <c r="H3034" s="7" t="s">
        <v>405</v>
      </c>
      <c r="I3034" s="7" t="s">
        <v>410</v>
      </c>
      <c r="J3034" s="14"/>
      <c r="O3034" s="22"/>
      <c r="P3034" s="22"/>
      <c r="Q3034" s="23"/>
      <c r="R3034" s="23"/>
      <c r="S3034" s="14"/>
    </row>
    <row r="3035" ht="18.75" customHeight="1">
      <c r="A3035" s="7" t="s">
        <v>1908</v>
      </c>
      <c r="B3035" s="7" t="s">
        <v>3883</v>
      </c>
      <c r="C3035" s="9">
        <v>6783.0</v>
      </c>
      <c r="D3035" s="9">
        <v>0.0</v>
      </c>
      <c r="E3035" s="9">
        <v>61.0</v>
      </c>
      <c r="F3035" s="7" t="s">
        <v>1909</v>
      </c>
      <c r="G3035" s="7" t="s">
        <v>404</v>
      </c>
      <c r="H3035" s="7" t="s">
        <v>405</v>
      </c>
      <c r="I3035" s="7" t="s">
        <v>410</v>
      </c>
      <c r="J3035" s="14"/>
      <c r="O3035" s="22"/>
      <c r="P3035" s="22"/>
      <c r="Q3035" s="23"/>
      <c r="R3035" s="23"/>
      <c r="S3035" s="14"/>
    </row>
    <row r="3036" ht="18.75" customHeight="1">
      <c r="A3036" s="7" t="s">
        <v>1908</v>
      </c>
      <c r="B3036" s="7" t="s">
        <v>3883</v>
      </c>
      <c r="C3036" s="9">
        <v>5119.0</v>
      </c>
      <c r="D3036" s="9">
        <v>0.0</v>
      </c>
      <c r="E3036" s="9">
        <v>84.0</v>
      </c>
      <c r="F3036" s="7" t="s">
        <v>1909</v>
      </c>
      <c r="G3036" s="7" t="s">
        <v>404</v>
      </c>
      <c r="H3036" s="7" t="s">
        <v>405</v>
      </c>
      <c r="I3036" s="7" t="s">
        <v>410</v>
      </c>
      <c r="J3036" s="14"/>
      <c r="O3036" s="22"/>
      <c r="P3036" s="22"/>
      <c r="Q3036" s="23"/>
      <c r="R3036" s="23"/>
      <c r="S3036" s="14"/>
    </row>
    <row r="3037" ht="18.75" customHeight="1">
      <c r="A3037" s="7" t="s">
        <v>1908</v>
      </c>
      <c r="B3037" s="7" t="s">
        <v>3883</v>
      </c>
      <c r="C3037" s="9">
        <v>6554.0</v>
      </c>
      <c r="D3037" s="9">
        <v>0.0</v>
      </c>
      <c r="E3037" s="9">
        <v>99.0</v>
      </c>
      <c r="F3037" s="7" t="s">
        <v>1909</v>
      </c>
      <c r="G3037" s="7" t="s">
        <v>404</v>
      </c>
      <c r="H3037" s="7" t="s">
        <v>405</v>
      </c>
      <c r="I3037" s="7" t="s">
        <v>410</v>
      </c>
      <c r="J3037" s="14"/>
      <c r="O3037" s="22"/>
      <c r="P3037" s="22"/>
      <c r="Q3037" s="23"/>
      <c r="R3037" s="23"/>
      <c r="S3037" s="14"/>
    </row>
    <row r="3038" ht="18.75" customHeight="1">
      <c r="A3038" s="7" t="s">
        <v>2088</v>
      </c>
      <c r="B3038" s="7" t="s">
        <v>3883</v>
      </c>
      <c r="C3038" s="9">
        <v>0.0</v>
      </c>
      <c r="D3038" s="9">
        <v>0.0</v>
      </c>
      <c r="E3038" s="9">
        <v>0.0</v>
      </c>
      <c r="F3038" s="7" t="s">
        <v>2089</v>
      </c>
      <c r="G3038" s="7" t="s">
        <v>404</v>
      </c>
      <c r="H3038" s="7" t="s">
        <v>667</v>
      </c>
      <c r="I3038" s="7" t="s">
        <v>2120</v>
      </c>
      <c r="J3038" s="14"/>
      <c r="O3038" s="22"/>
      <c r="P3038" s="22"/>
      <c r="Q3038" s="23"/>
      <c r="R3038" s="23"/>
      <c r="S3038" s="14"/>
    </row>
    <row r="3039" ht="18.75" customHeight="1">
      <c r="A3039" s="7" t="s">
        <v>2088</v>
      </c>
      <c r="B3039" s="7" t="s">
        <v>3883</v>
      </c>
      <c r="C3039" s="9">
        <v>2410.0</v>
      </c>
      <c r="D3039" s="9">
        <v>1613.0</v>
      </c>
      <c r="E3039" s="9">
        <v>1.0</v>
      </c>
      <c r="F3039" s="7" t="s">
        <v>2089</v>
      </c>
      <c r="G3039" s="7" t="s">
        <v>404</v>
      </c>
      <c r="H3039" s="7" t="s">
        <v>667</v>
      </c>
      <c r="I3039" s="7" t="s">
        <v>2120</v>
      </c>
      <c r="J3039" s="14"/>
      <c r="O3039" s="22"/>
      <c r="P3039" s="22"/>
      <c r="Q3039" s="23"/>
      <c r="R3039" s="23"/>
      <c r="S3039" s="14"/>
    </row>
    <row r="3040" ht="18.75" customHeight="1">
      <c r="A3040" s="7" t="s">
        <v>2080</v>
      </c>
      <c r="B3040" s="7" t="s">
        <v>3883</v>
      </c>
      <c r="C3040" s="9">
        <v>161.0</v>
      </c>
      <c r="D3040" s="9">
        <v>99.0</v>
      </c>
      <c r="E3040" s="9">
        <v>0.0</v>
      </c>
      <c r="F3040" s="7" t="s">
        <v>2081</v>
      </c>
      <c r="G3040" s="7" t="s">
        <v>404</v>
      </c>
      <c r="H3040" s="7" t="s">
        <v>667</v>
      </c>
      <c r="I3040" s="7" t="s">
        <v>2120</v>
      </c>
      <c r="J3040" s="14"/>
      <c r="O3040" s="22"/>
      <c r="P3040" s="22"/>
      <c r="Q3040" s="23"/>
      <c r="R3040" s="23"/>
      <c r="S3040" s="14"/>
    </row>
    <row r="3041" ht="18.75" customHeight="1">
      <c r="A3041" s="7" t="s">
        <v>2080</v>
      </c>
      <c r="B3041" s="7" t="s">
        <v>3883</v>
      </c>
      <c r="C3041" s="9">
        <v>0.0</v>
      </c>
      <c r="D3041" s="9">
        <v>0.0</v>
      </c>
      <c r="E3041" s="9">
        <v>0.0</v>
      </c>
      <c r="F3041" s="7" t="s">
        <v>2081</v>
      </c>
      <c r="G3041" s="7" t="s">
        <v>404</v>
      </c>
      <c r="H3041" s="7" t="s">
        <v>667</v>
      </c>
      <c r="I3041" s="7" t="s">
        <v>2120</v>
      </c>
      <c r="J3041" s="14"/>
      <c r="O3041" s="22"/>
      <c r="P3041" s="22"/>
      <c r="Q3041" s="23"/>
      <c r="R3041" s="23"/>
      <c r="S3041" s="14"/>
    </row>
    <row r="3042" ht="18.75" customHeight="1">
      <c r="A3042" s="7" t="s">
        <v>2082</v>
      </c>
      <c r="B3042" s="7" t="s">
        <v>3883</v>
      </c>
      <c r="C3042" s="9">
        <v>0.0</v>
      </c>
      <c r="D3042" s="9">
        <v>0.0</v>
      </c>
      <c r="E3042" s="9">
        <v>0.0</v>
      </c>
      <c r="F3042" s="7" t="s">
        <v>2083</v>
      </c>
      <c r="G3042" s="7" t="s">
        <v>404</v>
      </c>
      <c r="H3042" s="7" t="s">
        <v>667</v>
      </c>
      <c r="I3042" s="7" t="s">
        <v>2120</v>
      </c>
      <c r="J3042" s="14"/>
      <c r="O3042" s="22"/>
      <c r="P3042" s="22"/>
      <c r="Q3042" s="23"/>
      <c r="R3042" s="23"/>
      <c r="S3042" s="14"/>
    </row>
    <row r="3043" ht="18.75" customHeight="1">
      <c r="A3043" s="7" t="s">
        <v>2082</v>
      </c>
      <c r="B3043" s="7" t="s">
        <v>3883</v>
      </c>
      <c r="C3043" s="9">
        <v>870.0</v>
      </c>
      <c r="D3043" s="9">
        <v>383.0</v>
      </c>
      <c r="E3043" s="9">
        <v>0.0</v>
      </c>
      <c r="F3043" s="7" t="s">
        <v>2083</v>
      </c>
      <c r="G3043" s="7" t="s">
        <v>404</v>
      </c>
      <c r="H3043" s="7" t="s">
        <v>667</v>
      </c>
      <c r="I3043" s="7" t="s">
        <v>2120</v>
      </c>
      <c r="J3043" s="14"/>
      <c r="O3043" s="22"/>
      <c r="P3043" s="22"/>
      <c r="Q3043" s="23"/>
      <c r="R3043" s="23"/>
      <c r="S3043" s="14"/>
    </row>
    <row r="3044" ht="18.75" customHeight="1">
      <c r="A3044" s="7" t="s">
        <v>2012</v>
      </c>
      <c r="B3044" s="7" t="s">
        <v>3883</v>
      </c>
      <c r="C3044" s="9">
        <v>770143.0</v>
      </c>
      <c r="D3044" s="9">
        <v>0.0</v>
      </c>
      <c r="E3044" s="9">
        <v>19205.0</v>
      </c>
      <c r="F3044" s="7" t="s">
        <v>2013</v>
      </c>
      <c r="G3044" s="7" t="s">
        <v>404</v>
      </c>
      <c r="H3044" s="7" t="s">
        <v>405</v>
      </c>
      <c r="I3044" s="7" t="s">
        <v>355</v>
      </c>
      <c r="J3044" s="14"/>
      <c r="O3044" s="22"/>
      <c r="P3044" s="22"/>
      <c r="Q3044" s="23"/>
      <c r="R3044" s="23"/>
      <c r="S3044" s="14"/>
    </row>
    <row r="3045" ht="18.75" customHeight="1">
      <c r="A3045" s="7" t="s">
        <v>2056</v>
      </c>
      <c r="B3045" s="7" t="s">
        <v>3883</v>
      </c>
      <c r="C3045" s="9">
        <v>458858.0</v>
      </c>
      <c r="D3045" s="9">
        <v>0.0</v>
      </c>
      <c r="E3045" s="9">
        <v>16162.0</v>
      </c>
      <c r="F3045" s="7" t="s">
        <v>2057</v>
      </c>
      <c r="G3045" s="7" t="s">
        <v>404</v>
      </c>
      <c r="H3045" s="7" t="s">
        <v>405</v>
      </c>
      <c r="I3045" s="7" t="s">
        <v>410</v>
      </c>
      <c r="J3045" s="14"/>
      <c r="O3045" s="22"/>
      <c r="P3045" s="22"/>
      <c r="Q3045" s="23"/>
      <c r="R3045" s="23"/>
      <c r="S3045" s="14"/>
    </row>
    <row r="3046" ht="18.75" customHeight="1">
      <c r="A3046" s="7" t="s">
        <v>1948</v>
      </c>
      <c r="B3046" s="7" t="s">
        <v>3883</v>
      </c>
      <c r="C3046" s="9">
        <v>28058.0</v>
      </c>
      <c r="D3046" s="9">
        <v>25392.0</v>
      </c>
      <c r="E3046" s="9">
        <v>14.0</v>
      </c>
      <c r="F3046" s="7" t="s">
        <v>1949</v>
      </c>
      <c r="G3046" s="7" t="s">
        <v>353</v>
      </c>
      <c r="H3046" s="7" t="s">
        <v>378</v>
      </c>
      <c r="I3046" s="7" t="s">
        <v>355</v>
      </c>
      <c r="J3046" s="14"/>
      <c r="O3046" s="22"/>
      <c r="P3046" s="22"/>
      <c r="Q3046" s="23"/>
      <c r="R3046" s="23"/>
      <c r="S3046" s="14"/>
    </row>
    <row r="3047" ht="18.75" customHeight="1">
      <c r="A3047" s="7" t="s">
        <v>2000</v>
      </c>
      <c r="B3047" s="7" t="s">
        <v>3883</v>
      </c>
      <c r="C3047" s="9">
        <v>129021.0</v>
      </c>
      <c r="D3047" s="9">
        <v>0.0</v>
      </c>
      <c r="E3047" s="9">
        <v>3605.0</v>
      </c>
      <c r="F3047" s="7" t="s">
        <v>2001</v>
      </c>
      <c r="G3047" s="7" t="s">
        <v>353</v>
      </c>
      <c r="H3047" s="7" t="s">
        <v>378</v>
      </c>
      <c r="I3047" s="7" t="s">
        <v>410</v>
      </c>
      <c r="J3047" s="14"/>
      <c r="O3047" s="22"/>
      <c r="P3047" s="22"/>
      <c r="Q3047" s="23"/>
      <c r="R3047" s="23"/>
      <c r="S3047" s="14"/>
    </row>
    <row r="3048" ht="18.75" customHeight="1">
      <c r="A3048" s="7" t="s">
        <v>1831</v>
      </c>
      <c r="B3048" s="7" t="s">
        <v>3883</v>
      </c>
      <c r="C3048" s="9">
        <v>2147728.0</v>
      </c>
      <c r="D3048" s="9">
        <v>0.0</v>
      </c>
      <c r="E3048" s="9">
        <v>60259.0</v>
      </c>
      <c r="F3048" s="7" t="s">
        <v>1832</v>
      </c>
      <c r="G3048" s="7" t="s">
        <v>358</v>
      </c>
      <c r="H3048" s="7" t="s">
        <v>1665</v>
      </c>
      <c r="I3048" s="7" t="s">
        <v>410</v>
      </c>
      <c r="J3048" s="14"/>
      <c r="O3048" s="22"/>
      <c r="P3048" s="22"/>
      <c r="Q3048" s="23"/>
      <c r="R3048" s="23"/>
      <c r="S3048" s="14"/>
    </row>
    <row r="3049" ht="18.75" customHeight="1">
      <c r="A3049" s="7" t="s">
        <v>1831</v>
      </c>
      <c r="B3049" s="7" t="s">
        <v>3883</v>
      </c>
      <c r="C3049" s="9">
        <v>5.0</v>
      </c>
      <c r="D3049" s="9">
        <v>0.0</v>
      </c>
      <c r="E3049" s="9">
        <v>0.0</v>
      </c>
      <c r="F3049" s="7" t="s">
        <v>1832</v>
      </c>
      <c r="G3049" s="7" t="s">
        <v>358</v>
      </c>
      <c r="H3049" s="7" t="s">
        <v>1665</v>
      </c>
      <c r="I3049" s="7" t="s">
        <v>410</v>
      </c>
      <c r="J3049" s="14"/>
      <c r="O3049" s="22"/>
      <c r="P3049" s="22"/>
      <c r="Q3049" s="23"/>
      <c r="R3049" s="23"/>
      <c r="S3049" s="14"/>
    </row>
    <row r="3050" ht="18.75" customHeight="1">
      <c r="A3050" s="7" t="s">
        <v>1831</v>
      </c>
      <c r="B3050" s="7" t="s">
        <v>3883</v>
      </c>
      <c r="C3050" s="9">
        <v>0.0</v>
      </c>
      <c r="D3050" s="9">
        <v>0.0</v>
      </c>
      <c r="E3050" s="9">
        <v>0.0</v>
      </c>
      <c r="F3050" s="7" t="s">
        <v>1832</v>
      </c>
      <c r="G3050" s="7" t="s">
        <v>358</v>
      </c>
      <c r="H3050" s="7" t="s">
        <v>1665</v>
      </c>
      <c r="I3050" s="7" t="s">
        <v>410</v>
      </c>
      <c r="J3050" s="14"/>
      <c r="O3050" s="22"/>
      <c r="P3050" s="22"/>
      <c r="Q3050" s="23"/>
      <c r="R3050" s="23"/>
      <c r="S3050" s="14"/>
    </row>
    <row r="3051" ht="18.75" customHeight="1">
      <c r="A3051" s="7" t="s">
        <v>1831</v>
      </c>
      <c r="B3051" s="7" t="s">
        <v>3883</v>
      </c>
      <c r="C3051" s="9">
        <v>0.0</v>
      </c>
      <c r="D3051" s="9">
        <v>0.0</v>
      </c>
      <c r="E3051" s="9">
        <v>0.0</v>
      </c>
      <c r="F3051" s="7" t="s">
        <v>1832</v>
      </c>
      <c r="G3051" s="7" t="s">
        <v>358</v>
      </c>
      <c r="H3051" s="7" t="s">
        <v>1665</v>
      </c>
      <c r="I3051" s="7" t="s">
        <v>410</v>
      </c>
      <c r="J3051" s="14"/>
      <c r="O3051" s="22"/>
      <c r="P3051" s="22"/>
      <c r="Q3051" s="23"/>
      <c r="R3051" s="23"/>
      <c r="S3051" s="14"/>
    </row>
    <row r="3052" ht="18.75" customHeight="1">
      <c r="A3052" s="7" t="s">
        <v>1831</v>
      </c>
      <c r="B3052" s="7" t="s">
        <v>3883</v>
      </c>
      <c r="C3052" s="9">
        <v>0.0</v>
      </c>
      <c r="D3052" s="9">
        <v>0.0</v>
      </c>
      <c r="E3052" s="9">
        <v>0.0</v>
      </c>
      <c r="F3052" s="7" t="s">
        <v>1832</v>
      </c>
      <c r="G3052" s="7" t="s">
        <v>358</v>
      </c>
      <c r="H3052" s="7" t="s">
        <v>1665</v>
      </c>
      <c r="I3052" s="7" t="s">
        <v>410</v>
      </c>
      <c r="J3052" s="14"/>
      <c r="O3052" s="22"/>
      <c r="P3052" s="22"/>
      <c r="Q3052" s="23"/>
      <c r="R3052" s="23"/>
      <c r="S3052" s="14"/>
    </row>
    <row r="3053" ht="18.75" customHeight="1">
      <c r="A3053" s="7" t="s">
        <v>1831</v>
      </c>
      <c r="B3053" s="7" t="s">
        <v>3883</v>
      </c>
      <c r="C3053" s="9">
        <v>0.0</v>
      </c>
      <c r="D3053" s="9">
        <v>0.0</v>
      </c>
      <c r="E3053" s="9">
        <v>0.0</v>
      </c>
      <c r="F3053" s="7" t="s">
        <v>1832</v>
      </c>
      <c r="G3053" s="7" t="s">
        <v>358</v>
      </c>
      <c r="H3053" s="7" t="s">
        <v>1665</v>
      </c>
      <c r="I3053" s="7" t="s">
        <v>410</v>
      </c>
      <c r="J3053" s="14"/>
      <c r="O3053" s="22"/>
      <c r="P3053" s="22"/>
      <c r="Q3053" s="23"/>
      <c r="R3053" s="23"/>
      <c r="S3053" s="14"/>
    </row>
    <row r="3054" ht="18.75" customHeight="1">
      <c r="A3054" s="7" t="s">
        <v>1950</v>
      </c>
      <c r="B3054" s="7" t="s">
        <v>3883</v>
      </c>
      <c r="C3054" s="9">
        <v>471067.0</v>
      </c>
      <c r="D3054" s="9">
        <v>0.0</v>
      </c>
      <c r="E3054" s="9">
        <v>9205.0</v>
      </c>
      <c r="F3054" s="7" t="s">
        <v>1951</v>
      </c>
      <c r="G3054" s="7" t="s">
        <v>353</v>
      </c>
      <c r="H3054" s="7" t="s">
        <v>783</v>
      </c>
      <c r="I3054" s="7" t="s">
        <v>355</v>
      </c>
      <c r="J3054" s="14"/>
      <c r="O3054" s="22"/>
      <c r="P3054" s="22"/>
      <c r="Q3054" s="23"/>
      <c r="R3054" s="23"/>
      <c r="S3054" s="14"/>
    </row>
    <row r="3055" ht="18.75" customHeight="1">
      <c r="A3055" s="7" t="s">
        <v>1986</v>
      </c>
      <c r="B3055" s="7" t="s">
        <v>3883</v>
      </c>
      <c r="C3055" s="9">
        <v>195409.0</v>
      </c>
      <c r="D3055" s="9">
        <v>0.0</v>
      </c>
      <c r="E3055" s="9">
        <v>7755.0</v>
      </c>
      <c r="F3055" s="7" t="s">
        <v>1987</v>
      </c>
      <c r="G3055" s="7" t="s">
        <v>404</v>
      </c>
      <c r="H3055" s="7" t="s">
        <v>783</v>
      </c>
      <c r="I3055" s="7" t="s">
        <v>355</v>
      </c>
      <c r="J3055" s="14"/>
      <c r="O3055" s="22"/>
      <c r="P3055" s="22"/>
      <c r="Q3055" s="23"/>
      <c r="R3055" s="23"/>
      <c r="S3055" s="14"/>
    </row>
    <row r="3056" ht="18.75" customHeight="1">
      <c r="A3056" s="7" t="s">
        <v>2006</v>
      </c>
      <c r="B3056" s="7" t="s">
        <v>3883</v>
      </c>
      <c r="C3056" s="9">
        <v>710599.0</v>
      </c>
      <c r="D3056" s="9">
        <v>0.0</v>
      </c>
      <c r="E3056" s="9">
        <v>17266.0</v>
      </c>
      <c r="F3056" s="7" t="s">
        <v>2007</v>
      </c>
      <c r="G3056" s="7" t="s">
        <v>404</v>
      </c>
      <c r="H3056" s="7" t="s">
        <v>760</v>
      </c>
      <c r="I3056" s="7" t="s">
        <v>410</v>
      </c>
      <c r="J3056" s="14"/>
      <c r="O3056" s="22"/>
      <c r="P3056" s="22"/>
      <c r="Q3056" s="23"/>
      <c r="R3056" s="23"/>
      <c r="S3056" s="14"/>
    </row>
    <row r="3057" ht="18.75" customHeight="1">
      <c r="A3057" s="7" t="s">
        <v>709</v>
      </c>
      <c r="B3057" s="7" t="s">
        <v>3883</v>
      </c>
      <c r="C3057" s="9">
        <v>801286.0</v>
      </c>
      <c r="D3057" s="9">
        <v>0.0</v>
      </c>
      <c r="E3057" s="9">
        <v>26962.0</v>
      </c>
      <c r="F3057" s="7" t="s">
        <v>710</v>
      </c>
      <c r="G3057" s="7" t="s">
        <v>404</v>
      </c>
      <c r="H3057" s="7" t="s">
        <v>667</v>
      </c>
      <c r="I3057" s="7" t="s">
        <v>410</v>
      </c>
      <c r="J3057" s="14"/>
      <c r="O3057" s="22"/>
      <c r="P3057" s="22"/>
      <c r="Q3057" s="23"/>
      <c r="R3057" s="23"/>
      <c r="S3057" s="14"/>
    </row>
    <row r="3058" ht="18.75" customHeight="1">
      <c r="A3058" s="7" t="s">
        <v>3767</v>
      </c>
      <c r="B3058" s="7" t="s">
        <v>3883</v>
      </c>
      <c r="C3058" s="9">
        <v>30657.0</v>
      </c>
      <c r="D3058" s="9">
        <v>0.0</v>
      </c>
      <c r="E3058" s="9">
        <v>793.0</v>
      </c>
      <c r="F3058" s="7" t="s">
        <v>3911</v>
      </c>
      <c r="G3058" s="7" t="s">
        <v>353</v>
      </c>
      <c r="H3058" s="7" t="s">
        <v>354</v>
      </c>
      <c r="I3058" s="7" t="s">
        <v>2120</v>
      </c>
      <c r="J3058" s="14"/>
      <c r="O3058" s="22"/>
      <c r="P3058" s="22"/>
      <c r="Q3058" s="23"/>
      <c r="R3058" s="23"/>
      <c r="S3058" s="14"/>
    </row>
    <row r="3059" ht="18.75" customHeight="1">
      <c r="A3059" s="7" t="s">
        <v>1946</v>
      </c>
      <c r="B3059" s="7" t="s">
        <v>3883</v>
      </c>
      <c r="C3059" s="9">
        <v>0.0</v>
      </c>
      <c r="D3059" s="9">
        <v>0.0</v>
      </c>
      <c r="E3059" s="9">
        <v>0.0</v>
      </c>
      <c r="F3059" s="7" t="s">
        <v>1947</v>
      </c>
      <c r="G3059" s="7" t="s">
        <v>353</v>
      </c>
      <c r="H3059" s="7" t="s">
        <v>378</v>
      </c>
      <c r="I3059" s="7" t="s">
        <v>355</v>
      </c>
      <c r="J3059" s="14"/>
      <c r="O3059" s="22"/>
      <c r="P3059" s="22"/>
      <c r="Q3059" s="23"/>
      <c r="R3059" s="23"/>
      <c r="S3059" s="14"/>
    </row>
    <row r="3060" ht="18.75" customHeight="1">
      <c r="A3060" s="7" t="s">
        <v>2002</v>
      </c>
      <c r="B3060" s="7" t="s">
        <v>3883</v>
      </c>
      <c r="C3060" s="9">
        <v>168319.0</v>
      </c>
      <c r="D3060" s="9">
        <v>0.0</v>
      </c>
      <c r="E3060" s="9">
        <v>5773.0</v>
      </c>
      <c r="F3060" s="7" t="s">
        <v>2003</v>
      </c>
      <c r="G3060" s="7" t="s">
        <v>353</v>
      </c>
      <c r="H3060" s="7" t="s">
        <v>378</v>
      </c>
      <c r="I3060" s="7" t="s">
        <v>410</v>
      </c>
      <c r="J3060" s="14"/>
      <c r="O3060" s="22"/>
      <c r="P3060" s="22"/>
      <c r="Q3060" s="23"/>
      <c r="R3060" s="23"/>
      <c r="S3060" s="14"/>
    </row>
    <row r="3061" ht="18.75" customHeight="1">
      <c r="A3061" s="7" t="s">
        <v>2050</v>
      </c>
      <c r="B3061" s="7" t="s">
        <v>3883</v>
      </c>
      <c r="C3061" s="9">
        <v>0.0</v>
      </c>
      <c r="D3061" s="9">
        <v>0.0</v>
      </c>
      <c r="E3061" s="9">
        <v>0.0</v>
      </c>
      <c r="F3061" s="7" t="s">
        <v>2051</v>
      </c>
      <c r="G3061" s="7" t="s">
        <v>353</v>
      </c>
      <c r="H3061" s="7" t="s">
        <v>378</v>
      </c>
      <c r="I3061" s="7" t="s">
        <v>410</v>
      </c>
      <c r="J3061" s="14"/>
      <c r="O3061" s="22"/>
      <c r="P3061" s="22"/>
      <c r="Q3061" s="23"/>
      <c r="R3061" s="23"/>
      <c r="S3061" s="14"/>
    </row>
    <row r="3062" ht="18.75" customHeight="1">
      <c r="A3062" s="7" t="s">
        <v>1739</v>
      </c>
      <c r="B3062" s="7" t="s">
        <v>3883</v>
      </c>
      <c r="C3062" s="9">
        <v>170434.0</v>
      </c>
      <c r="D3062" s="9">
        <v>132946.0</v>
      </c>
      <c r="E3062" s="9">
        <v>89.0</v>
      </c>
      <c r="F3062" s="7" t="s">
        <v>1740</v>
      </c>
      <c r="G3062" s="7" t="s">
        <v>364</v>
      </c>
      <c r="H3062" s="7" t="s">
        <v>365</v>
      </c>
      <c r="I3062" s="7" t="s">
        <v>355</v>
      </c>
      <c r="J3062" s="14"/>
      <c r="O3062" s="22"/>
      <c r="P3062" s="22"/>
      <c r="Q3062" s="23"/>
      <c r="R3062" s="23"/>
      <c r="S3062" s="14"/>
    </row>
    <row r="3063" ht="18.75" customHeight="1">
      <c r="A3063" s="7" t="s">
        <v>1739</v>
      </c>
      <c r="B3063" s="7" t="s">
        <v>3883</v>
      </c>
      <c r="C3063" s="9">
        <v>282613.0</v>
      </c>
      <c r="D3063" s="9">
        <v>0.0</v>
      </c>
      <c r="E3063" s="9">
        <v>10528.0</v>
      </c>
      <c r="F3063" s="7" t="s">
        <v>1740</v>
      </c>
      <c r="G3063" s="7" t="s">
        <v>364</v>
      </c>
      <c r="H3063" s="7" t="s">
        <v>365</v>
      </c>
      <c r="I3063" s="7" t="s">
        <v>355</v>
      </c>
      <c r="J3063" s="14"/>
      <c r="O3063" s="22"/>
      <c r="P3063" s="22"/>
      <c r="Q3063" s="23"/>
      <c r="R3063" s="23"/>
      <c r="S3063" s="14"/>
    </row>
    <row r="3064" ht="18.75" customHeight="1">
      <c r="A3064" s="7" t="s">
        <v>1833</v>
      </c>
      <c r="B3064" s="7" t="s">
        <v>3883</v>
      </c>
      <c r="C3064" s="9">
        <v>109945.0</v>
      </c>
      <c r="D3064" s="9">
        <v>0.0</v>
      </c>
      <c r="E3064" s="9">
        <v>4173.0</v>
      </c>
      <c r="F3064" s="7" t="s">
        <v>1834</v>
      </c>
      <c r="G3064" s="7" t="s">
        <v>404</v>
      </c>
      <c r="H3064" s="7" t="s">
        <v>760</v>
      </c>
      <c r="I3064" s="7" t="s">
        <v>355</v>
      </c>
      <c r="J3064" s="14"/>
      <c r="O3064" s="22"/>
      <c r="P3064" s="22"/>
      <c r="Q3064" s="23"/>
      <c r="R3064" s="23"/>
      <c r="S3064" s="14"/>
    </row>
    <row r="3065" ht="18.75" customHeight="1">
      <c r="A3065" s="7" t="s">
        <v>1863</v>
      </c>
      <c r="B3065" s="7" t="s">
        <v>3883</v>
      </c>
      <c r="C3065" s="9">
        <v>277546.0</v>
      </c>
      <c r="D3065" s="9">
        <v>220276.0</v>
      </c>
      <c r="E3065" s="9">
        <v>274.0</v>
      </c>
      <c r="F3065" s="7" t="s">
        <v>1864</v>
      </c>
      <c r="G3065" s="7" t="s">
        <v>358</v>
      </c>
      <c r="H3065" s="7" t="s">
        <v>466</v>
      </c>
      <c r="I3065" s="7" t="s">
        <v>410</v>
      </c>
      <c r="J3065" s="14"/>
      <c r="O3065" s="22"/>
      <c r="P3065" s="22"/>
      <c r="Q3065" s="23"/>
      <c r="R3065" s="23"/>
      <c r="S3065" s="14"/>
    </row>
    <row r="3066" ht="18.75" customHeight="1">
      <c r="A3066" s="7" t="s">
        <v>1863</v>
      </c>
      <c r="B3066" s="7" t="s">
        <v>3883</v>
      </c>
      <c r="C3066" s="9">
        <v>322217.0</v>
      </c>
      <c r="D3066" s="9">
        <v>19113.0</v>
      </c>
      <c r="E3066" s="9">
        <v>911.0</v>
      </c>
      <c r="F3066" s="7" t="s">
        <v>1864</v>
      </c>
      <c r="G3066" s="7" t="s">
        <v>358</v>
      </c>
      <c r="H3066" s="7" t="s">
        <v>466</v>
      </c>
      <c r="I3066" s="7" t="s">
        <v>410</v>
      </c>
      <c r="J3066" s="14"/>
      <c r="O3066" s="22"/>
      <c r="P3066" s="22"/>
      <c r="Q3066" s="23"/>
      <c r="R3066" s="23"/>
      <c r="S3066" s="14"/>
    </row>
    <row r="3067" ht="18.75" customHeight="1">
      <c r="A3067" s="7" t="s">
        <v>1789</v>
      </c>
      <c r="B3067" s="7" t="s">
        <v>3883</v>
      </c>
      <c r="C3067" s="9">
        <v>469265.0</v>
      </c>
      <c r="D3067" s="9">
        <v>0.0</v>
      </c>
      <c r="E3067" s="9">
        <v>19470.0</v>
      </c>
      <c r="F3067" s="7" t="s">
        <v>1790</v>
      </c>
      <c r="G3067" s="7" t="s">
        <v>353</v>
      </c>
      <c r="H3067" s="7" t="s">
        <v>833</v>
      </c>
      <c r="I3067" s="7" t="s">
        <v>410</v>
      </c>
      <c r="J3067" s="14"/>
      <c r="O3067" s="22"/>
      <c r="P3067" s="22"/>
      <c r="Q3067" s="23"/>
      <c r="R3067" s="23"/>
      <c r="S3067" s="14"/>
    </row>
    <row r="3068" ht="18.75" customHeight="1">
      <c r="A3068" s="7" t="s">
        <v>2010</v>
      </c>
      <c r="B3068" s="7" t="s">
        <v>3883</v>
      </c>
      <c r="C3068" s="9">
        <v>330157.0</v>
      </c>
      <c r="D3068" s="9">
        <v>0.0</v>
      </c>
      <c r="E3068" s="9">
        <v>14009.0</v>
      </c>
      <c r="F3068" s="7" t="s">
        <v>2011</v>
      </c>
      <c r="G3068" s="7" t="s">
        <v>404</v>
      </c>
      <c r="H3068" s="7" t="s">
        <v>667</v>
      </c>
      <c r="I3068" s="7" t="s">
        <v>355</v>
      </c>
      <c r="J3068" s="14"/>
      <c r="O3068" s="22"/>
      <c r="P3068" s="22"/>
      <c r="Q3068" s="23"/>
      <c r="R3068" s="23"/>
      <c r="S3068" s="14"/>
    </row>
    <row r="3069" ht="18.75" customHeight="1">
      <c r="A3069" s="7" t="s">
        <v>1877</v>
      </c>
      <c r="B3069" s="7" t="s">
        <v>3883</v>
      </c>
      <c r="C3069" s="9">
        <v>804507.0</v>
      </c>
      <c r="D3069" s="9">
        <v>0.0</v>
      </c>
      <c r="E3069" s="9">
        <v>32976.0</v>
      </c>
      <c r="F3069" s="7" t="s">
        <v>1878</v>
      </c>
      <c r="G3069" s="7" t="s">
        <v>353</v>
      </c>
      <c r="H3069" s="7" t="s">
        <v>378</v>
      </c>
      <c r="I3069" s="7" t="s">
        <v>355</v>
      </c>
      <c r="J3069" s="14"/>
      <c r="O3069" s="22"/>
      <c r="P3069" s="22"/>
      <c r="Q3069" s="23"/>
      <c r="R3069" s="23"/>
      <c r="S3069" s="14"/>
    </row>
    <row r="3070" ht="18.75" customHeight="1">
      <c r="A3070" s="7" t="s">
        <v>1879</v>
      </c>
      <c r="B3070" s="7" t="s">
        <v>3883</v>
      </c>
      <c r="C3070" s="9">
        <v>746585.0</v>
      </c>
      <c r="D3070" s="9">
        <v>0.0</v>
      </c>
      <c r="E3070" s="9">
        <v>37952.0</v>
      </c>
      <c r="F3070" s="7" t="s">
        <v>1880</v>
      </c>
      <c r="G3070" s="7" t="s">
        <v>353</v>
      </c>
      <c r="H3070" s="7" t="s">
        <v>378</v>
      </c>
      <c r="I3070" s="7" t="s">
        <v>355</v>
      </c>
      <c r="J3070" s="14"/>
      <c r="O3070" s="22"/>
      <c r="P3070" s="22"/>
      <c r="Q3070" s="23"/>
      <c r="R3070" s="23"/>
      <c r="S3070" s="14"/>
    </row>
    <row r="3071" ht="18.75" customHeight="1">
      <c r="A3071" s="7" t="s">
        <v>2016</v>
      </c>
      <c r="B3071" s="7" t="s">
        <v>3883</v>
      </c>
      <c r="C3071" s="9">
        <v>40503.0</v>
      </c>
      <c r="D3071" s="9">
        <v>0.0</v>
      </c>
      <c r="E3071" s="9">
        <v>1733.0</v>
      </c>
      <c r="F3071" s="7" t="s">
        <v>2017</v>
      </c>
      <c r="G3071" s="7" t="s">
        <v>416</v>
      </c>
      <c r="H3071" s="7" t="s">
        <v>417</v>
      </c>
      <c r="I3071" s="7" t="s">
        <v>410</v>
      </c>
      <c r="J3071" s="14"/>
      <c r="O3071" s="22"/>
      <c r="P3071" s="22"/>
      <c r="Q3071" s="23"/>
      <c r="R3071" s="23"/>
      <c r="S3071" s="14"/>
    </row>
    <row r="3072" ht="18.75" customHeight="1">
      <c r="A3072" s="7" t="s">
        <v>2192</v>
      </c>
      <c r="B3072" s="7" t="s">
        <v>3883</v>
      </c>
      <c r="C3072" s="9">
        <v>17401.0</v>
      </c>
      <c r="D3072" s="9">
        <v>0.0</v>
      </c>
      <c r="E3072" s="9">
        <v>496.0</v>
      </c>
      <c r="F3072" s="7" t="s">
        <v>2193</v>
      </c>
      <c r="G3072" s="7" t="s">
        <v>416</v>
      </c>
      <c r="H3072" s="7" t="s">
        <v>417</v>
      </c>
      <c r="I3072" s="7" t="s">
        <v>410</v>
      </c>
      <c r="J3072" s="14"/>
      <c r="O3072" s="22"/>
      <c r="P3072" s="22"/>
      <c r="Q3072" s="23"/>
      <c r="R3072" s="23"/>
      <c r="S3072" s="14"/>
    </row>
    <row r="3073" ht="18.75" customHeight="1">
      <c r="A3073" s="7" t="s">
        <v>1984</v>
      </c>
      <c r="B3073" s="7" t="s">
        <v>3883</v>
      </c>
      <c r="C3073" s="9">
        <v>99354.0</v>
      </c>
      <c r="D3073" s="9">
        <v>0.0</v>
      </c>
      <c r="E3073" s="9">
        <v>2980.0</v>
      </c>
      <c r="F3073" s="7" t="s">
        <v>1985</v>
      </c>
      <c r="G3073" s="7" t="s">
        <v>416</v>
      </c>
      <c r="H3073" s="7" t="s">
        <v>417</v>
      </c>
      <c r="I3073" s="7" t="s">
        <v>410</v>
      </c>
      <c r="J3073" s="14"/>
      <c r="O3073" s="22"/>
      <c r="P3073" s="22"/>
      <c r="Q3073" s="23"/>
      <c r="R3073" s="23"/>
      <c r="S3073" s="14"/>
    </row>
    <row r="3074" ht="18.75" customHeight="1">
      <c r="A3074" s="7" t="s">
        <v>2112</v>
      </c>
      <c r="B3074" s="7" t="s">
        <v>3883</v>
      </c>
      <c r="C3074" s="9">
        <v>1979.0</v>
      </c>
      <c r="D3074" s="9">
        <v>0.0</v>
      </c>
      <c r="E3074" s="9">
        <v>20.0</v>
      </c>
      <c r="F3074" s="7" t="s">
        <v>2113</v>
      </c>
      <c r="G3074" s="7" t="s">
        <v>416</v>
      </c>
      <c r="H3074" s="7" t="s">
        <v>417</v>
      </c>
      <c r="I3074" s="7" t="s">
        <v>410</v>
      </c>
      <c r="J3074" s="14"/>
      <c r="O3074" s="22"/>
      <c r="P3074" s="22"/>
      <c r="Q3074" s="23"/>
      <c r="R3074" s="23"/>
      <c r="S3074" s="14"/>
    </row>
    <row r="3075" ht="18.75" customHeight="1">
      <c r="A3075" s="7" t="s">
        <v>2174</v>
      </c>
      <c r="B3075" s="7" t="s">
        <v>3883</v>
      </c>
      <c r="C3075" s="9">
        <v>0.0</v>
      </c>
      <c r="D3075" s="9">
        <v>0.0</v>
      </c>
      <c r="E3075" s="9">
        <v>0.0</v>
      </c>
      <c r="F3075" s="7" t="s">
        <v>2175</v>
      </c>
      <c r="G3075" s="7" t="s">
        <v>503</v>
      </c>
      <c r="H3075" s="7" t="s">
        <v>928</v>
      </c>
      <c r="I3075" s="7" t="s">
        <v>2120</v>
      </c>
      <c r="J3075" s="14"/>
      <c r="O3075" s="22"/>
      <c r="P3075" s="22"/>
      <c r="Q3075" s="23"/>
      <c r="R3075" s="23"/>
      <c r="S3075" s="14"/>
    </row>
    <row r="3076" ht="18.75" customHeight="1">
      <c r="A3076" s="7" t="s">
        <v>1401</v>
      </c>
      <c r="B3076" s="7" t="s">
        <v>3883</v>
      </c>
      <c r="C3076" s="9">
        <v>17320.0</v>
      </c>
      <c r="D3076" s="9">
        <v>0.0</v>
      </c>
      <c r="E3076" s="9">
        <v>445.0</v>
      </c>
      <c r="F3076" s="7" t="s">
        <v>1402</v>
      </c>
      <c r="G3076" s="7" t="s">
        <v>358</v>
      </c>
      <c r="H3076" s="7" t="s">
        <v>466</v>
      </c>
      <c r="I3076" s="7" t="s">
        <v>410</v>
      </c>
      <c r="J3076" s="14"/>
      <c r="O3076" s="22"/>
      <c r="P3076" s="22"/>
      <c r="Q3076" s="23"/>
      <c r="R3076" s="23"/>
      <c r="S3076" s="14"/>
    </row>
    <row r="3077" ht="18.75" customHeight="1">
      <c r="A3077" s="7" t="s">
        <v>1401</v>
      </c>
      <c r="B3077" s="7" t="s">
        <v>3883</v>
      </c>
      <c r="C3077" s="9">
        <v>2737196.0</v>
      </c>
      <c r="D3077" s="9">
        <v>0.0</v>
      </c>
      <c r="E3077" s="9">
        <v>82908.0</v>
      </c>
      <c r="F3077" s="7" t="s">
        <v>1402</v>
      </c>
      <c r="G3077" s="7" t="s">
        <v>358</v>
      </c>
      <c r="H3077" s="7" t="s">
        <v>466</v>
      </c>
      <c r="I3077" s="7" t="s">
        <v>410</v>
      </c>
      <c r="J3077" s="14"/>
      <c r="O3077" s="22"/>
      <c r="P3077" s="22"/>
      <c r="Q3077" s="23"/>
      <c r="R3077" s="23"/>
      <c r="S3077" s="14"/>
    </row>
    <row r="3078" ht="18.75" customHeight="1">
      <c r="A3078" s="7" t="s">
        <v>1401</v>
      </c>
      <c r="B3078" s="7" t="s">
        <v>3883</v>
      </c>
      <c r="C3078" s="9">
        <v>1704201.0</v>
      </c>
      <c r="D3078" s="9">
        <v>922071.0</v>
      </c>
      <c r="E3078" s="9">
        <v>1277.0</v>
      </c>
      <c r="F3078" s="7" t="s">
        <v>1402</v>
      </c>
      <c r="G3078" s="7" t="s">
        <v>358</v>
      </c>
      <c r="H3078" s="7" t="s">
        <v>466</v>
      </c>
      <c r="I3078" s="7" t="s">
        <v>410</v>
      </c>
      <c r="J3078" s="14"/>
      <c r="O3078" s="22"/>
      <c r="P3078" s="22"/>
      <c r="Q3078" s="23"/>
      <c r="R3078" s="23"/>
      <c r="S3078" s="14"/>
    </row>
    <row r="3079" ht="18.75" customHeight="1">
      <c r="A3079" s="7" t="s">
        <v>1401</v>
      </c>
      <c r="B3079" s="7" t="s">
        <v>3883</v>
      </c>
      <c r="C3079" s="9">
        <v>2102727.0</v>
      </c>
      <c r="D3079" s="9">
        <v>96306.0</v>
      </c>
      <c r="E3079" s="9">
        <v>3872.0</v>
      </c>
      <c r="F3079" s="7" t="s">
        <v>1402</v>
      </c>
      <c r="G3079" s="7" t="s">
        <v>358</v>
      </c>
      <c r="H3079" s="7" t="s">
        <v>466</v>
      </c>
      <c r="I3079" s="7" t="s">
        <v>410</v>
      </c>
      <c r="J3079" s="14"/>
      <c r="O3079" s="22"/>
      <c r="P3079" s="22"/>
      <c r="Q3079" s="23"/>
      <c r="R3079" s="23"/>
      <c r="S3079" s="14"/>
    </row>
    <row r="3080" ht="18.75" customHeight="1">
      <c r="A3080" s="7" t="s">
        <v>1401</v>
      </c>
      <c r="B3080" s="7" t="s">
        <v>3883</v>
      </c>
      <c r="C3080" s="9">
        <v>1248041.0</v>
      </c>
      <c r="D3080" s="9">
        <v>816989.0</v>
      </c>
      <c r="E3080" s="9">
        <v>634.0</v>
      </c>
      <c r="F3080" s="7" t="s">
        <v>1402</v>
      </c>
      <c r="G3080" s="7" t="s">
        <v>358</v>
      </c>
      <c r="H3080" s="7" t="s">
        <v>466</v>
      </c>
      <c r="I3080" s="7" t="s">
        <v>410</v>
      </c>
      <c r="J3080" s="14"/>
      <c r="O3080" s="22"/>
      <c r="P3080" s="22"/>
      <c r="Q3080" s="23"/>
      <c r="R3080" s="23"/>
      <c r="S3080" s="14"/>
    </row>
    <row r="3081" ht="18.75" customHeight="1">
      <c r="A3081" s="7" t="s">
        <v>1401</v>
      </c>
      <c r="B3081" s="7" t="s">
        <v>3883</v>
      </c>
      <c r="C3081" s="9">
        <v>1385273.0</v>
      </c>
      <c r="D3081" s="9">
        <v>0.0</v>
      </c>
      <c r="E3081" s="9">
        <v>1349.0</v>
      </c>
      <c r="F3081" s="7" t="s">
        <v>1402</v>
      </c>
      <c r="G3081" s="7" t="s">
        <v>358</v>
      </c>
      <c r="H3081" s="7" t="s">
        <v>466</v>
      </c>
      <c r="I3081" s="7" t="s">
        <v>410</v>
      </c>
      <c r="J3081" s="14"/>
      <c r="O3081" s="22"/>
      <c r="P3081" s="22"/>
      <c r="Q3081" s="23"/>
      <c r="R3081" s="23"/>
      <c r="S3081" s="14"/>
    </row>
    <row r="3082" ht="18.75" customHeight="1">
      <c r="A3082" s="7" t="s">
        <v>1401</v>
      </c>
      <c r="B3082" s="7" t="s">
        <v>3883</v>
      </c>
      <c r="C3082" s="9">
        <v>1949479.0</v>
      </c>
      <c r="D3082" s="9">
        <v>0.0</v>
      </c>
      <c r="E3082" s="9">
        <v>44550.0</v>
      </c>
      <c r="F3082" s="7" t="s">
        <v>1402</v>
      </c>
      <c r="G3082" s="7" t="s">
        <v>358</v>
      </c>
      <c r="H3082" s="7" t="s">
        <v>466</v>
      </c>
      <c r="I3082" s="7" t="s">
        <v>410</v>
      </c>
      <c r="J3082" s="14"/>
      <c r="O3082" s="22"/>
      <c r="P3082" s="22"/>
      <c r="Q3082" s="23"/>
      <c r="R3082" s="23"/>
      <c r="S3082" s="14"/>
    </row>
    <row r="3083" ht="18.75" customHeight="1">
      <c r="A3083" s="7" t="s">
        <v>1401</v>
      </c>
      <c r="B3083" s="7" t="s">
        <v>3883</v>
      </c>
      <c r="C3083" s="9">
        <v>2226266.0</v>
      </c>
      <c r="D3083" s="9">
        <v>126535.0</v>
      </c>
      <c r="E3083" s="9">
        <v>676.0</v>
      </c>
      <c r="F3083" s="7" t="s">
        <v>1402</v>
      </c>
      <c r="G3083" s="7" t="s">
        <v>358</v>
      </c>
      <c r="H3083" s="7" t="s">
        <v>466</v>
      </c>
      <c r="I3083" s="7" t="s">
        <v>410</v>
      </c>
      <c r="J3083" s="14"/>
      <c r="O3083" s="22"/>
      <c r="P3083" s="22"/>
      <c r="Q3083" s="23"/>
      <c r="R3083" s="23"/>
      <c r="S3083" s="14"/>
    </row>
    <row r="3084" ht="18.75" customHeight="1">
      <c r="A3084" s="7" t="s">
        <v>1401</v>
      </c>
      <c r="B3084" s="7" t="s">
        <v>3883</v>
      </c>
      <c r="C3084" s="9">
        <v>1213406.0</v>
      </c>
      <c r="D3084" s="9">
        <v>948926.0</v>
      </c>
      <c r="E3084" s="9">
        <v>713.0</v>
      </c>
      <c r="F3084" s="7" t="s">
        <v>1402</v>
      </c>
      <c r="G3084" s="7" t="s">
        <v>358</v>
      </c>
      <c r="H3084" s="7" t="s">
        <v>466</v>
      </c>
      <c r="I3084" s="7" t="s">
        <v>410</v>
      </c>
      <c r="J3084" s="14"/>
      <c r="O3084" s="22"/>
      <c r="P3084" s="22"/>
      <c r="Q3084" s="23"/>
      <c r="R3084" s="23"/>
      <c r="S3084" s="14"/>
    </row>
    <row r="3085" ht="18.75" customHeight="1">
      <c r="A3085" s="7" t="s">
        <v>1401</v>
      </c>
      <c r="B3085" s="7" t="s">
        <v>3883</v>
      </c>
      <c r="C3085" s="9">
        <v>1344266.0</v>
      </c>
      <c r="D3085" s="9">
        <v>944151.0</v>
      </c>
      <c r="E3085" s="9">
        <v>591.0</v>
      </c>
      <c r="F3085" s="7" t="s">
        <v>1402</v>
      </c>
      <c r="G3085" s="7" t="s">
        <v>358</v>
      </c>
      <c r="H3085" s="7" t="s">
        <v>466</v>
      </c>
      <c r="I3085" s="7" t="s">
        <v>410</v>
      </c>
      <c r="J3085" s="14"/>
      <c r="O3085" s="22"/>
      <c r="P3085" s="22"/>
      <c r="Q3085" s="23"/>
      <c r="R3085" s="23"/>
      <c r="S3085" s="14"/>
    </row>
    <row r="3086" ht="18.75" customHeight="1">
      <c r="A3086" s="7" t="s">
        <v>1401</v>
      </c>
      <c r="B3086" s="7" t="s">
        <v>3883</v>
      </c>
      <c r="C3086" s="9">
        <v>916033.0</v>
      </c>
      <c r="D3086" s="9">
        <v>686227.0</v>
      </c>
      <c r="E3086" s="9">
        <v>384.0</v>
      </c>
      <c r="F3086" s="7" t="s">
        <v>1402</v>
      </c>
      <c r="G3086" s="7" t="s">
        <v>358</v>
      </c>
      <c r="H3086" s="7" t="s">
        <v>466</v>
      </c>
      <c r="I3086" s="7" t="s">
        <v>410</v>
      </c>
      <c r="J3086" s="14"/>
      <c r="O3086" s="22"/>
      <c r="P3086" s="22"/>
      <c r="Q3086" s="23"/>
      <c r="R3086" s="23"/>
      <c r="S3086" s="14"/>
    </row>
    <row r="3087" ht="18.75" customHeight="1">
      <c r="A3087" s="7" t="s">
        <v>1974</v>
      </c>
      <c r="B3087" s="7" t="s">
        <v>3883</v>
      </c>
      <c r="C3087" s="9">
        <v>971327.0</v>
      </c>
      <c r="D3087" s="9">
        <v>0.0</v>
      </c>
      <c r="E3087" s="9">
        <v>39699.0</v>
      </c>
      <c r="F3087" s="7" t="s">
        <v>1975</v>
      </c>
      <c r="G3087" s="7" t="s">
        <v>358</v>
      </c>
      <c r="H3087" s="7" t="s">
        <v>466</v>
      </c>
      <c r="I3087" s="7" t="s">
        <v>410</v>
      </c>
      <c r="J3087" s="14"/>
      <c r="O3087" s="22"/>
      <c r="P3087" s="22"/>
      <c r="Q3087" s="23"/>
      <c r="R3087" s="23"/>
      <c r="S3087" s="14"/>
    </row>
    <row r="3088" ht="18.75" customHeight="1">
      <c r="A3088" s="7" t="s">
        <v>1974</v>
      </c>
      <c r="B3088" s="7" t="s">
        <v>3883</v>
      </c>
      <c r="C3088" s="9">
        <v>184582.0</v>
      </c>
      <c r="D3088" s="9">
        <v>149427.0</v>
      </c>
      <c r="E3088" s="9">
        <v>198.0</v>
      </c>
      <c r="F3088" s="7" t="s">
        <v>1975</v>
      </c>
      <c r="G3088" s="7" t="s">
        <v>358</v>
      </c>
      <c r="H3088" s="7" t="s">
        <v>466</v>
      </c>
      <c r="I3088" s="7" t="s">
        <v>410</v>
      </c>
      <c r="J3088" s="14"/>
      <c r="O3088" s="22"/>
      <c r="P3088" s="22"/>
      <c r="Q3088" s="23"/>
      <c r="R3088" s="23"/>
      <c r="S3088" s="14"/>
    </row>
    <row r="3089" ht="18.75" customHeight="1">
      <c r="A3089" s="7" t="s">
        <v>1974</v>
      </c>
      <c r="B3089" s="7" t="s">
        <v>3883</v>
      </c>
      <c r="C3089" s="9">
        <v>387278.0</v>
      </c>
      <c r="D3089" s="9">
        <v>27757.0</v>
      </c>
      <c r="E3089" s="9">
        <v>1153.0</v>
      </c>
      <c r="F3089" s="7" t="s">
        <v>1975</v>
      </c>
      <c r="G3089" s="7" t="s">
        <v>358</v>
      </c>
      <c r="H3089" s="7" t="s">
        <v>466</v>
      </c>
      <c r="I3089" s="7" t="s">
        <v>410</v>
      </c>
      <c r="J3089" s="14"/>
      <c r="O3089" s="22"/>
      <c r="P3089" s="22"/>
      <c r="Q3089" s="23"/>
      <c r="R3089" s="23"/>
      <c r="S3089" s="14"/>
    </row>
    <row r="3090" ht="18.75" customHeight="1">
      <c r="A3090" s="7" t="s">
        <v>1974</v>
      </c>
      <c r="B3090" s="7" t="s">
        <v>3883</v>
      </c>
      <c r="C3090" s="9">
        <v>274465.0</v>
      </c>
      <c r="D3090" s="9">
        <v>208881.0</v>
      </c>
      <c r="E3090" s="9">
        <v>109.0</v>
      </c>
      <c r="F3090" s="7" t="s">
        <v>1975</v>
      </c>
      <c r="G3090" s="7" t="s">
        <v>358</v>
      </c>
      <c r="H3090" s="7" t="s">
        <v>466</v>
      </c>
      <c r="I3090" s="7" t="s">
        <v>410</v>
      </c>
      <c r="J3090" s="14"/>
      <c r="O3090" s="22"/>
      <c r="P3090" s="22"/>
      <c r="Q3090" s="23"/>
      <c r="R3090" s="23"/>
      <c r="S3090" s="14"/>
    </row>
    <row r="3091" ht="18.75" customHeight="1">
      <c r="A3091" s="7" t="s">
        <v>1974</v>
      </c>
      <c r="B3091" s="7" t="s">
        <v>3883</v>
      </c>
      <c r="C3091" s="9">
        <v>770502.0</v>
      </c>
      <c r="D3091" s="9">
        <v>0.0</v>
      </c>
      <c r="E3091" s="9">
        <v>25661.0</v>
      </c>
      <c r="F3091" s="7" t="s">
        <v>1975</v>
      </c>
      <c r="G3091" s="7" t="s">
        <v>358</v>
      </c>
      <c r="H3091" s="7" t="s">
        <v>466</v>
      </c>
      <c r="I3091" s="7" t="s">
        <v>410</v>
      </c>
      <c r="J3091" s="14"/>
      <c r="O3091" s="22"/>
      <c r="P3091" s="22"/>
      <c r="Q3091" s="23"/>
      <c r="R3091" s="23"/>
      <c r="S3091" s="14"/>
    </row>
    <row r="3092" ht="18.75" customHeight="1">
      <c r="A3092" s="7" t="s">
        <v>1974</v>
      </c>
      <c r="B3092" s="7" t="s">
        <v>3883</v>
      </c>
      <c r="C3092" s="9">
        <v>497763.0</v>
      </c>
      <c r="D3092" s="9">
        <v>415365.0</v>
      </c>
      <c r="E3092" s="9">
        <v>291.0</v>
      </c>
      <c r="F3092" s="7" t="s">
        <v>1975</v>
      </c>
      <c r="G3092" s="7" t="s">
        <v>358</v>
      </c>
      <c r="H3092" s="7" t="s">
        <v>466</v>
      </c>
      <c r="I3092" s="7" t="s">
        <v>410</v>
      </c>
      <c r="J3092" s="14"/>
      <c r="O3092" s="22"/>
      <c r="P3092" s="22"/>
      <c r="Q3092" s="23"/>
      <c r="R3092" s="23"/>
      <c r="S3092" s="14"/>
    </row>
    <row r="3093" ht="18.75" customHeight="1">
      <c r="A3093" s="7" t="s">
        <v>1974</v>
      </c>
      <c r="B3093" s="7" t="s">
        <v>3883</v>
      </c>
      <c r="C3093" s="9">
        <v>476885.0</v>
      </c>
      <c r="D3093" s="9">
        <v>47991.0</v>
      </c>
      <c r="E3093" s="9">
        <v>818.0</v>
      </c>
      <c r="F3093" s="7" t="s">
        <v>1975</v>
      </c>
      <c r="G3093" s="7" t="s">
        <v>358</v>
      </c>
      <c r="H3093" s="7" t="s">
        <v>466</v>
      </c>
      <c r="I3093" s="7" t="s">
        <v>410</v>
      </c>
      <c r="J3093" s="14"/>
      <c r="O3093" s="22"/>
      <c r="P3093" s="22"/>
      <c r="Q3093" s="23"/>
      <c r="R3093" s="23"/>
      <c r="S3093" s="14"/>
    </row>
    <row r="3094" ht="18.75" customHeight="1">
      <c r="A3094" s="7" t="s">
        <v>1974</v>
      </c>
      <c r="B3094" s="7" t="s">
        <v>3883</v>
      </c>
      <c r="C3094" s="9">
        <v>482691.0</v>
      </c>
      <c r="D3094" s="9">
        <v>444050.0</v>
      </c>
      <c r="E3094" s="9">
        <v>126.0</v>
      </c>
      <c r="F3094" s="7" t="s">
        <v>1975</v>
      </c>
      <c r="G3094" s="7" t="s">
        <v>358</v>
      </c>
      <c r="H3094" s="7" t="s">
        <v>466</v>
      </c>
      <c r="I3094" s="7" t="s">
        <v>410</v>
      </c>
      <c r="J3094" s="14"/>
      <c r="O3094" s="22"/>
      <c r="P3094" s="22"/>
      <c r="Q3094" s="23"/>
      <c r="R3094" s="23"/>
      <c r="S3094" s="14"/>
    </row>
    <row r="3095" ht="18.75" customHeight="1">
      <c r="A3095" s="7" t="s">
        <v>1867</v>
      </c>
      <c r="B3095" s="7" t="s">
        <v>3883</v>
      </c>
      <c r="C3095" s="9">
        <v>0.0</v>
      </c>
      <c r="D3095" s="9">
        <v>0.0</v>
      </c>
      <c r="E3095" s="9">
        <v>0.0</v>
      </c>
      <c r="F3095" s="7" t="s">
        <v>1868</v>
      </c>
      <c r="G3095" s="7" t="s">
        <v>358</v>
      </c>
      <c r="H3095" s="7" t="s">
        <v>466</v>
      </c>
      <c r="I3095" s="7" t="s">
        <v>355</v>
      </c>
      <c r="J3095" s="14"/>
      <c r="O3095" s="22"/>
      <c r="P3095" s="22"/>
      <c r="Q3095" s="23"/>
      <c r="R3095" s="23"/>
      <c r="S3095" s="14"/>
    </row>
    <row r="3096" ht="18.75" customHeight="1">
      <c r="A3096" s="7" t="s">
        <v>1867</v>
      </c>
      <c r="B3096" s="7" t="s">
        <v>3883</v>
      </c>
      <c r="C3096" s="9">
        <v>0.0</v>
      </c>
      <c r="D3096" s="9">
        <v>0.0</v>
      </c>
      <c r="E3096" s="9">
        <v>0.0</v>
      </c>
      <c r="F3096" s="7" t="s">
        <v>1868</v>
      </c>
      <c r="G3096" s="7" t="s">
        <v>358</v>
      </c>
      <c r="H3096" s="7" t="s">
        <v>466</v>
      </c>
      <c r="I3096" s="7" t="s">
        <v>355</v>
      </c>
      <c r="J3096" s="14"/>
      <c r="O3096" s="22"/>
      <c r="P3096" s="22"/>
      <c r="Q3096" s="23"/>
      <c r="R3096" s="23"/>
      <c r="S3096" s="14"/>
    </row>
    <row r="3097" ht="18.75" customHeight="1">
      <c r="A3097" s="7" t="s">
        <v>1867</v>
      </c>
      <c r="B3097" s="7" t="s">
        <v>3883</v>
      </c>
      <c r="C3097" s="9">
        <v>0.0</v>
      </c>
      <c r="D3097" s="9">
        <v>0.0</v>
      </c>
      <c r="E3097" s="9">
        <v>0.0</v>
      </c>
      <c r="F3097" s="7" t="s">
        <v>1868</v>
      </c>
      <c r="G3097" s="7" t="s">
        <v>358</v>
      </c>
      <c r="H3097" s="7" t="s">
        <v>466</v>
      </c>
      <c r="I3097" s="7" t="s">
        <v>355</v>
      </c>
      <c r="J3097" s="14"/>
      <c r="O3097" s="22"/>
      <c r="P3097" s="22"/>
      <c r="Q3097" s="23"/>
      <c r="R3097" s="23"/>
      <c r="S3097" s="14"/>
    </row>
    <row r="3098" ht="18.75" customHeight="1">
      <c r="A3098" s="7" t="s">
        <v>1867</v>
      </c>
      <c r="B3098" s="7" t="s">
        <v>3883</v>
      </c>
      <c r="C3098" s="9">
        <v>37350.0</v>
      </c>
      <c r="D3098" s="9">
        <v>0.0</v>
      </c>
      <c r="E3098" s="9">
        <v>650.0</v>
      </c>
      <c r="F3098" s="7" t="s">
        <v>1868</v>
      </c>
      <c r="G3098" s="7" t="s">
        <v>358</v>
      </c>
      <c r="H3098" s="7" t="s">
        <v>466</v>
      </c>
      <c r="I3098" s="7" t="s">
        <v>355</v>
      </c>
      <c r="J3098" s="14"/>
      <c r="O3098" s="22"/>
      <c r="P3098" s="22"/>
      <c r="Q3098" s="23"/>
      <c r="R3098" s="23"/>
      <c r="S3098" s="14"/>
    </row>
    <row r="3099" ht="18.75" customHeight="1">
      <c r="A3099" s="7" t="s">
        <v>1867</v>
      </c>
      <c r="B3099" s="7" t="s">
        <v>3883</v>
      </c>
      <c r="C3099" s="9">
        <v>0.0</v>
      </c>
      <c r="D3099" s="9">
        <v>0.0</v>
      </c>
      <c r="E3099" s="9">
        <v>0.0</v>
      </c>
      <c r="F3099" s="7" t="s">
        <v>1868</v>
      </c>
      <c r="G3099" s="7" t="s">
        <v>358</v>
      </c>
      <c r="H3099" s="7" t="s">
        <v>466</v>
      </c>
      <c r="I3099" s="7" t="s">
        <v>355</v>
      </c>
      <c r="J3099" s="14"/>
      <c r="O3099" s="22"/>
      <c r="P3099" s="22"/>
      <c r="Q3099" s="23"/>
      <c r="R3099" s="23"/>
      <c r="S3099" s="14"/>
    </row>
    <row r="3100" ht="18.75" customHeight="1">
      <c r="A3100" s="7" t="s">
        <v>1867</v>
      </c>
      <c r="B3100" s="7" t="s">
        <v>3883</v>
      </c>
      <c r="C3100" s="9">
        <v>0.0</v>
      </c>
      <c r="D3100" s="9">
        <v>0.0</v>
      </c>
      <c r="E3100" s="9">
        <v>0.0</v>
      </c>
      <c r="F3100" s="7" t="s">
        <v>1868</v>
      </c>
      <c r="G3100" s="7" t="s">
        <v>358</v>
      </c>
      <c r="H3100" s="7" t="s">
        <v>466</v>
      </c>
      <c r="I3100" s="7" t="s">
        <v>355</v>
      </c>
      <c r="J3100" s="14"/>
      <c r="O3100" s="22"/>
      <c r="P3100" s="22"/>
      <c r="Q3100" s="23"/>
      <c r="R3100" s="23"/>
      <c r="S3100" s="14"/>
    </row>
    <row r="3101" ht="18.75" customHeight="1">
      <c r="A3101" s="7" t="s">
        <v>1972</v>
      </c>
      <c r="B3101" s="7" t="s">
        <v>3883</v>
      </c>
      <c r="C3101" s="9">
        <v>889175.0</v>
      </c>
      <c r="D3101" s="9">
        <v>0.0</v>
      </c>
      <c r="E3101" s="9">
        <v>15127.0</v>
      </c>
      <c r="F3101" s="7" t="s">
        <v>1973</v>
      </c>
      <c r="G3101" s="7" t="s">
        <v>358</v>
      </c>
      <c r="H3101" s="7" t="s">
        <v>466</v>
      </c>
      <c r="I3101" s="7" t="s">
        <v>410</v>
      </c>
      <c r="J3101" s="14"/>
      <c r="O3101" s="22"/>
      <c r="P3101" s="22"/>
      <c r="Q3101" s="23"/>
      <c r="R3101" s="23"/>
      <c r="S3101" s="14"/>
    </row>
    <row r="3102" ht="18.75" customHeight="1">
      <c r="A3102" s="7" t="s">
        <v>1972</v>
      </c>
      <c r="B3102" s="7" t="s">
        <v>3883</v>
      </c>
      <c r="C3102" s="9">
        <v>328808.0</v>
      </c>
      <c r="D3102" s="9">
        <v>260849.0</v>
      </c>
      <c r="E3102" s="9">
        <v>511.0</v>
      </c>
      <c r="F3102" s="7" t="s">
        <v>1973</v>
      </c>
      <c r="G3102" s="7" t="s">
        <v>358</v>
      </c>
      <c r="H3102" s="7" t="s">
        <v>466</v>
      </c>
      <c r="I3102" s="7" t="s">
        <v>410</v>
      </c>
      <c r="J3102" s="14"/>
      <c r="O3102" s="22"/>
      <c r="P3102" s="22"/>
      <c r="Q3102" s="23"/>
      <c r="R3102" s="23"/>
      <c r="S3102" s="14"/>
    </row>
    <row r="3103" ht="18.75" customHeight="1">
      <c r="A3103" s="7" t="s">
        <v>1972</v>
      </c>
      <c r="B3103" s="7" t="s">
        <v>3883</v>
      </c>
      <c r="C3103" s="9">
        <v>48680.0</v>
      </c>
      <c r="D3103" s="9">
        <v>41126.0</v>
      </c>
      <c r="E3103" s="9">
        <v>10.0</v>
      </c>
      <c r="F3103" s="7" t="s">
        <v>1973</v>
      </c>
      <c r="G3103" s="7" t="s">
        <v>358</v>
      </c>
      <c r="H3103" s="7" t="s">
        <v>466</v>
      </c>
      <c r="I3103" s="7" t="s">
        <v>410</v>
      </c>
      <c r="J3103" s="14"/>
      <c r="O3103" s="22"/>
      <c r="P3103" s="22"/>
      <c r="Q3103" s="23"/>
      <c r="R3103" s="23"/>
      <c r="S3103" s="14"/>
    </row>
    <row r="3104" ht="18.75" customHeight="1">
      <c r="A3104" s="7" t="s">
        <v>1972</v>
      </c>
      <c r="B3104" s="7" t="s">
        <v>3883</v>
      </c>
      <c r="C3104" s="9">
        <v>1592164.0</v>
      </c>
      <c r="D3104" s="9">
        <v>0.0</v>
      </c>
      <c r="E3104" s="9">
        <v>27373.0</v>
      </c>
      <c r="F3104" s="7" t="s">
        <v>1973</v>
      </c>
      <c r="G3104" s="7" t="s">
        <v>358</v>
      </c>
      <c r="H3104" s="7" t="s">
        <v>466</v>
      </c>
      <c r="I3104" s="7" t="s">
        <v>410</v>
      </c>
      <c r="J3104" s="14"/>
      <c r="O3104" s="22"/>
      <c r="P3104" s="22"/>
      <c r="Q3104" s="23"/>
      <c r="R3104" s="23"/>
      <c r="S3104" s="14"/>
    </row>
    <row r="3105" ht="18.75" customHeight="1">
      <c r="A3105" s="7" t="s">
        <v>1972</v>
      </c>
      <c r="B3105" s="7" t="s">
        <v>3883</v>
      </c>
      <c r="C3105" s="9">
        <v>772595.0</v>
      </c>
      <c r="D3105" s="9">
        <v>627743.0</v>
      </c>
      <c r="E3105" s="9">
        <v>902.0</v>
      </c>
      <c r="F3105" s="7" t="s">
        <v>1973</v>
      </c>
      <c r="G3105" s="7" t="s">
        <v>358</v>
      </c>
      <c r="H3105" s="7" t="s">
        <v>466</v>
      </c>
      <c r="I3105" s="7" t="s">
        <v>410</v>
      </c>
      <c r="J3105" s="14"/>
      <c r="O3105" s="22"/>
      <c r="P3105" s="22"/>
      <c r="Q3105" s="23"/>
      <c r="R3105" s="23"/>
      <c r="S3105" s="14"/>
    </row>
    <row r="3106" ht="18.75" customHeight="1">
      <c r="A3106" s="7" t="s">
        <v>1972</v>
      </c>
      <c r="B3106" s="7" t="s">
        <v>3883</v>
      </c>
      <c r="C3106" s="9">
        <v>1022995.0</v>
      </c>
      <c r="D3106" s="9">
        <v>852590.0</v>
      </c>
      <c r="E3106" s="9">
        <v>234.0</v>
      </c>
      <c r="F3106" s="7" t="s">
        <v>1973</v>
      </c>
      <c r="G3106" s="7" t="s">
        <v>358</v>
      </c>
      <c r="H3106" s="7" t="s">
        <v>466</v>
      </c>
      <c r="I3106" s="7" t="s">
        <v>410</v>
      </c>
      <c r="J3106" s="14"/>
      <c r="O3106" s="22"/>
      <c r="P3106" s="22"/>
      <c r="Q3106" s="23"/>
      <c r="R3106" s="23"/>
      <c r="S3106" s="14"/>
    </row>
    <row r="3107" ht="18.75" customHeight="1">
      <c r="A3107" s="7" t="s">
        <v>2074</v>
      </c>
      <c r="B3107" s="7" t="s">
        <v>3883</v>
      </c>
      <c r="C3107" s="9">
        <v>149682.0</v>
      </c>
      <c r="D3107" s="9">
        <v>94182.0</v>
      </c>
      <c r="E3107" s="9">
        <v>100.0</v>
      </c>
      <c r="F3107" s="7" t="s">
        <v>2075</v>
      </c>
      <c r="G3107" s="7" t="s">
        <v>473</v>
      </c>
      <c r="H3107" s="7" t="s">
        <v>466</v>
      </c>
      <c r="I3107" s="7" t="s">
        <v>410</v>
      </c>
      <c r="J3107" s="14"/>
      <c r="O3107" s="22"/>
      <c r="P3107" s="22"/>
      <c r="Q3107" s="23"/>
      <c r="R3107" s="23"/>
      <c r="S3107" s="14"/>
    </row>
    <row r="3108" ht="18.75" customHeight="1">
      <c r="A3108" s="7" t="s">
        <v>2074</v>
      </c>
      <c r="B3108" s="7" t="s">
        <v>3883</v>
      </c>
      <c r="C3108" s="9">
        <v>157342.0</v>
      </c>
      <c r="D3108" s="9">
        <v>14072.0</v>
      </c>
      <c r="E3108" s="9">
        <v>413.0</v>
      </c>
      <c r="F3108" s="7" t="s">
        <v>2075</v>
      </c>
      <c r="G3108" s="7" t="s">
        <v>473</v>
      </c>
      <c r="H3108" s="7" t="s">
        <v>466</v>
      </c>
      <c r="I3108" s="7" t="s">
        <v>410</v>
      </c>
      <c r="J3108" s="14"/>
      <c r="O3108" s="22"/>
      <c r="P3108" s="22"/>
      <c r="Q3108" s="23"/>
      <c r="R3108" s="23"/>
      <c r="S3108" s="14"/>
    </row>
    <row r="3109" ht="18.75" customHeight="1">
      <c r="A3109" s="7" t="s">
        <v>2004</v>
      </c>
      <c r="B3109" s="7" t="s">
        <v>3883</v>
      </c>
      <c r="C3109" s="9">
        <v>366612.0</v>
      </c>
      <c r="D3109" s="9">
        <v>144613.0</v>
      </c>
      <c r="E3109" s="9">
        <v>156.0</v>
      </c>
      <c r="F3109" s="7" t="s">
        <v>2005</v>
      </c>
      <c r="G3109" s="7" t="s">
        <v>358</v>
      </c>
      <c r="H3109" s="7" t="s">
        <v>466</v>
      </c>
      <c r="I3109" s="7" t="s">
        <v>410</v>
      </c>
      <c r="J3109" s="14"/>
      <c r="O3109" s="22"/>
      <c r="P3109" s="22"/>
      <c r="Q3109" s="23"/>
      <c r="R3109" s="23"/>
      <c r="S3109" s="14"/>
    </row>
    <row r="3110" ht="18.75" customHeight="1">
      <c r="A3110" s="7" t="s">
        <v>2004</v>
      </c>
      <c r="B3110" s="7" t="s">
        <v>3883</v>
      </c>
      <c r="C3110" s="9">
        <v>1953336.0</v>
      </c>
      <c r="D3110" s="9">
        <v>1415907.0</v>
      </c>
      <c r="E3110" s="9">
        <v>2819.0</v>
      </c>
      <c r="F3110" s="7" t="s">
        <v>2005</v>
      </c>
      <c r="G3110" s="7" t="s">
        <v>358</v>
      </c>
      <c r="H3110" s="7" t="s">
        <v>466</v>
      </c>
      <c r="I3110" s="7" t="s">
        <v>410</v>
      </c>
      <c r="J3110" s="14"/>
      <c r="O3110" s="22"/>
      <c r="P3110" s="22"/>
      <c r="Q3110" s="23"/>
      <c r="R3110" s="23"/>
      <c r="S3110" s="14"/>
    </row>
    <row r="3111" ht="18.75" customHeight="1">
      <c r="A3111" s="7" t="s">
        <v>2008</v>
      </c>
      <c r="B3111" s="7" t="s">
        <v>3883</v>
      </c>
      <c r="C3111" s="9">
        <v>1927574.0</v>
      </c>
      <c r="D3111" s="9">
        <v>1470664.0</v>
      </c>
      <c r="E3111" s="9">
        <v>1310.0</v>
      </c>
      <c r="F3111" s="7" t="s">
        <v>2009</v>
      </c>
      <c r="G3111" s="7" t="s">
        <v>358</v>
      </c>
      <c r="H3111" s="7" t="s">
        <v>466</v>
      </c>
      <c r="I3111" s="7" t="s">
        <v>410</v>
      </c>
      <c r="J3111" s="14"/>
      <c r="O3111" s="22"/>
      <c r="P3111" s="22"/>
      <c r="Q3111" s="23"/>
      <c r="R3111" s="23"/>
      <c r="S3111" s="14"/>
    </row>
    <row r="3112" ht="18.75" customHeight="1">
      <c r="A3112" s="7" t="s">
        <v>2008</v>
      </c>
      <c r="B3112" s="7" t="s">
        <v>3883</v>
      </c>
      <c r="C3112" s="9">
        <v>1667232.0</v>
      </c>
      <c r="D3112" s="9">
        <v>1322129.0</v>
      </c>
      <c r="E3112" s="9">
        <v>440.0</v>
      </c>
      <c r="F3112" s="7" t="s">
        <v>2009</v>
      </c>
      <c r="G3112" s="7" t="s">
        <v>358</v>
      </c>
      <c r="H3112" s="7" t="s">
        <v>466</v>
      </c>
      <c r="I3112" s="7" t="s">
        <v>410</v>
      </c>
      <c r="J3112" s="14"/>
      <c r="O3112" s="22"/>
      <c r="P3112" s="22"/>
      <c r="Q3112" s="23"/>
      <c r="R3112" s="23"/>
      <c r="S3112" s="14"/>
    </row>
    <row r="3113" ht="18.75" customHeight="1">
      <c r="A3113" s="7" t="s">
        <v>408</v>
      </c>
      <c r="B3113" s="7" t="s">
        <v>3883</v>
      </c>
      <c r="C3113" s="9">
        <v>194066.0</v>
      </c>
      <c r="D3113" s="9">
        <v>0.0</v>
      </c>
      <c r="E3113" s="9">
        <v>4012.0</v>
      </c>
      <c r="F3113" s="7" t="s">
        <v>409</v>
      </c>
      <c r="G3113" s="7" t="s">
        <v>353</v>
      </c>
      <c r="H3113" s="7" t="s">
        <v>354</v>
      </c>
      <c r="I3113" s="7" t="s">
        <v>410</v>
      </c>
      <c r="J3113" s="14"/>
      <c r="O3113" s="22"/>
      <c r="P3113" s="22"/>
      <c r="Q3113" s="23"/>
      <c r="R3113" s="23"/>
      <c r="S3113" s="14"/>
    </row>
    <row r="3114" ht="18.75" customHeight="1">
      <c r="A3114" s="7" t="s">
        <v>408</v>
      </c>
      <c r="B3114" s="7" t="s">
        <v>3883</v>
      </c>
      <c r="C3114" s="9">
        <v>136180.0</v>
      </c>
      <c r="D3114" s="9">
        <v>11140.0</v>
      </c>
      <c r="E3114" s="9">
        <v>79.0</v>
      </c>
      <c r="F3114" s="7" t="s">
        <v>409</v>
      </c>
      <c r="G3114" s="7" t="s">
        <v>353</v>
      </c>
      <c r="H3114" s="7" t="s">
        <v>354</v>
      </c>
      <c r="I3114" s="7" t="s">
        <v>410</v>
      </c>
      <c r="J3114" s="14"/>
      <c r="O3114" s="22"/>
      <c r="P3114" s="22"/>
      <c r="Q3114" s="23"/>
      <c r="R3114" s="23"/>
      <c r="S3114" s="14"/>
    </row>
    <row r="3115" ht="18.75" customHeight="1">
      <c r="A3115" s="7" t="s">
        <v>408</v>
      </c>
      <c r="B3115" s="7" t="s">
        <v>3883</v>
      </c>
      <c r="C3115" s="9">
        <v>49147.0</v>
      </c>
      <c r="D3115" s="9">
        <v>985.0</v>
      </c>
      <c r="E3115" s="9">
        <v>51.0</v>
      </c>
      <c r="F3115" s="7" t="s">
        <v>409</v>
      </c>
      <c r="G3115" s="7" t="s">
        <v>353</v>
      </c>
      <c r="H3115" s="7" t="s">
        <v>354</v>
      </c>
      <c r="I3115" s="7" t="s">
        <v>410</v>
      </c>
      <c r="J3115" s="14"/>
      <c r="O3115" s="22"/>
      <c r="P3115" s="22"/>
      <c r="Q3115" s="23"/>
      <c r="R3115" s="23"/>
      <c r="S3115" s="14"/>
    </row>
    <row r="3116" ht="18.75" customHeight="1">
      <c r="A3116" s="7" t="s">
        <v>1291</v>
      </c>
      <c r="B3116" s="7" t="s">
        <v>3883</v>
      </c>
      <c r="C3116" s="9">
        <v>73746.0</v>
      </c>
      <c r="D3116" s="9">
        <v>64941.0</v>
      </c>
      <c r="E3116" s="9">
        <v>73.0</v>
      </c>
      <c r="F3116" s="7" t="s">
        <v>1292</v>
      </c>
      <c r="G3116" s="7" t="s">
        <v>353</v>
      </c>
      <c r="H3116" s="7" t="s">
        <v>354</v>
      </c>
      <c r="I3116" s="7" t="s">
        <v>410</v>
      </c>
      <c r="J3116" s="14"/>
      <c r="O3116" s="22"/>
      <c r="P3116" s="22"/>
      <c r="Q3116" s="23"/>
      <c r="R3116" s="23"/>
      <c r="S3116" s="14"/>
    </row>
    <row r="3117" ht="18.75" customHeight="1">
      <c r="A3117" s="7" t="s">
        <v>1737</v>
      </c>
      <c r="B3117" s="7" t="s">
        <v>3883</v>
      </c>
      <c r="C3117" s="9">
        <v>519897.0</v>
      </c>
      <c r="D3117" s="9">
        <v>0.0</v>
      </c>
      <c r="E3117" s="9">
        <v>16408.0</v>
      </c>
      <c r="F3117" s="7" t="s">
        <v>1738</v>
      </c>
      <c r="G3117" s="7" t="s">
        <v>353</v>
      </c>
      <c r="H3117" s="7" t="s">
        <v>354</v>
      </c>
      <c r="I3117" s="7" t="s">
        <v>410</v>
      </c>
      <c r="J3117" s="14"/>
      <c r="O3117" s="22"/>
      <c r="P3117" s="22"/>
      <c r="Q3117" s="23"/>
      <c r="R3117" s="23"/>
      <c r="S3117" s="14"/>
    </row>
    <row r="3118" ht="18.75" customHeight="1">
      <c r="A3118" s="7" t="s">
        <v>1837</v>
      </c>
      <c r="B3118" s="7" t="s">
        <v>3883</v>
      </c>
      <c r="C3118" s="9">
        <v>47310.0</v>
      </c>
      <c r="D3118" s="9">
        <v>40516.0</v>
      </c>
      <c r="E3118" s="9">
        <v>134.0</v>
      </c>
      <c r="F3118" s="7" t="s">
        <v>1838</v>
      </c>
      <c r="G3118" s="7" t="s">
        <v>416</v>
      </c>
      <c r="H3118" s="7" t="s">
        <v>417</v>
      </c>
      <c r="I3118" s="7" t="s">
        <v>355</v>
      </c>
      <c r="J3118" s="14"/>
      <c r="O3118" s="22"/>
      <c r="P3118" s="22"/>
      <c r="Q3118" s="23"/>
      <c r="R3118" s="23"/>
      <c r="S3118" s="14"/>
    </row>
    <row r="3119" ht="18.75" customHeight="1">
      <c r="A3119" s="7" t="s">
        <v>1882</v>
      </c>
      <c r="B3119" s="7" t="s">
        <v>3883</v>
      </c>
      <c r="C3119" s="9">
        <v>290515.0</v>
      </c>
      <c r="D3119" s="9">
        <v>204755.0</v>
      </c>
      <c r="E3119" s="9">
        <v>471.0</v>
      </c>
      <c r="F3119" s="7" t="s">
        <v>1883</v>
      </c>
      <c r="G3119" s="7" t="s">
        <v>416</v>
      </c>
      <c r="H3119" s="7" t="s">
        <v>417</v>
      </c>
      <c r="I3119" s="7" t="s">
        <v>355</v>
      </c>
      <c r="J3119" s="14"/>
      <c r="O3119" s="22"/>
      <c r="P3119" s="22"/>
      <c r="Q3119" s="23"/>
      <c r="R3119" s="23"/>
      <c r="S3119" s="14"/>
    </row>
    <row r="3120" ht="18.75" customHeight="1">
      <c r="A3120" s="7" t="s">
        <v>2014</v>
      </c>
      <c r="B3120" s="7" t="s">
        <v>3883</v>
      </c>
      <c r="C3120" s="9">
        <v>175741.0</v>
      </c>
      <c r="D3120" s="9">
        <v>140870.0</v>
      </c>
      <c r="E3120" s="9">
        <v>98.0</v>
      </c>
      <c r="F3120" s="7" t="s">
        <v>2015</v>
      </c>
      <c r="G3120" s="7" t="s">
        <v>416</v>
      </c>
      <c r="H3120" s="7" t="s">
        <v>417</v>
      </c>
      <c r="I3120" s="7" t="s">
        <v>410</v>
      </c>
      <c r="J3120" s="14"/>
      <c r="O3120" s="22"/>
      <c r="P3120" s="22"/>
      <c r="Q3120" s="23"/>
      <c r="R3120" s="23"/>
      <c r="S3120" s="14"/>
    </row>
    <row r="3121" ht="18.75" customHeight="1">
      <c r="A3121" s="7" t="s">
        <v>1865</v>
      </c>
      <c r="B3121" s="7" t="s">
        <v>3883</v>
      </c>
      <c r="C3121" s="9">
        <v>421842.0</v>
      </c>
      <c r="D3121" s="9">
        <v>307673.0</v>
      </c>
      <c r="E3121" s="9">
        <v>530.0</v>
      </c>
      <c r="F3121" s="7" t="s">
        <v>1866</v>
      </c>
      <c r="G3121" s="7" t="s">
        <v>416</v>
      </c>
      <c r="H3121" s="7" t="s">
        <v>417</v>
      </c>
      <c r="I3121" s="7" t="s">
        <v>355</v>
      </c>
      <c r="J3121" s="14"/>
      <c r="O3121" s="22"/>
      <c r="P3121" s="22"/>
      <c r="Q3121" s="23"/>
      <c r="R3121" s="23"/>
      <c r="S3121" s="14"/>
    </row>
    <row r="3122" ht="18.75" customHeight="1">
      <c r="A3122" s="7" t="s">
        <v>1936</v>
      </c>
      <c r="B3122" s="7" t="s">
        <v>3883</v>
      </c>
      <c r="C3122" s="9">
        <v>259361.0</v>
      </c>
      <c r="D3122" s="9">
        <v>176623.0</v>
      </c>
      <c r="E3122" s="9">
        <v>535.0</v>
      </c>
      <c r="F3122" s="7" t="s">
        <v>1937</v>
      </c>
      <c r="G3122" s="7" t="s">
        <v>416</v>
      </c>
      <c r="H3122" s="7" t="s">
        <v>417</v>
      </c>
      <c r="I3122" s="7" t="s">
        <v>355</v>
      </c>
      <c r="J3122" s="14"/>
      <c r="O3122" s="22"/>
      <c r="P3122" s="22"/>
      <c r="Q3122" s="23"/>
      <c r="R3122" s="23"/>
      <c r="S3122" s="14"/>
    </row>
    <row r="3123" ht="18.75" customHeight="1">
      <c r="A3123" s="7" t="s">
        <v>2016</v>
      </c>
      <c r="B3123" s="7" t="s">
        <v>3883</v>
      </c>
      <c r="C3123" s="9">
        <v>2197.0</v>
      </c>
      <c r="D3123" s="9">
        <v>1296.0</v>
      </c>
      <c r="E3123" s="9">
        <v>3.0</v>
      </c>
      <c r="F3123" s="7" t="s">
        <v>2017</v>
      </c>
      <c r="G3123" s="7" t="s">
        <v>416</v>
      </c>
      <c r="H3123" s="7" t="s">
        <v>417</v>
      </c>
      <c r="I3123" s="7" t="s">
        <v>410</v>
      </c>
      <c r="J3123" s="14"/>
      <c r="O3123" s="22"/>
      <c r="P3123" s="22"/>
      <c r="Q3123" s="23"/>
      <c r="R3123" s="23"/>
      <c r="S3123" s="14"/>
    </row>
    <row r="3124" ht="18.75" customHeight="1">
      <c r="A3124" s="7" t="s">
        <v>1431</v>
      </c>
      <c r="B3124" s="7" t="s">
        <v>3883</v>
      </c>
      <c r="C3124" s="9">
        <v>139214.0</v>
      </c>
      <c r="D3124" s="9">
        <v>0.0</v>
      </c>
      <c r="E3124" s="9">
        <v>5474.0</v>
      </c>
      <c r="F3124" s="7" t="s">
        <v>1432</v>
      </c>
      <c r="G3124" s="7" t="s">
        <v>416</v>
      </c>
      <c r="H3124" s="7" t="s">
        <v>430</v>
      </c>
      <c r="I3124" s="7" t="s">
        <v>2120</v>
      </c>
      <c r="J3124" s="14"/>
      <c r="O3124" s="22"/>
      <c r="P3124" s="22"/>
      <c r="Q3124" s="23"/>
      <c r="R3124" s="23"/>
      <c r="S3124" s="14"/>
    </row>
    <row r="3125" ht="18.75" customHeight="1">
      <c r="A3125" s="7" t="s">
        <v>1431</v>
      </c>
      <c r="B3125" s="7" t="s">
        <v>3883</v>
      </c>
      <c r="C3125" s="9">
        <v>43580.0</v>
      </c>
      <c r="D3125" s="9">
        <v>39284.0</v>
      </c>
      <c r="E3125" s="9">
        <v>26.0</v>
      </c>
      <c r="F3125" s="7" t="s">
        <v>1432</v>
      </c>
      <c r="G3125" s="7" t="s">
        <v>416</v>
      </c>
      <c r="H3125" s="7" t="s">
        <v>430</v>
      </c>
      <c r="I3125" s="7" t="s">
        <v>2120</v>
      </c>
      <c r="J3125" s="14"/>
      <c r="O3125" s="22"/>
      <c r="P3125" s="22"/>
      <c r="Q3125" s="23"/>
      <c r="R3125" s="23"/>
      <c r="S3125" s="14"/>
    </row>
    <row r="3126" ht="18.75" customHeight="1">
      <c r="A3126" s="7" t="s">
        <v>1429</v>
      </c>
      <c r="B3126" s="7" t="s">
        <v>3883</v>
      </c>
      <c r="C3126" s="9">
        <v>920471.0</v>
      </c>
      <c r="D3126" s="9">
        <v>0.0</v>
      </c>
      <c r="E3126" s="9">
        <v>26616.0</v>
      </c>
      <c r="F3126" s="7" t="s">
        <v>1430</v>
      </c>
      <c r="G3126" s="7" t="s">
        <v>416</v>
      </c>
      <c r="H3126" s="7" t="s">
        <v>430</v>
      </c>
      <c r="I3126" s="7" t="s">
        <v>2120</v>
      </c>
      <c r="J3126" s="14"/>
      <c r="O3126" s="22"/>
      <c r="P3126" s="22"/>
      <c r="Q3126" s="23"/>
      <c r="R3126" s="23"/>
      <c r="S3126" s="14"/>
    </row>
    <row r="3127" ht="18.75" customHeight="1">
      <c r="A3127" s="7" t="s">
        <v>1429</v>
      </c>
      <c r="B3127" s="7" t="s">
        <v>3883</v>
      </c>
      <c r="C3127" s="9">
        <v>120587.0</v>
      </c>
      <c r="D3127" s="9">
        <v>101537.0</v>
      </c>
      <c r="E3127" s="9">
        <v>107.0</v>
      </c>
      <c r="F3127" s="7" t="s">
        <v>1430</v>
      </c>
      <c r="G3127" s="7" t="s">
        <v>416</v>
      </c>
      <c r="H3127" s="7" t="s">
        <v>430</v>
      </c>
      <c r="I3127" s="7" t="s">
        <v>2120</v>
      </c>
      <c r="J3127" s="14"/>
      <c r="O3127" s="22"/>
      <c r="P3127" s="22"/>
      <c r="Q3127" s="23"/>
      <c r="R3127" s="23"/>
      <c r="S3127" s="14"/>
    </row>
    <row r="3128" ht="18.75" customHeight="1">
      <c r="A3128" s="7" t="s">
        <v>1725</v>
      </c>
      <c r="B3128" s="7" t="s">
        <v>3883</v>
      </c>
      <c r="C3128" s="9">
        <v>70484.0</v>
      </c>
      <c r="D3128" s="9">
        <v>60178.0</v>
      </c>
      <c r="E3128" s="9">
        <v>104.0</v>
      </c>
      <c r="F3128" s="7" t="s">
        <v>1726</v>
      </c>
      <c r="G3128" s="7" t="s">
        <v>353</v>
      </c>
      <c r="H3128" s="7" t="s">
        <v>378</v>
      </c>
      <c r="I3128" s="7" t="s">
        <v>410</v>
      </c>
      <c r="J3128" s="14"/>
      <c r="O3128" s="22"/>
      <c r="P3128" s="22"/>
      <c r="Q3128" s="23"/>
      <c r="R3128" s="23"/>
      <c r="S3128" s="14"/>
    </row>
    <row r="3129" ht="18.75" customHeight="1">
      <c r="A3129" s="7" t="s">
        <v>1725</v>
      </c>
      <c r="B3129" s="7" t="s">
        <v>3883</v>
      </c>
      <c r="C3129" s="9">
        <v>185205.0</v>
      </c>
      <c r="D3129" s="9">
        <v>0.0</v>
      </c>
      <c r="E3129" s="9">
        <v>3634.0</v>
      </c>
      <c r="F3129" s="7" t="s">
        <v>1726</v>
      </c>
      <c r="G3129" s="7" t="s">
        <v>353</v>
      </c>
      <c r="H3129" s="7" t="s">
        <v>378</v>
      </c>
      <c r="I3129" s="7" t="s">
        <v>410</v>
      </c>
      <c r="J3129" s="14"/>
      <c r="O3129" s="22"/>
      <c r="P3129" s="22"/>
      <c r="Q3129" s="23"/>
      <c r="R3129" s="23"/>
      <c r="S3129" s="14"/>
    </row>
    <row r="3130" ht="18.75" customHeight="1">
      <c r="A3130" s="7" t="s">
        <v>1686</v>
      </c>
      <c r="B3130" s="7" t="s">
        <v>3883</v>
      </c>
      <c r="C3130" s="9">
        <v>292592.0</v>
      </c>
      <c r="D3130" s="9">
        <v>217335.0</v>
      </c>
      <c r="E3130" s="9">
        <v>309.0</v>
      </c>
      <c r="F3130" s="7" t="s">
        <v>1687</v>
      </c>
      <c r="G3130" s="7" t="s">
        <v>364</v>
      </c>
      <c r="H3130" s="7" t="s">
        <v>365</v>
      </c>
      <c r="I3130" s="7" t="s">
        <v>355</v>
      </c>
      <c r="J3130" s="14"/>
      <c r="O3130" s="22"/>
      <c r="P3130" s="22"/>
      <c r="Q3130" s="23"/>
      <c r="R3130" s="23"/>
      <c r="S3130" s="14"/>
    </row>
    <row r="3131" ht="18.75" customHeight="1">
      <c r="A3131" s="7" t="s">
        <v>1970</v>
      </c>
      <c r="B3131" s="7" t="s">
        <v>3883</v>
      </c>
      <c r="C3131" s="9">
        <v>363738.0</v>
      </c>
      <c r="D3131" s="9">
        <v>0.0</v>
      </c>
      <c r="E3131" s="9">
        <v>6973.0</v>
      </c>
      <c r="F3131" s="7" t="s">
        <v>1971</v>
      </c>
      <c r="G3131" s="7" t="s">
        <v>364</v>
      </c>
      <c r="H3131" s="7" t="s">
        <v>365</v>
      </c>
      <c r="I3131" s="7" t="s">
        <v>355</v>
      </c>
      <c r="J3131" s="14"/>
      <c r="O3131" s="22"/>
      <c r="P3131" s="22"/>
      <c r="Q3131" s="23"/>
      <c r="R3131" s="23"/>
      <c r="S3131" s="14"/>
    </row>
    <row r="3132" ht="18.75" customHeight="1">
      <c r="A3132" s="7" t="s">
        <v>1735</v>
      </c>
      <c r="B3132" s="7" t="s">
        <v>3883</v>
      </c>
      <c r="C3132" s="9">
        <v>452515.0</v>
      </c>
      <c r="D3132" s="9">
        <v>0.0</v>
      </c>
      <c r="E3132" s="9">
        <v>13643.0</v>
      </c>
      <c r="F3132" s="7" t="s">
        <v>1736</v>
      </c>
      <c r="G3132" s="7" t="s">
        <v>358</v>
      </c>
      <c r="H3132" s="7" t="s">
        <v>359</v>
      </c>
      <c r="I3132" s="7" t="s">
        <v>355</v>
      </c>
      <c r="J3132" s="14"/>
      <c r="O3132" s="22"/>
      <c r="P3132" s="22"/>
      <c r="Q3132" s="23"/>
      <c r="R3132" s="23"/>
      <c r="S3132" s="14"/>
    </row>
    <row r="3133" ht="18.75" customHeight="1">
      <c r="A3133" s="7" t="s">
        <v>1735</v>
      </c>
      <c r="B3133" s="7" t="s">
        <v>3883</v>
      </c>
      <c r="C3133" s="9">
        <v>332601.0</v>
      </c>
      <c r="D3133" s="9">
        <v>0.0</v>
      </c>
      <c r="E3133" s="9">
        <v>14607.0</v>
      </c>
      <c r="F3133" s="7" t="s">
        <v>1736</v>
      </c>
      <c r="G3133" s="7" t="s">
        <v>358</v>
      </c>
      <c r="H3133" s="7" t="s">
        <v>359</v>
      </c>
      <c r="I3133" s="7" t="s">
        <v>355</v>
      </c>
      <c r="J3133" s="14"/>
      <c r="O3133" s="22"/>
      <c r="P3133" s="22"/>
      <c r="Q3133" s="23"/>
      <c r="R3133" s="23"/>
      <c r="S3133" s="14"/>
    </row>
    <row r="3134" ht="18.75" customHeight="1">
      <c r="A3134" s="7" t="s">
        <v>1497</v>
      </c>
      <c r="B3134" s="7" t="s">
        <v>3914</v>
      </c>
      <c r="C3134" s="12"/>
      <c r="D3134" s="12"/>
      <c r="E3134" s="12"/>
      <c r="F3134" s="7" t="s">
        <v>1498</v>
      </c>
      <c r="G3134" s="7" t="s">
        <v>404</v>
      </c>
      <c r="H3134" s="7" t="s">
        <v>405</v>
      </c>
      <c r="I3134" s="7" t="s">
        <v>410</v>
      </c>
      <c r="J3134" s="14"/>
      <c r="O3134" s="22"/>
      <c r="P3134" s="22"/>
      <c r="Q3134" s="23"/>
      <c r="R3134" s="23"/>
      <c r="S3134" s="14"/>
    </row>
    <row r="3135" ht="18.75" customHeight="1">
      <c r="A3135" s="7" t="s">
        <v>1497</v>
      </c>
      <c r="B3135" s="7" t="s">
        <v>3914</v>
      </c>
      <c r="C3135" s="12"/>
      <c r="D3135" s="12"/>
      <c r="E3135" s="12"/>
      <c r="F3135" s="7" t="s">
        <v>1498</v>
      </c>
      <c r="G3135" s="7" t="s">
        <v>404</v>
      </c>
      <c r="H3135" s="7" t="s">
        <v>405</v>
      </c>
      <c r="I3135" s="7" t="s">
        <v>410</v>
      </c>
      <c r="J3135" s="14"/>
      <c r="O3135" s="22"/>
      <c r="P3135" s="22"/>
      <c r="Q3135" s="23"/>
      <c r="R3135" s="23"/>
      <c r="S3135" s="14"/>
    </row>
    <row r="3136" ht="18.75" customHeight="1">
      <c r="A3136" s="7" t="s">
        <v>1741</v>
      </c>
      <c r="B3136" s="7" t="s">
        <v>3914</v>
      </c>
      <c r="C3136" s="12"/>
      <c r="D3136" s="12"/>
      <c r="E3136" s="12"/>
      <c r="F3136" s="7" t="s">
        <v>1742</v>
      </c>
      <c r="G3136" s="7" t="s">
        <v>358</v>
      </c>
      <c r="H3136" s="7" t="s">
        <v>466</v>
      </c>
      <c r="I3136" s="7" t="s">
        <v>355</v>
      </c>
      <c r="J3136" s="14"/>
      <c r="O3136" s="22"/>
      <c r="P3136" s="22"/>
      <c r="Q3136" s="23"/>
      <c r="R3136" s="23"/>
      <c r="S3136" s="14"/>
    </row>
    <row r="3137" ht="18.75" customHeight="1">
      <c r="A3137" s="7" t="s">
        <v>1291</v>
      </c>
      <c r="B3137" s="7" t="s">
        <v>3914</v>
      </c>
      <c r="C3137" s="12"/>
      <c r="D3137" s="12"/>
      <c r="E3137" s="12"/>
      <c r="F3137" s="7" t="s">
        <v>1292</v>
      </c>
      <c r="G3137" s="7" t="s">
        <v>353</v>
      </c>
      <c r="H3137" s="7" t="s">
        <v>354</v>
      </c>
      <c r="I3137" s="7" t="s">
        <v>410</v>
      </c>
      <c r="J3137" s="14"/>
      <c r="O3137" s="22"/>
      <c r="P3137" s="22"/>
      <c r="Q3137" s="23"/>
      <c r="R3137" s="23"/>
      <c r="S3137" s="14"/>
    </row>
    <row r="3138" ht="18.75" customHeight="1">
      <c r="A3138" s="7" t="s">
        <v>1807</v>
      </c>
      <c r="B3138" s="7" t="s">
        <v>3914</v>
      </c>
      <c r="C3138" s="12"/>
      <c r="D3138" s="12"/>
      <c r="E3138" s="12"/>
      <c r="F3138" s="7" t="s">
        <v>1808</v>
      </c>
      <c r="G3138" s="7" t="s">
        <v>353</v>
      </c>
      <c r="H3138" s="7" t="s">
        <v>354</v>
      </c>
      <c r="I3138" s="7" t="s">
        <v>355</v>
      </c>
      <c r="J3138" s="14"/>
      <c r="O3138" s="22"/>
      <c r="P3138" s="22"/>
      <c r="Q3138" s="23"/>
      <c r="R3138" s="23"/>
      <c r="S3138" s="14"/>
    </row>
    <row r="3139" ht="18.75" customHeight="1">
      <c r="A3139" s="7" t="s">
        <v>1505</v>
      </c>
      <c r="B3139" s="7" t="s">
        <v>3914</v>
      </c>
      <c r="C3139" s="12"/>
      <c r="D3139" s="12"/>
      <c r="E3139" s="12"/>
      <c r="F3139" s="7" t="s">
        <v>1506</v>
      </c>
      <c r="G3139" s="7" t="s">
        <v>404</v>
      </c>
      <c r="H3139" s="7" t="s">
        <v>405</v>
      </c>
      <c r="I3139" s="7" t="s">
        <v>410</v>
      </c>
      <c r="J3139" s="14"/>
      <c r="O3139" s="22"/>
      <c r="P3139" s="22"/>
      <c r="Q3139" s="23"/>
      <c r="R3139" s="23"/>
      <c r="S3139" s="14"/>
    </row>
    <row r="3140" ht="18.75" customHeight="1">
      <c r="A3140" s="7" t="s">
        <v>1401</v>
      </c>
      <c r="B3140" s="7" t="s">
        <v>3914</v>
      </c>
      <c r="C3140" s="12"/>
      <c r="D3140" s="12"/>
      <c r="E3140" s="12"/>
      <c r="F3140" s="7" t="s">
        <v>1402</v>
      </c>
      <c r="G3140" s="7" t="s">
        <v>358</v>
      </c>
      <c r="H3140" s="7" t="s">
        <v>466</v>
      </c>
      <c r="I3140" s="7" t="s">
        <v>410</v>
      </c>
      <c r="J3140" s="14"/>
      <c r="O3140" s="22"/>
      <c r="P3140" s="22"/>
      <c r="Q3140" s="23"/>
      <c r="R3140" s="23"/>
      <c r="S3140" s="14"/>
    </row>
    <row r="3141" ht="18.75" customHeight="1">
      <c r="A3141" s="7" t="s">
        <v>1401</v>
      </c>
      <c r="B3141" s="7" t="s">
        <v>3914</v>
      </c>
      <c r="C3141" s="9">
        <v>30680.0</v>
      </c>
      <c r="D3141" s="9">
        <v>30453.0</v>
      </c>
      <c r="E3141" s="9">
        <v>0.0</v>
      </c>
      <c r="F3141" s="7" t="s">
        <v>1402</v>
      </c>
      <c r="G3141" s="7" t="s">
        <v>358</v>
      </c>
      <c r="H3141" s="7" t="s">
        <v>466</v>
      </c>
      <c r="I3141" s="7" t="s">
        <v>410</v>
      </c>
      <c r="J3141" s="14"/>
      <c r="O3141" s="22"/>
      <c r="P3141" s="22"/>
      <c r="Q3141" s="23"/>
      <c r="R3141" s="23"/>
      <c r="S3141" s="14"/>
    </row>
    <row r="3142" ht="18.75" customHeight="1">
      <c r="A3142" s="7" t="s">
        <v>1401</v>
      </c>
      <c r="B3142" s="7" t="s">
        <v>3914</v>
      </c>
      <c r="C3142" s="12"/>
      <c r="D3142" s="12"/>
      <c r="E3142" s="12"/>
      <c r="F3142" s="7" t="s">
        <v>1402</v>
      </c>
      <c r="G3142" s="7" t="s">
        <v>358</v>
      </c>
      <c r="H3142" s="7" t="s">
        <v>466</v>
      </c>
      <c r="I3142" s="7" t="s">
        <v>410</v>
      </c>
      <c r="J3142" s="14"/>
      <c r="O3142" s="22"/>
      <c r="P3142" s="22"/>
      <c r="Q3142" s="23"/>
      <c r="R3142" s="23"/>
      <c r="S3142" s="14"/>
    </row>
    <row r="3143" ht="18.75" customHeight="1">
      <c r="A3143" s="7" t="s">
        <v>1497</v>
      </c>
      <c r="B3143" s="7" t="s">
        <v>3914</v>
      </c>
      <c r="C3143" s="9">
        <v>57042.0</v>
      </c>
      <c r="D3143" s="9">
        <v>26432.0</v>
      </c>
      <c r="E3143" s="9">
        <v>0.0</v>
      </c>
      <c r="F3143" s="7" t="s">
        <v>1498</v>
      </c>
      <c r="G3143" s="7" t="s">
        <v>404</v>
      </c>
      <c r="H3143" s="7" t="s">
        <v>405</v>
      </c>
      <c r="I3143" s="7" t="s">
        <v>410</v>
      </c>
      <c r="J3143" s="14"/>
      <c r="O3143" s="22"/>
      <c r="P3143" s="22"/>
      <c r="Q3143" s="23"/>
      <c r="R3143" s="23"/>
      <c r="S3143" s="14"/>
    </row>
    <row r="3144" ht="18.75" customHeight="1">
      <c r="A3144" s="7" t="s">
        <v>1497</v>
      </c>
      <c r="B3144" s="7" t="s">
        <v>3914</v>
      </c>
      <c r="C3144" s="9">
        <v>255438.0</v>
      </c>
      <c r="D3144" s="9">
        <v>0.0</v>
      </c>
      <c r="E3144" s="9">
        <v>14053.0</v>
      </c>
      <c r="F3144" s="7" t="s">
        <v>1498</v>
      </c>
      <c r="G3144" s="7" t="s">
        <v>404</v>
      </c>
      <c r="H3144" s="7" t="s">
        <v>405</v>
      </c>
      <c r="I3144" s="7" t="s">
        <v>410</v>
      </c>
      <c r="J3144" s="14"/>
      <c r="O3144" s="22"/>
      <c r="P3144" s="22"/>
      <c r="Q3144" s="23"/>
      <c r="R3144" s="23"/>
      <c r="S3144" s="14"/>
    </row>
    <row r="3145" ht="18.75" customHeight="1">
      <c r="A3145" s="7" t="s">
        <v>1505</v>
      </c>
      <c r="B3145" s="7" t="s">
        <v>3914</v>
      </c>
      <c r="C3145" s="9">
        <v>2711404.0</v>
      </c>
      <c r="D3145" s="9">
        <v>0.0</v>
      </c>
      <c r="E3145" s="9">
        <v>4274.0</v>
      </c>
      <c r="F3145" s="7" t="s">
        <v>1506</v>
      </c>
      <c r="G3145" s="7" t="s">
        <v>404</v>
      </c>
      <c r="H3145" s="7" t="s">
        <v>405</v>
      </c>
      <c r="I3145" s="7" t="s">
        <v>410</v>
      </c>
      <c r="J3145" s="14"/>
      <c r="O3145" s="22"/>
      <c r="P3145" s="22"/>
      <c r="Q3145" s="23"/>
      <c r="R3145" s="23"/>
      <c r="S3145" s="14"/>
    </row>
    <row r="3146" ht="18.75" customHeight="1">
      <c r="A3146" s="7" t="s">
        <v>1807</v>
      </c>
      <c r="B3146" s="7" t="s">
        <v>3914</v>
      </c>
      <c r="C3146" s="9">
        <v>341366.0</v>
      </c>
      <c r="D3146" s="9">
        <v>0.0</v>
      </c>
      <c r="E3146" s="9">
        <v>7511.0</v>
      </c>
      <c r="F3146" s="7" t="s">
        <v>1808</v>
      </c>
      <c r="G3146" s="7" t="s">
        <v>353</v>
      </c>
      <c r="H3146" s="7" t="s">
        <v>354</v>
      </c>
      <c r="I3146" s="7" t="s">
        <v>355</v>
      </c>
      <c r="J3146" s="14"/>
      <c r="O3146" s="22"/>
      <c r="P3146" s="22"/>
      <c r="Q3146" s="23"/>
      <c r="R3146" s="23"/>
      <c r="S3146" s="14"/>
    </row>
    <row r="3147" ht="18.75" customHeight="1">
      <c r="A3147" s="7" t="s">
        <v>1974</v>
      </c>
      <c r="B3147" s="7" t="s">
        <v>3914</v>
      </c>
      <c r="C3147" s="9">
        <v>922701.0</v>
      </c>
      <c r="D3147" s="9">
        <v>0.0</v>
      </c>
      <c r="E3147" s="9">
        <v>885.0</v>
      </c>
      <c r="F3147" s="7" t="s">
        <v>1975</v>
      </c>
      <c r="G3147" s="7" t="s">
        <v>358</v>
      </c>
      <c r="H3147" s="7" t="s">
        <v>466</v>
      </c>
      <c r="I3147" s="7" t="s">
        <v>410</v>
      </c>
      <c r="J3147" s="14"/>
      <c r="O3147" s="22"/>
      <c r="P3147" s="22"/>
      <c r="Q3147" s="23"/>
      <c r="R3147" s="23"/>
      <c r="S3147" s="14"/>
    </row>
    <row r="3148" ht="18.75" customHeight="1">
      <c r="A3148" s="7" t="s">
        <v>1974</v>
      </c>
      <c r="B3148" s="7" t="s">
        <v>3914</v>
      </c>
      <c r="C3148" s="9">
        <v>1980.0</v>
      </c>
      <c r="D3148" s="9">
        <v>0.0</v>
      </c>
      <c r="E3148" s="9">
        <v>4.0</v>
      </c>
      <c r="F3148" s="7" t="s">
        <v>1975</v>
      </c>
      <c r="G3148" s="7" t="s">
        <v>358</v>
      </c>
      <c r="H3148" s="7" t="s">
        <v>466</v>
      </c>
      <c r="I3148" s="7" t="s">
        <v>410</v>
      </c>
      <c r="J3148" s="14"/>
      <c r="O3148" s="22"/>
      <c r="P3148" s="22"/>
      <c r="Q3148" s="23"/>
      <c r="R3148" s="23"/>
      <c r="S3148" s="14"/>
    </row>
    <row r="3149" ht="18.75" customHeight="1">
      <c r="A3149" s="7" t="s">
        <v>1739</v>
      </c>
      <c r="B3149" s="7" t="s">
        <v>3914</v>
      </c>
      <c r="C3149" s="12"/>
      <c r="D3149" s="12"/>
      <c r="E3149" s="12"/>
      <c r="F3149" s="7" t="s">
        <v>1740</v>
      </c>
      <c r="G3149" s="7" t="s">
        <v>364</v>
      </c>
      <c r="H3149" s="7" t="s">
        <v>365</v>
      </c>
      <c r="I3149" s="7" t="s">
        <v>355</v>
      </c>
      <c r="J3149" s="14"/>
      <c r="O3149" s="22"/>
      <c r="P3149" s="22"/>
      <c r="Q3149" s="23"/>
      <c r="R3149" s="23"/>
      <c r="S3149" s="14"/>
    </row>
    <row r="3150" ht="18.75" customHeight="1">
      <c r="A3150" s="7" t="s">
        <v>1291</v>
      </c>
      <c r="B3150" s="7" t="s">
        <v>3914</v>
      </c>
      <c r="C3150" s="12"/>
      <c r="D3150" s="12"/>
      <c r="E3150" s="12"/>
      <c r="F3150" s="7" t="s">
        <v>1292</v>
      </c>
      <c r="G3150" s="7" t="s">
        <v>353</v>
      </c>
      <c r="H3150" s="7" t="s">
        <v>354</v>
      </c>
      <c r="I3150" s="7" t="s">
        <v>410</v>
      </c>
      <c r="J3150" s="14"/>
      <c r="O3150" s="22"/>
      <c r="P3150" s="22"/>
      <c r="Q3150" s="23"/>
      <c r="R3150" s="23"/>
      <c r="S3150" s="14"/>
    </row>
    <row r="3151" ht="18.75" customHeight="1">
      <c r="A3151" s="7" t="s">
        <v>390</v>
      </c>
      <c r="B3151" s="7" t="s">
        <v>3884</v>
      </c>
      <c r="C3151" s="9">
        <v>3465259.0</v>
      </c>
      <c r="D3151" s="9">
        <v>0.0</v>
      </c>
      <c r="E3151" s="9">
        <v>3667.0</v>
      </c>
      <c r="F3151" s="7" t="s">
        <v>391</v>
      </c>
      <c r="G3151" s="7" t="s">
        <v>364</v>
      </c>
      <c r="H3151" s="7" t="s">
        <v>365</v>
      </c>
      <c r="I3151" s="7" t="s">
        <v>355</v>
      </c>
      <c r="J3151" s="14"/>
      <c r="O3151" s="22"/>
      <c r="P3151" s="22"/>
      <c r="Q3151" s="23"/>
      <c r="R3151" s="23"/>
      <c r="S3151" s="14"/>
    </row>
    <row r="3152" ht="18.75" customHeight="1">
      <c r="A3152" s="7" t="s">
        <v>390</v>
      </c>
      <c r="B3152" s="7" t="s">
        <v>3884</v>
      </c>
      <c r="C3152" s="9">
        <v>1512120.0</v>
      </c>
      <c r="D3152" s="9">
        <v>0.0</v>
      </c>
      <c r="E3152" s="9">
        <v>3095.0</v>
      </c>
      <c r="F3152" s="7" t="s">
        <v>391</v>
      </c>
      <c r="G3152" s="7" t="s">
        <v>364</v>
      </c>
      <c r="H3152" s="7" t="s">
        <v>365</v>
      </c>
      <c r="I3152" s="7" t="s">
        <v>355</v>
      </c>
      <c r="J3152" s="14"/>
      <c r="O3152" s="22"/>
      <c r="P3152" s="22"/>
      <c r="Q3152" s="23"/>
      <c r="R3152" s="23"/>
      <c r="S3152" s="14"/>
    </row>
    <row r="3153" ht="18.75" customHeight="1">
      <c r="A3153" s="7" t="s">
        <v>390</v>
      </c>
      <c r="B3153" s="7" t="s">
        <v>3884</v>
      </c>
      <c r="C3153" s="9">
        <v>1942337.0</v>
      </c>
      <c r="D3153" s="9">
        <v>0.0</v>
      </c>
      <c r="E3153" s="9">
        <v>2400.0</v>
      </c>
      <c r="F3153" s="7" t="s">
        <v>391</v>
      </c>
      <c r="G3153" s="7" t="s">
        <v>364</v>
      </c>
      <c r="H3153" s="7" t="s">
        <v>365</v>
      </c>
      <c r="I3153" s="7" t="s">
        <v>355</v>
      </c>
      <c r="J3153" s="14"/>
      <c r="O3153" s="22"/>
      <c r="P3153" s="22"/>
      <c r="Q3153" s="23"/>
      <c r="R3153" s="23"/>
      <c r="S3153" s="14"/>
    </row>
    <row r="3154" ht="18.75" customHeight="1">
      <c r="A3154" s="7" t="s">
        <v>390</v>
      </c>
      <c r="B3154" s="7" t="s">
        <v>3884</v>
      </c>
      <c r="C3154" s="9">
        <v>2175226.0</v>
      </c>
      <c r="D3154" s="9">
        <v>1578263.0</v>
      </c>
      <c r="E3154" s="9">
        <v>1675.0</v>
      </c>
      <c r="F3154" s="7" t="s">
        <v>391</v>
      </c>
      <c r="G3154" s="7" t="s">
        <v>364</v>
      </c>
      <c r="H3154" s="7" t="s">
        <v>365</v>
      </c>
      <c r="I3154" s="7" t="s">
        <v>355</v>
      </c>
      <c r="J3154" s="14"/>
      <c r="O3154" s="22"/>
      <c r="P3154" s="22"/>
      <c r="Q3154" s="23"/>
      <c r="R3154" s="23"/>
      <c r="S3154" s="14"/>
    </row>
    <row r="3155" ht="18.75" customHeight="1">
      <c r="A3155" s="7" t="s">
        <v>390</v>
      </c>
      <c r="B3155" s="7" t="s">
        <v>3884</v>
      </c>
      <c r="C3155" s="9">
        <v>3897124.0</v>
      </c>
      <c r="D3155" s="9">
        <v>2386075.0</v>
      </c>
      <c r="E3155" s="9">
        <v>3824.0</v>
      </c>
      <c r="F3155" s="7" t="s">
        <v>391</v>
      </c>
      <c r="G3155" s="7" t="s">
        <v>364</v>
      </c>
      <c r="H3155" s="7" t="s">
        <v>365</v>
      </c>
      <c r="I3155" s="7" t="s">
        <v>355</v>
      </c>
      <c r="J3155" s="14"/>
      <c r="O3155" s="22"/>
      <c r="P3155" s="22"/>
      <c r="Q3155" s="23"/>
      <c r="R3155" s="23"/>
      <c r="S3155" s="14"/>
    </row>
    <row r="3156" ht="18.75" customHeight="1">
      <c r="A3156" s="7" t="s">
        <v>390</v>
      </c>
      <c r="B3156" s="7" t="s">
        <v>3884</v>
      </c>
      <c r="C3156" s="9">
        <v>1531888.0</v>
      </c>
      <c r="D3156" s="9">
        <v>1168616.0</v>
      </c>
      <c r="E3156" s="9">
        <v>866.0</v>
      </c>
      <c r="F3156" s="7" t="s">
        <v>391</v>
      </c>
      <c r="G3156" s="7" t="s">
        <v>364</v>
      </c>
      <c r="H3156" s="7" t="s">
        <v>365</v>
      </c>
      <c r="I3156" s="7" t="s">
        <v>355</v>
      </c>
      <c r="J3156" s="14"/>
      <c r="O3156" s="22"/>
      <c r="P3156" s="22"/>
      <c r="Q3156" s="23"/>
      <c r="R3156" s="23"/>
      <c r="S3156" s="14"/>
    </row>
    <row r="3157" ht="18.75" customHeight="1">
      <c r="A3157" s="7" t="s">
        <v>390</v>
      </c>
      <c r="B3157" s="7" t="s">
        <v>3884</v>
      </c>
      <c r="C3157" s="9">
        <v>37742.0</v>
      </c>
      <c r="D3157" s="9">
        <v>0.0</v>
      </c>
      <c r="E3157" s="9">
        <v>1230.0</v>
      </c>
      <c r="F3157" s="7" t="s">
        <v>391</v>
      </c>
      <c r="G3157" s="7" t="s">
        <v>364</v>
      </c>
      <c r="H3157" s="7" t="s">
        <v>365</v>
      </c>
      <c r="I3157" s="7" t="s">
        <v>355</v>
      </c>
      <c r="J3157" s="14"/>
      <c r="O3157" s="22"/>
      <c r="P3157" s="22"/>
      <c r="Q3157" s="23"/>
      <c r="R3157" s="23"/>
      <c r="S3157" s="14"/>
    </row>
    <row r="3158" ht="18.75" customHeight="1">
      <c r="A3158" s="7" t="s">
        <v>392</v>
      </c>
      <c r="B3158" s="7" t="s">
        <v>3884</v>
      </c>
      <c r="C3158" s="9">
        <v>2085477.0</v>
      </c>
      <c r="D3158" s="9">
        <v>1607470.0</v>
      </c>
      <c r="E3158" s="9">
        <v>1845.0</v>
      </c>
      <c r="F3158" s="7" t="s">
        <v>393</v>
      </c>
      <c r="G3158" s="7" t="s">
        <v>353</v>
      </c>
      <c r="H3158" s="7" t="s">
        <v>378</v>
      </c>
      <c r="I3158" s="7" t="s">
        <v>355</v>
      </c>
      <c r="J3158" s="14"/>
      <c r="O3158" s="22"/>
      <c r="P3158" s="22"/>
      <c r="Q3158" s="23"/>
      <c r="R3158" s="23"/>
      <c r="S3158" s="14"/>
    </row>
    <row r="3159" ht="18.75" customHeight="1">
      <c r="A3159" s="7" t="s">
        <v>392</v>
      </c>
      <c r="B3159" s="7" t="s">
        <v>3884</v>
      </c>
      <c r="C3159" s="9">
        <v>777668.0</v>
      </c>
      <c r="D3159" s="9">
        <v>467886.0</v>
      </c>
      <c r="E3159" s="9">
        <v>1453.0</v>
      </c>
      <c r="F3159" s="7" t="s">
        <v>393</v>
      </c>
      <c r="G3159" s="7" t="s">
        <v>353</v>
      </c>
      <c r="H3159" s="7" t="s">
        <v>378</v>
      </c>
      <c r="I3159" s="7" t="s">
        <v>355</v>
      </c>
      <c r="J3159" s="14"/>
      <c r="O3159" s="22"/>
      <c r="P3159" s="22"/>
      <c r="Q3159" s="23"/>
      <c r="R3159" s="23"/>
      <c r="S3159" s="14"/>
    </row>
    <row r="3160" ht="18.75" customHeight="1">
      <c r="A3160" s="7" t="s">
        <v>392</v>
      </c>
      <c r="B3160" s="7" t="s">
        <v>3884</v>
      </c>
      <c r="C3160" s="9">
        <v>550623.0</v>
      </c>
      <c r="D3160" s="9">
        <v>0.0</v>
      </c>
      <c r="E3160" s="9">
        <v>1525.0</v>
      </c>
      <c r="F3160" s="7" t="s">
        <v>393</v>
      </c>
      <c r="G3160" s="7" t="s">
        <v>353</v>
      </c>
      <c r="H3160" s="7" t="s">
        <v>378</v>
      </c>
      <c r="I3160" s="7" t="s">
        <v>355</v>
      </c>
      <c r="J3160" s="14"/>
      <c r="O3160" s="22"/>
      <c r="P3160" s="22"/>
      <c r="Q3160" s="23"/>
      <c r="R3160" s="23"/>
      <c r="S3160" s="14"/>
    </row>
    <row r="3161" ht="18.75" customHeight="1">
      <c r="A3161" s="7" t="s">
        <v>392</v>
      </c>
      <c r="B3161" s="7" t="s">
        <v>3884</v>
      </c>
      <c r="C3161" s="9">
        <v>236571.0</v>
      </c>
      <c r="D3161" s="9">
        <v>0.0</v>
      </c>
      <c r="E3161" s="9">
        <v>627.0</v>
      </c>
      <c r="F3161" s="7" t="s">
        <v>393</v>
      </c>
      <c r="G3161" s="7" t="s">
        <v>353</v>
      </c>
      <c r="H3161" s="7" t="s">
        <v>378</v>
      </c>
      <c r="I3161" s="7" t="s">
        <v>355</v>
      </c>
      <c r="J3161" s="14"/>
      <c r="O3161" s="22"/>
      <c r="P3161" s="22"/>
      <c r="Q3161" s="23"/>
      <c r="R3161" s="23"/>
      <c r="S3161" s="14"/>
    </row>
    <row r="3162" ht="18.75" customHeight="1">
      <c r="A3162" s="7" t="s">
        <v>392</v>
      </c>
      <c r="B3162" s="7" t="s">
        <v>3884</v>
      </c>
      <c r="C3162" s="9">
        <v>24638.0</v>
      </c>
      <c r="D3162" s="9">
        <v>24112.0</v>
      </c>
      <c r="E3162" s="9">
        <v>6.0</v>
      </c>
      <c r="F3162" s="7" t="s">
        <v>393</v>
      </c>
      <c r="G3162" s="7" t="s">
        <v>353</v>
      </c>
      <c r="H3162" s="7" t="s">
        <v>378</v>
      </c>
      <c r="I3162" s="7" t="s">
        <v>355</v>
      </c>
      <c r="J3162" s="14"/>
      <c r="O3162" s="22"/>
      <c r="P3162" s="22"/>
      <c r="Q3162" s="23"/>
      <c r="R3162" s="23"/>
      <c r="S3162" s="14"/>
    </row>
    <row r="3163" ht="18.75" customHeight="1">
      <c r="A3163" s="7" t="s">
        <v>379</v>
      </c>
      <c r="B3163" s="7" t="s">
        <v>3884</v>
      </c>
      <c r="C3163" s="9">
        <v>1895367.0</v>
      </c>
      <c r="D3163" s="9">
        <v>0.0</v>
      </c>
      <c r="E3163" s="9">
        <v>4364.0</v>
      </c>
      <c r="F3163" s="7" t="s">
        <v>380</v>
      </c>
      <c r="G3163" s="7" t="s">
        <v>353</v>
      </c>
      <c r="H3163" s="7" t="s">
        <v>354</v>
      </c>
      <c r="I3163" s="7" t="s">
        <v>355</v>
      </c>
      <c r="J3163" s="14"/>
      <c r="O3163" s="22"/>
      <c r="P3163" s="22"/>
      <c r="Q3163" s="23"/>
      <c r="R3163" s="23"/>
      <c r="S3163" s="14"/>
    </row>
    <row r="3164" ht="18.75" customHeight="1">
      <c r="A3164" s="7" t="s">
        <v>394</v>
      </c>
      <c r="B3164" s="7" t="s">
        <v>3884</v>
      </c>
      <c r="C3164" s="9">
        <v>142669.0</v>
      </c>
      <c r="D3164" s="9">
        <v>90960.0</v>
      </c>
      <c r="E3164" s="9">
        <v>376.0</v>
      </c>
      <c r="F3164" s="7" t="s">
        <v>395</v>
      </c>
      <c r="G3164" s="7" t="s">
        <v>353</v>
      </c>
      <c r="H3164" s="7" t="s">
        <v>378</v>
      </c>
      <c r="I3164" s="7" t="s">
        <v>355</v>
      </c>
      <c r="J3164" s="14"/>
      <c r="O3164" s="22"/>
      <c r="P3164" s="22"/>
      <c r="Q3164" s="23"/>
      <c r="R3164" s="23"/>
      <c r="S3164" s="14"/>
    </row>
    <row r="3165" ht="18.75" customHeight="1">
      <c r="A3165" s="7" t="s">
        <v>394</v>
      </c>
      <c r="B3165" s="7" t="s">
        <v>3884</v>
      </c>
      <c r="C3165" s="9">
        <v>948717.0</v>
      </c>
      <c r="D3165" s="9">
        <v>688909.0</v>
      </c>
      <c r="E3165" s="9">
        <v>427.0</v>
      </c>
      <c r="F3165" s="7" t="s">
        <v>395</v>
      </c>
      <c r="G3165" s="7" t="s">
        <v>353</v>
      </c>
      <c r="H3165" s="7" t="s">
        <v>378</v>
      </c>
      <c r="I3165" s="7" t="s">
        <v>355</v>
      </c>
      <c r="J3165" s="14"/>
      <c r="O3165" s="22"/>
      <c r="P3165" s="22"/>
      <c r="Q3165" s="23"/>
      <c r="R3165" s="23"/>
      <c r="S3165" s="14"/>
    </row>
    <row r="3166" ht="18.75" customHeight="1">
      <c r="A3166" s="7" t="s">
        <v>394</v>
      </c>
      <c r="B3166" s="7" t="s">
        <v>3884</v>
      </c>
      <c r="C3166" s="9">
        <v>618864.0</v>
      </c>
      <c r="D3166" s="9">
        <v>0.0</v>
      </c>
      <c r="E3166" s="9">
        <v>1380.0</v>
      </c>
      <c r="F3166" s="7" t="s">
        <v>395</v>
      </c>
      <c r="G3166" s="7" t="s">
        <v>353</v>
      </c>
      <c r="H3166" s="7" t="s">
        <v>378</v>
      </c>
      <c r="I3166" s="7" t="s">
        <v>355</v>
      </c>
      <c r="J3166" s="14"/>
      <c r="O3166" s="22"/>
      <c r="P3166" s="22"/>
      <c r="Q3166" s="23"/>
      <c r="R3166" s="23"/>
      <c r="S3166" s="14"/>
    </row>
    <row r="3167" ht="18.75" customHeight="1">
      <c r="A3167" s="7" t="s">
        <v>394</v>
      </c>
      <c r="B3167" s="7" t="s">
        <v>3884</v>
      </c>
      <c r="C3167" s="9">
        <v>1306953.0</v>
      </c>
      <c r="D3167" s="9">
        <v>0.0</v>
      </c>
      <c r="E3167" s="9">
        <v>1851.0</v>
      </c>
      <c r="F3167" s="7" t="s">
        <v>395</v>
      </c>
      <c r="G3167" s="7" t="s">
        <v>353</v>
      </c>
      <c r="H3167" s="7" t="s">
        <v>378</v>
      </c>
      <c r="I3167" s="7" t="s">
        <v>355</v>
      </c>
      <c r="J3167" s="14"/>
      <c r="O3167" s="22"/>
      <c r="P3167" s="22"/>
      <c r="Q3167" s="23"/>
      <c r="R3167" s="23"/>
      <c r="S3167" s="14"/>
    </row>
    <row r="3168" ht="18.75" customHeight="1">
      <c r="A3168" s="7" t="s">
        <v>394</v>
      </c>
      <c r="B3168" s="7" t="s">
        <v>3884</v>
      </c>
      <c r="C3168" s="9">
        <v>36794.0</v>
      </c>
      <c r="D3168" s="9">
        <v>35882.0</v>
      </c>
      <c r="E3168" s="9">
        <v>3.0</v>
      </c>
      <c r="F3168" s="7" t="s">
        <v>395</v>
      </c>
      <c r="G3168" s="7" t="s">
        <v>353</v>
      </c>
      <c r="H3168" s="7" t="s">
        <v>378</v>
      </c>
      <c r="I3168" s="7" t="s">
        <v>355</v>
      </c>
      <c r="J3168" s="14"/>
      <c r="O3168" s="22"/>
      <c r="P3168" s="22"/>
      <c r="Q3168" s="23"/>
      <c r="R3168" s="23"/>
      <c r="S3168" s="14"/>
    </row>
    <row r="3169" ht="18.75" customHeight="1">
      <c r="A3169" s="7" t="s">
        <v>394</v>
      </c>
      <c r="B3169" s="7" t="s">
        <v>3884</v>
      </c>
      <c r="C3169" s="9">
        <v>37173.0</v>
      </c>
      <c r="D3169" s="9">
        <v>0.0</v>
      </c>
      <c r="E3169" s="9">
        <v>362.0</v>
      </c>
      <c r="F3169" s="7" t="s">
        <v>395</v>
      </c>
      <c r="G3169" s="7" t="s">
        <v>353</v>
      </c>
      <c r="H3169" s="7" t="s">
        <v>378</v>
      </c>
      <c r="I3169" s="7" t="s">
        <v>355</v>
      </c>
      <c r="J3169" s="14"/>
      <c r="O3169" s="22"/>
      <c r="P3169" s="22"/>
      <c r="Q3169" s="23"/>
      <c r="R3169" s="23"/>
      <c r="S3169" s="14"/>
    </row>
    <row r="3170" ht="18.75" customHeight="1">
      <c r="A3170" s="7" t="s">
        <v>411</v>
      </c>
      <c r="B3170" s="7" t="s">
        <v>3884</v>
      </c>
      <c r="C3170" s="9">
        <v>214104.0</v>
      </c>
      <c r="D3170" s="9">
        <v>0.0</v>
      </c>
      <c r="E3170" s="9">
        <v>507.0</v>
      </c>
      <c r="F3170" s="7" t="s">
        <v>412</v>
      </c>
      <c r="G3170" s="7" t="s">
        <v>353</v>
      </c>
      <c r="H3170" s="7" t="s">
        <v>413</v>
      </c>
      <c r="I3170" s="7" t="s">
        <v>355</v>
      </c>
      <c r="J3170" s="14"/>
      <c r="O3170" s="22"/>
      <c r="P3170" s="22"/>
      <c r="Q3170" s="23"/>
      <c r="R3170" s="23"/>
      <c r="S3170" s="14"/>
    </row>
    <row r="3171" ht="18.75" customHeight="1">
      <c r="A3171" s="7" t="s">
        <v>411</v>
      </c>
      <c r="B3171" s="7" t="s">
        <v>3884</v>
      </c>
      <c r="C3171" s="9">
        <v>664681.0</v>
      </c>
      <c r="D3171" s="9">
        <v>318844.0</v>
      </c>
      <c r="E3171" s="9">
        <v>460.0</v>
      </c>
      <c r="F3171" s="7" t="s">
        <v>412</v>
      </c>
      <c r="G3171" s="7" t="s">
        <v>353</v>
      </c>
      <c r="H3171" s="7" t="s">
        <v>413</v>
      </c>
      <c r="I3171" s="7" t="s">
        <v>355</v>
      </c>
      <c r="J3171" s="14"/>
      <c r="O3171" s="22"/>
      <c r="P3171" s="22"/>
      <c r="Q3171" s="23"/>
      <c r="R3171" s="23"/>
      <c r="S3171" s="14"/>
    </row>
    <row r="3172" ht="18.75" customHeight="1">
      <c r="A3172" s="7" t="s">
        <v>411</v>
      </c>
      <c r="B3172" s="7" t="s">
        <v>3884</v>
      </c>
      <c r="C3172" s="9">
        <v>22614.0</v>
      </c>
      <c r="D3172" s="9">
        <v>0.0</v>
      </c>
      <c r="E3172" s="9">
        <v>437.0</v>
      </c>
      <c r="F3172" s="7" t="s">
        <v>412</v>
      </c>
      <c r="G3172" s="7" t="s">
        <v>353</v>
      </c>
      <c r="H3172" s="7" t="s">
        <v>413</v>
      </c>
      <c r="I3172" s="7" t="s">
        <v>355</v>
      </c>
      <c r="J3172" s="14"/>
      <c r="O3172" s="22"/>
      <c r="P3172" s="22"/>
      <c r="Q3172" s="23"/>
      <c r="R3172" s="23"/>
      <c r="S3172" s="14"/>
    </row>
    <row r="3173" ht="18.75" customHeight="1">
      <c r="A3173" s="7" t="s">
        <v>414</v>
      </c>
      <c r="B3173" s="7" t="s">
        <v>3884</v>
      </c>
      <c r="C3173" s="9">
        <v>0.0</v>
      </c>
      <c r="D3173" s="9">
        <v>0.0</v>
      </c>
      <c r="E3173" s="9">
        <v>0.0</v>
      </c>
      <c r="F3173" s="7" t="s">
        <v>415</v>
      </c>
      <c r="G3173" s="7" t="s">
        <v>416</v>
      </c>
      <c r="H3173" s="7" t="s">
        <v>417</v>
      </c>
      <c r="I3173" s="7" t="s">
        <v>355</v>
      </c>
      <c r="J3173" s="14"/>
      <c r="O3173" s="22"/>
      <c r="P3173" s="22"/>
      <c r="Q3173" s="23"/>
      <c r="R3173" s="23"/>
      <c r="S3173" s="14"/>
    </row>
    <row r="3174" ht="18.75" customHeight="1">
      <c r="A3174" s="7" t="s">
        <v>418</v>
      </c>
      <c r="B3174" s="7" t="s">
        <v>3884</v>
      </c>
      <c r="C3174" s="9">
        <v>88566.0</v>
      </c>
      <c r="D3174" s="9">
        <v>61939.0</v>
      </c>
      <c r="E3174" s="9">
        <v>546.0</v>
      </c>
      <c r="F3174" s="7" t="s">
        <v>419</v>
      </c>
      <c r="G3174" s="7" t="s">
        <v>416</v>
      </c>
      <c r="H3174" s="7" t="s">
        <v>417</v>
      </c>
      <c r="I3174" s="7" t="s">
        <v>355</v>
      </c>
      <c r="J3174" s="14"/>
      <c r="O3174" s="22"/>
      <c r="P3174" s="22"/>
      <c r="Q3174" s="23"/>
      <c r="R3174" s="23"/>
      <c r="S3174" s="14"/>
    </row>
    <row r="3175" ht="18.75" customHeight="1">
      <c r="A3175" s="7" t="s">
        <v>362</v>
      </c>
      <c r="B3175" s="7" t="s">
        <v>3884</v>
      </c>
      <c r="C3175" s="9">
        <v>721376.0</v>
      </c>
      <c r="D3175" s="9">
        <v>470831.0</v>
      </c>
      <c r="E3175" s="9">
        <v>620.0</v>
      </c>
      <c r="F3175" s="7" t="s">
        <v>363</v>
      </c>
      <c r="G3175" s="7" t="s">
        <v>364</v>
      </c>
      <c r="H3175" s="7" t="s">
        <v>365</v>
      </c>
      <c r="I3175" s="7" t="s">
        <v>355</v>
      </c>
      <c r="J3175" s="14"/>
      <c r="O3175" s="22"/>
      <c r="P3175" s="22"/>
      <c r="Q3175" s="23"/>
      <c r="R3175" s="23"/>
      <c r="S3175" s="14"/>
    </row>
    <row r="3176" ht="18.75" customHeight="1">
      <c r="A3176" s="7" t="s">
        <v>362</v>
      </c>
      <c r="B3176" s="7" t="s">
        <v>3884</v>
      </c>
      <c r="C3176" s="9">
        <v>918134.0</v>
      </c>
      <c r="D3176" s="9">
        <v>0.0</v>
      </c>
      <c r="E3176" s="9">
        <v>1325.0</v>
      </c>
      <c r="F3176" s="7" t="s">
        <v>363</v>
      </c>
      <c r="G3176" s="7" t="s">
        <v>364</v>
      </c>
      <c r="H3176" s="7" t="s">
        <v>365</v>
      </c>
      <c r="I3176" s="7" t="s">
        <v>355</v>
      </c>
      <c r="J3176" s="14"/>
      <c r="O3176" s="22"/>
      <c r="P3176" s="22"/>
      <c r="Q3176" s="23"/>
      <c r="R3176" s="23"/>
      <c r="S3176" s="14"/>
    </row>
    <row r="3177" ht="18.75" customHeight="1">
      <c r="A3177" s="7" t="s">
        <v>402</v>
      </c>
      <c r="B3177" s="7" t="s">
        <v>3884</v>
      </c>
      <c r="C3177" s="9">
        <v>3395358.0</v>
      </c>
      <c r="D3177" s="9">
        <v>2083958.0</v>
      </c>
      <c r="E3177" s="9">
        <v>2301.0</v>
      </c>
      <c r="F3177" s="7" t="s">
        <v>403</v>
      </c>
      <c r="G3177" s="7" t="s">
        <v>404</v>
      </c>
      <c r="H3177" s="7" t="s">
        <v>405</v>
      </c>
      <c r="I3177" s="7" t="s">
        <v>355</v>
      </c>
      <c r="J3177" s="14"/>
      <c r="O3177" s="22"/>
      <c r="P3177" s="22"/>
      <c r="Q3177" s="23"/>
      <c r="R3177" s="23"/>
      <c r="S3177" s="14"/>
    </row>
    <row r="3178" ht="18.75" customHeight="1">
      <c r="A3178" s="7" t="s">
        <v>402</v>
      </c>
      <c r="B3178" s="7" t="s">
        <v>3884</v>
      </c>
      <c r="C3178" s="9">
        <v>394717.0</v>
      </c>
      <c r="D3178" s="9">
        <v>241966.0</v>
      </c>
      <c r="E3178" s="9">
        <v>115656.0</v>
      </c>
      <c r="F3178" s="7" t="s">
        <v>403</v>
      </c>
      <c r="G3178" s="7" t="s">
        <v>404</v>
      </c>
      <c r="H3178" s="7" t="s">
        <v>405</v>
      </c>
      <c r="I3178" s="7" t="s">
        <v>355</v>
      </c>
      <c r="J3178" s="14"/>
      <c r="O3178" s="22"/>
      <c r="P3178" s="22"/>
      <c r="Q3178" s="23"/>
      <c r="R3178" s="23"/>
      <c r="S3178" s="14"/>
    </row>
    <row r="3179" ht="18.75" customHeight="1">
      <c r="A3179" s="7" t="s">
        <v>402</v>
      </c>
      <c r="B3179" s="7" t="s">
        <v>3884</v>
      </c>
      <c r="C3179" s="9">
        <v>5844121.0</v>
      </c>
      <c r="D3179" s="9">
        <v>0.0</v>
      </c>
      <c r="E3179" s="9">
        <v>6256.0</v>
      </c>
      <c r="F3179" s="7" t="s">
        <v>403</v>
      </c>
      <c r="G3179" s="7" t="s">
        <v>404</v>
      </c>
      <c r="H3179" s="7" t="s">
        <v>405</v>
      </c>
      <c r="I3179" s="7" t="s">
        <v>355</v>
      </c>
      <c r="J3179" s="14"/>
      <c r="O3179" s="22"/>
      <c r="P3179" s="22"/>
      <c r="Q3179" s="23"/>
      <c r="R3179" s="23"/>
      <c r="S3179" s="14"/>
    </row>
    <row r="3180" ht="18.75" customHeight="1">
      <c r="A3180" s="7" t="s">
        <v>402</v>
      </c>
      <c r="B3180" s="7" t="s">
        <v>3884</v>
      </c>
      <c r="C3180" s="9">
        <v>492059.0</v>
      </c>
      <c r="D3180" s="9">
        <v>0.0</v>
      </c>
      <c r="E3180" s="9">
        <v>35967.0</v>
      </c>
      <c r="F3180" s="7" t="s">
        <v>403</v>
      </c>
      <c r="G3180" s="7" t="s">
        <v>404</v>
      </c>
      <c r="H3180" s="7" t="s">
        <v>405</v>
      </c>
      <c r="I3180" s="7" t="s">
        <v>355</v>
      </c>
      <c r="J3180" s="14"/>
      <c r="O3180" s="22"/>
      <c r="P3180" s="22"/>
      <c r="Q3180" s="23"/>
      <c r="R3180" s="23"/>
      <c r="S3180" s="14"/>
    </row>
    <row r="3181" ht="18.75" customHeight="1">
      <c r="A3181" s="7" t="s">
        <v>402</v>
      </c>
      <c r="B3181" s="7" t="s">
        <v>3884</v>
      </c>
      <c r="C3181" s="9">
        <v>61563.0</v>
      </c>
      <c r="D3181" s="9">
        <v>0.0</v>
      </c>
      <c r="E3181" s="9">
        <v>906.0</v>
      </c>
      <c r="F3181" s="7" t="s">
        <v>403</v>
      </c>
      <c r="G3181" s="7" t="s">
        <v>404</v>
      </c>
      <c r="H3181" s="7" t="s">
        <v>405</v>
      </c>
      <c r="I3181" s="7" t="s">
        <v>355</v>
      </c>
      <c r="J3181" s="14"/>
      <c r="O3181" s="22"/>
      <c r="P3181" s="22"/>
      <c r="Q3181" s="23"/>
      <c r="R3181" s="23"/>
      <c r="S3181" s="14"/>
    </row>
    <row r="3182" ht="18.75" customHeight="1">
      <c r="A3182" s="7" t="s">
        <v>402</v>
      </c>
      <c r="B3182" s="7" t="s">
        <v>3884</v>
      </c>
      <c r="C3182" s="9">
        <v>61522.0</v>
      </c>
      <c r="D3182" s="9">
        <v>0.0</v>
      </c>
      <c r="E3182" s="9">
        <v>0.0</v>
      </c>
      <c r="F3182" s="7" t="s">
        <v>403</v>
      </c>
      <c r="G3182" s="7" t="s">
        <v>404</v>
      </c>
      <c r="H3182" s="7" t="s">
        <v>405</v>
      </c>
      <c r="I3182" s="7" t="s">
        <v>355</v>
      </c>
      <c r="J3182" s="14"/>
      <c r="O3182" s="22"/>
      <c r="P3182" s="22"/>
      <c r="Q3182" s="23"/>
      <c r="R3182" s="23"/>
      <c r="S3182" s="14"/>
    </row>
    <row r="3183" ht="18.75" customHeight="1">
      <c r="A3183" s="7" t="s">
        <v>402</v>
      </c>
      <c r="B3183" s="7" t="s">
        <v>3884</v>
      </c>
      <c r="C3183" s="9">
        <v>76609.0</v>
      </c>
      <c r="D3183" s="9">
        <v>0.0</v>
      </c>
      <c r="E3183" s="9">
        <v>147.0</v>
      </c>
      <c r="F3183" s="7" t="s">
        <v>403</v>
      </c>
      <c r="G3183" s="7" t="s">
        <v>404</v>
      </c>
      <c r="H3183" s="7" t="s">
        <v>405</v>
      </c>
      <c r="I3183" s="7" t="s">
        <v>355</v>
      </c>
      <c r="J3183" s="14"/>
      <c r="O3183" s="22"/>
      <c r="P3183" s="22"/>
      <c r="Q3183" s="23"/>
      <c r="R3183" s="23"/>
      <c r="S3183" s="14"/>
    </row>
    <row r="3184" ht="18.75" customHeight="1">
      <c r="A3184" s="7" t="s">
        <v>402</v>
      </c>
      <c r="B3184" s="7" t="s">
        <v>3884</v>
      </c>
      <c r="C3184" s="9">
        <v>85022.0</v>
      </c>
      <c r="D3184" s="9">
        <v>82995.0</v>
      </c>
      <c r="E3184" s="9">
        <v>9.0</v>
      </c>
      <c r="F3184" s="7" t="s">
        <v>403</v>
      </c>
      <c r="G3184" s="7" t="s">
        <v>404</v>
      </c>
      <c r="H3184" s="7" t="s">
        <v>405</v>
      </c>
      <c r="I3184" s="7" t="s">
        <v>355</v>
      </c>
      <c r="J3184" s="14"/>
      <c r="O3184" s="22"/>
      <c r="P3184" s="22"/>
      <c r="Q3184" s="23"/>
      <c r="R3184" s="23"/>
      <c r="S3184" s="14"/>
    </row>
    <row r="3185" ht="18.75" customHeight="1">
      <c r="A3185" s="7" t="s">
        <v>402</v>
      </c>
      <c r="B3185" s="7" t="s">
        <v>3884</v>
      </c>
      <c r="C3185" s="9">
        <v>0.0</v>
      </c>
      <c r="D3185" s="9">
        <v>0.0</v>
      </c>
      <c r="E3185" s="9">
        <v>0.0</v>
      </c>
      <c r="F3185" s="7" t="s">
        <v>403</v>
      </c>
      <c r="G3185" s="7" t="s">
        <v>404</v>
      </c>
      <c r="H3185" s="7" t="s">
        <v>405</v>
      </c>
      <c r="I3185" s="7" t="s">
        <v>355</v>
      </c>
      <c r="J3185" s="14"/>
      <c r="O3185" s="22"/>
      <c r="P3185" s="22"/>
      <c r="Q3185" s="23"/>
      <c r="R3185" s="23"/>
      <c r="S3185" s="14"/>
    </row>
    <row r="3186" ht="18.75" customHeight="1">
      <c r="A3186" s="7" t="s">
        <v>402</v>
      </c>
      <c r="B3186" s="7" t="s">
        <v>3884</v>
      </c>
      <c r="C3186" s="9">
        <v>0.0</v>
      </c>
      <c r="D3186" s="9">
        <v>0.0</v>
      </c>
      <c r="E3186" s="9">
        <v>0.0</v>
      </c>
      <c r="F3186" s="7" t="s">
        <v>403</v>
      </c>
      <c r="G3186" s="7" t="s">
        <v>404</v>
      </c>
      <c r="H3186" s="7" t="s">
        <v>405</v>
      </c>
      <c r="I3186" s="7" t="s">
        <v>355</v>
      </c>
      <c r="J3186" s="14"/>
      <c r="O3186" s="22"/>
      <c r="P3186" s="22"/>
      <c r="Q3186" s="23"/>
      <c r="R3186" s="23"/>
      <c r="S3186" s="14"/>
    </row>
    <row r="3187" ht="18.75" customHeight="1">
      <c r="A3187" s="7" t="s">
        <v>402</v>
      </c>
      <c r="B3187" s="7" t="s">
        <v>3884</v>
      </c>
      <c r="C3187" s="9">
        <v>63623.0</v>
      </c>
      <c r="D3187" s="9">
        <v>37789.0</v>
      </c>
      <c r="E3187" s="9">
        <v>105.0</v>
      </c>
      <c r="F3187" s="7" t="s">
        <v>403</v>
      </c>
      <c r="G3187" s="7" t="s">
        <v>404</v>
      </c>
      <c r="H3187" s="7" t="s">
        <v>405</v>
      </c>
      <c r="I3187" s="7" t="s">
        <v>355</v>
      </c>
      <c r="J3187" s="14"/>
      <c r="O3187" s="22"/>
      <c r="P3187" s="22"/>
      <c r="Q3187" s="23"/>
      <c r="R3187" s="23"/>
      <c r="S3187" s="14"/>
    </row>
    <row r="3188" ht="18.75" customHeight="1">
      <c r="A3188" s="7" t="s">
        <v>402</v>
      </c>
      <c r="B3188" s="7" t="s">
        <v>3884</v>
      </c>
      <c r="C3188" s="9">
        <v>109887.0</v>
      </c>
      <c r="D3188" s="9">
        <v>0.0</v>
      </c>
      <c r="E3188" s="9">
        <v>137.0</v>
      </c>
      <c r="F3188" s="7" t="s">
        <v>403</v>
      </c>
      <c r="G3188" s="7" t="s">
        <v>404</v>
      </c>
      <c r="H3188" s="7" t="s">
        <v>405</v>
      </c>
      <c r="I3188" s="7" t="s">
        <v>355</v>
      </c>
      <c r="J3188" s="14"/>
      <c r="O3188" s="22"/>
      <c r="P3188" s="22"/>
      <c r="Q3188" s="23"/>
      <c r="R3188" s="23"/>
      <c r="S3188" s="14"/>
    </row>
    <row r="3189" ht="18.75" customHeight="1">
      <c r="A3189" s="7" t="s">
        <v>402</v>
      </c>
      <c r="B3189" s="7" t="s">
        <v>3884</v>
      </c>
      <c r="C3189" s="9">
        <v>0.0</v>
      </c>
      <c r="D3189" s="9">
        <v>0.0</v>
      </c>
      <c r="E3189" s="9">
        <v>0.0</v>
      </c>
      <c r="F3189" s="7" t="s">
        <v>403</v>
      </c>
      <c r="G3189" s="7" t="s">
        <v>404</v>
      </c>
      <c r="H3189" s="7" t="s">
        <v>405</v>
      </c>
      <c r="I3189" s="7" t="s">
        <v>355</v>
      </c>
      <c r="J3189" s="14"/>
      <c r="O3189" s="22"/>
      <c r="P3189" s="22"/>
      <c r="Q3189" s="23"/>
      <c r="R3189" s="23"/>
      <c r="S3189" s="14"/>
    </row>
    <row r="3190" ht="18.75" customHeight="1">
      <c r="A3190" s="7" t="s">
        <v>402</v>
      </c>
      <c r="B3190" s="7" t="s">
        <v>3884</v>
      </c>
      <c r="C3190" s="9">
        <v>308080.0</v>
      </c>
      <c r="D3190" s="9">
        <v>0.0</v>
      </c>
      <c r="E3190" s="9">
        <v>139.0</v>
      </c>
      <c r="F3190" s="7" t="s">
        <v>403</v>
      </c>
      <c r="G3190" s="7" t="s">
        <v>404</v>
      </c>
      <c r="H3190" s="7" t="s">
        <v>405</v>
      </c>
      <c r="I3190" s="7" t="s">
        <v>355</v>
      </c>
      <c r="J3190" s="14"/>
      <c r="O3190" s="22"/>
      <c r="P3190" s="22"/>
      <c r="Q3190" s="23"/>
      <c r="R3190" s="23"/>
      <c r="S3190" s="14"/>
    </row>
    <row r="3191" ht="18.75" customHeight="1">
      <c r="A3191" s="7" t="s">
        <v>376</v>
      </c>
      <c r="B3191" s="7" t="s">
        <v>3884</v>
      </c>
      <c r="C3191" s="9">
        <v>42104.0</v>
      </c>
      <c r="D3191" s="9">
        <v>20736.0</v>
      </c>
      <c r="E3191" s="9">
        <v>53.0</v>
      </c>
      <c r="F3191" s="7" t="s">
        <v>377</v>
      </c>
      <c r="G3191" s="7" t="s">
        <v>353</v>
      </c>
      <c r="H3191" s="7" t="s">
        <v>378</v>
      </c>
      <c r="I3191" s="7" t="s">
        <v>355</v>
      </c>
      <c r="J3191" s="14"/>
      <c r="O3191" s="22"/>
      <c r="P3191" s="22"/>
      <c r="Q3191" s="23"/>
      <c r="R3191" s="23"/>
      <c r="S3191" s="14"/>
    </row>
    <row r="3192" ht="18.75" customHeight="1">
      <c r="A3192" s="7" t="s">
        <v>376</v>
      </c>
      <c r="B3192" s="7" t="s">
        <v>3884</v>
      </c>
      <c r="C3192" s="9">
        <v>299698.0</v>
      </c>
      <c r="D3192" s="9">
        <v>176433.0</v>
      </c>
      <c r="E3192" s="9">
        <v>1013.0</v>
      </c>
      <c r="F3192" s="7" t="s">
        <v>377</v>
      </c>
      <c r="G3192" s="7" t="s">
        <v>353</v>
      </c>
      <c r="H3192" s="7" t="s">
        <v>378</v>
      </c>
      <c r="I3192" s="7" t="s">
        <v>355</v>
      </c>
      <c r="J3192" s="14"/>
      <c r="O3192" s="22"/>
      <c r="P3192" s="22"/>
      <c r="Q3192" s="23"/>
      <c r="R3192" s="23"/>
      <c r="S3192" s="14"/>
    </row>
    <row r="3193" ht="18.75" customHeight="1">
      <c r="A3193" s="7" t="s">
        <v>376</v>
      </c>
      <c r="B3193" s="7" t="s">
        <v>3884</v>
      </c>
      <c r="C3193" s="9">
        <v>212504.0</v>
      </c>
      <c r="D3193" s="9">
        <v>0.0</v>
      </c>
      <c r="E3193" s="9">
        <v>613.0</v>
      </c>
      <c r="F3193" s="7" t="s">
        <v>377</v>
      </c>
      <c r="G3193" s="7" t="s">
        <v>353</v>
      </c>
      <c r="H3193" s="7" t="s">
        <v>378</v>
      </c>
      <c r="I3193" s="7" t="s">
        <v>355</v>
      </c>
      <c r="J3193" s="14"/>
      <c r="O3193" s="22"/>
      <c r="P3193" s="22"/>
      <c r="Q3193" s="23"/>
      <c r="R3193" s="23"/>
      <c r="S3193" s="14"/>
    </row>
    <row r="3194" ht="18.75" customHeight="1">
      <c r="A3194" s="7" t="s">
        <v>376</v>
      </c>
      <c r="B3194" s="7" t="s">
        <v>3884</v>
      </c>
      <c r="C3194" s="9">
        <v>1199101.0</v>
      </c>
      <c r="D3194" s="9">
        <v>0.0</v>
      </c>
      <c r="E3194" s="9">
        <v>2043.0</v>
      </c>
      <c r="F3194" s="7" t="s">
        <v>377</v>
      </c>
      <c r="G3194" s="7" t="s">
        <v>353</v>
      </c>
      <c r="H3194" s="7" t="s">
        <v>378</v>
      </c>
      <c r="I3194" s="7" t="s">
        <v>355</v>
      </c>
      <c r="J3194" s="14"/>
      <c r="O3194" s="22"/>
      <c r="P3194" s="22"/>
      <c r="Q3194" s="23"/>
      <c r="R3194" s="23"/>
      <c r="S3194" s="14"/>
    </row>
    <row r="3195" ht="18.75" customHeight="1">
      <c r="A3195" s="7" t="s">
        <v>388</v>
      </c>
      <c r="B3195" s="7" t="s">
        <v>3884</v>
      </c>
      <c r="C3195" s="9">
        <v>5388066.0</v>
      </c>
      <c r="D3195" s="9">
        <v>0.0</v>
      </c>
      <c r="E3195" s="9">
        <v>5646.0</v>
      </c>
      <c r="F3195" s="7" t="s">
        <v>389</v>
      </c>
      <c r="G3195" s="7" t="s">
        <v>353</v>
      </c>
      <c r="H3195" s="7" t="s">
        <v>378</v>
      </c>
      <c r="I3195" s="7" t="s">
        <v>355</v>
      </c>
      <c r="J3195" s="14"/>
      <c r="O3195" s="22"/>
      <c r="P3195" s="22"/>
      <c r="Q3195" s="23"/>
      <c r="R3195" s="23"/>
      <c r="S3195" s="14"/>
    </row>
    <row r="3196" ht="18.75" customHeight="1">
      <c r="A3196" s="7" t="s">
        <v>388</v>
      </c>
      <c r="B3196" s="7" t="s">
        <v>3884</v>
      </c>
      <c r="C3196" s="9">
        <v>4007294.0</v>
      </c>
      <c r="D3196" s="9">
        <v>0.0</v>
      </c>
      <c r="E3196" s="9">
        <v>6769.0</v>
      </c>
      <c r="F3196" s="7" t="s">
        <v>389</v>
      </c>
      <c r="G3196" s="7" t="s">
        <v>353</v>
      </c>
      <c r="H3196" s="7" t="s">
        <v>378</v>
      </c>
      <c r="I3196" s="7" t="s">
        <v>355</v>
      </c>
      <c r="J3196" s="14"/>
      <c r="O3196" s="22"/>
      <c r="P3196" s="22"/>
      <c r="Q3196" s="23"/>
      <c r="R3196" s="23"/>
      <c r="S3196" s="14"/>
    </row>
    <row r="3197" ht="18.75" customHeight="1">
      <c r="A3197" s="7" t="s">
        <v>388</v>
      </c>
      <c r="B3197" s="7" t="s">
        <v>3884</v>
      </c>
      <c r="C3197" s="9">
        <v>3761966.0</v>
      </c>
      <c r="D3197" s="9">
        <v>3205455.0</v>
      </c>
      <c r="E3197" s="9">
        <v>2114.0</v>
      </c>
      <c r="F3197" s="7" t="s">
        <v>389</v>
      </c>
      <c r="G3197" s="7" t="s">
        <v>353</v>
      </c>
      <c r="H3197" s="7" t="s">
        <v>378</v>
      </c>
      <c r="I3197" s="7" t="s">
        <v>355</v>
      </c>
      <c r="J3197" s="14"/>
      <c r="O3197" s="22"/>
      <c r="P3197" s="22"/>
      <c r="Q3197" s="23"/>
      <c r="R3197" s="23"/>
      <c r="S3197" s="14"/>
    </row>
    <row r="3198" ht="18.75" customHeight="1">
      <c r="A3198" s="7" t="s">
        <v>388</v>
      </c>
      <c r="B3198" s="7" t="s">
        <v>3884</v>
      </c>
      <c r="C3198" s="9">
        <v>1545227.0</v>
      </c>
      <c r="D3198" s="9">
        <v>1059862.0</v>
      </c>
      <c r="E3198" s="9">
        <v>1972.0</v>
      </c>
      <c r="F3198" s="7" t="s">
        <v>389</v>
      </c>
      <c r="G3198" s="7" t="s">
        <v>353</v>
      </c>
      <c r="H3198" s="7" t="s">
        <v>378</v>
      </c>
      <c r="I3198" s="7" t="s">
        <v>355</v>
      </c>
      <c r="J3198" s="14"/>
      <c r="O3198" s="22"/>
      <c r="P3198" s="22"/>
      <c r="Q3198" s="23"/>
      <c r="R3198" s="23"/>
      <c r="S3198" s="14"/>
    </row>
    <row r="3199" ht="18.75" customHeight="1">
      <c r="A3199" s="7" t="s">
        <v>388</v>
      </c>
      <c r="B3199" s="7" t="s">
        <v>3884</v>
      </c>
      <c r="C3199" s="9">
        <v>37088.0</v>
      </c>
      <c r="D3199" s="9">
        <v>0.0</v>
      </c>
      <c r="E3199" s="9">
        <v>622.0</v>
      </c>
      <c r="F3199" s="7" t="s">
        <v>389</v>
      </c>
      <c r="G3199" s="7" t="s">
        <v>353</v>
      </c>
      <c r="H3199" s="7" t="s">
        <v>378</v>
      </c>
      <c r="I3199" s="7" t="s">
        <v>355</v>
      </c>
      <c r="J3199" s="14"/>
      <c r="O3199" s="22"/>
      <c r="P3199" s="22"/>
      <c r="Q3199" s="23"/>
      <c r="R3199" s="23"/>
      <c r="S3199" s="14"/>
    </row>
    <row r="3200" ht="18.75" customHeight="1">
      <c r="A3200" s="7" t="s">
        <v>388</v>
      </c>
      <c r="B3200" s="7" t="s">
        <v>3884</v>
      </c>
      <c r="C3200" s="9">
        <v>120134.0</v>
      </c>
      <c r="D3200" s="9">
        <v>66566.0</v>
      </c>
      <c r="E3200" s="9">
        <v>125.0</v>
      </c>
      <c r="F3200" s="7" t="s">
        <v>389</v>
      </c>
      <c r="G3200" s="7" t="s">
        <v>353</v>
      </c>
      <c r="H3200" s="7" t="s">
        <v>378</v>
      </c>
      <c r="I3200" s="7" t="s">
        <v>355</v>
      </c>
      <c r="J3200" s="14"/>
      <c r="O3200" s="22"/>
      <c r="P3200" s="22"/>
      <c r="Q3200" s="23"/>
      <c r="R3200" s="23"/>
      <c r="S3200" s="14"/>
    </row>
    <row r="3201" ht="18.75" customHeight="1">
      <c r="A3201" s="7" t="s">
        <v>388</v>
      </c>
      <c r="B3201" s="7" t="s">
        <v>3884</v>
      </c>
      <c r="C3201" s="9">
        <v>210835.0</v>
      </c>
      <c r="D3201" s="9">
        <v>0.0</v>
      </c>
      <c r="E3201" s="9">
        <v>226.0</v>
      </c>
      <c r="F3201" s="7" t="s">
        <v>389</v>
      </c>
      <c r="G3201" s="7" t="s">
        <v>353</v>
      </c>
      <c r="H3201" s="7" t="s">
        <v>378</v>
      </c>
      <c r="I3201" s="7" t="s">
        <v>355</v>
      </c>
      <c r="J3201" s="14"/>
      <c r="O3201" s="22"/>
      <c r="P3201" s="22"/>
      <c r="Q3201" s="23"/>
      <c r="R3201" s="23"/>
      <c r="S3201" s="14"/>
    </row>
    <row r="3202" ht="18.75" customHeight="1">
      <c r="A3202" s="7" t="s">
        <v>398</v>
      </c>
      <c r="B3202" s="7" t="s">
        <v>3884</v>
      </c>
      <c r="C3202" s="9">
        <v>5155458.0</v>
      </c>
      <c r="D3202" s="9">
        <v>0.0</v>
      </c>
      <c r="E3202" s="9">
        <v>5724.0</v>
      </c>
      <c r="F3202" s="7" t="s">
        <v>399</v>
      </c>
      <c r="G3202" s="7" t="s">
        <v>353</v>
      </c>
      <c r="H3202" s="7" t="s">
        <v>378</v>
      </c>
      <c r="I3202" s="7" t="s">
        <v>355</v>
      </c>
      <c r="J3202" s="14"/>
      <c r="O3202" s="22"/>
      <c r="P3202" s="22"/>
      <c r="Q3202" s="23"/>
      <c r="R3202" s="23"/>
      <c r="S3202" s="14"/>
    </row>
    <row r="3203" ht="18.75" customHeight="1">
      <c r="A3203" s="7" t="s">
        <v>3720</v>
      </c>
      <c r="B3203" s="7" t="s">
        <v>3884</v>
      </c>
      <c r="C3203" s="9">
        <v>2282716.0</v>
      </c>
      <c r="D3203" s="9">
        <v>1508385.0</v>
      </c>
      <c r="E3203" s="9">
        <v>1865.0</v>
      </c>
      <c r="F3203" s="7" t="s">
        <v>3880</v>
      </c>
      <c r="G3203" s="7" t="s">
        <v>416</v>
      </c>
      <c r="H3203" s="7" t="s">
        <v>417</v>
      </c>
      <c r="I3203" s="7" t="s">
        <v>355</v>
      </c>
      <c r="J3203" s="14"/>
      <c r="O3203" s="22"/>
      <c r="P3203" s="22"/>
      <c r="Q3203" s="23"/>
      <c r="R3203" s="23"/>
      <c r="S3203" s="14"/>
    </row>
    <row r="3204" ht="18.75" customHeight="1">
      <c r="A3204" s="7" t="s">
        <v>443</v>
      </c>
      <c r="B3204" s="7" t="s">
        <v>3884</v>
      </c>
      <c r="C3204" s="9">
        <v>6167610.0</v>
      </c>
      <c r="D3204" s="9">
        <v>0.0</v>
      </c>
      <c r="E3204" s="9">
        <v>7191.0</v>
      </c>
      <c r="F3204" s="7" t="s">
        <v>444</v>
      </c>
      <c r="G3204" s="7" t="s">
        <v>353</v>
      </c>
      <c r="H3204" s="7" t="s">
        <v>445</v>
      </c>
      <c r="I3204" s="7" t="s">
        <v>355</v>
      </c>
      <c r="J3204" s="14"/>
      <c r="O3204" s="22"/>
      <c r="P3204" s="22"/>
      <c r="Q3204" s="23"/>
      <c r="R3204" s="23"/>
      <c r="S3204" s="14"/>
    </row>
    <row r="3205" ht="18.75" customHeight="1">
      <c r="A3205" s="7" t="s">
        <v>3571</v>
      </c>
      <c r="B3205" s="7" t="s">
        <v>3884</v>
      </c>
      <c r="C3205" s="9">
        <v>1408790.0</v>
      </c>
      <c r="D3205" s="9">
        <v>0.0</v>
      </c>
      <c r="E3205" s="9">
        <v>1823.0</v>
      </c>
      <c r="F3205" s="7" t="s">
        <v>3876</v>
      </c>
      <c r="G3205" s="7" t="s">
        <v>353</v>
      </c>
      <c r="H3205" s="7" t="s">
        <v>413</v>
      </c>
      <c r="I3205" s="7" t="s">
        <v>355</v>
      </c>
      <c r="J3205" s="14"/>
      <c r="O3205" s="22"/>
      <c r="P3205" s="22"/>
      <c r="Q3205" s="23"/>
      <c r="R3205" s="23"/>
      <c r="S3205" s="14"/>
    </row>
    <row r="3206" ht="18.75" customHeight="1">
      <c r="A3206" s="7" t="s">
        <v>3571</v>
      </c>
      <c r="B3206" s="7" t="s">
        <v>3884</v>
      </c>
      <c r="C3206" s="9">
        <v>1104328.0</v>
      </c>
      <c r="D3206" s="9">
        <v>655867.0</v>
      </c>
      <c r="E3206" s="9">
        <v>585.0</v>
      </c>
      <c r="F3206" s="7" t="s">
        <v>3876</v>
      </c>
      <c r="G3206" s="7" t="s">
        <v>353</v>
      </c>
      <c r="H3206" s="7" t="s">
        <v>413</v>
      </c>
      <c r="I3206" s="7" t="s">
        <v>355</v>
      </c>
      <c r="J3206" s="14"/>
      <c r="O3206" s="22"/>
      <c r="P3206" s="22"/>
      <c r="Q3206" s="23"/>
      <c r="R3206" s="23"/>
      <c r="S3206" s="14"/>
    </row>
    <row r="3207" ht="18.75" customHeight="1">
      <c r="A3207" s="7" t="s">
        <v>452</v>
      </c>
      <c r="B3207" s="7" t="s">
        <v>3884</v>
      </c>
      <c r="C3207" s="9">
        <v>94767.0</v>
      </c>
      <c r="D3207" s="9">
        <v>0.0</v>
      </c>
      <c r="E3207" s="9">
        <v>192.0</v>
      </c>
      <c r="F3207" s="7" t="s">
        <v>453</v>
      </c>
      <c r="G3207" s="7" t="s">
        <v>416</v>
      </c>
      <c r="H3207" s="7" t="s">
        <v>417</v>
      </c>
      <c r="I3207" s="7" t="s">
        <v>355</v>
      </c>
      <c r="J3207" s="14"/>
      <c r="O3207" s="22"/>
      <c r="P3207" s="22"/>
      <c r="Q3207" s="23"/>
      <c r="R3207" s="23"/>
      <c r="S3207" s="14"/>
    </row>
    <row r="3208" ht="18.75" customHeight="1">
      <c r="A3208" s="7" t="s">
        <v>422</v>
      </c>
      <c r="B3208" s="7" t="s">
        <v>3884</v>
      </c>
      <c r="C3208" s="9">
        <v>5431865.0</v>
      </c>
      <c r="D3208" s="9">
        <v>0.0</v>
      </c>
      <c r="E3208" s="9">
        <v>5811.0</v>
      </c>
      <c r="F3208" s="7" t="s">
        <v>423</v>
      </c>
      <c r="G3208" s="7" t="s">
        <v>404</v>
      </c>
      <c r="H3208" s="7" t="s">
        <v>405</v>
      </c>
      <c r="I3208" s="7" t="s">
        <v>355</v>
      </c>
      <c r="J3208" s="14"/>
      <c r="O3208" s="22"/>
      <c r="P3208" s="22"/>
      <c r="Q3208" s="23"/>
      <c r="R3208" s="23"/>
      <c r="S3208" s="14"/>
    </row>
    <row r="3209" ht="18.75" customHeight="1">
      <c r="A3209" s="7" t="s">
        <v>422</v>
      </c>
      <c r="B3209" s="7" t="s">
        <v>3884</v>
      </c>
      <c r="C3209" s="9">
        <v>620393.0</v>
      </c>
      <c r="D3209" s="9">
        <v>412718.0</v>
      </c>
      <c r="E3209" s="9">
        <v>1742.0</v>
      </c>
      <c r="F3209" s="7" t="s">
        <v>423</v>
      </c>
      <c r="G3209" s="7" t="s">
        <v>404</v>
      </c>
      <c r="H3209" s="7" t="s">
        <v>405</v>
      </c>
      <c r="I3209" s="7" t="s">
        <v>355</v>
      </c>
      <c r="J3209" s="14"/>
      <c r="O3209" s="22"/>
      <c r="P3209" s="22"/>
      <c r="Q3209" s="23"/>
      <c r="R3209" s="23"/>
      <c r="S3209" s="14"/>
    </row>
    <row r="3210" ht="18.75" customHeight="1">
      <c r="A3210" s="7" t="s">
        <v>422</v>
      </c>
      <c r="B3210" s="7" t="s">
        <v>3884</v>
      </c>
      <c r="C3210" s="9">
        <v>46383.0</v>
      </c>
      <c r="D3210" s="9">
        <v>0.0</v>
      </c>
      <c r="E3210" s="9">
        <v>55.0</v>
      </c>
      <c r="F3210" s="7" t="s">
        <v>423</v>
      </c>
      <c r="G3210" s="7" t="s">
        <v>404</v>
      </c>
      <c r="H3210" s="7" t="s">
        <v>405</v>
      </c>
      <c r="I3210" s="7" t="s">
        <v>355</v>
      </c>
      <c r="J3210" s="14"/>
      <c r="O3210" s="22"/>
      <c r="P3210" s="22"/>
      <c r="Q3210" s="23"/>
      <c r="R3210" s="23"/>
      <c r="S3210" s="14"/>
    </row>
    <row r="3211" ht="18.75" customHeight="1">
      <c r="A3211" s="7" t="s">
        <v>422</v>
      </c>
      <c r="B3211" s="7" t="s">
        <v>3884</v>
      </c>
      <c r="C3211" s="9">
        <v>28442.0</v>
      </c>
      <c r="D3211" s="9">
        <v>0.0</v>
      </c>
      <c r="E3211" s="9">
        <v>2034.0</v>
      </c>
      <c r="F3211" s="7" t="s">
        <v>423</v>
      </c>
      <c r="G3211" s="7" t="s">
        <v>404</v>
      </c>
      <c r="H3211" s="7" t="s">
        <v>405</v>
      </c>
      <c r="I3211" s="7" t="s">
        <v>355</v>
      </c>
      <c r="J3211" s="14"/>
      <c r="O3211" s="22"/>
      <c r="P3211" s="22"/>
      <c r="Q3211" s="23"/>
      <c r="R3211" s="23"/>
      <c r="S3211" s="14"/>
    </row>
    <row r="3212" ht="18.75" customHeight="1">
      <c r="A3212" s="7" t="s">
        <v>422</v>
      </c>
      <c r="B3212" s="7" t="s">
        <v>3884</v>
      </c>
      <c r="C3212" s="9">
        <v>37189.0</v>
      </c>
      <c r="D3212" s="9">
        <v>36642.0</v>
      </c>
      <c r="E3212" s="9">
        <v>0.0</v>
      </c>
      <c r="F3212" s="7" t="s">
        <v>423</v>
      </c>
      <c r="G3212" s="7" t="s">
        <v>404</v>
      </c>
      <c r="H3212" s="7" t="s">
        <v>405</v>
      </c>
      <c r="I3212" s="7" t="s">
        <v>355</v>
      </c>
      <c r="J3212" s="14"/>
      <c r="O3212" s="22"/>
      <c r="P3212" s="22"/>
      <c r="Q3212" s="23"/>
      <c r="R3212" s="23"/>
      <c r="S3212" s="14"/>
    </row>
    <row r="3213" ht="18.75" customHeight="1">
      <c r="A3213" s="7" t="s">
        <v>351</v>
      </c>
      <c r="B3213" s="7" t="s">
        <v>3884</v>
      </c>
      <c r="C3213" s="9">
        <v>2550353.0</v>
      </c>
      <c r="D3213" s="9">
        <v>0.0</v>
      </c>
      <c r="E3213" s="9">
        <v>2883.0</v>
      </c>
      <c r="F3213" s="7" t="s">
        <v>352</v>
      </c>
      <c r="G3213" s="7" t="s">
        <v>353</v>
      </c>
      <c r="H3213" s="7" t="s">
        <v>354</v>
      </c>
      <c r="I3213" s="7" t="s">
        <v>410</v>
      </c>
      <c r="J3213" s="14"/>
      <c r="O3213" s="22"/>
      <c r="P3213" s="22"/>
      <c r="Q3213" s="23"/>
      <c r="R3213" s="23"/>
      <c r="S3213" s="14"/>
    </row>
    <row r="3214" ht="18.75" customHeight="1">
      <c r="A3214" s="7" t="s">
        <v>351</v>
      </c>
      <c r="B3214" s="7" t="s">
        <v>3884</v>
      </c>
      <c r="C3214" s="9">
        <v>2526006.0</v>
      </c>
      <c r="D3214" s="9">
        <v>0.0</v>
      </c>
      <c r="E3214" s="9">
        <v>2851.0</v>
      </c>
      <c r="F3214" s="7" t="s">
        <v>352</v>
      </c>
      <c r="G3214" s="7" t="s">
        <v>353</v>
      </c>
      <c r="H3214" s="7" t="s">
        <v>354</v>
      </c>
      <c r="I3214" s="7" t="s">
        <v>410</v>
      </c>
      <c r="J3214" s="14"/>
      <c r="O3214" s="22"/>
      <c r="P3214" s="22"/>
      <c r="Q3214" s="23"/>
      <c r="R3214" s="23"/>
      <c r="S3214" s="14"/>
    </row>
    <row r="3215" ht="18.75" customHeight="1">
      <c r="A3215" s="7" t="s">
        <v>351</v>
      </c>
      <c r="B3215" s="7" t="s">
        <v>3884</v>
      </c>
      <c r="C3215" s="9">
        <v>272625.0</v>
      </c>
      <c r="D3215" s="9">
        <v>0.0</v>
      </c>
      <c r="E3215" s="9">
        <v>45689.0</v>
      </c>
      <c r="F3215" s="7" t="s">
        <v>352</v>
      </c>
      <c r="G3215" s="7" t="s">
        <v>353</v>
      </c>
      <c r="H3215" s="7" t="s">
        <v>354</v>
      </c>
      <c r="I3215" s="7" t="s">
        <v>410</v>
      </c>
      <c r="J3215" s="14"/>
      <c r="O3215" s="22"/>
      <c r="P3215" s="22"/>
      <c r="Q3215" s="23"/>
      <c r="R3215" s="23"/>
      <c r="S3215" s="14"/>
    </row>
    <row r="3216" ht="18.75" customHeight="1">
      <c r="A3216" s="7" t="s">
        <v>351</v>
      </c>
      <c r="B3216" s="7" t="s">
        <v>3884</v>
      </c>
      <c r="C3216" s="9">
        <v>301728.0</v>
      </c>
      <c r="D3216" s="9">
        <v>0.0</v>
      </c>
      <c r="E3216" s="9">
        <v>45421.0</v>
      </c>
      <c r="F3216" s="7" t="s">
        <v>352</v>
      </c>
      <c r="G3216" s="7" t="s">
        <v>353</v>
      </c>
      <c r="H3216" s="7" t="s">
        <v>354</v>
      </c>
      <c r="I3216" s="7" t="s">
        <v>410</v>
      </c>
      <c r="J3216" s="14"/>
      <c r="O3216" s="22"/>
      <c r="P3216" s="22"/>
      <c r="Q3216" s="23"/>
      <c r="R3216" s="23"/>
      <c r="S3216" s="14"/>
    </row>
    <row r="3217" ht="18.75" customHeight="1">
      <c r="A3217" s="7" t="s">
        <v>351</v>
      </c>
      <c r="B3217" s="7" t="s">
        <v>3884</v>
      </c>
      <c r="C3217" s="9">
        <v>1867240.0</v>
      </c>
      <c r="D3217" s="9">
        <v>1475748.0</v>
      </c>
      <c r="E3217" s="9">
        <v>1190.0</v>
      </c>
      <c r="F3217" s="7" t="s">
        <v>352</v>
      </c>
      <c r="G3217" s="7" t="s">
        <v>353</v>
      </c>
      <c r="H3217" s="7" t="s">
        <v>354</v>
      </c>
      <c r="I3217" s="7" t="s">
        <v>410</v>
      </c>
      <c r="J3217" s="14"/>
      <c r="O3217" s="22"/>
      <c r="P3217" s="22"/>
      <c r="Q3217" s="23"/>
      <c r="R3217" s="23"/>
      <c r="S3217" s="14"/>
    </row>
    <row r="3218" ht="18.75" customHeight="1">
      <c r="A3218" s="7" t="s">
        <v>351</v>
      </c>
      <c r="B3218" s="7" t="s">
        <v>3884</v>
      </c>
      <c r="C3218" s="9">
        <v>1845549.0</v>
      </c>
      <c r="D3218" s="9">
        <v>1452234.0</v>
      </c>
      <c r="E3218" s="9">
        <v>1139.0</v>
      </c>
      <c r="F3218" s="7" t="s">
        <v>352</v>
      </c>
      <c r="G3218" s="7" t="s">
        <v>353</v>
      </c>
      <c r="H3218" s="7" t="s">
        <v>354</v>
      </c>
      <c r="I3218" s="7" t="s">
        <v>410</v>
      </c>
      <c r="J3218" s="14"/>
      <c r="O3218" s="22"/>
      <c r="P3218" s="22"/>
      <c r="Q3218" s="23"/>
      <c r="R3218" s="23"/>
      <c r="S3218" s="14"/>
    </row>
    <row r="3219" ht="18.75" customHeight="1">
      <c r="A3219" s="7" t="s">
        <v>351</v>
      </c>
      <c r="B3219" s="7" t="s">
        <v>3884</v>
      </c>
      <c r="C3219" s="9">
        <v>1050376.0</v>
      </c>
      <c r="D3219" s="9">
        <v>752737.0</v>
      </c>
      <c r="E3219" s="9">
        <v>32327.0</v>
      </c>
      <c r="F3219" s="7" t="s">
        <v>352</v>
      </c>
      <c r="G3219" s="7" t="s">
        <v>353</v>
      </c>
      <c r="H3219" s="7" t="s">
        <v>354</v>
      </c>
      <c r="I3219" s="7" t="s">
        <v>410</v>
      </c>
      <c r="J3219" s="14"/>
      <c r="O3219" s="22"/>
      <c r="P3219" s="22"/>
      <c r="Q3219" s="23"/>
      <c r="R3219" s="23"/>
      <c r="S3219" s="14"/>
    </row>
    <row r="3220" ht="18.75" customHeight="1">
      <c r="A3220" s="7" t="s">
        <v>351</v>
      </c>
      <c r="B3220" s="7" t="s">
        <v>3884</v>
      </c>
      <c r="C3220" s="9">
        <v>1081126.0</v>
      </c>
      <c r="D3220" s="9">
        <v>704515.0</v>
      </c>
      <c r="E3220" s="9">
        <v>23654.0</v>
      </c>
      <c r="F3220" s="7" t="s">
        <v>352</v>
      </c>
      <c r="G3220" s="7" t="s">
        <v>353</v>
      </c>
      <c r="H3220" s="7" t="s">
        <v>354</v>
      </c>
      <c r="I3220" s="7" t="s">
        <v>410</v>
      </c>
      <c r="J3220" s="14"/>
      <c r="O3220" s="22"/>
      <c r="P3220" s="22"/>
      <c r="Q3220" s="23"/>
      <c r="R3220" s="23"/>
      <c r="S3220" s="14"/>
    </row>
    <row r="3221" ht="18.75" customHeight="1">
      <c r="A3221" s="7" t="s">
        <v>351</v>
      </c>
      <c r="B3221" s="7" t="s">
        <v>3884</v>
      </c>
      <c r="C3221" s="9">
        <v>550744.0</v>
      </c>
      <c r="D3221" s="9">
        <v>287220.0</v>
      </c>
      <c r="E3221" s="9">
        <v>437.0</v>
      </c>
      <c r="F3221" s="7" t="s">
        <v>352</v>
      </c>
      <c r="G3221" s="7" t="s">
        <v>353</v>
      </c>
      <c r="H3221" s="7" t="s">
        <v>354</v>
      </c>
      <c r="I3221" s="7" t="s">
        <v>410</v>
      </c>
      <c r="J3221" s="14"/>
      <c r="O3221" s="22"/>
      <c r="P3221" s="22"/>
      <c r="Q3221" s="23"/>
      <c r="R3221" s="23"/>
      <c r="S3221" s="14"/>
    </row>
    <row r="3222" ht="18.75" customHeight="1">
      <c r="A3222" s="7" t="s">
        <v>351</v>
      </c>
      <c r="B3222" s="7" t="s">
        <v>3884</v>
      </c>
      <c r="C3222" s="9">
        <v>116837.0</v>
      </c>
      <c r="D3222" s="9">
        <v>82924.0</v>
      </c>
      <c r="E3222" s="9">
        <v>175.0</v>
      </c>
      <c r="F3222" s="7" t="s">
        <v>352</v>
      </c>
      <c r="G3222" s="7" t="s">
        <v>353</v>
      </c>
      <c r="H3222" s="7" t="s">
        <v>354</v>
      </c>
      <c r="I3222" s="7" t="s">
        <v>410</v>
      </c>
      <c r="J3222" s="14"/>
      <c r="O3222" s="22"/>
      <c r="P3222" s="22"/>
      <c r="Q3222" s="23"/>
      <c r="R3222" s="23"/>
      <c r="S3222" s="14"/>
    </row>
    <row r="3223" ht="18.75" customHeight="1">
      <c r="A3223" s="7" t="s">
        <v>351</v>
      </c>
      <c r="B3223" s="7" t="s">
        <v>3884</v>
      </c>
      <c r="C3223" s="9">
        <v>199797.0</v>
      </c>
      <c r="D3223" s="9">
        <v>0.0</v>
      </c>
      <c r="E3223" s="9">
        <v>223.0</v>
      </c>
      <c r="F3223" s="7" t="s">
        <v>352</v>
      </c>
      <c r="G3223" s="7" t="s">
        <v>353</v>
      </c>
      <c r="H3223" s="7" t="s">
        <v>354</v>
      </c>
      <c r="I3223" s="7" t="s">
        <v>410</v>
      </c>
      <c r="J3223" s="14"/>
      <c r="O3223" s="22"/>
      <c r="P3223" s="22"/>
      <c r="Q3223" s="23"/>
      <c r="R3223" s="23"/>
      <c r="S3223" s="14"/>
    </row>
    <row r="3224" ht="18.75" customHeight="1">
      <c r="A3224" s="7" t="s">
        <v>408</v>
      </c>
      <c r="B3224" s="7" t="s">
        <v>3884</v>
      </c>
      <c r="C3224" s="9">
        <v>4857232.0</v>
      </c>
      <c r="D3224" s="9">
        <v>0.0</v>
      </c>
      <c r="E3224" s="9">
        <v>5923.0</v>
      </c>
      <c r="F3224" s="7" t="s">
        <v>409</v>
      </c>
      <c r="G3224" s="7" t="s">
        <v>353</v>
      </c>
      <c r="H3224" s="7" t="s">
        <v>354</v>
      </c>
      <c r="I3224" s="7" t="s">
        <v>410</v>
      </c>
      <c r="J3224" s="14"/>
      <c r="O3224" s="22"/>
      <c r="P3224" s="22"/>
      <c r="Q3224" s="23"/>
      <c r="R3224" s="23"/>
      <c r="S3224" s="14"/>
    </row>
    <row r="3225" ht="18.75" customHeight="1">
      <c r="A3225" s="7" t="s">
        <v>408</v>
      </c>
      <c r="B3225" s="7" t="s">
        <v>3884</v>
      </c>
      <c r="C3225" s="9">
        <v>551668.0</v>
      </c>
      <c r="D3225" s="9">
        <v>0.0</v>
      </c>
      <c r="E3225" s="9">
        <v>1150.0</v>
      </c>
      <c r="F3225" s="7" t="s">
        <v>409</v>
      </c>
      <c r="G3225" s="7" t="s">
        <v>353</v>
      </c>
      <c r="H3225" s="7" t="s">
        <v>354</v>
      </c>
      <c r="I3225" s="7" t="s">
        <v>410</v>
      </c>
      <c r="J3225" s="14"/>
      <c r="O3225" s="22"/>
      <c r="P3225" s="22"/>
      <c r="Q3225" s="23"/>
      <c r="R3225" s="23"/>
      <c r="S3225" s="14"/>
    </row>
    <row r="3226" ht="18.75" customHeight="1">
      <c r="A3226" s="7" t="s">
        <v>408</v>
      </c>
      <c r="B3226" s="7" t="s">
        <v>3884</v>
      </c>
      <c r="C3226" s="9">
        <v>545560.0</v>
      </c>
      <c r="D3226" s="9">
        <v>355600.0</v>
      </c>
      <c r="E3226" s="9">
        <v>1462.0</v>
      </c>
      <c r="F3226" s="7" t="s">
        <v>409</v>
      </c>
      <c r="G3226" s="7" t="s">
        <v>353</v>
      </c>
      <c r="H3226" s="7" t="s">
        <v>354</v>
      </c>
      <c r="I3226" s="7" t="s">
        <v>410</v>
      </c>
      <c r="J3226" s="14"/>
      <c r="O3226" s="22"/>
      <c r="P3226" s="22"/>
      <c r="Q3226" s="23"/>
      <c r="R3226" s="23"/>
      <c r="S3226" s="14"/>
    </row>
    <row r="3227" ht="18.75" customHeight="1">
      <c r="A3227" s="7" t="s">
        <v>400</v>
      </c>
      <c r="B3227" s="7" t="s">
        <v>3884</v>
      </c>
      <c r="C3227" s="9">
        <v>5132480.0</v>
      </c>
      <c r="D3227" s="9">
        <v>0.0</v>
      </c>
      <c r="E3227" s="9">
        <v>5893.0</v>
      </c>
      <c r="F3227" s="7" t="s">
        <v>401</v>
      </c>
      <c r="G3227" s="7" t="s">
        <v>353</v>
      </c>
      <c r="H3227" s="7" t="s">
        <v>378</v>
      </c>
      <c r="I3227" s="7" t="s">
        <v>355</v>
      </c>
      <c r="J3227" s="14"/>
      <c r="O3227" s="22"/>
      <c r="P3227" s="22"/>
      <c r="Q3227" s="23"/>
      <c r="R3227" s="23"/>
      <c r="S3227" s="14"/>
    </row>
    <row r="3228" ht="18.75" customHeight="1">
      <c r="A3228" s="7" t="s">
        <v>400</v>
      </c>
      <c r="B3228" s="7" t="s">
        <v>3884</v>
      </c>
      <c r="C3228" s="9">
        <v>4882408.0</v>
      </c>
      <c r="D3228" s="9">
        <v>0.0</v>
      </c>
      <c r="E3228" s="9">
        <v>6786.0</v>
      </c>
      <c r="F3228" s="7" t="s">
        <v>401</v>
      </c>
      <c r="G3228" s="7" t="s">
        <v>353</v>
      </c>
      <c r="H3228" s="7" t="s">
        <v>378</v>
      </c>
      <c r="I3228" s="7" t="s">
        <v>355</v>
      </c>
      <c r="J3228" s="14"/>
      <c r="O3228" s="22"/>
      <c r="P3228" s="22"/>
      <c r="Q3228" s="23"/>
      <c r="R3228" s="23"/>
      <c r="S3228" s="14"/>
    </row>
    <row r="3229" ht="18.75" customHeight="1">
      <c r="A3229" s="7" t="s">
        <v>400</v>
      </c>
      <c r="B3229" s="7" t="s">
        <v>3884</v>
      </c>
      <c r="C3229" s="9">
        <v>3798982.0</v>
      </c>
      <c r="D3229" s="9">
        <v>2866603.0</v>
      </c>
      <c r="E3229" s="9">
        <v>2379.0</v>
      </c>
      <c r="F3229" s="7" t="s">
        <v>401</v>
      </c>
      <c r="G3229" s="7" t="s">
        <v>353</v>
      </c>
      <c r="H3229" s="7" t="s">
        <v>378</v>
      </c>
      <c r="I3229" s="7" t="s">
        <v>355</v>
      </c>
      <c r="J3229" s="14"/>
      <c r="O3229" s="22"/>
      <c r="P3229" s="22"/>
      <c r="Q3229" s="23"/>
      <c r="R3229" s="23"/>
      <c r="S3229" s="14"/>
    </row>
    <row r="3230" ht="18.75" customHeight="1">
      <c r="A3230" s="7" t="s">
        <v>400</v>
      </c>
      <c r="B3230" s="7" t="s">
        <v>3884</v>
      </c>
      <c r="C3230" s="9">
        <v>82201.0</v>
      </c>
      <c r="D3230" s="9">
        <v>64843.0</v>
      </c>
      <c r="E3230" s="9">
        <v>24.0</v>
      </c>
      <c r="F3230" s="7" t="s">
        <v>401</v>
      </c>
      <c r="G3230" s="7" t="s">
        <v>353</v>
      </c>
      <c r="H3230" s="7" t="s">
        <v>378</v>
      </c>
      <c r="I3230" s="7" t="s">
        <v>355</v>
      </c>
      <c r="J3230" s="14"/>
      <c r="O3230" s="22"/>
      <c r="P3230" s="22"/>
      <c r="Q3230" s="23"/>
      <c r="R3230" s="23"/>
      <c r="S3230" s="14"/>
    </row>
    <row r="3231" ht="18.75" customHeight="1">
      <c r="A3231" s="7" t="s">
        <v>464</v>
      </c>
      <c r="B3231" s="7" t="s">
        <v>3884</v>
      </c>
      <c r="C3231" s="9">
        <v>1243786.0</v>
      </c>
      <c r="D3231" s="9">
        <v>991155.0</v>
      </c>
      <c r="E3231" s="9">
        <v>716.0</v>
      </c>
      <c r="F3231" s="7" t="s">
        <v>465</v>
      </c>
      <c r="G3231" s="7" t="s">
        <v>358</v>
      </c>
      <c r="H3231" s="7" t="s">
        <v>466</v>
      </c>
      <c r="I3231" s="7" t="s">
        <v>355</v>
      </c>
      <c r="J3231" s="14"/>
      <c r="O3231" s="22"/>
      <c r="P3231" s="22"/>
      <c r="Q3231" s="23"/>
      <c r="R3231" s="23"/>
      <c r="S3231" s="14"/>
    </row>
    <row r="3232" ht="18.75" customHeight="1">
      <c r="A3232" s="7" t="s">
        <v>433</v>
      </c>
      <c r="B3232" s="7" t="s">
        <v>3884</v>
      </c>
      <c r="C3232" s="9">
        <v>2572730.0</v>
      </c>
      <c r="D3232" s="9">
        <v>0.0</v>
      </c>
      <c r="E3232" s="9">
        <v>2850.0</v>
      </c>
      <c r="F3232" s="7" t="s">
        <v>434</v>
      </c>
      <c r="G3232" s="7" t="s">
        <v>404</v>
      </c>
      <c r="H3232" s="7" t="s">
        <v>405</v>
      </c>
      <c r="I3232" s="7" t="s">
        <v>355</v>
      </c>
      <c r="J3232" s="14"/>
      <c r="O3232" s="22"/>
      <c r="P3232" s="22"/>
      <c r="Q3232" s="23"/>
      <c r="R3232" s="23"/>
      <c r="S3232" s="14"/>
    </row>
    <row r="3233" ht="18.75" customHeight="1">
      <c r="A3233" s="7" t="s">
        <v>433</v>
      </c>
      <c r="B3233" s="7" t="s">
        <v>3884</v>
      </c>
      <c r="C3233" s="9">
        <v>2003588.0</v>
      </c>
      <c r="D3233" s="9">
        <v>0.0</v>
      </c>
      <c r="E3233" s="9">
        <v>2895.0</v>
      </c>
      <c r="F3233" s="7" t="s">
        <v>434</v>
      </c>
      <c r="G3233" s="7" t="s">
        <v>404</v>
      </c>
      <c r="H3233" s="7" t="s">
        <v>405</v>
      </c>
      <c r="I3233" s="7" t="s">
        <v>355</v>
      </c>
      <c r="J3233" s="14"/>
      <c r="O3233" s="22"/>
      <c r="P3233" s="22"/>
      <c r="Q3233" s="23"/>
      <c r="R3233" s="23"/>
      <c r="S3233" s="14"/>
    </row>
    <row r="3234" ht="18.75" customHeight="1">
      <c r="A3234" s="7" t="s">
        <v>433</v>
      </c>
      <c r="B3234" s="7" t="s">
        <v>3884</v>
      </c>
      <c r="C3234" s="9">
        <v>1836122.0</v>
      </c>
      <c r="D3234" s="9">
        <v>1304720.0</v>
      </c>
      <c r="E3234" s="9">
        <v>1292.0</v>
      </c>
      <c r="F3234" s="7" t="s">
        <v>434</v>
      </c>
      <c r="G3234" s="7" t="s">
        <v>404</v>
      </c>
      <c r="H3234" s="7" t="s">
        <v>405</v>
      </c>
      <c r="I3234" s="7" t="s">
        <v>355</v>
      </c>
      <c r="J3234" s="14"/>
      <c r="O3234" s="22"/>
      <c r="P3234" s="22"/>
      <c r="Q3234" s="23"/>
      <c r="R3234" s="23"/>
      <c r="S3234" s="14"/>
    </row>
    <row r="3235" ht="18.75" customHeight="1">
      <c r="A3235" s="7" t="s">
        <v>433</v>
      </c>
      <c r="B3235" s="7" t="s">
        <v>3884</v>
      </c>
      <c r="C3235" s="9">
        <v>1845525.0</v>
      </c>
      <c r="D3235" s="9">
        <v>1337514.0</v>
      </c>
      <c r="E3235" s="9">
        <v>1413.0</v>
      </c>
      <c r="F3235" s="7" t="s">
        <v>434</v>
      </c>
      <c r="G3235" s="7" t="s">
        <v>404</v>
      </c>
      <c r="H3235" s="7" t="s">
        <v>405</v>
      </c>
      <c r="I3235" s="7" t="s">
        <v>355</v>
      </c>
      <c r="J3235" s="14"/>
      <c r="O3235" s="22"/>
      <c r="P3235" s="22"/>
      <c r="Q3235" s="23"/>
      <c r="R3235" s="23"/>
      <c r="S3235" s="14"/>
    </row>
    <row r="3236" ht="18.75" customHeight="1">
      <c r="A3236" s="7" t="s">
        <v>477</v>
      </c>
      <c r="B3236" s="7" t="s">
        <v>3884</v>
      </c>
      <c r="C3236" s="9">
        <v>1454844.0</v>
      </c>
      <c r="D3236" s="9">
        <v>0.0</v>
      </c>
      <c r="E3236" s="9">
        <v>1701.0</v>
      </c>
      <c r="F3236" s="7" t="s">
        <v>478</v>
      </c>
      <c r="G3236" s="7" t="s">
        <v>416</v>
      </c>
      <c r="H3236" s="7" t="s">
        <v>417</v>
      </c>
      <c r="I3236" s="7" t="s">
        <v>355</v>
      </c>
      <c r="J3236" s="14"/>
      <c r="O3236" s="22"/>
      <c r="P3236" s="22"/>
      <c r="Q3236" s="23"/>
      <c r="R3236" s="23"/>
      <c r="S3236" s="14"/>
    </row>
    <row r="3237" ht="18.75" customHeight="1">
      <c r="A3237" s="7" t="s">
        <v>467</v>
      </c>
      <c r="B3237" s="7" t="s">
        <v>3884</v>
      </c>
      <c r="C3237" s="9">
        <v>1255042.0</v>
      </c>
      <c r="D3237" s="9">
        <v>994796.0</v>
      </c>
      <c r="E3237" s="9">
        <v>546.0</v>
      </c>
      <c r="F3237" s="7" t="s">
        <v>468</v>
      </c>
      <c r="G3237" s="7" t="s">
        <v>358</v>
      </c>
      <c r="H3237" s="7" t="s">
        <v>466</v>
      </c>
      <c r="I3237" s="7" t="s">
        <v>355</v>
      </c>
      <c r="J3237" s="14"/>
      <c r="O3237" s="22"/>
      <c r="P3237" s="22"/>
      <c r="Q3237" s="23"/>
      <c r="R3237" s="23"/>
      <c r="S3237" s="14"/>
    </row>
    <row r="3238" ht="18.75" customHeight="1">
      <c r="A3238" s="7" t="s">
        <v>3010</v>
      </c>
      <c r="B3238" s="7" t="s">
        <v>3884</v>
      </c>
      <c r="C3238" s="9">
        <v>1329268.0</v>
      </c>
      <c r="D3238" s="9">
        <v>0.0</v>
      </c>
      <c r="E3238" s="9">
        <v>2548.0</v>
      </c>
      <c r="F3238" s="7" t="s">
        <v>3877</v>
      </c>
      <c r="G3238" s="7" t="s">
        <v>358</v>
      </c>
      <c r="H3238" s="7" t="s">
        <v>365</v>
      </c>
      <c r="I3238" s="7" t="s">
        <v>355</v>
      </c>
      <c r="J3238" s="14"/>
      <c r="O3238" s="22"/>
      <c r="P3238" s="22"/>
      <c r="Q3238" s="23"/>
      <c r="R3238" s="23"/>
      <c r="S3238" s="14"/>
    </row>
    <row r="3239" ht="18.75" customHeight="1">
      <c r="A3239" s="7" t="s">
        <v>3010</v>
      </c>
      <c r="B3239" s="7" t="s">
        <v>3884</v>
      </c>
      <c r="C3239" s="9">
        <v>1707570.0</v>
      </c>
      <c r="D3239" s="9">
        <v>0.0</v>
      </c>
      <c r="E3239" s="9">
        <v>1795.0</v>
      </c>
      <c r="F3239" s="7" t="s">
        <v>3877</v>
      </c>
      <c r="G3239" s="7" t="s">
        <v>358</v>
      </c>
      <c r="H3239" s="7" t="s">
        <v>365</v>
      </c>
      <c r="I3239" s="7" t="s">
        <v>355</v>
      </c>
      <c r="J3239" s="14"/>
      <c r="O3239" s="22"/>
      <c r="P3239" s="22"/>
      <c r="Q3239" s="23"/>
      <c r="R3239" s="23"/>
      <c r="S3239" s="14"/>
    </row>
    <row r="3240" ht="18.75" customHeight="1">
      <c r="A3240" s="7" t="s">
        <v>483</v>
      </c>
      <c r="B3240" s="7" t="s">
        <v>3884</v>
      </c>
      <c r="C3240" s="9">
        <v>1732273.0</v>
      </c>
      <c r="D3240" s="9">
        <v>0.0</v>
      </c>
      <c r="E3240" s="9">
        <v>1469.0</v>
      </c>
      <c r="F3240" s="7" t="s">
        <v>484</v>
      </c>
      <c r="G3240" s="7" t="s">
        <v>364</v>
      </c>
      <c r="H3240" s="7" t="s">
        <v>365</v>
      </c>
      <c r="I3240" s="7" t="s">
        <v>355</v>
      </c>
      <c r="J3240" s="14"/>
      <c r="O3240" s="22"/>
      <c r="P3240" s="22"/>
      <c r="Q3240" s="23"/>
      <c r="R3240" s="23"/>
      <c r="S3240" s="14"/>
    </row>
    <row r="3241" ht="18.75" customHeight="1">
      <c r="A3241" s="7" t="s">
        <v>431</v>
      </c>
      <c r="B3241" s="7" t="s">
        <v>3884</v>
      </c>
      <c r="C3241" s="9">
        <v>4470361.0</v>
      </c>
      <c r="D3241" s="9">
        <v>0.0</v>
      </c>
      <c r="E3241" s="9">
        <v>4796.0</v>
      </c>
      <c r="F3241" s="7" t="s">
        <v>432</v>
      </c>
      <c r="G3241" s="7" t="s">
        <v>404</v>
      </c>
      <c r="H3241" s="7" t="s">
        <v>405</v>
      </c>
      <c r="I3241" s="7" t="s">
        <v>355</v>
      </c>
      <c r="J3241" s="14"/>
      <c r="O3241" s="22"/>
      <c r="P3241" s="22"/>
      <c r="Q3241" s="23"/>
      <c r="R3241" s="23"/>
      <c r="S3241" s="14"/>
    </row>
    <row r="3242" ht="18.75" customHeight="1">
      <c r="A3242" s="7" t="s">
        <v>431</v>
      </c>
      <c r="B3242" s="7" t="s">
        <v>3884</v>
      </c>
      <c r="C3242" s="9">
        <v>1588065.0</v>
      </c>
      <c r="D3242" s="9">
        <v>0.0</v>
      </c>
      <c r="E3242" s="9">
        <v>2642.0</v>
      </c>
      <c r="F3242" s="7" t="s">
        <v>432</v>
      </c>
      <c r="G3242" s="7" t="s">
        <v>404</v>
      </c>
      <c r="H3242" s="7" t="s">
        <v>405</v>
      </c>
      <c r="I3242" s="7" t="s">
        <v>355</v>
      </c>
      <c r="J3242" s="14"/>
      <c r="O3242" s="22"/>
      <c r="P3242" s="22"/>
      <c r="Q3242" s="23"/>
      <c r="R3242" s="23"/>
      <c r="S3242" s="14"/>
    </row>
    <row r="3243" ht="18.75" customHeight="1">
      <c r="A3243" s="7" t="s">
        <v>431</v>
      </c>
      <c r="B3243" s="7" t="s">
        <v>3884</v>
      </c>
      <c r="C3243" s="9">
        <v>4049113.0</v>
      </c>
      <c r="D3243" s="9">
        <v>564861.0</v>
      </c>
      <c r="E3243" s="9">
        <v>3336.0</v>
      </c>
      <c r="F3243" s="7" t="s">
        <v>432</v>
      </c>
      <c r="G3243" s="7" t="s">
        <v>404</v>
      </c>
      <c r="H3243" s="7" t="s">
        <v>405</v>
      </c>
      <c r="I3243" s="7" t="s">
        <v>355</v>
      </c>
      <c r="J3243" s="14"/>
      <c r="O3243" s="22"/>
      <c r="P3243" s="22"/>
      <c r="Q3243" s="23"/>
      <c r="R3243" s="23"/>
      <c r="S3243" s="14"/>
    </row>
    <row r="3244" ht="18.75" customHeight="1">
      <c r="A3244" s="7" t="s">
        <v>431</v>
      </c>
      <c r="B3244" s="7" t="s">
        <v>3884</v>
      </c>
      <c r="C3244" s="9">
        <v>904492.0</v>
      </c>
      <c r="D3244" s="9">
        <v>579031.0</v>
      </c>
      <c r="E3244" s="9">
        <v>636.0</v>
      </c>
      <c r="F3244" s="7" t="s">
        <v>432</v>
      </c>
      <c r="G3244" s="7" t="s">
        <v>404</v>
      </c>
      <c r="H3244" s="7" t="s">
        <v>405</v>
      </c>
      <c r="I3244" s="7" t="s">
        <v>355</v>
      </c>
      <c r="J3244" s="14"/>
      <c r="O3244" s="22"/>
      <c r="P3244" s="22"/>
      <c r="Q3244" s="23"/>
      <c r="R3244" s="23"/>
      <c r="S3244" s="14"/>
    </row>
    <row r="3245" ht="18.75" customHeight="1">
      <c r="A3245" s="7" t="s">
        <v>489</v>
      </c>
      <c r="B3245" s="7" t="s">
        <v>3884</v>
      </c>
      <c r="C3245" s="9">
        <v>1613260.0</v>
      </c>
      <c r="D3245" s="9">
        <v>0.0</v>
      </c>
      <c r="E3245" s="9">
        <v>2027.0</v>
      </c>
      <c r="F3245" s="7" t="s">
        <v>490</v>
      </c>
      <c r="G3245" s="7" t="s">
        <v>364</v>
      </c>
      <c r="H3245" s="7" t="s">
        <v>365</v>
      </c>
      <c r="I3245" s="7" t="s">
        <v>355</v>
      </c>
      <c r="J3245" s="14"/>
      <c r="O3245" s="22"/>
      <c r="P3245" s="22"/>
      <c r="Q3245" s="23"/>
      <c r="R3245" s="23"/>
      <c r="S3245" s="14"/>
    </row>
    <row r="3246" ht="18.75" customHeight="1">
      <c r="A3246" s="7" t="s">
        <v>489</v>
      </c>
      <c r="B3246" s="7" t="s">
        <v>3884</v>
      </c>
      <c r="C3246" s="9">
        <v>1662192.0</v>
      </c>
      <c r="D3246" s="9">
        <v>0.0</v>
      </c>
      <c r="E3246" s="9">
        <v>1873.0</v>
      </c>
      <c r="F3246" s="7" t="s">
        <v>490</v>
      </c>
      <c r="G3246" s="7" t="s">
        <v>364</v>
      </c>
      <c r="H3246" s="7" t="s">
        <v>365</v>
      </c>
      <c r="I3246" s="7" t="s">
        <v>355</v>
      </c>
      <c r="J3246" s="14"/>
      <c r="O3246" s="22"/>
      <c r="P3246" s="22"/>
      <c r="Q3246" s="23"/>
      <c r="R3246" s="23"/>
      <c r="S3246" s="14"/>
    </row>
    <row r="3247" ht="18.75" customHeight="1">
      <c r="A3247" s="7" t="s">
        <v>489</v>
      </c>
      <c r="B3247" s="7" t="s">
        <v>3884</v>
      </c>
      <c r="C3247" s="9">
        <v>953896.0</v>
      </c>
      <c r="D3247" s="9">
        <v>723100.0</v>
      </c>
      <c r="E3247" s="9">
        <v>817.0</v>
      </c>
      <c r="F3247" s="7" t="s">
        <v>490</v>
      </c>
      <c r="G3247" s="7" t="s">
        <v>364</v>
      </c>
      <c r="H3247" s="7" t="s">
        <v>365</v>
      </c>
      <c r="I3247" s="7" t="s">
        <v>355</v>
      </c>
      <c r="J3247" s="14"/>
      <c r="O3247" s="22"/>
      <c r="P3247" s="22"/>
      <c r="Q3247" s="23"/>
      <c r="R3247" s="23"/>
      <c r="S3247" s="14"/>
    </row>
    <row r="3248" ht="18.75" customHeight="1">
      <c r="A3248" s="7" t="s">
        <v>489</v>
      </c>
      <c r="B3248" s="7" t="s">
        <v>3884</v>
      </c>
      <c r="C3248" s="9">
        <v>892797.0</v>
      </c>
      <c r="D3248" s="9">
        <v>508957.0</v>
      </c>
      <c r="E3248" s="9">
        <v>1229.0</v>
      </c>
      <c r="F3248" s="7" t="s">
        <v>490</v>
      </c>
      <c r="G3248" s="7" t="s">
        <v>364</v>
      </c>
      <c r="H3248" s="7" t="s">
        <v>365</v>
      </c>
      <c r="I3248" s="7" t="s">
        <v>355</v>
      </c>
      <c r="J3248" s="14"/>
      <c r="O3248" s="22"/>
      <c r="P3248" s="22"/>
      <c r="Q3248" s="23"/>
      <c r="R3248" s="23"/>
      <c r="S3248" s="14"/>
    </row>
    <row r="3249" ht="18.75" customHeight="1">
      <c r="A3249" s="7" t="s">
        <v>441</v>
      </c>
      <c r="B3249" s="7" t="s">
        <v>3884</v>
      </c>
      <c r="C3249" s="9">
        <v>1759229.0</v>
      </c>
      <c r="D3249" s="9">
        <v>0.0</v>
      </c>
      <c r="E3249" s="9">
        <v>2053.0</v>
      </c>
      <c r="F3249" s="7" t="s">
        <v>442</v>
      </c>
      <c r="G3249" s="7" t="s">
        <v>364</v>
      </c>
      <c r="H3249" s="7" t="s">
        <v>365</v>
      </c>
      <c r="I3249" s="7" t="s">
        <v>355</v>
      </c>
      <c r="J3249" s="14"/>
      <c r="O3249" s="22"/>
      <c r="P3249" s="22"/>
      <c r="Q3249" s="23"/>
      <c r="R3249" s="23"/>
      <c r="S3249" s="14"/>
    </row>
    <row r="3250" ht="18.75" customHeight="1">
      <c r="A3250" s="7" t="s">
        <v>3749</v>
      </c>
      <c r="B3250" s="7" t="s">
        <v>3884</v>
      </c>
      <c r="C3250" s="9">
        <v>1798880.0</v>
      </c>
      <c r="D3250" s="9">
        <v>0.0</v>
      </c>
      <c r="E3250" s="9">
        <v>2157.0</v>
      </c>
      <c r="F3250" s="7" t="s">
        <v>3885</v>
      </c>
      <c r="G3250" s="7" t="s">
        <v>353</v>
      </c>
      <c r="H3250" s="7" t="s">
        <v>413</v>
      </c>
      <c r="I3250" s="7" t="s">
        <v>3886</v>
      </c>
      <c r="J3250" s="14"/>
      <c r="O3250" s="22"/>
      <c r="P3250" s="22"/>
      <c r="Q3250" s="23"/>
      <c r="R3250" s="23"/>
      <c r="S3250" s="14"/>
    </row>
    <row r="3251" ht="18.75" customHeight="1">
      <c r="A3251" s="7" t="s">
        <v>3749</v>
      </c>
      <c r="B3251" s="7" t="s">
        <v>3884</v>
      </c>
      <c r="C3251" s="9">
        <v>2199491.0</v>
      </c>
      <c r="D3251" s="9">
        <v>0.0</v>
      </c>
      <c r="E3251" s="9">
        <v>3537.0</v>
      </c>
      <c r="F3251" s="7" t="s">
        <v>3885</v>
      </c>
      <c r="G3251" s="7" t="s">
        <v>353</v>
      </c>
      <c r="H3251" s="7" t="s">
        <v>413</v>
      </c>
      <c r="I3251" s="7" t="s">
        <v>3886</v>
      </c>
      <c r="J3251" s="14"/>
      <c r="O3251" s="22"/>
      <c r="P3251" s="22"/>
      <c r="Q3251" s="23"/>
      <c r="R3251" s="23"/>
      <c r="S3251" s="14"/>
    </row>
    <row r="3252" ht="18.75" customHeight="1">
      <c r="A3252" s="7" t="s">
        <v>475</v>
      </c>
      <c r="B3252" s="7" t="s">
        <v>3884</v>
      </c>
      <c r="C3252" s="9">
        <v>1768798.0</v>
      </c>
      <c r="D3252" s="9">
        <v>0.0</v>
      </c>
      <c r="E3252" s="9">
        <v>2192.0</v>
      </c>
      <c r="F3252" s="7" t="s">
        <v>476</v>
      </c>
      <c r="G3252" s="7" t="s">
        <v>364</v>
      </c>
      <c r="H3252" s="7" t="s">
        <v>365</v>
      </c>
      <c r="I3252" s="7" t="s">
        <v>355</v>
      </c>
      <c r="J3252" s="14"/>
      <c r="O3252" s="22"/>
      <c r="P3252" s="22"/>
      <c r="Q3252" s="23"/>
      <c r="R3252" s="23"/>
      <c r="S3252" s="14"/>
    </row>
    <row r="3253" ht="18.75" customHeight="1">
      <c r="A3253" s="7" t="s">
        <v>475</v>
      </c>
      <c r="B3253" s="7" t="s">
        <v>3884</v>
      </c>
      <c r="C3253" s="9">
        <v>1144687.0</v>
      </c>
      <c r="D3253" s="9">
        <v>0.0</v>
      </c>
      <c r="E3253" s="9">
        <v>2204.0</v>
      </c>
      <c r="F3253" s="7" t="s">
        <v>476</v>
      </c>
      <c r="G3253" s="7" t="s">
        <v>364</v>
      </c>
      <c r="H3253" s="7" t="s">
        <v>365</v>
      </c>
      <c r="I3253" s="7" t="s">
        <v>355</v>
      </c>
      <c r="J3253" s="14"/>
      <c r="O3253" s="22"/>
      <c r="P3253" s="22"/>
      <c r="Q3253" s="23"/>
      <c r="R3253" s="23"/>
      <c r="S3253" s="14"/>
    </row>
    <row r="3254" ht="18.75" customHeight="1">
      <c r="A3254" s="7" t="s">
        <v>435</v>
      </c>
      <c r="B3254" s="7" t="s">
        <v>3884</v>
      </c>
      <c r="C3254" s="9">
        <v>3227889.0</v>
      </c>
      <c r="D3254" s="9">
        <v>0.0</v>
      </c>
      <c r="E3254" s="9">
        <v>3175.0</v>
      </c>
      <c r="F3254" s="7" t="s">
        <v>436</v>
      </c>
      <c r="G3254" s="7" t="s">
        <v>404</v>
      </c>
      <c r="H3254" s="7" t="s">
        <v>405</v>
      </c>
      <c r="I3254" s="7" t="s">
        <v>355</v>
      </c>
      <c r="J3254" s="14"/>
      <c r="O3254" s="22"/>
      <c r="P3254" s="22"/>
      <c r="Q3254" s="23"/>
      <c r="R3254" s="23"/>
      <c r="S3254" s="14"/>
    </row>
    <row r="3255" ht="18.75" customHeight="1">
      <c r="A3255" s="7" t="s">
        <v>435</v>
      </c>
      <c r="B3255" s="7" t="s">
        <v>3884</v>
      </c>
      <c r="C3255" s="9">
        <v>2702124.0</v>
      </c>
      <c r="D3255" s="9">
        <v>2059910.0</v>
      </c>
      <c r="E3255" s="9">
        <v>1565.0</v>
      </c>
      <c r="F3255" s="7" t="s">
        <v>436</v>
      </c>
      <c r="G3255" s="7" t="s">
        <v>404</v>
      </c>
      <c r="H3255" s="7" t="s">
        <v>405</v>
      </c>
      <c r="I3255" s="7" t="s">
        <v>355</v>
      </c>
      <c r="J3255" s="14"/>
      <c r="O3255" s="22"/>
      <c r="P3255" s="22"/>
      <c r="Q3255" s="23"/>
      <c r="R3255" s="23"/>
      <c r="S3255" s="14"/>
    </row>
    <row r="3256" ht="18.75" customHeight="1">
      <c r="A3256" s="7" t="s">
        <v>437</v>
      </c>
      <c r="B3256" s="7" t="s">
        <v>3884</v>
      </c>
      <c r="C3256" s="9">
        <v>2964741.0</v>
      </c>
      <c r="D3256" s="9">
        <v>2204948.0</v>
      </c>
      <c r="E3256" s="9">
        <v>1705.0</v>
      </c>
      <c r="F3256" s="7" t="s">
        <v>438</v>
      </c>
      <c r="G3256" s="7" t="s">
        <v>404</v>
      </c>
      <c r="H3256" s="7" t="s">
        <v>405</v>
      </c>
      <c r="I3256" s="7" t="s">
        <v>355</v>
      </c>
      <c r="J3256" s="14"/>
      <c r="O3256" s="22"/>
      <c r="P3256" s="22"/>
      <c r="Q3256" s="23"/>
      <c r="R3256" s="23"/>
      <c r="S3256" s="14"/>
    </row>
    <row r="3257" ht="18.75" customHeight="1">
      <c r="A3257" s="7" t="s">
        <v>437</v>
      </c>
      <c r="B3257" s="7" t="s">
        <v>3884</v>
      </c>
      <c r="C3257" s="9">
        <v>249701.0</v>
      </c>
      <c r="D3257" s="9">
        <v>0.0</v>
      </c>
      <c r="E3257" s="9">
        <v>248.0</v>
      </c>
      <c r="F3257" s="7" t="s">
        <v>438</v>
      </c>
      <c r="G3257" s="7" t="s">
        <v>404</v>
      </c>
      <c r="H3257" s="7" t="s">
        <v>405</v>
      </c>
      <c r="I3257" s="7" t="s">
        <v>355</v>
      </c>
      <c r="J3257" s="14"/>
      <c r="O3257" s="22"/>
      <c r="P3257" s="22"/>
      <c r="Q3257" s="23"/>
      <c r="R3257" s="23"/>
      <c r="S3257" s="14"/>
    </row>
    <row r="3258" ht="18.75" customHeight="1">
      <c r="A3258" s="7" t="s">
        <v>493</v>
      </c>
      <c r="B3258" s="7" t="s">
        <v>3884</v>
      </c>
      <c r="C3258" s="9">
        <v>1620289.0</v>
      </c>
      <c r="D3258" s="9">
        <v>0.0</v>
      </c>
      <c r="E3258" s="9">
        <v>1669.0</v>
      </c>
      <c r="F3258" s="7" t="s">
        <v>494</v>
      </c>
      <c r="G3258" s="7" t="s">
        <v>364</v>
      </c>
      <c r="H3258" s="7" t="s">
        <v>365</v>
      </c>
      <c r="I3258" s="7" t="s">
        <v>355</v>
      </c>
      <c r="J3258" s="14"/>
      <c r="O3258" s="22"/>
      <c r="P3258" s="22"/>
      <c r="Q3258" s="23"/>
      <c r="R3258" s="23"/>
      <c r="S3258" s="14"/>
    </row>
    <row r="3259" ht="18.75" customHeight="1">
      <c r="A3259" s="7" t="s">
        <v>493</v>
      </c>
      <c r="B3259" s="7" t="s">
        <v>3884</v>
      </c>
      <c r="C3259" s="9">
        <v>1231172.0</v>
      </c>
      <c r="D3259" s="9">
        <v>0.0</v>
      </c>
      <c r="E3259" s="9">
        <v>2155.0</v>
      </c>
      <c r="F3259" s="7" t="s">
        <v>494</v>
      </c>
      <c r="G3259" s="7" t="s">
        <v>364</v>
      </c>
      <c r="H3259" s="7" t="s">
        <v>365</v>
      </c>
      <c r="I3259" s="7" t="s">
        <v>355</v>
      </c>
      <c r="J3259" s="14"/>
      <c r="O3259" s="22"/>
      <c r="P3259" s="22"/>
      <c r="Q3259" s="23"/>
      <c r="R3259" s="23"/>
      <c r="S3259" s="14"/>
    </row>
    <row r="3260" ht="18.75" customHeight="1">
      <c r="A3260" s="7" t="s">
        <v>452</v>
      </c>
      <c r="B3260" s="7" t="s">
        <v>3884</v>
      </c>
      <c r="C3260" s="9">
        <v>888673.0</v>
      </c>
      <c r="D3260" s="9">
        <v>710236.0</v>
      </c>
      <c r="E3260" s="9">
        <v>565.0</v>
      </c>
      <c r="F3260" s="7" t="s">
        <v>453</v>
      </c>
      <c r="G3260" s="7" t="s">
        <v>416</v>
      </c>
      <c r="H3260" s="7" t="s">
        <v>417</v>
      </c>
      <c r="I3260" s="7" t="s">
        <v>355</v>
      </c>
      <c r="J3260" s="14"/>
      <c r="O3260" s="22"/>
      <c r="P3260" s="22"/>
      <c r="Q3260" s="23"/>
      <c r="R3260" s="23"/>
      <c r="S3260" s="14"/>
    </row>
    <row r="3261" ht="18.75" customHeight="1">
      <c r="A3261" s="14"/>
      <c r="B3261" s="7" t="s">
        <v>3884</v>
      </c>
      <c r="C3261" s="9">
        <v>1062034.0</v>
      </c>
      <c r="D3261" s="9">
        <v>762837.0</v>
      </c>
      <c r="E3261" s="9">
        <v>720.0</v>
      </c>
      <c r="F3261" s="14"/>
      <c r="G3261" s="14"/>
      <c r="H3261" s="14"/>
      <c r="I3261" s="14"/>
      <c r="J3261" s="14"/>
      <c r="O3261" s="22"/>
      <c r="P3261" s="22"/>
      <c r="Q3261" s="23"/>
      <c r="R3261" s="23"/>
      <c r="S3261" s="14"/>
    </row>
    <row r="3262" ht="18.75" customHeight="1">
      <c r="A3262" s="7" t="s">
        <v>497</v>
      </c>
      <c r="B3262" s="7" t="s">
        <v>3884</v>
      </c>
      <c r="C3262" s="9">
        <v>3505652.0</v>
      </c>
      <c r="D3262" s="9">
        <v>0.0</v>
      </c>
      <c r="E3262" s="9">
        <v>3202.0</v>
      </c>
      <c r="F3262" s="7" t="s">
        <v>498</v>
      </c>
      <c r="G3262" s="7" t="s">
        <v>404</v>
      </c>
      <c r="H3262" s="7" t="s">
        <v>405</v>
      </c>
      <c r="I3262" s="7" t="s">
        <v>355</v>
      </c>
      <c r="J3262" s="14"/>
      <c r="O3262" s="22"/>
      <c r="P3262" s="22"/>
      <c r="Q3262" s="23"/>
      <c r="R3262" s="23"/>
      <c r="S3262" s="14"/>
    </row>
    <row r="3263" ht="18.75" customHeight="1">
      <c r="A3263" s="7" t="s">
        <v>497</v>
      </c>
      <c r="B3263" s="7" t="s">
        <v>3884</v>
      </c>
      <c r="C3263" s="9">
        <v>2411905.0</v>
      </c>
      <c r="D3263" s="9">
        <v>0.0</v>
      </c>
      <c r="E3263" s="9">
        <v>2105.0</v>
      </c>
      <c r="F3263" s="7" t="s">
        <v>498</v>
      </c>
      <c r="G3263" s="7" t="s">
        <v>404</v>
      </c>
      <c r="H3263" s="7" t="s">
        <v>405</v>
      </c>
      <c r="I3263" s="7" t="s">
        <v>355</v>
      </c>
      <c r="J3263" s="14"/>
      <c r="O3263" s="22"/>
      <c r="P3263" s="22"/>
      <c r="Q3263" s="23"/>
      <c r="R3263" s="23"/>
      <c r="S3263" s="14"/>
    </row>
    <row r="3264" ht="18.75" customHeight="1">
      <c r="A3264" s="7" t="s">
        <v>497</v>
      </c>
      <c r="B3264" s="7" t="s">
        <v>3884</v>
      </c>
      <c r="C3264" s="9">
        <v>2033231.0</v>
      </c>
      <c r="D3264" s="9">
        <v>1415456.0</v>
      </c>
      <c r="E3264" s="9">
        <v>821.0</v>
      </c>
      <c r="F3264" s="7" t="s">
        <v>498</v>
      </c>
      <c r="G3264" s="7" t="s">
        <v>404</v>
      </c>
      <c r="H3264" s="7" t="s">
        <v>405</v>
      </c>
      <c r="I3264" s="7" t="s">
        <v>355</v>
      </c>
      <c r="J3264" s="14"/>
      <c r="O3264" s="22"/>
      <c r="P3264" s="22"/>
      <c r="Q3264" s="23"/>
      <c r="R3264" s="23"/>
      <c r="S3264" s="14"/>
    </row>
    <row r="3265" ht="18.75" customHeight="1">
      <c r="A3265" s="7" t="s">
        <v>497</v>
      </c>
      <c r="B3265" s="7" t="s">
        <v>3884</v>
      </c>
      <c r="C3265" s="9">
        <v>1099609.0</v>
      </c>
      <c r="D3265" s="9">
        <v>838129.0</v>
      </c>
      <c r="E3265" s="9">
        <v>448.0</v>
      </c>
      <c r="F3265" s="7" t="s">
        <v>498</v>
      </c>
      <c r="G3265" s="7" t="s">
        <v>404</v>
      </c>
      <c r="H3265" s="7" t="s">
        <v>405</v>
      </c>
      <c r="I3265" s="7" t="s">
        <v>355</v>
      </c>
      <c r="J3265" s="14"/>
      <c r="O3265" s="22"/>
      <c r="P3265" s="22"/>
      <c r="Q3265" s="23"/>
      <c r="R3265" s="23"/>
      <c r="S3265" s="14"/>
    </row>
    <row r="3266" ht="18.75" customHeight="1">
      <c r="A3266" s="7" t="s">
        <v>497</v>
      </c>
      <c r="B3266" s="7" t="s">
        <v>3884</v>
      </c>
      <c r="C3266" s="9">
        <v>139358.0</v>
      </c>
      <c r="D3266" s="9">
        <v>0.0</v>
      </c>
      <c r="E3266" s="9">
        <v>1489.0</v>
      </c>
      <c r="F3266" s="7" t="s">
        <v>498</v>
      </c>
      <c r="G3266" s="7" t="s">
        <v>404</v>
      </c>
      <c r="H3266" s="7" t="s">
        <v>405</v>
      </c>
      <c r="I3266" s="7" t="s">
        <v>355</v>
      </c>
      <c r="J3266" s="14"/>
      <c r="O3266" s="22"/>
      <c r="P3266" s="22"/>
      <c r="Q3266" s="23"/>
      <c r="R3266" s="23"/>
      <c r="S3266" s="14"/>
    </row>
    <row r="3267" ht="18.75" customHeight="1">
      <c r="A3267" s="7" t="s">
        <v>497</v>
      </c>
      <c r="B3267" s="7" t="s">
        <v>3884</v>
      </c>
      <c r="C3267" s="9">
        <v>46786.0</v>
      </c>
      <c r="D3267" s="9">
        <v>43520.0</v>
      </c>
      <c r="E3267" s="9">
        <v>47.0</v>
      </c>
      <c r="F3267" s="7" t="s">
        <v>498</v>
      </c>
      <c r="G3267" s="7" t="s">
        <v>404</v>
      </c>
      <c r="H3267" s="7" t="s">
        <v>405</v>
      </c>
      <c r="I3267" s="7" t="s">
        <v>355</v>
      </c>
      <c r="J3267" s="14"/>
      <c r="O3267" s="22"/>
      <c r="P3267" s="22"/>
      <c r="Q3267" s="23"/>
      <c r="R3267" s="23"/>
      <c r="S3267" s="14"/>
    </row>
    <row r="3268" ht="18.75" customHeight="1">
      <c r="A3268" s="7" t="s">
        <v>497</v>
      </c>
      <c r="B3268" s="7" t="s">
        <v>3884</v>
      </c>
      <c r="C3268" s="9">
        <v>9473.0</v>
      </c>
      <c r="D3268" s="9">
        <v>0.0</v>
      </c>
      <c r="E3268" s="9">
        <v>18.0</v>
      </c>
      <c r="F3268" s="7" t="s">
        <v>498</v>
      </c>
      <c r="G3268" s="7" t="s">
        <v>404</v>
      </c>
      <c r="H3268" s="7" t="s">
        <v>405</v>
      </c>
      <c r="I3268" s="7" t="s">
        <v>355</v>
      </c>
      <c r="J3268" s="14"/>
      <c r="O3268" s="22"/>
      <c r="P3268" s="22"/>
      <c r="Q3268" s="23"/>
      <c r="R3268" s="23"/>
      <c r="S3268" s="14"/>
    </row>
    <row r="3269" ht="18.75" customHeight="1">
      <c r="A3269" s="7" t="s">
        <v>477</v>
      </c>
      <c r="B3269" s="7" t="s">
        <v>3884</v>
      </c>
      <c r="C3269" s="9">
        <v>1165014.0</v>
      </c>
      <c r="D3269" s="9">
        <v>886752.0</v>
      </c>
      <c r="E3269" s="9">
        <v>679.0</v>
      </c>
      <c r="F3269" s="7" t="s">
        <v>478</v>
      </c>
      <c r="G3269" s="7" t="s">
        <v>416</v>
      </c>
      <c r="H3269" s="7" t="s">
        <v>417</v>
      </c>
      <c r="I3269" s="7" t="s">
        <v>355</v>
      </c>
      <c r="J3269" s="14"/>
      <c r="O3269" s="22"/>
      <c r="P3269" s="22"/>
      <c r="Q3269" s="23"/>
      <c r="R3269" s="23"/>
      <c r="S3269" s="14"/>
    </row>
    <row r="3270" ht="18.75" customHeight="1">
      <c r="A3270" s="7" t="s">
        <v>479</v>
      </c>
      <c r="B3270" s="7" t="s">
        <v>3884</v>
      </c>
      <c r="C3270" s="9">
        <v>3199596.0</v>
      </c>
      <c r="D3270" s="9">
        <v>0.0</v>
      </c>
      <c r="E3270" s="9">
        <v>4382.0</v>
      </c>
      <c r="F3270" s="7" t="s">
        <v>480</v>
      </c>
      <c r="G3270" s="7" t="s">
        <v>404</v>
      </c>
      <c r="H3270" s="7" t="s">
        <v>405</v>
      </c>
      <c r="I3270" s="7" t="s">
        <v>355</v>
      </c>
      <c r="J3270" s="14"/>
      <c r="O3270" s="22"/>
      <c r="P3270" s="22"/>
      <c r="Q3270" s="23"/>
      <c r="R3270" s="23"/>
      <c r="S3270" s="14"/>
    </row>
    <row r="3271" ht="18.75" customHeight="1">
      <c r="A3271" s="7" t="s">
        <v>479</v>
      </c>
      <c r="B3271" s="7" t="s">
        <v>3884</v>
      </c>
      <c r="C3271" s="9">
        <v>916457.0</v>
      </c>
      <c r="D3271" s="9">
        <v>0.0</v>
      </c>
      <c r="E3271" s="9">
        <v>1888.0</v>
      </c>
      <c r="F3271" s="7" t="s">
        <v>480</v>
      </c>
      <c r="G3271" s="7" t="s">
        <v>404</v>
      </c>
      <c r="H3271" s="7" t="s">
        <v>405</v>
      </c>
      <c r="I3271" s="7" t="s">
        <v>355</v>
      </c>
      <c r="J3271" s="14"/>
      <c r="O3271" s="22"/>
      <c r="P3271" s="22"/>
      <c r="Q3271" s="23"/>
      <c r="R3271" s="23"/>
      <c r="S3271" s="14"/>
    </row>
    <row r="3272" ht="18.75" customHeight="1">
      <c r="A3272" s="7" t="s">
        <v>495</v>
      </c>
      <c r="B3272" s="7" t="s">
        <v>3884</v>
      </c>
      <c r="C3272" s="9">
        <v>967165.0</v>
      </c>
      <c r="D3272" s="9">
        <v>0.0</v>
      </c>
      <c r="E3272" s="9">
        <v>1046.0</v>
      </c>
      <c r="F3272" s="7" t="s">
        <v>496</v>
      </c>
      <c r="G3272" s="7" t="s">
        <v>358</v>
      </c>
      <c r="H3272" s="7" t="s">
        <v>466</v>
      </c>
      <c r="I3272" s="7" t="s">
        <v>355</v>
      </c>
      <c r="J3272" s="14"/>
      <c r="O3272" s="22"/>
      <c r="P3272" s="22"/>
      <c r="Q3272" s="23"/>
      <c r="R3272" s="23"/>
      <c r="S3272" s="14"/>
    </row>
    <row r="3273" ht="18.75" customHeight="1">
      <c r="A3273" s="7" t="s">
        <v>495</v>
      </c>
      <c r="B3273" s="7" t="s">
        <v>3884</v>
      </c>
      <c r="C3273" s="9">
        <v>1329016.0</v>
      </c>
      <c r="D3273" s="9">
        <v>0.0</v>
      </c>
      <c r="E3273" s="9">
        <v>1559.0</v>
      </c>
      <c r="F3273" s="7" t="s">
        <v>496</v>
      </c>
      <c r="G3273" s="7" t="s">
        <v>358</v>
      </c>
      <c r="H3273" s="7" t="s">
        <v>466</v>
      </c>
      <c r="I3273" s="7" t="s">
        <v>355</v>
      </c>
      <c r="J3273" s="14"/>
      <c r="O3273" s="22"/>
      <c r="P3273" s="22"/>
      <c r="Q3273" s="23"/>
      <c r="R3273" s="23"/>
      <c r="S3273" s="14"/>
    </row>
    <row r="3274" ht="18.75" customHeight="1">
      <c r="A3274" s="7" t="s">
        <v>539</v>
      </c>
      <c r="B3274" s="7" t="s">
        <v>3884</v>
      </c>
      <c r="C3274" s="9">
        <v>344982.0</v>
      </c>
      <c r="D3274" s="9">
        <v>0.0</v>
      </c>
      <c r="E3274" s="9">
        <v>457.0</v>
      </c>
      <c r="F3274" s="7" t="s">
        <v>540</v>
      </c>
      <c r="G3274" s="7" t="s">
        <v>416</v>
      </c>
      <c r="H3274" s="7" t="s">
        <v>417</v>
      </c>
      <c r="I3274" s="7" t="s">
        <v>355</v>
      </c>
      <c r="J3274" s="14"/>
      <c r="O3274" s="22"/>
      <c r="P3274" s="22"/>
      <c r="Q3274" s="23"/>
      <c r="R3274" s="23"/>
      <c r="S3274" s="14"/>
    </row>
    <row r="3275" ht="18.75" customHeight="1">
      <c r="A3275" s="7" t="s">
        <v>541</v>
      </c>
      <c r="B3275" s="7" t="s">
        <v>3884</v>
      </c>
      <c r="C3275" s="9">
        <v>62215.0</v>
      </c>
      <c r="D3275" s="9">
        <v>0.0</v>
      </c>
      <c r="E3275" s="9">
        <v>72.0</v>
      </c>
      <c r="F3275" s="7" t="s">
        <v>542</v>
      </c>
      <c r="G3275" s="7" t="s">
        <v>416</v>
      </c>
      <c r="H3275" s="7" t="s">
        <v>417</v>
      </c>
      <c r="I3275" s="7" t="s">
        <v>355</v>
      </c>
      <c r="J3275" s="14"/>
      <c r="O3275" s="22"/>
      <c r="P3275" s="22"/>
      <c r="Q3275" s="23"/>
      <c r="R3275" s="23"/>
      <c r="S3275" s="14"/>
    </row>
    <row r="3276" ht="18.75" customHeight="1">
      <c r="A3276" s="7" t="s">
        <v>396</v>
      </c>
      <c r="B3276" s="7" t="s">
        <v>3884</v>
      </c>
      <c r="C3276" s="9">
        <v>207879.0</v>
      </c>
      <c r="D3276" s="9">
        <v>0.0</v>
      </c>
      <c r="E3276" s="9">
        <v>521.0</v>
      </c>
      <c r="F3276" s="7" t="s">
        <v>397</v>
      </c>
      <c r="G3276" s="7" t="s">
        <v>353</v>
      </c>
      <c r="H3276" s="7" t="s">
        <v>378</v>
      </c>
      <c r="I3276" s="7" t="s">
        <v>355</v>
      </c>
      <c r="J3276" s="14"/>
      <c r="O3276" s="22"/>
      <c r="P3276" s="22"/>
      <c r="Q3276" s="23"/>
      <c r="R3276" s="23"/>
      <c r="S3276" s="14"/>
    </row>
    <row r="3277" ht="18.75" customHeight="1">
      <c r="A3277" s="7" t="s">
        <v>396</v>
      </c>
      <c r="B3277" s="7" t="s">
        <v>3884</v>
      </c>
      <c r="C3277" s="9">
        <v>57643.0</v>
      </c>
      <c r="D3277" s="9">
        <v>0.0</v>
      </c>
      <c r="E3277" s="9">
        <v>162.0</v>
      </c>
      <c r="F3277" s="7" t="s">
        <v>397</v>
      </c>
      <c r="G3277" s="7" t="s">
        <v>353</v>
      </c>
      <c r="H3277" s="7" t="s">
        <v>378</v>
      </c>
      <c r="I3277" s="7" t="s">
        <v>355</v>
      </c>
      <c r="J3277" s="14"/>
      <c r="O3277" s="22"/>
      <c r="P3277" s="22"/>
      <c r="Q3277" s="23"/>
      <c r="R3277" s="23"/>
      <c r="S3277" s="14"/>
    </row>
    <row r="3278" ht="18.75" customHeight="1">
      <c r="A3278" s="7" t="s">
        <v>553</v>
      </c>
      <c r="B3278" s="7" t="s">
        <v>3884</v>
      </c>
      <c r="C3278" s="9">
        <v>92238.0</v>
      </c>
      <c r="D3278" s="9">
        <v>0.0</v>
      </c>
      <c r="E3278" s="9">
        <v>158.0</v>
      </c>
      <c r="F3278" s="7" t="s">
        <v>554</v>
      </c>
      <c r="G3278" s="7" t="s">
        <v>364</v>
      </c>
      <c r="H3278" s="7" t="s">
        <v>365</v>
      </c>
      <c r="I3278" s="7" t="s">
        <v>355</v>
      </c>
      <c r="J3278" s="14"/>
      <c r="O3278" s="22"/>
      <c r="P3278" s="22"/>
      <c r="Q3278" s="23"/>
      <c r="R3278" s="23"/>
      <c r="S3278" s="14"/>
    </row>
    <row r="3279" ht="18.75" customHeight="1">
      <c r="A3279" s="7" t="s">
        <v>553</v>
      </c>
      <c r="B3279" s="7" t="s">
        <v>3884</v>
      </c>
      <c r="C3279" s="9">
        <v>0.0</v>
      </c>
      <c r="D3279" s="9">
        <v>0.0</v>
      </c>
      <c r="E3279" s="9">
        <v>0.0</v>
      </c>
      <c r="F3279" s="7" t="s">
        <v>554</v>
      </c>
      <c r="G3279" s="7" t="s">
        <v>364</v>
      </c>
      <c r="H3279" s="7" t="s">
        <v>365</v>
      </c>
      <c r="I3279" s="7" t="s">
        <v>355</v>
      </c>
      <c r="J3279" s="14"/>
      <c r="O3279" s="22"/>
      <c r="P3279" s="22"/>
      <c r="Q3279" s="23"/>
      <c r="R3279" s="23"/>
      <c r="S3279" s="14"/>
    </row>
    <row r="3280" ht="18.75" customHeight="1">
      <c r="A3280" s="7" t="s">
        <v>481</v>
      </c>
      <c r="B3280" s="7" t="s">
        <v>3884</v>
      </c>
      <c r="C3280" s="9">
        <v>85145.0</v>
      </c>
      <c r="D3280" s="9">
        <v>0.0</v>
      </c>
      <c r="E3280" s="9">
        <v>105.0</v>
      </c>
      <c r="F3280" s="7" t="s">
        <v>482</v>
      </c>
      <c r="G3280" s="7" t="s">
        <v>404</v>
      </c>
      <c r="H3280" s="7" t="s">
        <v>405</v>
      </c>
      <c r="I3280" s="7" t="s">
        <v>355</v>
      </c>
      <c r="J3280" s="14"/>
      <c r="O3280" s="22"/>
      <c r="P3280" s="22"/>
      <c r="Q3280" s="23"/>
      <c r="R3280" s="23"/>
      <c r="S3280" s="14"/>
    </row>
    <row r="3281" ht="18.75" customHeight="1">
      <c r="A3281" s="7" t="s">
        <v>481</v>
      </c>
      <c r="B3281" s="7" t="s">
        <v>3884</v>
      </c>
      <c r="C3281" s="9">
        <v>34478.0</v>
      </c>
      <c r="D3281" s="9">
        <v>0.0</v>
      </c>
      <c r="E3281" s="9">
        <v>60.0</v>
      </c>
      <c r="F3281" s="7" t="s">
        <v>482</v>
      </c>
      <c r="G3281" s="7" t="s">
        <v>404</v>
      </c>
      <c r="H3281" s="7" t="s">
        <v>405</v>
      </c>
      <c r="I3281" s="7" t="s">
        <v>355</v>
      </c>
      <c r="J3281" s="14"/>
      <c r="O3281" s="22"/>
      <c r="P3281" s="22"/>
      <c r="Q3281" s="23"/>
      <c r="R3281" s="23"/>
      <c r="S3281" s="14"/>
    </row>
    <row r="3282" ht="18.75" customHeight="1">
      <c r="A3282" s="7" t="s">
        <v>383</v>
      </c>
      <c r="B3282" s="7" t="s">
        <v>3884</v>
      </c>
      <c r="C3282" s="9">
        <v>26426.0</v>
      </c>
      <c r="D3282" s="9">
        <v>0.0</v>
      </c>
      <c r="E3282" s="9">
        <v>38.0</v>
      </c>
      <c r="F3282" s="7" t="s">
        <v>384</v>
      </c>
      <c r="G3282" s="7" t="s">
        <v>353</v>
      </c>
      <c r="H3282" s="7" t="s">
        <v>378</v>
      </c>
      <c r="I3282" s="7" t="s">
        <v>355</v>
      </c>
      <c r="J3282" s="14"/>
      <c r="O3282" s="22"/>
      <c r="P3282" s="22"/>
      <c r="Q3282" s="23"/>
      <c r="R3282" s="23"/>
      <c r="S3282" s="14"/>
    </row>
    <row r="3283" ht="18.75" customHeight="1">
      <c r="A3283" s="7" t="s">
        <v>383</v>
      </c>
      <c r="B3283" s="7" t="s">
        <v>3884</v>
      </c>
      <c r="C3283" s="9">
        <v>49595.0</v>
      </c>
      <c r="D3283" s="9">
        <v>0.0</v>
      </c>
      <c r="E3283" s="9">
        <v>69.0</v>
      </c>
      <c r="F3283" s="7" t="s">
        <v>384</v>
      </c>
      <c r="G3283" s="7" t="s">
        <v>353</v>
      </c>
      <c r="H3283" s="7" t="s">
        <v>378</v>
      </c>
      <c r="I3283" s="7" t="s">
        <v>355</v>
      </c>
      <c r="J3283" s="14"/>
      <c r="O3283" s="22"/>
      <c r="P3283" s="22"/>
      <c r="Q3283" s="23"/>
      <c r="R3283" s="23"/>
      <c r="S3283" s="14"/>
    </row>
    <row r="3284" ht="18.75" customHeight="1">
      <c r="A3284" s="7" t="s">
        <v>590</v>
      </c>
      <c r="B3284" s="7" t="s">
        <v>3884</v>
      </c>
      <c r="C3284" s="9">
        <v>26345.0</v>
      </c>
      <c r="D3284" s="9">
        <v>0.0</v>
      </c>
      <c r="E3284" s="9">
        <v>18.0</v>
      </c>
      <c r="F3284" s="7" t="s">
        <v>591</v>
      </c>
      <c r="G3284" s="7" t="s">
        <v>358</v>
      </c>
      <c r="H3284" s="7" t="s">
        <v>466</v>
      </c>
      <c r="I3284" s="7" t="s">
        <v>355</v>
      </c>
      <c r="J3284" s="14"/>
      <c r="O3284" s="22"/>
      <c r="P3284" s="22"/>
      <c r="Q3284" s="23"/>
      <c r="R3284" s="23"/>
      <c r="S3284" s="14"/>
    </row>
    <row r="3285" ht="18.75" customHeight="1">
      <c r="A3285" s="7" t="s">
        <v>590</v>
      </c>
      <c r="B3285" s="7" t="s">
        <v>3884</v>
      </c>
      <c r="C3285" s="9">
        <v>16852.0</v>
      </c>
      <c r="D3285" s="9">
        <v>0.0</v>
      </c>
      <c r="E3285" s="9">
        <v>20.0</v>
      </c>
      <c r="F3285" s="7" t="s">
        <v>591</v>
      </c>
      <c r="G3285" s="7" t="s">
        <v>358</v>
      </c>
      <c r="H3285" s="7" t="s">
        <v>466</v>
      </c>
      <c r="I3285" s="7" t="s">
        <v>355</v>
      </c>
      <c r="J3285" s="14"/>
      <c r="O3285" s="22"/>
      <c r="P3285" s="22"/>
      <c r="Q3285" s="23"/>
      <c r="R3285" s="23"/>
      <c r="S3285" s="14"/>
    </row>
    <row r="3286" ht="18.75" customHeight="1">
      <c r="A3286" s="7" t="s">
        <v>396</v>
      </c>
      <c r="B3286" s="7" t="s">
        <v>3884</v>
      </c>
      <c r="C3286" s="9">
        <v>56689.0</v>
      </c>
      <c r="D3286" s="9">
        <v>0.0</v>
      </c>
      <c r="E3286" s="9">
        <v>117.0</v>
      </c>
      <c r="F3286" s="7" t="s">
        <v>397</v>
      </c>
      <c r="G3286" s="7" t="s">
        <v>353</v>
      </c>
      <c r="H3286" s="7" t="s">
        <v>378</v>
      </c>
      <c r="I3286" s="7" t="s">
        <v>355</v>
      </c>
      <c r="J3286" s="14"/>
      <c r="O3286" s="22"/>
      <c r="P3286" s="22"/>
      <c r="Q3286" s="23"/>
      <c r="R3286" s="23"/>
      <c r="S3286" s="14"/>
    </row>
    <row r="3287" ht="18.75" customHeight="1">
      <c r="A3287" s="7" t="s">
        <v>396</v>
      </c>
      <c r="B3287" s="7" t="s">
        <v>3884</v>
      </c>
      <c r="C3287" s="9">
        <v>64981.0</v>
      </c>
      <c r="D3287" s="9">
        <v>0.0</v>
      </c>
      <c r="E3287" s="9">
        <v>207.0</v>
      </c>
      <c r="F3287" s="7" t="s">
        <v>397</v>
      </c>
      <c r="G3287" s="7" t="s">
        <v>353</v>
      </c>
      <c r="H3287" s="7" t="s">
        <v>378</v>
      </c>
      <c r="I3287" s="7" t="s">
        <v>355</v>
      </c>
      <c r="J3287" s="14"/>
      <c r="O3287" s="22"/>
      <c r="P3287" s="22"/>
      <c r="Q3287" s="23"/>
      <c r="R3287" s="23"/>
      <c r="S3287" s="14"/>
    </row>
    <row r="3288" ht="18.75" customHeight="1">
      <c r="A3288" s="7" t="s">
        <v>422</v>
      </c>
      <c r="B3288" s="7" t="s">
        <v>3884</v>
      </c>
      <c r="C3288" s="9">
        <v>4113305.0</v>
      </c>
      <c r="D3288" s="9">
        <v>0.0</v>
      </c>
      <c r="E3288" s="9">
        <v>4208.0</v>
      </c>
      <c r="F3288" s="7" t="s">
        <v>423</v>
      </c>
      <c r="G3288" s="7" t="s">
        <v>404</v>
      </c>
      <c r="H3288" s="7" t="s">
        <v>405</v>
      </c>
      <c r="I3288" s="7" t="s">
        <v>355</v>
      </c>
      <c r="J3288" s="14"/>
      <c r="O3288" s="22"/>
      <c r="P3288" s="22"/>
      <c r="Q3288" s="23"/>
      <c r="R3288" s="23"/>
      <c r="S3288" s="14"/>
    </row>
    <row r="3289" ht="18.75" customHeight="1">
      <c r="A3289" s="7" t="s">
        <v>422</v>
      </c>
      <c r="B3289" s="7" t="s">
        <v>3884</v>
      </c>
      <c r="C3289" s="9">
        <v>412482.0</v>
      </c>
      <c r="D3289" s="9">
        <v>237900.0</v>
      </c>
      <c r="E3289" s="9">
        <v>2100.0</v>
      </c>
      <c r="F3289" s="7" t="s">
        <v>423</v>
      </c>
      <c r="G3289" s="7" t="s">
        <v>404</v>
      </c>
      <c r="H3289" s="7" t="s">
        <v>405</v>
      </c>
      <c r="I3289" s="7" t="s">
        <v>355</v>
      </c>
      <c r="J3289" s="14"/>
      <c r="O3289" s="22"/>
      <c r="P3289" s="22"/>
      <c r="Q3289" s="23"/>
      <c r="R3289" s="23"/>
      <c r="S3289" s="14"/>
    </row>
    <row r="3290" ht="18.75" customHeight="1">
      <c r="A3290" s="7" t="s">
        <v>422</v>
      </c>
      <c r="B3290" s="7" t="s">
        <v>3884</v>
      </c>
      <c r="C3290" s="9">
        <v>65452.0</v>
      </c>
      <c r="D3290" s="9">
        <v>0.0</v>
      </c>
      <c r="E3290" s="9">
        <v>70.0</v>
      </c>
      <c r="F3290" s="7" t="s">
        <v>423</v>
      </c>
      <c r="G3290" s="7" t="s">
        <v>404</v>
      </c>
      <c r="H3290" s="7" t="s">
        <v>405</v>
      </c>
      <c r="I3290" s="7" t="s">
        <v>355</v>
      </c>
      <c r="J3290" s="14"/>
      <c r="O3290" s="22"/>
      <c r="P3290" s="22"/>
      <c r="Q3290" s="23"/>
      <c r="R3290" s="23"/>
      <c r="S3290" s="14"/>
    </row>
    <row r="3291" ht="18.75" customHeight="1">
      <c r="A3291" s="7" t="s">
        <v>422</v>
      </c>
      <c r="B3291" s="7" t="s">
        <v>3884</v>
      </c>
      <c r="C3291" s="9">
        <v>38027.0</v>
      </c>
      <c r="D3291" s="9">
        <v>0.0</v>
      </c>
      <c r="E3291" s="9">
        <v>5022.0</v>
      </c>
      <c r="F3291" s="7" t="s">
        <v>423</v>
      </c>
      <c r="G3291" s="7" t="s">
        <v>404</v>
      </c>
      <c r="H3291" s="7" t="s">
        <v>405</v>
      </c>
      <c r="I3291" s="7" t="s">
        <v>355</v>
      </c>
      <c r="J3291" s="14"/>
      <c r="O3291" s="22"/>
      <c r="P3291" s="22"/>
      <c r="Q3291" s="23"/>
      <c r="R3291" s="23"/>
      <c r="S3291" s="14"/>
    </row>
    <row r="3292" ht="18.75" customHeight="1">
      <c r="A3292" s="7" t="s">
        <v>422</v>
      </c>
      <c r="B3292" s="7" t="s">
        <v>3884</v>
      </c>
      <c r="C3292" s="9">
        <v>52400.0</v>
      </c>
      <c r="D3292" s="9">
        <v>51670.0</v>
      </c>
      <c r="E3292" s="9">
        <v>0.0</v>
      </c>
      <c r="F3292" s="7" t="s">
        <v>423</v>
      </c>
      <c r="G3292" s="7" t="s">
        <v>404</v>
      </c>
      <c r="H3292" s="7" t="s">
        <v>405</v>
      </c>
      <c r="I3292" s="7" t="s">
        <v>355</v>
      </c>
      <c r="J3292" s="14"/>
      <c r="O3292" s="22"/>
      <c r="P3292" s="22"/>
      <c r="Q3292" s="23"/>
      <c r="R3292" s="23"/>
      <c r="S3292" s="14"/>
    </row>
    <row r="3293" ht="18.75" customHeight="1">
      <c r="A3293" s="7" t="s">
        <v>362</v>
      </c>
      <c r="B3293" s="7" t="s">
        <v>3884</v>
      </c>
      <c r="C3293" s="9">
        <v>542552.0</v>
      </c>
      <c r="D3293" s="9">
        <v>368584.0</v>
      </c>
      <c r="E3293" s="9">
        <v>476.0</v>
      </c>
      <c r="F3293" s="7" t="s">
        <v>363</v>
      </c>
      <c r="G3293" s="7" t="s">
        <v>364</v>
      </c>
      <c r="H3293" s="7" t="s">
        <v>365</v>
      </c>
      <c r="I3293" s="7" t="s">
        <v>355</v>
      </c>
      <c r="J3293" s="14"/>
      <c r="O3293" s="22"/>
      <c r="P3293" s="22"/>
      <c r="Q3293" s="23"/>
      <c r="R3293" s="23"/>
      <c r="S3293" s="14"/>
    </row>
    <row r="3294" ht="18.75" customHeight="1">
      <c r="A3294" s="7" t="s">
        <v>362</v>
      </c>
      <c r="B3294" s="7" t="s">
        <v>3884</v>
      </c>
      <c r="C3294" s="9">
        <v>649311.0</v>
      </c>
      <c r="D3294" s="9">
        <v>0.0</v>
      </c>
      <c r="E3294" s="9">
        <v>872.0</v>
      </c>
      <c r="F3294" s="7" t="s">
        <v>363</v>
      </c>
      <c r="G3294" s="7" t="s">
        <v>364</v>
      </c>
      <c r="H3294" s="7" t="s">
        <v>365</v>
      </c>
      <c r="I3294" s="7" t="s">
        <v>355</v>
      </c>
      <c r="J3294" s="14"/>
      <c r="O3294" s="22"/>
      <c r="P3294" s="22"/>
      <c r="Q3294" s="23"/>
      <c r="R3294" s="23"/>
      <c r="S3294" s="14"/>
    </row>
    <row r="3295" ht="18.75" customHeight="1">
      <c r="A3295" s="7" t="s">
        <v>388</v>
      </c>
      <c r="B3295" s="7" t="s">
        <v>3884</v>
      </c>
      <c r="C3295" s="9">
        <v>2396407.0</v>
      </c>
      <c r="D3295" s="9">
        <v>0.0</v>
      </c>
      <c r="E3295" s="9">
        <v>2705.0</v>
      </c>
      <c r="F3295" s="7" t="s">
        <v>389</v>
      </c>
      <c r="G3295" s="7" t="s">
        <v>353</v>
      </c>
      <c r="H3295" s="7" t="s">
        <v>378</v>
      </c>
      <c r="I3295" s="7" t="s">
        <v>355</v>
      </c>
      <c r="J3295" s="14"/>
      <c r="O3295" s="22"/>
      <c r="P3295" s="22"/>
      <c r="Q3295" s="23"/>
      <c r="R3295" s="23"/>
      <c r="S3295" s="14"/>
    </row>
    <row r="3296" ht="18.75" customHeight="1">
      <c r="A3296" s="7" t="s">
        <v>388</v>
      </c>
      <c r="B3296" s="7" t="s">
        <v>3884</v>
      </c>
      <c r="C3296" s="9">
        <v>2124303.0</v>
      </c>
      <c r="D3296" s="9">
        <v>0.0</v>
      </c>
      <c r="E3296" s="9">
        <v>3518.0</v>
      </c>
      <c r="F3296" s="7" t="s">
        <v>389</v>
      </c>
      <c r="G3296" s="7" t="s">
        <v>353</v>
      </c>
      <c r="H3296" s="7" t="s">
        <v>378</v>
      </c>
      <c r="I3296" s="7" t="s">
        <v>355</v>
      </c>
      <c r="J3296" s="14"/>
      <c r="O3296" s="22"/>
      <c r="P3296" s="22"/>
      <c r="Q3296" s="23"/>
      <c r="R3296" s="23"/>
      <c r="S3296" s="14"/>
    </row>
    <row r="3297" ht="18.75" customHeight="1">
      <c r="A3297" s="7" t="s">
        <v>388</v>
      </c>
      <c r="B3297" s="7" t="s">
        <v>3884</v>
      </c>
      <c r="C3297" s="9">
        <v>1819175.0</v>
      </c>
      <c r="D3297" s="9">
        <v>1579584.0</v>
      </c>
      <c r="E3297" s="9">
        <v>902.0</v>
      </c>
      <c r="F3297" s="7" t="s">
        <v>389</v>
      </c>
      <c r="G3297" s="7" t="s">
        <v>353</v>
      </c>
      <c r="H3297" s="7" t="s">
        <v>378</v>
      </c>
      <c r="I3297" s="7" t="s">
        <v>355</v>
      </c>
      <c r="J3297" s="14"/>
      <c r="O3297" s="22"/>
      <c r="P3297" s="22"/>
      <c r="Q3297" s="23"/>
      <c r="R3297" s="23"/>
      <c r="S3297" s="14"/>
    </row>
    <row r="3298" ht="18.75" customHeight="1">
      <c r="A3298" s="7" t="s">
        <v>388</v>
      </c>
      <c r="B3298" s="7" t="s">
        <v>3884</v>
      </c>
      <c r="C3298" s="9">
        <v>853627.0</v>
      </c>
      <c r="D3298" s="9">
        <v>613263.0</v>
      </c>
      <c r="E3298" s="9">
        <v>1088.0</v>
      </c>
      <c r="F3298" s="7" t="s">
        <v>389</v>
      </c>
      <c r="G3298" s="7" t="s">
        <v>353</v>
      </c>
      <c r="H3298" s="7" t="s">
        <v>378</v>
      </c>
      <c r="I3298" s="7" t="s">
        <v>355</v>
      </c>
      <c r="J3298" s="14"/>
      <c r="O3298" s="22"/>
      <c r="P3298" s="22"/>
      <c r="Q3298" s="23"/>
      <c r="R3298" s="23"/>
      <c r="S3298" s="14"/>
    </row>
    <row r="3299" ht="18.75" customHeight="1">
      <c r="A3299" s="7" t="s">
        <v>388</v>
      </c>
      <c r="B3299" s="7" t="s">
        <v>3884</v>
      </c>
      <c r="C3299" s="9">
        <v>38847.0</v>
      </c>
      <c r="D3299" s="9">
        <v>0.0</v>
      </c>
      <c r="E3299" s="9">
        <v>671.0</v>
      </c>
      <c r="F3299" s="7" t="s">
        <v>389</v>
      </c>
      <c r="G3299" s="7" t="s">
        <v>353</v>
      </c>
      <c r="H3299" s="7" t="s">
        <v>378</v>
      </c>
      <c r="I3299" s="7" t="s">
        <v>355</v>
      </c>
      <c r="J3299" s="14"/>
      <c r="O3299" s="22"/>
      <c r="P3299" s="22"/>
      <c r="Q3299" s="23"/>
      <c r="R3299" s="23"/>
      <c r="S3299" s="14"/>
    </row>
    <row r="3300" ht="18.75" customHeight="1">
      <c r="A3300" s="7" t="s">
        <v>388</v>
      </c>
      <c r="B3300" s="7" t="s">
        <v>3884</v>
      </c>
      <c r="C3300" s="9">
        <v>31686.0</v>
      </c>
      <c r="D3300" s="9">
        <v>16973.0</v>
      </c>
      <c r="E3300" s="9">
        <v>72.0</v>
      </c>
      <c r="F3300" s="7" t="s">
        <v>389</v>
      </c>
      <c r="G3300" s="7" t="s">
        <v>353</v>
      </c>
      <c r="H3300" s="7" t="s">
        <v>378</v>
      </c>
      <c r="I3300" s="7" t="s">
        <v>355</v>
      </c>
      <c r="J3300" s="14"/>
      <c r="O3300" s="22"/>
      <c r="P3300" s="22"/>
      <c r="Q3300" s="23"/>
      <c r="R3300" s="23"/>
      <c r="S3300" s="14"/>
    </row>
    <row r="3301" ht="18.75" customHeight="1">
      <c r="A3301" s="7" t="s">
        <v>388</v>
      </c>
      <c r="B3301" s="7" t="s">
        <v>3884</v>
      </c>
      <c r="C3301" s="9">
        <v>42758.0</v>
      </c>
      <c r="D3301" s="9">
        <v>0.0</v>
      </c>
      <c r="E3301" s="9">
        <v>63.0</v>
      </c>
      <c r="F3301" s="7" t="s">
        <v>389</v>
      </c>
      <c r="G3301" s="7" t="s">
        <v>353</v>
      </c>
      <c r="H3301" s="7" t="s">
        <v>378</v>
      </c>
      <c r="I3301" s="7" t="s">
        <v>355</v>
      </c>
      <c r="J3301" s="14"/>
      <c r="O3301" s="22"/>
      <c r="P3301" s="22"/>
      <c r="Q3301" s="23"/>
      <c r="R3301" s="23"/>
      <c r="S3301" s="14"/>
    </row>
    <row r="3302" ht="18.75" customHeight="1">
      <c r="A3302" s="7" t="s">
        <v>351</v>
      </c>
      <c r="B3302" s="7" t="s">
        <v>3884</v>
      </c>
      <c r="C3302" s="9">
        <v>775286.0</v>
      </c>
      <c r="D3302" s="9">
        <v>0.0</v>
      </c>
      <c r="E3302" s="9">
        <v>761.0</v>
      </c>
      <c r="F3302" s="7" t="s">
        <v>352</v>
      </c>
      <c r="G3302" s="7" t="s">
        <v>353</v>
      </c>
      <c r="H3302" s="7" t="s">
        <v>354</v>
      </c>
      <c r="I3302" s="7" t="s">
        <v>410</v>
      </c>
      <c r="J3302" s="14"/>
      <c r="O3302" s="22"/>
      <c r="P3302" s="22"/>
      <c r="Q3302" s="23"/>
      <c r="R3302" s="23"/>
      <c r="S3302" s="14"/>
    </row>
    <row r="3303" ht="18.75" customHeight="1">
      <c r="A3303" s="7" t="s">
        <v>351</v>
      </c>
      <c r="B3303" s="7" t="s">
        <v>3884</v>
      </c>
      <c r="C3303" s="9">
        <v>914416.0</v>
      </c>
      <c r="D3303" s="9">
        <v>0.0</v>
      </c>
      <c r="E3303" s="9">
        <v>927.0</v>
      </c>
      <c r="F3303" s="7" t="s">
        <v>352</v>
      </c>
      <c r="G3303" s="7" t="s">
        <v>353</v>
      </c>
      <c r="H3303" s="7" t="s">
        <v>354</v>
      </c>
      <c r="I3303" s="7" t="s">
        <v>410</v>
      </c>
      <c r="J3303" s="14"/>
      <c r="O3303" s="22"/>
      <c r="P3303" s="22"/>
      <c r="Q3303" s="23"/>
      <c r="R3303" s="23"/>
      <c r="S3303" s="14"/>
    </row>
    <row r="3304" ht="18.75" customHeight="1">
      <c r="A3304" s="7" t="s">
        <v>351</v>
      </c>
      <c r="B3304" s="7" t="s">
        <v>3884</v>
      </c>
      <c r="C3304" s="9">
        <v>107261.0</v>
      </c>
      <c r="D3304" s="9">
        <v>0.0</v>
      </c>
      <c r="E3304" s="9">
        <v>11798.0</v>
      </c>
      <c r="F3304" s="7" t="s">
        <v>352</v>
      </c>
      <c r="G3304" s="7" t="s">
        <v>353</v>
      </c>
      <c r="H3304" s="7" t="s">
        <v>354</v>
      </c>
      <c r="I3304" s="7" t="s">
        <v>410</v>
      </c>
      <c r="J3304" s="14"/>
      <c r="O3304" s="22"/>
      <c r="P3304" s="22"/>
      <c r="Q3304" s="23"/>
      <c r="R3304" s="23"/>
      <c r="S3304" s="14"/>
    </row>
    <row r="3305" ht="18.75" customHeight="1">
      <c r="A3305" s="7" t="s">
        <v>351</v>
      </c>
      <c r="B3305" s="7" t="s">
        <v>3884</v>
      </c>
      <c r="C3305" s="9">
        <v>114360.0</v>
      </c>
      <c r="D3305" s="9">
        <v>0.0</v>
      </c>
      <c r="E3305" s="9">
        <v>9760.0</v>
      </c>
      <c r="F3305" s="7" t="s">
        <v>352</v>
      </c>
      <c r="G3305" s="7" t="s">
        <v>353</v>
      </c>
      <c r="H3305" s="7" t="s">
        <v>354</v>
      </c>
      <c r="I3305" s="7" t="s">
        <v>410</v>
      </c>
      <c r="J3305" s="14"/>
      <c r="O3305" s="22"/>
      <c r="P3305" s="22"/>
      <c r="Q3305" s="23"/>
      <c r="R3305" s="23"/>
      <c r="S3305" s="14"/>
    </row>
    <row r="3306" ht="18.75" customHeight="1">
      <c r="A3306" s="7" t="s">
        <v>351</v>
      </c>
      <c r="B3306" s="7" t="s">
        <v>3884</v>
      </c>
      <c r="C3306" s="9">
        <v>515663.0</v>
      </c>
      <c r="D3306" s="9">
        <v>414355.0</v>
      </c>
      <c r="E3306" s="9">
        <v>193.0</v>
      </c>
      <c r="F3306" s="7" t="s">
        <v>352</v>
      </c>
      <c r="G3306" s="7" t="s">
        <v>353</v>
      </c>
      <c r="H3306" s="7" t="s">
        <v>354</v>
      </c>
      <c r="I3306" s="7" t="s">
        <v>410</v>
      </c>
      <c r="J3306" s="14"/>
      <c r="O3306" s="22"/>
      <c r="P3306" s="22"/>
      <c r="Q3306" s="23"/>
      <c r="R3306" s="23"/>
      <c r="S3306" s="14"/>
    </row>
    <row r="3307" ht="18.75" customHeight="1">
      <c r="A3307" s="7" t="s">
        <v>351</v>
      </c>
      <c r="B3307" s="7" t="s">
        <v>3884</v>
      </c>
      <c r="C3307" s="9">
        <v>496107.0</v>
      </c>
      <c r="D3307" s="9">
        <v>393294.0</v>
      </c>
      <c r="E3307" s="9">
        <v>232.0</v>
      </c>
      <c r="F3307" s="7" t="s">
        <v>352</v>
      </c>
      <c r="G3307" s="7" t="s">
        <v>353</v>
      </c>
      <c r="H3307" s="7" t="s">
        <v>354</v>
      </c>
      <c r="I3307" s="7" t="s">
        <v>410</v>
      </c>
      <c r="J3307" s="14"/>
      <c r="O3307" s="22"/>
      <c r="P3307" s="22"/>
      <c r="Q3307" s="23"/>
      <c r="R3307" s="23"/>
      <c r="S3307" s="14"/>
    </row>
    <row r="3308" ht="18.75" customHeight="1">
      <c r="A3308" s="7" t="s">
        <v>351</v>
      </c>
      <c r="B3308" s="7" t="s">
        <v>3884</v>
      </c>
      <c r="C3308" s="9">
        <v>260707.0</v>
      </c>
      <c r="D3308" s="9">
        <v>169427.0</v>
      </c>
      <c r="E3308" s="9">
        <v>11197.0</v>
      </c>
      <c r="F3308" s="7" t="s">
        <v>352</v>
      </c>
      <c r="G3308" s="7" t="s">
        <v>353</v>
      </c>
      <c r="H3308" s="7" t="s">
        <v>354</v>
      </c>
      <c r="I3308" s="7" t="s">
        <v>410</v>
      </c>
      <c r="J3308" s="14"/>
      <c r="O3308" s="22"/>
      <c r="P3308" s="22"/>
      <c r="Q3308" s="23"/>
      <c r="R3308" s="23"/>
      <c r="S3308" s="14"/>
    </row>
    <row r="3309" ht="18.75" customHeight="1">
      <c r="A3309" s="7" t="s">
        <v>351</v>
      </c>
      <c r="B3309" s="7" t="s">
        <v>3884</v>
      </c>
      <c r="C3309" s="9">
        <v>256941.0</v>
      </c>
      <c r="D3309" s="9">
        <v>133130.0</v>
      </c>
      <c r="E3309" s="9">
        <v>17054.0</v>
      </c>
      <c r="F3309" s="7" t="s">
        <v>352</v>
      </c>
      <c r="G3309" s="7" t="s">
        <v>353</v>
      </c>
      <c r="H3309" s="7" t="s">
        <v>354</v>
      </c>
      <c r="I3309" s="7" t="s">
        <v>410</v>
      </c>
      <c r="J3309" s="14"/>
      <c r="O3309" s="22"/>
      <c r="P3309" s="22"/>
      <c r="Q3309" s="23"/>
      <c r="R3309" s="23"/>
      <c r="S3309" s="14"/>
    </row>
    <row r="3310" ht="18.75" customHeight="1">
      <c r="A3310" s="7" t="s">
        <v>351</v>
      </c>
      <c r="B3310" s="7" t="s">
        <v>3884</v>
      </c>
      <c r="C3310" s="9">
        <v>13193.0</v>
      </c>
      <c r="D3310" s="9">
        <v>12580.0</v>
      </c>
      <c r="E3310" s="9">
        <v>0.0</v>
      </c>
      <c r="F3310" s="7" t="s">
        <v>352</v>
      </c>
      <c r="G3310" s="7" t="s">
        <v>353</v>
      </c>
      <c r="H3310" s="7" t="s">
        <v>354</v>
      </c>
      <c r="I3310" s="7" t="s">
        <v>410</v>
      </c>
      <c r="J3310" s="14"/>
      <c r="O3310" s="22"/>
      <c r="P3310" s="22"/>
      <c r="Q3310" s="23"/>
      <c r="R3310" s="23"/>
      <c r="S3310" s="14"/>
    </row>
    <row r="3311" ht="18.75" customHeight="1">
      <c r="A3311" s="7" t="s">
        <v>351</v>
      </c>
      <c r="B3311" s="7" t="s">
        <v>3884</v>
      </c>
      <c r="C3311" s="9">
        <v>0.0</v>
      </c>
      <c r="D3311" s="9">
        <v>0.0</v>
      </c>
      <c r="E3311" s="9">
        <v>0.0</v>
      </c>
      <c r="F3311" s="7" t="s">
        <v>352</v>
      </c>
      <c r="G3311" s="7" t="s">
        <v>353</v>
      </c>
      <c r="H3311" s="7" t="s">
        <v>354</v>
      </c>
      <c r="I3311" s="7" t="s">
        <v>410</v>
      </c>
      <c r="J3311" s="14"/>
      <c r="O3311" s="22"/>
      <c r="P3311" s="22"/>
      <c r="Q3311" s="23"/>
      <c r="R3311" s="23"/>
      <c r="S3311" s="14"/>
    </row>
    <row r="3312" ht="18.75" customHeight="1">
      <c r="A3312" s="7" t="s">
        <v>351</v>
      </c>
      <c r="B3312" s="7" t="s">
        <v>3884</v>
      </c>
      <c r="C3312" s="9">
        <v>0.0</v>
      </c>
      <c r="D3312" s="9">
        <v>0.0</v>
      </c>
      <c r="E3312" s="9">
        <v>0.0</v>
      </c>
      <c r="F3312" s="7" t="s">
        <v>352</v>
      </c>
      <c r="G3312" s="7" t="s">
        <v>353</v>
      </c>
      <c r="H3312" s="7" t="s">
        <v>354</v>
      </c>
      <c r="I3312" s="7" t="s">
        <v>410</v>
      </c>
      <c r="J3312" s="14"/>
      <c r="O3312" s="22"/>
      <c r="P3312" s="22"/>
      <c r="Q3312" s="23"/>
      <c r="R3312" s="23"/>
      <c r="S3312" s="14"/>
    </row>
    <row r="3313" ht="18.75" customHeight="1">
      <c r="A3313" s="7" t="s">
        <v>497</v>
      </c>
      <c r="B3313" s="7" t="s">
        <v>3884</v>
      </c>
      <c r="C3313" s="9">
        <v>2444927.0</v>
      </c>
      <c r="D3313" s="9">
        <v>0.0</v>
      </c>
      <c r="E3313" s="9">
        <v>1852.0</v>
      </c>
      <c r="F3313" s="7" t="s">
        <v>498</v>
      </c>
      <c r="G3313" s="7" t="s">
        <v>404</v>
      </c>
      <c r="H3313" s="7" t="s">
        <v>405</v>
      </c>
      <c r="I3313" s="7" t="s">
        <v>355</v>
      </c>
      <c r="J3313" s="14"/>
      <c r="O3313" s="22"/>
      <c r="P3313" s="22"/>
      <c r="Q3313" s="23"/>
      <c r="R3313" s="23"/>
      <c r="S3313" s="14"/>
    </row>
    <row r="3314" ht="18.75" customHeight="1">
      <c r="A3314" s="7" t="s">
        <v>497</v>
      </c>
      <c r="B3314" s="7" t="s">
        <v>3884</v>
      </c>
      <c r="C3314" s="9">
        <v>1762427.0</v>
      </c>
      <c r="D3314" s="9">
        <v>0.0</v>
      </c>
      <c r="E3314" s="9">
        <v>1508.0</v>
      </c>
      <c r="F3314" s="7" t="s">
        <v>498</v>
      </c>
      <c r="G3314" s="7" t="s">
        <v>404</v>
      </c>
      <c r="H3314" s="7" t="s">
        <v>405</v>
      </c>
      <c r="I3314" s="7" t="s">
        <v>355</v>
      </c>
      <c r="J3314" s="14"/>
      <c r="O3314" s="22"/>
      <c r="P3314" s="22"/>
      <c r="Q3314" s="23"/>
      <c r="R3314" s="23"/>
      <c r="S3314" s="14"/>
    </row>
    <row r="3315" ht="18.75" customHeight="1">
      <c r="A3315" s="7" t="s">
        <v>497</v>
      </c>
      <c r="B3315" s="7" t="s">
        <v>3884</v>
      </c>
      <c r="C3315" s="9">
        <v>1122241.0</v>
      </c>
      <c r="D3315" s="9">
        <v>886755.0</v>
      </c>
      <c r="E3315" s="9">
        <v>614.0</v>
      </c>
      <c r="F3315" s="7" t="s">
        <v>498</v>
      </c>
      <c r="G3315" s="7" t="s">
        <v>404</v>
      </c>
      <c r="H3315" s="7" t="s">
        <v>405</v>
      </c>
      <c r="I3315" s="7" t="s">
        <v>355</v>
      </c>
      <c r="J3315" s="14"/>
      <c r="O3315" s="22"/>
      <c r="P3315" s="22"/>
      <c r="Q3315" s="23"/>
      <c r="R3315" s="23"/>
      <c r="S3315" s="14"/>
    </row>
    <row r="3316" ht="18.75" customHeight="1">
      <c r="A3316" s="7" t="s">
        <v>497</v>
      </c>
      <c r="B3316" s="7" t="s">
        <v>3884</v>
      </c>
      <c r="C3316" s="9">
        <v>892740.0</v>
      </c>
      <c r="D3316" s="9">
        <v>694499.0</v>
      </c>
      <c r="E3316" s="9">
        <v>347.0</v>
      </c>
      <c r="F3316" s="7" t="s">
        <v>498</v>
      </c>
      <c r="G3316" s="7" t="s">
        <v>404</v>
      </c>
      <c r="H3316" s="7" t="s">
        <v>405</v>
      </c>
      <c r="I3316" s="7" t="s">
        <v>355</v>
      </c>
      <c r="J3316" s="14"/>
      <c r="O3316" s="22"/>
      <c r="P3316" s="22"/>
      <c r="Q3316" s="23"/>
      <c r="R3316" s="23"/>
      <c r="S3316" s="14"/>
    </row>
    <row r="3317" ht="18.75" customHeight="1">
      <c r="A3317" s="7" t="s">
        <v>497</v>
      </c>
      <c r="B3317" s="7" t="s">
        <v>3884</v>
      </c>
      <c r="C3317" s="9">
        <v>29549.0</v>
      </c>
      <c r="D3317" s="9">
        <v>0.0</v>
      </c>
      <c r="E3317" s="9">
        <v>2139.0</v>
      </c>
      <c r="F3317" s="7" t="s">
        <v>498</v>
      </c>
      <c r="G3317" s="7" t="s">
        <v>404</v>
      </c>
      <c r="H3317" s="7" t="s">
        <v>405</v>
      </c>
      <c r="I3317" s="7" t="s">
        <v>355</v>
      </c>
      <c r="J3317" s="14"/>
      <c r="O3317" s="22"/>
      <c r="P3317" s="22"/>
      <c r="Q3317" s="23"/>
      <c r="R3317" s="23"/>
      <c r="S3317" s="14"/>
    </row>
    <row r="3318" ht="18.75" customHeight="1">
      <c r="A3318" s="7" t="s">
        <v>497</v>
      </c>
      <c r="B3318" s="7" t="s">
        <v>3884</v>
      </c>
      <c r="C3318" s="9">
        <v>25628.0</v>
      </c>
      <c r="D3318" s="9">
        <v>23682.0</v>
      </c>
      <c r="E3318" s="9">
        <v>28.0</v>
      </c>
      <c r="F3318" s="7" t="s">
        <v>498</v>
      </c>
      <c r="G3318" s="7" t="s">
        <v>404</v>
      </c>
      <c r="H3318" s="7" t="s">
        <v>405</v>
      </c>
      <c r="I3318" s="7" t="s">
        <v>355</v>
      </c>
      <c r="J3318" s="14"/>
      <c r="O3318" s="22"/>
      <c r="P3318" s="22"/>
      <c r="Q3318" s="23"/>
      <c r="R3318" s="23"/>
      <c r="S3318" s="14"/>
    </row>
    <row r="3319" ht="18.75" customHeight="1">
      <c r="A3319" s="7" t="s">
        <v>497</v>
      </c>
      <c r="B3319" s="7" t="s">
        <v>3884</v>
      </c>
      <c r="C3319" s="9">
        <v>49149.0</v>
      </c>
      <c r="D3319" s="9">
        <v>0.0</v>
      </c>
      <c r="E3319" s="9">
        <v>107.0</v>
      </c>
      <c r="F3319" s="7" t="s">
        <v>498</v>
      </c>
      <c r="G3319" s="7" t="s">
        <v>404</v>
      </c>
      <c r="H3319" s="7" t="s">
        <v>405</v>
      </c>
      <c r="I3319" s="7" t="s">
        <v>355</v>
      </c>
      <c r="J3319" s="14"/>
      <c r="O3319" s="22"/>
      <c r="P3319" s="22"/>
      <c r="Q3319" s="23"/>
      <c r="R3319" s="23"/>
      <c r="S3319" s="14"/>
    </row>
    <row r="3320" ht="18.75" customHeight="1">
      <c r="A3320" s="7" t="s">
        <v>431</v>
      </c>
      <c r="B3320" s="7" t="s">
        <v>3884</v>
      </c>
      <c r="C3320" s="9">
        <v>3045953.0</v>
      </c>
      <c r="D3320" s="9">
        <v>0.0</v>
      </c>
      <c r="E3320" s="9">
        <v>3172.0</v>
      </c>
      <c r="F3320" s="7" t="s">
        <v>432</v>
      </c>
      <c r="G3320" s="7" t="s">
        <v>404</v>
      </c>
      <c r="H3320" s="7" t="s">
        <v>405</v>
      </c>
      <c r="I3320" s="7" t="s">
        <v>355</v>
      </c>
      <c r="J3320" s="14"/>
      <c r="O3320" s="22"/>
      <c r="P3320" s="22"/>
      <c r="Q3320" s="23"/>
      <c r="R3320" s="23"/>
      <c r="S3320" s="14"/>
    </row>
    <row r="3321" ht="18.75" customHeight="1">
      <c r="A3321" s="7" t="s">
        <v>431</v>
      </c>
      <c r="B3321" s="7" t="s">
        <v>3884</v>
      </c>
      <c r="C3321" s="9">
        <v>2204081.0</v>
      </c>
      <c r="D3321" s="9">
        <v>0.0</v>
      </c>
      <c r="E3321" s="9">
        <v>2140.0</v>
      </c>
      <c r="F3321" s="7" t="s">
        <v>432</v>
      </c>
      <c r="G3321" s="7" t="s">
        <v>404</v>
      </c>
      <c r="H3321" s="7" t="s">
        <v>405</v>
      </c>
      <c r="I3321" s="7" t="s">
        <v>355</v>
      </c>
      <c r="J3321" s="14"/>
      <c r="O3321" s="22"/>
      <c r="P3321" s="22"/>
      <c r="Q3321" s="23"/>
      <c r="R3321" s="23"/>
      <c r="S3321" s="14"/>
    </row>
    <row r="3322" ht="18.75" customHeight="1">
      <c r="A3322" s="7" t="s">
        <v>431</v>
      </c>
      <c r="B3322" s="7" t="s">
        <v>3884</v>
      </c>
      <c r="C3322" s="9">
        <v>2310002.0</v>
      </c>
      <c r="D3322" s="9">
        <v>1649341.0</v>
      </c>
      <c r="E3322" s="9">
        <v>1390.0</v>
      </c>
      <c r="F3322" s="7" t="s">
        <v>432</v>
      </c>
      <c r="G3322" s="7" t="s">
        <v>404</v>
      </c>
      <c r="H3322" s="7" t="s">
        <v>405</v>
      </c>
      <c r="I3322" s="7" t="s">
        <v>355</v>
      </c>
      <c r="J3322" s="14"/>
      <c r="O3322" s="22"/>
      <c r="P3322" s="22"/>
      <c r="Q3322" s="23"/>
      <c r="R3322" s="23"/>
      <c r="S3322" s="14"/>
    </row>
    <row r="3323" ht="18.75" customHeight="1">
      <c r="A3323" s="7" t="s">
        <v>431</v>
      </c>
      <c r="B3323" s="7" t="s">
        <v>3884</v>
      </c>
      <c r="C3323" s="9">
        <v>1833057.0</v>
      </c>
      <c r="D3323" s="9">
        <v>1422121.0</v>
      </c>
      <c r="E3323" s="9">
        <v>722.0</v>
      </c>
      <c r="F3323" s="7" t="s">
        <v>432</v>
      </c>
      <c r="G3323" s="7" t="s">
        <v>404</v>
      </c>
      <c r="H3323" s="7" t="s">
        <v>405</v>
      </c>
      <c r="I3323" s="7" t="s">
        <v>355</v>
      </c>
      <c r="J3323" s="14"/>
      <c r="O3323" s="22"/>
      <c r="P3323" s="22"/>
      <c r="Q3323" s="23"/>
      <c r="R3323" s="23"/>
      <c r="S3323" s="14"/>
    </row>
    <row r="3324" ht="18.75" customHeight="1">
      <c r="A3324" s="7" t="s">
        <v>437</v>
      </c>
      <c r="B3324" s="7" t="s">
        <v>3884</v>
      </c>
      <c r="C3324" s="9">
        <v>3285210.0</v>
      </c>
      <c r="D3324" s="9">
        <v>2390236.0</v>
      </c>
      <c r="E3324" s="9">
        <v>2001.0</v>
      </c>
      <c r="F3324" s="7" t="s">
        <v>438</v>
      </c>
      <c r="G3324" s="7" t="s">
        <v>404</v>
      </c>
      <c r="H3324" s="7" t="s">
        <v>405</v>
      </c>
      <c r="I3324" s="7" t="s">
        <v>355</v>
      </c>
      <c r="J3324" s="14"/>
      <c r="O3324" s="22"/>
      <c r="P3324" s="22"/>
      <c r="Q3324" s="23"/>
      <c r="R3324" s="23"/>
      <c r="S3324" s="14"/>
    </row>
    <row r="3325" ht="18.75" customHeight="1">
      <c r="A3325" s="7" t="s">
        <v>437</v>
      </c>
      <c r="B3325" s="7" t="s">
        <v>3884</v>
      </c>
      <c r="C3325" s="9">
        <v>4368354.0</v>
      </c>
      <c r="D3325" s="9">
        <v>0.0</v>
      </c>
      <c r="E3325" s="9">
        <v>4388.0</v>
      </c>
      <c r="F3325" s="7" t="s">
        <v>438</v>
      </c>
      <c r="G3325" s="7" t="s">
        <v>404</v>
      </c>
      <c r="H3325" s="7" t="s">
        <v>405</v>
      </c>
      <c r="I3325" s="7" t="s">
        <v>355</v>
      </c>
      <c r="J3325" s="14"/>
      <c r="O3325" s="22"/>
      <c r="P3325" s="22"/>
      <c r="Q3325" s="23"/>
      <c r="R3325" s="23"/>
      <c r="S3325" s="14"/>
    </row>
    <row r="3326" ht="18.75" customHeight="1">
      <c r="A3326" s="7" t="s">
        <v>398</v>
      </c>
      <c r="B3326" s="7" t="s">
        <v>3884</v>
      </c>
      <c r="C3326" s="9">
        <v>4032280.0</v>
      </c>
      <c r="D3326" s="9">
        <v>0.0</v>
      </c>
      <c r="E3326" s="9">
        <v>4647.0</v>
      </c>
      <c r="F3326" s="7" t="s">
        <v>399</v>
      </c>
      <c r="G3326" s="7" t="s">
        <v>353</v>
      </c>
      <c r="H3326" s="7" t="s">
        <v>378</v>
      </c>
      <c r="I3326" s="7" t="s">
        <v>355</v>
      </c>
      <c r="J3326" s="14"/>
      <c r="O3326" s="22"/>
      <c r="P3326" s="22"/>
      <c r="Q3326" s="23"/>
      <c r="R3326" s="23"/>
      <c r="S3326" s="14"/>
    </row>
    <row r="3327" ht="18.75" customHeight="1">
      <c r="A3327" s="7" t="s">
        <v>400</v>
      </c>
      <c r="B3327" s="7" t="s">
        <v>3884</v>
      </c>
      <c r="C3327" s="9">
        <v>2493057.0</v>
      </c>
      <c r="D3327" s="9">
        <v>0.0</v>
      </c>
      <c r="E3327" s="9">
        <v>3898.0</v>
      </c>
      <c r="F3327" s="7" t="s">
        <v>401</v>
      </c>
      <c r="G3327" s="7" t="s">
        <v>353</v>
      </c>
      <c r="H3327" s="7" t="s">
        <v>378</v>
      </c>
      <c r="I3327" s="7" t="s">
        <v>355</v>
      </c>
      <c r="J3327" s="14"/>
      <c r="O3327" s="22"/>
      <c r="P3327" s="22"/>
      <c r="Q3327" s="23"/>
      <c r="R3327" s="23"/>
      <c r="S3327" s="14"/>
    </row>
    <row r="3328" ht="18.75" customHeight="1">
      <c r="A3328" s="7" t="s">
        <v>400</v>
      </c>
      <c r="B3328" s="7" t="s">
        <v>3884</v>
      </c>
      <c r="C3328" s="9">
        <v>2138938.0</v>
      </c>
      <c r="D3328" s="9">
        <v>1759461.0</v>
      </c>
      <c r="E3328" s="9">
        <v>877.0</v>
      </c>
      <c r="F3328" s="7" t="s">
        <v>401</v>
      </c>
      <c r="G3328" s="7" t="s">
        <v>353</v>
      </c>
      <c r="H3328" s="7" t="s">
        <v>378</v>
      </c>
      <c r="I3328" s="7" t="s">
        <v>355</v>
      </c>
      <c r="J3328" s="14"/>
      <c r="O3328" s="22"/>
      <c r="P3328" s="22"/>
      <c r="Q3328" s="23"/>
      <c r="R3328" s="23"/>
      <c r="S3328" s="14"/>
    </row>
    <row r="3329" ht="18.75" customHeight="1">
      <c r="A3329" s="7" t="s">
        <v>379</v>
      </c>
      <c r="B3329" s="7" t="s">
        <v>3884</v>
      </c>
      <c r="C3329" s="9">
        <v>1270218.0</v>
      </c>
      <c r="D3329" s="9">
        <v>0.0</v>
      </c>
      <c r="E3329" s="9">
        <v>2895.0</v>
      </c>
      <c r="F3329" s="7" t="s">
        <v>380</v>
      </c>
      <c r="G3329" s="7" t="s">
        <v>353</v>
      </c>
      <c r="H3329" s="7" t="s">
        <v>354</v>
      </c>
      <c r="I3329" s="7" t="s">
        <v>355</v>
      </c>
      <c r="J3329" s="14"/>
      <c r="O3329" s="22"/>
      <c r="P3329" s="22"/>
      <c r="Q3329" s="23"/>
      <c r="R3329" s="23"/>
      <c r="S3329" s="14"/>
    </row>
    <row r="3330" ht="18.75" customHeight="1">
      <c r="A3330" s="7" t="s">
        <v>408</v>
      </c>
      <c r="B3330" s="7" t="s">
        <v>3884</v>
      </c>
      <c r="C3330" s="9">
        <v>1124664.0</v>
      </c>
      <c r="D3330" s="9">
        <v>0.0</v>
      </c>
      <c r="E3330" s="9">
        <v>1319.0</v>
      </c>
      <c r="F3330" s="7" t="s">
        <v>409</v>
      </c>
      <c r="G3330" s="7" t="s">
        <v>353</v>
      </c>
      <c r="H3330" s="7" t="s">
        <v>354</v>
      </c>
      <c r="I3330" s="7" t="s">
        <v>410</v>
      </c>
      <c r="J3330" s="14"/>
      <c r="O3330" s="22"/>
      <c r="P3330" s="22"/>
      <c r="Q3330" s="23"/>
      <c r="R3330" s="23"/>
      <c r="S3330" s="14"/>
    </row>
    <row r="3331" ht="18.75" customHeight="1">
      <c r="A3331" s="7" t="s">
        <v>408</v>
      </c>
      <c r="B3331" s="7" t="s">
        <v>3884</v>
      </c>
      <c r="C3331" s="9">
        <v>100589.0</v>
      </c>
      <c r="D3331" s="9">
        <v>0.0</v>
      </c>
      <c r="E3331" s="9">
        <v>213.0</v>
      </c>
      <c r="F3331" s="7" t="s">
        <v>409</v>
      </c>
      <c r="G3331" s="7" t="s">
        <v>353</v>
      </c>
      <c r="H3331" s="7" t="s">
        <v>354</v>
      </c>
      <c r="I3331" s="7" t="s">
        <v>410</v>
      </c>
      <c r="J3331" s="14"/>
      <c r="O3331" s="22"/>
      <c r="P3331" s="22"/>
      <c r="Q3331" s="23"/>
      <c r="R3331" s="23"/>
      <c r="S3331" s="14"/>
    </row>
    <row r="3332" ht="18.75" customHeight="1">
      <c r="A3332" s="7" t="s">
        <v>408</v>
      </c>
      <c r="B3332" s="7" t="s">
        <v>3884</v>
      </c>
      <c r="C3332" s="9">
        <v>97974.0</v>
      </c>
      <c r="D3332" s="9">
        <v>65203.0</v>
      </c>
      <c r="E3332" s="9">
        <v>318.0</v>
      </c>
      <c r="F3332" s="7" t="s">
        <v>409</v>
      </c>
      <c r="G3332" s="7" t="s">
        <v>353</v>
      </c>
      <c r="H3332" s="7" t="s">
        <v>354</v>
      </c>
      <c r="I3332" s="7" t="s">
        <v>410</v>
      </c>
      <c r="J3332" s="14"/>
      <c r="O3332" s="22"/>
      <c r="P3332" s="22"/>
      <c r="Q3332" s="23"/>
      <c r="R3332" s="23"/>
      <c r="S3332" s="14"/>
    </row>
    <row r="3333" ht="18.75" customHeight="1">
      <c r="A3333" s="7" t="s">
        <v>475</v>
      </c>
      <c r="B3333" s="7" t="s">
        <v>3884</v>
      </c>
      <c r="C3333" s="9">
        <v>299593.0</v>
      </c>
      <c r="D3333" s="9">
        <v>0.0</v>
      </c>
      <c r="E3333" s="9">
        <v>658.0</v>
      </c>
      <c r="F3333" s="7" t="s">
        <v>476</v>
      </c>
      <c r="G3333" s="7" t="s">
        <v>364</v>
      </c>
      <c r="H3333" s="7" t="s">
        <v>365</v>
      </c>
      <c r="I3333" s="7" t="s">
        <v>355</v>
      </c>
      <c r="J3333" s="14"/>
      <c r="O3333" s="22"/>
      <c r="P3333" s="22"/>
      <c r="Q3333" s="23"/>
      <c r="R3333" s="23"/>
      <c r="S3333" s="14"/>
    </row>
    <row r="3334" ht="18.75" customHeight="1">
      <c r="A3334" s="7" t="s">
        <v>475</v>
      </c>
      <c r="B3334" s="7" t="s">
        <v>3884</v>
      </c>
      <c r="C3334" s="9">
        <v>251592.0</v>
      </c>
      <c r="D3334" s="9">
        <v>0.0</v>
      </c>
      <c r="E3334" s="9">
        <v>453.0</v>
      </c>
      <c r="F3334" s="7" t="s">
        <v>476</v>
      </c>
      <c r="G3334" s="7" t="s">
        <v>364</v>
      </c>
      <c r="H3334" s="7" t="s">
        <v>365</v>
      </c>
      <c r="I3334" s="7" t="s">
        <v>355</v>
      </c>
      <c r="J3334" s="14"/>
      <c r="O3334" s="22"/>
      <c r="P3334" s="22"/>
      <c r="Q3334" s="23"/>
      <c r="R3334" s="23"/>
      <c r="S3334" s="14"/>
    </row>
    <row r="3335" ht="18.75" customHeight="1">
      <c r="A3335" s="7" t="s">
        <v>511</v>
      </c>
      <c r="B3335" s="7" t="s">
        <v>3884</v>
      </c>
      <c r="C3335" s="9">
        <v>136622.0</v>
      </c>
      <c r="D3335" s="9">
        <v>95662.0</v>
      </c>
      <c r="E3335" s="9">
        <v>793.0</v>
      </c>
      <c r="F3335" s="7" t="s">
        <v>512</v>
      </c>
      <c r="G3335" s="7" t="s">
        <v>358</v>
      </c>
      <c r="H3335" s="7" t="s">
        <v>466</v>
      </c>
      <c r="I3335" s="7" t="s">
        <v>355</v>
      </c>
      <c r="J3335" s="14"/>
      <c r="O3335" s="22"/>
      <c r="P3335" s="22"/>
      <c r="Q3335" s="23"/>
      <c r="R3335" s="23"/>
      <c r="S3335" s="14"/>
    </row>
    <row r="3336" ht="18.75" customHeight="1">
      <c r="A3336" s="7" t="s">
        <v>553</v>
      </c>
      <c r="B3336" s="7" t="s">
        <v>3884</v>
      </c>
      <c r="C3336" s="9">
        <v>1392553.0</v>
      </c>
      <c r="D3336" s="9">
        <v>0.0</v>
      </c>
      <c r="E3336" s="9">
        <v>2201.0</v>
      </c>
      <c r="F3336" s="7" t="s">
        <v>554</v>
      </c>
      <c r="G3336" s="7" t="s">
        <v>364</v>
      </c>
      <c r="H3336" s="7" t="s">
        <v>365</v>
      </c>
      <c r="I3336" s="7" t="s">
        <v>355</v>
      </c>
      <c r="J3336" s="14"/>
      <c r="O3336" s="22"/>
      <c r="P3336" s="22"/>
      <c r="Q3336" s="23"/>
      <c r="R3336" s="23"/>
      <c r="S3336" s="14"/>
    </row>
    <row r="3337" ht="18.75" customHeight="1">
      <c r="A3337" s="7" t="s">
        <v>553</v>
      </c>
      <c r="B3337" s="7" t="s">
        <v>3884</v>
      </c>
      <c r="C3337" s="9">
        <v>0.0</v>
      </c>
      <c r="D3337" s="9">
        <v>0.0</v>
      </c>
      <c r="E3337" s="9">
        <v>0.0</v>
      </c>
      <c r="F3337" s="7" t="s">
        <v>554</v>
      </c>
      <c r="G3337" s="7" t="s">
        <v>364</v>
      </c>
      <c r="H3337" s="7" t="s">
        <v>365</v>
      </c>
      <c r="I3337" s="7" t="s">
        <v>355</v>
      </c>
      <c r="J3337" s="14"/>
      <c r="O3337" s="22"/>
      <c r="P3337" s="22"/>
      <c r="Q3337" s="23"/>
      <c r="R3337" s="23"/>
      <c r="S3337" s="14"/>
    </row>
    <row r="3338" ht="18.75" customHeight="1">
      <c r="A3338" s="7" t="s">
        <v>383</v>
      </c>
      <c r="B3338" s="7" t="s">
        <v>3884</v>
      </c>
      <c r="C3338" s="9">
        <v>1338122.0</v>
      </c>
      <c r="D3338" s="9">
        <v>0.0</v>
      </c>
      <c r="E3338" s="9">
        <v>1190.0</v>
      </c>
      <c r="F3338" s="7" t="s">
        <v>384</v>
      </c>
      <c r="G3338" s="7" t="s">
        <v>353</v>
      </c>
      <c r="H3338" s="7" t="s">
        <v>378</v>
      </c>
      <c r="I3338" s="7" t="s">
        <v>355</v>
      </c>
      <c r="J3338" s="14"/>
      <c r="O3338" s="22"/>
      <c r="P3338" s="22"/>
      <c r="Q3338" s="23"/>
      <c r="R3338" s="23"/>
      <c r="S3338" s="14"/>
    </row>
    <row r="3339" ht="18.75" customHeight="1">
      <c r="A3339" s="7" t="s">
        <v>383</v>
      </c>
      <c r="B3339" s="7" t="s">
        <v>3884</v>
      </c>
      <c r="C3339" s="9">
        <v>1198191.0</v>
      </c>
      <c r="D3339" s="9">
        <v>0.0</v>
      </c>
      <c r="E3339" s="9">
        <v>1528.0</v>
      </c>
      <c r="F3339" s="7" t="s">
        <v>384</v>
      </c>
      <c r="G3339" s="7" t="s">
        <v>353</v>
      </c>
      <c r="H3339" s="7" t="s">
        <v>378</v>
      </c>
      <c r="I3339" s="7" t="s">
        <v>355</v>
      </c>
      <c r="J3339" s="14"/>
      <c r="O3339" s="22"/>
      <c r="P3339" s="22"/>
      <c r="Q3339" s="23"/>
      <c r="R3339" s="23"/>
      <c r="S3339" s="14"/>
    </row>
    <row r="3340" ht="18.75" customHeight="1">
      <c r="A3340" s="7" t="s">
        <v>601</v>
      </c>
      <c r="B3340" s="7" t="s">
        <v>3884</v>
      </c>
      <c r="C3340" s="9">
        <v>0.0</v>
      </c>
      <c r="D3340" s="9">
        <v>0.0</v>
      </c>
      <c r="E3340" s="9">
        <v>0.0</v>
      </c>
      <c r="F3340" s="7" t="s">
        <v>602</v>
      </c>
      <c r="G3340" s="7" t="s">
        <v>416</v>
      </c>
      <c r="H3340" s="7" t="s">
        <v>417</v>
      </c>
      <c r="I3340" s="7" t="s">
        <v>355</v>
      </c>
      <c r="J3340" s="14"/>
      <c r="O3340" s="22"/>
      <c r="P3340" s="22"/>
      <c r="Q3340" s="23"/>
      <c r="R3340" s="23"/>
      <c r="S3340" s="14"/>
    </row>
    <row r="3341" ht="18.75" customHeight="1">
      <c r="A3341" s="7" t="s">
        <v>599</v>
      </c>
      <c r="B3341" s="7" t="s">
        <v>3884</v>
      </c>
      <c r="C3341" s="9">
        <v>276268.0</v>
      </c>
      <c r="D3341" s="9">
        <v>0.0</v>
      </c>
      <c r="E3341" s="9">
        <v>726.0</v>
      </c>
      <c r="F3341" s="7" t="s">
        <v>600</v>
      </c>
      <c r="G3341" s="7" t="s">
        <v>416</v>
      </c>
      <c r="H3341" s="7" t="s">
        <v>417</v>
      </c>
      <c r="I3341" s="7" t="s">
        <v>355</v>
      </c>
      <c r="J3341" s="14"/>
      <c r="O3341" s="22"/>
      <c r="P3341" s="22"/>
      <c r="Q3341" s="23"/>
      <c r="R3341" s="23"/>
      <c r="S3341" s="14"/>
    </row>
    <row r="3342" ht="18.75" customHeight="1">
      <c r="A3342" s="7" t="s">
        <v>392</v>
      </c>
      <c r="B3342" s="7" t="s">
        <v>3884</v>
      </c>
      <c r="C3342" s="9">
        <v>2692201.0</v>
      </c>
      <c r="D3342" s="9">
        <v>2315794.0</v>
      </c>
      <c r="E3342" s="9">
        <v>1175.0</v>
      </c>
      <c r="F3342" s="7" t="s">
        <v>393</v>
      </c>
      <c r="G3342" s="7" t="s">
        <v>353</v>
      </c>
      <c r="H3342" s="7" t="s">
        <v>378</v>
      </c>
      <c r="I3342" s="7" t="s">
        <v>355</v>
      </c>
      <c r="J3342" s="14"/>
      <c r="O3342" s="22"/>
      <c r="P3342" s="22"/>
      <c r="Q3342" s="23"/>
      <c r="R3342" s="23"/>
      <c r="S3342" s="14"/>
    </row>
    <row r="3343" ht="18.75" customHeight="1">
      <c r="A3343" s="7" t="s">
        <v>392</v>
      </c>
      <c r="B3343" s="7" t="s">
        <v>3884</v>
      </c>
      <c r="C3343" s="9">
        <v>565898.0</v>
      </c>
      <c r="D3343" s="9">
        <v>360159.0</v>
      </c>
      <c r="E3343" s="9">
        <v>872.0</v>
      </c>
      <c r="F3343" s="7" t="s">
        <v>393</v>
      </c>
      <c r="G3343" s="7" t="s">
        <v>353</v>
      </c>
      <c r="H3343" s="7" t="s">
        <v>378</v>
      </c>
      <c r="I3343" s="7" t="s">
        <v>355</v>
      </c>
      <c r="J3343" s="14"/>
      <c r="O3343" s="22"/>
      <c r="P3343" s="22"/>
      <c r="Q3343" s="23"/>
      <c r="R3343" s="23"/>
      <c r="S3343" s="14"/>
    </row>
    <row r="3344" ht="18.75" customHeight="1">
      <c r="A3344" s="7" t="s">
        <v>392</v>
      </c>
      <c r="B3344" s="7" t="s">
        <v>3884</v>
      </c>
      <c r="C3344" s="9">
        <v>191590.0</v>
      </c>
      <c r="D3344" s="9">
        <v>0.0</v>
      </c>
      <c r="E3344" s="9">
        <v>480.0</v>
      </c>
      <c r="F3344" s="7" t="s">
        <v>393</v>
      </c>
      <c r="G3344" s="7" t="s">
        <v>353</v>
      </c>
      <c r="H3344" s="7" t="s">
        <v>378</v>
      </c>
      <c r="I3344" s="7" t="s">
        <v>355</v>
      </c>
      <c r="J3344" s="14"/>
      <c r="O3344" s="22"/>
      <c r="P3344" s="22"/>
      <c r="Q3344" s="23"/>
      <c r="R3344" s="23"/>
      <c r="S3344" s="14"/>
    </row>
    <row r="3345" ht="18.75" customHeight="1">
      <c r="A3345" s="7" t="s">
        <v>392</v>
      </c>
      <c r="B3345" s="7" t="s">
        <v>3884</v>
      </c>
      <c r="C3345" s="9">
        <v>489739.0</v>
      </c>
      <c r="D3345" s="9">
        <v>0.0</v>
      </c>
      <c r="E3345" s="9">
        <v>1508.0</v>
      </c>
      <c r="F3345" s="7" t="s">
        <v>393</v>
      </c>
      <c r="G3345" s="7" t="s">
        <v>353</v>
      </c>
      <c r="H3345" s="7" t="s">
        <v>378</v>
      </c>
      <c r="I3345" s="7" t="s">
        <v>355</v>
      </c>
      <c r="J3345" s="14"/>
      <c r="O3345" s="22"/>
      <c r="P3345" s="22"/>
      <c r="Q3345" s="23"/>
      <c r="R3345" s="23"/>
      <c r="S3345" s="14"/>
    </row>
    <row r="3346" ht="18.75" customHeight="1">
      <c r="A3346" s="7" t="s">
        <v>392</v>
      </c>
      <c r="B3346" s="7" t="s">
        <v>3884</v>
      </c>
      <c r="C3346" s="9">
        <v>24774.0</v>
      </c>
      <c r="D3346" s="9">
        <v>24232.0</v>
      </c>
      <c r="E3346" s="9">
        <v>3.0</v>
      </c>
      <c r="F3346" s="7" t="s">
        <v>393</v>
      </c>
      <c r="G3346" s="7" t="s">
        <v>353</v>
      </c>
      <c r="H3346" s="7" t="s">
        <v>378</v>
      </c>
      <c r="I3346" s="7" t="s">
        <v>355</v>
      </c>
      <c r="J3346" s="14"/>
      <c r="O3346" s="22"/>
      <c r="P3346" s="22"/>
      <c r="Q3346" s="23"/>
      <c r="R3346" s="23"/>
      <c r="S3346" s="14"/>
    </row>
    <row r="3347" ht="18.75" customHeight="1">
      <c r="A3347" s="7" t="s">
        <v>394</v>
      </c>
      <c r="B3347" s="7" t="s">
        <v>3884</v>
      </c>
      <c r="C3347" s="9">
        <v>415857.0</v>
      </c>
      <c r="D3347" s="9">
        <v>282828.0</v>
      </c>
      <c r="E3347" s="9">
        <v>908.0</v>
      </c>
      <c r="F3347" s="7" t="s">
        <v>395</v>
      </c>
      <c r="G3347" s="7" t="s">
        <v>353</v>
      </c>
      <c r="H3347" s="7" t="s">
        <v>378</v>
      </c>
      <c r="I3347" s="7" t="s">
        <v>355</v>
      </c>
      <c r="J3347" s="14"/>
      <c r="O3347" s="22"/>
      <c r="P3347" s="22"/>
      <c r="Q3347" s="23"/>
      <c r="R3347" s="23"/>
      <c r="S3347" s="14"/>
    </row>
    <row r="3348" ht="18.75" customHeight="1">
      <c r="A3348" s="7" t="s">
        <v>394</v>
      </c>
      <c r="B3348" s="7" t="s">
        <v>3884</v>
      </c>
      <c r="C3348" s="9">
        <v>2868456.0</v>
      </c>
      <c r="D3348" s="9">
        <v>2289524.0</v>
      </c>
      <c r="E3348" s="9">
        <v>1084.0</v>
      </c>
      <c r="F3348" s="7" t="s">
        <v>395</v>
      </c>
      <c r="G3348" s="7" t="s">
        <v>353</v>
      </c>
      <c r="H3348" s="7" t="s">
        <v>378</v>
      </c>
      <c r="I3348" s="7" t="s">
        <v>355</v>
      </c>
      <c r="J3348" s="14"/>
      <c r="O3348" s="22"/>
      <c r="P3348" s="22"/>
      <c r="Q3348" s="23"/>
      <c r="R3348" s="23"/>
      <c r="S3348" s="14"/>
    </row>
    <row r="3349" ht="18.75" customHeight="1">
      <c r="A3349" s="7" t="s">
        <v>394</v>
      </c>
      <c r="B3349" s="7" t="s">
        <v>3884</v>
      </c>
      <c r="C3349" s="9">
        <v>202381.0</v>
      </c>
      <c r="D3349" s="9">
        <v>0.0</v>
      </c>
      <c r="E3349" s="9">
        <v>415.0</v>
      </c>
      <c r="F3349" s="7" t="s">
        <v>395</v>
      </c>
      <c r="G3349" s="7" t="s">
        <v>353</v>
      </c>
      <c r="H3349" s="7" t="s">
        <v>378</v>
      </c>
      <c r="I3349" s="7" t="s">
        <v>355</v>
      </c>
      <c r="J3349" s="14"/>
      <c r="O3349" s="22"/>
      <c r="P3349" s="22"/>
      <c r="Q3349" s="23"/>
      <c r="R3349" s="23"/>
      <c r="S3349" s="14"/>
    </row>
    <row r="3350" ht="18.75" customHeight="1">
      <c r="A3350" s="7" t="s">
        <v>394</v>
      </c>
      <c r="B3350" s="7" t="s">
        <v>3884</v>
      </c>
      <c r="C3350" s="9">
        <v>1454106.0</v>
      </c>
      <c r="D3350" s="9">
        <v>0.0</v>
      </c>
      <c r="E3350" s="9">
        <v>2462.0</v>
      </c>
      <c r="F3350" s="7" t="s">
        <v>395</v>
      </c>
      <c r="G3350" s="7" t="s">
        <v>353</v>
      </c>
      <c r="H3350" s="7" t="s">
        <v>378</v>
      </c>
      <c r="I3350" s="7" t="s">
        <v>355</v>
      </c>
      <c r="J3350" s="14"/>
      <c r="O3350" s="22"/>
      <c r="P3350" s="22"/>
      <c r="Q3350" s="23"/>
      <c r="R3350" s="23"/>
      <c r="S3350" s="14"/>
    </row>
    <row r="3351" ht="18.75" customHeight="1">
      <c r="A3351" s="7" t="s">
        <v>394</v>
      </c>
      <c r="B3351" s="7" t="s">
        <v>3884</v>
      </c>
      <c r="C3351" s="9">
        <v>39093.0</v>
      </c>
      <c r="D3351" s="9">
        <v>38366.0</v>
      </c>
      <c r="E3351" s="9">
        <v>12.0</v>
      </c>
      <c r="F3351" s="7" t="s">
        <v>395</v>
      </c>
      <c r="G3351" s="7" t="s">
        <v>353</v>
      </c>
      <c r="H3351" s="7" t="s">
        <v>378</v>
      </c>
      <c r="I3351" s="7" t="s">
        <v>355</v>
      </c>
      <c r="J3351" s="14"/>
      <c r="O3351" s="22"/>
      <c r="P3351" s="22"/>
      <c r="Q3351" s="23"/>
      <c r="R3351" s="23"/>
      <c r="S3351" s="14"/>
    </row>
    <row r="3352" ht="18.75" customHeight="1">
      <c r="A3352" s="7" t="s">
        <v>394</v>
      </c>
      <c r="B3352" s="7" t="s">
        <v>3884</v>
      </c>
      <c r="C3352" s="9">
        <v>49494.0</v>
      </c>
      <c r="D3352" s="9">
        <v>0.0</v>
      </c>
      <c r="E3352" s="9">
        <v>1011.0</v>
      </c>
      <c r="F3352" s="7" t="s">
        <v>395</v>
      </c>
      <c r="G3352" s="7" t="s">
        <v>353</v>
      </c>
      <c r="H3352" s="7" t="s">
        <v>378</v>
      </c>
      <c r="I3352" s="7" t="s">
        <v>355</v>
      </c>
      <c r="J3352" s="14"/>
      <c r="O3352" s="22"/>
      <c r="P3352" s="22"/>
      <c r="Q3352" s="23"/>
      <c r="R3352" s="23"/>
      <c r="S3352" s="14"/>
    </row>
    <row r="3353" ht="18.75" customHeight="1">
      <c r="A3353" s="7" t="s">
        <v>402</v>
      </c>
      <c r="B3353" s="7" t="s">
        <v>3884</v>
      </c>
      <c r="C3353" s="9">
        <v>3821565.0</v>
      </c>
      <c r="D3353" s="9">
        <v>1453662.0</v>
      </c>
      <c r="E3353" s="9">
        <v>2427.0</v>
      </c>
      <c r="F3353" s="7" t="s">
        <v>403</v>
      </c>
      <c r="G3353" s="7" t="s">
        <v>404</v>
      </c>
      <c r="H3353" s="7" t="s">
        <v>405</v>
      </c>
      <c r="I3353" s="7" t="s">
        <v>355</v>
      </c>
      <c r="J3353" s="14"/>
      <c r="O3353" s="22"/>
      <c r="P3353" s="22"/>
      <c r="Q3353" s="23"/>
      <c r="R3353" s="23"/>
      <c r="S3353" s="14"/>
    </row>
    <row r="3354" ht="18.75" customHeight="1">
      <c r="A3354" s="7" t="s">
        <v>402</v>
      </c>
      <c r="B3354" s="7" t="s">
        <v>3884</v>
      </c>
      <c r="C3354" s="9">
        <v>568990.0</v>
      </c>
      <c r="D3354" s="9">
        <v>179552.0</v>
      </c>
      <c r="E3354" s="9">
        <v>221382.0</v>
      </c>
      <c r="F3354" s="7" t="s">
        <v>403</v>
      </c>
      <c r="G3354" s="7" t="s">
        <v>404</v>
      </c>
      <c r="H3354" s="7" t="s">
        <v>405</v>
      </c>
      <c r="I3354" s="7" t="s">
        <v>355</v>
      </c>
      <c r="J3354" s="14"/>
      <c r="O3354" s="22"/>
      <c r="P3354" s="22"/>
      <c r="Q3354" s="23"/>
      <c r="R3354" s="23"/>
      <c r="S3354" s="14"/>
    </row>
    <row r="3355" ht="18.75" customHeight="1">
      <c r="A3355" s="7" t="s">
        <v>402</v>
      </c>
      <c r="B3355" s="7" t="s">
        <v>3884</v>
      </c>
      <c r="C3355" s="9">
        <v>5595086.0</v>
      </c>
      <c r="D3355" s="9">
        <v>0.0</v>
      </c>
      <c r="E3355" s="9">
        <v>5741.0</v>
      </c>
      <c r="F3355" s="7" t="s">
        <v>403</v>
      </c>
      <c r="G3355" s="7" t="s">
        <v>404</v>
      </c>
      <c r="H3355" s="7" t="s">
        <v>405</v>
      </c>
      <c r="I3355" s="7" t="s">
        <v>355</v>
      </c>
      <c r="J3355" s="14"/>
      <c r="O3355" s="22"/>
      <c r="P3355" s="22"/>
      <c r="Q3355" s="23"/>
      <c r="R3355" s="23"/>
      <c r="S3355" s="14"/>
    </row>
    <row r="3356" ht="18.75" customHeight="1">
      <c r="A3356" s="7" t="s">
        <v>402</v>
      </c>
      <c r="B3356" s="7" t="s">
        <v>3884</v>
      </c>
      <c r="C3356" s="9">
        <v>901504.0</v>
      </c>
      <c r="D3356" s="9">
        <v>0.0</v>
      </c>
      <c r="E3356" s="9">
        <v>71303.0</v>
      </c>
      <c r="F3356" s="7" t="s">
        <v>403</v>
      </c>
      <c r="G3356" s="7" t="s">
        <v>404</v>
      </c>
      <c r="H3356" s="7" t="s">
        <v>405</v>
      </c>
      <c r="I3356" s="7" t="s">
        <v>355</v>
      </c>
      <c r="J3356" s="14"/>
      <c r="O3356" s="22"/>
      <c r="P3356" s="22"/>
      <c r="Q3356" s="23"/>
      <c r="R3356" s="23"/>
      <c r="S3356" s="14"/>
    </row>
    <row r="3357" ht="18.75" customHeight="1">
      <c r="A3357" s="7" t="s">
        <v>402</v>
      </c>
      <c r="B3357" s="7" t="s">
        <v>3884</v>
      </c>
      <c r="C3357" s="9">
        <v>90347.0</v>
      </c>
      <c r="D3357" s="9">
        <v>0.0</v>
      </c>
      <c r="E3357" s="9">
        <v>2295.0</v>
      </c>
      <c r="F3357" s="7" t="s">
        <v>403</v>
      </c>
      <c r="G3357" s="7" t="s">
        <v>404</v>
      </c>
      <c r="H3357" s="7" t="s">
        <v>405</v>
      </c>
      <c r="I3357" s="7" t="s">
        <v>355</v>
      </c>
      <c r="J3357" s="14"/>
      <c r="O3357" s="22"/>
      <c r="P3357" s="22"/>
      <c r="Q3357" s="23"/>
      <c r="R3357" s="23"/>
      <c r="S3357" s="14"/>
    </row>
    <row r="3358" ht="18.75" customHeight="1">
      <c r="A3358" s="7" t="s">
        <v>402</v>
      </c>
      <c r="B3358" s="7" t="s">
        <v>3884</v>
      </c>
      <c r="C3358" s="9">
        <v>65498.0</v>
      </c>
      <c r="D3358" s="9">
        <v>0.0</v>
      </c>
      <c r="E3358" s="9">
        <v>2460.0</v>
      </c>
      <c r="F3358" s="7" t="s">
        <v>403</v>
      </c>
      <c r="G3358" s="7" t="s">
        <v>404</v>
      </c>
      <c r="H3358" s="7" t="s">
        <v>405</v>
      </c>
      <c r="I3358" s="7" t="s">
        <v>355</v>
      </c>
      <c r="J3358" s="14"/>
      <c r="O3358" s="22"/>
      <c r="P3358" s="22"/>
      <c r="Q3358" s="23"/>
      <c r="R3358" s="23"/>
      <c r="S3358" s="14"/>
    </row>
    <row r="3359" ht="18.75" customHeight="1">
      <c r="A3359" s="7" t="s">
        <v>402</v>
      </c>
      <c r="B3359" s="7" t="s">
        <v>3884</v>
      </c>
      <c r="C3359" s="9">
        <v>112933.0</v>
      </c>
      <c r="D3359" s="9">
        <v>0.0</v>
      </c>
      <c r="E3359" s="9">
        <v>215.0</v>
      </c>
      <c r="F3359" s="7" t="s">
        <v>403</v>
      </c>
      <c r="G3359" s="7" t="s">
        <v>404</v>
      </c>
      <c r="H3359" s="7" t="s">
        <v>405</v>
      </c>
      <c r="I3359" s="7" t="s">
        <v>355</v>
      </c>
      <c r="J3359" s="14"/>
      <c r="O3359" s="22"/>
      <c r="P3359" s="22"/>
      <c r="Q3359" s="23"/>
      <c r="R3359" s="23"/>
      <c r="S3359" s="14"/>
    </row>
    <row r="3360" ht="18.75" customHeight="1">
      <c r="A3360" s="7" t="s">
        <v>402</v>
      </c>
      <c r="B3360" s="7" t="s">
        <v>3884</v>
      </c>
      <c r="C3360" s="9">
        <v>90629.0</v>
      </c>
      <c r="D3360" s="9">
        <v>88663.0</v>
      </c>
      <c r="E3360" s="9">
        <v>9.0</v>
      </c>
      <c r="F3360" s="7" t="s">
        <v>403</v>
      </c>
      <c r="G3360" s="7" t="s">
        <v>404</v>
      </c>
      <c r="H3360" s="7" t="s">
        <v>405</v>
      </c>
      <c r="I3360" s="7" t="s">
        <v>355</v>
      </c>
      <c r="J3360" s="14"/>
      <c r="O3360" s="22"/>
      <c r="P3360" s="22"/>
      <c r="Q3360" s="23"/>
      <c r="R3360" s="23"/>
      <c r="S3360" s="14"/>
    </row>
    <row r="3361" ht="18.75" customHeight="1">
      <c r="A3361" s="7" t="s">
        <v>402</v>
      </c>
      <c r="B3361" s="7" t="s">
        <v>3884</v>
      </c>
      <c r="C3361" s="9">
        <v>0.0</v>
      </c>
      <c r="D3361" s="9">
        <v>0.0</v>
      </c>
      <c r="E3361" s="9">
        <v>0.0</v>
      </c>
      <c r="F3361" s="7" t="s">
        <v>403</v>
      </c>
      <c r="G3361" s="7" t="s">
        <v>404</v>
      </c>
      <c r="H3361" s="7" t="s">
        <v>405</v>
      </c>
      <c r="I3361" s="7" t="s">
        <v>355</v>
      </c>
      <c r="J3361" s="14"/>
      <c r="O3361" s="22"/>
      <c r="P3361" s="22"/>
      <c r="Q3361" s="23"/>
      <c r="R3361" s="23"/>
      <c r="S3361" s="14"/>
    </row>
    <row r="3362" ht="18.75" customHeight="1">
      <c r="A3362" s="7" t="s">
        <v>402</v>
      </c>
      <c r="B3362" s="7" t="s">
        <v>3884</v>
      </c>
      <c r="C3362" s="9">
        <v>0.0</v>
      </c>
      <c r="D3362" s="9">
        <v>0.0</v>
      </c>
      <c r="E3362" s="9">
        <v>0.0</v>
      </c>
      <c r="F3362" s="7" t="s">
        <v>403</v>
      </c>
      <c r="G3362" s="7" t="s">
        <v>404</v>
      </c>
      <c r="H3362" s="7" t="s">
        <v>405</v>
      </c>
      <c r="I3362" s="7" t="s">
        <v>355</v>
      </c>
      <c r="J3362" s="14"/>
      <c r="O3362" s="22"/>
      <c r="P3362" s="22"/>
      <c r="Q3362" s="23"/>
      <c r="R3362" s="23"/>
      <c r="S3362" s="14"/>
    </row>
    <row r="3363" ht="18.75" customHeight="1">
      <c r="A3363" s="7" t="s">
        <v>402</v>
      </c>
      <c r="B3363" s="7" t="s">
        <v>3884</v>
      </c>
      <c r="C3363" s="9">
        <v>454460.0</v>
      </c>
      <c r="D3363" s="9">
        <v>0.0</v>
      </c>
      <c r="E3363" s="9">
        <v>229.0</v>
      </c>
      <c r="F3363" s="7" t="s">
        <v>403</v>
      </c>
      <c r="G3363" s="7" t="s">
        <v>404</v>
      </c>
      <c r="H3363" s="7" t="s">
        <v>405</v>
      </c>
      <c r="I3363" s="7" t="s">
        <v>355</v>
      </c>
      <c r="J3363" s="14"/>
      <c r="O3363" s="22"/>
      <c r="P3363" s="22"/>
      <c r="Q3363" s="23"/>
      <c r="R3363" s="23"/>
      <c r="S3363" s="14"/>
    </row>
    <row r="3364" ht="18.75" customHeight="1">
      <c r="A3364" s="7" t="s">
        <v>469</v>
      </c>
      <c r="B3364" s="7" t="s">
        <v>3884</v>
      </c>
      <c r="C3364" s="9">
        <v>3181905.0</v>
      </c>
      <c r="D3364" s="9">
        <v>0.0</v>
      </c>
      <c r="E3364" s="9">
        <v>2942.0</v>
      </c>
      <c r="F3364" s="7" t="s">
        <v>470</v>
      </c>
      <c r="G3364" s="7" t="s">
        <v>404</v>
      </c>
      <c r="H3364" s="7" t="s">
        <v>405</v>
      </c>
      <c r="I3364" s="7" t="s">
        <v>355</v>
      </c>
      <c r="J3364" s="14"/>
      <c r="O3364" s="22"/>
      <c r="P3364" s="22"/>
      <c r="Q3364" s="23"/>
      <c r="R3364" s="23"/>
      <c r="S3364" s="14"/>
    </row>
    <row r="3365" ht="18.75" customHeight="1">
      <c r="A3365" s="7" t="s">
        <v>469</v>
      </c>
      <c r="B3365" s="7" t="s">
        <v>3884</v>
      </c>
      <c r="C3365" s="9">
        <v>2337785.0</v>
      </c>
      <c r="D3365" s="9">
        <v>0.0</v>
      </c>
      <c r="E3365" s="9">
        <v>2571.0</v>
      </c>
      <c r="F3365" s="7" t="s">
        <v>470</v>
      </c>
      <c r="G3365" s="7" t="s">
        <v>404</v>
      </c>
      <c r="H3365" s="7" t="s">
        <v>405</v>
      </c>
      <c r="I3365" s="7" t="s">
        <v>355</v>
      </c>
      <c r="J3365" s="14"/>
      <c r="O3365" s="22"/>
      <c r="P3365" s="22"/>
      <c r="Q3365" s="23"/>
      <c r="R3365" s="23"/>
      <c r="S3365" s="14"/>
    </row>
    <row r="3366" ht="18.75" customHeight="1">
      <c r="A3366" s="7" t="s">
        <v>435</v>
      </c>
      <c r="B3366" s="7" t="s">
        <v>3884</v>
      </c>
      <c r="C3366" s="9">
        <v>3273384.0</v>
      </c>
      <c r="D3366" s="9">
        <v>0.0</v>
      </c>
      <c r="E3366" s="9">
        <v>4261.0</v>
      </c>
      <c r="F3366" s="7" t="s">
        <v>436</v>
      </c>
      <c r="G3366" s="7" t="s">
        <v>404</v>
      </c>
      <c r="H3366" s="7" t="s">
        <v>405</v>
      </c>
      <c r="I3366" s="7" t="s">
        <v>355</v>
      </c>
      <c r="J3366" s="14"/>
      <c r="O3366" s="22"/>
      <c r="P3366" s="22"/>
      <c r="Q3366" s="23"/>
      <c r="R3366" s="23"/>
      <c r="S3366" s="14"/>
    </row>
    <row r="3367" ht="18.75" customHeight="1">
      <c r="A3367" s="7" t="s">
        <v>435</v>
      </c>
      <c r="B3367" s="7" t="s">
        <v>3884</v>
      </c>
      <c r="C3367" s="9">
        <v>0.0</v>
      </c>
      <c r="D3367" s="9">
        <v>0.0</v>
      </c>
      <c r="E3367" s="9">
        <v>0.0</v>
      </c>
      <c r="F3367" s="7" t="s">
        <v>436</v>
      </c>
      <c r="G3367" s="7" t="s">
        <v>404</v>
      </c>
      <c r="H3367" s="7" t="s">
        <v>405</v>
      </c>
      <c r="I3367" s="7" t="s">
        <v>355</v>
      </c>
      <c r="J3367" s="14"/>
      <c r="O3367" s="22"/>
      <c r="P3367" s="22"/>
      <c r="Q3367" s="23"/>
      <c r="R3367" s="23"/>
      <c r="S3367" s="14"/>
    </row>
    <row r="3368" ht="18.75" customHeight="1">
      <c r="A3368" s="7" t="s">
        <v>435</v>
      </c>
      <c r="B3368" s="7" t="s">
        <v>3884</v>
      </c>
      <c r="C3368" s="9">
        <v>2646936.0</v>
      </c>
      <c r="D3368" s="9">
        <v>1936060.0</v>
      </c>
      <c r="E3368" s="9">
        <v>1777.0</v>
      </c>
      <c r="F3368" s="7" t="s">
        <v>436</v>
      </c>
      <c r="G3368" s="7" t="s">
        <v>404</v>
      </c>
      <c r="H3368" s="7" t="s">
        <v>405</v>
      </c>
      <c r="I3368" s="7" t="s">
        <v>355</v>
      </c>
      <c r="J3368" s="14"/>
      <c r="O3368" s="22"/>
      <c r="P3368" s="22"/>
      <c r="Q3368" s="23"/>
      <c r="R3368" s="23"/>
      <c r="S3368" s="14"/>
    </row>
    <row r="3369" ht="18.75" customHeight="1">
      <c r="A3369" s="7" t="s">
        <v>435</v>
      </c>
      <c r="B3369" s="7" t="s">
        <v>3884</v>
      </c>
      <c r="C3369" s="9">
        <v>348766.0</v>
      </c>
      <c r="D3369" s="9">
        <v>239521.0</v>
      </c>
      <c r="E3369" s="9">
        <v>887.0</v>
      </c>
      <c r="F3369" s="7" t="s">
        <v>436</v>
      </c>
      <c r="G3369" s="7" t="s">
        <v>404</v>
      </c>
      <c r="H3369" s="7" t="s">
        <v>405</v>
      </c>
      <c r="I3369" s="7" t="s">
        <v>355</v>
      </c>
      <c r="J3369" s="14"/>
      <c r="O3369" s="22"/>
      <c r="P3369" s="22"/>
      <c r="Q3369" s="23"/>
      <c r="R3369" s="23"/>
      <c r="S3369" s="14"/>
    </row>
    <row r="3370" ht="18.75" customHeight="1">
      <c r="A3370" s="7" t="s">
        <v>627</v>
      </c>
      <c r="B3370" s="7" t="s">
        <v>3884</v>
      </c>
      <c r="C3370" s="9">
        <v>3155394.0</v>
      </c>
      <c r="D3370" s="9">
        <v>0.0</v>
      </c>
      <c r="E3370" s="9">
        <v>3234.0</v>
      </c>
      <c r="F3370" s="7" t="s">
        <v>628</v>
      </c>
      <c r="G3370" s="7" t="s">
        <v>404</v>
      </c>
      <c r="H3370" s="7" t="s">
        <v>405</v>
      </c>
      <c r="I3370" s="7" t="s">
        <v>355</v>
      </c>
      <c r="J3370" s="14"/>
      <c r="O3370" s="22"/>
      <c r="P3370" s="22"/>
      <c r="Q3370" s="23"/>
      <c r="R3370" s="23"/>
      <c r="S3370" s="14"/>
    </row>
    <row r="3371" ht="18.75" customHeight="1">
      <c r="A3371" s="7" t="s">
        <v>627</v>
      </c>
      <c r="B3371" s="7" t="s">
        <v>3884</v>
      </c>
      <c r="C3371" s="9">
        <v>625058.0</v>
      </c>
      <c r="D3371" s="9">
        <v>0.0</v>
      </c>
      <c r="E3371" s="9">
        <v>2037.0</v>
      </c>
      <c r="F3371" s="7" t="s">
        <v>628</v>
      </c>
      <c r="G3371" s="7" t="s">
        <v>404</v>
      </c>
      <c r="H3371" s="7" t="s">
        <v>405</v>
      </c>
      <c r="I3371" s="7" t="s">
        <v>355</v>
      </c>
      <c r="J3371" s="14"/>
      <c r="O3371" s="22"/>
      <c r="P3371" s="22"/>
      <c r="Q3371" s="23"/>
      <c r="R3371" s="23"/>
      <c r="S3371" s="14"/>
    </row>
    <row r="3372" ht="18.75" customHeight="1">
      <c r="A3372" s="7" t="s">
        <v>539</v>
      </c>
      <c r="B3372" s="7" t="s">
        <v>3884</v>
      </c>
      <c r="C3372" s="9">
        <v>1908254.0</v>
      </c>
      <c r="D3372" s="9">
        <v>1478982.0</v>
      </c>
      <c r="E3372" s="9">
        <v>1052.0</v>
      </c>
      <c r="F3372" s="7" t="s">
        <v>540</v>
      </c>
      <c r="G3372" s="7" t="s">
        <v>416</v>
      </c>
      <c r="H3372" s="7" t="s">
        <v>417</v>
      </c>
      <c r="I3372" s="7" t="s">
        <v>355</v>
      </c>
      <c r="J3372" s="14"/>
      <c r="O3372" s="22"/>
      <c r="P3372" s="22"/>
      <c r="Q3372" s="23"/>
      <c r="R3372" s="23"/>
      <c r="S3372" s="14"/>
    </row>
    <row r="3373" ht="18.75" customHeight="1">
      <c r="A3373" s="7" t="s">
        <v>645</v>
      </c>
      <c r="B3373" s="7" t="s">
        <v>3884</v>
      </c>
      <c r="C3373" s="9">
        <v>664834.0</v>
      </c>
      <c r="D3373" s="9">
        <v>0.0</v>
      </c>
      <c r="E3373" s="9">
        <v>773.0</v>
      </c>
      <c r="F3373" s="7" t="s">
        <v>646</v>
      </c>
      <c r="G3373" s="7" t="s">
        <v>364</v>
      </c>
      <c r="H3373" s="7" t="s">
        <v>365</v>
      </c>
      <c r="I3373" s="7" t="s">
        <v>355</v>
      </c>
      <c r="J3373" s="14"/>
      <c r="O3373" s="22"/>
      <c r="P3373" s="22"/>
      <c r="Q3373" s="23"/>
      <c r="R3373" s="23"/>
      <c r="S3373" s="14"/>
    </row>
    <row r="3374" ht="18.75" customHeight="1">
      <c r="A3374" s="7" t="s">
        <v>645</v>
      </c>
      <c r="B3374" s="7" t="s">
        <v>3884</v>
      </c>
      <c r="C3374" s="9">
        <v>952012.0</v>
      </c>
      <c r="D3374" s="9">
        <v>0.0</v>
      </c>
      <c r="E3374" s="9">
        <v>864.0</v>
      </c>
      <c r="F3374" s="7" t="s">
        <v>646</v>
      </c>
      <c r="G3374" s="7" t="s">
        <v>364</v>
      </c>
      <c r="H3374" s="7" t="s">
        <v>365</v>
      </c>
      <c r="I3374" s="7" t="s">
        <v>355</v>
      </c>
      <c r="J3374" s="14"/>
      <c r="O3374" s="22"/>
      <c r="P3374" s="22"/>
      <c r="Q3374" s="23"/>
      <c r="R3374" s="23"/>
      <c r="S3374" s="14"/>
    </row>
    <row r="3375" ht="18.75" customHeight="1">
      <c r="A3375" s="7" t="s">
        <v>668</v>
      </c>
      <c r="B3375" s="7" t="s">
        <v>3884</v>
      </c>
      <c r="C3375" s="9">
        <v>0.0</v>
      </c>
      <c r="D3375" s="9">
        <v>0.0</v>
      </c>
      <c r="E3375" s="9">
        <v>0.0</v>
      </c>
      <c r="F3375" s="7" t="s">
        <v>669</v>
      </c>
      <c r="G3375" s="7" t="s">
        <v>416</v>
      </c>
      <c r="H3375" s="7" t="s">
        <v>417</v>
      </c>
      <c r="I3375" s="7" t="s">
        <v>355</v>
      </c>
      <c r="J3375" s="14"/>
      <c r="O3375" s="22"/>
      <c r="P3375" s="22"/>
      <c r="Q3375" s="23"/>
      <c r="R3375" s="23"/>
      <c r="S3375" s="14"/>
    </row>
    <row r="3376" ht="18.75" customHeight="1">
      <c r="A3376" s="7" t="s">
        <v>668</v>
      </c>
      <c r="B3376" s="7" t="s">
        <v>3884</v>
      </c>
      <c r="C3376" s="9">
        <v>32079.0</v>
      </c>
      <c r="D3376" s="9">
        <v>0.0</v>
      </c>
      <c r="E3376" s="9">
        <v>141.0</v>
      </c>
      <c r="F3376" s="7" t="s">
        <v>669</v>
      </c>
      <c r="G3376" s="7" t="s">
        <v>416</v>
      </c>
      <c r="H3376" s="7" t="s">
        <v>417</v>
      </c>
      <c r="I3376" s="7" t="s">
        <v>355</v>
      </c>
      <c r="J3376" s="14"/>
      <c r="O3376" s="22"/>
      <c r="P3376" s="22"/>
      <c r="Q3376" s="23"/>
      <c r="R3376" s="23"/>
      <c r="S3376" s="14"/>
    </row>
    <row r="3377" ht="18.75" customHeight="1">
      <c r="A3377" s="7" t="s">
        <v>670</v>
      </c>
      <c r="B3377" s="7" t="s">
        <v>3884</v>
      </c>
      <c r="C3377" s="9">
        <v>794851.0</v>
      </c>
      <c r="D3377" s="9">
        <v>0.0</v>
      </c>
      <c r="E3377" s="9">
        <v>2234.0</v>
      </c>
      <c r="F3377" s="7" t="s">
        <v>671</v>
      </c>
      <c r="G3377" s="7" t="s">
        <v>416</v>
      </c>
      <c r="H3377" s="7" t="s">
        <v>417</v>
      </c>
      <c r="I3377" s="7" t="s">
        <v>355</v>
      </c>
      <c r="J3377" s="14"/>
      <c r="O3377" s="22"/>
      <c r="P3377" s="22"/>
      <c r="Q3377" s="23"/>
      <c r="R3377" s="23"/>
      <c r="S3377" s="14"/>
    </row>
    <row r="3378" ht="18.75" customHeight="1">
      <c r="A3378" s="7" t="s">
        <v>680</v>
      </c>
      <c r="B3378" s="7" t="s">
        <v>3884</v>
      </c>
      <c r="C3378" s="9">
        <v>1874186.0</v>
      </c>
      <c r="D3378" s="9">
        <v>1438912.0</v>
      </c>
      <c r="E3378" s="9">
        <v>723.0</v>
      </c>
      <c r="F3378" s="7" t="s">
        <v>681</v>
      </c>
      <c r="G3378" s="7" t="s">
        <v>358</v>
      </c>
      <c r="H3378" s="7" t="s">
        <v>466</v>
      </c>
      <c r="I3378" s="7" t="s">
        <v>355</v>
      </c>
      <c r="J3378" s="14"/>
      <c r="O3378" s="22"/>
      <c r="P3378" s="22"/>
      <c r="Q3378" s="23"/>
      <c r="R3378" s="23"/>
      <c r="S3378" s="14"/>
    </row>
    <row r="3379" ht="18.75" customHeight="1">
      <c r="A3379" s="7" t="s">
        <v>643</v>
      </c>
      <c r="B3379" s="7" t="s">
        <v>3884</v>
      </c>
      <c r="C3379" s="9">
        <v>1768898.0</v>
      </c>
      <c r="D3379" s="9">
        <v>0.0</v>
      </c>
      <c r="E3379" s="9">
        <v>1770.0</v>
      </c>
      <c r="F3379" s="7" t="s">
        <v>644</v>
      </c>
      <c r="G3379" s="7" t="s">
        <v>353</v>
      </c>
      <c r="H3379" s="7" t="s">
        <v>378</v>
      </c>
      <c r="I3379" s="7" t="s">
        <v>355</v>
      </c>
      <c r="J3379" s="14"/>
      <c r="O3379" s="22"/>
      <c r="P3379" s="22"/>
      <c r="Q3379" s="23"/>
      <c r="R3379" s="23"/>
      <c r="S3379" s="14"/>
    </row>
    <row r="3380" ht="18.75" customHeight="1">
      <c r="A3380" s="7" t="s">
        <v>643</v>
      </c>
      <c r="B3380" s="7" t="s">
        <v>3884</v>
      </c>
      <c r="C3380" s="9">
        <v>1928717.0</v>
      </c>
      <c r="D3380" s="9">
        <v>0.0</v>
      </c>
      <c r="E3380" s="9">
        <v>2430.0</v>
      </c>
      <c r="F3380" s="7" t="s">
        <v>644</v>
      </c>
      <c r="G3380" s="7" t="s">
        <v>353</v>
      </c>
      <c r="H3380" s="7" t="s">
        <v>378</v>
      </c>
      <c r="I3380" s="7" t="s">
        <v>355</v>
      </c>
      <c r="J3380" s="14"/>
      <c r="O3380" s="22"/>
      <c r="P3380" s="22"/>
      <c r="Q3380" s="23"/>
      <c r="R3380" s="23"/>
      <c r="S3380" s="14"/>
    </row>
    <row r="3381" ht="18.75" customHeight="1">
      <c r="A3381" s="7" t="s">
        <v>643</v>
      </c>
      <c r="B3381" s="7" t="s">
        <v>3884</v>
      </c>
      <c r="C3381" s="9">
        <v>0.0</v>
      </c>
      <c r="D3381" s="9">
        <v>0.0</v>
      </c>
      <c r="E3381" s="9">
        <v>0.0</v>
      </c>
      <c r="F3381" s="7" t="s">
        <v>644</v>
      </c>
      <c r="G3381" s="7" t="s">
        <v>353</v>
      </c>
      <c r="H3381" s="7" t="s">
        <v>378</v>
      </c>
      <c r="I3381" s="7" t="s">
        <v>355</v>
      </c>
      <c r="J3381" s="14"/>
      <c r="O3381" s="22"/>
      <c r="P3381" s="22"/>
      <c r="Q3381" s="23"/>
      <c r="R3381" s="23"/>
      <c r="S3381" s="14"/>
    </row>
    <row r="3382" ht="18.75" customHeight="1">
      <c r="A3382" s="7" t="s">
        <v>643</v>
      </c>
      <c r="B3382" s="7" t="s">
        <v>3884</v>
      </c>
      <c r="C3382" s="9">
        <v>0.0</v>
      </c>
      <c r="D3382" s="9">
        <v>0.0</v>
      </c>
      <c r="E3382" s="9">
        <v>0.0</v>
      </c>
      <c r="F3382" s="7" t="s">
        <v>644</v>
      </c>
      <c r="G3382" s="7" t="s">
        <v>353</v>
      </c>
      <c r="H3382" s="7" t="s">
        <v>378</v>
      </c>
      <c r="I3382" s="7" t="s">
        <v>355</v>
      </c>
      <c r="J3382" s="14"/>
      <c r="O3382" s="22"/>
      <c r="P3382" s="22"/>
      <c r="Q3382" s="23"/>
      <c r="R3382" s="23"/>
      <c r="S3382" s="14"/>
    </row>
    <row r="3383" ht="18.75" customHeight="1">
      <c r="A3383" s="7" t="s">
        <v>647</v>
      </c>
      <c r="B3383" s="7" t="s">
        <v>3884</v>
      </c>
      <c r="C3383" s="9">
        <v>1323866.0</v>
      </c>
      <c r="D3383" s="9">
        <v>0.0</v>
      </c>
      <c r="E3383" s="9">
        <v>1059.0</v>
      </c>
      <c r="F3383" s="7" t="s">
        <v>648</v>
      </c>
      <c r="G3383" s="7" t="s">
        <v>353</v>
      </c>
      <c r="H3383" s="7" t="s">
        <v>378</v>
      </c>
      <c r="I3383" s="7" t="s">
        <v>355</v>
      </c>
      <c r="J3383" s="14"/>
      <c r="O3383" s="22"/>
      <c r="P3383" s="22"/>
      <c r="Q3383" s="23"/>
      <c r="R3383" s="23"/>
      <c r="S3383" s="14"/>
    </row>
    <row r="3384" ht="18.75" customHeight="1">
      <c r="A3384" s="7" t="s">
        <v>647</v>
      </c>
      <c r="B3384" s="7" t="s">
        <v>3884</v>
      </c>
      <c r="C3384" s="9">
        <v>1063269.0</v>
      </c>
      <c r="D3384" s="9">
        <v>0.0</v>
      </c>
      <c r="E3384" s="9">
        <v>1238.0</v>
      </c>
      <c r="F3384" s="7" t="s">
        <v>648</v>
      </c>
      <c r="G3384" s="7" t="s">
        <v>353</v>
      </c>
      <c r="H3384" s="7" t="s">
        <v>378</v>
      </c>
      <c r="I3384" s="7" t="s">
        <v>355</v>
      </c>
      <c r="J3384" s="14"/>
      <c r="O3384" s="22"/>
      <c r="P3384" s="22"/>
      <c r="Q3384" s="23"/>
      <c r="R3384" s="23"/>
      <c r="S3384" s="14"/>
    </row>
    <row r="3385" ht="18.75" customHeight="1">
      <c r="A3385" s="7" t="s">
        <v>585</v>
      </c>
      <c r="B3385" s="7" t="s">
        <v>3884</v>
      </c>
      <c r="C3385" s="9">
        <v>1532356.0</v>
      </c>
      <c r="D3385" s="9">
        <v>1258103.0</v>
      </c>
      <c r="E3385" s="9">
        <v>705.0</v>
      </c>
      <c r="F3385" s="7" t="s">
        <v>586</v>
      </c>
      <c r="G3385" s="7" t="s">
        <v>358</v>
      </c>
      <c r="H3385" s="7" t="s">
        <v>466</v>
      </c>
      <c r="I3385" s="7" t="s">
        <v>355</v>
      </c>
      <c r="J3385" s="14"/>
      <c r="O3385" s="22"/>
      <c r="P3385" s="22"/>
      <c r="Q3385" s="23"/>
      <c r="R3385" s="23"/>
      <c r="S3385" s="14"/>
    </row>
    <row r="3386" ht="18.75" customHeight="1">
      <c r="A3386" s="7" t="s">
        <v>533</v>
      </c>
      <c r="B3386" s="7" t="s">
        <v>3884</v>
      </c>
      <c r="C3386" s="9">
        <v>3351358.0</v>
      </c>
      <c r="D3386" s="9">
        <v>2349286.0</v>
      </c>
      <c r="E3386" s="9">
        <v>1561.0</v>
      </c>
      <c r="F3386" s="7" t="s">
        <v>534</v>
      </c>
      <c r="G3386" s="7" t="s">
        <v>358</v>
      </c>
      <c r="H3386" s="7" t="s">
        <v>359</v>
      </c>
      <c r="I3386" s="7" t="s">
        <v>355</v>
      </c>
      <c r="J3386" s="14"/>
      <c r="O3386" s="22"/>
      <c r="P3386" s="22"/>
      <c r="Q3386" s="23"/>
      <c r="R3386" s="23"/>
      <c r="S3386" s="14"/>
    </row>
    <row r="3387" ht="18.75" customHeight="1">
      <c r="A3387" s="7" t="s">
        <v>533</v>
      </c>
      <c r="B3387" s="7" t="s">
        <v>3884</v>
      </c>
      <c r="C3387" s="9">
        <v>39703.0</v>
      </c>
      <c r="D3387" s="9">
        <v>38063.0</v>
      </c>
      <c r="E3387" s="9">
        <v>9.0</v>
      </c>
      <c r="F3387" s="7" t="s">
        <v>534</v>
      </c>
      <c r="G3387" s="7" t="s">
        <v>358</v>
      </c>
      <c r="H3387" s="7" t="s">
        <v>359</v>
      </c>
      <c r="I3387" s="7" t="s">
        <v>355</v>
      </c>
      <c r="J3387" s="14"/>
      <c r="O3387" s="22"/>
      <c r="P3387" s="22"/>
      <c r="Q3387" s="23"/>
      <c r="R3387" s="23"/>
      <c r="S3387" s="14"/>
    </row>
    <row r="3388" ht="18.75" customHeight="1">
      <c r="A3388" s="7" t="s">
        <v>533</v>
      </c>
      <c r="B3388" s="7" t="s">
        <v>3884</v>
      </c>
      <c r="C3388" s="9">
        <v>26036.0</v>
      </c>
      <c r="D3388" s="9">
        <v>0.0</v>
      </c>
      <c r="E3388" s="9">
        <v>599.0</v>
      </c>
      <c r="F3388" s="7" t="s">
        <v>534</v>
      </c>
      <c r="G3388" s="7" t="s">
        <v>358</v>
      </c>
      <c r="H3388" s="7" t="s">
        <v>359</v>
      </c>
      <c r="I3388" s="7" t="s">
        <v>355</v>
      </c>
      <c r="J3388" s="14"/>
      <c r="O3388" s="22"/>
      <c r="P3388" s="22"/>
      <c r="Q3388" s="23"/>
      <c r="R3388" s="23"/>
      <c r="S3388" s="14"/>
    </row>
    <row r="3389" ht="18.75" customHeight="1">
      <c r="A3389" s="7" t="s">
        <v>533</v>
      </c>
      <c r="B3389" s="7" t="s">
        <v>3884</v>
      </c>
      <c r="C3389" s="9">
        <v>49607.0</v>
      </c>
      <c r="D3389" s="9">
        <v>0.0</v>
      </c>
      <c r="E3389" s="9">
        <v>53.0</v>
      </c>
      <c r="F3389" s="7" t="s">
        <v>534</v>
      </c>
      <c r="G3389" s="7" t="s">
        <v>358</v>
      </c>
      <c r="H3389" s="7" t="s">
        <v>359</v>
      </c>
      <c r="I3389" s="7" t="s">
        <v>355</v>
      </c>
      <c r="J3389" s="14"/>
      <c r="O3389" s="22"/>
      <c r="P3389" s="22"/>
      <c r="Q3389" s="23"/>
      <c r="R3389" s="23"/>
      <c r="S3389" s="14"/>
    </row>
    <row r="3390" ht="18.75" customHeight="1">
      <c r="A3390" s="7" t="s">
        <v>535</v>
      </c>
      <c r="B3390" s="7" t="s">
        <v>3884</v>
      </c>
      <c r="C3390" s="9">
        <v>2098132.0</v>
      </c>
      <c r="D3390" s="9">
        <v>0.0</v>
      </c>
      <c r="E3390" s="9">
        <v>3621.0</v>
      </c>
      <c r="F3390" s="7" t="s">
        <v>536</v>
      </c>
      <c r="G3390" s="7" t="s">
        <v>358</v>
      </c>
      <c r="H3390" s="7" t="s">
        <v>359</v>
      </c>
      <c r="I3390" s="7" t="s">
        <v>355</v>
      </c>
      <c r="J3390" s="14"/>
      <c r="O3390" s="22"/>
      <c r="P3390" s="22"/>
      <c r="Q3390" s="23"/>
      <c r="R3390" s="23"/>
      <c r="S3390" s="14"/>
    </row>
    <row r="3391" ht="18.75" customHeight="1">
      <c r="A3391" s="7" t="s">
        <v>535</v>
      </c>
      <c r="B3391" s="7" t="s">
        <v>3884</v>
      </c>
      <c r="C3391" s="9">
        <v>26737.0</v>
      </c>
      <c r="D3391" s="9">
        <v>0.0</v>
      </c>
      <c r="E3391" s="9">
        <v>778.0</v>
      </c>
      <c r="F3391" s="7" t="s">
        <v>536</v>
      </c>
      <c r="G3391" s="7" t="s">
        <v>358</v>
      </c>
      <c r="H3391" s="7" t="s">
        <v>359</v>
      </c>
      <c r="I3391" s="7" t="s">
        <v>355</v>
      </c>
      <c r="J3391" s="14"/>
      <c r="O3391" s="22"/>
      <c r="P3391" s="22"/>
      <c r="Q3391" s="23"/>
      <c r="R3391" s="23"/>
      <c r="S3391" s="14"/>
    </row>
    <row r="3392" ht="18.75" customHeight="1">
      <c r="A3392" s="7" t="s">
        <v>649</v>
      </c>
      <c r="B3392" s="7" t="s">
        <v>3884</v>
      </c>
      <c r="C3392" s="9">
        <v>2965816.0</v>
      </c>
      <c r="D3392" s="9">
        <v>2166430.0</v>
      </c>
      <c r="E3392" s="9">
        <v>1611.0</v>
      </c>
      <c r="F3392" s="7" t="s">
        <v>650</v>
      </c>
      <c r="G3392" s="7" t="s">
        <v>404</v>
      </c>
      <c r="H3392" s="7" t="s">
        <v>405</v>
      </c>
      <c r="I3392" s="7" t="s">
        <v>355</v>
      </c>
      <c r="J3392" s="14"/>
      <c r="O3392" s="22"/>
      <c r="P3392" s="22"/>
      <c r="Q3392" s="23"/>
      <c r="R3392" s="23"/>
      <c r="S3392" s="14"/>
    </row>
    <row r="3393" ht="18.75" customHeight="1">
      <c r="A3393" s="7" t="s">
        <v>649</v>
      </c>
      <c r="B3393" s="7" t="s">
        <v>3884</v>
      </c>
      <c r="C3393" s="9">
        <v>531891.0</v>
      </c>
      <c r="D3393" s="9">
        <v>368324.0</v>
      </c>
      <c r="E3393" s="9">
        <v>1550.0</v>
      </c>
      <c r="F3393" s="7" t="s">
        <v>650</v>
      </c>
      <c r="G3393" s="7" t="s">
        <v>404</v>
      </c>
      <c r="H3393" s="7" t="s">
        <v>405</v>
      </c>
      <c r="I3393" s="7" t="s">
        <v>355</v>
      </c>
      <c r="J3393" s="14"/>
      <c r="O3393" s="22"/>
      <c r="P3393" s="22"/>
      <c r="Q3393" s="23"/>
      <c r="R3393" s="23"/>
      <c r="S3393" s="14"/>
    </row>
    <row r="3394" ht="18.75" customHeight="1">
      <c r="A3394" s="7" t="s">
        <v>649</v>
      </c>
      <c r="B3394" s="7" t="s">
        <v>3884</v>
      </c>
      <c r="C3394" s="9">
        <v>4030206.0</v>
      </c>
      <c r="D3394" s="9">
        <v>0.0</v>
      </c>
      <c r="E3394" s="9">
        <v>3901.0</v>
      </c>
      <c r="F3394" s="7" t="s">
        <v>650</v>
      </c>
      <c r="G3394" s="7" t="s">
        <v>404</v>
      </c>
      <c r="H3394" s="7" t="s">
        <v>405</v>
      </c>
      <c r="I3394" s="7" t="s">
        <v>355</v>
      </c>
      <c r="J3394" s="14"/>
      <c r="O3394" s="22"/>
      <c r="P3394" s="22"/>
      <c r="Q3394" s="23"/>
      <c r="R3394" s="23"/>
      <c r="S3394" s="14"/>
    </row>
    <row r="3395" ht="18.75" customHeight="1">
      <c r="A3395" s="7" t="s">
        <v>649</v>
      </c>
      <c r="B3395" s="7" t="s">
        <v>3884</v>
      </c>
      <c r="C3395" s="9">
        <v>1043187.0</v>
      </c>
      <c r="D3395" s="9">
        <v>0.0</v>
      </c>
      <c r="E3395" s="9">
        <v>775.0</v>
      </c>
      <c r="F3395" s="7" t="s">
        <v>650</v>
      </c>
      <c r="G3395" s="7" t="s">
        <v>404</v>
      </c>
      <c r="H3395" s="7" t="s">
        <v>405</v>
      </c>
      <c r="I3395" s="7" t="s">
        <v>355</v>
      </c>
      <c r="J3395" s="14"/>
      <c r="O3395" s="22"/>
      <c r="P3395" s="22"/>
      <c r="Q3395" s="23"/>
      <c r="R3395" s="23"/>
      <c r="S3395" s="14"/>
    </row>
    <row r="3396" ht="18.75" customHeight="1">
      <c r="A3396" s="7" t="s">
        <v>537</v>
      </c>
      <c r="B3396" s="7" t="s">
        <v>3884</v>
      </c>
      <c r="C3396" s="9">
        <v>2992954.0</v>
      </c>
      <c r="D3396" s="9">
        <v>0.0</v>
      </c>
      <c r="E3396" s="9">
        <v>3056.0</v>
      </c>
      <c r="F3396" s="7" t="s">
        <v>538</v>
      </c>
      <c r="G3396" s="7" t="s">
        <v>358</v>
      </c>
      <c r="H3396" s="7" t="s">
        <v>359</v>
      </c>
      <c r="I3396" s="7" t="s">
        <v>355</v>
      </c>
      <c r="J3396" s="14"/>
      <c r="O3396" s="22"/>
      <c r="P3396" s="22"/>
      <c r="Q3396" s="23"/>
      <c r="R3396" s="23"/>
      <c r="S3396" s="14"/>
    </row>
    <row r="3397" ht="18.75" customHeight="1">
      <c r="A3397" s="7" t="s">
        <v>537</v>
      </c>
      <c r="B3397" s="7" t="s">
        <v>3884</v>
      </c>
      <c r="C3397" s="9">
        <v>44133.0</v>
      </c>
      <c r="D3397" s="9">
        <v>0.0</v>
      </c>
      <c r="E3397" s="9">
        <v>1150.0</v>
      </c>
      <c r="F3397" s="7" t="s">
        <v>538</v>
      </c>
      <c r="G3397" s="7" t="s">
        <v>358</v>
      </c>
      <c r="H3397" s="7" t="s">
        <v>359</v>
      </c>
      <c r="I3397" s="7" t="s">
        <v>355</v>
      </c>
      <c r="J3397" s="14"/>
      <c r="O3397" s="22"/>
      <c r="P3397" s="22"/>
      <c r="Q3397" s="23"/>
      <c r="R3397" s="23"/>
      <c r="S3397" s="14"/>
    </row>
    <row r="3398" ht="18.75" customHeight="1">
      <c r="A3398" s="7" t="s">
        <v>629</v>
      </c>
      <c r="B3398" s="7" t="s">
        <v>3884</v>
      </c>
      <c r="C3398" s="9">
        <v>1552054.0</v>
      </c>
      <c r="D3398" s="9">
        <v>1110121.0</v>
      </c>
      <c r="E3398" s="9">
        <v>998.0</v>
      </c>
      <c r="F3398" s="7" t="s">
        <v>630</v>
      </c>
      <c r="G3398" s="7" t="s">
        <v>404</v>
      </c>
      <c r="H3398" s="7" t="s">
        <v>405</v>
      </c>
      <c r="I3398" s="7" t="s">
        <v>355</v>
      </c>
      <c r="J3398" s="14"/>
      <c r="O3398" s="22"/>
      <c r="P3398" s="22"/>
      <c r="Q3398" s="23"/>
      <c r="R3398" s="23"/>
      <c r="S3398" s="14"/>
    </row>
    <row r="3399" ht="18.75" customHeight="1">
      <c r="A3399" s="7" t="s">
        <v>629</v>
      </c>
      <c r="B3399" s="7" t="s">
        <v>3884</v>
      </c>
      <c r="C3399" s="9">
        <v>979333.0</v>
      </c>
      <c r="D3399" s="9">
        <v>705475.0</v>
      </c>
      <c r="E3399" s="9">
        <v>576.0</v>
      </c>
      <c r="F3399" s="7" t="s">
        <v>630</v>
      </c>
      <c r="G3399" s="7" t="s">
        <v>404</v>
      </c>
      <c r="H3399" s="7" t="s">
        <v>405</v>
      </c>
      <c r="I3399" s="7" t="s">
        <v>355</v>
      </c>
      <c r="J3399" s="14"/>
      <c r="O3399" s="22"/>
      <c r="P3399" s="22"/>
      <c r="Q3399" s="23"/>
      <c r="R3399" s="23"/>
      <c r="S3399" s="14"/>
    </row>
    <row r="3400" ht="18.75" customHeight="1">
      <c r="A3400" s="7" t="s">
        <v>629</v>
      </c>
      <c r="B3400" s="7" t="s">
        <v>3884</v>
      </c>
      <c r="C3400" s="9">
        <v>1933002.0</v>
      </c>
      <c r="D3400" s="9">
        <v>0.0</v>
      </c>
      <c r="E3400" s="9">
        <v>2065.0</v>
      </c>
      <c r="F3400" s="7" t="s">
        <v>630</v>
      </c>
      <c r="G3400" s="7" t="s">
        <v>404</v>
      </c>
      <c r="H3400" s="7" t="s">
        <v>405</v>
      </c>
      <c r="I3400" s="7" t="s">
        <v>355</v>
      </c>
      <c r="J3400" s="14"/>
      <c r="O3400" s="22"/>
      <c r="P3400" s="22"/>
      <c r="Q3400" s="23"/>
      <c r="R3400" s="23"/>
      <c r="S3400" s="14"/>
    </row>
    <row r="3401" ht="18.75" customHeight="1">
      <c r="A3401" s="7" t="s">
        <v>629</v>
      </c>
      <c r="B3401" s="7" t="s">
        <v>3884</v>
      </c>
      <c r="C3401" s="9">
        <v>1515255.0</v>
      </c>
      <c r="D3401" s="9">
        <v>0.0</v>
      </c>
      <c r="E3401" s="9">
        <v>1470.0</v>
      </c>
      <c r="F3401" s="7" t="s">
        <v>630</v>
      </c>
      <c r="G3401" s="7" t="s">
        <v>404</v>
      </c>
      <c r="H3401" s="7" t="s">
        <v>405</v>
      </c>
      <c r="I3401" s="7" t="s">
        <v>355</v>
      </c>
      <c r="J3401" s="14"/>
      <c r="O3401" s="22"/>
      <c r="P3401" s="22"/>
      <c r="Q3401" s="23"/>
      <c r="R3401" s="23"/>
      <c r="S3401" s="14"/>
    </row>
    <row r="3402" ht="18.75" customHeight="1">
      <c r="A3402" s="7" t="s">
        <v>695</v>
      </c>
      <c r="B3402" s="7" t="s">
        <v>3884</v>
      </c>
      <c r="C3402" s="9">
        <v>1553359.0</v>
      </c>
      <c r="D3402" s="9">
        <v>1335366.0</v>
      </c>
      <c r="E3402" s="9">
        <v>523.0</v>
      </c>
      <c r="F3402" s="7" t="s">
        <v>696</v>
      </c>
      <c r="G3402" s="7" t="s">
        <v>358</v>
      </c>
      <c r="H3402" s="7" t="s">
        <v>466</v>
      </c>
      <c r="I3402" s="7" t="s">
        <v>355</v>
      </c>
      <c r="J3402" s="14"/>
      <c r="O3402" s="22"/>
      <c r="P3402" s="22"/>
      <c r="Q3402" s="23"/>
      <c r="R3402" s="23"/>
      <c r="S3402" s="14"/>
    </row>
    <row r="3403" ht="18.75" customHeight="1">
      <c r="A3403" s="7" t="s">
        <v>695</v>
      </c>
      <c r="B3403" s="7" t="s">
        <v>3884</v>
      </c>
      <c r="C3403" s="9">
        <v>1123469.0</v>
      </c>
      <c r="D3403" s="9">
        <v>777359.0</v>
      </c>
      <c r="E3403" s="9">
        <v>1266.0</v>
      </c>
      <c r="F3403" s="7" t="s">
        <v>696</v>
      </c>
      <c r="G3403" s="7" t="s">
        <v>358</v>
      </c>
      <c r="H3403" s="7" t="s">
        <v>466</v>
      </c>
      <c r="I3403" s="7" t="s">
        <v>355</v>
      </c>
      <c r="J3403" s="14"/>
      <c r="O3403" s="22"/>
      <c r="P3403" s="22"/>
      <c r="Q3403" s="23"/>
      <c r="R3403" s="23"/>
      <c r="S3403" s="14"/>
    </row>
    <row r="3404" ht="18.75" customHeight="1">
      <c r="A3404" s="7" t="s">
        <v>726</v>
      </c>
      <c r="B3404" s="7" t="s">
        <v>3884</v>
      </c>
      <c r="C3404" s="9">
        <v>1921904.0</v>
      </c>
      <c r="D3404" s="9">
        <v>0.0</v>
      </c>
      <c r="E3404" s="9">
        <v>2826.0</v>
      </c>
      <c r="F3404" s="7" t="s">
        <v>727</v>
      </c>
      <c r="G3404" s="7" t="s">
        <v>416</v>
      </c>
      <c r="H3404" s="7" t="s">
        <v>417</v>
      </c>
      <c r="I3404" s="7" t="s">
        <v>355</v>
      </c>
      <c r="J3404" s="14"/>
      <c r="O3404" s="22"/>
      <c r="P3404" s="22"/>
      <c r="Q3404" s="23"/>
      <c r="R3404" s="23"/>
      <c r="S3404" s="14"/>
    </row>
    <row r="3405" ht="18.75" customHeight="1">
      <c r="A3405" s="7" t="s">
        <v>728</v>
      </c>
      <c r="B3405" s="7" t="s">
        <v>3884</v>
      </c>
      <c r="C3405" s="9">
        <v>1203289.0</v>
      </c>
      <c r="D3405" s="9">
        <v>0.0</v>
      </c>
      <c r="E3405" s="9">
        <v>1524.0</v>
      </c>
      <c r="F3405" s="7" t="s">
        <v>729</v>
      </c>
      <c r="G3405" s="7" t="s">
        <v>416</v>
      </c>
      <c r="H3405" s="7" t="s">
        <v>417</v>
      </c>
      <c r="I3405" s="7" t="s">
        <v>355</v>
      </c>
      <c r="J3405" s="14"/>
      <c r="O3405" s="22"/>
      <c r="P3405" s="22"/>
      <c r="Q3405" s="23"/>
      <c r="R3405" s="23"/>
      <c r="S3405" s="14"/>
    </row>
    <row r="3406" ht="18.75" customHeight="1">
      <c r="A3406" s="7" t="s">
        <v>625</v>
      </c>
      <c r="B3406" s="7" t="s">
        <v>3884</v>
      </c>
      <c r="C3406" s="9">
        <v>2498310.0</v>
      </c>
      <c r="D3406" s="9">
        <v>0.0</v>
      </c>
      <c r="E3406" s="9">
        <v>4044.0</v>
      </c>
      <c r="F3406" s="7" t="s">
        <v>626</v>
      </c>
      <c r="G3406" s="7" t="s">
        <v>353</v>
      </c>
      <c r="H3406" s="7" t="s">
        <v>354</v>
      </c>
      <c r="I3406" s="7" t="s">
        <v>355</v>
      </c>
      <c r="J3406" s="14"/>
      <c r="O3406" s="22"/>
      <c r="P3406" s="22"/>
      <c r="Q3406" s="23"/>
      <c r="R3406" s="23"/>
      <c r="S3406" s="14"/>
    </row>
    <row r="3407" ht="18.75" customHeight="1">
      <c r="A3407" s="7" t="s">
        <v>623</v>
      </c>
      <c r="B3407" s="7" t="s">
        <v>3884</v>
      </c>
      <c r="C3407" s="9">
        <v>2800563.0</v>
      </c>
      <c r="D3407" s="9">
        <v>0.0</v>
      </c>
      <c r="E3407" s="9">
        <v>2634.0</v>
      </c>
      <c r="F3407" s="7" t="s">
        <v>624</v>
      </c>
      <c r="G3407" s="7" t="s">
        <v>353</v>
      </c>
      <c r="H3407" s="7" t="s">
        <v>354</v>
      </c>
      <c r="I3407" s="7" t="s">
        <v>355</v>
      </c>
      <c r="J3407" s="14"/>
      <c r="O3407" s="22"/>
      <c r="P3407" s="22"/>
      <c r="Q3407" s="23"/>
      <c r="R3407" s="23"/>
      <c r="S3407" s="14"/>
    </row>
    <row r="3408" ht="18.75" customHeight="1">
      <c r="A3408" s="7" t="s">
        <v>623</v>
      </c>
      <c r="B3408" s="7" t="s">
        <v>3884</v>
      </c>
      <c r="C3408" s="9">
        <v>2216387.0</v>
      </c>
      <c r="D3408" s="9">
        <v>0.0</v>
      </c>
      <c r="E3408" s="9">
        <v>3314.0</v>
      </c>
      <c r="F3408" s="7" t="s">
        <v>624</v>
      </c>
      <c r="G3408" s="7" t="s">
        <v>353</v>
      </c>
      <c r="H3408" s="7" t="s">
        <v>354</v>
      </c>
      <c r="I3408" s="7" t="s">
        <v>355</v>
      </c>
      <c r="J3408" s="14"/>
      <c r="O3408" s="22"/>
      <c r="P3408" s="22"/>
      <c r="Q3408" s="23"/>
      <c r="R3408" s="23"/>
      <c r="S3408" s="14"/>
    </row>
    <row r="3409" ht="18.75" customHeight="1">
      <c r="A3409" s="7" t="s">
        <v>730</v>
      </c>
      <c r="B3409" s="7" t="s">
        <v>3884</v>
      </c>
      <c r="C3409" s="9">
        <v>1258592.0</v>
      </c>
      <c r="D3409" s="9">
        <v>0.0</v>
      </c>
      <c r="E3409" s="9">
        <v>1536.0</v>
      </c>
      <c r="F3409" s="7" t="s">
        <v>731</v>
      </c>
      <c r="G3409" s="7" t="s">
        <v>416</v>
      </c>
      <c r="H3409" s="7" t="s">
        <v>417</v>
      </c>
      <c r="I3409" s="7" t="s">
        <v>355</v>
      </c>
      <c r="J3409" s="14"/>
      <c r="O3409" s="22"/>
      <c r="P3409" s="22"/>
      <c r="Q3409" s="23"/>
      <c r="R3409" s="23"/>
      <c r="S3409" s="14"/>
    </row>
    <row r="3410" ht="18.75" customHeight="1">
      <c r="A3410" s="7" t="s">
        <v>697</v>
      </c>
      <c r="B3410" s="7" t="s">
        <v>3884</v>
      </c>
      <c r="C3410" s="9">
        <v>1533891.0</v>
      </c>
      <c r="D3410" s="9">
        <v>0.0</v>
      </c>
      <c r="E3410" s="9">
        <v>1512.0</v>
      </c>
      <c r="F3410" s="7" t="s">
        <v>698</v>
      </c>
      <c r="G3410" s="7" t="s">
        <v>404</v>
      </c>
      <c r="H3410" s="7" t="s">
        <v>405</v>
      </c>
      <c r="I3410" s="7" t="s">
        <v>355</v>
      </c>
      <c r="J3410" s="14"/>
      <c r="O3410" s="22"/>
      <c r="P3410" s="22"/>
      <c r="Q3410" s="23"/>
      <c r="R3410" s="23"/>
      <c r="S3410" s="14"/>
    </row>
    <row r="3411" ht="18.75" customHeight="1">
      <c r="A3411" s="7" t="s">
        <v>719</v>
      </c>
      <c r="B3411" s="7" t="s">
        <v>3884</v>
      </c>
      <c r="C3411" s="9">
        <v>1509017.0</v>
      </c>
      <c r="D3411" s="9">
        <v>0.0</v>
      </c>
      <c r="E3411" s="9">
        <v>1543.0</v>
      </c>
      <c r="F3411" s="7" t="s">
        <v>720</v>
      </c>
      <c r="G3411" s="7" t="s">
        <v>358</v>
      </c>
      <c r="H3411" s="7" t="s">
        <v>466</v>
      </c>
      <c r="I3411" s="7" t="s">
        <v>355</v>
      </c>
      <c r="J3411" s="14"/>
      <c r="O3411" s="22"/>
      <c r="P3411" s="22"/>
      <c r="Q3411" s="23"/>
      <c r="R3411" s="23"/>
      <c r="S3411" s="14"/>
    </row>
    <row r="3412" ht="18.75" customHeight="1">
      <c r="A3412" s="7" t="s">
        <v>719</v>
      </c>
      <c r="B3412" s="7" t="s">
        <v>3884</v>
      </c>
      <c r="C3412" s="9">
        <v>898232.0</v>
      </c>
      <c r="D3412" s="9">
        <v>0.0</v>
      </c>
      <c r="E3412" s="9">
        <v>577.0</v>
      </c>
      <c r="F3412" s="7" t="s">
        <v>720</v>
      </c>
      <c r="G3412" s="7" t="s">
        <v>358</v>
      </c>
      <c r="H3412" s="7" t="s">
        <v>466</v>
      </c>
      <c r="I3412" s="7" t="s">
        <v>355</v>
      </c>
      <c r="J3412" s="14"/>
      <c r="O3412" s="22"/>
      <c r="P3412" s="22"/>
      <c r="Q3412" s="23"/>
      <c r="R3412" s="23"/>
      <c r="S3412" s="14"/>
    </row>
    <row r="3413" ht="18.75" customHeight="1">
      <c r="A3413" s="7" t="s">
        <v>719</v>
      </c>
      <c r="B3413" s="7" t="s">
        <v>3884</v>
      </c>
      <c r="C3413" s="9">
        <v>886850.0</v>
      </c>
      <c r="D3413" s="9">
        <v>679013.0</v>
      </c>
      <c r="E3413" s="9">
        <v>436.0</v>
      </c>
      <c r="F3413" s="7" t="s">
        <v>720</v>
      </c>
      <c r="G3413" s="7" t="s">
        <v>358</v>
      </c>
      <c r="H3413" s="7" t="s">
        <v>466</v>
      </c>
      <c r="I3413" s="7" t="s">
        <v>355</v>
      </c>
      <c r="J3413" s="14"/>
      <c r="O3413" s="22"/>
      <c r="P3413" s="22"/>
      <c r="Q3413" s="23"/>
      <c r="R3413" s="23"/>
      <c r="S3413" s="14"/>
    </row>
    <row r="3414" ht="18.75" customHeight="1">
      <c r="A3414" s="7" t="s">
        <v>719</v>
      </c>
      <c r="B3414" s="7" t="s">
        <v>3884</v>
      </c>
      <c r="C3414" s="9">
        <v>491193.0</v>
      </c>
      <c r="D3414" s="9">
        <v>315128.0</v>
      </c>
      <c r="E3414" s="9">
        <v>1099.0</v>
      </c>
      <c r="F3414" s="7" t="s">
        <v>720</v>
      </c>
      <c r="G3414" s="7" t="s">
        <v>358</v>
      </c>
      <c r="H3414" s="7" t="s">
        <v>466</v>
      </c>
      <c r="I3414" s="7" t="s">
        <v>355</v>
      </c>
      <c r="J3414" s="14"/>
      <c r="O3414" s="22"/>
      <c r="P3414" s="22"/>
      <c r="Q3414" s="23"/>
      <c r="R3414" s="23"/>
      <c r="S3414" s="14"/>
    </row>
    <row r="3415" ht="18.75" customHeight="1">
      <c r="A3415" s="7" t="s">
        <v>621</v>
      </c>
      <c r="B3415" s="7" t="s">
        <v>3884</v>
      </c>
      <c r="C3415" s="9">
        <v>108799.0</v>
      </c>
      <c r="D3415" s="9">
        <v>0.0</v>
      </c>
      <c r="E3415" s="9">
        <v>267.0</v>
      </c>
      <c r="F3415" s="7" t="s">
        <v>622</v>
      </c>
      <c r="G3415" s="7" t="s">
        <v>353</v>
      </c>
      <c r="H3415" s="7" t="s">
        <v>354</v>
      </c>
      <c r="I3415" s="7" t="s">
        <v>355</v>
      </c>
      <c r="J3415" s="14"/>
      <c r="O3415" s="22"/>
      <c r="P3415" s="22"/>
      <c r="Q3415" s="23"/>
      <c r="R3415" s="23"/>
      <c r="S3415" s="14"/>
    </row>
    <row r="3416" ht="18.75" customHeight="1">
      <c r="A3416" s="7" t="s">
        <v>621</v>
      </c>
      <c r="B3416" s="7" t="s">
        <v>3884</v>
      </c>
      <c r="C3416" s="9">
        <v>40107.0</v>
      </c>
      <c r="D3416" s="9">
        <v>27401.0</v>
      </c>
      <c r="E3416" s="9">
        <v>69.0</v>
      </c>
      <c r="F3416" s="7" t="s">
        <v>622</v>
      </c>
      <c r="G3416" s="7" t="s">
        <v>353</v>
      </c>
      <c r="H3416" s="7" t="s">
        <v>354</v>
      </c>
      <c r="I3416" s="7" t="s">
        <v>355</v>
      </c>
      <c r="J3416" s="14"/>
      <c r="O3416" s="22"/>
      <c r="P3416" s="22"/>
      <c r="Q3416" s="23"/>
      <c r="R3416" s="23"/>
      <c r="S3416" s="14"/>
    </row>
    <row r="3417" ht="18.75" customHeight="1">
      <c r="A3417" s="7" t="s">
        <v>601</v>
      </c>
      <c r="B3417" s="7" t="s">
        <v>3884</v>
      </c>
      <c r="C3417" s="9">
        <v>0.0</v>
      </c>
      <c r="D3417" s="9">
        <v>0.0</v>
      </c>
      <c r="E3417" s="9">
        <v>0.0</v>
      </c>
      <c r="F3417" s="7" t="s">
        <v>602</v>
      </c>
      <c r="G3417" s="7" t="s">
        <v>416</v>
      </c>
      <c r="H3417" s="7" t="s">
        <v>417</v>
      </c>
      <c r="I3417" s="7" t="s">
        <v>355</v>
      </c>
      <c r="J3417" s="14"/>
      <c r="O3417" s="22"/>
      <c r="P3417" s="22"/>
      <c r="Q3417" s="23"/>
      <c r="R3417" s="23"/>
      <c r="S3417" s="14"/>
    </row>
    <row r="3418" ht="18.75" customHeight="1">
      <c r="A3418" s="7" t="s">
        <v>601</v>
      </c>
      <c r="B3418" s="7" t="s">
        <v>3884</v>
      </c>
      <c r="C3418" s="9">
        <v>892689.0</v>
      </c>
      <c r="D3418" s="9">
        <v>790756.0</v>
      </c>
      <c r="E3418" s="9">
        <v>339.0</v>
      </c>
      <c r="F3418" s="7" t="s">
        <v>602</v>
      </c>
      <c r="G3418" s="7" t="s">
        <v>416</v>
      </c>
      <c r="H3418" s="7" t="s">
        <v>417</v>
      </c>
      <c r="I3418" s="7" t="s">
        <v>355</v>
      </c>
      <c r="J3418" s="14"/>
      <c r="O3418" s="22"/>
      <c r="P3418" s="22"/>
      <c r="Q3418" s="23"/>
      <c r="R3418" s="23"/>
      <c r="S3418" s="14"/>
    </row>
    <row r="3419" ht="18.75" customHeight="1">
      <c r="A3419" s="7" t="s">
        <v>481</v>
      </c>
      <c r="B3419" s="7" t="s">
        <v>3884</v>
      </c>
      <c r="C3419" s="9">
        <v>1844285.0</v>
      </c>
      <c r="D3419" s="9">
        <v>0.0</v>
      </c>
      <c r="E3419" s="9">
        <v>2245.0</v>
      </c>
      <c r="F3419" s="7" t="s">
        <v>482</v>
      </c>
      <c r="G3419" s="7" t="s">
        <v>404</v>
      </c>
      <c r="H3419" s="7" t="s">
        <v>405</v>
      </c>
      <c r="I3419" s="7" t="s">
        <v>355</v>
      </c>
      <c r="J3419" s="14"/>
      <c r="O3419" s="22"/>
      <c r="P3419" s="22"/>
      <c r="Q3419" s="23"/>
      <c r="R3419" s="23"/>
      <c r="S3419" s="14"/>
    </row>
    <row r="3420" ht="18.75" customHeight="1">
      <c r="A3420" s="7" t="s">
        <v>481</v>
      </c>
      <c r="B3420" s="7" t="s">
        <v>3884</v>
      </c>
      <c r="C3420" s="9">
        <v>1661612.0</v>
      </c>
      <c r="D3420" s="9">
        <v>0.0</v>
      </c>
      <c r="E3420" s="9">
        <v>1785.0</v>
      </c>
      <c r="F3420" s="7" t="s">
        <v>482</v>
      </c>
      <c r="G3420" s="7" t="s">
        <v>404</v>
      </c>
      <c r="H3420" s="7" t="s">
        <v>405</v>
      </c>
      <c r="I3420" s="7" t="s">
        <v>355</v>
      </c>
      <c r="J3420" s="14"/>
      <c r="O3420" s="22"/>
      <c r="P3420" s="22"/>
      <c r="Q3420" s="23"/>
      <c r="R3420" s="23"/>
      <c r="S3420" s="14"/>
    </row>
    <row r="3421" ht="18.75" customHeight="1">
      <c r="A3421" s="7" t="s">
        <v>481</v>
      </c>
      <c r="B3421" s="7" t="s">
        <v>3884</v>
      </c>
      <c r="C3421" s="9">
        <v>741594.0</v>
      </c>
      <c r="D3421" s="9">
        <v>485238.0</v>
      </c>
      <c r="E3421" s="9">
        <v>297.0</v>
      </c>
      <c r="F3421" s="7" t="s">
        <v>482</v>
      </c>
      <c r="G3421" s="7" t="s">
        <v>404</v>
      </c>
      <c r="H3421" s="7" t="s">
        <v>405</v>
      </c>
      <c r="I3421" s="7" t="s">
        <v>355</v>
      </c>
      <c r="J3421" s="14"/>
      <c r="O3421" s="22"/>
      <c r="P3421" s="22"/>
      <c r="Q3421" s="23"/>
      <c r="R3421" s="23"/>
      <c r="S3421" s="14"/>
    </row>
    <row r="3422" ht="18.75" customHeight="1">
      <c r="A3422" s="7" t="s">
        <v>481</v>
      </c>
      <c r="B3422" s="7" t="s">
        <v>3884</v>
      </c>
      <c r="C3422" s="9">
        <v>1308111.0</v>
      </c>
      <c r="D3422" s="9">
        <v>710393.0</v>
      </c>
      <c r="E3422" s="9">
        <v>617.0</v>
      </c>
      <c r="F3422" s="7" t="s">
        <v>482</v>
      </c>
      <c r="G3422" s="7" t="s">
        <v>404</v>
      </c>
      <c r="H3422" s="7" t="s">
        <v>405</v>
      </c>
      <c r="I3422" s="7" t="s">
        <v>355</v>
      </c>
      <c r="J3422" s="14"/>
      <c r="O3422" s="22"/>
      <c r="P3422" s="22"/>
      <c r="Q3422" s="23"/>
      <c r="R3422" s="23"/>
      <c r="S3422" s="14"/>
    </row>
    <row r="3423" ht="18.75" customHeight="1">
      <c r="A3423" s="7" t="s">
        <v>763</v>
      </c>
      <c r="B3423" s="7" t="s">
        <v>3884</v>
      </c>
      <c r="C3423" s="9">
        <v>966262.0</v>
      </c>
      <c r="D3423" s="9">
        <v>0.0</v>
      </c>
      <c r="E3423" s="9">
        <v>1140.0</v>
      </c>
      <c r="F3423" s="7" t="s">
        <v>764</v>
      </c>
      <c r="G3423" s="7" t="s">
        <v>364</v>
      </c>
      <c r="H3423" s="7" t="s">
        <v>365</v>
      </c>
      <c r="I3423" s="7" t="s">
        <v>355</v>
      </c>
      <c r="J3423" s="14"/>
      <c r="O3423" s="22"/>
      <c r="P3423" s="22"/>
      <c r="Q3423" s="23"/>
      <c r="R3423" s="23"/>
      <c r="S3423" s="14"/>
    </row>
    <row r="3424" ht="18.75" customHeight="1">
      <c r="A3424" s="7" t="s">
        <v>668</v>
      </c>
      <c r="B3424" s="7" t="s">
        <v>3884</v>
      </c>
      <c r="C3424" s="9">
        <v>173840.0</v>
      </c>
      <c r="D3424" s="9">
        <v>109975.0</v>
      </c>
      <c r="E3424" s="9">
        <v>377.0</v>
      </c>
      <c r="F3424" s="7" t="s">
        <v>669</v>
      </c>
      <c r="G3424" s="7" t="s">
        <v>416</v>
      </c>
      <c r="H3424" s="7" t="s">
        <v>417</v>
      </c>
      <c r="I3424" s="7" t="s">
        <v>355</v>
      </c>
      <c r="J3424" s="14"/>
      <c r="O3424" s="22"/>
      <c r="P3424" s="22"/>
      <c r="Q3424" s="23"/>
      <c r="R3424" s="23"/>
      <c r="S3424" s="14"/>
    </row>
    <row r="3425" ht="18.75" customHeight="1">
      <c r="A3425" s="7" t="s">
        <v>721</v>
      </c>
      <c r="B3425" s="7" t="s">
        <v>3884</v>
      </c>
      <c r="C3425" s="9">
        <v>967437.0</v>
      </c>
      <c r="D3425" s="9">
        <v>0.0</v>
      </c>
      <c r="E3425" s="9">
        <v>1243.0</v>
      </c>
      <c r="F3425" s="7" t="s">
        <v>722</v>
      </c>
      <c r="G3425" s="7" t="s">
        <v>358</v>
      </c>
      <c r="H3425" s="7" t="s">
        <v>466</v>
      </c>
      <c r="I3425" s="7" t="s">
        <v>355</v>
      </c>
      <c r="J3425" s="14"/>
      <c r="O3425" s="22"/>
      <c r="P3425" s="22"/>
      <c r="Q3425" s="23"/>
      <c r="R3425" s="23"/>
      <c r="S3425" s="14"/>
    </row>
    <row r="3426" ht="18.75" customHeight="1">
      <c r="A3426" s="7" t="s">
        <v>721</v>
      </c>
      <c r="B3426" s="7" t="s">
        <v>3884</v>
      </c>
      <c r="C3426" s="9">
        <v>800866.0</v>
      </c>
      <c r="D3426" s="9">
        <v>0.0</v>
      </c>
      <c r="E3426" s="9">
        <v>615.0</v>
      </c>
      <c r="F3426" s="7" t="s">
        <v>722</v>
      </c>
      <c r="G3426" s="7" t="s">
        <v>358</v>
      </c>
      <c r="H3426" s="7" t="s">
        <v>466</v>
      </c>
      <c r="I3426" s="7" t="s">
        <v>355</v>
      </c>
      <c r="J3426" s="14"/>
      <c r="O3426" s="22"/>
      <c r="P3426" s="22"/>
      <c r="Q3426" s="23"/>
      <c r="R3426" s="23"/>
      <c r="S3426" s="14"/>
    </row>
    <row r="3427" ht="18.75" customHeight="1">
      <c r="A3427" s="7" t="s">
        <v>670</v>
      </c>
      <c r="B3427" s="7" t="s">
        <v>3884</v>
      </c>
      <c r="C3427" s="9">
        <v>326070.0</v>
      </c>
      <c r="D3427" s="9">
        <v>192707.0</v>
      </c>
      <c r="E3427" s="9">
        <v>754.0</v>
      </c>
      <c r="F3427" s="7" t="s">
        <v>671</v>
      </c>
      <c r="G3427" s="7" t="s">
        <v>416</v>
      </c>
      <c r="H3427" s="7" t="s">
        <v>417</v>
      </c>
      <c r="I3427" s="7" t="s">
        <v>355</v>
      </c>
      <c r="J3427" s="14"/>
      <c r="O3427" s="22"/>
      <c r="P3427" s="22"/>
      <c r="Q3427" s="23"/>
      <c r="R3427" s="23"/>
      <c r="S3427" s="14"/>
    </row>
    <row r="3428" ht="18.75" customHeight="1">
      <c r="A3428" s="7" t="s">
        <v>651</v>
      </c>
      <c r="B3428" s="7" t="s">
        <v>3884</v>
      </c>
      <c r="C3428" s="9">
        <v>2379064.0</v>
      </c>
      <c r="D3428" s="9">
        <v>0.0</v>
      </c>
      <c r="E3428" s="9">
        <v>2249.0</v>
      </c>
      <c r="F3428" s="7" t="s">
        <v>652</v>
      </c>
      <c r="G3428" s="7" t="s">
        <v>353</v>
      </c>
      <c r="H3428" s="7" t="s">
        <v>378</v>
      </c>
      <c r="I3428" s="7" t="s">
        <v>355</v>
      </c>
      <c r="J3428" s="14"/>
      <c r="O3428" s="22"/>
      <c r="P3428" s="22"/>
      <c r="Q3428" s="23"/>
      <c r="R3428" s="23"/>
      <c r="S3428" s="14"/>
    </row>
    <row r="3429" ht="18.75" customHeight="1">
      <c r="A3429" s="7" t="s">
        <v>651</v>
      </c>
      <c r="B3429" s="7" t="s">
        <v>3884</v>
      </c>
      <c r="C3429" s="9">
        <v>20779.0</v>
      </c>
      <c r="D3429" s="9">
        <v>0.0</v>
      </c>
      <c r="E3429" s="9">
        <v>295.0</v>
      </c>
      <c r="F3429" s="7" t="s">
        <v>652</v>
      </c>
      <c r="G3429" s="7" t="s">
        <v>353</v>
      </c>
      <c r="H3429" s="7" t="s">
        <v>378</v>
      </c>
      <c r="I3429" s="7" t="s">
        <v>355</v>
      </c>
      <c r="J3429" s="14"/>
      <c r="O3429" s="22"/>
      <c r="P3429" s="22"/>
      <c r="Q3429" s="23"/>
      <c r="R3429" s="23"/>
      <c r="S3429" s="14"/>
    </row>
    <row r="3430" ht="18.75" customHeight="1">
      <c r="A3430" s="7" t="s">
        <v>802</v>
      </c>
      <c r="B3430" s="7" t="s">
        <v>3884</v>
      </c>
      <c r="C3430" s="9">
        <v>777066.0</v>
      </c>
      <c r="D3430" s="9">
        <v>0.0</v>
      </c>
      <c r="E3430" s="9">
        <v>6575.0</v>
      </c>
      <c r="F3430" s="7" t="s">
        <v>803</v>
      </c>
      <c r="G3430" s="7" t="s">
        <v>416</v>
      </c>
      <c r="H3430" s="7" t="s">
        <v>417</v>
      </c>
      <c r="I3430" s="7" t="s">
        <v>355</v>
      </c>
      <c r="J3430" s="14"/>
      <c r="O3430" s="22"/>
      <c r="P3430" s="22"/>
      <c r="Q3430" s="23"/>
      <c r="R3430" s="23"/>
      <c r="S3430" s="14"/>
    </row>
    <row r="3431" ht="18.75" customHeight="1">
      <c r="A3431" s="7" t="s">
        <v>769</v>
      </c>
      <c r="B3431" s="7" t="s">
        <v>3884</v>
      </c>
      <c r="C3431" s="9">
        <v>2059818.0</v>
      </c>
      <c r="D3431" s="9">
        <v>0.0</v>
      </c>
      <c r="E3431" s="9">
        <v>1519.0</v>
      </c>
      <c r="F3431" s="7" t="s">
        <v>770</v>
      </c>
      <c r="G3431" s="7" t="s">
        <v>404</v>
      </c>
      <c r="H3431" s="7" t="s">
        <v>405</v>
      </c>
      <c r="I3431" s="7" t="s">
        <v>355</v>
      </c>
      <c r="J3431" s="14"/>
      <c r="O3431" s="22"/>
      <c r="P3431" s="22"/>
      <c r="Q3431" s="23"/>
      <c r="R3431" s="23"/>
      <c r="S3431" s="14"/>
    </row>
    <row r="3432" ht="18.75" customHeight="1">
      <c r="A3432" s="7" t="s">
        <v>769</v>
      </c>
      <c r="B3432" s="7" t="s">
        <v>3884</v>
      </c>
      <c r="C3432" s="9">
        <v>1410942.0</v>
      </c>
      <c r="D3432" s="9">
        <v>1075762.0</v>
      </c>
      <c r="E3432" s="9">
        <v>616.0</v>
      </c>
      <c r="F3432" s="7" t="s">
        <v>770</v>
      </c>
      <c r="G3432" s="7" t="s">
        <v>404</v>
      </c>
      <c r="H3432" s="7" t="s">
        <v>405</v>
      </c>
      <c r="I3432" s="7" t="s">
        <v>355</v>
      </c>
      <c r="J3432" s="14"/>
      <c r="O3432" s="22"/>
      <c r="P3432" s="22"/>
      <c r="Q3432" s="23"/>
      <c r="R3432" s="23"/>
      <c r="S3432" s="14"/>
    </row>
    <row r="3433" ht="18.75" customHeight="1">
      <c r="A3433" s="7" t="s">
        <v>769</v>
      </c>
      <c r="B3433" s="7" t="s">
        <v>3884</v>
      </c>
      <c r="C3433" s="9">
        <v>26473.0</v>
      </c>
      <c r="D3433" s="9">
        <v>25939.0</v>
      </c>
      <c r="E3433" s="9">
        <v>3.0</v>
      </c>
      <c r="F3433" s="7" t="s">
        <v>770</v>
      </c>
      <c r="G3433" s="7" t="s">
        <v>404</v>
      </c>
      <c r="H3433" s="7" t="s">
        <v>405</v>
      </c>
      <c r="I3433" s="7" t="s">
        <v>355</v>
      </c>
      <c r="J3433" s="14"/>
      <c r="O3433" s="22"/>
      <c r="P3433" s="22"/>
      <c r="Q3433" s="23"/>
      <c r="R3433" s="23"/>
      <c r="S3433" s="14"/>
    </row>
    <row r="3434" ht="18.75" customHeight="1">
      <c r="A3434" s="7" t="s">
        <v>769</v>
      </c>
      <c r="B3434" s="7" t="s">
        <v>3884</v>
      </c>
      <c r="C3434" s="9">
        <v>0.0</v>
      </c>
      <c r="D3434" s="9">
        <v>0.0</v>
      </c>
      <c r="E3434" s="9">
        <v>0.0</v>
      </c>
      <c r="F3434" s="7" t="s">
        <v>770</v>
      </c>
      <c r="G3434" s="7" t="s">
        <v>404</v>
      </c>
      <c r="H3434" s="7" t="s">
        <v>405</v>
      </c>
      <c r="I3434" s="7" t="s">
        <v>355</v>
      </c>
      <c r="J3434" s="14"/>
      <c r="O3434" s="22"/>
      <c r="P3434" s="22"/>
      <c r="Q3434" s="23"/>
      <c r="R3434" s="23"/>
      <c r="S3434" s="14"/>
    </row>
    <row r="3435" ht="18.75" customHeight="1">
      <c r="A3435" s="7" t="s">
        <v>769</v>
      </c>
      <c r="B3435" s="7" t="s">
        <v>3884</v>
      </c>
      <c r="C3435" s="9">
        <v>33038.0</v>
      </c>
      <c r="D3435" s="9">
        <v>0.0</v>
      </c>
      <c r="E3435" s="9">
        <v>27.0</v>
      </c>
      <c r="F3435" s="7" t="s">
        <v>770</v>
      </c>
      <c r="G3435" s="7" t="s">
        <v>404</v>
      </c>
      <c r="H3435" s="7" t="s">
        <v>405</v>
      </c>
      <c r="I3435" s="7" t="s">
        <v>355</v>
      </c>
      <c r="J3435" s="14"/>
      <c r="O3435" s="22"/>
      <c r="P3435" s="22"/>
      <c r="Q3435" s="23"/>
      <c r="R3435" s="23"/>
      <c r="S3435" s="14"/>
    </row>
    <row r="3436" ht="18.75" customHeight="1">
      <c r="A3436" s="7" t="s">
        <v>726</v>
      </c>
      <c r="B3436" s="7" t="s">
        <v>3884</v>
      </c>
      <c r="C3436" s="9">
        <v>994774.0</v>
      </c>
      <c r="D3436" s="9">
        <v>778740.0</v>
      </c>
      <c r="E3436" s="9">
        <v>561.0</v>
      </c>
      <c r="F3436" s="7" t="s">
        <v>727</v>
      </c>
      <c r="G3436" s="7" t="s">
        <v>416</v>
      </c>
      <c r="H3436" s="7" t="s">
        <v>417</v>
      </c>
      <c r="I3436" s="7" t="s">
        <v>355</v>
      </c>
      <c r="J3436" s="14"/>
      <c r="O3436" s="22"/>
      <c r="P3436" s="22"/>
      <c r="Q3436" s="23"/>
      <c r="R3436" s="23"/>
      <c r="S3436" s="14"/>
    </row>
    <row r="3437" ht="18.75" customHeight="1">
      <c r="A3437" s="7" t="s">
        <v>792</v>
      </c>
      <c r="B3437" s="7" t="s">
        <v>3884</v>
      </c>
      <c r="C3437" s="9">
        <v>409815.0</v>
      </c>
      <c r="D3437" s="9">
        <v>0.0</v>
      </c>
      <c r="E3437" s="9">
        <v>564.0</v>
      </c>
      <c r="F3437" s="7" t="s">
        <v>793</v>
      </c>
      <c r="G3437" s="7" t="s">
        <v>364</v>
      </c>
      <c r="H3437" s="7" t="s">
        <v>365</v>
      </c>
      <c r="I3437" s="7" t="s">
        <v>355</v>
      </c>
      <c r="J3437" s="14"/>
      <c r="O3437" s="22"/>
      <c r="P3437" s="22"/>
      <c r="Q3437" s="23"/>
      <c r="R3437" s="23"/>
      <c r="S3437" s="14"/>
    </row>
    <row r="3438" ht="18.75" customHeight="1">
      <c r="A3438" s="7" t="s">
        <v>792</v>
      </c>
      <c r="B3438" s="7" t="s">
        <v>3884</v>
      </c>
      <c r="C3438" s="9">
        <v>459325.0</v>
      </c>
      <c r="D3438" s="9">
        <v>0.0</v>
      </c>
      <c r="E3438" s="9">
        <v>535.0</v>
      </c>
      <c r="F3438" s="7" t="s">
        <v>793</v>
      </c>
      <c r="G3438" s="7" t="s">
        <v>364</v>
      </c>
      <c r="H3438" s="7" t="s">
        <v>365</v>
      </c>
      <c r="I3438" s="7" t="s">
        <v>355</v>
      </c>
      <c r="J3438" s="14"/>
      <c r="O3438" s="22"/>
      <c r="P3438" s="22"/>
      <c r="Q3438" s="23"/>
      <c r="R3438" s="23"/>
      <c r="S3438" s="14"/>
    </row>
    <row r="3439" ht="18.75" customHeight="1">
      <c r="A3439" s="7" t="s">
        <v>701</v>
      </c>
      <c r="B3439" s="7" t="s">
        <v>3884</v>
      </c>
      <c r="C3439" s="9">
        <v>387255.0</v>
      </c>
      <c r="D3439" s="9">
        <v>276269.0</v>
      </c>
      <c r="E3439" s="9">
        <v>357.0</v>
      </c>
      <c r="F3439" s="7" t="s">
        <v>702</v>
      </c>
      <c r="G3439" s="7" t="s">
        <v>353</v>
      </c>
      <c r="H3439" s="7" t="s">
        <v>378</v>
      </c>
      <c r="I3439" s="7" t="s">
        <v>355</v>
      </c>
      <c r="J3439" s="14"/>
      <c r="O3439" s="22"/>
      <c r="P3439" s="22"/>
      <c r="Q3439" s="23"/>
      <c r="R3439" s="23"/>
      <c r="S3439" s="14"/>
    </row>
    <row r="3440" ht="18.75" customHeight="1">
      <c r="A3440" s="7" t="s">
        <v>701</v>
      </c>
      <c r="B3440" s="7" t="s">
        <v>3884</v>
      </c>
      <c r="C3440" s="9">
        <v>603907.0</v>
      </c>
      <c r="D3440" s="9">
        <v>350622.0</v>
      </c>
      <c r="E3440" s="9">
        <v>822.0</v>
      </c>
      <c r="F3440" s="7" t="s">
        <v>702</v>
      </c>
      <c r="G3440" s="7" t="s">
        <v>353</v>
      </c>
      <c r="H3440" s="7" t="s">
        <v>378</v>
      </c>
      <c r="I3440" s="7" t="s">
        <v>355</v>
      </c>
      <c r="J3440" s="14"/>
      <c r="O3440" s="22"/>
      <c r="P3440" s="22"/>
      <c r="Q3440" s="23"/>
      <c r="R3440" s="23"/>
      <c r="S3440" s="14"/>
    </row>
    <row r="3441" ht="18.75" customHeight="1">
      <c r="A3441" s="7" t="s">
        <v>767</v>
      </c>
      <c r="B3441" s="7" t="s">
        <v>3884</v>
      </c>
      <c r="C3441" s="9">
        <v>439045.0</v>
      </c>
      <c r="D3441" s="9">
        <v>288571.0</v>
      </c>
      <c r="E3441" s="9">
        <v>299.0</v>
      </c>
      <c r="F3441" s="7" t="s">
        <v>768</v>
      </c>
      <c r="G3441" s="7" t="s">
        <v>358</v>
      </c>
      <c r="H3441" s="7" t="s">
        <v>466</v>
      </c>
      <c r="I3441" s="7" t="s">
        <v>355</v>
      </c>
      <c r="J3441" s="14"/>
      <c r="O3441" s="22"/>
      <c r="P3441" s="22"/>
      <c r="Q3441" s="23"/>
      <c r="R3441" s="23"/>
      <c r="S3441" s="14"/>
    </row>
    <row r="3442" ht="18.75" customHeight="1">
      <c r="A3442" s="7" t="s">
        <v>767</v>
      </c>
      <c r="B3442" s="7" t="s">
        <v>3884</v>
      </c>
      <c r="C3442" s="9">
        <v>656079.0</v>
      </c>
      <c r="D3442" s="9">
        <v>488974.0</v>
      </c>
      <c r="E3442" s="9">
        <v>586.0</v>
      </c>
      <c r="F3442" s="7" t="s">
        <v>768</v>
      </c>
      <c r="G3442" s="7" t="s">
        <v>358</v>
      </c>
      <c r="H3442" s="7" t="s">
        <v>466</v>
      </c>
      <c r="I3442" s="7" t="s">
        <v>355</v>
      </c>
      <c r="J3442" s="14"/>
      <c r="O3442" s="22"/>
      <c r="P3442" s="22"/>
      <c r="Q3442" s="23"/>
      <c r="R3442" s="23"/>
      <c r="S3442" s="14"/>
    </row>
    <row r="3443" ht="18.75" customHeight="1">
      <c r="A3443" s="7" t="s">
        <v>758</v>
      </c>
      <c r="B3443" s="7" t="s">
        <v>3884</v>
      </c>
      <c r="C3443" s="9">
        <v>450269.0</v>
      </c>
      <c r="D3443" s="9">
        <v>0.0</v>
      </c>
      <c r="E3443" s="9">
        <v>307.0</v>
      </c>
      <c r="F3443" s="7" t="s">
        <v>759</v>
      </c>
      <c r="G3443" s="7" t="s">
        <v>404</v>
      </c>
      <c r="H3443" s="7" t="s">
        <v>760</v>
      </c>
      <c r="I3443" s="7" t="s">
        <v>355</v>
      </c>
      <c r="J3443" s="14"/>
      <c r="O3443" s="22"/>
      <c r="P3443" s="22"/>
      <c r="Q3443" s="23"/>
      <c r="R3443" s="23"/>
      <c r="S3443" s="14"/>
    </row>
    <row r="3444" ht="18.75" customHeight="1">
      <c r="A3444" s="7" t="s">
        <v>713</v>
      </c>
      <c r="B3444" s="7" t="s">
        <v>3884</v>
      </c>
      <c r="C3444" s="9">
        <v>0.0</v>
      </c>
      <c r="D3444" s="9">
        <v>0.0</v>
      </c>
      <c r="E3444" s="9">
        <v>0.0</v>
      </c>
      <c r="F3444" s="7" t="s">
        <v>714</v>
      </c>
      <c r="G3444" s="7" t="s">
        <v>353</v>
      </c>
      <c r="H3444" s="7" t="s">
        <v>378</v>
      </c>
      <c r="I3444" s="7" t="s">
        <v>355</v>
      </c>
      <c r="J3444" s="14"/>
      <c r="O3444" s="22"/>
      <c r="P3444" s="22"/>
      <c r="Q3444" s="23"/>
      <c r="R3444" s="23"/>
      <c r="S3444" s="14"/>
    </row>
    <row r="3445" ht="18.75" customHeight="1">
      <c r="A3445" s="7" t="s">
        <v>713</v>
      </c>
      <c r="B3445" s="7" t="s">
        <v>3884</v>
      </c>
      <c r="C3445" s="9">
        <v>0.0</v>
      </c>
      <c r="D3445" s="9">
        <v>0.0</v>
      </c>
      <c r="E3445" s="9">
        <v>0.0</v>
      </c>
      <c r="F3445" s="7" t="s">
        <v>714</v>
      </c>
      <c r="G3445" s="7" t="s">
        <v>353</v>
      </c>
      <c r="H3445" s="7" t="s">
        <v>378</v>
      </c>
      <c r="I3445" s="7" t="s">
        <v>355</v>
      </c>
      <c r="J3445" s="14"/>
      <c r="O3445" s="22"/>
      <c r="P3445" s="22"/>
      <c r="Q3445" s="23"/>
      <c r="R3445" s="23"/>
      <c r="S3445" s="14"/>
    </row>
    <row r="3446" ht="18.75" customHeight="1">
      <c r="A3446" s="7" t="s">
        <v>728</v>
      </c>
      <c r="B3446" s="7" t="s">
        <v>3884</v>
      </c>
      <c r="C3446" s="9">
        <v>227398.0</v>
      </c>
      <c r="D3446" s="9">
        <v>179430.0</v>
      </c>
      <c r="E3446" s="9">
        <v>136.0</v>
      </c>
      <c r="F3446" s="7" t="s">
        <v>729</v>
      </c>
      <c r="G3446" s="7" t="s">
        <v>416</v>
      </c>
      <c r="H3446" s="7" t="s">
        <v>417</v>
      </c>
      <c r="I3446" s="7" t="s">
        <v>355</v>
      </c>
      <c r="J3446" s="14"/>
      <c r="O3446" s="22"/>
      <c r="P3446" s="22"/>
      <c r="Q3446" s="23"/>
      <c r="R3446" s="23"/>
      <c r="S3446" s="14"/>
    </row>
    <row r="3447" ht="18.75" customHeight="1">
      <c r="A3447" s="7" t="s">
        <v>817</v>
      </c>
      <c r="B3447" s="7" t="s">
        <v>3884</v>
      </c>
      <c r="C3447" s="9">
        <v>0.0</v>
      </c>
      <c r="D3447" s="9">
        <v>0.0</v>
      </c>
      <c r="E3447" s="9">
        <v>0.0</v>
      </c>
      <c r="F3447" s="7" t="s">
        <v>818</v>
      </c>
      <c r="G3447" s="7" t="s">
        <v>364</v>
      </c>
      <c r="H3447" s="7" t="s">
        <v>365</v>
      </c>
      <c r="I3447" s="7" t="s">
        <v>355</v>
      </c>
      <c r="J3447" s="14"/>
      <c r="O3447" s="22"/>
      <c r="P3447" s="22"/>
      <c r="Q3447" s="23"/>
      <c r="R3447" s="23"/>
      <c r="S3447" s="14"/>
    </row>
    <row r="3448" ht="18.75" customHeight="1">
      <c r="A3448" s="7" t="s">
        <v>817</v>
      </c>
      <c r="B3448" s="7" t="s">
        <v>3884</v>
      </c>
      <c r="C3448" s="9">
        <v>0.0</v>
      </c>
      <c r="D3448" s="9">
        <v>0.0</v>
      </c>
      <c r="E3448" s="9">
        <v>0.0</v>
      </c>
      <c r="F3448" s="7" t="s">
        <v>818</v>
      </c>
      <c r="G3448" s="7" t="s">
        <v>364</v>
      </c>
      <c r="H3448" s="7" t="s">
        <v>365</v>
      </c>
      <c r="I3448" s="7" t="s">
        <v>355</v>
      </c>
      <c r="J3448" s="14"/>
      <c r="O3448" s="22"/>
      <c r="P3448" s="22"/>
      <c r="Q3448" s="23"/>
      <c r="R3448" s="23"/>
      <c r="S3448" s="14"/>
    </row>
    <row r="3449" ht="18.75" customHeight="1">
      <c r="A3449" s="7" t="s">
        <v>730</v>
      </c>
      <c r="B3449" s="7" t="s">
        <v>3884</v>
      </c>
      <c r="C3449" s="9">
        <v>256994.0</v>
      </c>
      <c r="D3449" s="9">
        <v>190921.0</v>
      </c>
      <c r="E3449" s="9">
        <v>168.0</v>
      </c>
      <c r="F3449" s="7" t="s">
        <v>731</v>
      </c>
      <c r="G3449" s="7" t="s">
        <v>416</v>
      </c>
      <c r="H3449" s="7" t="s">
        <v>417</v>
      </c>
      <c r="I3449" s="7" t="s">
        <v>355</v>
      </c>
      <c r="J3449" s="14"/>
      <c r="O3449" s="22"/>
      <c r="P3449" s="22"/>
      <c r="Q3449" s="23"/>
      <c r="R3449" s="23"/>
      <c r="S3449" s="14"/>
    </row>
    <row r="3450" ht="18.75" customHeight="1">
      <c r="A3450" s="7" t="s">
        <v>777</v>
      </c>
      <c r="B3450" s="7" t="s">
        <v>3884</v>
      </c>
      <c r="C3450" s="9">
        <v>0.0</v>
      </c>
      <c r="D3450" s="9">
        <v>0.0</v>
      </c>
      <c r="E3450" s="9">
        <v>0.0</v>
      </c>
      <c r="F3450" s="7" t="s">
        <v>778</v>
      </c>
      <c r="G3450" s="7" t="s">
        <v>353</v>
      </c>
      <c r="H3450" s="7" t="s">
        <v>725</v>
      </c>
      <c r="I3450" s="7" t="s">
        <v>355</v>
      </c>
      <c r="J3450" s="14"/>
      <c r="O3450" s="22"/>
      <c r="P3450" s="22"/>
      <c r="Q3450" s="23"/>
      <c r="R3450" s="23"/>
      <c r="S3450" s="14"/>
    </row>
    <row r="3451" ht="18.75" customHeight="1">
      <c r="A3451" s="7" t="s">
        <v>777</v>
      </c>
      <c r="B3451" s="7" t="s">
        <v>3884</v>
      </c>
      <c r="C3451" s="9">
        <v>0.0</v>
      </c>
      <c r="D3451" s="9">
        <v>0.0</v>
      </c>
      <c r="E3451" s="9">
        <v>0.0</v>
      </c>
      <c r="F3451" s="7" t="s">
        <v>778</v>
      </c>
      <c r="G3451" s="7" t="s">
        <v>353</v>
      </c>
      <c r="H3451" s="7" t="s">
        <v>725</v>
      </c>
      <c r="I3451" s="7" t="s">
        <v>355</v>
      </c>
      <c r="J3451" s="14"/>
      <c r="O3451" s="22"/>
      <c r="P3451" s="22"/>
      <c r="Q3451" s="23"/>
      <c r="R3451" s="23"/>
      <c r="S3451" s="14"/>
    </row>
    <row r="3452" ht="18.75" customHeight="1">
      <c r="A3452" s="7" t="s">
        <v>836</v>
      </c>
      <c r="B3452" s="7" t="s">
        <v>3884</v>
      </c>
      <c r="C3452" s="9">
        <v>879001.0</v>
      </c>
      <c r="D3452" s="9">
        <v>0.0</v>
      </c>
      <c r="E3452" s="9">
        <v>1018.0</v>
      </c>
      <c r="F3452" s="7" t="s">
        <v>837</v>
      </c>
      <c r="G3452" s="7" t="s">
        <v>416</v>
      </c>
      <c r="H3452" s="7" t="s">
        <v>417</v>
      </c>
      <c r="I3452" s="7" t="s">
        <v>355</v>
      </c>
      <c r="J3452" s="14"/>
      <c r="O3452" s="22"/>
      <c r="P3452" s="22"/>
      <c r="Q3452" s="23"/>
      <c r="R3452" s="23"/>
      <c r="S3452" s="14"/>
    </row>
    <row r="3453" ht="18.75" customHeight="1">
      <c r="A3453" s="7" t="s">
        <v>815</v>
      </c>
      <c r="B3453" s="7" t="s">
        <v>3884</v>
      </c>
      <c r="C3453" s="9">
        <v>0.0</v>
      </c>
      <c r="D3453" s="9">
        <v>0.0</v>
      </c>
      <c r="E3453" s="9">
        <v>0.0</v>
      </c>
      <c r="F3453" s="7" t="s">
        <v>816</v>
      </c>
      <c r="G3453" s="7" t="s">
        <v>404</v>
      </c>
      <c r="H3453" s="7" t="s">
        <v>783</v>
      </c>
      <c r="I3453" s="7" t="s">
        <v>355</v>
      </c>
      <c r="J3453" s="14"/>
      <c r="O3453" s="22"/>
      <c r="P3453" s="22"/>
      <c r="Q3453" s="23"/>
      <c r="R3453" s="23"/>
      <c r="S3453" s="14"/>
    </row>
    <row r="3454" ht="18.75" customHeight="1">
      <c r="A3454" s="7" t="s">
        <v>533</v>
      </c>
      <c r="B3454" s="7" t="s">
        <v>3884</v>
      </c>
      <c r="C3454" s="9">
        <v>1579545.0</v>
      </c>
      <c r="D3454" s="9">
        <v>984450.0</v>
      </c>
      <c r="E3454" s="9">
        <v>1937.0</v>
      </c>
      <c r="F3454" s="7" t="s">
        <v>534</v>
      </c>
      <c r="G3454" s="7" t="s">
        <v>358</v>
      </c>
      <c r="H3454" s="7" t="s">
        <v>359</v>
      </c>
      <c r="I3454" s="7" t="s">
        <v>355</v>
      </c>
      <c r="J3454" s="14"/>
      <c r="O3454" s="22"/>
      <c r="P3454" s="22"/>
      <c r="Q3454" s="23"/>
      <c r="R3454" s="23"/>
      <c r="S3454" s="14"/>
    </row>
    <row r="3455" ht="18.75" customHeight="1">
      <c r="A3455" s="7" t="s">
        <v>533</v>
      </c>
      <c r="B3455" s="7" t="s">
        <v>3884</v>
      </c>
      <c r="C3455" s="9">
        <v>47950.0</v>
      </c>
      <c r="D3455" s="9">
        <v>46236.0</v>
      </c>
      <c r="E3455" s="9">
        <v>7.0</v>
      </c>
      <c r="F3455" s="7" t="s">
        <v>534</v>
      </c>
      <c r="G3455" s="7" t="s">
        <v>358</v>
      </c>
      <c r="H3455" s="7" t="s">
        <v>359</v>
      </c>
      <c r="I3455" s="7" t="s">
        <v>355</v>
      </c>
      <c r="J3455" s="14"/>
      <c r="O3455" s="22"/>
      <c r="P3455" s="22"/>
      <c r="Q3455" s="23"/>
      <c r="R3455" s="23"/>
      <c r="S3455" s="14"/>
    </row>
    <row r="3456" ht="18.75" customHeight="1">
      <c r="A3456" s="7" t="s">
        <v>533</v>
      </c>
      <c r="B3456" s="7" t="s">
        <v>3884</v>
      </c>
      <c r="C3456" s="9">
        <v>39999.0</v>
      </c>
      <c r="D3456" s="9">
        <v>39901.0</v>
      </c>
      <c r="E3456" s="9">
        <v>0.0</v>
      </c>
      <c r="F3456" s="7" t="s">
        <v>534</v>
      </c>
      <c r="G3456" s="7" t="s">
        <v>358</v>
      </c>
      <c r="H3456" s="7" t="s">
        <v>359</v>
      </c>
      <c r="I3456" s="7" t="s">
        <v>355</v>
      </c>
      <c r="J3456" s="14"/>
      <c r="O3456" s="22"/>
      <c r="P3456" s="22"/>
      <c r="Q3456" s="23"/>
      <c r="R3456" s="23"/>
      <c r="S3456" s="14"/>
    </row>
    <row r="3457" ht="18.75" customHeight="1">
      <c r="A3457" s="7" t="s">
        <v>533</v>
      </c>
      <c r="B3457" s="7" t="s">
        <v>3884</v>
      </c>
      <c r="C3457" s="9">
        <v>22594.0</v>
      </c>
      <c r="D3457" s="9">
        <v>0.0</v>
      </c>
      <c r="E3457" s="9">
        <v>1503.0</v>
      </c>
      <c r="F3457" s="7" t="s">
        <v>534</v>
      </c>
      <c r="G3457" s="7" t="s">
        <v>358</v>
      </c>
      <c r="H3457" s="7" t="s">
        <v>359</v>
      </c>
      <c r="I3457" s="7" t="s">
        <v>355</v>
      </c>
      <c r="J3457" s="14"/>
      <c r="O3457" s="22"/>
      <c r="P3457" s="22"/>
      <c r="Q3457" s="23"/>
      <c r="R3457" s="23"/>
      <c r="S3457" s="14"/>
    </row>
    <row r="3458" ht="18.75" customHeight="1">
      <c r="A3458" s="7" t="s">
        <v>533</v>
      </c>
      <c r="B3458" s="7" t="s">
        <v>3884</v>
      </c>
      <c r="C3458" s="9">
        <v>117503.0</v>
      </c>
      <c r="D3458" s="9">
        <v>0.0</v>
      </c>
      <c r="E3458" s="9">
        <v>108.0</v>
      </c>
      <c r="F3458" s="7" t="s">
        <v>534</v>
      </c>
      <c r="G3458" s="7" t="s">
        <v>358</v>
      </c>
      <c r="H3458" s="7" t="s">
        <v>359</v>
      </c>
      <c r="I3458" s="7" t="s">
        <v>355</v>
      </c>
      <c r="J3458" s="14"/>
      <c r="O3458" s="22"/>
      <c r="P3458" s="22"/>
      <c r="Q3458" s="23"/>
      <c r="R3458" s="23"/>
      <c r="S3458" s="14"/>
    </row>
    <row r="3459" ht="18.75" customHeight="1">
      <c r="A3459" s="7" t="s">
        <v>535</v>
      </c>
      <c r="B3459" s="7" t="s">
        <v>3884</v>
      </c>
      <c r="C3459" s="9">
        <v>685955.0</v>
      </c>
      <c r="D3459" s="9">
        <v>0.0</v>
      </c>
      <c r="E3459" s="9">
        <v>1416.0</v>
      </c>
      <c r="F3459" s="7" t="s">
        <v>536</v>
      </c>
      <c r="G3459" s="7" t="s">
        <v>358</v>
      </c>
      <c r="H3459" s="7" t="s">
        <v>359</v>
      </c>
      <c r="I3459" s="7" t="s">
        <v>355</v>
      </c>
      <c r="J3459" s="14"/>
      <c r="O3459" s="22"/>
      <c r="P3459" s="22"/>
      <c r="Q3459" s="23"/>
      <c r="R3459" s="23"/>
      <c r="S3459" s="14"/>
    </row>
    <row r="3460" ht="18.75" customHeight="1">
      <c r="A3460" s="7" t="s">
        <v>535</v>
      </c>
      <c r="B3460" s="7" t="s">
        <v>3884</v>
      </c>
      <c r="C3460" s="9">
        <v>11255.0</v>
      </c>
      <c r="D3460" s="9">
        <v>0.0</v>
      </c>
      <c r="E3460" s="9">
        <v>751.0</v>
      </c>
      <c r="F3460" s="7" t="s">
        <v>536</v>
      </c>
      <c r="G3460" s="7" t="s">
        <v>358</v>
      </c>
      <c r="H3460" s="7" t="s">
        <v>359</v>
      </c>
      <c r="I3460" s="7" t="s">
        <v>355</v>
      </c>
      <c r="J3460" s="14"/>
      <c r="O3460" s="22"/>
      <c r="P3460" s="22"/>
      <c r="Q3460" s="23"/>
      <c r="R3460" s="23"/>
      <c r="S3460" s="14"/>
    </row>
    <row r="3461" ht="18.75" customHeight="1">
      <c r="A3461" s="7" t="s">
        <v>537</v>
      </c>
      <c r="B3461" s="7" t="s">
        <v>3884</v>
      </c>
      <c r="C3461" s="9">
        <v>212268.0</v>
      </c>
      <c r="D3461" s="9">
        <v>0.0</v>
      </c>
      <c r="E3461" s="9">
        <v>272.0</v>
      </c>
      <c r="F3461" s="7" t="s">
        <v>538</v>
      </c>
      <c r="G3461" s="7" t="s">
        <v>358</v>
      </c>
      <c r="H3461" s="7" t="s">
        <v>359</v>
      </c>
      <c r="I3461" s="7" t="s">
        <v>355</v>
      </c>
      <c r="J3461" s="14"/>
      <c r="O3461" s="22"/>
      <c r="P3461" s="22"/>
      <c r="Q3461" s="23"/>
      <c r="R3461" s="23"/>
      <c r="S3461" s="14"/>
    </row>
    <row r="3462" ht="18.75" customHeight="1">
      <c r="A3462" s="7" t="s">
        <v>537</v>
      </c>
      <c r="B3462" s="7" t="s">
        <v>3884</v>
      </c>
      <c r="C3462" s="9">
        <v>75077.0</v>
      </c>
      <c r="D3462" s="9">
        <v>0.0</v>
      </c>
      <c r="E3462" s="9">
        <v>3217.0</v>
      </c>
      <c r="F3462" s="7" t="s">
        <v>538</v>
      </c>
      <c r="G3462" s="7" t="s">
        <v>358</v>
      </c>
      <c r="H3462" s="7" t="s">
        <v>359</v>
      </c>
      <c r="I3462" s="7" t="s">
        <v>355</v>
      </c>
      <c r="J3462" s="14"/>
      <c r="O3462" s="22"/>
      <c r="P3462" s="22"/>
      <c r="Q3462" s="23"/>
      <c r="R3462" s="23"/>
      <c r="S3462" s="14"/>
    </row>
    <row r="3463" ht="18.75" customHeight="1">
      <c r="A3463" s="7" t="s">
        <v>625</v>
      </c>
      <c r="B3463" s="7" t="s">
        <v>3884</v>
      </c>
      <c r="C3463" s="9">
        <v>335773.0</v>
      </c>
      <c r="D3463" s="9">
        <v>0.0</v>
      </c>
      <c r="E3463" s="9">
        <v>569.0</v>
      </c>
      <c r="F3463" s="7" t="s">
        <v>626</v>
      </c>
      <c r="G3463" s="7" t="s">
        <v>353</v>
      </c>
      <c r="H3463" s="7" t="s">
        <v>354</v>
      </c>
      <c r="I3463" s="7" t="s">
        <v>355</v>
      </c>
      <c r="J3463" s="14"/>
      <c r="O3463" s="22"/>
      <c r="P3463" s="22"/>
      <c r="Q3463" s="23"/>
      <c r="R3463" s="23"/>
      <c r="S3463" s="14"/>
    </row>
    <row r="3464" ht="18.75" customHeight="1">
      <c r="A3464" s="7" t="s">
        <v>680</v>
      </c>
      <c r="B3464" s="7" t="s">
        <v>3884</v>
      </c>
      <c r="C3464" s="9">
        <v>1119277.0</v>
      </c>
      <c r="D3464" s="9">
        <v>803531.0</v>
      </c>
      <c r="E3464" s="9">
        <v>486.0</v>
      </c>
      <c r="F3464" s="7" t="s">
        <v>681</v>
      </c>
      <c r="G3464" s="7" t="s">
        <v>358</v>
      </c>
      <c r="H3464" s="7" t="s">
        <v>466</v>
      </c>
      <c r="I3464" s="7" t="s">
        <v>355</v>
      </c>
      <c r="J3464" s="14"/>
      <c r="O3464" s="22"/>
      <c r="P3464" s="22"/>
      <c r="Q3464" s="23"/>
      <c r="R3464" s="23"/>
      <c r="S3464" s="14"/>
    </row>
    <row r="3465" ht="18.75" customHeight="1">
      <c r="A3465" s="7" t="s">
        <v>701</v>
      </c>
      <c r="B3465" s="7" t="s">
        <v>3884</v>
      </c>
      <c r="C3465" s="9">
        <v>42677.0</v>
      </c>
      <c r="D3465" s="9">
        <v>29753.0</v>
      </c>
      <c r="E3465" s="9">
        <v>64.0</v>
      </c>
      <c r="F3465" s="7" t="s">
        <v>702</v>
      </c>
      <c r="G3465" s="7" t="s">
        <v>353</v>
      </c>
      <c r="H3465" s="7" t="s">
        <v>378</v>
      </c>
      <c r="I3465" s="7" t="s">
        <v>355</v>
      </c>
      <c r="J3465" s="14"/>
      <c r="O3465" s="22"/>
      <c r="P3465" s="22"/>
      <c r="Q3465" s="23"/>
      <c r="R3465" s="23"/>
      <c r="S3465" s="14"/>
    </row>
    <row r="3466" ht="18.75" customHeight="1">
      <c r="A3466" s="7" t="s">
        <v>701</v>
      </c>
      <c r="B3466" s="7" t="s">
        <v>3884</v>
      </c>
      <c r="C3466" s="9">
        <v>60098.0</v>
      </c>
      <c r="D3466" s="9">
        <v>34371.0</v>
      </c>
      <c r="E3466" s="9">
        <v>52.0</v>
      </c>
      <c r="F3466" s="7" t="s">
        <v>702</v>
      </c>
      <c r="G3466" s="7" t="s">
        <v>353</v>
      </c>
      <c r="H3466" s="7" t="s">
        <v>378</v>
      </c>
      <c r="I3466" s="7" t="s">
        <v>355</v>
      </c>
      <c r="J3466" s="14"/>
      <c r="O3466" s="22"/>
      <c r="P3466" s="22"/>
      <c r="Q3466" s="23"/>
      <c r="R3466" s="23"/>
      <c r="S3466" s="14"/>
    </row>
    <row r="3467" ht="18.75" customHeight="1">
      <c r="A3467" s="7" t="s">
        <v>713</v>
      </c>
      <c r="B3467" s="7" t="s">
        <v>3884</v>
      </c>
      <c r="C3467" s="9">
        <v>1521123.0</v>
      </c>
      <c r="D3467" s="9">
        <v>0.0</v>
      </c>
      <c r="E3467" s="9">
        <v>2314.0</v>
      </c>
      <c r="F3467" s="7" t="s">
        <v>714</v>
      </c>
      <c r="G3467" s="7" t="s">
        <v>353</v>
      </c>
      <c r="H3467" s="7" t="s">
        <v>378</v>
      </c>
      <c r="I3467" s="7" t="s">
        <v>355</v>
      </c>
      <c r="J3467" s="14"/>
      <c r="O3467" s="22"/>
      <c r="P3467" s="22"/>
      <c r="Q3467" s="23"/>
      <c r="R3467" s="23"/>
      <c r="S3467" s="14"/>
    </row>
    <row r="3468" ht="18.75" customHeight="1">
      <c r="A3468" s="7" t="s">
        <v>713</v>
      </c>
      <c r="B3468" s="7" t="s">
        <v>3884</v>
      </c>
      <c r="C3468" s="9">
        <v>1625374.0</v>
      </c>
      <c r="D3468" s="9">
        <v>0.0</v>
      </c>
      <c r="E3468" s="9">
        <v>1816.0</v>
      </c>
      <c r="F3468" s="7" t="s">
        <v>714</v>
      </c>
      <c r="G3468" s="7" t="s">
        <v>353</v>
      </c>
      <c r="H3468" s="7" t="s">
        <v>378</v>
      </c>
      <c r="I3468" s="7" t="s">
        <v>355</v>
      </c>
      <c r="J3468" s="14"/>
      <c r="O3468" s="22"/>
      <c r="P3468" s="22"/>
      <c r="Q3468" s="23"/>
      <c r="R3468" s="23"/>
      <c r="S3468" s="14"/>
    </row>
    <row r="3469" ht="18.75" customHeight="1">
      <c r="A3469" s="7" t="s">
        <v>713</v>
      </c>
      <c r="B3469" s="7" t="s">
        <v>3884</v>
      </c>
      <c r="C3469" s="9">
        <v>3345664.0</v>
      </c>
      <c r="D3469" s="9">
        <v>2077636.0</v>
      </c>
      <c r="E3469" s="9">
        <v>955.0</v>
      </c>
      <c r="F3469" s="7" t="s">
        <v>714</v>
      </c>
      <c r="G3469" s="7" t="s">
        <v>353</v>
      </c>
      <c r="H3469" s="7" t="s">
        <v>378</v>
      </c>
      <c r="I3469" s="7" t="s">
        <v>355</v>
      </c>
      <c r="J3469" s="14"/>
      <c r="O3469" s="22"/>
      <c r="P3469" s="22"/>
      <c r="Q3469" s="23"/>
      <c r="R3469" s="23"/>
      <c r="S3469" s="14"/>
    </row>
    <row r="3470" ht="18.75" customHeight="1">
      <c r="A3470" s="7" t="s">
        <v>713</v>
      </c>
      <c r="B3470" s="7" t="s">
        <v>3884</v>
      </c>
      <c r="C3470" s="9">
        <v>2099267.0</v>
      </c>
      <c r="D3470" s="9">
        <v>1121177.0</v>
      </c>
      <c r="E3470" s="9">
        <v>2224.0</v>
      </c>
      <c r="F3470" s="7" t="s">
        <v>714</v>
      </c>
      <c r="G3470" s="7" t="s">
        <v>353</v>
      </c>
      <c r="H3470" s="7" t="s">
        <v>378</v>
      </c>
      <c r="I3470" s="7" t="s">
        <v>355</v>
      </c>
      <c r="J3470" s="14"/>
      <c r="O3470" s="22"/>
      <c r="P3470" s="22"/>
      <c r="Q3470" s="23"/>
      <c r="R3470" s="23"/>
      <c r="S3470" s="14"/>
    </row>
    <row r="3471" ht="18.75" customHeight="1">
      <c r="A3471" s="7" t="s">
        <v>719</v>
      </c>
      <c r="B3471" s="7" t="s">
        <v>3884</v>
      </c>
      <c r="C3471" s="9">
        <v>2666603.0</v>
      </c>
      <c r="D3471" s="9">
        <v>0.0</v>
      </c>
      <c r="E3471" s="9">
        <v>3505.0</v>
      </c>
      <c r="F3471" s="7" t="s">
        <v>720</v>
      </c>
      <c r="G3471" s="7" t="s">
        <v>358</v>
      </c>
      <c r="H3471" s="7" t="s">
        <v>466</v>
      </c>
      <c r="I3471" s="7" t="s">
        <v>355</v>
      </c>
      <c r="J3471" s="14"/>
      <c r="O3471" s="22"/>
      <c r="P3471" s="22"/>
      <c r="Q3471" s="23"/>
      <c r="R3471" s="23"/>
      <c r="S3471" s="14"/>
    </row>
    <row r="3472" ht="18.75" customHeight="1">
      <c r="A3472" s="7" t="s">
        <v>719</v>
      </c>
      <c r="B3472" s="7" t="s">
        <v>3884</v>
      </c>
      <c r="C3472" s="9">
        <v>1838799.0</v>
      </c>
      <c r="D3472" s="9">
        <v>0.0</v>
      </c>
      <c r="E3472" s="9">
        <v>1326.0</v>
      </c>
      <c r="F3472" s="7" t="s">
        <v>720</v>
      </c>
      <c r="G3472" s="7" t="s">
        <v>358</v>
      </c>
      <c r="H3472" s="7" t="s">
        <v>466</v>
      </c>
      <c r="I3472" s="7" t="s">
        <v>355</v>
      </c>
      <c r="J3472" s="14"/>
      <c r="O3472" s="22"/>
      <c r="P3472" s="22"/>
      <c r="Q3472" s="23"/>
      <c r="R3472" s="23"/>
      <c r="S3472" s="14"/>
    </row>
    <row r="3473" ht="18.75" customHeight="1">
      <c r="A3473" s="7" t="s">
        <v>719</v>
      </c>
      <c r="B3473" s="7" t="s">
        <v>3884</v>
      </c>
      <c r="C3473" s="9">
        <v>1362195.0</v>
      </c>
      <c r="D3473" s="9">
        <v>827194.0</v>
      </c>
      <c r="E3473" s="9">
        <v>437.0</v>
      </c>
      <c r="F3473" s="7" t="s">
        <v>720</v>
      </c>
      <c r="G3473" s="7" t="s">
        <v>358</v>
      </c>
      <c r="H3473" s="7" t="s">
        <v>466</v>
      </c>
      <c r="I3473" s="7" t="s">
        <v>355</v>
      </c>
      <c r="J3473" s="14"/>
      <c r="O3473" s="22"/>
      <c r="P3473" s="22"/>
      <c r="Q3473" s="23"/>
      <c r="R3473" s="23"/>
      <c r="S3473" s="14"/>
    </row>
    <row r="3474" ht="18.75" customHeight="1">
      <c r="A3474" s="7" t="s">
        <v>719</v>
      </c>
      <c r="B3474" s="7" t="s">
        <v>3884</v>
      </c>
      <c r="C3474" s="9">
        <v>9212108.0</v>
      </c>
      <c r="D3474" s="9">
        <v>7513366.0</v>
      </c>
      <c r="E3474" s="9">
        <v>4950.0</v>
      </c>
      <c r="F3474" s="7" t="s">
        <v>720</v>
      </c>
      <c r="G3474" s="7" t="s">
        <v>358</v>
      </c>
      <c r="H3474" s="7" t="s">
        <v>466</v>
      </c>
      <c r="I3474" s="7" t="s">
        <v>355</v>
      </c>
      <c r="J3474" s="14"/>
      <c r="O3474" s="22"/>
      <c r="P3474" s="22"/>
      <c r="Q3474" s="23"/>
      <c r="R3474" s="23"/>
      <c r="S3474" s="14"/>
    </row>
    <row r="3475" ht="18.75" customHeight="1">
      <c r="A3475" s="7" t="s">
        <v>721</v>
      </c>
      <c r="B3475" s="7" t="s">
        <v>3884</v>
      </c>
      <c r="C3475" s="9">
        <v>1375717.0</v>
      </c>
      <c r="D3475" s="9">
        <v>0.0</v>
      </c>
      <c r="E3475" s="9">
        <v>1862.0</v>
      </c>
      <c r="F3475" s="7" t="s">
        <v>722</v>
      </c>
      <c r="G3475" s="7" t="s">
        <v>358</v>
      </c>
      <c r="H3475" s="7" t="s">
        <v>466</v>
      </c>
      <c r="I3475" s="7" t="s">
        <v>355</v>
      </c>
      <c r="J3475" s="14"/>
      <c r="O3475" s="22"/>
      <c r="P3475" s="22"/>
      <c r="Q3475" s="23"/>
      <c r="R3475" s="23"/>
      <c r="S3475" s="14"/>
    </row>
    <row r="3476" ht="18.75" customHeight="1">
      <c r="A3476" s="7" t="s">
        <v>721</v>
      </c>
      <c r="B3476" s="7" t="s">
        <v>3884</v>
      </c>
      <c r="C3476" s="9">
        <v>1316190.0</v>
      </c>
      <c r="D3476" s="9">
        <v>0.0</v>
      </c>
      <c r="E3476" s="9">
        <v>1261.0</v>
      </c>
      <c r="F3476" s="7" t="s">
        <v>722</v>
      </c>
      <c r="G3476" s="7" t="s">
        <v>358</v>
      </c>
      <c r="H3476" s="7" t="s">
        <v>466</v>
      </c>
      <c r="I3476" s="7" t="s">
        <v>355</v>
      </c>
      <c r="J3476" s="14"/>
      <c r="O3476" s="22"/>
      <c r="P3476" s="22"/>
      <c r="Q3476" s="23"/>
      <c r="R3476" s="23"/>
      <c r="S3476" s="14"/>
    </row>
    <row r="3477" ht="18.75" customHeight="1">
      <c r="A3477" s="7" t="s">
        <v>758</v>
      </c>
      <c r="B3477" s="7" t="s">
        <v>3884</v>
      </c>
      <c r="C3477" s="9">
        <v>0.0</v>
      </c>
      <c r="D3477" s="9">
        <v>0.0</v>
      </c>
      <c r="E3477" s="9">
        <v>0.0</v>
      </c>
      <c r="F3477" s="7" t="s">
        <v>759</v>
      </c>
      <c r="G3477" s="7" t="s">
        <v>404</v>
      </c>
      <c r="H3477" s="7" t="s">
        <v>760</v>
      </c>
      <c r="I3477" s="7" t="s">
        <v>355</v>
      </c>
      <c r="J3477" s="14"/>
      <c r="O3477" s="22"/>
      <c r="P3477" s="22"/>
      <c r="Q3477" s="23"/>
      <c r="R3477" s="23"/>
      <c r="S3477" s="14"/>
    </row>
    <row r="3478" ht="18.75" customHeight="1">
      <c r="A3478" s="7" t="s">
        <v>670</v>
      </c>
      <c r="B3478" s="7" t="s">
        <v>3884</v>
      </c>
      <c r="C3478" s="9">
        <v>67774.0</v>
      </c>
      <c r="D3478" s="9">
        <v>37493.0</v>
      </c>
      <c r="E3478" s="9">
        <v>184.0</v>
      </c>
      <c r="F3478" s="7" t="s">
        <v>671</v>
      </c>
      <c r="G3478" s="7" t="s">
        <v>416</v>
      </c>
      <c r="H3478" s="7" t="s">
        <v>417</v>
      </c>
      <c r="I3478" s="7" t="s">
        <v>355</v>
      </c>
      <c r="J3478" s="14"/>
      <c r="O3478" s="22"/>
      <c r="P3478" s="22"/>
      <c r="Q3478" s="23"/>
      <c r="R3478" s="23"/>
      <c r="S3478" s="14"/>
    </row>
    <row r="3479" ht="18.75" customHeight="1">
      <c r="A3479" s="7" t="s">
        <v>767</v>
      </c>
      <c r="B3479" s="7" t="s">
        <v>3884</v>
      </c>
      <c r="C3479" s="9">
        <v>22969.0</v>
      </c>
      <c r="D3479" s="9">
        <v>12978.0</v>
      </c>
      <c r="E3479" s="9">
        <v>19.0</v>
      </c>
      <c r="F3479" s="7" t="s">
        <v>768</v>
      </c>
      <c r="G3479" s="7" t="s">
        <v>358</v>
      </c>
      <c r="H3479" s="7" t="s">
        <v>466</v>
      </c>
      <c r="I3479" s="7" t="s">
        <v>355</v>
      </c>
      <c r="J3479" s="14"/>
      <c r="O3479" s="22"/>
      <c r="P3479" s="22"/>
      <c r="Q3479" s="23"/>
      <c r="R3479" s="23"/>
      <c r="S3479" s="14"/>
    </row>
    <row r="3480" ht="18.75" customHeight="1">
      <c r="A3480" s="7" t="s">
        <v>767</v>
      </c>
      <c r="B3480" s="7" t="s">
        <v>3884</v>
      </c>
      <c r="C3480" s="9">
        <v>29797.0</v>
      </c>
      <c r="D3480" s="9">
        <v>21057.0</v>
      </c>
      <c r="E3480" s="9">
        <v>60.0</v>
      </c>
      <c r="F3480" s="7" t="s">
        <v>768</v>
      </c>
      <c r="G3480" s="7" t="s">
        <v>358</v>
      </c>
      <c r="H3480" s="7" t="s">
        <v>466</v>
      </c>
      <c r="I3480" s="7" t="s">
        <v>355</v>
      </c>
      <c r="J3480" s="14"/>
      <c r="O3480" s="22"/>
      <c r="P3480" s="22"/>
      <c r="Q3480" s="23"/>
      <c r="R3480" s="23"/>
      <c r="S3480" s="14"/>
    </row>
    <row r="3481" ht="18.75" customHeight="1">
      <c r="A3481" s="7" t="s">
        <v>777</v>
      </c>
      <c r="B3481" s="7" t="s">
        <v>3884</v>
      </c>
      <c r="C3481" s="9">
        <v>495511.0</v>
      </c>
      <c r="D3481" s="9">
        <v>0.0</v>
      </c>
      <c r="E3481" s="9">
        <v>634.0</v>
      </c>
      <c r="F3481" s="7" t="s">
        <v>778</v>
      </c>
      <c r="G3481" s="7" t="s">
        <v>353</v>
      </c>
      <c r="H3481" s="7" t="s">
        <v>725</v>
      </c>
      <c r="I3481" s="7" t="s">
        <v>355</v>
      </c>
      <c r="J3481" s="14"/>
      <c r="O3481" s="22"/>
      <c r="P3481" s="22"/>
      <c r="Q3481" s="23"/>
      <c r="R3481" s="23"/>
      <c r="S3481" s="14"/>
    </row>
    <row r="3482" ht="18.75" customHeight="1">
      <c r="A3482" s="7" t="s">
        <v>777</v>
      </c>
      <c r="B3482" s="7" t="s">
        <v>3884</v>
      </c>
      <c r="C3482" s="9">
        <v>11182.0</v>
      </c>
      <c r="D3482" s="9">
        <v>0.0</v>
      </c>
      <c r="E3482" s="9">
        <v>519.0</v>
      </c>
      <c r="F3482" s="7" t="s">
        <v>778</v>
      </c>
      <c r="G3482" s="7" t="s">
        <v>353</v>
      </c>
      <c r="H3482" s="7" t="s">
        <v>725</v>
      </c>
      <c r="I3482" s="7" t="s">
        <v>355</v>
      </c>
      <c r="J3482" s="14"/>
      <c r="O3482" s="22"/>
      <c r="P3482" s="22"/>
      <c r="Q3482" s="23"/>
      <c r="R3482" s="23"/>
      <c r="S3482" s="14"/>
    </row>
    <row r="3483" ht="18.75" customHeight="1">
      <c r="A3483" s="7" t="s">
        <v>651</v>
      </c>
      <c r="B3483" s="7" t="s">
        <v>3884</v>
      </c>
      <c r="C3483" s="9">
        <v>4513235.0</v>
      </c>
      <c r="D3483" s="9">
        <v>0.0</v>
      </c>
      <c r="E3483" s="9">
        <v>5438.0</v>
      </c>
      <c r="F3483" s="7" t="s">
        <v>652</v>
      </c>
      <c r="G3483" s="7" t="s">
        <v>353</v>
      </c>
      <c r="H3483" s="7" t="s">
        <v>378</v>
      </c>
      <c r="I3483" s="7" t="s">
        <v>355</v>
      </c>
      <c r="J3483" s="14"/>
      <c r="O3483" s="22"/>
      <c r="P3483" s="22"/>
      <c r="Q3483" s="23"/>
      <c r="R3483" s="23"/>
      <c r="S3483" s="14"/>
    </row>
    <row r="3484" ht="18.75" customHeight="1">
      <c r="A3484" s="7" t="s">
        <v>651</v>
      </c>
      <c r="B3484" s="7" t="s">
        <v>3884</v>
      </c>
      <c r="C3484" s="9">
        <v>90181.0</v>
      </c>
      <c r="D3484" s="9">
        <v>0.0</v>
      </c>
      <c r="E3484" s="9">
        <v>2128.0</v>
      </c>
      <c r="F3484" s="7" t="s">
        <v>652</v>
      </c>
      <c r="G3484" s="7" t="s">
        <v>353</v>
      </c>
      <c r="H3484" s="7" t="s">
        <v>378</v>
      </c>
      <c r="I3484" s="7" t="s">
        <v>355</v>
      </c>
      <c r="J3484" s="14"/>
      <c r="O3484" s="22"/>
      <c r="P3484" s="22"/>
      <c r="Q3484" s="23"/>
      <c r="R3484" s="23"/>
      <c r="S3484" s="14"/>
    </row>
    <row r="3485" ht="18.75" customHeight="1">
      <c r="A3485" s="7" t="s">
        <v>792</v>
      </c>
      <c r="B3485" s="7" t="s">
        <v>3884</v>
      </c>
      <c r="C3485" s="9">
        <v>1257.0</v>
      </c>
      <c r="D3485" s="9">
        <v>0.0</v>
      </c>
      <c r="E3485" s="9">
        <v>10.0</v>
      </c>
      <c r="F3485" s="7" t="s">
        <v>793</v>
      </c>
      <c r="G3485" s="7" t="s">
        <v>364</v>
      </c>
      <c r="H3485" s="7" t="s">
        <v>365</v>
      </c>
      <c r="I3485" s="7" t="s">
        <v>355</v>
      </c>
      <c r="J3485" s="14"/>
      <c r="O3485" s="22"/>
      <c r="P3485" s="22"/>
      <c r="Q3485" s="23"/>
      <c r="R3485" s="23"/>
      <c r="S3485" s="14"/>
    </row>
    <row r="3486" ht="18.75" customHeight="1">
      <c r="A3486" s="7" t="s">
        <v>792</v>
      </c>
      <c r="B3486" s="7" t="s">
        <v>3884</v>
      </c>
      <c r="C3486" s="9">
        <v>5087.0</v>
      </c>
      <c r="D3486" s="9">
        <v>0.0</v>
      </c>
      <c r="E3486" s="9">
        <v>6.0</v>
      </c>
      <c r="F3486" s="7" t="s">
        <v>793</v>
      </c>
      <c r="G3486" s="7" t="s">
        <v>364</v>
      </c>
      <c r="H3486" s="7" t="s">
        <v>365</v>
      </c>
      <c r="I3486" s="7" t="s">
        <v>355</v>
      </c>
      <c r="J3486" s="14"/>
      <c r="O3486" s="22"/>
      <c r="P3486" s="22"/>
      <c r="Q3486" s="23"/>
      <c r="R3486" s="23"/>
      <c r="S3486" s="14"/>
    </row>
    <row r="3487" ht="18.75" customHeight="1">
      <c r="A3487" s="7" t="s">
        <v>726</v>
      </c>
      <c r="B3487" s="7" t="s">
        <v>3884</v>
      </c>
      <c r="C3487" s="9">
        <v>484300.0</v>
      </c>
      <c r="D3487" s="9">
        <v>357963.0</v>
      </c>
      <c r="E3487" s="9">
        <v>340.0</v>
      </c>
      <c r="F3487" s="7" t="s">
        <v>727</v>
      </c>
      <c r="G3487" s="7" t="s">
        <v>416</v>
      </c>
      <c r="H3487" s="7" t="s">
        <v>417</v>
      </c>
      <c r="I3487" s="7" t="s">
        <v>355</v>
      </c>
      <c r="J3487" s="14"/>
      <c r="O3487" s="22"/>
      <c r="P3487" s="22"/>
      <c r="Q3487" s="23"/>
      <c r="R3487" s="23"/>
      <c r="S3487" s="14"/>
    </row>
    <row r="3488" ht="18.75" customHeight="1">
      <c r="A3488" s="7" t="s">
        <v>817</v>
      </c>
      <c r="B3488" s="7" t="s">
        <v>3884</v>
      </c>
      <c r="C3488" s="9">
        <v>0.0</v>
      </c>
      <c r="D3488" s="9">
        <v>0.0</v>
      </c>
      <c r="E3488" s="9">
        <v>0.0</v>
      </c>
      <c r="F3488" s="7" t="s">
        <v>818</v>
      </c>
      <c r="G3488" s="7" t="s">
        <v>364</v>
      </c>
      <c r="H3488" s="7" t="s">
        <v>365</v>
      </c>
      <c r="I3488" s="7" t="s">
        <v>355</v>
      </c>
      <c r="J3488" s="14"/>
      <c r="O3488" s="22"/>
      <c r="P3488" s="22"/>
      <c r="Q3488" s="23"/>
      <c r="R3488" s="23"/>
      <c r="S3488" s="14"/>
    </row>
    <row r="3489" ht="18.75" customHeight="1">
      <c r="A3489" s="7" t="s">
        <v>817</v>
      </c>
      <c r="B3489" s="7" t="s">
        <v>3884</v>
      </c>
      <c r="C3489" s="9">
        <v>0.0</v>
      </c>
      <c r="D3489" s="9">
        <v>0.0</v>
      </c>
      <c r="E3489" s="9">
        <v>0.0</v>
      </c>
      <c r="F3489" s="7" t="s">
        <v>818</v>
      </c>
      <c r="G3489" s="7" t="s">
        <v>364</v>
      </c>
      <c r="H3489" s="7" t="s">
        <v>365</v>
      </c>
      <c r="I3489" s="7" t="s">
        <v>355</v>
      </c>
      <c r="J3489" s="14"/>
      <c r="O3489" s="22"/>
      <c r="P3489" s="22"/>
      <c r="Q3489" s="23"/>
      <c r="R3489" s="23"/>
      <c r="S3489" s="14"/>
    </row>
    <row r="3490" ht="18.75" customHeight="1">
      <c r="A3490" s="7" t="s">
        <v>815</v>
      </c>
      <c r="B3490" s="7" t="s">
        <v>3884</v>
      </c>
      <c r="C3490" s="9">
        <v>0.0</v>
      </c>
      <c r="D3490" s="9">
        <v>0.0</v>
      </c>
      <c r="E3490" s="9">
        <v>0.0</v>
      </c>
      <c r="F3490" s="7" t="s">
        <v>816</v>
      </c>
      <c r="G3490" s="7" t="s">
        <v>404</v>
      </c>
      <c r="H3490" s="7" t="s">
        <v>783</v>
      </c>
      <c r="I3490" s="7" t="s">
        <v>355</v>
      </c>
      <c r="J3490" s="14"/>
      <c r="O3490" s="22"/>
      <c r="P3490" s="22"/>
      <c r="Q3490" s="23"/>
      <c r="R3490" s="23"/>
      <c r="S3490" s="14"/>
    </row>
    <row r="3491" ht="18.75" customHeight="1">
      <c r="A3491" s="7" t="s">
        <v>815</v>
      </c>
      <c r="B3491" s="7" t="s">
        <v>3884</v>
      </c>
      <c r="C3491" s="9">
        <v>0.0</v>
      </c>
      <c r="D3491" s="9">
        <v>0.0</v>
      </c>
      <c r="E3491" s="9">
        <v>0.0</v>
      </c>
      <c r="F3491" s="7" t="s">
        <v>816</v>
      </c>
      <c r="G3491" s="7" t="s">
        <v>404</v>
      </c>
      <c r="H3491" s="7" t="s">
        <v>783</v>
      </c>
      <c r="I3491" s="7" t="s">
        <v>355</v>
      </c>
      <c r="J3491" s="14"/>
      <c r="O3491" s="22"/>
      <c r="P3491" s="22"/>
      <c r="Q3491" s="23"/>
      <c r="R3491" s="23"/>
      <c r="S3491" s="14"/>
    </row>
    <row r="3492" ht="18.75" customHeight="1">
      <c r="A3492" s="7" t="s">
        <v>836</v>
      </c>
      <c r="B3492" s="7" t="s">
        <v>3884</v>
      </c>
      <c r="C3492" s="9">
        <v>884162.0</v>
      </c>
      <c r="D3492" s="9">
        <v>0.0</v>
      </c>
      <c r="E3492" s="9">
        <v>1004.0</v>
      </c>
      <c r="F3492" s="7" t="s">
        <v>837</v>
      </c>
      <c r="G3492" s="7" t="s">
        <v>416</v>
      </c>
      <c r="H3492" s="7" t="s">
        <v>417</v>
      </c>
      <c r="I3492" s="7" t="s">
        <v>355</v>
      </c>
      <c r="J3492" s="14"/>
      <c r="O3492" s="22"/>
      <c r="P3492" s="22"/>
      <c r="Q3492" s="23"/>
      <c r="R3492" s="23"/>
      <c r="S3492" s="14"/>
    </row>
    <row r="3493" ht="18.75" customHeight="1">
      <c r="A3493" s="7" t="s">
        <v>730</v>
      </c>
      <c r="B3493" s="7" t="s">
        <v>3884</v>
      </c>
      <c r="C3493" s="9">
        <v>312136.0</v>
      </c>
      <c r="D3493" s="9">
        <v>237753.0</v>
      </c>
      <c r="E3493" s="9">
        <v>258.0</v>
      </c>
      <c r="F3493" s="7" t="s">
        <v>731</v>
      </c>
      <c r="G3493" s="7" t="s">
        <v>416</v>
      </c>
      <c r="H3493" s="7" t="s">
        <v>417</v>
      </c>
      <c r="I3493" s="7" t="s">
        <v>355</v>
      </c>
      <c r="J3493" s="14"/>
      <c r="O3493" s="22"/>
      <c r="P3493" s="22"/>
      <c r="Q3493" s="23"/>
      <c r="R3493" s="23"/>
      <c r="S3493" s="14"/>
    </row>
    <row r="3494" ht="18.75" customHeight="1">
      <c r="A3494" s="7" t="s">
        <v>709</v>
      </c>
      <c r="B3494" s="7" t="s">
        <v>3884</v>
      </c>
      <c r="C3494" s="9">
        <v>0.0</v>
      </c>
      <c r="D3494" s="9">
        <v>0.0</v>
      </c>
      <c r="E3494" s="9">
        <v>0.0</v>
      </c>
      <c r="F3494" s="7" t="s">
        <v>710</v>
      </c>
      <c r="G3494" s="7" t="s">
        <v>404</v>
      </c>
      <c r="H3494" s="7" t="s">
        <v>667</v>
      </c>
      <c r="I3494" s="7" t="s">
        <v>410</v>
      </c>
      <c r="J3494" s="14"/>
      <c r="O3494" s="22"/>
      <c r="P3494" s="22"/>
      <c r="Q3494" s="23"/>
      <c r="R3494" s="23"/>
      <c r="S3494" s="14"/>
    </row>
    <row r="3495" ht="18.75" customHeight="1">
      <c r="A3495" s="7" t="s">
        <v>709</v>
      </c>
      <c r="B3495" s="7" t="s">
        <v>3884</v>
      </c>
      <c r="C3495" s="9">
        <v>1111325.0</v>
      </c>
      <c r="D3495" s="9">
        <v>0.0</v>
      </c>
      <c r="E3495" s="9">
        <v>853.0</v>
      </c>
      <c r="F3495" s="7" t="s">
        <v>710</v>
      </c>
      <c r="G3495" s="7" t="s">
        <v>404</v>
      </c>
      <c r="H3495" s="7" t="s">
        <v>667</v>
      </c>
      <c r="I3495" s="7" t="s">
        <v>410</v>
      </c>
      <c r="J3495" s="14"/>
      <c r="O3495" s="22"/>
      <c r="P3495" s="22"/>
      <c r="Q3495" s="23"/>
      <c r="R3495" s="23"/>
      <c r="S3495" s="14"/>
    </row>
    <row r="3496" ht="18.75" customHeight="1">
      <c r="A3496" s="7" t="s">
        <v>709</v>
      </c>
      <c r="B3496" s="7" t="s">
        <v>3884</v>
      </c>
      <c r="C3496" s="9">
        <v>0.0</v>
      </c>
      <c r="D3496" s="9">
        <v>0.0</v>
      </c>
      <c r="E3496" s="9">
        <v>0.0</v>
      </c>
      <c r="F3496" s="7" t="s">
        <v>710</v>
      </c>
      <c r="G3496" s="7" t="s">
        <v>404</v>
      </c>
      <c r="H3496" s="7" t="s">
        <v>667</v>
      </c>
      <c r="I3496" s="7" t="s">
        <v>410</v>
      </c>
      <c r="J3496" s="14"/>
      <c r="O3496" s="22"/>
      <c r="P3496" s="22"/>
      <c r="Q3496" s="23"/>
      <c r="R3496" s="23"/>
      <c r="S3496" s="14"/>
    </row>
    <row r="3497" ht="18.75" customHeight="1">
      <c r="A3497" s="7" t="s">
        <v>709</v>
      </c>
      <c r="B3497" s="7" t="s">
        <v>3884</v>
      </c>
      <c r="C3497" s="9">
        <v>712351.0</v>
      </c>
      <c r="D3497" s="9">
        <v>0.0</v>
      </c>
      <c r="E3497" s="9">
        <v>54672.0</v>
      </c>
      <c r="F3497" s="7" t="s">
        <v>710</v>
      </c>
      <c r="G3497" s="7" t="s">
        <v>404</v>
      </c>
      <c r="H3497" s="7" t="s">
        <v>667</v>
      </c>
      <c r="I3497" s="7" t="s">
        <v>410</v>
      </c>
      <c r="J3497" s="14"/>
      <c r="O3497" s="22"/>
      <c r="P3497" s="22"/>
      <c r="Q3497" s="23"/>
      <c r="R3497" s="23"/>
      <c r="S3497" s="14"/>
    </row>
    <row r="3498" ht="18.75" customHeight="1">
      <c r="A3498" s="7" t="s">
        <v>709</v>
      </c>
      <c r="B3498" s="7" t="s">
        <v>3884</v>
      </c>
      <c r="C3498" s="9">
        <v>338129.0</v>
      </c>
      <c r="D3498" s="9">
        <v>171538.0</v>
      </c>
      <c r="E3498" s="9">
        <v>97.0</v>
      </c>
      <c r="F3498" s="7" t="s">
        <v>710</v>
      </c>
      <c r="G3498" s="7" t="s">
        <v>404</v>
      </c>
      <c r="H3498" s="7" t="s">
        <v>667</v>
      </c>
      <c r="I3498" s="7" t="s">
        <v>410</v>
      </c>
      <c r="J3498" s="14"/>
      <c r="O3498" s="22"/>
      <c r="P3498" s="22"/>
      <c r="Q3498" s="23"/>
      <c r="R3498" s="23"/>
      <c r="S3498" s="14"/>
    </row>
    <row r="3499" ht="18.75" customHeight="1">
      <c r="A3499" s="7" t="s">
        <v>709</v>
      </c>
      <c r="B3499" s="7" t="s">
        <v>3884</v>
      </c>
      <c r="C3499" s="9">
        <v>745317.0</v>
      </c>
      <c r="D3499" s="9">
        <v>557351.0</v>
      </c>
      <c r="E3499" s="9">
        <v>283.0</v>
      </c>
      <c r="F3499" s="7" t="s">
        <v>710</v>
      </c>
      <c r="G3499" s="7" t="s">
        <v>404</v>
      </c>
      <c r="H3499" s="7" t="s">
        <v>667</v>
      </c>
      <c r="I3499" s="7" t="s">
        <v>410</v>
      </c>
      <c r="J3499" s="14"/>
      <c r="O3499" s="22"/>
      <c r="P3499" s="22"/>
      <c r="Q3499" s="23"/>
      <c r="R3499" s="23"/>
      <c r="S3499" s="14"/>
    </row>
    <row r="3500" ht="18.75" customHeight="1">
      <c r="A3500" s="7" t="s">
        <v>505</v>
      </c>
      <c r="B3500" s="7" t="s">
        <v>3884</v>
      </c>
      <c r="C3500" s="9">
        <v>0.0</v>
      </c>
      <c r="D3500" s="9">
        <v>0.0</v>
      </c>
      <c r="E3500" s="9">
        <v>0.0</v>
      </c>
      <c r="F3500" s="7" t="s">
        <v>506</v>
      </c>
      <c r="G3500" s="7" t="s">
        <v>358</v>
      </c>
      <c r="H3500" s="7" t="s">
        <v>365</v>
      </c>
      <c r="I3500" s="7" t="s">
        <v>355</v>
      </c>
      <c r="J3500" s="14"/>
      <c r="O3500" s="22"/>
      <c r="P3500" s="22"/>
      <c r="Q3500" s="23"/>
      <c r="R3500" s="23"/>
      <c r="S3500" s="14"/>
    </row>
    <row r="3501" ht="18.75" customHeight="1">
      <c r="A3501" s="7" t="s">
        <v>728</v>
      </c>
      <c r="B3501" s="7" t="s">
        <v>3884</v>
      </c>
      <c r="C3501" s="9">
        <v>464739.0</v>
      </c>
      <c r="D3501" s="9">
        <v>0.0</v>
      </c>
      <c r="E3501" s="9">
        <v>667.0</v>
      </c>
      <c r="F3501" s="7" t="s">
        <v>729</v>
      </c>
      <c r="G3501" s="7" t="s">
        <v>416</v>
      </c>
      <c r="H3501" s="7" t="s">
        <v>417</v>
      </c>
      <c r="I3501" s="7" t="s">
        <v>355</v>
      </c>
      <c r="J3501" s="14"/>
      <c r="O3501" s="22"/>
      <c r="P3501" s="22"/>
      <c r="Q3501" s="23"/>
      <c r="R3501" s="23"/>
      <c r="S3501" s="14"/>
    </row>
    <row r="3502" ht="18.75" customHeight="1">
      <c r="A3502" s="7" t="s">
        <v>761</v>
      </c>
      <c r="B3502" s="7" t="s">
        <v>3884</v>
      </c>
      <c r="C3502" s="9">
        <v>0.0</v>
      </c>
      <c r="D3502" s="9">
        <v>0.0</v>
      </c>
      <c r="E3502" s="9">
        <v>0.0</v>
      </c>
      <c r="F3502" s="7" t="s">
        <v>762</v>
      </c>
      <c r="G3502" s="7" t="s">
        <v>404</v>
      </c>
      <c r="H3502" s="7" t="s">
        <v>760</v>
      </c>
      <c r="I3502" s="7" t="s">
        <v>355</v>
      </c>
      <c r="J3502" s="14"/>
      <c r="O3502" s="22"/>
      <c r="P3502" s="22"/>
      <c r="Q3502" s="23"/>
      <c r="R3502" s="23"/>
      <c r="S3502" s="14"/>
    </row>
    <row r="3503" ht="18.75" customHeight="1">
      <c r="A3503" s="7" t="s">
        <v>761</v>
      </c>
      <c r="B3503" s="7" t="s">
        <v>3884</v>
      </c>
      <c r="C3503" s="9">
        <v>0.0</v>
      </c>
      <c r="D3503" s="9">
        <v>0.0</v>
      </c>
      <c r="E3503" s="9">
        <v>0.0</v>
      </c>
      <c r="F3503" s="7" t="s">
        <v>762</v>
      </c>
      <c r="G3503" s="7" t="s">
        <v>404</v>
      </c>
      <c r="H3503" s="7" t="s">
        <v>760</v>
      </c>
      <c r="I3503" s="7" t="s">
        <v>355</v>
      </c>
      <c r="J3503" s="14"/>
      <c r="O3503" s="22"/>
      <c r="P3503" s="22"/>
      <c r="Q3503" s="23"/>
      <c r="R3503" s="23"/>
      <c r="S3503" s="14"/>
    </row>
    <row r="3504" ht="18.75" customHeight="1">
      <c r="A3504" s="7" t="s">
        <v>761</v>
      </c>
      <c r="B3504" s="7" t="s">
        <v>3884</v>
      </c>
      <c r="C3504" s="9">
        <v>0.0</v>
      </c>
      <c r="D3504" s="9">
        <v>0.0</v>
      </c>
      <c r="E3504" s="9">
        <v>0.0</v>
      </c>
      <c r="F3504" s="7" t="s">
        <v>762</v>
      </c>
      <c r="G3504" s="7" t="s">
        <v>404</v>
      </c>
      <c r="H3504" s="7" t="s">
        <v>760</v>
      </c>
      <c r="I3504" s="7" t="s">
        <v>355</v>
      </c>
      <c r="J3504" s="14"/>
      <c r="O3504" s="22"/>
      <c r="P3504" s="22"/>
      <c r="Q3504" s="23"/>
      <c r="R3504" s="23"/>
      <c r="S3504" s="14"/>
    </row>
    <row r="3505" ht="18.75" customHeight="1">
      <c r="A3505" s="7" t="s">
        <v>761</v>
      </c>
      <c r="B3505" s="7" t="s">
        <v>3884</v>
      </c>
      <c r="C3505" s="9">
        <v>0.0</v>
      </c>
      <c r="D3505" s="9">
        <v>0.0</v>
      </c>
      <c r="E3505" s="9">
        <v>0.0</v>
      </c>
      <c r="F3505" s="7" t="s">
        <v>762</v>
      </c>
      <c r="G3505" s="7" t="s">
        <v>404</v>
      </c>
      <c r="H3505" s="7" t="s">
        <v>760</v>
      </c>
      <c r="I3505" s="7" t="s">
        <v>355</v>
      </c>
      <c r="J3505" s="14"/>
      <c r="O3505" s="22"/>
      <c r="P3505" s="22"/>
      <c r="Q3505" s="23"/>
      <c r="R3505" s="23"/>
      <c r="S3505" s="14"/>
    </row>
    <row r="3506" ht="18.75" customHeight="1">
      <c r="A3506" s="7" t="s">
        <v>773</v>
      </c>
      <c r="B3506" s="7" t="s">
        <v>3884</v>
      </c>
      <c r="C3506" s="9">
        <v>39996.0</v>
      </c>
      <c r="D3506" s="9">
        <v>39259.0</v>
      </c>
      <c r="E3506" s="9">
        <v>3.0</v>
      </c>
      <c r="F3506" s="7" t="s">
        <v>774</v>
      </c>
      <c r="G3506" s="7" t="s">
        <v>404</v>
      </c>
      <c r="H3506" s="7" t="s">
        <v>405</v>
      </c>
      <c r="I3506" s="7" t="s">
        <v>355</v>
      </c>
      <c r="J3506" s="14"/>
      <c r="O3506" s="22"/>
      <c r="P3506" s="22"/>
      <c r="Q3506" s="23"/>
      <c r="R3506" s="23"/>
      <c r="S3506" s="14"/>
    </row>
    <row r="3507" ht="18.75" customHeight="1">
      <c r="A3507" s="7" t="s">
        <v>773</v>
      </c>
      <c r="B3507" s="7" t="s">
        <v>3884</v>
      </c>
      <c r="C3507" s="9">
        <v>53631.0</v>
      </c>
      <c r="D3507" s="9">
        <v>51763.0</v>
      </c>
      <c r="E3507" s="9">
        <v>1.0</v>
      </c>
      <c r="F3507" s="7" t="s">
        <v>774</v>
      </c>
      <c r="G3507" s="7" t="s">
        <v>404</v>
      </c>
      <c r="H3507" s="7" t="s">
        <v>405</v>
      </c>
      <c r="I3507" s="7" t="s">
        <v>355</v>
      </c>
      <c r="J3507" s="14"/>
      <c r="O3507" s="22"/>
      <c r="P3507" s="22"/>
      <c r="Q3507" s="23"/>
      <c r="R3507" s="23"/>
      <c r="S3507" s="14"/>
    </row>
    <row r="3508" ht="18.75" customHeight="1">
      <c r="A3508" s="7" t="s">
        <v>773</v>
      </c>
      <c r="B3508" s="7" t="s">
        <v>3884</v>
      </c>
      <c r="C3508" s="9">
        <v>117032.0</v>
      </c>
      <c r="D3508" s="9">
        <v>72444.0</v>
      </c>
      <c r="E3508" s="9">
        <v>174.0</v>
      </c>
      <c r="F3508" s="7" t="s">
        <v>774</v>
      </c>
      <c r="G3508" s="7" t="s">
        <v>404</v>
      </c>
      <c r="H3508" s="7" t="s">
        <v>405</v>
      </c>
      <c r="I3508" s="7" t="s">
        <v>355</v>
      </c>
      <c r="J3508" s="14"/>
      <c r="O3508" s="22"/>
      <c r="P3508" s="22"/>
      <c r="Q3508" s="23"/>
      <c r="R3508" s="23"/>
      <c r="S3508" s="14"/>
    </row>
    <row r="3509" ht="18.75" customHeight="1">
      <c r="A3509" s="7" t="s">
        <v>802</v>
      </c>
      <c r="B3509" s="7" t="s">
        <v>3884</v>
      </c>
      <c r="C3509" s="9">
        <v>180917.0</v>
      </c>
      <c r="D3509" s="9">
        <v>141936.0</v>
      </c>
      <c r="E3509" s="9">
        <v>158.0</v>
      </c>
      <c r="F3509" s="7" t="s">
        <v>803</v>
      </c>
      <c r="G3509" s="7" t="s">
        <v>416</v>
      </c>
      <c r="H3509" s="7" t="s">
        <v>417</v>
      </c>
      <c r="I3509" s="7" t="s">
        <v>355</v>
      </c>
      <c r="J3509" s="14"/>
      <c r="O3509" s="22"/>
      <c r="P3509" s="22"/>
      <c r="Q3509" s="23"/>
      <c r="R3509" s="23"/>
      <c r="S3509" s="14"/>
    </row>
    <row r="3510" ht="18.75" customHeight="1">
      <c r="A3510" s="7" t="s">
        <v>902</v>
      </c>
      <c r="B3510" s="7" t="s">
        <v>3884</v>
      </c>
      <c r="C3510" s="9">
        <v>117379.0</v>
      </c>
      <c r="D3510" s="9">
        <v>0.0</v>
      </c>
      <c r="E3510" s="9">
        <v>285.0</v>
      </c>
      <c r="F3510" s="7" t="s">
        <v>903</v>
      </c>
      <c r="G3510" s="7" t="s">
        <v>416</v>
      </c>
      <c r="H3510" s="7" t="s">
        <v>417</v>
      </c>
      <c r="I3510" s="7" t="s">
        <v>355</v>
      </c>
      <c r="J3510" s="14"/>
      <c r="O3510" s="22"/>
      <c r="P3510" s="22"/>
      <c r="Q3510" s="23"/>
      <c r="R3510" s="23"/>
      <c r="S3510" s="14"/>
    </row>
    <row r="3511" ht="18.75" customHeight="1">
      <c r="A3511" s="7" t="s">
        <v>3751</v>
      </c>
      <c r="B3511" s="7" t="s">
        <v>3884</v>
      </c>
      <c r="C3511" s="9">
        <v>160116.0</v>
      </c>
      <c r="D3511" s="9">
        <v>0.0</v>
      </c>
      <c r="E3511" s="9">
        <v>215.0</v>
      </c>
      <c r="F3511" s="7" t="s">
        <v>3890</v>
      </c>
      <c r="G3511" s="7" t="s">
        <v>416</v>
      </c>
      <c r="H3511" s="7" t="s">
        <v>417</v>
      </c>
      <c r="I3511" s="7" t="s">
        <v>3886</v>
      </c>
      <c r="J3511" s="14"/>
      <c r="O3511" s="22"/>
      <c r="P3511" s="22"/>
      <c r="Q3511" s="23"/>
      <c r="R3511" s="23"/>
      <c r="S3511" s="14"/>
    </row>
    <row r="3512" ht="18.75" customHeight="1">
      <c r="A3512" s="7" t="s">
        <v>754</v>
      </c>
      <c r="B3512" s="7" t="s">
        <v>3884</v>
      </c>
      <c r="C3512" s="9">
        <v>2344649.0</v>
      </c>
      <c r="D3512" s="9">
        <v>1309411.0</v>
      </c>
      <c r="E3512" s="9">
        <v>2677.0</v>
      </c>
      <c r="F3512" s="7" t="s">
        <v>755</v>
      </c>
      <c r="G3512" s="7" t="s">
        <v>353</v>
      </c>
      <c r="H3512" s="7" t="s">
        <v>378</v>
      </c>
      <c r="I3512" s="7" t="s">
        <v>355</v>
      </c>
      <c r="J3512" s="14"/>
      <c r="O3512" s="22"/>
      <c r="P3512" s="22"/>
      <c r="Q3512" s="23"/>
      <c r="R3512" s="23"/>
      <c r="S3512" s="14"/>
    </row>
    <row r="3513" ht="18.75" customHeight="1">
      <c r="A3513" s="7" t="s">
        <v>754</v>
      </c>
      <c r="B3513" s="7" t="s">
        <v>3884</v>
      </c>
      <c r="C3513" s="9">
        <v>55426.0</v>
      </c>
      <c r="D3513" s="9">
        <v>0.0</v>
      </c>
      <c r="E3513" s="9">
        <v>1027.0</v>
      </c>
      <c r="F3513" s="7" t="s">
        <v>755</v>
      </c>
      <c r="G3513" s="7" t="s">
        <v>353</v>
      </c>
      <c r="H3513" s="7" t="s">
        <v>378</v>
      </c>
      <c r="I3513" s="7" t="s">
        <v>355</v>
      </c>
      <c r="J3513" s="14"/>
      <c r="O3513" s="22"/>
      <c r="P3513" s="22"/>
      <c r="Q3513" s="23"/>
      <c r="R3513" s="23"/>
      <c r="S3513" s="14"/>
    </row>
    <row r="3514" ht="18.75" customHeight="1">
      <c r="A3514" s="7" t="s">
        <v>754</v>
      </c>
      <c r="B3514" s="7" t="s">
        <v>3884</v>
      </c>
      <c r="C3514" s="9">
        <v>2388244.0</v>
      </c>
      <c r="D3514" s="9">
        <v>0.0</v>
      </c>
      <c r="E3514" s="9">
        <v>2907.0</v>
      </c>
      <c r="F3514" s="7" t="s">
        <v>755</v>
      </c>
      <c r="G3514" s="7" t="s">
        <v>353</v>
      </c>
      <c r="H3514" s="7" t="s">
        <v>378</v>
      </c>
      <c r="I3514" s="7" t="s">
        <v>355</v>
      </c>
      <c r="J3514" s="14"/>
      <c r="O3514" s="22"/>
      <c r="P3514" s="22"/>
      <c r="Q3514" s="23"/>
      <c r="R3514" s="23"/>
      <c r="S3514" s="14"/>
    </row>
    <row r="3515" ht="18.75" customHeight="1">
      <c r="A3515" s="7" t="s">
        <v>754</v>
      </c>
      <c r="B3515" s="7" t="s">
        <v>3884</v>
      </c>
      <c r="C3515" s="9">
        <v>3959724.0</v>
      </c>
      <c r="D3515" s="9">
        <v>0.0</v>
      </c>
      <c r="E3515" s="9">
        <v>5239.0</v>
      </c>
      <c r="F3515" s="7" t="s">
        <v>755</v>
      </c>
      <c r="G3515" s="7" t="s">
        <v>353</v>
      </c>
      <c r="H3515" s="7" t="s">
        <v>378</v>
      </c>
      <c r="I3515" s="7" t="s">
        <v>355</v>
      </c>
      <c r="J3515" s="14"/>
      <c r="O3515" s="22"/>
      <c r="P3515" s="22"/>
      <c r="Q3515" s="23"/>
      <c r="R3515" s="23"/>
      <c r="S3515" s="14"/>
    </row>
    <row r="3516" ht="18.75" customHeight="1">
      <c r="A3516" s="7" t="s">
        <v>545</v>
      </c>
      <c r="B3516" s="7" t="s">
        <v>3884</v>
      </c>
      <c r="C3516" s="9">
        <v>168925.0</v>
      </c>
      <c r="D3516" s="9">
        <v>16918.0</v>
      </c>
      <c r="E3516" s="9">
        <v>530.0</v>
      </c>
      <c r="F3516" s="7" t="s">
        <v>546</v>
      </c>
      <c r="G3516" s="7" t="s">
        <v>404</v>
      </c>
      <c r="H3516" s="7" t="s">
        <v>405</v>
      </c>
      <c r="I3516" s="7" t="s">
        <v>2117</v>
      </c>
      <c r="J3516" s="14"/>
      <c r="O3516" s="22"/>
      <c r="P3516" s="22"/>
      <c r="Q3516" s="23"/>
      <c r="R3516" s="23"/>
      <c r="S3516" s="14"/>
    </row>
    <row r="3517" ht="18.75" customHeight="1">
      <c r="A3517" s="7" t="s">
        <v>545</v>
      </c>
      <c r="B3517" s="7" t="s">
        <v>3884</v>
      </c>
      <c r="C3517" s="9">
        <v>9513533.0</v>
      </c>
      <c r="D3517" s="9">
        <v>395334.0</v>
      </c>
      <c r="E3517" s="9">
        <v>5332.0</v>
      </c>
      <c r="F3517" s="7" t="s">
        <v>546</v>
      </c>
      <c r="G3517" s="7" t="s">
        <v>404</v>
      </c>
      <c r="H3517" s="7" t="s">
        <v>405</v>
      </c>
      <c r="I3517" s="7" t="s">
        <v>2117</v>
      </c>
      <c r="J3517" s="14"/>
      <c r="O3517" s="22"/>
      <c r="P3517" s="22"/>
      <c r="Q3517" s="23"/>
      <c r="R3517" s="23"/>
      <c r="S3517" s="14"/>
    </row>
    <row r="3518" ht="18.75" customHeight="1">
      <c r="A3518" s="7" t="s">
        <v>910</v>
      </c>
      <c r="B3518" s="7" t="s">
        <v>3884</v>
      </c>
      <c r="C3518" s="9">
        <v>191830.0</v>
      </c>
      <c r="D3518" s="9">
        <v>0.0</v>
      </c>
      <c r="E3518" s="9">
        <v>318.0</v>
      </c>
      <c r="F3518" s="7" t="s">
        <v>911</v>
      </c>
      <c r="G3518" s="7" t="s">
        <v>416</v>
      </c>
      <c r="H3518" s="7" t="s">
        <v>417</v>
      </c>
      <c r="I3518" s="7" t="s">
        <v>355</v>
      </c>
      <c r="J3518" s="14"/>
      <c r="O3518" s="22"/>
      <c r="P3518" s="22"/>
      <c r="Q3518" s="23"/>
      <c r="R3518" s="23"/>
      <c r="S3518" s="14"/>
    </row>
    <row r="3519" ht="18.75" customHeight="1">
      <c r="A3519" s="7" t="s">
        <v>910</v>
      </c>
      <c r="B3519" s="7" t="s">
        <v>3884</v>
      </c>
      <c r="C3519" s="9">
        <v>214049.0</v>
      </c>
      <c r="D3519" s="9">
        <v>0.0</v>
      </c>
      <c r="E3519" s="9">
        <v>261.0</v>
      </c>
      <c r="F3519" s="7" t="s">
        <v>911</v>
      </c>
      <c r="G3519" s="7" t="s">
        <v>416</v>
      </c>
      <c r="H3519" s="7" t="s">
        <v>417</v>
      </c>
      <c r="I3519" s="7" t="s">
        <v>355</v>
      </c>
      <c r="J3519" s="14"/>
      <c r="O3519" s="22"/>
      <c r="P3519" s="22"/>
      <c r="Q3519" s="23"/>
      <c r="R3519" s="23"/>
      <c r="S3519" s="14"/>
    </row>
    <row r="3520" ht="18.75" customHeight="1">
      <c r="A3520" s="7" t="s">
        <v>910</v>
      </c>
      <c r="B3520" s="7" t="s">
        <v>3884</v>
      </c>
      <c r="C3520" s="9">
        <v>8971.0</v>
      </c>
      <c r="D3520" s="9">
        <v>0.0</v>
      </c>
      <c r="E3520" s="9">
        <v>8.0</v>
      </c>
      <c r="F3520" s="7" t="s">
        <v>911</v>
      </c>
      <c r="G3520" s="7" t="s">
        <v>416</v>
      </c>
      <c r="H3520" s="7" t="s">
        <v>417</v>
      </c>
      <c r="I3520" s="7" t="s">
        <v>355</v>
      </c>
      <c r="J3520" s="14"/>
      <c r="O3520" s="22"/>
      <c r="P3520" s="22"/>
      <c r="Q3520" s="23"/>
      <c r="R3520" s="23"/>
      <c r="S3520" s="14"/>
    </row>
    <row r="3521" ht="18.75" customHeight="1">
      <c r="A3521" s="7" t="s">
        <v>910</v>
      </c>
      <c r="B3521" s="7" t="s">
        <v>3884</v>
      </c>
      <c r="C3521" s="9">
        <v>312322.0</v>
      </c>
      <c r="D3521" s="9">
        <v>0.0</v>
      </c>
      <c r="E3521" s="9">
        <v>759.0</v>
      </c>
      <c r="F3521" s="7" t="s">
        <v>911</v>
      </c>
      <c r="G3521" s="7" t="s">
        <v>416</v>
      </c>
      <c r="H3521" s="7" t="s">
        <v>417</v>
      </c>
      <c r="I3521" s="7" t="s">
        <v>355</v>
      </c>
      <c r="J3521" s="14"/>
      <c r="O3521" s="22"/>
      <c r="P3521" s="22"/>
      <c r="Q3521" s="23"/>
      <c r="R3521" s="23"/>
      <c r="S3521" s="14"/>
    </row>
    <row r="3522" ht="18.75" customHeight="1">
      <c r="A3522" s="7" t="s">
        <v>590</v>
      </c>
      <c r="B3522" s="7" t="s">
        <v>3884</v>
      </c>
      <c r="C3522" s="9">
        <v>0.0</v>
      </c>
      <c r="D3522" s="9">
        <v>0.0</v>
      </c>
      <c r="E3522" s="9">
        <v>0.0</v>
      </c>
      <c r="F3522" s="7" t="s">
        <v>591</v>
      </c>
      <c r="G3522" s="7" t="s">
        <v>358</v>
      </c>
      <c r="H3522" s="7" t="s">
        <v>466</v>
      </c>
      <c r="I3522" s="7" t="s">
        <v>355</v>
      </c>
      <c r="J3522" s="14"/>
      <c r="O3522" s="22"/>
      <c r="P3522" s="22"/>
      <c r="Q3522" s="23"/>
      <c r="R3522" s="23"/>
      <c r="S3522" s="14"/>
    </row>
    <row r="3523" ht="18.75" customHeight="1">
      <c r="A3523" s="7" t="s">
        <v>590</v>
      </c>
      <c r="B3523" s="7" t="s">
        <v>3884</v>
      </c>
      <c r="C3523" s="9">
        <v>1089367.0</v>
      </c>
      <c r="D3523" s="9">
        <v>0.0</v>
      </c>
      <c r="E3523" s="9">
        <v>734.0</v>
      </c>
      <c r="F3523" s="7" t="s">
        <v>591</v>
      </c>
      <c r="G3523" s="7" t="s">
        <v>358</v>
      </c>
      <c r="H3523" s="7" t="s">
        <v>466</v>
      </c>
      <c r="I3523" s="7" t="s">
        <v>355</v>
      </c>
      <c r="J3523" s="14"/>
      <c r="O3523" s="22"/>
      <c r="P3523" s="22"/>
      <c r="Q3523" s="23"/>
      <c r="R3523" s="23"/>
      <c r="S3523" s="14"/>
    </row>
    <row r="3524" ht="18.75" customHeight="1">
      <c r="A3524" s="7" t="s">
        <v>758</v>
      </c>
      <c r="B3524" s="7" t="s">
        <v>3884</v>
      </c>
      <c r="C3524" s="9">
        <v>0.0</v>
      </c>
      <c r="D3524" s="9">
        <v>0.0</v>
      </c>
      <c r="E3524" s="9">
        <v>0.0</v>
      </c>
      <c r="F3524" s="7" t="s">
        <v>759</v>
      </c>
      <c r="G3524" s="7" t="s">
        <v>404</v>
      </c>
      <c r="H3524" s="7" t="s">
        <v>760</v>
      </c>
      <c r="I3524" s="7" t="s">
        <v>355</v>
      </c>
      <c r="J3524" s="14"/>
      <c r="O3524" s="22"/>
      <c r="P3524" s="22"/>
      <c r="Q3524" s="23"/>
      <c r="R3524" s="23"/>
      <c r="S3524" s="14"/>
    </row>
    <row r="3525" ht="18.75" customHeight="1">
      <c r="A3525" s="7" t="s">
        <v>758</v>
      </c>
      <c r="B3525" s="7" t="s">
        <v>3884</v>
      </c>
      <c r="C3525" s="9">
        <v>0.0</v>
      </c>
      <c r="D3525" s="9">
        <v>0.0</v>
      </c>
      <c r="E3525" s="9">
        <v>0.0</v>
      </c>
      <c r="F3525" s="7" t="s">
        <v>759</v>
      </c>
      <c r="G3525" s="7" t="s">
        <v>404</v>
      </c>
      <c r="H3525" s="7" t="s">
        <v>760</v>
      </c>
      <c r="I3525" s="7" t="s">
        <v>355</v>
      </c>
      <c r="J3525" s="14"/>
      <c r="O3525" s="22"/>
      <c r="P3525" s="22"/>
      <c r="Q3525" s="23"/>
      <c r="R3525" s="23"/>
      <c r="S3525" s="14"/>
    </row>
    <row r="3526" ht="18.75" customHeight="1">
      <c r="A3526" s="7" t="s">
        <v>886</v>
      </c>
      <c r="B3526" s="7" t="s">
        <v>3884</v>
      </c>
      <c r="C3526" s="9">
        <v>424849.0</v>
      </c>
      <c r="D3526" s="9">
        <v>310223.0</v>
      </c>
      <c r="E3526" s="9">
        <v>221.0</v>
      </c>
      <c r="F3526" s="7" t="s">
        <v>887</v>
      </c>
      <c r="G3526" s="7" t="s">
        <v>358</v>
      </c>
      <c r="H3526" s="7" t="s">
        <v>466</v>
      </c>
      <c r="I3526" s="7" t="s">
        <v>355</v>
      </c>
      <c r="J3526" s="14"/>
      <c r="O3526" s="22"/>
      <c r="P3526" s="22"/>
      <c r="Q3526" s="23"/>
      <c r="R3526" s="23"/>
      <c r="S3526" s="14"/>
    </row>
    <row r="3527" ht="18.75" customHeight="1">
      <c r="A3527" s="7" t="s">
        <v>886</v>
      </c>
      <c r="B3527" s="7" t="s">
        <v>3884</v>
      </c>
      <c r="C3527" s="9">
        <v>2219337.0</v>
      </c>
      <c r="D3527" s="9">
        <v>1616580.0</v>
      </c>
      <c r="E3527" s="9">
        <v>947.0</v>
      </c>
      <c r="F3527" s="7" t="s">
        <v>887</v>
      </c>
      <c r="G3527" s="7" t="s">
        <v>358</v>
      </c>
      <c r="H3527" s="7" t="s">
        <v>466</v>
      </c>
      <c r="I3527" s="7" t="s">
        <v>355</v>
      </c>
      <c r="J3527" s="14"/>
      <c r="O3527" s="22"/>
      <c r="P3527" s="22"/>
      <c r="Q3527" s="23"/>
      <c r="R3527" s="23"/>
      <c r="S3527" s="14"/>
    </row>
    <row r="3528" ht="18.75" customHeight="1">
      <c r="A3528" s="7" t="s">
        <v>886</v>
      </c>
      <c r="B3528" s="7" t="s">
        <v>3884</v>
      </c>
      <c r="C3528" s="9">
        <v>1171797.0</v>
      </c>
      <c r="D3528" s="9">
        <v>836207.0</v>
      </c>
      <c r="E3528" s="9">
        <v>480.0</v>
      </c>
      <c r="F3528" s="7" t="s">
        <v>887</v>
      </c>
      <c r="G3528" s="7" t="s">
        <v>358</v>
      </c>
      <c r="H3528" s="7" t="s">
        <v>466</v>
      </c>
      <c r="I3528" s="7" t="s">
        <v>355</v>
      </c>
      <c r="J3528" s="14"/>
      <c r="O3528" s="22"/>
      <c r="P3528" s="22"/>
      <c r="Q3528" s="23"/>
      <c r="R3528" s="23"/>
      <c r="S3528" s="14"/>
    </row>
    <row r="3529" ht="18.75" customHeight="1">
      <c r="A3529" s="7" t="s">
        <v>886</v>
      </c>
      <c r="B3529" s="7" t="s">
        <v>3884</v>
      </c>
      <c r="C3529" s="9">
        <v>2419706.0</v>
      </c>
      <c r="D3529" s="9">
        <v>1775161.0</v>
      </c>
      <c r="E3529" s="9">
        <v>882.0</v>
      </c>
      <c r="F3529" s="7" t="s">
        <v>887</v>
      </c>
      <c r="G3529" s="7" t="s">
        <v>358</v>
      </c>
      <c r="H3529" s="7" t="s">
        <v>466</v>
      </c>
      <c r="I3529" s="7" t="s">
        <v>355</v>
      </c>
      <c r="J3529" s="14"/>
      <c r="O3529" s="22"/>
      <c r="P3529" s="22"/>
      <c r="Q3529" s="23"/>
      <c r="R3529" s="23"/>
      <c r="S3529" s="14"/>
    </row>
    <row r="3530" ht="18.75" customHeight="1">
      <c r="A3530" s="7" t="s">
        <v>886</v>
      </c>
      <c r="B3530" s="7" t="s">
        <v>3884</v>
      </c>
      <c r="C3530" s="9">
        <v>54085.0</v>
      </c>
      <c r="D3530" s="9">
        <v>50810.0</v>
      </c>
      <c r="E3530" s="9">
        <v>0.0</v>
      </c>
      <c r="F3530" s="7" t="s">
        <v>887</v>
      </c>
      <c r="G3530" s="7" t="s">
        <v>358</v>
      </c>
      <c r="H3530" s="7" t="s">
        <v>466</v>
      </c>
      <c r="I3530" s="7" t="s">
        <v>355</v>
      </c>
      <c r="J3530" s="14"/>
      <c r="O3530" s="22"/>
      <c r="P3530" s="22"/>
      <c r="Q3530" s="23"/>
      <c r="R3530" s="23"/>
      <c r="S3530" s="14"/>
    </row>
    <row r="3531" ht="18.75" customHeight="1">
      <c r="A3531" s="7" t="s">
        <v>886</v>
      </c>
      <c r="B3531" s="7" t="s">
        <v>3884</v>
      </c>
      <c r="C3531" s="9">
        <v>1.0</v>
      </c>
      <c r="D3531" s="9">
        <v>1.0</v>
      </c>
      <c r="E3531" s="9">
        <v>0.0</v>
      </c>
      <c r="F3531" s="7" t="s">
        <v>887</v>
      </c>
      <c r="G3531" s="7" t="s">
        <v>358</v>
      </c>
      <c r="H3531" s="7" t="s">
        <v>466</v>
      </c>
      <c r="I3531" s="7" t="s">
        <v>355</v>
      </c>
      <c r="J3531" s="14"/>
      <c r="O3531" s="22"/>
      <c r="P3531" s="22"/>
      <c r="Q3531" s="23"/>
      <c r="R3531" s="23"/>
      <c r="S3531" s="14"/>
    </row>
    <row r="3532" ht="18.75" customHeight="1">
      <c r="A3532" s="7" t="s">
        <v>963</v>
      </c>
      <c r="B3532" s="7" t="s">
        <v>3884</v>
      </c>
      <c r="C3532" s="9">
        <v>1.0</v>
      </c>
      <c r="D3532" s="9">
        <v>0.0</v>
      </c>
      <c r="E3532" s="9">
        <v>0.0</v>
      </c>
      <c r="F3532" s="7" t="s">
        <v>964</v>
      </c>
      <c r="G3532" s="7" t="s">
        <v>416</v>
      </c>
      <c r="H3532" s="7" t="s">
        <v>417</v>
      </c>
      <c r="I3532" s="7" t="s">
        <v>355</v>
      </c>
      <c r="J3532" s="14"/>
      <c r="O3532" s="22"/>
      <c r="P3532" s="22"/>
      <c r="Q3532" s="23"/>
      <c r="R3532" s="23"/>
      <c r="S3532" s="14"/>
    </row>
    <row r="3533" ht="18.75" customHeight="1">
      <c r="A3533" s="7" t="s">
        <v>985</v>
      </c>
      <c r="B3533" s="7" t="s">
        <v>3884</v>
      </c>
      <c r="C3533" s="9">
        <v>1606.0</v>
      </c>
      <c r="D3533" s="9">
        <v>1001.0</v>
      </c>
      <c r="E3533" s="9">
        <v>0.0</v>
      </c>
      <c r="F3533" s="7" t="s">
        <v>986</v>
      </c>
      <c r="G3533" s="7" t="s">
        <v>358</v>
      </c>
      <c r="H3533" s="7" t="s">
        <v>466</v>
      </c>
      <c r="I3533" s="7" t="s">
        <v>355</v>
      </c>
      <c r="J3533" s="14"/>
      <c r="O3533" s="22"/>
      <c r="P3533" s="22"/>
      <c r="Q3533" s="23"/>
      <c r="R3533" s="23"/>
      <c r="S3533" s="14"/>
    </row>
    <row r="3534" ht="18.75" customHeight="1">
      <c r="A3534" s="7" t="s">
        <v>985</v>
      </c>
      <c r="B3534" s="7" t="s">
        <v>3884</v>
      </c>
      <c r="C3534" s="9">
        <v>2706237.0</v>
      </c>
      <c r="D3534" s="9">
        <v>1750678.0</v>
      </c>
      <c r="E3534" s="9">
        <v>1274.0</v>
      </c>
      <c r="F3534" s="7" t="s">
        <v>986</v>
      </c>
      <c r="G3534" s="7" t="s">
        <v>358</v>
      </c>
      <c r="H3534" s="7" t="s">
        <v>466</v>
      </c>
      <c r="I3534" s="7" t="s">
        <v>355</v>
      </c>
      <c r="J3534" s="14"/>
      <c r="O3534" s="22"/>
      <c r="P3534" s="22"/>
      <c r="Q3534" s="23"/>
      <c r="R3534" s="23"/>
      <c r="S3534" s="14"/>
    </row>
    <row r="3535" ht="18.75" customHeight="1">
      <c r="A3535" s="7" t="s">
        <v>985</v>
      </c>
      <c r="B3535" s="7" t="s">
        <v>3884</v>
      </c>
      <c r="C3535" s="9">
        <v>121.0</v>
      </c>
      <c r="D3535" s="9">
        <v>94.0</v>
      </c>
      <c r="E3535" s="9">
        <v>0.0</v>
      </c>
      <c r="F3535" s="7" t="s">
        <v>986</v>
      </c>
      <c r="G3535" s="7" t="s">
        <v>358</v>
      </c>
      <c r="H3535" s="7" t="s">
        <v>466</v>
      </c>
      <c r="I3535" s="7" t="s">
        <v>355</v>
      </c>
      <c r="J3535" s="14"/>
      <c r="O3535" s="22"/>
      <c r="P3535" s="22"/>
      <c r="Q3535" s="23"/>
      <c r="R3535" s="23"/>
      <c r="S3535" s="14"/>
    </row>
    <row r="3536" ht="18.75" customHeight="1">
      <c r="A3536" s="7" t="s">
        <v>985</v>
      </c>
      <c r="B3536" s="7" t="s">
        <v>3884</v>
      </c>
      <c r="C3536" s="9">
        <v>1668661.0</v>
      </c>
      <c r="D3536" s="9">
        <v>1213299.0</v>
      </c>
      <c r="E3536" s="9">
        <v>684.0</v>
      </c>
      <c r="F3536" s="7" t="s">
        <v>986</v>
      </c>
      <c r="G3536" s="7" t="s">
        <v>358</v>
      </c>
      <c r="H3536" s="7" t="s">
        <v>466</v>
      </c>
      <c r="I3536" s="7" t="s">
        <v>355</v>
      </c>
      <c r="J3536" s="14"/>
      <c r="O3536" s="22"/>
      <c r="P3536" s="22"/>
      <c r="Q3536" s="23"/>
      <c r="R3536" s="23"/>
      <c r="S3536" s="14"/>
    </row>
    <row r="3537" ht="18.75" customHeight="1">
      <c r="A3537" s="7" t="s">
        <v>902</v>
      </c>
      <c r="B3537" s="7" t="s">
        <v>3884</v>
      </c>
      <c r="C3537" s="9">
        <v>0.0</v>
      </c>
      <c r="D3537" s="9">
        <v>0.0</v>
      </c>
      <c r="E3537" s="9">
        <v>0.0</v>
      </c>
      <c r="F3537" s="7" t="s">
        <v>903</v>
      </c>
      <c r="G3537" s="7" t="s">
        <v>416</v>
      </c>
      <c r="H3537" s="7" t="s">
        <v>417</v>
      </c>
      <c r="I3537" s="7" t="s">
        <v>355</v>
      </c>
      <c r="J3537" s="14"/>
      <c r="O3537" s="22"/>
      <c r="P3537" s="22"/>
      <c r="Q3537" s="23"/>
      <c r="R3537" s="23"/>
      <c r="S3537" s="14"/>
    </row>
    <row r="3538" ht="18.75" customHeight="1">
      <c r="A3538" s="7" t="s">
        <v>902</v>
      </c>
      <c r="B3538" s="7" t="s">
        <v>3884</v>
      </c>
      <c r="C3538" s="9">
        <v>0.0</v>
      </c>
      <c r="D3538" s="9">
        <v>0.0</v>
      </c>
      <c r="E3538" s="9">
        <v>0.0</v>
      </c>
      <c r="F3538" s="7" t="s">
        <v>903</v>
      </c>
      <c r="G3538" s="7" t="s">
        <v>416</v>
      </c>
      <c r="H3538" s="7" t="s">
        <v>417</v>
      </c>
      <c r="I3538" s="7" t="s">
        <v>355</v>
      </c>
      <c r="J3538" s="14"/>
      <c r="O3538" s="22"/>
      <c r="P3538" s="22"/>
      <c r="Q3538" s="23"/>
      <c r="R3538" s="23"/>
      <c r="S3538" s="14"/>
    </row>
    <row r="3539" ht="18.75" customHeight="1">
      <c r="A3539" s="7" t="s">
        <v>351</v>
      </c>
      <c r="B3539" s="7" t="s">
        <v>3884</v>
      </c>
      <c r="C3539" s="9">
        <v>1619913.0</v>
      </c>
      <c r="D3539" s="9">
        <v>0.0</v>
      </c>
      <c r="E3539" s="9">
        <v>1832.0</v>
      </c>
      <c r="F3539" s="7" t="s">
        <v>352</v>
      </c>
      <c r="G3539" s="7" t="s">
        <v>353</v>
      </c>
      <c r="H3539" s="7" t="s">
        <v>354</v>
      </c>
      <c r="I3539" s="7" t="s">
        <v>410</v>
      </c>
      <c r="J3539" s="14"/>
      <c r="O3539" s="22"/>
      <c r="P3539" s="22"/>
      <c r="Q3539" s="23"/>
      <c r="R3539" s="23"/>
      <c r="S3539" s="14"/>
    </row>
    <row r="3540" ht="18.75" customHeight="1">
      <c r="A3540" s="7" t="s">
        <v>351</v>
      </c>
      <c r="B3540" s="7" t="s">
        <v>3884</v>
      </c>
      <c r="C3540" s="9">
        <v>528833.0</v>
      </c>
      <c r="D3540" s="9">
        <v>0.0</v>
      </c>
      <c r="E3540" s="9">
        <v>47166.0</v>
      </c>
      <c r="F3540" s="7" t="s">
        <v>352</v>
      </c>
      <c r="G3540" s="7" t="s">
        <v>353</v>
      </c>
      <c r="H3540" s="7" t="s">
        <v>354</v>
      </c>
      <c r="I3540" s="7" t="s">
        <v>410</v>
      </c>
      <c r="J3540" s="14"/>
      <c r="O3540" s="22"/>
      <c r="P3540" s="22"/>
      <c r="Q3540" s="23"/>
      <c r="R3540" s="23"/>
      <c r="S3540" s="14"/>
    </row>
    <row r="3541" ht="18.75" customHeight="1">
      <c r="A3541" s="7" t="s">
        <v>351</v>
      </c>
      <c r="B3541" s="7" t="s">
        <v>3884</v>
      </c>
      <c r="C3541" s="9">
        <v>967650.0</v>
      </c>
      <c r="D3541" s="9">
        <v>736166.0</v>
      </c>
      <c r="E3541" s="9">
        <v>249.0</v>
      </c>
      <c r="F3541" s="7" t="s">
        <v>352</v>
      </c>
      <c r="G3541" s="7" t="s">
        <v>353</v>
      </c>
      <c r="H3541" s="7" t="s">
        <v>354</v>
      </c>
      <c r="I3541" s="7" t="s">
        <v>410</v>
      </c>
      <c r="J3541" s="14"/>
      <c r="O3541" s="22"/>
      <c r="P3541" s="22"/>
      <c r="Q3541" s="23"/>
      <c r="R3541" s="23"/>
      <c r="S3541" s="14"/>
    </row>
    <row r="3542" ht="18.75" customHeight="1">
      <c r="A3542" s="7" t="s">
        <v>351</v>
      </c>
      <c r="B3542" s="7" t="s">
        <v>3884</v>
      </c>
      <c r="C3542" s="9">
        <v>922314.0</v>
      </c>
      <c r="D3542" s="9">
        <v>737146.0</v>
      </c>
      <c r="E3542" s="9">
        <v>227.0</v>
      </c>
      <c r="F3542" s="7" t="s">
        <v>352</v>
      </c>
      <c r="G3542" s="7" t="s">
        <v>353</v>
      </c>
      <c r="H3542" s="7" t="s">
        <v>354</v>
      </c>
      <c r="I3542" s="7" t="s">
        <v>410</v>
      </c>
      <c r="J3542" s="14"/>
      <c r="O3542" s="22"/>
      <c r="P3542" s="22"/>
      <c r="Q3542" s="23"/>
      <c r="R3542" s="23"/>
      <c r="S3542" s="14"/>
    </row>
    <row r="3543" ht="18.75" customHeight="1">
      <c r="A3543" s="7" t="s">
        <v>351</v>
      </c>
      <c r="B3543" s="7" t="s">
        <v>3884</v>
      </c>
      <c r="C3543" s="9">
        <v>1183044.0</v>
      </c>
      <c r="D3543" s="9">
        <v>813016.0</v>
      </c>
      <c r="E3543" s="9">
        <v>28629.0</v>
      </c>
      <c r="F3543" s="7" t="s">
        <v>352</v>
      </c>
      <c r="G3543" s="7" t="s">
        <v>353</v>
      </c>
      <c r="H3543" s="7" t="s">
        <v>354</v>
      </c>
      <c r="I3543" s="7" t="s">
        <v>410</v>
      </c>
      <c r="J3543" s="14"/>
      <c r="O3543" s="22"/>
      <c r="P3543" s="22"/>
      <c r="Q3543" s="23"/>
      <c r="R3543" s="23"/>
      <c r="S3543" s="14"/>
    </row>
    <row r="3544" ht="18.75" customHeight="1">
      <c r="A3544" s="7" t="s">
        <v>351</v>
      </c>
      <c r="B3544" s="7" t="s">
        <v>3884</v>
      </c>
      <c r="C3544" s="9">
        <v>1744315.0</v>
      </c>
      <c r="D3544" s="9">
        <v>947392.0</v>
      </c>
      <c r="E3544" s="9">
        <v>16250.0</v>
      </c>
      <c r="F3544" s="7" t="s">
        <v>352</v>
      </c>
      <c r="G3544" s="7" t="s">
        <v>353</v>
      </c>
      <c r="H3544" s="7" t="s">
        <v>354</v>
      </c>
      <c r="I3544" s="7" t="s">
        <v>410</v>
      </c>
      <c r="J3544" s="14"/>
      <c r="O3544" s="22"/>
      <c r="P3544" s="22"/>
      <c r="Q3544" s="23"/>
      <c r="R3544" s="23"/>
      <c r="S3544" s="14"/>
    </row>
    <row r="3545" ht="18.75" customHeight="1">
      <c r="A3545" s="7" t="s">
        <v>351</v>
      </c>
      <c r="B3545" s="7" t="s">
        <v>3884</v>
      </c>
      <c r="C3545" s="9">
        <v>99529.0</v>
      </c>
      <c r="D3545" s="9">
        <v>95315.0</v>
      </c>
      <c r="E3545" s="9">
        <v>0.0</v>
      </c>
      <c r="F3545" s="7" t="s">
        <v>352</v>
      </c>
      <c r="G3545" s="7" t="s">
        <v>353</v>
      </c>
      <c r="H3545" s="7" t="s">
        <v>354</v>
      </c>
      <c r="I3545" s="7" t="s">
        <v>410</v>
      </c>
      <c r="J3545" s="14"/>
      <c r="O3545" s="22"/>
      <c r="P3545" s="22"/>
      <c r="Q3545" s="23"/>
      <c r="R3545" s="23"/>
      <c r="S3545" s="14"/>
    </row>
    <row r="3546" ht="18.75" customHeight="1">
      <c r="A3546" s="7" t="s">
        <v>408</v>
      </c>
      <c r="B3546" s="7" t="s">
        <v>3884</v>
      </c>
      <c r="C3546" s="9">
        <v>1030099.0</v>
      </c>
      <c r="D3546" s="9">
        <v>0.0</v>
      </c>
      <c r="E3546" s="9">
        <v>1110.0</v>
      </c>
      <c r="F3546" s="7" t="s">
        <v>409</v>
      </c>
      <c r="G3546" s="7" t="s">
        <v>353</v>
      </c>
      <c r="H3546" s="7" t="s">
        <v>354</v>
      </c>
      <c r="I3546" s="7" t="s">
        <v>410</v>
      </c>
      <c r="J3546" s="14"/>
      <c r="O3546" s="22"/>
      <c r="P3546" s="22"/>
      <c r="Q3546" s="23"/>
      <c r="R3546" s="23"/>
      <c r="S3546" s="14"/>
    </row>
    <row r="3547" ht="18.75" customHeight="1">
      <c r="A3547" s="7" t="s">
        <v>408</v>
      </c>
      <c r="B3547" s="7" t="s">
        <v>3884</v>
      </c>
      <c r="C3547" s="9">
        <v>135674.0</v>
      </c>
      <c r="D3547" s="9">
        <v>0.0</v>
      </c>
      <c r="E3547" s="9">
        <v>341.0</v>
      </c>
      <c r="F3547" s="7" t="s">
        <v>409</v>
      </c>
      <c r="G3547" s="7" t="s">
        <v>353</v>
      </c>
      <c r="H3547" s="7" t="s">
        <v>354</v>
      </c>
      <c r="I3547" s="7" t="s">
        <v>410</v>
      </c>
      <c r="J3547" s="14"/>
      <c r="O3547" s="22"/>
      <c r="P3547" s="22"/>
      <c r="Q3547" s="23"/>
      <c r="R3547" s="23"/>
      <c r="S3547" s="14"/>
    </row>
    <row r="3548" ht="18.75" customHeight="1">
      <c r="A3548" s="7" t="s">
        <v>408</v>
      </c>
      <c r="B3548" s="7" t="s">
        <v>3884</v>
      </c>
      <c r="C3548" s="9">
        <v>207006.0</v>
      </c>
      <c r="D3548" s="9">
        <v>132337.0</v>
      </c>
      <c r="E3548" s="9">
        <v>609.0</v>
      </c>
      <c r="F3548" s="7" t="s">
        <v>409</v>
      </c>
      <c r="G3548" s="7" t="s">
        <v>353</v>
      </c>
      <c r="H3548" s="7" t="s">
        <v>354</v>
      </c>
      <c r="I3548" s="7" t="s">
        <v>410</v>
      </c>
      <c r="J3548" s="14"/>
      <c r="O3548" s="22"/>
      <c r="P3548" s="22"/>
      <c r="Q3548" s="23"/>
      <c r="R3548" s="23"/>
      <c r="S3548" s="14"/>
    </row>
    <row r="3549" ht="18.75" customHeight="1">
      <c r="A3549" s="7" t="s">
        <v>872</v>
      </c>
      <c r="B3549" s="7" t="s">
        <v>3884</v>
      </c>
      <c r="C3549" s="9">
        <v>0.0</v>
      </c>
      <c r="D3549" s="9">
        <v>0.0</v>
      </c>
      <c r="E3549" s="9">
        <v>0.0</v>
      </c>
      <c r="F3549" s="7" t="s">
        <v>873</v>
      </c>
      <c r="G3549" s="7" t="s">
        <v>353</v>
      </c>
      <c r="H3549" s="7" t="s">
        <v>378</v>
      </c>
      <c r="I3549" s="7" t="s">
        <v>355</v>
      </c>
      <c r="J3549" s="14"/>
      <c r="O3549" s="22"/>
      <c r="P3549" s="22"/>
      <c r="Q3549" s="23"/>
      <c r="R3549" s="23"/>
      <c r="S3549" s="14"/>
    </row>
    <row r="3550" ht="18.75" customHeight="1">
      <c r="A3550" s="7" t="s">
        <v>872</v>
      </c>
      <c r="B3550" s="7" t="s">
        <v>3884</v>
      </c>
      <c r="C3550" s="9">
        <v>3846184.0</v>
      </c>
      <c r="D3550" s="9">
        <v>0.0</v>
      </c>
      <c r="E3550" s="9">
        <v>5428.0</v>
      </c>
      <c r="F3550" s="7" t="s">
        <v>873</v>
      </c>
      <c r="G3550" s="7" t="s">
        <v>353</v>
      </c>
      <c r="H3550" s="7" t="s">
        <v>378</v>
      </c>
      <c r="I3550" s="7" t="s">
        <v>355</v>
      </c>
      <c r="J3550" s="14"/>
      <c r="O3550" s="22"/>
      <c r="P3550" s="22"/>
      <c r="Q3550" s="23"/>
      <c r="R3550" s="23"/>
      <c r="S3550" s="14"/>
    </row>
    <row r="3551" ht="18.75" customHeight="1">
      <c r="A3551" s="7" t="s">
        <v>834</v>
      </c>
      <c r="B3551" s="7" t="s">
        <v>3884</v>
      </c>
      <c r="C3551" s="9">
        <v>4736290.0</v>
      </c>
      <c r="D3551" s="9">
        <v>0.0</v>
      </c>
      <c r="E3551" s="9">
        <v>4604.0</v>
      </c>
      <c r="F3551" s="7" t="s">
        <v>835</v>
      </c>
      <c r="G3551" s="7" t="s">
        <v>404</v>
      </c>
      <c r="H3551" s="7" t="s">
        <v>405</v>
      </c>
      <c r="I3551" s="7" t="s">
        <v>355</v>
      </c>
      <c r="J3551" s="14"/>
      <c r="O3551" s="22"/>
      <c r="P3551" s="22"/>
      <c r="Q3551" s="23"/>
      <c r="R3551" s="23"/>
      <c r="S3551" s="14"/>
    </row>
    <row r="3552" ht="18.75" customHeight="1">
      <c r="A3552" s="7" t="s">
        <v>834</v>
      </c>
      <c r="B3552" s="7" t="s">
        <v>3884</v>
      </c>
      <c r="C3552" s="9">
        <v>2691885.0</v>
      </c>
      <c r="D3552" s="9">
        <v>1565423.0</v>
      </c>
      <c r="E3552" s="9">
        <v>865.0</v>
      </c>
      <c r="F3552" s="7" t="s">
        <v>835</v>
      </c>
      <c r="G3552" s="7" t="s">
        <v>404</v>
      </c>
      <c r="H3552" s="7" t="s">
        <v>405</v>
      </c>
      <c r="I3552" s="7" t="s">
        <v>355</v>
      </c>
      <c r="J3552" s="14"/>
      <c r="O3552" s="22"/>
      <c r="P3552" s="22"/>
      <c r="Q3552" s="23"/>
      <c r="R3552" s="23"/>
      <c r="S3552" s="14"/>
    </row>
    <row r="3553" ht="18.75" customHeight="1">
      <c r="A3553" s="7" t="s">
        <v>834</v>
      </c>
      <c r="B3553" s="7" t="s">
        <v>3884</v>
      </c>
      <c r="C3553" s="9">
        <v>85800.0</v>
      </c>
      <c r="D3553" s="9">
        <v>0.0</v>
      </c>
      <c r="E3553" s="9">
        <v>2719.0</v>
      </c>
      <c r="F3553" s="7" t="s">
        <v>835</v>
      </c>
      <c r="G3553" s="7" t="s">
        <v>404</v>
      </c>
      <c r="H3553" s="7" t="s">
        <v>405</v>
      </c>
      <c r="I3553" s="7" t="s">
        <v>355</v>
      </c>
      <c r="J3553" s="14"/>
      <c r="O3553" s="22"/>
      <c r="P3553" s="22"/>
      <c r="Q3553" s="23"/>
      <c r="R3553" s="23"/>
      <c r="S3553" s="14"/>
    </row>
    <row r="3554" ht="18.75" customHeight="1">
      <c r="A3554" s="7" t="s">
        <v>884</v>
      </c>
      <c r="B3554" s="7" t="s">
        <v>3884</v>
      </c>
      <c r="C3554" s="9">
        <v>1747897.0</v>
      </c>
      <c r="D3554" s="9">
        <v>0.0</v>
      </c>
      <c r="E3554" s="9">
        <v>1403.0</v>
      </c>
      <c r="F3554" s="7" t="s">
        <v>885</v>
      </c>
      <c r="G3554" s="7" t="s">
        <v>364</v>
      </c>
      <c r="H3554" s="7" t="s">
        <v>365</v>
      </c>
      <c r="I3554" s="7" t="s">
        <v>355</v>
      </c>
      <c r="J3554" s="14"/>
      <c r="O3554" s="22"/>
      <c r="P3554" s="22"/>
      <c r="Q3554" s="23"/>
      <c r="R3554" s="23"/>
      <c r="S3554" s="14"/>
    </row>
    <row r="3555" ht="18.75" customHeight="1">
      <c r="A3555" s="7" t="s">
        <v>884</v>
      </c>
      <c r="B3555" s="7" t="s">
        <v>3884</v>
      </c>
      <c r="C3555" s="9">
        <v>1879666.0</v>
      </c>
      <c r="D3555" s="9">
        <v>0.0</v>
      </c>
      <c r="E3555" s="9">
        <v>2410.0</v>
      </c>
      <c r="F3555" s="7" t="s">
        <v>885</v>
      </c>
      <c r="G3555" s="7" t="s">
        <v>364</v>
      </c>
      <c r="H3555" s="7" t="s">
        <v>365</v>
      </c>
      <c r="I3555" s="7" t="s">
        <v>355</v>
      </c>
      <c r="J3555" s="14"/>
      <c r="O3555" s="22"/>
      <c r="P3555" s="22"/>
      <c r="Q3555" s="23"/>
      <c r="R3555" s="23"/>
      <c r="S3555" s="14"/>
    </row>
    <row r="3556" ht="18.75" customHeight="1">
      <c r="A3556" s="7" t="s">
        <v>761</v>
      </c>
      <c r="B3556" s="7" t="s">
        <v>3884</v>
      </c>
      <c r="C3556" s="9">
        <v>23.0</v>
      </c>
      <c r="D3556" s="9">
        <v>10.0</v>
      </c>
      <c r="E3556" s="9">
        <v>0.0</v>
      </c>
      <c r="F3556" s="7" t="s">
        <v>762</v>
      </c>
      <c r="G3556" s="7" t="s">
        <v>404</v>
      </c>
      <c r="H3556" s="7" t="s">
        <v>760</v>
      </c>
      <c r="I3556" s="7" t="s">
        <v>355</v>
      </c>
      <c r="J3556" s="14"/>
      <c r="O3556" s="22"/>
      <c r="P3556" s="22"/>
      <c r="Q3556" s="23"/>
      <c r="R3556" s="23"/>
      <c r="S3556" s="14"/>
    </row>
    <row r="3557" ht="18.75" customHeight="1">
      <c r="A3557" s="7" t="s">
        <v>761</v>
      </c>
      <c r="B3557" s="7" t="s">
        <v>3884</v>
      </c>
      <c r="C3557" s="9">
        <v>32638.0</v>
      </c>
      <c r="D3557" s="9">
        <v>32458.0</v>
      </c>
      <c r="E3557" s="9">
        <v>3.0</v>
      </c>
      <c r="F3557" s="7" t="s">
        <v>762</v>
      </c>
      <c r="G3557" s="7" t="s">
        <v>404</v>
      </c>
      <c r="H3557" s="7" t="s">
        <v>760</v>
      </c>
      <c r="I3557" s="7" t="s">
        <v>355</v>
      </c>
      <c r="J3557" s="14"/>
      <c r="O3557" s="22"/>
      <c r="P3557" s="22"/>
      <c r="Q3557" s="23"/>
      <c r="R3557" s="23"/>
      <c r="S3557" s="14"/>
    </row>
    <row r="3558" ht="18.75" customHeight="1">
      <c r="A3558" s="7" t="s">
        <v>1005</v>
      </c>
      <c r="B3558" s="7" t="s">
        <v>3884</v>
      </c>
      <c r="C3558" s="9">
        <v>14.0</v>
      </c>
      <c r="D3558" s="9">
        <v>2.0</v>
      </c>
      <c r="E3558" s="9">
        <v>0.0</v>
      </c>
      <c r="F3558" s="7" t="s">
        <v>1006</v>
      </c>
      <c r="G3558" s="7" t="s">
        <v>503</v>
      </c>
      <c r="H3558" s="7" t="s">
        <v>783</v>
      </c>
      <c r="I3558" s="7" t="s">
        <v>2117</v>
      </c>
      <c r="J3558" s="14"/>
      <c r="O3558" s="22"/>
      <c r="P3558" s="22"/>
      <c r="Q3558" s="23"/>
      <c r="R3558" s="23"/>
      <c r="S3558" s="14"/>
    </row>
    <row r="3559" ht="18.75" customHeight="1">
      <c r="A3559" s="7" t="s">
        <v>1005</v>
      </c>
      <c r="B3559" s="7" t="s">
        <v>3884</v>
      </c>
      <c r="C3559" s="9">
        <v>2863.0</v>
      </c>
      <c r="D3559" s="9">
        <v>365.0</v>
      </c>
      <c r="E3559" s="9">
        <v>5.0</v>
      </c>
      <c r="F3559" s="7" t="s">
        <v>1006</v>
      </c>
      <c r="G3559" s="7" t="s">
        <v>503</v>
      </c>
      <c r="H3559" s="7" t="s">
        <v>783</v>
      </c>
      <c r="I3559" s="7" t="s">
        <v>2117</v>
      </c>
      <c r="J3559" s="14"/>
      <c r="O3559" s="22"/>
      <c r="P3559" s="22"/>
      <c r="Q3559" s="23"/>
      <c r="R3559" s="23"/>
      <c r="S3559" s="14"/>
    </row>
    <row r="3560" ht="18.75" customHeight="1">
      <c r="A3560" s="7" t="s">
        <v>1005</v>
      </c>
      <c r="B3560" s="7" t="s">
        <v>3884</v>
      </c>
      <c r="C3560" s="9">
        <v>0.0</v>
      </c>
      <c r="D3560" s="9">
        <v>0.0</v>
      </c>
      <c r="E3560" s="9">
        <v>0.0</v>
      </c>
      <c r="F3560" s="7" t="s">
        <v>1006</v>
      </c>
      <c r="G3560" s="7" t="s">
        <v>503</v>
      </c>
      <c r="H3560" s="7" t="s">
        <v>783</v>
      </c>
      <c r="I3560" s="7" t="s">
        <v>2117</v>
      </c>
      <c r="J3560" s="14"/>
      <c r="O3560" s="22"/>
      <c r="P3560" s="22"/>
      <c r="Q3560" s="23"/>
      <c r="R3560" s="23"/>
      <c r="S3560" s="14"/>
    </row>
    <row r="3561" ht="18.75" customHeight="1">
      <c r="A3561" s="7" t="s">
        <v>1037</v>
      </c>
      <c r="B3561" s="7" t="s">
        <v>3884</v>
      </c>
      <c r="C3561" s="9">
        <v>548756.0</v>
      </c>
      <c r="D3561" s="9">
        <v>0.0</v>
      </c>
      <c r="E3561" s="9">
        <v>1771.0</v>
      </c>
      <c r="F3561" s="7" t="s">
        <v>1038</v>
      </c>
      <c r="G3561" s="7" t="s">
        <v>416</v>
      </c>
      <c r="H3561" s="7" t="s">
        <v>417</v>
      </c>
      <c r="I3561" s="7" t="s">
        <v>355</v>
      </c>
      <c r="J3561" s="14"/>
      <c r="O3561" s="22"/>
      <c r="P3561" s="22"/>
      <c r="Q3561" s="23"/>
      <c r="R3561" s="23"/>
      <c r="S3561" s="14"/>
    </row>
    <row r="3562" ht="18.75" customHeight="1">
      <c r="A3562" s="7" t="s">
        <v>1037</v>
      </c>
      <c r="B3562" s="7" t="s">
        <v>3884</v>
      </c>
      <c r="C3562" s="9">
        <v>532351.0</v>
      </c>
      <c r="D3562" s="9">
        <v>0.0</v>
      </c>
      <c r="E3562" s="9">
        <v>1914.0</v>
      </c>
      <c r="F3562" s="7" t="s">
        <v>1038</v>
      </c>
      <c r="G3562" s="7" t="s">
        <v>416</v>
      </c>
      <c r="H3562" s="7" t="s">
        <v>417</v>
      </c>
      <c r="I3562" s="7" t="s">
        <v>355</v>
      </c>
      <c r="J3562" s="14"/>
      <c r="O3562" s="22"/>
      <c r="P3562" s="22"/>
      <c r="Q3562" s="23"/>
      <c r="R3562" s="23"/>
      <c r="S3562" s="14"/>
    </row>
    <row r="3563" ht="18.75" customHeight="1">
      <c r="A3563" s="7" t="s">
        <v>1035</v>
      </c>
      <c r="B3563" s="7" t="s">
        <v>3884</v>
      </c>
      <c r="C3563" s="9">
        <v>0.0</v>
      </c>
      <c r="D3563" s="9">
        <v>0.0</v>
      </c>
      <c r="E3563" s="9">
        <v>0.0</v>
      </c>
      <c r="F3563" s="7" t="s">
        <v>1036</v>
      </c>
      <c r="G3563" s="7" t="s">
        <v>416</v>
      </c>
      <c r="H3563" s="7" t="s">
        <v>417</v>
      </c>
      <c r="I3563" s="7" t="s">
        <v>355</v>
      </c>
      <c r="J3563" s="14"/>
      <c r="O3563" s="22"/>
      <c r="P3563" s="22"/>
      <c r="Q3563" s="23"/>
      <c r="R3563" s="23"/>
      <c r="S3563" s="14"/>
    </row>
    <row r="3564" ht="18.75" customHeight="1">
      <c r="A3564" s="7" t="s">
        <v>1033</v>
      </c>
      <c r="B3564" s="7" t="s">
        <v>3884</v>
      </c>
      <c r="C3564" s="9">
        <v>0.0</v>
      </c>
      <c r="D3564" s="9">
        <v>0.0</v>
      </c>
      <c r="E3564" s="9">
        <v>0.0</v>
      </c>
      <c r="F3564" s="7" t="s">
        <v>1034</v>
      </c>
      <c r="G3564" s="7" t="s">
        <v>416</v>
      </c>
      <c r="H3564" s="7" t="s">
        <v>417</v>
      </c>
      <c r="I3564" s="7" t="s">
        <v>355</v>
      </c>
      <c r="J3564" s="14"/>
      <c r="O3564" s="22"/>
      <c r="P3564" s="22"/>
      <c r="Q3564" s="23"/>
      <c r="R3564" s="23"/>
      <c r="S3564" s="14"/>
    </row>
    <row r="3565" ht="18.75" customHeight="1">
      <c r="A3565" s="7" t="s">
        <v>870</v>
      </c>
      <c r="B3565" s="7" t="s">
        <v>3884</v>
      </c>
      <c r="C3565" s="9">
        <v>2179253.0</v>
      </c>
      <c r="D3565" s="9">
        <v>0.0</v>
      </c>
      <c r="E3565" s="9">
        <v>2785.0</v>
      </c>
      <c r="F3565" s="7" t="s">
        <v>871</v>
      </c>
      <c r="G3565" s="7" t="s">
        <v>353</v>
      </c>
      <c r="H3565" s="7" t="s">
        <v>378</v>
      </c>
      <c r="I3565" s="7" t="s">
        <v>355</v>
      </c>
      <c r="J3565" s="14"/>
      <c r="O3565" s="22"/>
      <c r="P3565" s="22"/>
      <c r="Q3565" s="23"/>
      <c r="R3565" s="23"/>
      <c r="S3565" s="14"/>
    </row>
    <row r="3566" ht="18.75" customHeight="1">
      <c r="A3566" s="7" t="s">
        <v>870</v>
      </c>
      <c r="B3566" s="7" t="s">
        <v>3884</v>
      </c>
      <c r="C3566" s="9">
        <v>4553202.0</v>
      </c>
      <c r="D3566" s="9">
        <v>0.0</v>
      </c>
      <c r="E3566" s="9">
        <v>6227.0</v>
      </c>
      <c r="F3566" s="7" t="s">
        <v>871</v>
      </c>
      <c r="G3566" s="7" t="s">
        <v>353</v>
      </c>
      <c r="H3566" s="7" t="s">
        <v>378</v>
      </c>
      <c r="I3566" s="7" t="s">
        <v>355</v>
      </c>
      <c r="J3566" s="14"/>
      <c r="O3566" s="22"/>
      <c r="P3566" s="22"/>
      <c r="Q3566" s="23"/>
      <c r="R3566" s="23"/>
      <c r="S3566" s="14"/>
    </row>
    <row r="3567" ht="18.75" customHeight="1">
      <c r="A3567" s="7" t="s">
        <v>870</v>
      </c>
      <c r="B3567" s="7" t="s">
        <v>3884</v>
      </c>
      <c r="C3567" s="9">
        <v>0.0</v>
      </c>
      <c r="D3567" s="9">
        <v>0.0</v>
      </c>
      <c r="E3567" s="9">
        <v>0.0</v>
      </c>
      <c r="F3567" s="7" t="s">
        <v>871</v>
      </c>
      <c r="G3567" s="7" t="s">
        <v>353</v>
      </c>
      <c r="H3567" s="7" t="s">
        <v>378</v>
      </c>
      <c r="I3567" s="7" t="s">
        <v>355</v>
      </c>
      <c r="J3567" s="14"/>
      <c r="O3567" s="22"/>
      <c r="P3567" s="22"/>
      <c r="Q3567" s="23"/>
      <c r="R3567" s="23"/>
      <c r="S3567" s="14"/>
    </row>
    <row r="3568" ht="18.75" customHeight="1">
      <c r="A3568" s="7" t="s">
        <v>1047</v>
      </c>
      <c r="B3568" s="7" t="s">
        <v>3884</v>
      </c>
      <c r="C3568" s="9">
        <v>0.0</v>
      </c>
      <c r="D3568" s="9">
        <v>0.0</v>
      </c>
      <c r="E3568" s="9">
        <v>0.0</v>
      </c>
      <c r="F3568" s="7" t="s">
        <v>1048</v>
      </c>
      <c r="G3568" s="7" t="s">
        <v>364</v>
      </c>
      <c r="H3568" s="7" t="s">
        <v>365</v>
      </c>
      <c r="I3568" s="7" t="s">
        <v>355</v>
      </c>
      <c r="J3568" s="14"/>
      <c r="O3568" s="22"/>
      <c r="P3568" s="22"/>
      <c r="Q3568" s="23"/>
      <c r="R3568" s="23"/>
      <c r="S3568" s="14"/>
    </row>
    <row r="3569" ht="18.75" customHeight="1">
      <c r="A3569" s="7" t="s">
        <v>1051</v>
      </c>
      <c r="B3569" s="7" t="s">
        <v>3884</v>
      </c>
      <c r="C3569" s="9">
        <v>8723006.0</v>
      </c>
      <c r="D3569" s="9">
        <v>0.0</v>
      </c>
      <c r="E3569" s="9">
        <v>8265.0</v>
      </c>
      <c r="F3569" s="7" t="s">
        <v>1052</v>
      </c>
      <c r="G3569" s="7" t="s">
        <v>364</v>
      </c>
      <c r="H3569" s="7" t="s">
        <v>365</v>
      </c>
      <c r="I3569" s="7" t="s">
        <v>355</v>
      </c>
      <c r="J3569" s="14"/>
      <c r="O3569" s="22"/>
      <c r="P3569" s="22"/>
      <c r="Q3569" s="23"/>
      <c r="R3569" s="23"/>
      <c r="S3569" s="14"/>
    </row>
    <row r="3570" ht="18.75" customHeight="1">
      <c r="A3570" s="7" t="s">
        <v>1029</v>
      </c>
      <c r="B3570" s="7" t="s">
        <v>3884</v>
      </c>
      <c r="C3570" s="9">
        <v>96134.0</v>
      </c>
      <c r="D3570" s="9">
        <v>0.0</v>
      </c>
      <c r="E3570" s="9">
        <v>8291.0</v>
      </c>
      <c r="F3570" s="7" t="s">
        <v>1030</v>
      </c>
      <c r="G3570" s="7" t="s">
        <v>404</v>
      </c>
      <c r="H3570" s="7" t="s">
        <v>667</v>
      </c>
      <c r="I3570" s="7" t="s">
        <v>355</v>
      </c>
      <c r="J3570" s="14"/>
      <c r="O3570" s="22"/>
      <c r="P3570" s="22"/>
      <c r="Q3570" s="23"/>
      <c r="R3570" s="23"/>
      <c r="S3570" s="14"/>
    </row>
    <row r="3571" ht="18.75" customHeight="1">
      <c r="A3571" s="7" t="s">
        <v>941</v>
      </c>
      <c r="B3571" s="7" t="s">
        <v>3884</v>
      </c>
      <c r="C3571" s="9">
        <v>3486313.0</v>
      </c>
      <c r="D3571" s="9">
        <v>0.0</v>
      </c>
      <c r="E3571" s="9">
        <v>3694.0</v>
      </c>
      <c r="F3571" s="7" t="s">
        <v>942</v>
      </c>
      <c r="G3571" s="7" t="s">
        <v>404</v>
      </c>
      <c r="H3571" s="7" t="s">
        <v>405</v>
      </c>
      <c r="I3571" s="7" t="s">
        <v>355</v>
      </c>
      <c r="J3571" s="14"/>
      <c r="O3571" s="22"/>
      <c r="P3571" s="22"/>
      <c r="Q3571" s="23"/>
      <c r="R3571" s="23"/>
      <c r="S3571" s="14"/>
    </row>
    <row r="3572" ht="18.75" customHeight="1">
      <c r="A3572" s="7" t="s">
        <v>941</v>
      </c>
      <c r="B3572" s="7" t="s">
        <v>3884</v>
      </c>
      <c r="C3572" s="9">
        <v>1071370.0</v>
      </c>
      <c r="D3572" s="9">
        <v>470408.0</v>
      </c>
      <c r="E3572" s="9">
        <v>384.0</v>
      </c>
      <c r="F3572" s="7" t="s">
        <v>942</v>
      </c>
      <c r="G3572" s="7" t="s">
        <v>404</v>
      </c>
      <c r="H3572" s="7" t="s">
        <v>405</v>
      </c>
      <c r="I3572" s="7" t="s">
        <v>355</v>
      </c>
      <c r="J3572" s="14"/>
      <c r="O3572" s="22"/>
      <c r="P3572" s="22"/>
      <c r="Q3572" s="23"/>
      <c r="R3572" s="23"/>
      <c r="S3572" s="14"/>
    </row>
    <row r="3573" ht="18.75" customHeight="1">
      <c r="A3573" s="7" t="s">
        <v>941</v>
      </c>
      <c r="B3573" s="7" t="s">
        <v>3884</v>
      </c>
      <c r="C3573" s="9">
        <v>29375.0</v>
      </c>
      <c r="D3573" s="9">
        <v>27496.0</v>
      </c>
      <c r="E3573" s="9">
        <v>0.0</v>
      </c>
      <c r="F3573" s="7" t="s">
        <v>942</v>
      </c>
      <c r="G3573" s="7" t="s">
        <v>404</v>
      </c>
      <c r="H3573" s="7" t="s">
        <v>405</v>
      </c>
      <c r="I3573" s="7" t="s">
        <v>355</v>
      </c>
      <c r="J3573" s="14"/>
      <c r="O3573" s="22"/>
      <c r="P3573" s="22"/>
      <c r="Q3573" s="23"/>
      <c r="R3573" s="23"/>
      <c r="S3573" s="14"/>
    </row>
    <row r="3574" ht="18.75" customHeight="1">
      <c r="A3574" s="7" t="s">
        <v>941</v>
      </c>
      <c r="B3574" s="7" t="s">
        <v>3884</v>
      </c>
      <c r="C3574" s="9">
        <v>26922.0</v>
      </c>
      <c r="D3574" s="9">
        <v>25616.0</v>
      </c>
      <c r="E3574" s="9">
        <v>0.0</v>
      </c>
      <c r="F3574" s="7" t="s">
        <v>942</v>
      </c>
      <c r="G3574" s="7" t="s">
        <v>404</v>
      </c>
      <c r="H3574" s="7" t="s">
        <v>405</v>
      </c>
      <c r="I3574" s="7" t="s">
        <v>355</v>
      </c>
      <c r="J3574" s="14"/>
      <c r="O3574" s="22"/>
      <c r="P3574" s="22"/>
      <c r="Q3574" s="23"/>
      <c r="R3574" s="23"/>
      <c r="S3574" s="14"/>
    </row>
    <row r="3575" ht="18.75" customHeight="1">
      <c r="A3575" s="7" t="s">
        <v>993</v>
      </c>
      <c r="B3575" s="7" t="s">
        <v>3884</v>
      </c>
      <c r="C3575" s="9">
        <v>1681094.0</v>
      </c>
      <c r="D3575" s="9">
        <v>1037084.0</v>
      </c>
      <c r="E3575" s="9">
        <v>1297.0</v>
      </c>
      <c r="F3575" s="7" t="s">
        <v>994</v>
      </c>
      <c r="G3575" s="7" t="s">
        <v>358</v>
      </c>
      <c r="H3575" s="7" t="s">
        <v>466</v>
      </c>
      <c r="I3575" s="7" t="s">
        <v>355</v>
      </c>
      <c r="J3575" s="14"/>
      <c r="O3575" s="22"/>
      <c r="P3575" s="22"/>
      <c r="Q3575" s="23"/>
      <c r="R3575" s="23"/>
      <c r="S3575" s="14"/>
    </row>
    <row r="3576" ht="18.75" customHeight="1">
      <c r="A3576" s="7" t="s">
        <v>993</v>
      </c>
      <c r="B3576" s="7" t="s">
        <v>3884</v>
      </c>
      <c r="C3576" s="9">
        <v>1668471.0</v>
      </c>
      <c r="D3576" s="9">
        <v>1213633.0</v>
      </c>
      <c r="E3576" s="9">
        <v>525.0</v>
      </c>
      <c r="F3576" s="7" t="s">
        <v>994</v>
      </c>
      <c r="G3576" s="7" t="s">
        <v>358</v>
      </c>
      <c r="H3576" s="7" t="s">
        <v>466</v>
      </c>
      <c r="I3576" s="7" t="s">
        <v>355</v>
      </c>
      <c r="J3576" s="14"/>
      <c r="O3576" s="22"/>
      <c r="P3576" s="22"/>
      <c r="Q3576" s="23"/>
      <c r="R3576" s="23"/>
      <c r="S3576" s="14"/>
    </row>
    <row r="3577" ht="18.75" customHeight="1">
      <c r="A3577" s="7" t="s">
        <v>993</v>
      </c>
      <c r="B3577" s="7" t="s">
        <v>3884</v>
      </c>
      <c r="C3577" s="9">
        <v>105895.0</v>
      </c>
      <c r="D3577" s="9">
        <v>102395.0</v>
      </c>
      <c r="E3577" s="9">
        <v>1.0</v>
      </c>
      <c r="F3577" s="7" t="s">
        <v>994</v>
      </c>
      <c r="G3577" s="7" t="s">
        <v>358</v>
      </c>
      <c r="H3577" s="7" t="s">
        <v>466</v>
      </c>
      <c r="I3577" s="7" t="s">
        <v>355</v>
      </c>
      <c r="J3577" s="14"/>
      <c r="O3577" s="22"/>
      <c r="P3577" s="22"/>
      <c r="Q3577" s="23"/>
      <c r="R3577" s="23"/>
      <c r="S3577" s="14"/>
    </row>
    <row r="3578" ht="18.75" customHeight="1">
      <c r="A3578" s="7" t="s">
        <v>993</v>
      </c>
      <c r="B3578" s="7" t="s">
        <v>3884</v>
      </c>
      <c r="C3578" s="9">
        <v>126758.0</v>
      </c>
      <c r="D3578" s="9">
        <v>125181.0</v>
      </c>
      <c r="E3578" s="9">
        <v>0.0</v>
      </c>
      <c r="F3578" s="7" t="s">
        <v>994</v>
      </c>
      <c r="G3578" s="7" t="s">
        <v>358</v>
      </c>
      <c r="H3578" s="7" t="s">
        <v>466</v>
      </c>
      <c r="I3578" s="7" t="s">
        <v>355</v>
      </c>
      <c r="J3578" s="14"/>
      <c r="O3578" s="22"/>
      <c r="P3578" s="22"/>
      <c r="Q3578" s="23"/>
      <c r="R3578" s="23"/>
      <c r="S3578" s="14"/>
    </row>
    <row r="3579" ht="18.75" customHeight="1">
      <c r="A3579" s="7" t="s">
        <v>1033</v>
      </c>
      <c r="B3579" s="7" t="s">
        <v>3884</v>
      </c>
      <c r="C3579" s="9">
        <v>70309.0</v>
      </c>
      <c r="D3579" s="9">
        <v>40508.0</v>
      </c>
      <c r="E3579" s="9">
        <v>201.0</v>
      </c>
      <c r="F3579" s="7" t="s">
        <v>1034</v>
      </c>
      <c r="G3579" s="7" t="s">
        <v>416</v>
      </c>
      <c r="H3579" s="7" t="s">
        <v>417</v>
      </c>
      <c r="I3579" s="7" t="s">
        <v>355</v>
      </c>
      <c r="J3579" s="14"/>
      <c r="O3579" s="22"/>
      <c r="P3579" s="22"/>
      <c r="Q3579" s="23"/>
      <c r="R3579" s="23"/>
      <c r="S3579" s="14"/>
    </row>
    <row r="3580" ht="18.75" customHeight="1">
      <c r="A3580" s="7" t="s">
        <v>939</v>
      </c>
      <c r="B3580" s="7" t="s">
        <v>3884</v>
      </c>
      <c r="C3580" s="9">
        <v>3693574.0</v>
      </c>
      <c r="D3580" s="9">
        <v>0.0</v>
      </c>
      <c r="E3580" s="9">
        <v>3816.0</v>
      </c>
      <c r="F3580" s="7" t="s">
        <v>940</v>
      </c>
      <c r="G3580" s="7" t="s">
        <v>404</v>
      </c>
      <c r="H3580" s="7" t="s">
        <v>405</v>
      </c>
      <c r="I3580" s="7" t="s">
        <v>355</v>
      </c>
      <c r="J3580" s="14"/>
      <c r="O3580" s="22"/>
      <c r="P3580" s="22"/>
      <c r="Q3580" s="23"/>
      <c r="R3580" s="23"/>
      <c r="S3580" s="14"/>
    </row>
    <row r="3581" ht="18.75" customHeight="1">
      <c r="A3581" s="7" t="s">
        <v>939</v>
      </c>
      <c r="B3581" s="7" t="s">
        <v>3884</v>
      </c>
      <c r="C3581" s="9">
        <v>1135658.0</v>
      </c>
      <c r="D3581" s="9">
        <v>679651.0</v>
      </c>
      <c r="E3581" s="9">
        <v>393.0</v>
      </c>
      <c r="F3581" s="7" t="s">
        <v>940</v>
      </c>
      <c r="G3581" s="7" t="s">
        <v>404</v>
      </c>
      <c r="H3581" s="7" t="s">
        <v>405</v>
      </c>
      <c r="I3581" s="7" t="s">
        <v>355</v>
      </c>
      <c r="J3581" s="14"/>
      <c r="O3581" s="22"/>
      <c r="P3581" s="22"/>
      <c r="Q3581" s="23"/>
      <c r="R3581" s="23"/>
      <c r="S3581" s="14"/>
    </row>
    <row r="3582" ht="18.75" customHeight="1">
      <c r="A3582" s="7" t="s">
        <v>939</v>
      </c>
      <c r="B3582" s="7" t="s">
        <v>3884</v>
      </c>
      <c r="C3582" s="9">
        <v>26957.0</v>
      </c>
      <c r="D3582" s="9">
        <v>26301.0</v>
      </c>
      <c r="E3582" s="9">
        <v>0.0</v>
      </c>
      <c r="F3582" s="7" t="s">
        <v>940</v>
      </c>
      <c r="G3582" s="7" t="s">
        <v>404</v>
      </c>
      <c r="H3582" s="7" t="s">
        <v>405</v>
      </c>
      <c r="I3582" s="7" t="s">
        <v>355</v>
      </c>
      <c r="J3582" s="14"/>
      <c r="O3582" s="22"/>
      <c r="P3582" s="22"/>
      <c r="Q3582" s="23"/>
      <c r="R3582" s="23"/>
      <c r="S3582" s="14"/>
    </row>
    <row r="3583" ht="18.75" customHeight="1">
      <c r="A3583" s="7" t="s">
        <v>939</v>
      </c>
      <c r="B3583" s="7" t="s">
        <v>3884</v>
      </c>
      <c r="C3583" s="9">
        <v>65419.0</v>
      </c>
      <c r="D3583" s="9">
        <v>64640.0</v>
      </c>
      <c r="E3583" s="9">
        <v>6.0</v>
      </c>
      <c r="F3583" s="7" t="s">
        <v>940</v>
      </c>
      <c r="G3583" s="7" t="s">
        <v>404</v>
      </c>
      <c r="H3583" s="7" t="s">
        <v>405</v>
      </c>
      <c r="I3583" s="7" t="s">
        <v>355</v>
      </c>
      <c r="J3583" s="14"/>
      <c r="O3583" s="22"/>
      <c r="P3583" s="22"/>
      <c r="Q3583" s="23"/>
      <c r="R3583" s="23"/>
      <c r="S3583" s="14"/>
    </row>
    <row r="3584" ht="18.75" customHeight="1">
      <c r="A3584" s="7" t="s">
        <v>912</v>
      </c>
      <c r="B3584" s="7" t="s">
        <v>3884</v>
      </c>
      <c r="C3584" s="9">
        <v>1279458.0</v>
      </c>
      <c r="D3584" s="9">
        <v>971671.0</v>
      </c>
      <c r="E3584" s="9">
        <v>590.0</v>
      </c>
      <c r="F3584" s="7" t="s">
        <v>913</v>
      </c>
      <c r="G3584" s="7" t="s">
        <v>358</v>
      </c>
      <c r="H3584" s="7" t="s">
        <v>466</v>
      </c>
      <c r="I3584" s="7" t="s">
        <v>355</v>
      </c>
      <c r="J3584" s="14"/>
      <c r="O3584" s="22"/>
      <c r="P3584" s="22"/>
      <c r="Q3584" s="23"/>
      <c r="R3584" s="23"/>
      <c r="S3584" s="14"/>
    </row>
    <row r="3585" ht="18.75" customHeight="1">
      <c r="A3585" s="7" t="s">
        <v>1071</v>
      </c>
      <c r="B3585" s="7" t="s">
        <v>3884</v>
      </c>
      <c r="C3585" s="9">
        <v>724950.0</v>
      </c>
      <c r="D3585" s="9">
        <v>0.0</v>
      </c>
      <c r="E3585" s="9">
        <v>4113.0</v>
      </c>
      <c r="F3585" s="7" t="s">
        <v>1072</v>
      </c>
      <c r="G3585" s="7" t="s">
        <v>416</v>
      </c>
      <c r="H3585" s="7" t="s">
        <v>417</v>
      </c>
      <c r="I3585" s="7" t="s">
        <v>355</v>
      </c>
      <c r="J3585" s="14"/>
      <c r="O3585" s="22"/>
      <c r="P3585" s="22"/>
      <c r="Q3585" s="23"/>
      <c r="R3585" s="23"/>
      <c r="S3585" s="14"/>
    </row>
    <row r="3586" ht="18.75" customHeight="1">
      <c r="A3586" s="7" t="s">
        <v>1087</v>
      </c>
      <c r="B3586" s="7" t="s">
        <v>3884</v>
      </c>
      <c r="C3586" s="9">
        <v>1314730.0</v>
      </c>
      <c r="D3586" s="9">
        <v>0.0</v>
      </c>
      <c r="E3586" s="9">
        <v>1345.0</v>
      </c>
      <c r="F3586" s="7" t="s">
        <v>1088</v>
      </c>
      <c r="G3586" s="7" t="s">
        <v>416</v>
      </c>
      <c r="H3586" s="7" t="s">
        <v>417</v>
      </c>
      <c r="I3586" s="7" t="s">
        <v>355</v>
      </c>
      <c r="J3586" s="14"/>
      <c r="O3586" s="22"/>
      <c r="P3586" s="22"/>
      <c r="Q3586" s="23"/>
      <c r="R3586" s="23"/>
      <c r="S3586" s="14"/>
    </row>
    <row r="3587" ht="18.75" customHeight="1">
      <c r="A3587" s="7" t="s">
        <v>961</v>
      </c>
      <c r="B3587" s="7" t="s">
        <v>3884</v>
      </c>
      <c r="C3587" s="9">
        <v>231478.0</v>
      </c>
      <c r="D3587" s="9">
        <v>162288.0</v>
      </c>
      <c r="E3587" s="9">
        <v>426.0</v>
      </c>
      <c r="F3587" s="7" t="s">
        <v>962</v>
      </c>
      <c r="G3587" s="7" t="s">
        <v>416</v>
      </c>
      <c r="H3587" s="7" t="s">
        <v>417</v>
      </c>
      <c r="I3587" s="7" t="s">
        <v>355</v>
      </c>
      <c r="J3587" s="14"/>
      <c r="O3587" s="22"/>
      <c r="P3587" s="22"/>
      <c r="Q3587" s="23"/>
      <c r="R3587" s="23"/>
      <c r="S3587" s="14"/>
    </row>
    <row r="3588" ht="18.75" customHeight="1">
      <c r="A3588" s="7" t="s">
        <v>926</v>
      </c>
      <c r="B3588" s="7" t="s">
        <v>3884</v>
      </c>
      <c r="C3588" s="9">
        <v>0.0</v>
      </c>
      <c r="D3588" s="9">
        <v>0.0</v>
      </c>
      <c r="E3588" s="9">
        <v>0.0</v>
      </c>
      <c r="F3588" s="7" t="s">
        <v>927</v>
      </c>
      <c r="G3588" s="7" t="s">
        <v>503</v>
      </c>
      <c r="H3588" s="7" t="s">
        <v>928</v>
      </c>
      <c r="I3588" s="7" t="s">
        <v>355</v>
      </c>
      <c r="J3588" s="14"/>
      <c r="O3588" s="22"/>
      <c r="P3588" s="22"/>
      <c r="Q3588" s="23"/>
      <c r="R3588" s="23"/>
      <c r="S3588" s="14"/>
    </row>
    <row r="3589" ht="18.75" customHeight="1">
      <c r="A3589" s="7" t="s">
        <v>926</v>
      </c>
      <c r="B3589" s="7" t="s">
        <v>3884</v>
      </c>
      <c r="C3589" s="9">
        <v>0.0</v>
      </c>
      <c r="D3589" s="9">
        <v>0.0</v>
      </c>
      <c r="E3589" s="9">
        <v>0.0</v>
      </c>
      <c r="F3589" s="7" t="s">
        <v>927</v>
      </c>
      <c r="G3589" s="7" t="s">
        <v>503</v>
      </c>
      <c r="H3589" s="7" t="s">
        <v>928</v>
      </c>
      <c r="I3589" s="7" t="s">
        <v>355</v>
      </c>
      <c r="J3589" s="14"/>
      <c r="O3589" s="22"/>
      <c r="P3589" s="22"/>
      <c r="Q3589" s="23"/>
      <c r="R3589" s="23"/>
      <c r="S3589" s="14"/>
    </row>
    <row r="3590" ht="18.75" customHeight="1">
      <c r="A3590" s="7" t="s">
        <v>926</v>
      </c>
      <c r="B3590" s="7" t="s">
        <v>3884</v>
      </c>
      <c r="C3590" s="9">
        <v>194556.0</v>
      </c>
      <c r="D3590" s="9">
        <v>0.0</v>
      </c>
      <c r="E3590" s="9">
        <v>566.0</v>
      </c>
      <c r="F3590" s="7" t="s">
        <v>927</v>
      </c>
      <c r="G3590" s="7" t="s">
        <v>503</v>
      </c>
      <c r="H3590" s="7" t="s">
        <v>928</v>
      </c>
      <c r="I3590" s="7" t="s">
        <v>355</v>
      </c>
      <c r="J3590" s="14"/>
      <c r="O3590" s="22"/>
      <c r="P3590" s="22"/>
      <c r="Q3590" s="23"/>
      <c r="R3590" s="23"/>
      <c r="S3590" s="14"/>
    </row>
    <row r="3591" ht="18.75" customHeight="1">
      <c r="A3591" s="14"/>
      <c r="B3591" s="7" t="s">
        <v>3884</v>
      </c>
      <c r="C3591" s="9">
        <v>0.0</v>
      </c>
      <c r="D3591" s="9">
        <v>0.0</v>
      </c>
      <c r="E3591" s="9">
        <v>0.0</v>
      </c>
      <c r="F3591" s="14"/>
      <c r="G3591" s="14"/>
      <c r="H3591" s="14"/>
      <c r="I3591" s="14"/>
      <c r="J3591" s="14"/>
      <c r="O3591" s="22"/>
      <c r="P3591" s="22"/>
      <c r="Q3591" s="23"/>
      <c r="R3591" s="23"/>
      <c r="S3591" s="14"/>
    </row>
    <row r="3592" ht="18.75" customHeight="1">
      <c r="A3592" s="7" t="s">
        <v>713</v>
      </c>
      <c r="B3592" s="7" t="s">
        <v>3884</v>
      </c>
      <c r="C3592" s="9">
        <v>577598.0</v>
      </c>
      <c r="D3592" s="9">
        <v>0.0</v>
      </c>
      <c r="E3592" s="9">
        <v>1299.0</v>
      </c>
      <c r="F3592" s="7" t="s">
        <v>714</v>
      </c>
      <c r="G3592" s="7" t="s">
        <v>353</v>
      </c>
      <c r="H3592" s="7" t="s">
        <v>378</v>
      </c>
      <c r="I3592" s="7" t="s">
        <v>355</v>
      </c>
      <c r="J3592" s="14"/>
      <c r="O3592" s="22"/>
      <c r="P3592" s="22"/>
      <c r="Q3592" s="23"/>
      <c r="R3592" s="23"/>
      <c r="S3592" s="14"/>
    </row>
    <row r="3593" ht="18.75" customHeight="1">
      <c r="A3593" s="7" t="s">
        <v>713</v>
      </c>
      <c r="B3593" s="7" t="s">
        <v>3884</v>
      </c>
      <c r="C3593" s="9">
        <v>828132.0</v>
      </c>
      <c r="D3593" s="9">
        <v>0.0</v>
      </c>
      <c r="E3593" s="9">
        <v>1155.0</v>
      </c>
      <c r="F3593" s="7" t="s">
        <v>714</v>
      </c>
      <c r="G3593" s="7" t="s">
        <v>353</v>
      </c>
      <c r="H3593" s="7" t="s">
        <v>378</v>
      </c>
      <c r="I3593" s="7" t="s">
        <v>355</v>
      </c>
      <c r="J3593" s="14"/>
      <c r="O3593" s="22"/>
      <c r="P3593" s="22"/>
      <c r="Q3593" s="23"/>
      <c r="R3593" s="23"/>
      <c r="S3593" s="14"/>
    </row>
    <row r="3594" ht="18.75" customHeight="1">
      <c r="A3594" s="7" t="s">
        <v>713</v>
      </c>
      <c r="B3594" s="7" t="s">
        <v>3884</v>
      </c>
      <c r="C3594" s="9">
        <v>167392.0</v>
      </c>
      <c r="D3594" s="9">
        <v>124276.0</v>
      </c>
      <c r="E3594" s="9">
        <v>142.0</v>
      </c>
      <c r="F3594" s="7" t="s">
        <v>714</v>
      </c>
      <c r="G3594" s="7" t="s">
        <v>353</v>
      </c>
      <c r="H3594" s="7" t="s">
        <v>378</v>
      </c>
      <c r="I3594" s="7" t="s">
        <v>355</v>
      </c>
      <c r="J3594" s="14"/>
      <c r="O3594" s="22"/>
      <c r="P3594" s="22"/>
      <c r="Q3594" s="23"/>
      <c r="R3594" s="23"/>
      <c r="S3594" s="14"/>
    </row>
    <row r="3595" ht="18.75" customHeight="1">
      <c r="A3595" s="7" t="s">
        <v>713</v>
      </c>
      <c r="B3595" s="7" t="s">
        <v>3884</v>
      </c>
      <c r="C3595" s="9">
        <v>145199.0</v>
      </c>
      <c r="D3595" s="9">
        <v>97202.0</v>
      </c>
      <c r="E3595" s="9">
        <v>288.0</v>
      </c>
      <c r="F3595" s="7" t="s">
        <v>714</v>
      </c>
      <c r="G3595" s="7" t="s">
        <v>353</v>
      </c>
      <c r="H3595" s="7" t="s">
        <v>378</v>
      </c>
      <c r="I3595" s="7" t="s">
        <v>355</v>
      </c>
      <c r="J3595" s="14"/>
      <c r="O3595" s="22"/>
      <c r="P3595" s="22"/>
      <c r="Q3595" s="23"/>
      <c r="R3595" s="23"/>
      <c r="S3595" s="14"/>
    </row>
    <row r="3596" ht="18.75" customHeight="1">
      <c r="A3596" s="7" t="s">
        <v>870</v>
      </c>
      <c r="B3596" s="7" t="s">
        <v>3884</v>
      </c>
      <c r="C3596" s="9">
        <v>2267097.0</v>
      </c>
      <c r="D3596" s="9">
        <v>0.0</v>
      </c>
      <c r="E3596" s="9">
        <v>2491.0</v>
      </c>
      <c r="F3596" s="7" t="s">
        <v>871</v>
      </c>
      <c r="G3596" s="7" t="s">
        <v>353</v>
      </c>
      <c r="H3596" s="7" t="s">
        <v>378</v>
      </c>
      <c r="I3596" s="7" t="s">
        <v>355</v>
      </c>
      <c r="J3596" s="14"/>
      <c r="O3596" s="22"/>
      <c r="P3596" s="22"/>
      <c r="Q3596" s="23"/>
      <c r="R3596" s="23"/>
      <c r="S3596" s="14"/>
    </row>
    <row r="3597" ht="18.75" customHeight="1">
      <c r="A3597" s="7" t="s">
        <v>870</v>
      </c>
      <c r="B3597" s="7" t="s">
        <v>3884</v>
      </c>
      <c r="C3597" s="9">
        <v>4434822.0</v>
      </c>
      <c r="D3597" s="9">
        <v>0.0</v>
      </c>
      <c r="E3597" s="9">
        <v>5223.0</v>
      </c>
      <c r="F3597" s="7" t="s">
        <v>871</v>
      </c>
      <c r="G3597" s="7" t="s">
        <v>353</v>
      </c>
      <c r="H3597" s="7" t="s">
        <v>378</v>
      </c>
      <c r="I3597" s="7" t="s">
        <v>355</v>
      </c>
      <c r="J3597" s="14"/>
      <c r="O3597" s="22"/>
      <c r="P3597" s="22"/>
      <c r="Q3597" s="23"/>
      <c r="R3597" s="23"/>
      <c r="S3597" s="14"/>
    </row>
    <row r="3598" ht="18.75" customHeight="1">
      <c r="A3598" s="7" t="s">
        <v>870</v>
      </c>
      <c r="B3598" s="7" t="s">
        <v>3884</v>
      </c>
      <c r="C3598" s="9">
        <v>1977649.0</v>
      </c>
      <c r="D3598" s="9">
        <v>1320590.0</v>
      </c>
      <c r="E3598" s="9">
        <v>1476.0</v>
      </c>
      <c r="F3598" s="7" t="s">
        <v>871</v>
      </c>
      <c r="G3598" s="7" t="s">
        <v>353</v>
      </c>
      <c r="H3598" s="7" t="s">
        <v>378</v>
      </c>
      <c r="I3598" s="7" t="s">
        <v>355</v>
      </c>
      <c r="J3598" s="14"/>
      <c r="O3598" s="22"/>
      <c r="P3598" s="22"/>
      <c r="Q3598" s="23"/>
      <c r="R3598" s="23"/>
      <c r="S3598" s="14"/>
    </row>
    <row r="3599" ht="18.75" customHeight="1">
      <c r="A3599" s="7" t="s">
        <v>870</v>
      </c>
      <c r="B3599" s="7" t="s">
        <v>3884</v>
      </c>
      <c r="C3599" s="9">
        <v>40208.0</v>
      </c>
      <c r="D3599" s="9">
        <v>39086.0</v>
      </c>
      <c r="E3599" s="9">
        <v>13.0</v>
      </c>
      <c r="F3599" s="7" t="s">
        <v>871</v>
      </c>
      <c r="G3599" s="7" t="s">
        <v>353</v>
      </c>
      <c r="H3599" s="7" t="s">
        <v>378</v>
      </c>
      <c r="I3599" s="7" t="s">
        <v>355</v>
      </c>
      <c r="J3599" s="14"/>
      <c r="O3599" s="22"/>
      <c r="P3599" s="22"/>
      <c r="Q3599" s="23"/>
      <c r="R3599" s="23"/>
      <c r="S3599" s="14"/>
    </row>
    <row r="3600" ht="18.75" customHeight="1">
      <c r="A3600" s="7" t="s">
        <v>870</v>
      </c>
      <c r="B3600" s="7" t="s">
        <v>3884</v>
      </c>
      <c r="C3600" s="9">
        <v>39524.0</v>
      </c>
      <c r="D3600" s="9">
        <v>38520.0</v>
      </c>
      <c r="E3600" s="9">
        <v>5.0</v>
      </c>
      <c r="F3600" s="7" t="s">
        <v>871</v>
      </c>
      <c r="G3600" s="7" t="s">
        <v>353</v>
      </c>
      <c r="H3600" s="7" t="s">
        <v>378</v>
      </c>
      <c r="I3600" s="7" t="s">
        <v>355</v>
      </c>
      <c r="J3600" s="14"/>
      <c r="O3600" s="22"/>
      <c r="P3600" s="22"/>
      <c r="Q3600" s="23"/>
      <c r="R3600" s="23"/>
      <c r="S3600" s="14"/>
    </row>
    <row r="3601" ht="18.75" customHeight="1">
      <c r="A3601" s="7" t="s">
        <v>912</v>
      </c>
      <c r="B3601" s="7" t="s">
        <v>3884</v>
      </c>
      <c r="C3601" s="9">
        <v>1234350.0</v>
      </c>
      <c r="D3601" s="9">
        <v>982887.0</v>
      </c>
      <c r="E3601" s="9">
        <v>536.0</v>
      </c>
      <c r="F3601" s="7" t="s">
        <v>913</v>
      </c>
      <c r="G3601" s="7" t="s">
        <v>358</v>
      </c>
      <c r="H3601" s="7" t="s">
        <v>466</v>
      </c>
      <c r="I3601" s="7" t="s">
        <v>355</v>
      </c>
      <c r="J3601" s="14"/>
      <c r="O3601" s="22"/>
      <c r="P3601" s="22"/>
      <c r="Q3601" s="23"/>
      <c r="R3601" s="23"/>
      <c r="S3601" s="14"/>
    </row>
    <row r="3602" ht="18.75" customHeight="1">
      <c r="A3602" s="7" t="s">
        <v>834</v>
      </c>
      <c r="B3602" s="7" t="s">
        <v>3884</v>
      </c>
      <c r="C3602" s="9">
        <v>603382.0</v>
      </c>
      <c r="D3602" s="9">
        <v>0.0</v>
      </c>
      <c r="E3602" s="9">
        <v>738.0</v>
      </c>
      <c r="F3602" s="7" t="s">
        <v>835</v>
      </c>
      <c r="G3602" s="7" t="s">
        <v>404</v>
      </c>
      <c r="H3602" s="7" t="s">
        <v>405</v>
      </c>
      <c r="I3602" s="7" t="s">
        <v>355</v>
      </c>
      <c r="J3602" s="14"/>
      <c r="O3602" s="22"/>
      <c r="P3602" s="22"/>
      <c r="Q3602" s="23"/>
      <c r="R3602" s="23"/>
      <c r="S3602" s="14"/>
    </row>
    <row r="3603" ht="18.75" customHeight="1">
      <c r="A3603" s="7" t="s">
        <v>834</v>
      </c>
      <c r="B3603" s="7" t="s">
        <v>3884</v>
      </c>
      <c r="C3603" s="9">
        <v>445947.0</v>
      </c>
      <c r="D3603" s="9">
        <v>215812.0</v>
      </c>
      <c r="E3603" s="9">
        <v>317.0</v>
      </c>
      <c r="F3603" s="7" t="s">
        <v>835</v>
      </c>
      <c r="G3603" s="7" t="s">
        <v>404</v>
      </c>
      <c r="H3603" s="7" t="s">
        <v>405</v>
      </c>
      <c r="I3603" s="7" t="s">
        <v>355</v>
      </c>
      <c r="J3603" s="14"/>
      <c r="O3603" s="22"/>
      <c r="P3603" s="22"/>
      <c r="Q3603" s="23"/>
      <c r="R3603" s="23"/>
      <c r="S3603" s="14"/>
    </row>
    <row r="3604" ht="18.75" customHeight="1">
      <c r="A3604" s="7" t="s">
        <v>834</v>
      </c>
      <c r="B3604" s="7" t="s">
        <v>3884</v>
      </c>
      <c r="C3604" s="9">
        <v>27040.0</v>
      </c>
      <c r="D3604" s="9">
        <v>0.0</v>
      </c>
      <c r="E3604" s="9">
        <v>1370.0</v>
      </c>
      <c r="F3604" s="7" t="s">
        <v>835</v>
      </c>
      <c r="G3604" s="7" t="s">
        <v>404</v>
      </c>
      <c r="H3604" s="7" t="s">
        <v>405</v>
      </c>
      <c r="I3604" s="7" t="s">
        <v>355</v>
      </c>
      <c r="J3604" s="14"/>
      <c r="O3604" s="22"/>
      <c r="P3604" s="22"/>
      <c r="Q3604" s="23"/>
      <c r="R3604" s="23"/>
      <c r="S3604" s="14"/>
    </row>
    <row r="3605" ht="18.75" customHeight="1">
      <c r="A3605" s="7" t="s">
        <v>941</v>
      </c>
      <c r="B3605" s="7" t="s">
        <v>3884</v>
      </c>
      <c r="C3605" s="9">
        <v>635281.0</v>
      </c>
      <c r="D3605" s="9">
        <v>0.0</v>
      </c>
      <c r="E3605" s="9">
        <v>777.0</v>
      </c>
      <c r="F3605" s="7" t="s">
        <v>942</v>
      </c>
      <c r="G3605" s="7" t="s">
        <v>404</v>
      </c>
      <c r="H3605" s="7" t="s">
        <v>405</v>
      </c>
      <c r="I3605" s="7" t="s">
        <v>355</v>
      </c>
      <c r="J3605" s="14"/>
      <c r="O3605" s="22"/>
      <c r="P3605" s="22"/>
      <c r="Q3605" s="23"/>
      <c r="R3605" s="23"/>
      <c r="S3605" s="14"/>
    </row>
    <row r="3606" ht="18.75" customHeight="1">
      <c r="A3606" s="7" t="s">
        <v>941</v>
      </c>
      <c r="B3606" s="7" t="s">
        <v>3884</v>
      </c>
      <c r="C3606" s="9">
        <v>741037.0</v>
      </c>
      <c r="D3606" s="9">
        <v>469639.0</v>
      </c>
      <c r="E3606" s="9">
        <v>476.0</v>
      </c>
      <c r="F3606" s="7" t="s">
        <v>942</v>
      </c>
      <c r="G3606" s="7" t="s">
        <v>404</v>
      </c>
      <c r="H3606" s="7" t="s">
        <v>405</v>
      </c>
      <c r="I3606" s="7" t="s">
        <v>355</v>
      </c>
      <c r="J3606" s="14"/>
      <c r="O3606" s="22"/>
      <c r="P3606" s="22"/>
      <c r="Q3606" s="23"/>
      <c r="R3606" s="23"/>
      <c r="S3606" s="14"/>
    </row>
    <row r="3607" ht="18.75" customHeight="1">
      <c r="A3607" s="7" t="s">
        <v>941</v>
      </c>
      <c r="B3607" s="7" t="s">
        <v>3884</v>
      </c>
      <c r="C3607" s="9">
        <v>8335.0</v>
      </c>
      <c r="D3607" s="9">
        <v>7997.0</v>
      </c>
      <c r="E3607" s="9">
        <v>0.0</v>
      </c>
      <c r="F3607" s="7" t="s">
        <v>942</v>
      </c>
      <c r="G3607" s="7" t="s">
        <v>404</v>
      </c>
      <c r="H3607" s="7" t="s">
        <v>405</v>
      </c>
      <c r="I3607" s="7" t="s">
        <v>355</v>
      </c>
      <c r="J3607" s="14"/>
      <c r="O3607" s="22"/>
      <c r="P3607" s="22"/>
      <c r="Q3607" s="23"/>
      <c r="R3607" s="23"/>
      <c r="S3607" s="14"/>
    </row>
    <row r="3608" ht="18.75" customHeight="1">
      <c r="A3608" s="7" t="s">
        <v>941</v>
      </c>
      <c r="B3608" s="7" t="s">
        <v>3884</v>
      </c>
      <c r="C3608" s="9">
        <v>8252.0</v>
      </c>
      <c r="D3608" s="9">
        <v>8114.0</v>
      </c>
      <c r="E3608" s="9">
        <v>0.0</v>
      </c>
      <c r="F3608" s="7" t="s">
        <v>942</v>
      </c>
      <c r="G3608" s="7" t="s">
        <v>404</v>
      </c>
      <c r="H3608" s="7" t="s">
        <v>405</v>
      </c>
      <c r="I3608" s="7" t="s">
        <v>355</v>
      </c>
      <c r="J3608" s="14"/>
      <c r="O3608" s="22"/>
      <c r="P3608" s="22"/>
      <c r="Q3608" s="23"/>
      <c r="R3608" s="23"/>
      <c r="S3608" s="14"/>
    </row>
    <row r="3609" ht="18.75" customHeight="1">
      <c r="A3609" s="7" t="s">
        <v>939</v>
      </c>
      <c r="B3609" s="7" t="s">
        <v>3884</v>
      </c>
      <c r="C3609" s="9">
        <v>403171.0</v>
      </c>
      <c r="D3609" s="9">
        <v>0.0</v>
      </c>
      <c r="E3609" s="9">
        <v>531.0</v>
      </c>
      <c r="F3609" s="7" t="s">
        <v>940</v>
      </c>
      <c r="G3609" s="7" t="s">
        <v>404</v>
      </c>
      <c r="H3609" s="7" t="s">
        <v>405</v>
      </c>
      <c r="I3609" s="7" t="s">
        <v>355</v>
      </c>
      <c r="J3609" s="14"/>
      <c r="O3609" s="22"/>
      <c r="P3609" s="22"/>
      <c r="Q3609" s="23"/>
      <c r="R3609" s="23"/>
      <c r="S3609" s="14"/>
    </row>
    <row r="3610" ht="18.75" customHeight="1">
      <c r="A3610" s="7" t="s">
        <v>939</v>
      </c>
      <c r="B3610" s="7" t="s">
        <v>3884</v>
      </c>
      <c r="C3610" s="9">
        <v>759300.0</v>
      </c>
      <c r="D3610" s="9">
        <v>480078.0</v>
      </c>
      <c r="E3610" s="9">
        <v>468.0</v>
      </c>
      <c r="F3610" s="7" t="s">
        <v>940</v>
      </c>
      <c r="G3610" s="7" t="s">
        <v>404</v>
      </c>
      <c r="H3610" s="7" t="s">
        <v>405</v>
      </c>
      <c r="I3610" s="7" t="s">
        <v>355</v>
      </c>
      <c r="J3610" s="14"/>
      <c r="O3610" s="22"/>
      <c r="P3610" s="22"/>
      <c r="Q3610" s="23"/>
      <c r="R3610" s="23"/>
      <c r="S3610" s="14"/>
    </row>
    <row r="3611" ht="18.75" customHeight="1">
      <c r="A3611" s="7" t="s">
        <v>939</v>
      </c>
      <c r="B3611" s="7" t="s">
        <v>3884</v>
      </c>
      <c r="C3611" s="9">
        <v>8654.0</v>
      </c>
      <c r="D3611" s="9">
        <v>8504.0</v>
      </c>
      <c r="E3611" s="9">
        <v>0.0</v>
      </c>
      <c r="F3611" s="7" t="s">
        <v>940</v>
      </c>
      <c r="G3611" s="7" t="s">
        <v>404</v>
      </c>
      <c r="H3611" s="7" t="s">
        <v>405</v>
      </c>
      <c r="I3611" s="7" t="s">
        <v>355</v>
      </c>
      <c r="J3611" s="14"/>
      <c r="O3611" s="22"/>
      <c r="P3611" s="22"/>
      <c r="Q3611" s="23"/>
      <c r="R3611" s="23"/>
      <c r="S3611" s="14"/>
    </row>
    <row r="3612" ht="18.75" customHeight="1">
      <c r="A3612" s="7" t="s">
        <v>939</v>
      </c>
      <c r="B3612" s="7" t="s">
        <v>3884</v>
      </c>
      <c r="C3612" s="9">
        <v>10276.0</v>
      </c>
      <c r="D3612" s="9">
        <v>10185.0</v>
      </c>
      <c r="E3612" s="9">
        <v>0.0</v>
      </c>
      <c r="F3612" s="7" t="s">
        <v>940</v>
      </c>
      <c r="G3612" s="7" t="s">
        <v>404</v>
      </c>
      <c r="H3612" s="7" t="s">
        <v>405</v>
      </c>
      <c r="I3612" s="7" t="s">
        <v>355</v>
      </c>
      <c r="J3612" s="14"/>
      <c r="O3612" s="22"/>
      <c r="P3612" s="22"/>
      <c r="Q3612" s="23"/>
      <c r="R3612" s="23"/>
      <c r="S3612" s="14"/>
    </row>
    <row r="3613" ht="18.75" customHeight="1">
      <c r="A3613" s="7" t="s">
        <v>993</v>
      </c>
      <c r="B3613" s="7" t="s">
        <v>3884</v>
      </c>
      <c r="C3613" s="9">
        <v>956349.0</v>
      </c>
      <c r="D3613" s="9">
        <v>729295.0</v>
      </c>
      <c r="E3613" s="9">
        <v>819.0</v>
      </c>
      <c r="F3613" s="7" t="s">
        <v>994</v>
      </c>
      <c r="G3613" s="7" t="s">
        <v>358</v>
      </c>
      <c r="H3613" s="7" t="s">
        <v>466</v>
      </c>
      <c r="I3613" s="7" t="s">
        <v>355</v>
      </c>
      <c r="J3613" s="14"/>
      <c r="O3613" s="22"/>
      <c r="P3613" s="22"/>
      <c r="Q3613" s="23"/>
      <c r="R3613" s="23"/>
      <c r="S3613" s="14"/>
    </row>
    <row r="3614" ht="18.75" customHeight="1">
      <c r="A3614" s="7" t="s">
        <v>993</v>
      </c>
      <c r="B3614" s="7" t="s">
        <v>3884</v>
      </c>
      <c r="C3614" s="9">
        <v>1091651.0</v>
      </c>
      <c r="D3614" s="9">
        <v>878070.0</v>
      </c>
      <c r="E3614" s="9">
        <v>396.0</v>
      </c>
      <c r="F3614" s="7" t="s">
        <v>994</v>
      </c>
      <c r="G3614" s="7" t="s">
        <v>358</v>
      </c>
      <c r="H3614" s="7" t="s">
        <v>466</v>
      </c>
      <c r="I3614" s="7" t="s">
        <v>355</v>
      </c>
      <c r="J3614" s="14"/>
      <c r="O3614" s="22"/>
      <c r="P3614" s="22"/>
      <c r="Q3614" s="23"/>
      <c r="R3614" s="23"/>
      <c r="S3614" s="14"/>
    </row>
    <row r="3615" ht="18.75" customHeight="1">
      <c r="A3615" s="7" t="s">
        <v>993</v>
      </c>
      <c r="B3615" s="7" t="s">
        <v>3884</v>
      </c>
      <c r="C3615" s="9">
        <v>23230.0</v>
      </c>
      <c r="D3615" s="9">
        <v>22814.0</v>
      </c>
      <c r="E3615" s="9">
        <v>0.0</v>
      </c>
      <c r="F3615" s="7" t="s">
        <v>994</v>
      </c>
      <c r="G3615" s="7" t="s">
        <v>358</v>
      </c>
      <c r="H3615" s="7" t="s">
        <v>466</v>
      </c>
      <c r="I3615" s="7" t="s">
        <v>355</v>
      </c>
      <c r="J3615" s="14"/>
      <c r="O3615" s="22"/>
      <c r="P3615" s="22"/>
      <c r="Q3615" s="23"/>
      <c r="R3615" s="23"/>
      <c r="S3615" s="14"/>
    </row>
    <row r="3616" ht="18.75" customHeight="1">
      <c r="A3616" s="7" t="s">
        <v>993</v>
      </c>
      <c r="B3616" s="7" t="s">
        <v>3884</v>
      </c>
      <c r="C3616" s="9">
        <v>26508.0</v>
      </c>
      <c r="D3616" s="9">
        <v>26156.0</v>
      </c>
      <c r="E3616" s="9">
        <v>0.0</v>
      </c>
      <c r="F3616" s="7" t="s">
        <v>994</v>
      </c>
      <c r="G3616" s="7" t="s">
        <v>358</v>
      </c>
      <c r="H3616" s="7" t="s">
        <v>466</v>
      </c>
      <c r="I3616" s="7" t="s">
        <v>355</v>
      </c>
      <c r="J3616" s="14"/>
      <c r="O3616" s="22"/>
      <c r="P3616" s="22"/>
      <c r="Q3616" s="23"/>
      <c r="R3616" s="23"/>
      <c r="S3616" s="14"/>
    </row>
    <row r="3617" ht="18.75" customHeight="1">
      <c r="A3617" s="7" t="s">
        <v>1033</v>
      </c>
      <c r="B3617" s="7" t="s">
        <v>3884</v>
      </c>
      <c r="C3617" s="9">
        <v>46651.0</v>
      </c>
      <c r="D3617" s="9">
        <v>28304.0</v>
      </c>
      <c r="E3617" s="9">
        <v>132.0</v>
      </c>
      <c r="F3617" s="7" t="s">
        <v>1034</v>
      </c>
      <c r="G3617" s="7" t="s">
        <v>416</v>
      </c>
      <c r="H3617" s="7" t="s">
        <v>417</v>
      </c>
      <c r="I3617" s="7" t="s">
        <v>355</v>
      </c>
      <c r="J3617" s="14"/>
      <c r="O3617" s="22"/>
      <c r="P3617" s="22"/>
      <c r="Q3617" s="23"/>
      <c r="R3617" s="23"/>
      <c r="S3617" s="14"/>
    </row>
    <row r="3618" ht="18.75" customHeight="1">
      <c r="A3618" s="7" t="s">
        <v>926</v>
      </c>
      <c r="B3618" s="7" t="s">
        <v>3884</v>
      </c>
      <c r="C3618" s="9">
        <v>78072.0</v>
      </c>
      <c r="D3618" s="9">
        <v>0.0</v>
      </c>
      <c r="E3618" s="9">
        <v>591.0</v>
      </c>
      <c r="F3618" s="7" t="s">
        <v>927</v>
      </c>
      <c r="G3618" s="7" t="s">
        <v>503</v>
      </c>
      <c r="H3618" s="7" t="s">
        <v>928</v>
      </c>
      <c r="I3618" s="7" t="s">
        <v>355</v>
      </c>
      <c r="J3618" s="14"/>
      <c r="O3618" s="22"/>
      <c r="P3618" s="22"/>
      <c r="Q3618" s="23"/>
      <c r="R3618" s="23"/>
      <c r="S3618" s="14"/>
    </row>
    <row r="3619" ht="18.75" customHeight="1">
      <c r="A3619" s="7" t="s">
        <v>926</v>
      </c>
      <c r="B3619" s="7" t="s">
        <v>3884</v>
      </c>
      <c r="C3619" s="9">
        <v>1.2088711E7</v>
      </c>
      <c r="D3619" s="9">
        <v>0.0</v>
      </c>
      <c r="E3619" s="9">
        <v>13237.0</v>
      </c>
      <c r="F3619" s="7" t="s">
        <v>927</v>
      </c>
      <c r="G3619" s="7" t="s">
        <v>503</v>
      </c>
      <c r="H3619" s="7" t="s">
        <v>928</v>
      </c>
      <c r="I3619" s="7" t="s">
        <v>355</v>
      </c>
      <c r="J3619" s="14"/>
      <c r="O3619" s="22"/>
      <c r="P3619" s="22"/>
      <c r="Q3619" s="23"/>
      <c r="R3619" s="23"/>
      <c r="S3619" s="14"/>
    </row>
    <row r="3620" ht="18.75" customHeight="1">
      <c r="A3620" s="7" t="s">
        <v>926</v>
      </c>
      <c r="B3620" s="7" t="s">
        <v>3884</v>
      </c>
      <c r="C3620" s="9">
        <v>3319170.0</v>
      </c>
      <c r="D3620" s="9">
        <v>0.0</v>
      </c>
      <c r="E3620" s="9">
        <v>4541.0</v>
      </c>
      <c r="F3620" s="7" t="s">
        <v>927</v>
      </c>
      <c r="G3620" s="7" t="s">
        <v>503</v>
      </c>
      <c r="H3620" s="7" t="s">
        <v>928</v>
      </c>
      <c r="I3620" s="7" t="s">
        <v>355</v>
      </c>
      <c r="J3620" s="14"/>
      <c r="O3620" s="22"/>
      <c r="P3620" s="22"/>
      <c r="Q3620" s="23"/>
      <c r="R3620" s="23"/>
      <c r="S3620" s="14"/>
    </row>
    <row r="3621" ht="18.75" customHeight="1">
      <c r="A3621" s="7" t="s">
        <v>926</v>
      </c>
      <c r="B3621" s="7" t="s">
        <v>3884</v>
      </c>
      <c r="C3621" s="9">
        <v>615771.0</v>
      </c>
      <c r="D3621" s="9">
        <v>379453.0</v>
      </c>
      <c r="E3621" s="9">
        <v>142283.0</v>
      </c>
      <c r="F3621" s="7" t="s">
        <v>927</v>
      </c>
      <c r="G3621" s="7" t="s">
        <v>503</v>
      </c>
      <c r="H3621" s="7" t="s">
        <v>928</v>
      </c>
      <c r="I3621" s="7" t="s">
        <v>355</v>
      </c>
      <c r="J3621" s="14"/>
      <c r="O3621" s="22"/>
      <c r="P3621" s="22"/>
      <c r="Q3621" s="23"/>
      <c r="R3621" s="23"/>
      <c r="S3621" s="14"/>
    </row>
    <row r="3622" ht="18.75" customHeight="1">
      <c r="A3622" s="7" t="s">
        <v>926</v>
      </c>
      <c r="B3622" s="7" t="s">
        <v>3884</v>
      </c>
      <c r="C3622" s="9">
        <v>52565.0</v>
      </c>
      <c r="D3622" s="9">
        <v>51678.0</v>
      </c>
      <c r="E3622" s="9">
        <v>0.0</v>
      </c>
      <c r="F3622" s="7" t="s">
        <v>927</v>
      </c>
      <c r="G3622" s="7" t="s">
        <v>503</v>
      </c>
      <c r="H3622" s="7" t="s">
        <v>928</v>
      </c>
      <c r="I3622" s="7" t="s">
        <v>355</v>
      </c>
      <c r="J3622" s="14"/>
      <c r="O3622" s="22"/>
      <c r="P3622" s="22"/>
      <c r="Q3622" s="23"/>
      <c r="R3622" s="23"/>
      <c r="S3622" s="14"/>
    </row>
    <row r="3623" ht="18.75" customHeight="1">
      <c r="A3623" s="7" t="s">
        <v>926</v>
      </c>
      <c r="B3623" s="7" t="s">
        <v>3884</v>
      </c>
      <c r="C3623" s="9">
        <v>64947.0</v>
      </c>
      <c r="D3623" s="9">
        <v>63506.0</v>
      </c>
      <c r="E3623" s="9">
        <v>1.0</v>
      </c>
      <c r="F3623" s="7" t="s">
        <v>927</v>
      </c>
      <c r="G3623" s="7" t="s">
        <v>503</v>
      </c>
      <c r="H3623" s="7" t="s">
        <v>928</v>
      </c>
      <c r="I3623" s="7" t="s">
        <v>355</v>
      </c>
      <c r="J3623" s="14"/>
      <c r="O3623" s="22"/>
      <c r="P3623" s="22"/>
      <c r="Q3623" s="23"/>
      <c r="R3623" s="23"/>
      <c r="S3623" s="14"/>
    </row>
    <row r="3624" ht="18.75" customHeight="1">
      <c r="A3624" s="7" t="s">
        <v>926</v>
      </c>
      <c r="B3624" s="7" t="s">
        <v>3884</v>
      </c>
      <c r="C3624" s="9">
        <v>66042.0</v>
      </c>
      <c r="D3624" s="9">
        <v>0.0</v>
      </c>
      <c r="E3624" s="9">
        <v>40.0</v>
      </c>
      <c r="F3624" s="7" t="s">
        <v>927</v>
      </c>
      <c r="G3624" s="7" t="s">
        <v>503</v>
      </c>
      <c r="H3624" s="7" t="s">
        <v>928</v>
      </c>
      <c r="I3624" s="7" t="s">
        <v>355</v>
      </c>
      <c r="J3624" s="14"/>
      <c r="O3624" s="22"/>
      <c r="P3624" s="22"/>
      <c r="Q3624" s="23"/>
      <c r="R3624" s="23"/>
      <c r="S3624" s="14"/>
    </row>
    <row r="3625" ht="18.75" customHeight="1">
      <c r="A3625" s="7" t="s">
        <v>910</v>
      </c>
      <c r="B3625" s="7" t="s">
        <v>3884</v>
      </c>
      <c r="C3625" s="9">
        <v>49050.0</v>
      </c>
      <c r="D3625" s="9">
        <v>28858.0</v>
      </c>
      <c r="E3625" s="9">
        <v>149.0</v>
      </c>
      <c r="F3625" s="7" t="s">
        <v>911</v>
      </c>
      <c r="G3625" s="7" t="s">
        <v>416</v>
      </c>
      <c r="H3625" s="7" t="s">
        <v>417</v>
      </c>
      <c r="I3625" s="7" t="s">
        <v>355</v>
      </c>
      <c r="J3625" s="14"/>
      <c r="O3625" s="22"/>
      <c r="P3625" s="22"/>
      <c r="Q3625" s="23"/>
      <c r="R3625" s="23"/>
      <c r="S3625" s="14"/>
    </row>
    <row r="3626" ht="18.75" customHeight="1">
      <c r="A3626" s="7" t="s">
        <v>1103</v>
      </c>
      <c r="B3626" s="7" t="s">
        <v>3884</v>
      </c>
      <c r="C3626" s="9">
        <v>391328.0</v>
      </c>
      <c r="D3626" s="9">
        <v>0.0</v>
      </c>
      <c r="E3626" s="9">
        <v>697.0</v>
      </c>
      <c r="F3626" s="7" t="s">
        <v>1104</v>
      </c>
      <c r="G3626" s="7" t="s">
        <v>416</v>
      </c>
      <c r="H3626" s="7" t="s">
        <v>417</v>
      </c>
      <c r="I3626" s="7" t="s">
        <v>355</v>
      </c>
      <c r="J3626" s="14"/>
      <c r="O3626" s="22"/>
      <c r="P3626" s="22"/>
      <c r="Q3626" s="23"/>
      <c r="R3626" s="23"/>
      <c r="S3626" s="14"/>
    </row>
    <row r="3627" ht="18.75" customHeight="1">
      <c r="A3627" s="7" t="s">
        <v>991</v>
      </c>
      <c r="B3627" s="7" t="s">
        <v>3884</v>
      </c>
      <c r="C3627" s="9">
        <v>4061069.0</v>
      </c>
      <c r="D3627" s="9">
        <v>0.0</v>
      </c>
      <c r="E3627" s="9">
        <v>3006.0</v>
      </c>
      <c r="F3627" s="7" t="s">
        <v>992</v>
      </c>
      <c r="G3627" s="7" t="s">
        <v>404</v>
      </c>
      <c r="H3627" s="7" t="s">
        <v>667</v>
      </c>
      <c r="I3627" s="7" t="s">
        <v>355</v>
      </c>
      <c r="J3627" s="14"/>
      <c r="O3627" s="22"/>
      <c r="P3627" s="22"/>
      <c r="Q3627" s="23"/>
      <c r="R3627" s="23"/>
      <c r="S3627" s="14"/>
    </row>
    <row r="3628" ht="18.75" customHeight="1">
      <c r="A3628" s="7" t="s">
        <v>991</v>
      </c>
      <c r="B3628" s="7" t="s">
        <v>3884</v>
      </c>
      <c r="C3628" s="9">
        <v>2930237.0</v>
      </c>
      <c r="D3628" s="9">
        <v>1974390.0</v>
      </c>
      <c r="E3628" s="9">
        <v>1109.0</v>
      </c>
      <c r="F3628" s="7" t="s">
        <v>992</v>
      </c>
      <c r="G3628" s="7" t="s">
        <v>404</v>
      </c>
      <c r="H3628" s="7" t="s">
        <v>667</v>
      </c>
      <c r="I3628" s="7" t="s">
        <v>355</v>
      </c>
      <c r="J3628" s="14"/>
      <c r="O3628" s="22"/>
      <c r="P3628" s="22"/>
      <c r="Q3628" s="23"/>
      <c r="R3628" s="23"/>
      <c r="S3628" s="14"/>
    </row>
    <row r="3629" ht="18.75" customHeight="1">
      <c r="A3629" s="7" t="s">
        <v>991</v>
      </c>
      <c r="B3629" s="7" t="s">
        <v>3884</v>
      </c>
      <c r="C3629" s="9">
        <v>1910306.0</v>
      </c>
      <c r="D3629" s="9">
        <v>1847391.0</v>
      </c>
      <c r="E3629" s="9">
        <v>502.0</v>
      </c>
      <c r="F3629" s="7" t="s">
        <v>992</v>
      </c>
      <c r="G3629" s="7" t="s">
        <v>404</v>
      </c>
      <c r="H3629" s="7" t="s">
        <v>667</v>
      </c>
      <c r="I3629" s="7" t="s">
        <v>355</v>
      </c>
      <c r="J3629" s="14"/>
      <c r="O3629" s="22"/>
      <c r="P3629" s="22"/>
      <c r="Q3629" s="23"/>
      <c r="R3629" s="23"/>
      <c r="S3629" s="14"/>
    </row>
    <row r="3630" ht="18.75" customHeight="1">
      <c r="A3630" s="7" t="s">
        <v>991</v>
      </c>
      <c r="B3630" s="7" t="s">
        <v>3884</v>
      </c>
      <c r="C3630" s="9">
        <v>44970.0</v>
      </c>
      <c r="D3630" s="9">
        <v>43852.0</v>
      </c>
      <c r="E3630" s="9">
        <v>1.0</v>
      </c>
      <c r="F3630" s="7" t="s">
        <v>992</v>
      </c>
      <c r="G3630" s="7" t="s">
        <v>404</v>
      </c>
      <c r="H3630" s="7" t="s">
        <v>667</v>
      </c>
      <c r="I3630" s="7" t="s">
        <v>355</v>
      </c>
      <c r="J3630" s="14"/>
      <c r="O3630" s="22"/>
      <c r="P3630" s="22"/>
      <c r="Q3630" s="23"/>
      <c r="R3630" s="23"/>
      <c r="S3630" s="14"/>
    </row>
    <row r="3631" ht="18.75" customHeight="1">
      <c r="A3631" s="7" t="s">
        <v>991</v>
      </c>
      <c r="B3631" s="7" t="s">
        <v>3884</v>
      </c>
      <c r="C3631" s="9">
        <v>40287.0</v>
      </c>
      <c r="D3631" s="9">
        <v>39437.0</v>
      </c>
      <c r="E3631" s="9">
        <v>1.0</v>
      </c>
      <c r="F3631" s="7" t="s">
        <v>992</v>
      </c>
      <c r="G3631" s="7" t="s">
        <v>404</v>
      </c>
      <c r="H3631" s="7" t="s">
        <v>667</v>
      </c>
      <c r="I3631" s="7" t="s">
        <v>355</v>
      </c>
      <c r="J3631" s="14"/>
      <c r="O3631" s="22"/>
      <c r="P3631" s="22"/>
      <c r="Q3631" s="23"/>
      <c r="R3631" s="23"/>
      <c r="S3631" s="14"/>
    </row>
    <row r="3632" ht="18.75" customHeight="1">
      <c r="A3632" s="7" t="s">
        <v>991</v>
      </c>
      <c r="B3632" s="7" t="s">
        <v>3884</v>
      </c>
      <c r="C3632" s="9">
        <v>45167.0</v>
      </c>
      <c r="D3632" s="9">
        <v>0.0</v>
      </c>
      <c r="E3632" s="9">
        <v>1630.0</v>
      </c>
      <c r="F3632" s="7" t="s">
        <v>992</v>
      </c>
      <c r="G3632" s="7" t="s">
        <v>404</v>
      </c>
      <c r="H3632" s="7" t="s">
        <v>667</v>
      </c>
      <c r="I3632" s="7" t="s">
        <v>355</v>
      </c>
      <c r="J3632" s="14"/>
      <c r="O3632" s="22"/>
      <c r="P3632" s="22"/>
      <c r="Q3632" s="23"/>
      <c r="R3632" s="23"/>
      <c r="S3632" s="14"/>
    </row>
    <row r="3633" ht="18.75" customHeight="1">
      <c r="A3633" s="7" t="s">
        <v>991</v>
      </c>
      <c r="B3633" s="7" t="s">
        <v>3884</v>
      </c>
      <c r="C3633" s="9">
        <v>67297.0</v>
      </c>
      <c r="D3633" s="9">
        <v>0.0</v>
      </c>
      <c r="E3633" s="9">
        <v>1645.0</v>
      </c>
      <c r="F3633" s="7" t="s">
        <v>992</v>
      </c>
      <c r="G3633" s="7" t="s">
        <v>404</v>
      </c>
      <c r="H3633" s="7" t="s">
        <v>667</v>
      </c>
      <c r="I3633" s="7" t="s">
        <v>355</v>
      </c>
      <c r="J3633" s="14"/>
      <c r="O3633" s="22"/>
      <c r="P3633" s="22"/>
      <c r="Q3633" s="23"/>
      <c r="R3633" s="23"/>
      <c r="S3633" s="14"/>
    </row>
    <row r="3634" ht="18.75" customHeight="1">
      <c r="A3634" s="7" t="s">
        <v>991</v>
      </c>
      <c r="B3634" s="7" t="s">
        <v>3884</v>
      </c>
      <c r="C3634" s="9">
        <v>42079.0</v>
      </c>
      <c r="D3634" s="9">
        <v>0.0</v>
      </c>
      <c r="E3634" s="9">
        <v>484.0</v>
      </c>
      <c r="F3634" s="7" t="s">
        <v>992</v>
      </c>
      <c r="G3634" s="7" t="s">
        <v>404</v>
      </c>
      <c r="H3634" s="7" t="s">
        <v>667</v>
      </c>
      <c r="I3634" s="7" t="s">
        <v>355</v>
      </c>
      <c r="J3634" s="14"/>
      <c r="O3634" s="22"/>
      <c r="P3634" s="22"/>
      <c r="Q3634" s="23"/>
      <c r="R3634" s="23"/>
      <c r="S3634" s="14"/>
    </row>
    <row r="3635" ht="18.75" customHeight="1">
      <c r="A3635" s="7" t="s">
        <v>991</v>
      </c>
      <c r="B3635" s="7" t="s">
        <v>3884</v>
      </c>
      <c r="C3635" s="9">
        <v>21926.0</v>
      </c>
      <c r="D3635" s="9">
        <v>0.0</v>
      </c>
      <c r="E3635" s="9">
        <v>388.0</v>
      </c>
      <c r="F3635" s="7" t="s">
        <v>992</v>
      </c>
      <c r="G3635" s="7" t="s">
        <v>404</v>
      </c>
      <c r="H3635" s="7" t="s">
        <v>667</v>
      </c>
      <c r="I3635" s="7" t="s">
        <v>355</v>
      </c>
      <c r="J3635" s="14"/>
      <c r="O3635" s="22"/>
      <c r="P3635" s="22"/>
      <c r="Q3635" s="23"/>
      <c r="R3635" s="23"/>
      <c r="S3635" s="14"/>
    </row>
    <row r="3636" ht="18.75" customHeight="1">
      <c r="A3636" s="7" t="s">
        <v>991</v>
      </c>
      <c r="B3636" s="7" t="s">
        <v>3884</v>
      </c>
      <c r="C3636" s="9">
        <v>68738.0</v>
      </c>
      <c r="D3636" s="9">
        <v>0.0</v>
      </c>
      <c r="E3636" s="9">
        <v>23.0</v>
      </c>
      <c r="F3636" s="7" t="s">
        <v>992</v>
      </c>
      <c r="G3636" s="7" t="s">
        <v>404</v>
      </c>
      <c r="H3636" s="7" t="s">
        <v>667</v>
      </c>
      <c r="I3636" s="7" t="s">
        <v>355</v>
      </c>
      <c r="J3636" s="14"/>
      <c r="O3636" s="22"/>
      <c r="P3636" s="22"/>
      <c r="Q3636" s="23"/>
      <c r="R3636" s="23"/>
      <c r="S3636" s="14"/>
    </row>
    <row r="3637" ht="18.75" customHeight="1">
      <c r="A3637" s="7" t="s">
        <v>991</v>
      </c>
      <c r="B3637" s="7" t="s">
        <v>3884</v>
      </c>
      <c r="C3637" s="9">
        <v>83766.0</v>
      </c>
      <c r="D3637" s="9">
        <v>0.0</v>
      </c>
      <c r="E3637" s="9">
        <v>93.0</v>
      </c>
      <c r="F3637" s="7" t="s">
        <v>992</v>
      </c>
      <c r="G3637" s="7" t="s">
        <v>404</v>
      </c>
      <c r="H3637" s="7" t="s">
        <v>667</v>
      </c>
      <c r="I3637" s="7" t="s">
        <v>355</v>
      </c>
      <c r="J3637" s="14"/>
      <c r="O3637" s="22"/>
      <c r="P3637" s="22"/>
      <c r="Q3637" s="23"/>
      <c r="R3637" s="23"/>
      <c r="S3637" s="14"/>
    </row>
    <row r="3638" ht="18.75" customHeight="1">
      <c r="A3638" s="7" t="s">
        <v>1111</v>
      </c>
      <c r="B3638" s="7" t="s">
        <v>3884</v>
      </c>
      <c r="C3638" s="9">
        <v>470013.0</v>
      </c>
      <c r="D3638" s="9">
        <v>0.0</v>
      </c>
      <c r="E3638" s="9">
        <v>6466.0</v>
      </c>
      <c r="F3638" s="7" t="s">
        <v>1112</v>
      </c>
      <c r="G3638" s="7" t="s">
        <v>416</v>
      </c>
      <c r="H3638" s="7" t="s">
        <v>417</v>
      </c>
      <c r="I3638" s="7" t="s">
        <v>355</v>
      </c>
      <c r="J3638" s="14"/>
      <c r="O3638" s="22"/>
      <c r="P3638" s="22"/>
      <c r="Q3638" s="23"/>
      <c r="R3638" s="23"/>
      <c r="S3638" s="14"/>
    </row>
    <row r="3639" ht="18.75" customHeight="1">
      <c r="A3639" s="7" t="s">
        <v>1029</v>
      </c>
      <c r="B3639" s="7" t="s">
        <v>3884</v>
      </c>
      <c r="C3639" s="9">
        <v>0.0</v>
      </c>
      <c r="D3639" s="9">
        <v>0.0</v>
      </c>
      <c r="E3639" s="9">
        <v>0.0</v>
      </c>
      <c r="F3639" s="7" t="s">
        <v>1030</v>
      </c>
      <c r="G3639" s="7" t="s">
        <v>404</v>
      </c>
      <c r="H3639" s="7" t="s">
        <v>667</v>
      </c>
      <c r="I3639" s="7" t="s">
        <v>355</v>
      </c>
      <c r="J3639" s="14"/>
      <c r="O3639" s="22"/>
      <c r="P3639" s="22"/>
      <c r="Q3639" s="23"/>
      <c r="R3639" s="23"/>
      <c r="S3639" s="14"/>
    </row>
    <row r="3640" ht="18.75" customHeight="1">
      <c r="A3640" s="7" t="s">
        <v>545</v>
      </c>
      <c r="B3640" s="7" t="s">
        <v>3884</v>
      </c>
      <c r="C3640" s="9">
        <v>2158524.0</v>
      </c>
      <c r="D3640" s="9">
        <v>166525.0</v>
      </c>
      <c r="E3640" s="9">
        <v>1366.0</v>
      </c>
      <c r="F3640" s="7" t="s">
        <v>546</v>
      </c>
      <c r="G3640" s="7" t="s">
        <v>404</v>
      </c>
      <c r="H3640" s="7" t="s">
        <v>405</v>
      </c>
      <c r="I3640" s="7" t="s">
        <v>2117</v>
      </c>
      <c r="J3640" s="14"/>
      <c r="O3640" s="22"/>
      <c r="P3640" s="22"/>
      <c r="Q3640" s="23"/>
      <c r="R3640" s="23"/>
      <c r="S3640" s="14"/>
    </row>
    <row r="3641" ht="18.75" customHeight="1">
      <c r="A3641" s="7" t="s">
        <v>545</v>
      </c>
      <c r="B3641" s="7" t="s">
        <v>3884</v>
      </c>
      <c r="C3641" s="9">
        <v>2091012.0</v>
      </c>
      <c r="D3641" s="9">
        <v>153954.0</v>
      </c>
      <c r="E3641" s="9">
        <v>1333.0</v>
      </c>
      <c r="F3641" s="7" t="s">
        <v>546</v>
      </c>
      <c r="G3641" s="7" t="s">
        <v>404</v>
      </c>
      <c r="H3641" s="7" t="s">
        <v>405</v>
      </c>
      <c r="I3641" s="7" t="s">
        <v>2117</v>
      </c>
      <c r="J3641" s="14"/>
      <c r="O3641" s="22"/>
      <c r="P3641" s="22"/>
      <c r="Q3641" s="23"/>
      <c r="R3641" s="23"/>
      <c r="S3641" s="14"/>
    </row>
    <row r="3642" ht="18.75" customHeight="1">
      <c r="A3642" s="7" t="s">
        <v>1039</v>
      </c>
      <c r="B3642" s="7" t="s">
        <v>3884</v>
      </c>
      <c r="C3642" s="9">
        <v>5680609.0</v>
      </c>
      <c r="D3642" s="9">
        <v>0.0</v>
      </c>
      <c r="E3642" s="9">
        <v>5841.0</v>
      </c>
      <c r="F3642" s="7" t="s">
        <v>1040</v>
      </c>
      <c r="G3642" s="7" t="s">
        <v>353</v>
      </c>
      <c r="H3642" s="7" t="s">
        <v>354</v>
      </c>
      <c r="I3642" s="7" t="s">
        <v>355</v>
      </c>
      <c r="J3642" s="14"/>
      <c r="O3642" s="22"/>
      <c r="P3642" s="22"/>
      <c r="Q3642" s="23"/>
      <c r="R3642" s="23"/>
      <c r="S3642" s="14"/>
    </row>
    <row r="3643" ht="18.75" customHeight="1">
      <c r="A3643" s="7" t="s">
        <v>1039</v>
      </c>
      <c r="B3643" s="7" t="s">
        <v>3884</v>
      </c>
      <c r="C3643" s="9">
        <v>34647.0</v>
      </c>
      <c r="D3643" s="9">
        <v>33272.0</v>
      </c>
      <c r="E3643" s="9">
        <v>1.0</v>
      </c>
      <c r="F3643" s="7" t="s">
        <v>1040</v>
      </c>
      <c r="G3643" s="7" t="s">
        <v>353</v>
      </c>
      <c r="H3643" s="7" t="s">
        <v>354</v>
      </c>
      <c r="I3643" s="7" t="s">
        <v>355</v>
      </c>
      <c r="J3643" s="14"/>
      <c r="O3643" s="22"/>
      <c r="P3643" s="22"/>
      <c r="Q3643" s="23"/>
      <c r="R3643" s="23"/>
      <c r="S3643" s="14"/>
    </row>
    <row r="3644" ht="18.75" customHeight="1">
      <c r="A3644" s="7" t="s">
        <v>1039</v>
      </c>
      <c r="B3644" s="7" t="s">
        <v>3884</v>
      </c>
      <c r="C3644" s="9">
        <v>29760.0</v>
      </c>
      <c r="D3644" s="9">
        <v>28922.0</v>
      </c>
      <c r="E3644" s="9">
        <v>0.0</v>
      </c>
      <c r="F3644" s="7" t="s">
        <v>1040</v>
      </c>
      <c r="G3644" s="7" t="s">
        <v>353</v>
      </c>
      <c r="H3644" s="7" t="s">
        <v>354</v>
      </c>
      <c r="I3644" s="7" t="s">
        <v>355</v>
      </c>
      <c r="J3644" s="14"/>
      <c r="O3644" s="22"/>
      <c r="P3644" s="22"/>
      <c r="Q3644" s="23"/>
      <c r="R3644" s="23"/>
      <c r="S3644" s="14"/>
    </row>
    <row r="3645" ht="18.75" customHeight="1">
      <c r="A3645" s="7" t="s">
        <v>1035</v>
      </c>
      <c r="B3645" s="7" t="s">
        <v>3884</v>
      </c>
      <c r="C3645" s="9">
        <v>158442.0</v>
      </c>
      <c r="D3645" s="9">
        <v>99822.0</v>
      </c>
      <c r="E3645" s="9">
        <v>377.0</v>
      </c>
      <c r="F3645" s="7" t="s">
        <v>1036</v>
      </c>
      <c r="G3645" s="7" t="s">
        <v>416</v>
      </c>
      <c r="H3645" s="7" t="s">
        <v>417</v>
      </c>
      <c r="I3645" s="7" t="s">
        <v>355</v>
      </c>
      <c r="J3645" s="14"/>
      <c r="O3645" s="22"/>
      <c r="P3645" s="22"/>
      <c r="Q3645" s="23"/>
      <c r="R3645" s="23"/>
      <c r="S3645" s="14"/>
    </row>
    <row r="3646" ht="18.75" customHeight="1">
      <c r="A3646" s="7" t="s">
        <v>1071</v>
      </c>
      <c r="B3646" s="7" t="s">
        <v>3884</v>
      </c>
      <c r="C3646" s="9">
        <v>1528026.0</v>
      </c>
      <c r="D3646" s="9">
        <v>1183541.0</v>
      </c>
      <c r="E3646" s="9">
        <v>853.0</v>
      </c>
      <c r="F3646" s="7" t="s">
        <v>1072</v>
      </c>
      <c r="G3646" s="7" t="s">
        <v>416</v>
      </c>
      <c r="H3646" s="7" t="s">
        <v>417</v>
      </c>
      <c r="I3646" s="7" t="s">
        <v>355</v>
      </c>
      <c r="J3646" s="14"/>
      <c r="O3646" s="22"/>
      <c r="P3646" s="22"/>
      <c r="Q3646" s="23"/>
      <c r="R3646" s="23"/>
      <c r="S3646" s="14"/>
    </row>
    <row r="3647" ht="18.75" customHeight="1">
      <c r="A3647" s="7" t="s">
        <v>1037</v>
      </c>
      <c r="B3647" s="7" t="s">
        <v>3884</v>
      </c>
      <c r="C3647" s="9">
        <v>549015.0</v>
      </c>
      <c r="D3647" s="9">
        <v>249751.0</v>
      </c>
      <c r="E3647" s="9">
        <v>1762.0</v>
      </c>
      <c r="F3647" s="7" t="s">
        <v>1038</v>
      </c>
      <c r="G3647" s="7" t="s">
        <v>416</v>
      </c>
      <c r="H3647" s="7" t="s">
        <v>417</v>
      </c>
      <c r="I3647" s="7" t="s">
        <v>355</v>
      </c>
      <c r="J3647" s="14"/>
      <c r="O3647" s="22"/>
      <c r="P3647" s="22"/>
      <c r="Q3647" s="23"/>
      <c r="R3647" s="23"/>
      <c r="S3647" s="14"/>
    </row>
    <row r="3648" ht="18.75" customHeight="1">
      <c r="A3648" s="7" t="s">
        <v>1037</v>
      </c>
      <c r="B3648" s="7" t="s">
        <v>3884</v>
      </c>
      <c r="C3648" s="9">
        <v>838423.0</v>
      </c>
      <c r="D3648" s="9">
        <v>275243.0</v>
      </c>
      <c r="E3648" s="9">
        <v>1199.0</v>
      </c>
      <c r="F3648" s="7" t="s">
        <v>1038</v>
      </c>
      <c r="G3648" s="7" t="s">
        <v>416</v>
      </c>
      <c r="H3648" s="7" t="s">
        <v>417</v>
      </c>
      <c r="I3648" s="7" t="s">
        <v>355</v>
      </c>
      <c r="J3648" s="14"/>
      <c r="O3648" s="22"/>
      <c r="P3648" s="22"/>
      <c r="Q3648" s="23"/>
      <c r="R3648" s="23"/>
      <c r="S3648" s="14"/>
    </row>
    <row r="3649" ht="18.75" customHeight="1">
      <c r="A3649" s="7" t="s">
        <v>1137</v>
      </c>
      <c r="B3649" s="7" t="s">
        <v>3884</v>
      </c>
      <c r="C3649" s="9">
        <v>471920.0</v>
      </c>
      <c r="D3649" s="9">
        <v>0.0</v>
      </c>
      <c r="E3649" s="9">
        <v>2910.0</v>
      </c>
      <c r="F3649" s="7" t="s">
        <v>1138</v>
      </c>
      <c r="G3649" s="7" t="s">
        <v>416</v>
      </c>
      <c r="H3649" s="7" t="s">
        <v>417</v>
      </c>
      <c r="I3649" s="7" t="s">
        <v>355</v>
      </c>
      <c r="J3649" s="14"/>
      <c r="O3649" s="22"/>
      <c r="P3649" s="22"/>
      <c r="Q3649" s="23"/>
      <c r="R3649" s="23"/>
      <c r="S3649" s="14"/>
    </row>
    <row r="3650" ht="18.75" customHeight="1">
      <c r="A3650" s="7" t="s">
        <v>1143</v>
      </c>
      <c r="B3650" s="7" t="s">
        <v>3884</v>
      </c>
      <c r="C3650" s="9">
        <v>1986381.0</v>
      </c>
      <c r="D3650" s="9">
        <v>1477801.0</v>
      </c>
      <c r="E3650" s="9">
        <v>588.0</v>
      </c>
      <c r="F3650" s="7" t="s">
        <v>1144</v>
      </c>
      <c r="G3650" s="7" t="s">
        <v>358</v>
      </c>
      <c r="H3650" s="7" t="s">
        <v>466</v>
      </c>
      <c r="I3650" s="7" t="s">
        <v>355</v>
      </c>
      <c r="J3650" s="14"/>
      <c r="O3650" s="22"/>
      <c r="P3650" s="22"/>
      <c r="Q3650" s="23"/>
      <c r="R3650" s="23"/>
      <c r="S3650" s="14"/>
    </row>
    <row r="3651" ht="18.75" customHeight="1">
      <c r="A3651" s="7" t="s">
        <v>1143</v>
      </c>
      <c r="B3651" s="7" t="s">
        <v>3884</v>
      </c>
      <c r="C3651" s="9">
        <v>302142.0</v>
      </c>
      <c r="D3651" s="9">
        <v>190125.0</v>
      </c>
      <c r="E3651" s="9">
        <v>907.0</v>
      </c>
      <c r="F3651" s="7" t="s">
        <v>1144</v>
      </c>
      <c r="G3651" s="7" t="s">
        <v>358</v>
      </c>
      <c r="H3651" s="7" t="s">
        <v>466</v>
      </c>
      <c r="I3651" s="7" t="s">
        <v>355</v>
      </c>
      <c r="J3651" s="14"/>
      <c r="O3651" s="22"/>
      <c r="P3651" s="22"/>
      <c r="Q3651" s="23"/>
      <c r="R3651" s="23"/>
      <c r="S3651" s="14"/>
    </row>
    <row r="3652" ht="18.75" customHeight="1">
      <c r="A3652" s="7" t="s">
        <v>1143</v>
      </c>
      <c r="B3652" s="7" t="s">
        <v>3884</v>
      </c>
      <c r="C3652" s="9">
        <v>1573498.0</v>
      </c>
      <c r="D3652" s="9">
        <v>1108515.0</v>
      </c>
      <c r="E3652" s="9">
        <v>1261.0</v>
      </c>
      <c r="F3652" s="7" t="s">
        <v>1144</v>
      </c>
      <c r="G3652" s="7" t="s">
        <v>358</v>
      </c>
      <c r="H3652" s="7" t="s">
        <v>466</v>
      </c>
      <c r="I3652" s="7" t="s">
        <v>355</v>
      </c>
      <c r="J3652" s="14"/>
      <c r="O3652" s="22"/>
      <c r="P3652" s="22"/>
      <c r="Q3652" s="23"/>
      <c r="R3652" s="23"/>
      <c r="S3652" s="14"/>
    </row>
    <row r="3653" ht="18.75" customHeight="1">
      <c r="A3653" s="7" t="s">
        <v>963</v>
      </c>
      <c r="B3653" s="7" t="s">
        <v>3884</v>
      </c>
      <c r="C3653" s="9">
        <v>65573.0</v>
      </c>
      <c r="D3653" s="9">
        <v>40136.0</v>
      </c>
      <c r="E3653" s="9">
        <v>412.0</v>
      </c>
      <c r="F3653" s="7" t="s">
        <v>964</v>
      </c>
      <c r="G3653" s="7" t="s">
        <v>416</v>
      </c>
      <c r="H3653" s="7" t="s">
        <v>417</v>
      </c>
      <c r="I3653" s="7" t="s">
        <v>355</v>
      </c>
      <c r="J3653" s="14"/>
      <c r="O3653" s="22"/>
      <c r="P3653" s="22"/>
      <c r="Q3653" s="23"/>
      <c r="R3653" s="23"/>
      <c r="S3653" s="14"/>
    </row>
    <row r="3654" ht="18.75" customHeight="1">
      <c r="A3654" s="7" t="s">
        <v>1087</v>
      </c>
      <c r="B3654" s="7" t="s">
        <v>3884</v>
      </c>
      <c r="C3654" s="9">
        <v>3718821.0</v>
      </c>
      <c r="D3654" s="9">
        <v>2866322.0</v>
      </c>
      <c r="E3654" s="9">
        <v>1027.0</v>
      </c>
      <c r="F3654" s="7" t="s">
        <v>1088</v>
      </c>
      <c r="G3654" s="7" t="s">
        <v>416</v>
      </c>
      <c r="H3654" s="7" t="s">
        <v>417</v>
      </c>
      <c r="I3654" s="7" t="s">
        <v>355</v>
      </c>
      <c r="J3654" s="14"/>
      <c r="O3654" s="22"/>
      <c r="P3654" s="22"/>
      <c r="Q3654" s="23"/>
      <c r="R3654" s="23"/>
      <c r="S3654" s="14"/>
    </row>
    <row r="3655" ht="18.75" customHeight="1">
      <c r="A3655" s="7" t="s">
        <v>1111</v>
      </c>
      <c r="B3655" s="7" t="s">
        <v>3884</v>
      </c>
      <c r="C3655" s="9">
        <v>2289480.0</v>
      </c>
      <c r="D3655" s="9">
        <v>1806701.0</v>
      </c>
      <c r="E3655" s="9">
        <v>676.0</v>
      </c>
      <c r="F3655" s="7" t="s">
        <v>1112</v>
      </c>
      <c r="G3655" s="7" t="s">
        <v>416</v>
      </c>
      <c r="H3655" s="7" t="s">
        <v>417</v>
      </c>
      <c r="I3655" s="7" t="s">
        <v>355</v>
      </c>
      <c r="J3655" s="14"/>
      <c r="O3655" s="22"/>
      <c r="P3655" s="22"/>
      <c r="Q3655" s="23"/>
      <c r="R3655" s="23"/>
      <c r="S3655" s="14"/>
    </row>
    <row r="3656" ht="18.75" customHeight="1">
      <c r="A3656" s="7" t="s">
        <v>1047</v>
      </c>
      <c r="B3656" s="7" t="s">
        <v>3884</v>
      </c>
      <c r="C3656" s="9">
        <v>2377206.0</v>
      </c>
      <c r="D3656" s="9">
        <v>0.0</v>
      </c>
      <c r="E3656" s="9">
        <v>2853.0</v>
      </c>
      <c r="F3656" s="7" t="s">
        <v>1048</v>
      </c>
      <c r="G3656" s="7" t="s">
        <v>364</v>
      </c>
      <c r="H3656" s="7" t="s">
        <v>365</v>
      </c>
      <c r="I3656" s="7" t="s">
        <v>355</v>
      </c>
      <c r="J3656" s="14"/>
      <c r="O3656" s="22"/>
      <c r="P3656" s="22"/>
      <c r="Q3656" s="23"/>
      <c r="R3656" s="23"/>
      <c r="S3656" s="14"/>
    </row>
    <row r="3657" ht="18.75" customHeight="1">
      <c r="A3657" s="7" t="s">
        <v>1183</v>
      </c>
      <c r="B3657" s="7" t="s">
        <v>3884</v>
      </c>
      <c r="C3657" s="9">
        <v>290043.0</v>
      </c>
      <c r="D3657" s="9">
        <v>0.0</v>
      </c>
      <c r="E3657" s="9">
        <v>1889.0</v>
      </c>
      <c r="F3657" s="7" t="s">
        <v>1184</v>
      </c>
      <c r="G3657" s="7" t="s">
        <v>416</v>
      </c>
      <c r="H3657" s="7" t="s">
        <v>417</v>
      </c>
      <c r="I3657" s="7" t="s">
        <v>355</v>
      </c>
      <c r="J3657" s="14"/>
      <c r="O3657" s="22"/>
      <c r="P3657" s="22"/>
      <c r="Q3657" s="23"/>
      <c r="R3657" s="23"/>
      <c r="S3657" s="14"/>
    </row>
    <row r="3658" ht="18.75" customHeight="1">
      <c r="A3658" s="7" t="s">
        <v>1101</v>
      </c>
      <c r="B3658" s="7" t="s">
        <v>3884</v>
      </c>
      <c r="C3658" s="9">
        <v>4956797.0</v>
      </c>
      <c r="D3658" s="9">
        <v>0.0</v>
      </c>
      <c r="E3658" s="9">
        <v>5585.0</v>
      </c>
      <c r="F3658" s="7" t="s">
        <v>1102</v>
      </c>
      <c r="G3658" s="7" t="s">
        <v>353</v>
      </c>
      <c r="H3658" s="7" t="s">
        <v>378</v>
      </c>
      <c r="I3658" s="7" t="s">
        <v>355</v>
      </c>
      <c r="J3658" s="14"/>
      <c r="O3658" s="22"/>
      <c r="P3658" s="22"/>
      <c r="Q3658" s="23"/>
      <c r="R3658" s="23"/>
      <c r="S3658" s="14"/>
    </row>
    <row r="3659" ht="18.75" customHeight="1">
      <c r="A3659" s="7" t="s">
        <v>1101</v>
      </c>
      <c r="B3659" s="7" t="s">
        <v>3884</v>
      </c>
      <c r="C3659" s="9">
        <v>1825316.0</v>
      </c>
      <c r="D3659" s="9">
        <v>0.0</v>
      </c>
      <c r="E3659" s="9">
        <v>1631.0</v>
      </c>
      <c r="F3659" s="7" t="s">
        <v>1102</v>
      </c>
      <c r="G3659" s="7" t="s">
        <v>353</v>
      </c>
      <c r="H3659" s="7" t="s">
        <v>378</v>
      </c>
      <c r="I3659" s="7" t="s">
        <v>355</v>
      </c>
      <c r="J3659" s="14"/>
      <c r="O3659" s="22"/>
      <c r="P3659" s="22"/>
      <c r="Q3659" s="23"/>
      <c r="R3659" s="23"/>
      <c r="S3659" s="14"/>
    </row>
    <row r="3660" ht="18.75" customHeight="1">
      <c r="A3660" s="7" t="s">
        <v>1101</v>
      </c>
      <c r="B3660" s="7" t="s">
        <v>3884</v>
      </c>
      <c r="C3660" s="9">
        <v>460197.0</v>
      </c>
      <c r="D3660" s="9">
        <v>357267.0</v>
      </c>
      <c r="E3660" s="9">
        <v>167.0</v>
      </c>
      <c r="F3660" s="7" t="s">
        <v>1102</v>
      </c>
      <c r="G3660" s="7" t="s">
        <v>353</v>
      </c>
      <c r="H3660" s="7" t="s">
        <v>378</v>
      </c>
      <c r="I3660" s="7" t="s">
        <v>355</v>
      </c>
      <c r="J3660" s="14"/>
      <c r="O3660" s="22"/>
      <c r="P3660" s="22"/>
      <c r="Q3660" s="23"/>
      <c r="R3660" s="23"/>
      <c r="S3660" s="14"/>
    </row>
    <row r="3661" ht="18.75" customHeight="1">
      <c r="A3661" s="7" t="s">
        <v>1101</v>
      </c>
      <c r="B3661" s="7" t="s">
        <v>3884</v>
      </c>
      <c r="C3661" s="9">
        <v>268173.0</v>
      </c>
      <c r="D3661" s="9">
        <v>264307.0</v>
      </c>
      <c r="E3661" s="9">
        <v>218.0</v>
      </c>
      <c r="F3661" s="7" t="s">
        <v>1102</v>
      </c>
      <c r="G3661" s="7" t="s">
        <v>353</v>
      </c>
      <c r="H3661" s="7" t="s">
        <v>378</v>
      </c>
      <c r="I3661" s="7" t="s">
        <v>355</v>
      </c>
      <c r="J3661" s="14"/>
      <c r="O3661" s="22"/>
      <c r="P3661" s="22"/>
      <c r="Q3661" s="23"/>
      <c r="R3661" s="23"/>
      <c r="S3661" s="14"/>
    </row>
    <row r="3662" ht="18.75" customHeight="1">
      <c r="A3662" s="7" t="s">
        <v>1101</v>
      </c>
      <c r="B3662" s="7" t="s">
        <v>3884</v>
      </c>
      <c r="C3662" s="9">
        <v>27028.0</v>
      </c>
      <c r="D3662" s="9">
        <v>26437.0</v>
      </c>
      <c r="E3662" s="9">
        <v>10.0</v>
      </c>
      <c r="F3662" s="7" t="s">
        <v>1102</v>
      </c>
      <c r="G3662" s="7" t="s">
        <v>353</v>
      </c>
      <c r="H3662" s="7" t="s">
        <v>378</v>
      </c>
      <c r="I3662" s="7" t="s">
        <v>355</v>
      </c>
      <c r="J3662" s="14"/>
      <c r="O3662" s="22"/>
      <c r="P3662" s="22"/>
      <c r="Q3662" s="23"/>
      <c r="R3662" s="23"/>
      <c r="S3662" s="14"/>
    </row>
    <row r="3663" ht="18.75" customHeight="1">
      <c r="A3663" s="7" t="s">
        <v>1101</v>
      </c>
      <c r="B3663" s="7" t="s">
        <v>3884</v>
      </c>
      <c r="C3663" s="9">
        <v>22354.0</v>
      </c>
      <c r="D3663" s="9">
        <v>22013.0</v>
      </c>
      <c r="E3663" s="9">
        <v>0.0</v>
      </c>
      <c r="F3663" s="7" t="s">
        <v>1102</v>
      </c>
      <c r="G3663" s="7" t="s">
        <v>353</v>
      </c>
      <c r="H3663" s="7" t="s">
        <v>378</v>
      </c>
      <c r="I3663" s="7" t="s">
        <v>355</v>
      </c>
      <c r="J3663" s="14"/>
      <c r="O3663" s="22"/>
      <c r="P3663" s="22"/>
      <c r="Q3663" s="23"/>
      <c r="R3663" s="23"/>
      <c r="S3663" s="14"/>
    </row>
    <row r="3664" ht="18.75" customHeight="1">
      <c r="A3664" s="7" t="s">
        <v>1101</v>
      </c>
      <c r="B3664" s="7" t="s">
        <v>3884</v>
      </c>
      <c r="C3664" s="9">
        <v>29458.0</v>
      </c>
      <c r="D3664" s="9">
        <v>28714.0</v>
      </c>
      <c r="E3664" s="9">
        <v>1.0</v>
      </c>
      <c r="F3664" s="7" t="s">
        <v>1102</v>
      </c>
      <c r="G3664" s="7" t="s">
        <v>353</v>
      </c>
      <c r="H3664" s="7" t="s">
        <v>378</v>
      </c>
      <c r="I3664" s="7" t="s">
        <v>355</v>
      </c>
      <c r="J3664" s="14"/>
      <c r="O3664" s="22"/>
      <c r="P3664" s="22"/>
      <c r="Q3664" s="23"/>
      <c r="R3664" s="23"/>
      <c r="S3664" s="14"/>
    </row>
    <row r="3665" ht="18.75" customHeight="1">
      <c r="A3665" s="7" t="s">
        <v>989</v>
      </c>
      <c r="B3665" s="7" t="s">
        <v>3884</v>
      </c>
      <c r="C3665" s="9">
        <v>398832.0</v>
      </c>
      <c r="D3665" s="9">
        <v>235838.0</v>
      </c>
      <c r="E3665" s="9">
        <v>492.0</v>
      </c>
      <c r="F3665" s="7" t="s">
        <v>990</v>
      </c>
      <c r="G3665" s="7" t="s">
        <v>353</v>
      </c>
      <c r="H3665" s="7" t="s">
        <v>378</v>
      </c>
      <c r="I3665" s="7" t="s">
        <v>355</v>
      </c>
      <c r="J3665" s="14"/>
      <c r="O3665" s="22"/>
      <c r="P3665" s="22"/>
      <c r="Q3665" s="23"/>
      <c r="R3665" s="23"/>
      <c r="S3665" s="14"/>
    </row>
    <row r="3666" ht="18.75" customHeight="1">
      <c r="A3666" s="7" t="s">
        <v>989</v>
      </c>
      <c r="B3666" s="7" t="s">
        <v>3884</v>
      </c>
      <c r="C3666" s="9">
        <v>1849269.0</v>
      </c>
      <c r="D3666" s="9">
        <v>1202258.0</v>
      </c>
      <c r="E3666" s="9">
        <v>2755.0</v>
      </c>
      <c r="F3666" s="7" t="s">
        <v>990</v>
      </c>
      <c r="G3666" s="7" t="s">
        <v>353</v>
      </c>
      <c r="H3666" s="7" t="s">
        <v>378</v>
      </c>
      <c r="I3666" s="7" t="s">
        <v>355</v>
      </c>
      <c r="J3666" s="14"/>
      <c r="O3666" s="22"/>
      <c r="P3666" s="22"/>
      <c r="Q3666" s="23"/>
      <c r="R3666" s="23"/>
      <c r="S3666" s="14"/>
    </row>
    <row r="3667" ht="18.75" customHeight="1">
      <c r="A3667" s="7" t="s">
        <v>989</v>
      </c>
      <c r="B3667" s="7" t="s">
        <v>3884</v>
      </c>
      <c r="C3667" s="9">
        <v>31909.0</v>
      </c>
      <c r="D3667" s="9">
        <v>30892.0</v>
      </c>
      <c r="E3667" s="9">
        <v>1.0</v>
      </c>
      <c r="F3667" s="7" t="s">
        <v>990</v>
      </c>
      <c r="G3667" s="7" t="s">
        <v>353</v>
      </c>
      <c r="H3667" s="7" t="s">
        <v>378</v>
      </c>
      <c r="I3667" s="7" t="s">
        <v>355</v>
      </c>
      <c r="J3667" s="14"/>
      <c r="O3667" s="22"/>
      <c r="P3667" s="22"/>
      <c r="Q3667" s="23"/>
      <c r="R3667" s="23"/>
      <c r="S3667" s="14"/>
    </row>
    <row r="3668" ht="18.75" customHeight="1">
      <c r="A3668" s="7" t="s">
        <v>989</v>
      </c>
      <c r="B3668" s="7" t="s">
        <v>3884</v>
      </c>
      <c r="C3668" s="9">
        <v>36688.0</v>
      </c>
      <c r="D3668" s="9">
        <v>35929.0</v>
      </c>
      <c r="E3668" s="9">
        <v>0.0</v>
      </c>
      <c r="F3668" s="7" t="s">
        <v>990</v>
      </c>
      <c r="G3668" s="7" t="s">
        <v>353</v>
      </c>
      <c r="H3668" s="7" t="s">
        <v>378</v>
      </c>
      <c r="I3668" s="7" t="s">
        <v>355</v>
      </c>
      <c r="J3668" s="14"/>
      <c r="O3668" s="22"/>
      <c r="P3668" s="22"/>
      <c r="Q3668" s="23"/>
      <c r="R3668" s="23"/>
      <c r="S3668" s="14"/>
    </row>
    <row r="3669" ht="18.75" customHeight="1">
      <c r="A3669" s="7" t="s">
        <v>943</v>
      </c>
      <c r="B3669" s="7" t="s">
        <v>3884</v>
      </c>
      <c r="C3669" s="9">
        <v>1529991.0</v>
      </c>
      <c r="D3669" s="9">
        <v>0.0</v>
      </c>
      <c r="E3669" s="9">
        <v>1792.0</v>
      </c>
      <c r="F3669" s="7" t="s">
        <v>944</v>
      </c>
      <c r="G3669" s="7" t="s">
        <v>353</v>
      </c>
      <c r="H3669" s="7" t="s">
        <v>378</v>
      </c>
      <c r="I3669" s="7" t="s">
        <v>355</v>
      </c>
      <c r="J3669" s="14"/>
      <c r="O3669" s="22"/>
      <c r="P3669" s="22"/>
      <c r="Q3669" s="23"/>
      <c r="R3669" s="23"/>
      <c r="S3669" s="14"/>
    </row>
    <row r="3670" ht="18.75" customHeight="1">
      <c r="A3670" s="7" t="s">
        <v>943</v>
      </c>
      <c r="B3670" s="7" t="s">
        <v>3884</v>
      </c>
      <c r="C3670" s="9">
        <v>1522853.0</v>
      </c>
      <c r="D3670" s="9">
        <v>0.0</v>
      </c>
      <c r="E3670" s="9">
        <v>1621.0</v>
      </c>
      <c r="F3670" s="7" t="s">
        <v>944</v>
      </c>
      <c r="G3670" s="7" t="s">
        <v>353</v>
      </c>
      <c r="H3670" s="7" t="s">
        <v>378</v>
      </c>
      <c r="I3670" s="7" t="s">
        <v>355</v>
      </c>
      <c r="J3670" s="14"/>
      <c r="O3670" s="22"/>
      <c r="P3670" s="22"/>
      <c r="Q3670" s="23"/>
      <c r="R3670" s="23"/>
      <c r="S3670" s="14"/>
    </row>
    <row r="3671" ht="18.75" customHeight="1">
      <c r="A3671" s="7" t="s">
        <v>943</v>
      </c>
      <c r="B3671" s="7" t="s">
        <v>3884</v>
      </c>
      <c r="C3671" s="9">
        <v>3547518.0</v>
      </c>
      <c r="D3671" s="9">
        <v>0.0</v>
      </c>
      <c r="E3671" s="9">
        <v>4258.0</v>
      </c>
      <c r="F3671" s="7" t="s">
        <v>944</v>
      </c>
      <c r="G3671" s="7" t="s">
        <v>353</v>
      </c>
      <c r="H3671" s="7" t="s">
        <v>378</v>
      </c>
      <c r="I3671" s="7" t="s">
        <v>355</v>
      </c>
      <c r="J3671" s="14"/>
      <c r="O3671" s="22"/>
      <c r="P3671" s="22"/>
      <c r="Q3671" s="23"/>
      <c r="R3671" s="23"/>
      <c r="S3671" s="14"/>
    </row>
    <row r="3672" ht="18.75" customHeight="1">
      <c r="A3672" s="7" t="s">
        <v>943</v>
      </c>
      <c r="B3672" s="7" t="s">
        <v>3884</v>
      </c>
      <c r="C3672" s="9">
        <v>44665.0</v>
      </c>
      <c r="D3672" s="9">
        <v>0.0</v>
      </c>
      <c r="E3672" s="9">
        <v>1044.0</v>
      </c>
      <c r="F3672" s="7" t="s">
        <v>944</v>
      </c>
      <c r="G3672" s="7" t="s">
        <v>353</v>
      </c>
      <c r="H3672" s="7" t="s">
        <v>378</v>
      </c>
      <c r="I3672" s="7" t="s">
        <v>355</v>
      </c>
      <c r="J3672" s="14"/>
      <c r="O3672" s="22"/>
      <c r="P3672" s="22"/>
      <c r="Q3672" s="23"/>
      <c r="R3672" s="23"/>
      <c r="S3672" s="14"/>
    </row>
    <row r="3673" ht="18.75" customHeight="1">
      <c r="A3673" s="7" t="s">
        <v>1131</v>
      </c>
      <c r="B3673" s="7" t="s">
        <v>3884</v>
      </c>
      <c r="C3673" s="9">
        <v>3564057.0</v>
      </c>
      <c r="D3673" s="9">
        <v>0.0</v>
      </c>
      <c r="E3673" s="9">
        <v>3033.0</v>
      </c>
      <c r="F3673" s="7" t="s">
        <v>1132</v>
      </c>
      <c r="G3673" s="7" t="s">
        <v>404</v>
      </c>
      <c r="H3673" s="7" t="s">
        <v>760</v>
      </c>
      <c r="I3673" s="7" t="s">
        <v>355</v>
      </c>
      <c r="J3673" s="14"/>
      <c r="O3673" s="22"/>
      <c r="P3673" s="22"/>
      <c r="Q3673" s="23"/>
      <c r="R3673" s="23"/>
      <c r="S3673" s="14"/>
    </row>
    <row r="3674" ht="18.75" customHeight="1">
      <c r="A3674" s="7" t="s">
        <v>1131</v>
      </c>
      <c r="B3674" s="7" t="s">
        <v>3884</v>
      </c>
      <c r="C3674" s="9">
        <v>55035.0</v>
      </c>
      <c r="D3674" s="9">
        <v>0.0</v>
      </c>
      <c r="E3674" s="9">
        <v>4405.0</v>
      </c>
      <c r="F3674" s="7" t="s">
        <v>1132</v>
      </c>
      <c r="G3674" s="7" t="s">
        <v>404</v>
      </c>
      <c r="H3674" s="7" t="s">
        <v>760</v>
      </c>
      <c r="I3674" s="7" t="s">
        <v>355</v>
      </c>
      <c r="J3674" s="14"/>
      <c r="O3674" s="22"/>
      <c r="P3674" s="22"/>
      <c r="Q3674" s="23"/>
      <c r="R3674" s="23"/>
      <c r="S3674" s="14"/>
    </row>
    <row r="3675" ht="18.75" customHeight="1">
      <c r="A3675" s="7" t="s">
        <v>1131</v>
      </c>
      <c r="B3675" s="7" t="s">
        <v>3884</v>
      </c>
      <c r="C3675" s="9">
        <v>54941.0</v>
      </c>
      <c r="D3675" s="9">
        <v>0.0</v>
      </c>
      <c r="E3675" s="9">
        <v>641.0</v>
      </c>
      <c r="F3675" s="7" t="s">
        <v>1132</v>
      </c>
      <c r="G3675" s="7" t="s">
        <v>404</v>
      </c>
      <c r="H3675" s="7" t="s">
        <v>760</v>
      </c>
      <c r="I3675" s="7" t="s">
        <v>355</v>
      </c>
      <c r="J3675" s="14"/>
      <c r="O3675" s="22"/>
      <c r="P3675" s="22"/>
      <c r="Q3675" s="23"/>
      <c r="R3675" s="23"/>
      <c r="S3675" s="14"/>
    </row>
    <row r="3676" ht="18.75" customHeight="1">
      <c r="A3676" s="7" t="s">
        <v>1131</v>
      </c>
      <c r="B3676" s="7" t="s">
        <v>3884</v>
      </c>
      <c r="C3676" s="9">
        <v>2296744.0</v>
      </c>
      <c r="D3676" s="9">
        <v>1753312.0</v>
      </c>
      <c r="E3676" s="9">
        <v>1106.0</v>
      </c>
      <c r="F3676" s="7" t="s">
        <v>1132</v>
      </c>
      <c r="G3676" s="7" t="s">
        <v>404</v>
      </c>
      <c r="H3676" s="7" t="s">
        <v>760</v>
      </c>
      <c r="I3676" s="7" t="s">
        <v>355</v>
      </c>
      <c r="J3676" s="14"/>
      <c r="O3676" s="22"/>
      <c r="P3676" s="22"/>
      <c r="Q3676" s="23"/>
      <c r="R3676" s="23"/>
      <c r="S3676" s="14"/>
    </row>
    <row r="3677" ht="18.75" customHeight="1">
      <c r="A3677" s="7" t="s">
        <v>1131</v>
      </c>
      <c r="B3677" s="7" t="s">
        <v>3884</v>
      </c>
      <c r="C3677" s="9">
        <v>14698.0</v>
      </c>
      <c r="D3677" s="9">
        <v>14045.0</v>
      </c>
      <c r="E3677" s="9">
        <v>0.0</v>
      </c>
      <c r="F3677" s="7" t="s">
        <v>1132</v>
      </c>
      <c r="G3677" s="7" t="s">
        <v>404</v>
      </c>
      <c r="H3677" s="7" t="s">
        <v>760</v>
      </c>
      <c r="I3677" s="7" t="s">
        <v>355</v>
      </c>
      <c r="J3677" s="14"/>
      <c r="O3677" s="22"/>
      <c r="P3677" s="22"/>
      <c r="Q3677" s="23"/>
      <c r="R3677" s="23"/>
      <c r="S3677" s="14"/>
    </row>
    <row r="3678" ht="18.75" customHeight="1">
      <c r="A3678" s="7" t="s">
        <v>1103</v>
      </c>
      <c r="B3678" s="7" t="s">
        <v>3884</v>
      </c>
      <c r="C3678" s="9">
        <v>527229.0</v>
      </c>
      <c r="D3678" s="9">
        <v>213242.0</v>
      </c>
      <c r="E3678" s="9">
        <v>733.0</v>
      </c>
      <c r="F3678" s="7" t="s">
        <v>1104</v>
      </c>
      <c r="G3678" s="7" t="s">
        <v>416</v>
      </c>
      <c r="H3678" s="7" t="s">
        <v>417</v>
      </c>
      <c r="I3678" s="7" t="s">
        <v>355</v>
      </c>
      <c r="J3678" s="14"/>
      <c r="O3678" s="22"/>
      <c r="P3678" s="22"/>
      <c r="Q3678" s="23"/>
      <c r="R3678" s="23"/>
      <c r="S3678" s="14"/>
    </row>
    <row r="3679" ht="18.75" customHeight="1">
      <c r="A3679" s="7" t="s">
        <v>1187</v>
      </c>
      <c r="B3679" s="7" t="s">
        <v>3884</v>
      </c>
      <c r="C3679" s="9">
        <v>333002.0</v>
      </c>
      <c r="D3679" s="9">
        <v>0.0</v>
      </c>
      <c r="E3679" s="9">
        <v>2622.0</v>
      </c>
      <c r="F3679" s="7" t="s">
        <v>1188</v>
      </c>
      <c r="G3679" s="7" t="s">
        <v>416</v>
      </c>
      <c r="H3679" s="7" t="s">
        <v>417</v>
      </c>
      <c r="I3679" s="7" t="s">
        <v>355</v>
      </c>
      <c r="J3679" s="14"/>
      <c r="O3679" s="22"/>
      <c r="P3679" s="22"/>
      <c r="Q3679" s="23"/>
      <c r="R3679" s="23"/>
      <c r="S3679" s="14"/>
    </row>
    <row r="3680" ht="18.75" customHeight="1">
      <c r="A3680" s="7" t="s">
        <v>1185</v>
      </c>
      <c r="B3680" s="7" t="s">
        <v>3884</v>
      </c>
      <c r="C3680" s="9">
        <v>514873.0</v>
      </c>
      <c r="D3680" s="9">
        <v>0.0</v>
      </c>
      <c r="E3680" s="9">
        <v>7380.0</v>
      </c>
      <c r="F3680" s="7" t="s">
        <v>1186</v>
      </c>
      <c r="G3680" s="7" t="s">
        <v>416</v>
      </c>
      <c r="H3680" s="7" t="s">
        <v>417</v>
      </c>
      <c r="I3680" s="7" t="s">
        <v>355</v>
      </c>
      <c r="J3680" s="14"/>
      <c r="O3680" s="22"/>
      <c r="P3680" s="22"/>
      <c r="Q3680" s="23"/>
      <c r="R3680" s="23"/>
      <c r="S3680" s="14"/>
    </row>
    <row r="3681" ht="18.75" customHeight="1">
      <c r="A3681" s="7" t="s">
        <v>1185</v>
      </c>
      <c r="B3681" s="7" t="s">
        <v>3884</v>
      </c>
      <c r="C3681" s="9">
        <v>1270726.0</v>
      </c>
      <c r="D3681" s="9">
        <v>0.0</v>
      </c>
      <c r="E3681" s="9">
        <v>20733.0</v>
      </c>
      <c r="F3681" s="7" t="s">
        <v>1186</v>
      </c>
      <c r="G3681" s="7" t="s">
        <v>416</v>
      </c>
      <c r="H3681" s="7" t="s">
        <v>417</v>
      </c>
      <c r="I3681" s="7" t="s">
        <v>355</v>
      </c>
      <c r="J3681" s="14"/>
      <c r="O3681" s="22"/>
      <c r="P3681" s="22"/>
      <c r="Q3681" s="23"/>
      <c r="R3681" s="23"/>
      <c r="S3681" s="14"/>
    </row>
    <row r="3682" ht="18.75" customHeight="1">
      <c r="A3682" s="7" t="s">
        <v>831</v>
      </c>
      <c r="B3682" s="7" t="s">
        <v>3884</v>
      </c>
      <c r="C3682" s="9">
        <v>1139298.0</v>
      </c>
      <c r="D3682" s="9">
        <v>0.0</v>
      </c>
      <c r="E3682" s="9">
        <v>906.0</v>
      </c>
      <c r="F3682" s="7" t="s">
        <v>832</v>
      </c>
      <c r="G3682" s="7" t="s">
        <v>353</v>
      </c>
      <c r="H3682" s="7" t="s">
        <v>833</v>
      </c>
      <c r="I3682" s="7" t="s">
        <v>355</v>
      </c>
      <c r="J3682" s="14"/>
      <c r="O3682" s="22"/>
      <c r="P3682" s="22"/>
      <c r="Q3682" s="23"/>
      <c r="R3682" s="23"/>
      <c r="S3682" s="14"/>
    </row>
    <row r="3683" ht="18.75" customHeight="1">
      <c r="A3683" s="7" t="s">
        <v>1137</v>
      </c>
      <c r="B3683" s="7" t="s">
        <v>3884</v>
      </c>
      <c r="C3683" s="9">
        <v>1433398.0</v>
      </c>
      <c r="D3683" s="9">
        <v>1031642.0</v>
      </c>
      <c r="E3683" s="9">
        <v>479.0</v>
      </c>
      <c r="F3683" s="7" t="s">
        <v>1138</v>
      </c>
      <c r="G3683" s="7" t="s">
        <v>416</v>
      </c>
      <c r="H3683" s="7" t="s">
        <v>417</v>
      </c>
      <c r="I3683" s="7" t="s">
        <v>355</v>
      </c>
      <c r="J3683" s="14"/>
      <c r="O3683" s="22"/>
      <c r="P3683" s="22"/>
      <c r="Q3683" s="23"/>
      <c r="R3683" s="23"/>
      <c r="S3683" s="14"/>
    </row>
    <row r="3684" ht="18.75" customHeight="1">
      <c r="A3684" s="7" t="s">
        <v>1001</v>
      </c>
      <c r="B3684" s="7" t="s">
        <v>3884</v>
      </c>
      <c r="C3684" s="9">
        <v>1402174.0</v>
      </c>
      <c r="D3684" s="9">
        <v>1008456.0</v>
      </c>
      <c r="E3684" s="9">
        <v>597.0</v>
      </c>
      <c r="F3684" s="7" t="s">
        <v>1002</v>
      </c>
      <c r="G3684" s="7" t="s">
        <v>353</v>
      </c>
      <c r="H3684" s="7" t="s">
        <v>378</v>
      </c>
      <c r="I3684" s="7" t="s">
        <v>355</v>
      </c>
      <c r="J3684" s="14"/>
      <c r="O3684" s="22"/>
      <c r="P3684" s="22"/>
      <c r="Q3684" s="23"/>
      <c r="R3684" s="23"/>
      <c r="S3684" s="14"/>
    </row>
    <row r="3685" ht="18.75" customHeight="1">
      <c r="A3685" s="7" t="s">
        <v>1001</v>
      </c>
      <c r="B3685" s="7" t="s">
        <v>3884</v>
      </c>
      <c r="C3685" s="9">
        <v>1367774.0</v>
      </c>
      <c r="D3685" s="9">
        <v>1118720.0</v>
      </c>
      <c r="E3685" s="9">
        <v>450.0</v>
      </c>
      <c r="F3685" s="7" t="s">
        <v>1002</v>
      </c>
      <c r="G3685" s="7" t="s">
        <v>353</v>
      </c>
      <c r="H3685" s="7" t="s">
        <v>378</v>
      </c>
      <c r="I3685" s="7" t="s">
        <v>355</v>
      </c>
      <c r="J3685" s="14"/>
      <c r="O3685" s="22"/>
      <c r="P3685" s="22"/>
      <c r="Q3685" s="23"/>
      <c r="R3685" s="23"/>
      <c r="S3685" s="14"/>
    </row>
    <row r="3686" ht="18.75" customHeight="1">
      <c r="A3686" s="7" t="s">
        <v>1001</v>
      </c>
      <c r="B3686" s="7" t="s">
        <v>3884</v>
      </c>
      <c r="C3686" s="9">
        <v>24309.0</v>
      </c>
      <c r="D3686" s="9">
        <v>23646.0</v>
      </c>
      <c r="E3686" s="9">
        <v>0.0</v>
      </c>
      <c r="F3686" s="7" t="s">
        <v>1002</v>
      </c>
      <c r="G3686" s="7" t="s">
        <v>353</v>
      </c>
      <c r="H3686" s="7" t="s">
        <v>378</v>
      </c>
      <c r="I3686" s="7" t="s">
        <v>355</v>
      </c>
      <c r="J3686" s="14"/>
      <c r="O3686" s="22"/>
      <c r="P3686" s="22"/>
      <c r="Q3686" s="23"/>
      <c r="R3686" s="23"/>
      <c r="S3686" s="14"/>
    </row>
    <row r="3687" ht="18.75" customHeight="1">
      <c r="A3687" s="7" t="s">
        <v>1001</v>
      </c>
      <c r="B3687" s="7" t="s">
        <v>3884</v>
      </c>
      <c r="C3687" s="9">
        <v>26100.0</v>
      </c>
      <c r="D3687" s="9">
        <v>25547.0</v>
      </c>
      <c r="E3687" s="9">
        <v>0.0</v>
      </c>
      <c r="F3687" s="7" t="s">
        <v>1002</v>
      </c>
      <c r="G3687" s="7" t="s">
        <v>353</v>
      </c>
      <c r="H3687" s="7" t="s">
        <v>378</v>
      </c>
      <c r="I3687" s="7" t="s">
        <v>355</v>
      </c>
      <c r="J3687" s="14"/>
      <c r="O3687" s="22"/>
      <c r="P3687" s="22"/>
      <c r="Q3687" s="23"/>
      <c r="R3687" s="23"/>
      <c r="S3687" s="14"/>
    </row>
    <row r="3688" ht="18.75" customHeight="1">
      <c r="A3688" s="7" t="s">
        <v>1001</v>
      </c>
      <c r="B3688" s="7" t="s">
        <v>3884</v>
      </c>
      <c r="C3688" s="9">
        <v>1643808.0</v>
      </c>
      <c r="D3688" s="9">
        <v>0.0</v>
      </c>
      <c r="E3688" s="9">
        <v>1914.0</v>
      </c>
      <c r="F3688" s="7" t="s">
        <v>1002</v>
      </c>
      <c r="G3688" s="7" t="s">
        <v>353</v>
      </c>
      <c r="H3688" s="7" t="s">
        <v>378</v>
      </c>
      <c r="I3688" s="7" t="s">
        <v>355</v>
      </c>
      <c r="J3688" s="14"/>
      <c r="O3688" s="22"/>
      <c r="P3688" s="22"/>
      <c r="Q3688" s="23"/>
      <c r="R3688" s="23"/>
      <c r="S3688" s="14"/>
    </row>
    <row r="3689" ht="18.75" customHeight="1">
      <c r="A3689" s="7" t="s">
        <v>1001</v>
      </c>
      <c r="B3689" s="7" t="s">
        <v>3884</v>
      </c>
      <c r="C3689" s="9">
        <v>1643365.0</v>
      </c>
      <c r="D3689" s="9">
        <v>0.0</v>
      </c>
      <c r="E3689" s="9">
        <v>1933.0</v>
      </c>
      <c r="F3689" s="7" t="s">
        <v>1002</v>
      </c>
      <c r="G3689" s="7" t="s">
        <v>353</v>
      </c>
      <c r="H3689" s="7" t="s">
        <v>378</v>
      </c>
      <c r="I3689" s="7" t="s">
        <v>355</v>
      </c>
      <c r="J3689" s="14"/>
      <c r="O3689" s="22"/>
      <c r="P3689" s="22"/>
      <c r="Q3689" s="23"/>
      <c r="R3689" s="23"/>
      <c r="S3689" s="14"/>
    </row>
    <row r="3690" ht="18.75" customHeight="1">
      <c r="A3690" s="7" t="s">
        <v>882</v>
      </c>
      <c r="B3690" s="7" t="s">
        <v>3884</v>
      </c>
      <c r="C3690" s="9">
        <v>82999.0</v>
      </c>
      <c r="D3690" s="9">
        <v>0.0</v>
      </c>
      <c r="E3690" s="9">
        <v>402.0</v>
      </c>
      <c r="F3690" s="7" t="s">
        <v>883</v>
      </c>
      <c r="G3690" s="7" t="s">
        <v>364</v>
      </c>
      <c r="H3690" s="7" t="s">
        <v>365</v>
      </c>
      <c r="I3690" s="7" t="s">
        <v>2117</v>
      </c>
      <c r="J3690" s="14"/>
      <c r="O3690" s="22"/>
      <c r="P3690" s="22"/>
      <c r="Q3690" s="23"/>
      <c r="R3690" s="23"/>
      <c r="S3690" s="14"/>
    </row>
    <row r="3691" ht="18.75" customHeight="1">
      <c r="A3691" s="7" t="s">
        <v>1145</v>
      </c>
      <c r="B3691" s="7" t="s">
        <v>3884</v>
      </c>
      <c r="C3691" s="9">
        <v>1437129.0</v>
      </c>
      <c r="D3691" s="9">
        <v>889902.0</v>
      </c>
      <c r="E3691" s="9">
        <v>785.0</v>
      </c>
      <c r="F3691" s="7" t="s">
        <v>1146</v>
      </c>
      <c r="G3691" s="7" t="s">
        <v>353</v>
      </c>
      <c r="H3691" s="7" t="s">
        <v>378</v>
      </c>
      <c r="I3691" s="7" t="s">
        <v>355</v>
      </c>
      <c r="J3691" s="14"/>
      <c r="O3691" s="22"/>
      <c r="P3691" s="22"/>
      <c r="Q3691" s="23"/>
      <c r="R3691" s="23"/>
      <c r="S3691" s="14"/>
    </row>
    <row r="3692" ht="18.75" customHeight="1">
      <c r="A3692" s="7" t="s">
        <v>1145</v>
      </c>
      <c r="B3692" s="7" t="s">
        <v>3884</v>
      </c>
      <c r="C3692" s="9">
        <v>331389.0</v>
      </c>
      <c r="D3692" s="9">
        <v>257350.0</v>
      </c>
      <c r="E3692" s="9">
        <v>122.0</v>
      </c>
      <c r="F3692" s="7" t="s">
        <v>1146</v>
      </c>
      <c r="G3692" s="7" t="s">
        <v>353</v>
      </c>
      <c r="H3692" s="7" t="s">
        <v>378</v>
      </c>
      <c r="I3692" s="7" t="s">
        <v>355</v>
      </c>
      <c r="J3692" s="14"/>
      <c r="O3692" s="22"/>
      <c r="P3692" s="22"/>
      <c r="Q3692" s="23"/>
      <c r="R3692" s="23"/>
      <c r="S3692" s="14"/>
    </row>
    <row r="3693" ht="18.75" customHeight="1">
      <c r="A3693" s="7" t="s">
        <v>1145</v>
      </c>
      <c r="B3693" s="7" t="s">
        <v>3884</v>
      </c>
      <c r="C3693" s="9">
        <v>23904.0</v>
      </c>
      <c r="D3693" s="9">
        <v>23257.0</v>
      </c>
      <c r="E3693" s="9">
        <v>0.0</v>
      </c>
      <c r="F3693" s="7" t="s">
        <v>1146</v>
      </c>
      <c r="G3693" s="7" t="s">
        <v>353</v>
      </c>
      <c r="H3693" s="7" t="s">
        <v>378</v>
      </c>
      <c r="I3693" s="7" t="s">
        <v>355</v>
      </c>
      <c r="J3693" s="14"/>
      <c r="O3693" s="22"/>
      <c r="P3693" s="22"/>
      <c r="Q3693" s="23"/>
      <c r="R3693" s="23"/>
      <c r="S3693" s="14"/>
    </row>
    <row r="3694" ht="18.75" customHeight="1">
      <c r="A3694" s="7" t="s">
        <v>1145</v>
      </c>
      <c r="B3694" s="7" t="s">
        <v>3884</v>
      </c>
      <c r="C3694" s="9">
        <v>26311.0</v>
      </c>
      <c r="D3694" s="9">
        <v>25797.0</v>
      </c>
      <c r="E3694" s="9">
        <v>0.0</v>
      </c>
      <c r="F3694" s="7" t="s">
        <v>1146</v>
      </c>
      <c r="G3694" s="7" t="s">
        <v>353</v>
      </c>
      <c r="H3694" s="7" t="s">
        <v>378</v>
      </c>
      <c r="I3694" s="7" t="s">
        <v>355</v>
      </c>
      <c r="J3694" s="14"/>
      <c r="O3694" s="22"/>
      <c r="P3694" s="22"/>
      <c r="Q3694" s="23"/>
      <c r="R3694" s="23"/>
      <c r="S3694" s="14"/>
    </row>
    <row r="3695" ht="18.75" customHeight="1">
      <c r="A3695" s="7" t="s">
        <v>1145</v>
      </c>
      <c r="B3695" s="7" t="s">
        <v>3884</v>
      </c>
      <c r="C3695" s="9">
        <v>1213699.0</v>
      </c>
      <c r="D3695" s="9">
        <v>0.0</v>
      </c>
      <c r="E3695" s="9">
        <v>1514.0</v>
      </c>
      <c r="F3695" s="7" t="s">
        <v>1146</v>
      </c>
      <c r="G3695" s="7" t="s">
        <v>353</v>
      </c>
      <c r="H3695" s="7" t="s">
        <v>378</v>
      </c>
      <c r="I3695" s="7" t="s">
        <v>355</v>
      </c>
      <c r="J3695" s="14"/>
      <c r="O3695" s="22"/>
      <c r="P3695" s="22"/>
      <c r="Q3695" s="23"/>
      <c r="R3695" s="23"/>
      <c r="S3695" s="14"/>
    </row>
    <row r="3696" ht="18.75" customHeight="1">
      <c r="A3696" s="7" t="s">
        <v>1145</v>
      </c>
      <c r="B3696" s="7" t="s">
        <v>3884</v>
      </c>
      <c r="C3696" s="9">
        <v>443266.0</v>
      </c>
      <c r="D3696" s="9">
        <v>0.0</v>
      </c>
      <c r="E3696" s="9">
        <v>398.0</v>
      </c>
      <c r="F3696" s="7" t="s">
        <v>1146</v>
      </c>
      <c r="G3696" s="7" t="s">
        <v>353</v>
      </c>
      <c r="H3696" s="7" t="s">
        <v>378</v>
      </c>
      <c r="I3696" s="7" t="s">
        <v>355</v>
      </c>
      <c r="J3696" s="14"/>
      <c r="O3696" s="22"/>
      <c r="P3696" s="22"/>
      <c r="Q3696" s="23"/>
      <c r="R3696" s="23"/>
      <c r="S3696" s="14"/>
    </row>
    <row r="3697" ht="18.75" customHeight="1">
      <c r="A3697" s="7" t="s">
        <v>1243</v>
      </c>
      <c r="B3697" s="7" t="s">
        <v>3884</v>
      </c>
      <c r="C3697" s="9">
        <v>1826068.0</v>
      </c>
      <c r="D3697" s="9">
        <v>1273987.0</v>
      </c>
      <c r="E3697" s="9">
        <v>782.0</v>
      </c>
      <c r="F3697" s="7" t="s">
        <v>1244</v>
      </c>
      <c r="G3697" s="7" t="s">
        <v>358</v>
      </c>
      <c r="H3697" s="7" t="s">
        <v>466</v>
      </c>
      <c r="I3697" s="7" t="s">
        <v>355</v>
      </c>
      <c r="J3697" s="14"/>
      <c r="O3697" s="22"/>
      <c r="P3697" s="22"/>
      <c r="Q3697" s="23"/>
      <c r="R3697" s="23"/>
      <c r="S3697" s="14"/>
    </row>
    <row r="3698" ht="18.75" customHeight="1">
      <c r="A3698" s="7" t="s">
        <v>1243</v>
      </c>
      <c r="B3698" s="7" t="s">
        <v>3884</v>
      </c>
      <c r="C3698" s="9">
        <v>24258.0</v>
      </c>
      <c r="D3698" s="9">
        <v>23710.0</v>
      </c>
      <c r="E3698" s="9">
        <v>0.0</v>
      </c>
      <c r="F3698" s="7" t="s">
        <v>1244</v>
      </c>
      <c r="G3698" s="7" t="s">
        <v>358</v>
      </c>
      <c r="H3698" s="7" t="s">
        <v>466</v>
      </c>
      <c r="I3698" s="7" t="s">
        <v>355</v>
      </c>
      <c r="J3698" s="14"/>
      <c r="O3698" s="22"/>
      <c r="P3698" s="22"/>
      <c r="Q3698" s="23"/>
      <c r="R3698" s="23"/>
      <c r="S3698" s="14"/>
    </row>
    <row r="3699" ht="18.75" customHeight="1">
      <c r="A3699" s="7" t="s">
        <v>1243</v>
      </c>
      <c r="B3699" s="7" t="s">
        <v>3884</v>
      </c>
      <c r="C3699" s="9">
        <v>9490.0</v>
      </c>
      <c r="D3699" s="9">
        <v>9326.0</v>
      </c>
      <c r="E3699" s="9">
        <v>2.0</v>
      </c>
      <c r="F3699" s="7" t="s">
        <v>1244</v>
      </c>
      <c r="G3699" s="7" t="s">
        <v>358</v>
      </c>
      <c r="H3699" s="7" t="s">
        <v>466</v>
      </c>
      <c r="I3699" s="7" t="s">
        <v>355</v>
      </c>
      <c r="J3699" s="14"/>
      <c r="O3699" s="22"/>
      <c r="P3699" s="22"/>
      <c r="Q3699" s="23"/>
      <c r="R3699" s="23"/>
      <c r="S3699" s="14"/>
    </row>
    <row r="3700" ht="18.75" customHeight="1">
      <c r="A3700" s="7" t="s">
        <v>1155</v>
      </c>
      <c r="B3700" s="7" t="s">
        <v>3884</v>
      </c>
      <c r="C3700" s="9">
        <v>1.6474577E7</v>
      </c>
      <c r="D3700" s="9">
        <v>0.0</v>
      </c>
      <c r="E3700" s="9">
        <v>19095.0</v>
      </c>
      <c r="F3700" s="7" t="s">
        <v>1156</v>
      </c>
      <c r="G3700" s="7" t="s">
        <v>358</v>
      </c>
      <c r="H3700" s="7" t="s">
        <v>359</v>
      </c>
      <c r="I3700" s="7" t="s">
        <v>355</v>
      </c>
      <c r="J3700" s="14"/>
      <c r="O3700" s="22"/>
      <c r="P3700" s="22"/>
      <c r="Q3700" s="23"/>
      <c r="R3700" s="23"/>
      <c r="S3700" s="14"/>
    </row>
    <row r="3701" ht="18.75" customHeight="1">
      <c r="A3701" s="7" t="s">
        <v>1155</v>
      </c>
      <c r="B3701" s="7" t="s">
        <v>3884</v>
      </c>
      <c r="C3701" s="9">
        <v>3233298.0</v>
      </c>
      <c r="D3701" s="9">
        <v>0.0</v>
      </c>
      <c r="E3701" s="9">
        <v>3548.0</v>
      </c>
      <c r="F3701" s="7" t="s">
        <v>1156</v>
      </c>
      <c r="G3701" s="7" t="s">
        <v>358</v>
      </c>
      <c r="H3701" s="7" t="s">
        <v>359</v>
      </c>
      <c r="I3701" s="7" t="s">
        <v>355</v>
      </c>
      <c r="J3701" s="14"/>
      <c r="O3701" s="22"/>
      <c r="P3701" s="22"/>
      <c r="Q3701" s="23"/>
      <c r="R3701" s="23"/>
      <c r="S3701" s="14"/>
    </row>
    <row r="3702" ht="18.75" customHeight="1">
      <c r="A3702" s="7" t="s">
        <v>1155</v>
      </c>
      <c r="B3702" s="7" t="s">
        <v>3884</v>
      </c>
      <c r="C3702" s="9">
        <v>3695395.0</v>
      </c>
      <c r="D3702" s="9">
        <v>0.0</v>
      </c>
      <c r="E3702" s="9">
        <v>4218.0</v>
      </c>
      <c r="F3702" s="7" t="s">
        <v>1156</v>
      </c>
      <c r="G3702" s="7" t="s">
        <v>358</v>
      </c>
      <c r="H3702" s="7" t="s">
        <v>359</v>
      </c>
      <c r="I3702" s="7" t="s">
        <v>355</v>
      </c>
      <c r="J3702" s="14"/>
      <c r="O3702" s="22"/>
      <c r="P3702" s="22"/>
      <c r="Q3702" s="23"/>
      <c r="R3702" s="23"/>
      <c r="S3702" s="14"/>
    </row>
    <row r="3703" ht="18.75" customHeight="1">
      <c r="A3703" s="7" t="s">
        <v>1155</v>
      </c>
      <c r="B3703" s="7" t="s">
        <v>3884</v>
      </c>
      <c r="C3703" s="9">
        <v>6114534.0</v>
      </c>
      <c r="D3703" s="9">
        <v>0.0</v>
      </c>
      <c r="E3703" s="9">
        <v>6000.0</v>
      </c>
      <c r="F3703" s="7" t="s">
        <v>1156</v>
      </c>
      <c r="G3703" s="7" t="s">
        <v>358</v>
      </c>
      <c r="H3703" s="7" t="s">
        <v>359</v>
      </c>
      <c r="I3703" s="7" t="s">
        <v>355</v>
      </c>
      <c r="J3703" s="14"/>
      <c r="O3703" s="22"/>
      <c r="P3703" s="22"/>
      <c r="Q3703" s="23"/>
      <c r="R3703" s="23"/>
      <c r="S3703" s="14"/>
    </row>
    <row r="3704" ht="18.75" customHeight="1">
      <c r="A3704" s="7" t="s">
        <v>1155</v>
      </c>
      <c r="B3704" s="7" t="s">
        <v>3884</v>
      </c>
      <c r="C3704" s="9">
        <v>3269140.0</v>
      </c>
      <c r="D3704" s="9">
        <v>0.0</v>
      </c>
      <c r="E3704" s="9">
        <v>3669.0</v>
      </c>
      <c r="F3704" s="7" t="s">
        <v>1156</v>
      </c>
      <c r="G3704" s="7" t="s">
        <v>358</v>
      </c>
      <c r="H3704" s="7" t="s">
        <v>359</v>
      </c>
      <c r="I3704" s="7" t="s">
        <v>355</v>
      </c>
      <c r="J3704" s="14"/>
      <c r="O3704" s="22"/>
      <c r="P3704" s="22"/>
      <c r="Q3704" s="23"/>
      <c r="R3704" s="23"/>
      <c r="S3704" s="14"/>
    </row>
    <row r="3705" ht="18.75" customHeight="1">
      <c r="A3705" s="7" t="s">
        <v>1155</v>
      </c>
      <c r="B3705" s="7" t="s">
        <v>3884</v>
      </c>
      <c r="C3705" s="9">
        <v>1406268.0</v>
      </c>
      <c r="D3705" s="9">
        <v>963392.0</v>
      </c>
      <c r="E3705" s="9">
        <v>485.0</v>
      </c>
      <c r="F3705" s="7" t="s">
        <v>1156</v>
      </c>
      <c r="G3705" s="7" t="s">
        <v>358</v>
      </c>
      <c r="H3705" s="7" t="s">
        <v>359</v>
      </c>
      <c r="I3705" s="7" t="s">
        <v>355</v>
      </c>
      <c r="J3705" s="14"/>
      <c r="O3705" s="22"/>
      <c r="P3705" s="22"/>
      <c r="Q3705" s="23"/>
      <c r="R3705" s="23"/>
      <c r="S3705" s="14"/>
    </row>
    <row r="3706" ht="18.75" customHeight="1">
      <c r="A3706" s="7" t="s">
        <v>1155</v>
      </c>
      <c r="B3706" s="7" t="s">
        <v>3884</v>
      </c>
      <c r="C3706" s="9">
        <v>1619893.0</v>
      </c>
      <c r="D3706" s="9">
        <v>674791.0</v>
      </c>
      <c r="E3706" s="9">
        <v>979.0</v>
      </c>
      <c r="F3706" s="7" t="s">
        <v>1156</v>
      </c>
      <c r="G3706" s="7" t="s">
        <v>358</v>
      </c>
      <c r="H3706" s="7" t="s">
        <v>359</v>
      </c>
      <c r="I3706" s="7" t="s">
        <v>355</v>
      </c>
      <c r="J3706" s="14"/>
      <c r="O3706" s="22"/>
      <c r="P3706" s="22"/>
      <c r="Q3706" s="23"/>
      <c r="R3706" s="23"/>
      <c r="S3706" s="14"/>
    </row>
    <row r="3707" ht="18.75" customHeight="1">
      <c r="A3707" s="7" t="s">
        <v>1155</v>
      </c>
      <c r="B3707" s="7" t="s">
        <v>3884</v>
      </c>
      <c r="C3707" s="9">
        <v>20831.0</v>
      </c>
      <c r="D3707" s="9">
        <v>16998.0</v>
      </c>
      <c r="E3707" s="9">
        <v>8.0</v>
      </c>
      <c r="F3707" s="7" t="s">
        <v>1156</v>
      </c>
      <c r="G3707" s="7" t="s">
        <v>358</v>
      </c>
      <c r="H3707" s="7" t="s">
        <v>359</v>
      </c>
      <c r="I3707" s="7" t="s">
        <v>355</v>
      </c>
      <c r="J3707" s="14"/>
      <c r="O3707" s="22"/>
      <c r="P3707" s="22"/>
      <c r="Q3707" s="23"/>
      <c r="R3707" s="23"/>
      <c r="S3707" s="14"/>
    </row>
    <row r="3708" ht="18.75" customHeight="1">
      <c r="A3708" s="7" t="s">
        <v>1155</v>
      </c>
      <c r="B3708" s="7" t="s">
        <v>3884</v>
      </c>
      <c r="C3708" s="9">
        <v>20400.0</v>
      </c>
      <c r="D3708" s="9">
        <v>14901.0</v>
      </c>
      <c r="E3708" s="9">
        <v>10.0</v>
      </c>
      <c r="F3708" s="7" t="s">
        <v>1156</v>
      </c>
      <c r="G3708" s="7" t="s">
        <v>358</v>
      </c>
      <c r="H3708" s="7" t="s">
        <v>359</v>
      </c>
      <c r="I3708" s="7" t="s">
        <v>355</v>
      </c>
      <c r="J3708" s="14"/>
      <c r="O3708" s="22"/>
      <c r="P3708" s="22"/>
      <c r="Q3708" s="23"/>
      <c r="R3708" s="23"/>
      <c r="S3708" s="14"/>
    </row>
    <row r="3709" ht="18.75" customHeight="1">
      <c r="A3709" s="7" t="s">
        <v>1183</v>
      </c>
      <c r="B3709" s="7" t="s">
        <v>3884</v>
      </c>
      <c r="C3709" s="9">
        <v>529492.0</v>
      </c>
      <c r="D3709" s="9">
        <v>350044.0</v>
      </c>
      <c r="E3709" s="9">
        <v>576.0</v>
      </c>
      <c r="F3709" s="7" t="s">
        <v>1184</v>
      </c>
      <c r="G3709" s="7" t="s">
        <v>416</v>
      </c>
      <c r="H3709" s="7" t="s">
        <v>417</v>
      </c>
      <c r="I3709" s="7" t="s">
        <v>355</v>
      </c>
      <c r="J3709" s="14"/>
      <c r="O3709" s="22"/>
      <c r="P3709" s="22"/>
      <c r="Q3709" s="23"/>
      <c r="R3709" s="23"/>
      <c r="S3709" s="14"/>
    </row>
    <row r="3710" ht="18.75" customHeight="1">
      <c r="A3710" s="7" t="s">
        <v>1267</v>
      </c>
      <c r="B3710" s="7" t="s">
        <v>3884</v>
      </c>
      <c r="C3710" s="9">
        <v>288816.0</v>
      </c>
      <c r="D3710" s="9">
        <v>0.0</v>
      </c>
      <c r="E3710" s="9">
        <v>281.0</v>
      </c>
      <c r="F3710" s="7" t="s">
        <v>1268</v>
      </c>
      <c r="G3710" s="7" t="s">
        <v>416</v>
      </c>
      <c r="H3710" s="7" t="s">
        <v>417</v>
      </c>
      <c r="I3710" s="7" t="s">
        <v>355</v>
      </c>
      <c r="J3710" s="14"/>
      <c r="O3710" s="22"/>
      <c r="P3710" s="22"/>
      <c r="Q3710" s="23"/>
      <c r="R3710" s="23"/>
      <c r="S3710" s="14"/>
    </row>
    <row r="3711" ht="18.75" customHeight="1">
      <c r="A3711" s="7" t="s">
        <v>1265</v>
      </c>
      <c r="B3711" s="7" t="s">
        <v>3884</v>
      </c>
      <c r="C3711" s="9">
        <v>2400251.0</v>
      </c>
      <c r="D3711" s="9">
        <v>0.0</v>
      </c>
      <c r="E3711" s="9">
        <v>3402.0</v>
      </c>
      <c r="F3711" s="7" t="s">
        <v>1266</v>
      </c>
      <c r="G3711" s="7" t="s">
        <v>404</v>
      </c>
      <c r="H3711" s="7" t="s">
        <v>783</v>
      </c>
      <c r="I3711" s="7" t="s">
        <v>355</v>
      </c>
      <c r="J3711" s="14"/>
      <c r="O3711" s="22"/>
      <c r="P3711" s="22"/>
      <c r="Q3711" s="23"/>
      <c r="R3711" s="23"/>
      <c r="S3711" s="14"/>
    </row>
    <row r="3712" ht="18.75" customHeight="1">
      <c r="A3712" s="7" t="s">
        <v>3754</v>
      </c>
      <c r="B3712" s="7" t="s">
        <v>3884</v>
      </c>
      <c r="C3712" s="9">
        <v>230007.0</v>
      </c>
      <c r="D3712" s="9">
        <v>0.0</v>
      </c>
      <c r="E3712" s="9">
        <v>2145.0</v>
      </c>
      <c r="F3712" s="7" t="s">
        <v>3895</v>
      </c>
      <c r="G3712" s="7" t="s">
        <v>416</v>
      </c>
      <c r="H3712" s="7" t="s">
        <v>417</v>
      </c>
      <c r="I3712" s="7" t="s">
        <v>3886</v>
      </c>
      <c r="J3712" s="14"/>
      <c r="O3712" s="22"/>
      <c r="P3712" s="22"/>
      <c r="Q3712" s="23"/>
      <c r="R3712" s="23"/>
      <c r="S3712" s="14"/>
    </row>
    <row r="3713" ht="18.75" customHeight="1">
      <c r="A3713" s="7" t="s">
        <v>1193</v>
      </c>
      <c r="B3713" s="7" t="s">
        <v>3884</v>
      </c>
      <c r="C3713" s="9">
        <v>0.0</v>
      </c>
      <c r="D3713" s="9">
        <v>0.0</v>
      </c>
      <c r="E3713" s="9">
        <v>0.0</v>
      </c>
      <c r="F3713" s="7" t="s">
        <v>1194</v>
      </c>
      <c r="G3713" s="7" t="s">
        <v>353</v>
      </c>
      <c r="H3713" s="7" t="s">
        <v>378</v>
      </c>
      <c r="I3713" s="7" t="s">
        <v>355</v>
      </c>
      <c r="J3713" s="14"/>
      <c r="O3713" s="22"/>
      <c r="P3713" s="22"/>
      <c r="Q3713" s="23"/>
      <c r="R3713" s="23"/>
      <c r="S3713" s="14"/>
    </row>
    <row r="3714" ht="18.75" customHeight="1">
      <c r="A3714" s="7" t="s">
        <v>1193</v>
      </c>
      <c r="B3714" s="7" t="s">
        <v>3884</v>
      </c>
      <c r="C3714" s="9">
        <v>2152251.0</v>
      </c>
      <c r="D3714" s="9">
        <v>0.0</v>
      </c>
      <c r="E3714" s="9">
        <v>2466.0</v>
      </c>
      <c r="F3714" s="7" t="s">
        <v>1194</v>
      </c>
      <c r="G3714" s="7" t="s">
        <v>353</v>
      </c>
      <c r="H3714" s="7" t="s">
        <v>378</v>
      </c>
      <c r="I3714" s="7" t="s">
        <v>355</v>
      </c>
      <c r="J3714" s="14"/>
      <c r="O3714" s="22"/>
      <c r="P3714" s="22"/>
      <c r="Q3714" s="23"/>
      <c r="R3714" s="23"/>
      <c r="S3714" s="14"/>
    </row>
    <row r="3715" ht="18.75" customHeight="1">
      <c r="A3715" s="7" t="s">
        <v>1201</v>
      </c>
      <c r="B3715" s="7" t="s">
        <v>3884</v>
      </c>
      <c r="C3715" s="9">
        <v>1558090.0</v>
      </c>
      <c r="D3715" s="9">
        <v>0.0</v>
      </c>
      <c r="E3715" s="9">
        <v>1808.0</v>
      </c>
      <c r="F3715" s="7" t="s">
        <v>1202</v>
      </c>
      <c r="G3715" s="7" t="s">
        <v>364</v>
      </c>
      <c r="H3715" s="7" t="s">
        <v>365</v>
      </c>
      <c r="I3715" s="7" t="s">
        <v>355</v>
      </c>
      <c r="J3715" s="14"/>
      <c r="O3715" s="22"/>
      <c r="P3715" s="22"/>
      <c r="Q3715" s="23"/>
      <c r="R3715" s="23"/>
      <c r="S3715" s="14"/>
    </row>
    <row r="3716" ht="18.75" customHeight="1">
      <c r="A3716" s="7" t="s">
        <v>1201</v>
      </c>
      <c r="B3716" s="7" t="s">
        <v>3884</v>
      </c>
      <c r="C3716" s="9">
        <v>3100217.0</v>
      </c>
      <c r="D3716" s="9">
        <v>0.0</v>
      </c>
      <c r="E3716" s="9">
        <v>3587.0</v>
      </c>
      <c r="F3716" s="7" t="s">
        <v>1202</v>
      </c>
      <c r="G3716" s="7" t="s">
        <v>364</v>
      </c>
      <c r="H3716" s="7" t="s">
        <v>365</v>
      </c>
      <c r="I3716" s="7" t="s">
        <v>355</v>
      </c>
      <c r="J3716" s="14"/>
      <c r="O3716" s="22"/>
      <c r="P3716" s="22"/>
      <c r="Q3716" s="23"/>
      <c r="R3716" s="23"/>
      <c r="S3716" s="14"/>
    </row>
    <row r="3717" ht="18.75" customHeight="1">
      <c r="A3717" s="7" t="s">
        <v>1185</v>
      </c>
      <c r="B3717" s="7" t="s">
        <v>3884</v>
      </c>
      <c r="C3717" s="9">
        <v>2045068.0</v>
      </c>
      <c r="D3717" s="9">
        <v>1136668.0</v>
      </c>
      <c r="E3717" s="9">
        <v>722.0</v>
      </c>
      <c r="F3717" s="7" t="s">
        <v>1186</v>
      </c>
      <c r="G3717" s="7" t="s">
        <v>416</v>
      </c>
      <c r="H3717" s="7" t="s">
        <v>417</v>
      </c>
      <c r="I3717" s="7" t="s">
        <v>355</v>
      </c>
      <c r="J3717" s="14"/>
      <c r="O3717" s="22"/>
      <c r="P3717" s="22"/>
      <c r="Q3717" s="23"/>
      <c r="R3717" s="23"/>
      <c r="S3717" s="14"/>
    </row>
    <row r="3718" ht="18.75" customHeight="1">
      <c r="A3718" s="7" t="s">
        <v>1223</v>
      </c>
      <c r="B3718" s="7" t="s">
        <v>3884</v>
      </c>
      <c r="C3718" s="9">
        <v>3049008.0</v>
      </c>
      <c r="D3718" s="9">
        <v>0.0</v>
      </c>
      <c r="E3718" s="9">
        <v>3690.0</v>
      </c>
      <c r="F3718" s="7" t="s">
        <v>1224</v>
      </c>
      <c r="G3718" s="7" t="s">
        <v>353</v>
      </c>
      <c r="H3718" s="7" t="s">
        <v>378</v>
      </c>
      <c r="I3718" s="7" t="s">
        <v>355</v>
      </c>
      <c r="J3718" s="14"/>
      <c r="O3718" s="22"/>
      <c r="P3718" s="22"/>
      <c r="Q3718" s="23"/>
      <c r="R3718" s="23"/>
      <c r="S3718" s="14"/>
    </row>
    <row r="3719" ht="18.75" customHeight="1">
      <c r="A3719" s="7" t="s">
        <v>1223</v>
      </c>
      <c r="B3719" s="7" t="s">
        <v>3884</v>
      </c>
      <c r="C3719" s="9">
        <v>0.0</v>
      </c>
      <c r="D3719" s="9">
        <v>0.0</v>
      </c>
      <c r="E3719" s="9">
        <v>0.0</v>
      </c>
      <c r="F3719" s="7" t="s">
        <v>1224</v>
      </c>
      <c r="G3719" s="7" t="s">
        <v>353</v>
      </c>
      <c r="H3719" s="7" t="s">
        <v>378</v>
      </c>
      <c r="I3719" s="7" t="s">
        <v>355</v>
      </c>
      <c r="J3719" s="14"/>
      <c r="O3719" s="22"/>
      <c r="P3719" s="22"/>
      <c r="Q3719" s="23"/>
      <c r="R3719" s="23"/>
      <c r="S3719" s="14"/>
    </row>
    <row r="3720" ht="18.75" customHeight="1">
      <c r="A3720" s="7" t="s">
        <v>1233</v>
      </c>
      <c r="B3720" s="7" t="s">
        <v>3884</v>
      </c>
      <c r="C3720" s="9">
        <v>970102.0</v>
      </c>
      <c r="D3720" s="9">
        <v>0.0</v>
      </c>
      <c r="E3720" s="9">
        <v>775.0</v>
      </c>
      <c r="F3720" s="7" t="s">
        <v>1234</v>
      </c>
      <c r="G3720" s="7" t="s">
        <v>404</v>
      </c>
      <c r="H3720" s="7" t="s">
        <v>405</v>
      </c>
      <c r="I3720" s="7" t="s">
        <v>355</v>
      </c>
      <c r="J3720" s="14"/>
      <c r="O3720" s="22"/>
      <c r="P3720" s="22"/>
      <c r="Q3720" s="23"/>
      <c r="R3720" s="23"/>
      <c r="S3720" s="14"/>
    </row>
    <row r="3721" ht="18.75" customHeight="1">
      <c r="A3721" s="7" t="s">
        <v>1233</v>
      </c>
      <c r="B3721" s="7" t="s">
        <v>3884</v>
      </c>
      <c r="C3721" s="9">
        <v>141.0</v>
      </c>
      <c r="D3721" s="9">
        <v>0.0</v>
      </c>
      <c r="E3721" s="9">
        <v>2.0</v>
      </c>
      <c r="F3721" s="7" t="s">
        <v>1234</v>
      </c>
      <c r="G3721" s="7" t="s">
        <v>404</v>
      </c>
      <c r="H3721" s="7" t="s">
        <v>405</v>
      </c>
      <c r="I3721" s="7" t="s">
        <v>355</v>
      </c>
      <c r="J3721" s="14"/>
      <c r="O3721" s="22"/>
      <c r="P3721" s="22"/>
      <c r="Q3721" s="23"/>
      <c r="R3721" s="23"/>
      <c r="S3721" s="14"/>
    </row>
    <row r="3722" ht="18.75" customHeight="1">
      <c r="A3722" s="7" t="s">
        <v>1233</v>
      </c>
      <c r="B3722" s="7" t="s">
        <v>3884</v>
      </c>
      <c r="C3722" s="9">
        <v>874512.0</v>
      </c>
      <c r="D3722" s="9">
        <v>641766.0</v>
      </c>
      <c r="E3722" s="9">
        <v>330.0</v>
      </c>
      <c r="F3722" s="7" t="s">
        <v>1234</v>
      </c>
      <c r="G3722" s="7" t="s">
        <v>404</v>
      </c>
      <c r="H3722" s="7" t="s">
        <v>405</v>
      </c>
      <c r="I3722" s="7" t="s">
        <v>355</v>
      </c>
      <c r="J3722" s="14"/>
      <c r="O3722" s="22"/>
      <c r="P3722" s="22"/>
      <c r="Q3722" s="23"/>
      <c r="R3722" s="23"/>
      <c r="S3722" s="14"/>
    </row>
    <row r="3723" ht="18.75" customHeight="1">
      <c r="A3723" s="7" t="s">
        <v>1233</v>
      </c>
      <c r="B3723" s="7" t="s">
        <v>3884</v>
      </c>
      <c r="C3723" s="9">
        <v>9.0</v>
      </c>
      <c r="D3723" s="9">
        <v>2.0</v>
      </c>
      <c r="E3723" s="9">
        <v>0.0</v>
      </c>
      <c r="F3723" s="7" t="s">
        <v>1234</v>
      </c>
      <c r="G3723" s="7" t="s">
        <v>404</v>
      </c>
      <c r="H3723" s="7" t="s">
        <v>405</v>
      </c>
      <c r="I3723" s="7" t="s">
        <v>355</v>
      </c>
      <c r="J3723" s="14"/>
      <c r="O3723" s="22"/>
      <c r="P3723" s="22"/>
      <c r="Q3723" s="23"/>
      <c r="R3723" s="23"/>
      <c r="S3723" s="14"/>
    </row>
    <row r="3724" ht="18.75" customHeight="1">
      <c r="A3724" s="7" t="s">
        <v>1297</v>
      </c>
      <c r="B3724" s="7" t="s">
        <v>3884</v>
      </c>
      <c r="C3724" s="9">
        <v>859615.0</v>
      </c>
      <c r="D3724" s="9">
        <v>563463.0</v>
      </c>
      <c r="E3724" s="9">
        <v>436.0</v>
      </c>
      <c r="F3724" s="7" t="s">
        <v>1298</v>
      </c>
      <c r="G3724" s="7" t="s">
        <v>404</v>
      </c>
      <c r="H3724" s="7" t="s">
        <v>405</v>
      </c>
      <c r="I3724" s="7" t="s">
        <v>355</v>
      </c>
      <c r="J3724" s="14"/>
      <c r="O3724" s="22"/>
      <c r="P3724" s="22"/>
      <c r="Q3724" s="23"/>
      <c r="R3724" s="23"/>
      <c r="S3724" s="14"/>
    </row>
    <row r="3725" ht="18.75" customHeight="1">
      <c r="A3725" s="7" t="s">
        <v>1297</v>
      </c>
      <c r="B3725" s="7" t="s">
        <v>3884</v>
      </c>
      <c r="C3725" s="9">
        <v>903932.0</v>
      </c>
      <c r="D3725" s="9">
        <v>636635.0</v>
      </c>
      <c r="E3725" s="9">
        <v>357.0</v>
      </c>
      <c r="F3725" s="7" t="s">
        <v>1298</v>
      </c>
      <c r="G3725" s="7" t="s">
        <v>404</v>
      </c>
      <c r="H3725" s="7" t="s">
        <v>405</v>
      </c>
      <c r="I3725" s="7" t="s">
        <v>355</v>
      </c>
      <c r="J3725" s="14"/>
      <c r="O3725" s="22"/>
      <c r="P3725" s="22"/>
      <c r="Q3725" s="23"/>
      <c r="R3725" s="23"/>
      <c r="S3725" s="14"/>
    </row>
    <row r="3726" ht="18.75" customHeight="1">
      <c r="A3726" s="7" t="s">
        <v>1077</v>
      </c>
      <c r="B3726" s="7" t="s">
        <v>3884</v>
      </c>
      <c r="C3726" s="9">
        <v>454669.0</v>
      </c>
      <c r="D3726" s="9">
        <v>358501.0</v>
      </c>
      <c r="E3726" s="9">
        <v>235.0</v>
      </c>
      <c r="F3726" s="7" t="s">
        <v>1078</v>
      </c>
      <c r="G3726" s="7" t="s">
        <v>353</v>
      </c>
      <c r="H3726" s="7" t="s">
        <v>378</v>
      </c>
      <c r="I3726" s="7" t="s">
        <v>355</v>
      </c>
      <c r="J3726" s="14"/>
      <c r="O3726" s="22"/>
      <c r="P3726" s="22"/>
      <c r="Q3726" s="23"/>
      <c r="R3726" s="23"/>
      <c r="S3726" s="14"/>
    </row>
    <row r="3727" ht="18.75" customHeight="1">
      <c r="A3727" s="7" t="s">
        <v>1077</v>
      </c>
      <c r="B3727" s="7" t="s">
        <v>3884</v>
      </c>
      <c r="C3727" s="9">
        <v>365488.0</v>
      </c>
      <c r="D3727" s="9">
        <v>232429.0</v>
      </c>
      <c r="E3727" s="9">
        <v>347.0</v>
      </c>
      <c r="F3727" s="7" t="s">
        <v>1078</v>
      </c>
      <c r="G3727" s="7" t="s">
        <v>353</v>
      </c>
      <c r="H3727" s="7" t="s">
        <v>378</v>
      </c>
      <c r="I3727" s="7" t="s">
        <v>355</v>
      </c>
      <c r="J3727" s="14"/>
      <c r="O3727" s="22"/>
      <c r="P3727" s="22"/>
      <c r="Q3727" s="23"/>
      <c r="R3727" s="23"/>
      <c r="S3727" s="14"/>
    </row>
    <row r="3728" ht="18.75" customHeight="1">
      <c r="A3728" s="7" t="s">
        <v>1077</v>
      </c>
      <c r="B3728" s="7" t="s">
        <v>3884</v>
      </c>
      <c r="C3728" s="9">
        <v>13285.0</v>
      </c>
      <c r="D3728" s="9">
        <v>8583.0</v>
      </c>
      <c r="E3728" s="9">
        <v>20.0</v>
      </c>
      <c r="F3728" s="7" t="s">
        <v>1078</v>
      </c>
      <c r="G3728" s="7" t="s">
        <v>353</v>
      </c>
      <c r="H3728" s="7" t="s">
        <v>378</v>
      </c>
      <c r="I3728" s="7" t="s">
        <v>355</v>
      </c>
      <c r="J3728" s="14"/>
      <c r="O3728" s="22"/>
      <c r="P3728" s="22"/>
      <c r="Q3728" s="23"/>
      <c r="R3728" s="23"/>
      <c r="S3728" s="14"/>
    </row>
    <row r="3729" ht="18.75" customHeight="1">
      <c r="A3729" s="7" t="s">
        <v>1077</v>
      </c>
      <c r="B3729" s="7" t="s">
        <v>3884</v>
      </c>
      <c r="C3729" s="9">
        <v>525628.0</v>
      </c>
      <c r="D3729" s="9">
        <v>0.0</v>
      </c>
      <c r="E3729" s="9">
        <v>553.0</v>
      </c>
      <c r="F3729" s="7" t="s">
        <v>1078</v>
      </c>
      <c r="G3729" s="7" t="s">
        <v>353</v>
      </c>
      <c r="H3729" s="7" t="s">
        <v>378</v>
      </c>
      <c r="I3729" s="7" t="s">
        <v>355</v>
      </c>
      <c r="J3729" s="14"/>
      <c r="O3729" s="22"/>
      <c r="P3729" s="22"/>
      <c r="Q3729" s="23"/>
      <c r="R3729" s="23"/>
      <c r="S3729" s="14"/>
    </row>
    <row r="3730" ht="18.75" customHeight="1">
      <c r="A3730" s="7" t="s">
        <v>1077</v>
      </c>
      <c r="B3730" s="7" t="s">
        <v>3884</v>
      </c>
      <c r="C3730" s="9">
        <v>396022.0</v>
      </c>
      <c r="D3730" s="9">
        <v>0.0</v>
      </c>
      <c r="E3730" s="9">
        <v>300.0</v>
      </c>
      <c r="F3730" s="7" t="s">
        <v>1078</v>
      </c>
      <c r="G3730" s="7" t="s">
        <v>353</v>
      </c>
      <c r="H3730" s="7" t="s">
        <v>378</v>
      </c>
      <c r="I3730" s="7" t="s">
        <v>355</v>
      </c>
      <c r="J3730" s="14"/>
      <c r="O3730" s="22"/>
      <c r="P3730" s="22"/>
      <c r="Q3730" s="23"/>
      <c r="R3730" s="23"/>
      <c r="S3730" s="14"/>
    </row>
    <row r="3731" ht="18.75" customHeight="1">
      <c r="A3731" s="7" t="s">
        <v>1077</v>
      </c>
      <c r="B3731" s="7" t="s">
        <v>3884</v>
      </c>
      <c r="C3731" s="9">
        <v>310380.0</v>
      </c>
      <c r="D3731" s="9">
        <v>0.0</v>
      </c>
      <c r="E3731" s="9">
        <v>482.0</v>
      </c>
      <c r="F3731" s="7" t="s">
        <v>1078</v>
      </c>
      <c r="G3731" s="7" t="s">
        <v>353</v>
      </c>
      <c r="H3731" s="7" t="s">
        <v>378</v>
      </c>
      <c r="I3731" s="7" t="s">
        <v>355</v>
      </c>
      <c r="J3731" s="14"/>
      <c r="O3731" s="22"/>
      <c r="P3731" s="22"/>
      <c r="Q3731" s="23"/>
      <c r="R3731" s="23"/>
      <c r="S3731" s="14"/>
    </row>
    <row r="3732" ht="18.75" customHeight="1">
      <c r="A3732" s="7" t="s">
        <v>1135</v>
      </c>
      <c r="B3732" s="7" t="s">
        <v>3884</v>
      </c>
      <c r="C3732" s="9">
        <v>2703656.0</v>
      </c>
      <c r="D3732" s="9">
        <v>0.0</v>
      </c>
      <c r="E3732" s="9">
        <v>3099.0</v>
      </c>
      <c r="F3732" s="7" t="s">
        <v>1136</v>
      </c>
      <c r="G3732" s="7" t="s">
        <v>404</v>
      </c>
      <c r="H3732" s="7" t="s">
        <v>667</v>
      </c>
      <c r="I3732" s="7" t="s">
        <v>355</v>
      </c>
      <c r="J3732" s="14"/>
      <c r="O3732" s="22"/>
      <c r="P3732" s="22"/>
      <c r="Q3732" s="23"/>
      <c r="R3732" s="23"/>
      <c r="S3732" s="14"/>
    </row>
    <row r="3733" ht="18.75" customHeight="1">
      <c r="A3733" s="7" t="s">
        <v>1135</v>
      </c>
      <c r="B3733" s="7" t="s">
        <v>3884</v>
      </c>
      <c r="C3733" s="9">
        <v>2295129.0</v>
      </c>
      <c r="D3733" s="9">
        <v>1759542.0</v>
      </c>
      <c r="E3733" s="9">
        <v>861.0</v>
      </c>
      <c r="F3733" s="7" t="s">
        <v>1136</v>
      </c>
      <c r="G3733" s="7" t="s">
        <v>404</v>
      </c>
      <c r="H3733" s="7" t="s">
        <v>667</v>
      </c>
      <c r="I3733" s="7" t="s">
        <v>355</v>
      </c>
      <c r="J3733" s="14"/>
      <c r="O3733" s="22"/>
      <c r="P3733" s="22"/>
      <c r="Q3733" s="23"/>
      <c r="R3733" s="23"/>
      <c r="S3733" s="14"/>
    </row>
    <row r="3734" ht="18.75" customHeight="1">
      <c r="A3734" s="7" t="s">
        <v>1135</v>
      </c>
      <c r="B3734" s="7" t="s">
        <v>3884</v>
      </c>
      <c r="C3734" s="9">
        <v>0.0</v>
      </c>
      <c r="D3734" s="9">
        <v>0.0</v>
      </c>
      <c r="E3734" s="9">
        <v>0.0</v>
      </c>
      <c r="F3734" s="7" t="s">
        <v>1136</v>
      </c>
      <c r="G3734" s="7" t="s">
        <v>404</v>
      </c>
      <c r="H3734" s="7" t="s">
        <v>667</v>
      </c>
      <c r="I3734" s="7" t="s">
        <v>355</v>
      </c>
      <c r="J3734" s="14"/>
      <c r="O3734" s="22"/>
      <c r="P3734" s="22"/>
      <c r="Q3734" s="23"/>
      <c r="R3734" s="23"/>
      <c r="S3734" s="14"/>
    </row>
    <row r="3735" ht="18.75" customHeight="1">
      <c r="A3735" s="7" t="s">
        <v>1135</v>
      </c>
      <c r="B3735" s="7" t="s">
        <v>3884</v>
      </c>
      <c r="C3735" s="9">
        <v>54823.0</v>
      </c>
      <c r="D3735" s="9">
        <v>0.0</v>
      </c>
      <c r="E3735" s="9">
        <v>1087.0</v>
      </c>
      <c r="F3735" s="7" t="s">
        <v>1136</v>
      </c>
      <c r="G3735" s="7" t="s">
        <v>404</v>
      </c>
      <c r="H3735" s="7" t="s">
        <v>667</v>
      </c>
      <c r="I3735" s="7" t="s">
        <v>355</v>
      </c>
      <c r="J3735" s="14"/>
      <c r="O3735" s="22"/>
      <c r="P3735" s="22"/>
      <c r="Q3735" s="23"/>
      <c r="R3735" s="23"/>
      <c r="S3735" s="14"/>
    </row>
    <row r="3736" ht="18.75" customHeight="1">
      <c r="A3736" s="7" t="s">
        <v>1283</v>
      </c>
      <c r="B3736" s="7" t="s">
        <v>3884</v>
      </c>
      <c r="C3736" s="9">
        <v>2713146.0</v>
      </c>
      <c r="D3736" s="9">
        <v>0.0</v>
      </c>
      <c r="E3736" s="9">
        <v>2881.0</v>
      </c>
      <c r="F3736" s="7" t="s">
        <v>1284</v>
      </c>
      <c r="G3736" s="7" t="s">
        <v>503</v>
      </c>
      <c r="H3736" s="7" t="s">
        <v>928</v>
      </c>
      <c r="I3736" s="7" t="s">
        <v>355</v>
      </c>
      <c r="J3736" s="14"/>
      <c r="O3736" s="22"/>
      <c r="P3736" s="22"/>
      <c r="Q3736" s="23"/>
      <c r="R3736" s="23"/>
      <c r="S3736" s="14"/>
    </row>
    <row r="3737" ht="18.75" customHeight="1">
      <c r="A3737" s="7" t="s">
        <v>1289</v>
      </c>
      <c r="B3737" s="7" t="s">
        <v>3884</v>
      </c>
      <c r="C3737" s="9">
        <v>929039.0</v>
      </c>
      <c r="D3737" s="9">
        <v>589813.0</v>
      </c>
      <c r="E3737" s="9">
        <v>618.0</v>
      </c>
      <c r="F3737" s="7" t="s">
        <v>1290</v>
      </c>
      <c r="G3737" s="7" t="s">
        <v>364</v>
      </c>
      <c r="H3737" s="7" t="s">
        <v>365</v>
      </c>
      <c r="I3737" s="7" t="s">
        <v>355</v>
      </c>
      <c r="J3737" s="14"/>
      <c r="O3737" s="22"/>
      <c r="P3737" s="22"/>
      <c r="Q3737" s="23"/>
      <c r="R3737" s="23"/>
      <c r="S3737" s="14"/>
    </row>
    <row r="3738" ht="18.75" customHeight="1">
      <c r="A3738" s="7" t="s">
        <v>1289</v>
      </c>
      <c r="B3738" s="7" t="s">
        <v>3884</v>
      </c>
      <c r="C3738" s="9">
        <v>1131439.0</v>
      </c>
      <c r="D3738" s="9">
        <v>886667.0</v>
      </c>
      <c r="E3738" s="9">
        <v>294.0</v>
      </c>
      <c r="F3738" s="7" t="s">
        <v>1290</v>
      </c>
      <c r="G3738" s="7" t="s">
        <v>364</v>
      </c>
      <c r="H3738" s="7" t="s">
        <v>365</v>
      </c>
      <c r="I3738" s="7" t="s">
        <v>355</v>
      </c>
      <c r="J3738" s="14"/>
      <c r="O3738" s="22"/>
      <c r="P3738" s="22"/>
      <c r="Q3738" s="23"/>
      <c r="R3738" s="23"/>
      <c r="S3738" s="14"/>
    </row>
    <row r="3739" ht="18.75" customHeight="1">
      <c r="A3739" s="7" t="s">
        <v>1307</v>
      </c>
      <c r="B3739" s="7" t="s">
        <v>3884</v>
      </c>
      <c r="C3739" s="9">
        <v>458476.0</v>
      </c>
      <c r="D3739" s="9">
        <v>0.0</v>
      </c>
      <c r="E3739" s="9">
        <v>489.0</v>
      </c>
      <c r="F3739" s="7" t="s">
        <v>1308</v>
      </c>
      <c r="G3739" s="7" t="s">
        <v>416</v>
      </c>
      <c r="H3739" s="7" t="s">
        <v>417</v>
      </c>
      <c r="I3739" s="7" t="s">
        <v>355</v>
      </c>
      <c r="J3739" s="14"/>
      <c r="O3739" s="22"/>
      <c r="P3739" s="22"/>
      <c r="Q3739" s="23"/>
      <c r="R3739" s="23"/>
      <c r="S3739" s="14"/>
    </row>
    <row r="3740" ht="18.75" customHeight="1">
      <c r="A3740" s="7" t="s">
        <v>1305</v>
      </c>
      <c r="B3740" s="7" t="s">
        <v>3884</v>
      </c>
      <c r="C3740" s="9">
        <v>1157986.0</v>
      </c>
      <c r="D3740" s="9">
        <v>0.0</v>
      </c>
      <c r="E3740" s="9">
        <v>1054.0</v>
      </c>
      <c r="F3740" s="7" t="s">
        <v>1306</v>
      </c>
      <c r="G3740" s="7" t="s">
        <v>353</v>
      </c>
      <c r="H3740" s="7" t="s">
        <v>378</v>
      </c>
      <c r="I3740" s="7" t="s">
        <v>355</v>
      </c>
      <c r="J3740" s="14"/>
      <c r="O3740" s="22"/>
      <c r="P3740" s="22"/>
      <c r="Q3740" s="23"/>
      <c r="R3740" s="23"/>
      <c r="S3740" s="14"/>
    </row>
    <row r="3741" ht="18.75" customHeight="1">
      <c r="A3741" s="7" t="s">
        <v>1305</v>
      </c>
      <c r="B3741" s="7" t="s">
        <v>3884</v>
      </c>
      <c r="C3741" s="9">
        <v>743312.0</v>
      </c>
      <c r="D3741" s="9">
        <v>0.0</v>
      </c>
      <c r="E3741" s="9">
        <v>551.0</v>
      </c>
      <c r="F3741" s="7" t="s">
        <v>1306</v>
      </c>
      <c r="G3741" s="7" t="s">
        <v>353</v>
      </c>
      <c r="H3741" s="7" t="s">
        <v>378</v>
      </c>
      <c r="I3741" s="7" t="s">
        <v>355</v>
      </c>
      <c r="J3741" s="14"/>
      <c r="O3741" s="22"/>
      <c r="P3741" s="22"/>
      <c r="Q3741" s="23"/>
      <c r="R3741" s="23"/>
      <c r="S3741" s="14"/>
    </row>
    <row r="3742" ht="18.75" customHeight="1">
      <c r="A3742" s="7" t="s">
        <v>1351</v>
      </c>
      <c r="B3742" s="7" t="s">
        <v>3884</v>
      </c>
      <c r="C3742" s="9">
        <v>172528.0</v>
      </c>
      <c r="D3742" s="9">
        <v>0.0</v>
      </c>
      <c r="E3742" s="9">
        <v>3317.0</v>
      </c>
      <c r="F3742" s="7" t="s">
        <v>1352</v>
      </c>
      <c r="G3742" s="7" t="s">
        <v>416</v>
      </c>
      <c r="H3742" s="7" t="s">
        <v>417</v>
      </c>
      <c r="I3742" s="7" t="s">
        <v>355</v>
      </c>
      <c r="J3742" s="14"/>
      <c r="O3742" s="22"/>
      <c r="P3742" s="22"/>
      <c r="Q3742" s="23"/>
      <c r="R3742" s="23"/>
      <c r="S3742" s="14"/>
    </row>
    <row r="3743" ht="18.75" customHeight="1">
      <c r="A3743" s="7" t="s">
        <v>1131</v>
      </c>
      <c r="B3743" s="7" t="s">
        <v>3884</v>
      </c>
      <c r="C3743" s="9">
        <v>465983.0</v>
      </c>
      <c r="D3743" s="9">
        <v>388234.0</v>
      </c>
      <c r="E3743" s="9">
        <v>229.0</v>
      </c>
      <c r="F3743" s="7" t="s">
        <v>1132</v>
      </c>
      <c r="G3743" s="7" t="s">
        <v>404</v>
      </c>
      <c r="H3743" s="7" t="s">
        <v>760</v>
      </c>
      <c r="I3743" s="7" t="s">
        <v>355</v>
      </c>
      <c r="J3743" s="14"/>
      <c r="O3743" s="22"/>
      <c r="P3743" s="22"/>
      <c r="Q3743" s="23"/>
      <c r="R3743" s="23"/>
      <c r="S3743" s="14"/>
    </row>
    <row r="3744" ht="18.75" customHeight="1">
      <c r="A3744" s="7" t="s">
        <v>1279</v>
      </c>
      <c r="B3744" s="7" t="s">
        <v>3884</v>
      </c>
      <c r="C3744" s="9">
        <v>1690939.0</v>
      </c>
      <c r="D3744" s="9">
        <v>0.0</v>
      </c>
      <c r="E3744" s="9">
        <v>1620.0</v>
      </c>
      <c r="F3744" s="7" t="s">
        <v>1280</v>
      </c>
      <c r="G3744" s="7" t="s">
        <v>353</v>
      </c>
      <c r="H3744" s="7" t="s">
        <v>378</v>
      </c>
      <c r="I3744" s="7" t="s">
        <v>355</v>
      </c>
      <c r="J3744" s="14"/>
      <c r="O3744" s="22"/>
      <c r="P3744" s="22"/>
      <c r="Q3744" s="23"/>
      <c r="R3744" s="23"/>
      <c r="S3744" s="14"/>
    </row>
    <row r="3745" ht="18.75" customHeight="1">
      <c r="A3745" s="7" t="s">
        <v>1149</v>
      </c>
      <c r="B3745" s="7" t="s">
        <v>3884</v>
      </c>
      <c r="C3745" s="9">
        <v>82207.0</v>
      </c>
      <c r="D3745" s="9">
        <v>51430.0</v>
      </c>
      <c r="E3745" s="9">
        <v>13815.0</v>
      </c>
      <c r="F3745" s="7" t="s">
        <v>1150</v>
      </c>
      <c r="G3745" s="7" t="s">
        <v>404</v>
      </c>
      <c r="H3745" s="7" t="s">
        <v>667</v>
      </c>
      <c r="I3745" s="7" t="s">
        <v>355</v>
      </c>
      <c r="J3745" s="14"/>
      <c r="O3745" s="22"/>
      <c r="P3745" s="22"/>
      <c r="Q3745" s="23"/>
      <c r="R3745" s="23"/>
      <c r="S3745" s="14"/>
    </row>
    <row r="3746" ht="18.75" customHeight="1">
      <c r="A3746" s="7" t="s">
        <v>1149</v>
      </c>
      <c r="B3746" s="7" t="s">
        <v>3884</v>
      </c>
      <c r="C3746" s="9">
        <v>38818.0</v>
      </c>
      <c r="D3746" s="9">
        <v>22266.0</v>
      </c>
      <c r="E3746" s="9">
        <v>16981.0</v>
      </c>
      <c r="F3746" s="7" t="s">
        <v>1150</v>
      </c>
      <c r="G3746" s="7" t="s">
        <v>404</v>
      </c>
      <c r="H3746" s="7" t="s">
        <v>667</v>
      </c>
      <c r="I3746" s="7" t="s">
        <v>355</v>
      </c>
      <c r="J3746" s="14"/>
      <c r="O3746" s="22"/>
      <c r="P3746" s="22"/>
      <c r="Q3746" s="23"/>
      <c r="R3746" s="23"/>
      <c r="S3746" s="14"/>
    </row>
    <row r="3747" ht="18.75" customHeight="1">
      <c r="A3747" s="7" t="s">
        <v>1149</v>
      </c>
      <c r="B3747" s="7" t="s">
        <v>3884</v>
      </c>
      <c r="C3747" s="9">
        <v>169171.0</v>
      </c>
      <c r="D3747" s="9">
        <v>0.0</v>
      </c>
      <c r="E3747" s="9">
        <v>5088.0</v>
      </c>
      <c r="F3747" s="7" t="s">
        <v>1150</v>
      </c>
      <c r="G3747" s="7" t="s">
        <v>404</v>
      </c>
      <c r="H3747" s="7" t="s">
        <v>667</v>
      </c>
      <c r="I3747" s="7" t="s">
        <v>355</v>
      </c>
      <c r="J3747" s="14"/>
      <c r="O3747" s="22"/>
      <c r="P3747" s="22"/>
      <c r="Q3747" s="23"/>
      <c r="R3747" s="23"/>
      <c r="S3747" s="14"/>
    </row>
    <row r="3748" ht="18.75" customHeight="1">
      <c r="A3748" s="7" t="s">
        <v>1149</v>
      </c>
      <c r="B3748" s="7" t="s">
        <v>3884</v>
      </c>
      <c r="C3748" s="9">
        <v>184955.0</v>
      </c>
      <c r="D3748" s="9">
        <v>0.0</v>
      </c>
      <c r="E3748" s="9">
        <v>3733.0</v>
      </c>
      <c r="F3748" s="7" t="s">
        <v>1150</v>
      </c>
      <c r="G3748" s="7" t="s">
        <v>404</v>
      </c>
      <c r="H3748" s="7" t="s">
        <v>667</v>
      </c>
      <c r="I3748" s="7" t="s">
        <v>355</v>
      </c>
      <c r="J3748" s="14"/>
      <c r="O3748" s="22"/>
      <c r="P3748" s="22"/>
      <c r="Q3748" s="23"/>
      <c r="R3748" s="23"/>
      <c r="S3748" s="14"/>
    </row>
    <row r="3749" ht="18.75" customHeight="1">
      <c r="A3749" s="7" t="s">
        <v>1149</v>
      </c>
      <c r="B3749" s="7" t="s">
        <v>3884</v>
      </c>
      <c r="C3749" s="9">
        <v>0.0</v>
      </c>
      <c r="D3749" s="9">
        <v>0.0</v>
      </c>
      <c r="E3749" s="9">
        <v>0.0</v>
      </c>
      <c r="F3749" s="7" t="s">
        <v>1150</v>
      </c>
      <c r="G3749" s="7" t="s">
        <v>404</v>
      </c>
      <c r="H3749" s="7" t="s">
        <v>667</v>
      </c>
      <c r="I3749" s="7" t="s">
        <v>355</v>
      </c>
      <c r="J3749" s="14"/>
      <c r="O3749" s="22"/>
      <c r="P3749" s="22"/>
      <c r="Q3749" s="23"/>
      <c r="R3749" s="23"/>
      <c r="S3749" s="14"/>
    </row>
    <row r="3750" ht="18.75" customHeight="1">
      <c r="A3750" s="7" t="s">
        <v>1149</v>
      </c>
      <c r="B3750" s="7" t="s">
        <v>3884</v>
      </c>
      <c r="C3750" s="9">
        <v>0.0</v>
      </c>
      <c r="D3750" s="9">
        <v>0.0</v>
      </c>
      <c r="E3750" s="9">
        <v>0.0</v>
      </c>
      <c r="F3750" s="7" t="s">
        <v>1150</v>
      </c>
      <c r="G3750" s="7" t="s">
        <v>404</v>
      </c>
      <c r="H3750" s="7" t="s">
        <v>667</v>
      </c>
      <c r="I3750" s="7" t="s">
        <v>355</v>
      </c>
      <c r="J3750" s="14"/>
      <c r="O3750" s="22"/>
      <c r="P3750" s="22"/>
      <c r="Q3750" s="23"/>
      <c r="R3750" s="23"/>
      <c r="S3750" s="14"/>
    </row>
    <row r="3751" ht="18.75" customHeight="1">
      <c r="A3751" s="7" t="s">
        <v>1371</v>
      </c>
      <c r="B3751" s="7" t="s">
        <v>3884</v>
      </c>
      <c r="C3751" s="9">
        <v>394277.0</v>
      </c>
      <c r="D3751" s="9">
        <v>229433.0</v>
      </c>
      <c r="E3751" s="9">
        <v>198.0</v>
      </c>
      <c r="F3751" s="7" t="s">
        <v>1372</v>
      </c>
      <c r="G3751" s="7" t="s">
        <v>358</v>
      </c>
      <c r="H3751" s="7" t="s">
        <v>466</v>
      </c>
      <c r="I3751" s="7" t="s">
        <v>355</v>
      </c>
      <c r="J3751" s="14"/>
      <c r="O3751" s="22"/>
      <c r="P3751" s="22"/>
      <c r="Q3751" s="23"/>
      <c r="R3751" s="23"/>
      <c r="S3751" s="14"/>
    </row>
    <row r="3752" ht="18.75" customHeight="1">
      <c r="A3752" s="7" t="s">
        <v>1371</v>
      </c>
      <c r="B3752" s="7" t="s">
        <v>3884</v>
      </c>
      <c r="C3752" s="9">
        <v>327413.0</v>
      </c>
      <c r="D3752" s="9">
        <v>211003.0</v>
      </c>
      <c r="E3752" s="9">
        <v>118.0</v>
      </c>
      <c r="F3752" s="7" t="s">
        <v>1372</v>
      </c>
      <c r="G3752" s="7" t="s">
        <v>358</v>
      </c>
      <c r="H3752" s="7" t="s">
        <v>466</v>
      </c>
      <c r="I3752" s="7" t="s">
        <v>355</v>
      </c>
      <c r="J3752" s="14"/>
      <c r="O3752" s="22"/>
      <c r="P3752" s="22"/>
      <c r="Q3752" s="23"/>
      <c r="R3752" s="23"/>
      <c r="S3752" s="14"/>
    </row>
    <row r="3753" ht="18.75" customHeight="1">
      <c r="A3753" s="7" t="s">
        <v>1307</v>
      </c>
      <c r="B3753" s="7" t="s">
        <v>3884</v>
      </c>
      <c r="C3753" s="9">
        <v>477985.0</v>
      </c>
      <c r="D3753" s="9">
        <v>391790.0</v>
      </c>
      <c r="E3753" s="9">
        <v>245.0</v>
      </c>
      <c r="F3753" s="7" t="s">
        <v>1308</v>
      </c>
      <c r="G3753" s="7" t="s">
        <v>416</v>
      </c>
      <c r="H3753" s="7" t="s">
        <v>417</v>
      </c>
      <c r="I3753" s="7" t="s">
        <v>355</v>
      </c>
      <c r="J3753" s="14"/>
      <c r="O3753" s="22"/>
      <c r="P3753" s="22"/>
      <c r="Q3753" s="23"/>
      <c r="R3753" s="23"/>
      <c r="S3753" s="14"/>
    </row>
    <row r="3754" ht="18.75" customHeight="1">
      <c r="A3754" s="7" t="s">
        <v>1397</v>
      </c>
      <c r="B3754" s="7" t="s">
        <v>3884</v>
      </c>
      <c r="C3754" s="9">
        <v>23247.0</v>
      </c>
      <c r="D3754" s="9">
        <v>0.0</v>
      </c>
      <c r="E3754" s="9">
        <v>72.0</v>
      </c>
      <c r="F3754" s="7" t="s">
        <v>1398</v>
      </c>
      <c r="G3754" s="7" t="s">
        <v>416</v>
      </c>
      <c r="H3754" s="7" t="s">
        <v>417</v>
      </c>
      <c r="I3754" s="7" t="s">
        <v>355</v>
      </c>
      <c r="J3754" s="14"/>
      <c r="O3754" s="22"/>
      <c r="P3754" s="22"/>
      <c r="Q3754" s="23"/>
      <c r="R3754" s="23"/>
      <c r="S3754" s="14"/>
    </row>
    <row r="3755" ht="18.75" customHeight="1">
      <c r="A3755" s="7" t="s">
        <v>565</v>
      </c>
      <c r="B3755" s="7" t="s">
        <v>3884</v>
      </c>
      <c r="C3755" s="9">
        <v>154621.0</v>
      </c>
      <c r="D3755" s="9">
        <v>0.0</v>
      </c>
      <c r="E3755" s="9">
        <v>237.0</v>
      </c>
      <c r="F3755" s="7" t="s">
        <v>566</v>
      </c>
      <c r="G3755" s="7" t="s">
        <v>364</v>
      </c>
      <c r="H3755" s="7" t="s">
        <v>365</v>
      </c>
      <c r="I3755" s="7" t="s">
        <v>355</v>
      </c>
      <c r="J3755" s="14"/>
      <c r="O3755" s="22"/>
      <c r="P3755" s="22"/>
      <c r="Q3755" s="23"/>
      <c r="R3755" s="23"/>
      <c r="S3755" s="14"/>
    </row>
    <row r="3756" ht="18.75" customHeight="1">
      <c r="A3756" s="7" t="s">
        <v>989</v>
      </c>
      <c r="B3756" s="7" t="s">
        <v>3884</v>
      </c>
      <c r="C3756" s="9">
        <v>0.0</v>
      </c>
      <c r="D3756" s="9">
        <v>0.0</v>
      </c>
      <c r="E3756" s="9">
        <v>0.0</v>
      </c>
      <c r="F3756" s="7" t="s">
        <v>990</v>
      </c>
      <c r="G3756" s="7" t="s">
        <v>353</v>
      </c>
      <c r="H3756" s="7" t="s">
        <v>378</v>
      </c>
      <c r="I3756" s="7" t="s">
        <v>355</v>
      </c>
      <c r="J3756" s="14"/>
      <c r="O3756" s="22"/>
      <c r="P3756" s="22"/>
      <c r="Q3756" s="23"/>
      <c r="R3756" s="23"/>
      <c r="S3756" s="14"/>
    </row>
    <row r="3757" ht="18.75" customHeight="1">
      <c r="A3757" s="7" t="s">
        <v>1135</v>
      </c>
      <c r="B3757" s="7" t="s">
        <v>3884</v>
      </c>
      <c r="C3757" s="9">
        <v>58906.0</v>
      </c>
      <c r="D3757" s="9">
        <v>56211.0</v>
      </c>
      <c r="E3757" s="9">
        <v>1.0</v>
      </c>
      <c r="F3757" s="7" t="s">
        <v>1136</v>
      </c>
      <c r="G3757" s="7" t="s">
        <v>404</v>
      </c>
      <c r="H3757" s="7" t="s">
        <v>667</v>
      </c>
      <c r="I3757" s="7" t="s">
        <v>355</v>
      </c>
      <c r="J3757" s="14"/>
      <c r="O3757" s="22"/>
      <c r="P3757" s="22"/>
      <c r="Q3757" s="23"/>
      <c r="R3757" s="23"/>
      <c r="S3757" s="14"/>
    </row>
    <row r="3758" ht="18.75" customHeight="1">
      <c r="A3758" s="7" t="s">
        <v>1399</v>
      </c>
      <c r="B3758" s="7" t="s">
        <v>3884</v>
      </c>
      <c r="C3758" s="9">
        <v>111167.0</v>
      </c>
      <c r="D3758" s="9">
        <v>0.0</v>
      </c>
      <c r="E3758" s="9">
        <v>198.0</v>
      </c>
      <c r="F3758" s="7" t="s">
        <v>1400</v>
      </c>
      <c r="G3758" s="7" t="s">
        <v>416</v>
      </c>
      <c r="H3758" s="7" t="s">
        <v>417</v>
      </c>
      <c r="I3758" s="7" t="s">
        <v>355</v>
      </c>
      <c r="J3758" s="14"/>
      <c r="O3758" s="22"/>
      <c r="P3758" s="22"/>
      <c r="Q3758" s="23"/>
      <c r="R3758" s="23"/>
      <c r="S3758" s="14"/>
    </row>
    <row r="3759" ht="18.75" customHeight="1">
      <c r="A3759" s="7" t="s">
        <v>709</v>
      </c>
      <c r="B3759" s="7" t="s">
        <v>3884</v>
      </c>
      <c r="C3759" s="9">
        <v>0.0</v>
      </c>
      <c r="D3759" s="9">
        <v>0.0</v>
      </c>
      <c r="E3759" s="9">
        <v>0.0</v>
      </c>
      <c r="F3759" s="7" t="s">
        <v>710</v>
      </c>
      <c r="G3759" s="7" t="s">
        <v>404</v>
      </c>
      <c r="H3759" s="7" t="s">
        <v>667</v>
      </c>
      <c r="I3759" s="7" t="s">
        <v>410</v>
      </c>
      <c r="J3759" s="14"/>
      <c r="O3759" s="22"/>
      <c r="P3759" s="22"/>
      <c r="Q3759" s="23"/>
      <c r="R3759" s="23"/>
      <c r="S3759" s="14"/>
    </row>
    <row r="3760" ht="18.75" customHeight="1">
      <c r="A3760" s="7" t="s">
        <v>709</v>
      </c>
      <c r="B3760" s="7" t="s">
        <v>3884</v>
      </c>
      <c r="C3760" s="9">
        <v>886622.0</v>
      </c>
      <c r="D3760" s="9">
        <v>0.0</v>
      </c>
      <c r="E3760" s="9">
        <v>17692.0</v>
      </c>
      <c r="F3760" s="7" t="s">
        <v>710</v>
      </c>
      <c r="G3760" s="7" t="s">
        <v>404</v>
      </c>
      <c r="H3760" s="7" t="s">
        <v>667</v>
      </c>
      <c r="I3760" s="7" t="s">
        <v>410</v>
      </c>
      <c r="J3760" s="14"/>
      <c r="O3760" s="22"/>
      <c r="P3760" s="22"/>
      <c r="Q3760" s="23"/>
      <c r="R3760" s="23"/>
      <c r="S3760" s="14"/>
    </row>
    <row r="3761" ht="18.75" customHeight="1">
      <c r="A3761" s="7" t="s">
        <v>1077</v>
      </c>
      <c r="B3761" s="7" t="s">
        <v>3884</v>
      </c>
      <c r="C3761" s="9">
        <v>435676.0</v>
      </c>
      <c r="D3761" s="9">
        <v>346368.0</v>
      </c>
      <c r="E3761" s="9">
        <v>227.0</v>
      </c>
      <c r="F3761" s="7" t="s">
        <v>1078</v>
      </c>
      <c r="G3761" s="7" t="s">
        <v>353</v>
      </c>
      <c r="H3761" s="7" t="s">
        <v>378</v>
      </c>
      <c r="I3761" s="7" t="s">
        <v>355</v>
      </c>
      <c r="J3761" s="14"/>
      <c r="O3761" s="22"/>
      <c r="P3761" s="22"/>
      <c r="Q3761" s="23"/>
      <c r="R3761" s="23"/>
      <c r="S3761" s="14"/>
    </row>
    <row r="3762" ht="18.75" customHeight="1">
      <c r="A3762" s="7" t="s">
        <v>1077</v>
      </c>
      <c r="B3762" s="7" t="s">
        <v>3884</v>
      </c>
      <c r="C3762" s="9">
        <v>278829.0</v>
      </c>
      <c r="D3762" s="9">
        <v>178660.0</v>
      </c>
      <c r="E3762" s="9">
        <v>263.0</v>
      </c>
      <c r="F3762" s="7" t="s">
        <v>1078</v>
      </c>
      <c r="G3762" s="7" t="s">
        <v>353</v>
      </c>
      <c r="H3762" s="7" t="s">
        <v>378</v>
      </c>
      <c r="I3762" s="7" t="s">
        <v>355</v>
      </c>
      <c r="J3762" s="14"/>
      <c r="O3762" s="22"/>
      <c r="P3762" s="22"/>
      <c r="Q3762" s="23"/>
      <c r="R3762" s="23"/>
      <c r="S3762" s="14"/>
    </row>
    <row r="3763" ht="18.75" customHeight="1">
      <c r="A3763" s="7" t="s">
        <v>1077</v>
      </c>
      <c r="B3763" s="7" t="s">
        <v>3884</v>
      </c>
      <c r="C3763" s="9">
        <v>45407.0</v>
      </c>
      <c r="D3763" s="9">
        <v>27727.0</v>
      </c>
      <c r="E3763" s="9">
        <v>130.0</v>
      </c>
      <c r="F3763" s="7" t="s">
        <v>1078</v>
      </c>
      <c r="G3763" s="7" t="s">
        <v>353</v>
      </c>
      <c r="H3763" s="7" t="s">
        <v>378</v>
      </c>
      <c r="I3763" s="7" t="s">
        <v>355</v>
      </c>
      <c r="J3763" s="14"/>
      <c r="O3763" s="22"/>
      <c r="P3763" s="22"/>
      <c r="Q3763" s="23"/>
      <c r="R3763" s="23"/>
      <c r="S3763" s="14"/>
    </row>
    <row r="3764" ht="18.75" customHeight="1">
      <c r="A3764" s="7" t="s">
        <v>1077</v>
      </c>
      <c r="B3764" s="7" t="s">
        <v>3884</v>
      </c>
      <c r="C3764" s="9">
        <v>625929.0</v>
      </c>
      <c r="D3764" s="9">
        <v>0.0</v>
      </c>
      <c r="E3764" s="9">
        <v>559.0</v>
      </c>
      <c r="F3764" s="7" t="s">
        <v>1078</v>
      </c>
      <c r="G3764" s="7" t="s">
        <v>353</v>
      </c>
      <c r="H3764" s="7" t="s">
        <v>378</v>
      </c>
      <c r="I3764" s="7" t="s">
        <v>355</v>
      </c>
      <c r="J3764" s="14"/>
      <c r="O3764" s="22"/>
      <c r="P3764" s="22"/>
      <c r="Q3764" s="23"/>
      <c r="R3764" s="23"/>
      <c r="S3764" s="14"/>
    </row>
    <row r="3765" ht="18.75" customHeight="1">
      <c r="A3765" s="7" t="s">
        <v>1077</v>
      </c>
      <c r="B3765" s="7" t="s">
        <v>3884</v>
      </c>
      <c r="C3765" s="9">
        <v>348475.0</v>
      </c>
      <c r="D3765" s="9">
        <v>0.0</v>
      </c>
      <c r="E3765" s="9">
        <v>211.0</v>
      </c>
      <c r="F3765" s="7" t="s">
        <v>1078</v>
      </c>
      <c r="G3765" s="7" t="s">
        <v>353</v>
      </c>
      <c r="H3765" s="7" t="s">
        <v>378</v>
      </c>
      <c r="I3765" s="7" t="s">
        <v>355</v>
      </c>
      <c r="J3765" s="14"/>
      <c r="O3765" s="22"/>
      <c r="P3765" s="22"/>
      <c r="Q3765" s="23"/>
      <c r="R3765" s="23"/>
      <c r="S3765" s="14"/>
    </row>
    <row r="3766" ht="18.75" customHeight="1">
      <c r="A3766" s="7" t="s">
        <v>1077</v>
      </c>
      <c r="B3766" s="7" t="s">
        <v>3884</v>
      </c>
      <c r="C3766" s="9">
        <v>338349.0</v>
      </c>
      <c r="D3766" s="9">
        <v>0.0</v>
      </c>
      <c r="E3766" s="9">
        <v>470.0</v>
      </c>
      <c r="F3766" s="7" t="s">
        <v>1078</v>
      </c>
      <c r="G3766" s="7" t="s">
        <v>353</v>
      </c>
      <c r="H3766" s="7" t="s">
        <v>378</v>
      </c>
      <c r="I3766" s="7" t="s">
        <v>355</v>
      </c>
      <c r="J3766" s="14"/>
      <c r="O3766" s="22"/>
      <c r="P3766" s="22"/>
      <c r="Q3766" s="23"/>
      <c r="R3766" s="23"/>
      <c r="S3766" s="14"/>
    </row>
    <row r="3767" ht="18.75" customHeight="1">
      <c r="A3767" s="7" t="s">
        <v>1135</v>
      </c>
      <c r="B3767" s="7" t="s">
        <v>3884</v>
      </c>
      <c r="C3767" s="9">
        <v>3010509.0</v>
      </c>
      <c r="D3767" s="9">
        <v>0.0</v>
      </c>
      <c r="E3767" s="9">
        <v>2350.0</v>
      </c>
      <c r="F3767" s="7" t="s">
        <v>1136</v>
      </c>
      <c r="G3767" s="7" t="s">
        <v>404</v>
      </c>
      <c r="H3767" s="7" t="s">
        <v>667</v>
      </c>
      <c r="I3767" s="7" t="s">
        <v>355</v>
      </c>
      <c r="J3767" s="14"/>
      <c r="O3767" s="22"/>
      <c r="P3767" s="22"/>
      <c r="Q3767" s="23"/>
      <c r="R3767" s="23"/>
      <c r="S3767" s="14"/>
    </row>
    <row r="3768" ht="18.75" customHeight="1">
      <c r="A3768" s="7" t="s">
        <v>1135</v>
      </c>
      <c r="B3768" s="7" t="s">
        <v>3884</v>
      </c>
      <c r="C3768" s="9">
        <v>2384485.0</v>
      </c>
      <c r="D3768" s="9">
        <v>1937581.0</v>
      </c>
      <c r="E3768" s="9">
        <v>930.0</v>
      </c>
      <c r="F3768" s="7" t="s">
        <v>1136</v>
      </c>
      <c r="G3768" s="7" t="s">
        <v>404</v>
      </c>
      <c r="H3768" s="7" t="s">
        <v>667</v>
      </c>
      <c r="I3768" s="7" t="s">
        <v>355</v>
      </c>
      <c r="J3768" s="14"/>
      <c r="O3768" s="22"/>
      <c r="P3768" s="22"/>
      <c r="Q3768" s="23"/>
      <c r="R3768" s="23"/>
      <c r="S3768" s="14"/>
    </row>
    <row r="3769" ht="18.75" customHeight="1">
      <c r="A3769" s="7" t="s">
        <v>1135</v>
      </c>
      <c r="B3769" s="7" t="s">
        <v>3884</v>
      </c>
      <c r="C3769" s="9">
        <v>0.0</v>
      </c>
      <c r="D3769" s="9">
        <v>0.0</v>
      </c>
      <c r="E3769" s="9">
        <v>0.0</v>
      </c>
      <c r="F3769" s="7" t="s">
        <v>1136</v>
      </c>
      <c r="G3769" s="7" t="s">
        <v>404</v>
      </c>
      <c r="H3769" s="7" t="s">
        <v>667</v>
      </c>
      <c r="I3769" s="7" t="s">
        <v>355</v>
      </c>
      <c r="J3769" s="14"/>
      <c r="O3769" s="22"/>
      <c r="P3769" s="22"/>
      <c r="Q3769" s="23"/>
      <c r="R3769" s="23"/>
      <c r="S3769" s="14"/>
    </row>
    <row r="3770" ht="18.75" customHeight="1">
      <c r="A3770" s="7" t="s">
        <v>1135</v>
      </c>
      <c r="B3770" s="7" t="s">
        <v>3884</v>
      </c>
      <c r="C3770" s="9">
        <v>55180.0</v>
      </c>
      <c r="D3770" s="9">
        <v>0.0</v>
      </c>
      <c r="E3770" s="9">
        <v>1546.0</v>
      </c>
      <c r="F3770" s="7" t="s">
        <v>1136</v>
      </c>
      <c r="G3770" s="7" t="s">
        <v>404</v>
      </c>
      <c r="H3770" s="7" t="s">
        <v>667</v>
      </c>
      <c r="I3770" s="7" t="s">
        <v>355</v>
      </c>
      <c r="J3770" s="14"/>
      <c r="O3770" s="22"/>
      <c r="P3770" s="22"/>
      <c r="Q3770" s="23"/>
      <c r="R3770" s="23"/>
      <c r="S3770" s="14"/>
    </row>
    <row r="3771" ht="18.75" customHeight="1">
      <c r="A3771" s="7" t="s">
        <v>1149</v>
      </c>
      <c r="B3771" s="7" t="s">
        <v>3884</v>
      </c>
      <c r="C3771" s="9">
        <v>292519.0</v>
      </c>
      <c r="D3771" s="9">
        <v>154980.0</v>
      </c>
      <c r="E3771" s="9">
        <v>80178.0</v>
      </c>
      <c r="F3771" s="7" t="s">
        <v>1150</v>
      </c>
      <c r="G3771" s="7" t="s">
        <v>404</v>
      </c>
      <c r="H3771" s="7" t="s">
        <v>667</v>
      </c>
      <c r="I3771" s="7" t="s">
        <v>355</v>
      </c>
      <c r="J3771" s="14"/>
      <c r="O3771" s="22"/>
      <c r="P3771" s="22"/>
      <c r="Q3771" s="23"/>
      <c r="R3771" s="23"/>
      <c r="S3771" s="14"/>
    </row>
    <row r="3772" ht="18.75" customHeight="1">
      <c r="A3772" s="7" t="s">
        <v>1149</v>
      </c>
      <c r="B3772" s="7" t="s">
        <v>3884</v>
      </c>
      <c r="C3772" s="9">
        <v>101106.0</v>
      </c>
      <c r="D3772" s="9">
        <v>49720.0</v>
      </c>
      <c r="E3772" s="9">
        <v>50180.0</v>
      </c>
      <c r="F3772" s="7" t="s">
        <v>1150</v>
      </c>
      <c r="G3772" s="7" t="s">
        <v>404</v>
      </c>
      <c r="H3772" s="7" t="s">
        <v>667</v>
      </c>
      <c r="I3772" s="7" t="s">
        <v>355</v>
      </c>
      <c r="J3772" s="14"/>
      <c r="O3772" s="22"/>
      <c r="P3772" s="22"/>
      <c r="Q3772" s="23"/>
      <c r="R3772" s="23"/>
      <c r="S3772" s="14"/>
    </row>
    <row r="3773" ht="18.75" customHeight="1">
      <c r="A3773" s="7" t="s">
        <v>1149</v>
      </c>
      <c r="B3773" s="7" t="s">
        <v>3884</v>
      </c>
      <c r="C3773" s="9">
        <v>1793073.0</v>
      </c>
      <c r="D3773" s="9">
        <v>0.0</v>
      </c>
      <c r="E3773" s="9">
        <v>67002.0</v>
      </c>
      <c r="F3773" s="7" t="s">
        <v>1150</v>
      </c>
      <c r="G3773" s="7" t="s">
        <v>404</v>
      </c>
      <c r="H3773" s="7" t="s">
        <v>667</v>
      </c>
      <c r="I3773" s="7" t="s">
        <v>355</v>
      </c>
      <c r="J3773" s="14"/>
      <c r="O3773" s="22"/>
      <c r="P3773" s="22"/>
      <c r="Q3773" s="23"/>
      <c r="R3773" s="23"/>
      <c r="S3773" s="14"/>
    </row>
    <row r="3774" ht="18.75" customHeight="1">
      <c r="A3774" s="7" t="s">
        <v>1149</v>
      </c>
      <c r="B3774" s="7" t="s">
        <v>3884</v>
      </c>
      <c r="C3774" s="9">
        <v>423823.0</v>
      </c>
      <c r="D3774" s="9">
        <v>0.0</v>
      </c>
      <c r="E3774" s="9">
        <v>16898.0</v>
      </c>
      <c r="F3774" s="7" t="s">
        <v>1150</v>
      </c>
      <c r="G3774" s="7" t="s">
        <v>404</v>
      </c>
      <c r="H3774" s="7" t="s">
        <v>667</v>
      </c>
      <c r="I3774" s="7" t="s">
        <v>355</v>
      </c>
      <c r="J3774" s="14"/>
      <c r="O3774" s="22"/>
      <c r="P3774" s="22"/>
      <c r="Q3774" s="23"/>
      <c r="R3774" s="23"/>
      <c r="S3774" s="14"/>
    </row>
    <row r="3775" ht="18.75" customHeight="1">
      <c r="A3775" s="7" t="s">
        <v>1149</v>
      </c>
      <c r="B3775" s="7" t="s">
        <v>3884</v>
      </c>
      <c r="C3775" s="9">
        <v>0.0</v>
      </c>
      <c r="D3775" s="9">
        <v>0.0</v>
      </c>
      <c r="E3775" s="9">
        <v>0.0</v>
      </c>
      <c r="F3775" s="7" t="s">
        <v>1150</v>
      </c>
      <c r="G3775" s="7" t="s">
        <v>404</v>
      </c>
      <c r="H3775" s="7" t="s">
        <v>667</v>
      </c>
      <c r="I3775" s="7" t="s">
        <v>355</v>
      </c>
      <c r="J3775" s="14"/>
      <c r="O3775" s="22"/>
      <c r="P3775" s="22"/>
      <c r="Q3775" s="23"/>
      <c r="R3775" s="23"/>
      <c r="S3775" s="14"/>
    </row>
    <row r="3776" ht="18.75" customHeight="1">
      <c r="A3776" s="7" t="s">
        <v>1149</v>
      </c>
      <c r="B3776" s="7" t="s">
        <v>3884</v>
      </c>
      <c r="C3776" s="9">
        <v>44505.0</v>
      </c>
      <c r="D3776" s="9">
        <v>0.0</v>
      </c>
      <c r="E3776" s="9">
        <v>1765.0</v>
      </c>
      <c r="F3776" s="7" t="s">
        <v>1150</v>
      </c>
      <c r="G3776" s="7" t="s">
        <v>404</v>
      </c>
      <c r="H3776" s="7" t="s">
        <v>667</v>
      </c>
      <c r="I3776" s="7" t="s">
        <v>355</v>
      </c>
      <c r="J3776" s="14"/>
      <c r="O3776" s="22"/>
      <c r="P3776" s="22"/>
      <c r="Q3776" s="23"/>
      <c r="R3776" s="23"/>
      <c r="S3776" s="14"/>
    </row>
    <row r="3777" ht="18.75" customHeight="1">
      <c r="A3777" s="7" t="s">
        <v>1155</v>
      </c>
      <c r="B3777" s="7" t="s">
        <v>3884</v>
      </c>
      <c r="C3777" s="9">
        <v>2103496.0</v>
      </c>
      <c r="D3777" s="9">
        <v>0.0</v>
      </c>
      <c r="E3777" s="9">
        <v>1812.0</v>
      </c>
      <c r="F3777" s="7" t="s">
        <v>1156</v>
      </c>
      <c r="G3777" s="7" t="s">
        <v>358</v>
      </c>
      <c r="H3777" s="7" t="s">
        <v>359</v>
      </c>
      <c r="I3777" s="7" t="s">
        <v>355</v>
      </c>
      <c r="J3777" s="14"/>
      <c r="O3777" s="22"/>
      <c r="P3777" s="22"/>
      <c r="Q3777" s="23"/>
      <c r="R3777" s="23"/>
      <c r="S3777" s="14"/>
    </row>
    <row r="3778" ht="18.75" customHeight="1">
      <c r="A3778" s="7" t="s">
        <v>1155</v>
      </c>
      <c r="B3778" s="7" t="s">
        <v>3884</v>
      </c>
      <c r="C3778" s="9">
        <v>2087476.0</v>
      </c>
      <c r="D3778" s="9">
        <v>0.0</v>
      </c>
      <c r="E3778" s="9">
        <v>1751.0</v>
      </c>
      <c r="F3778" s="7" t="s">
        <v>1156</v>
      </c>
      <c r="G3778" s="7" t="s">
        <v>358</v>
      </c>
      <c r="H3778" s="7" t="s">
        <v>359</v>
      </c>
      <c r="I3778" s="7" t="s">
        <v>355</v>
      </c>
      <c r="J3778" s="14"/>
      <c r="O3778" s="22"/>
      <c r="P3778" s="22"/>
      <c r="Q3778" s="23"/>
      <c r="R3778" s="23"/>
      <c r="S3778" s="14"/>
    </row>
    <row r="3779" ht="18.75" customHeight="1">
      <c r="A3779" s="7" t="s">
        <v>1155</v>
      </c>
      <c r="B3779" s="7" t="s">
        <v>3884</v>
      </c>
      <c r="C3779" s="9">
        <v>2286069.0</v>
      </c>
      <c r="D3779" s="9">
        <v>0.0</v>
      </c>
      <c r="E3779" s="9">
        <v>1998.0</v>
      </c>
      <c r="F3779" s="7" t="s">
        <v>1156</v>
      </c>
      <c r="G3779" s="7" t="s">
        <v>358</v>
      </c>
      <c r="H3779" s="7" t="s">
        <v>359</v>
      </c>
      <c r="I3779" s="7" t="s">
        <v>355</v>
      </c>
      <c r="J3779" s="14"/>
      <c r="O3779" s="22"/>
      <c r="P3779" s="22"/>
      <c r="Q3779" s="23"/>
      <c r="R3779" s="23"/>
      <c r="S3779" s="14"/>
    </row>
    <row r="3780" ht="18.75" customHeight="1">
      <c r="A3780" s="7" t="s">
        <v>1155</v>
      </c>
      <c r="B3780" s="7" t="s">
        <v>3884</v>
      </c>
      <c r="C3780" s="9">
        <v>2099050.0</v>
      </c>
      <c r="D3780" s="9">
        <v>0.0</v>
      </c>
      <c r="E3780" s="9">
        <v>1651.0</v>
      </c>
      <c r="F3780" s="7" t="s">
        <v>1156</v>
      </c>
      <c r="G3780" s="7" t="s">
        <v>358</v>
      </c>
      <c r="H3780" s="7" t="s">
        <v>359</v>
      </c>
      <c r="I3780" s="7" t="s">
        <v>355</v>
      </c>
      <c r="J3780" s="14"/>
      <c r="O3780" s="22"/>
      <c r="P3780" s="22"/>
      <c r="Q3780" s="23"/>
      <c r="R3780" s="23"/>
      <c r="S3780" s="14"/>
    </row>
    <row r="3781" ht="18.75" customHeight="1">
      <c r="A3781" s="7" t="s">
        <v>1155</v>
      </c>
      <c r="B3781" s="7" t="s">
        <v>3884</v>
      </c>
      <c r="C3781" s="9">
        <v>1215387.0</v>
      </c>
      <c r="D3781" s="9">
        <v>953680.0</v>
      </c>
      <c r="E3781" s="9">
        <v>434.0</v>
      </c>
      <c r="F3781" s="7" t="s">
        <v>1156</v>
      </c>
      <c r="G3781" s="7" t="s">
        <v>358</v>
      </c>
      <c r="H3781" s="7" t="s">
        <v>359</v>
      </c>
      <c r="I3781" s="7" t="s">
        <v>355</v>
      </c>
      <c r="J3781" s="14"/>
      <c r="O3781" s="22"/>
      <c r="P3781" s="22"/>
      <c r="Q3781" s="23"/>
      <c r="R3781" s="23"/>
      <c r="S3781" s="14"/>
    </row>
    <row r="3782" ht="18.75" customHeight="1">
      <c r="A3782" s="7" t="s">
        <v>1155</v>
      </c>
      <c r="B3782" s="7" t="s">
        <v>3884</v>
      </c>
      <c r="C3782" s="9">
        <v>1452616.0</v>
      </c>
      <c r="D3782" s="9">
        <v>604997.0</v>
      </c>
      <c r="E3782" s="9">
        <v>1026.0</v>
      </c>
      <c r="F3782" s="7" t="s">
        <v>1156</v>
      </c>
      <c r="G3782" s="7" t="s">
        <v>358</v>
      </c>
      <c r="H3782" s="7" t="s">
        <v>359</v>
      </c>
      <c r="I3782" s="7" t="s">
        <v>355</v>
      </c>
      <c r="J3782" s="14"/>
      <c r="O3782" s="22"/>
      <c r="P3782" s="22"/>
      <c r="Q3782" s="23"/>
      <c r="R3782" s="23"/>
      <c r="S3782" s="14"/>
    </row>
    <row r="3783" ht="18.75" customHeight="1">
      <c r="A3783" s="7" t="s">
        <v>1155</v>
      </c>
      <c r="B3783" s="7" t="s">
        <v>3884</v>
      </c>
      <c r="C3783" s="9">
        <v>1324515.0</v>
      </c>
      <c r="D3783" s="9">
        <v>857784.0</v>
      </c>
      <c r="E3783" s="9">
        <v>897.0</v>
      </c>
      <c r="F3783" s="7" t="s">
        <v>1156</v>
      </c>
      <c r="G3783" s="7" t="s">
        <v>358</v>
      </c>
      <c r="H3783" s="7" t="s">
        <v>359</v>
      </c>
      <c r="I3783" s="7" t="s">
        <v>355</v>
      </c>
      <c r="J3783" s="14"/>
      <c r="O3783" s="22"/>
      <c r="P3783" s="22"/>
      <c r="Q3783" s="23"/>
      <c r="R3783" s="23"/>
      <c r="S3783" s="14"/>
    </row>
    <row r="3784" ht="18.75" customHeight="1">
      <c r="A3784" s="7" t="s">
        <v>1155</v>
      </c>
      <c r="B3784" s="7" t="s">
        <v>3884</v>
      </c>
      <c r="C3784" s="9">
        <v>1359996.0</v>
      </c>
      <c r="D3784" s="9">
        <v>832895.0</v>
      </c>
      <c r="E3784" s="9">
        <v>982.0</v>
      </c>
      <c r="F3784" s="7" t="s">
        <v>1156</v>
      </c>
      <c r="G3784" s="7" t="s">
        <v>358</v>
      </c>
      <c r="H3784" s="7" t="s">
        <v>359</v>
      </c>
      <c r="I3784" s="7" t="s">
        <v>355</v>
      </c>
      <c r="J3784" s="14"/>
      <c r="O3784" s="22"/>
      <c r="P3784" s="22"/>
      <c r="Q3784" s="23"/>
      <c r="R3784" s="23"/>
      <c r="S3784" s="14"/>
    </row>
    <row r="3785" ht="18.75" customHeight="1">
      <c r="A3785" s="7" t="s">
        <v>1155</v>
      </c>
      <c r="B3785" s="7" t="s">
        <v>3884</v>
      </c>
      <c r="C3785" s="9">
        <v>57753.0</v>
      </c>
      <c r="D3785" s="9">
        <v>48822.0</v>
      </c>
      <c r="E3785" s="9">
        <v>32.0</v>
      </c>
      <c r="F3785" s="7" t="s">
        <v>1156</v>
      </c>
      <c r="G3785" s="7" t="s">
        <v>358</v>
      </c>
      <c r="H3785" s="7" t="s">
        <v>359</v>
      </c>
      <c r="I3785" s="7" t="s">
        <v>355</v>
      </c>
      <c r="J3785" s="14"/>
      <c r="O3785" s="22"/>
      <c r="P3785" s="22"/>
      <c r="Q3785" s="23"/>
      <c r="R3785" s="23"/>
      <c r="S3785" s="14"/>
    </row>
    <row r="3786" ht="18.75" customHeight="1">
      <c r="A3786" s="7" t="s">
        <v>1155</v>
      </c>
      <c r="B3786" s="7" t="s">
        <v>3884</v>
      </c>
      <c r="C3786" s="9">
        <v>60316.0</v>
      </c>
      <c r="D3786" s="9">
        <v>48484.0</v>
      </c>
      <c r="E3786" s="9">
        <v>34.0</v>
      </c>
      <c r="F3786" s="7" t="s">
        <v>1156</v>
      </c>
      <c r="G3786" s="7" t="s">
        <v>358</v>
      </c>
      <c r="H3786" s="7" t="s">
        <v>359</v>
      </c>
      <c r="I3786" s="7" t="s">
        <v>355</v>
      </c>
      <c r="J3786" s="14"/>
      <c r="O3786" s="22"/>
      <c r="P3786" s="22"/>
      <c r="Q3786" s="23"/>
      <c r="R3786" s="23"/>
      <c r="S3786" s="14"/>
    </row>
    <row r="3787" ht="18.75" customHeight="1">
      <c r="A3787" s="7" t="s">
        <v>1155</v>
      </c>
      <c r="B3787" s="7" t="s">
        <v>3884</v>
      </c>
      <c r="C3787" s="9">
        <v>61767.0</v>
      </c>
      <c r="D3787" s="9">
        <v>51982.0</v>
      </c>
      <c r="E3787" s="9">
        <v>145.0</v>
      </c>
      <c r="F3787" s="7" t="s">
        <v>1156</v>
      </c>
      <c r="G3787" s="7" t="s">
        <v>358</v>
      </c>
      <c r="H3787" s="7" t="s">
        <v>359</v>
      </c>
      <c r="I3787" s="7" t="s">
        <v>355</v>
      </c>
      <c r="J3787" s="14"/>
      <c r="O3787" s="22"/>
      <c r="P3787" s="22"/>
      <c r="Q3787" s="23"/>
      <c r="R3787" s="23"/>
      <c r="S3787" s="14"/>
    </row>
    <row r="3788" ht="18.75" customHeight="1">
      <c r="A3788" s="7" t="s">
        <v>1155</v>
      </c>
      <c r="B3788" s="7" t="s">
        <v>3884</v>
      </c>
      <c r="C3788" s="9">
        <v>55619.0</v>
      </c>
      <c r="D3788" s="9">
        <v>39250.0</v>
      </c>
      <c r="E3788" s="9">
        <v>62.0</v>
      </c>
      <c r="F3788" s="7" t="s">
        <v>1156</v>
      </c>
      <c r="G3788" s="7" t="s">
        <v>358</v>
      </c>
      <c r="H3788" s="7" t="s">
        <v>359</v>
      </c>
      <c r="I3788" s="7" t="s">
        <v>355</v>
      </c>
      <c r="J3788" s="14"/>
      <c r="O3788" s="22"/>
      <c r="P3788" s="22"/>
      <c r="Q3788" s="23"/>
      <c r="R3788" s="23"/>
      <c r="S3788" s="14"/>
    </row>
    <row r="3789" ht="18.75" customHeight="1">
      <c r="A3789" s="7" t="s">
        <v>1193</v>
      </c>
      <c r="B3789" s="7" t="s">
        <v>3884</v>
      </c>
      <c r="C3789" s="9">
        <v>4086231.0</v>
      </c>
      <c r="D3789" s="9">
        <v>0.0</v>
      </c>
      <c r="E3789" s="9">
        <v>3520.0</v>
      </c>
      <c r="F3789" s="7" t="s">
        <v>1194</v>
      </c>
      <c r="G3789" s="7" t="s">
        <v>353</v>
      </c>
      <c r="H3789" s="7" t="s">
        <v>378</v>
      </c>
      <c r="I3789" s="7" t="s">
        <v>355</v>
      </c>
      <c r="J3789" s="14"/>
      <c r="O3789" s="22"/>
      <c r="P3789" s="22"/>
      <c r="Q3789" s="23"/>
      <c r="R3789" s="23"/>
      <c r="S3789" s="14"/>
    </row>
    <row r="3790" ht="18.75" customHeight="1">
      <c r="A3790" s="7" t="s">
        <v>1187</v>
      </c>
      <c r="B3790" s="7" t="s">
        <v>3884</v>
      </c>
      <c r="C3790" s="9">
        <v>68.0</v>
      </c>
      <c r="D3790" s="9">
        <v>17.0</v>
      </c>
      <c r="E3790" s="9">
        <v>1.0</v>
      </c>
      <c r="F3790" s="7" t="s">
        <v>1188</v>
      </c>
      <c r="G3790" s="7" t="s">
        <v>416</v>
      </c>
      <c r="H3790" s="7" t="s">
        <v>417</v>
      </c>
      <c r="I3790" s="7" t="s">
        <v>355</v>
      </c>
      <c r="J3790" s="14"/>
      <c r="O3790" s="22"/>
      <c r="P3790" s="22"/>
      <c r="Q3790" s="23"/>
      <c r="R3790" s="23"/>
      <c r="S3790" s="14"/>
    </row>
    <row r="3791" ht="18.75" customHeight="1">
      <c r="A3791" s="7" t="s">
        <v>1267</v>
      </c>
      <c r="B3791" s="7" t="s">
        <v>3884</v>
      </c>
      <c r="C3791" s="9">
        <v>192403.0</v>
      </c>
      <c r="D3791" s="9">
        <v>162053.0</v>
      </c>
      <c r="E3791" s="9">
        <v>123.0</v>
      </c>
      <c r="F3791" s="7" t="s">
        <v>1268</v>
      </c>
      <c r="G3791" s="7" t="s">
        <v>416</v>
      </c>
      <c r="H3791" s="7" t="s">
        <v>417</v>
      </c>
      <c r="I3791" s="7" t="s">
        <v>355</v>
      </c>
      <c r="J3791" s="14"/>
      <c r="O3791" s="22"/>
      <c r="P3791" s="22"/>
      <c r="Q3791" s="23"/>
      <c r="R3791" s="23"/>
      <c r="S3791" s="14"/>
    </row>
    <row r="3792" ht="18.75" customHeight="1">
      <c r="A3792" s="7" t="s">
        <v>1289</v>
      </c>
      <c r="B3792" s="7" t="s">
        <v>3884</v>
      </c>
      <c r="C3792" s="9">
        <v>879953.0</v>
      </c>
      <c r="D3792" s="9">
        <v>601123.0</v>
      </c>
      <c r="E3792" s="9">
        <v>732.0</v>
      </c>
      <c r="F3792" s="7" t="s">
        <v>1290</v>
      </c>
      <c r="G3792" s="7" t="s">
        <v>364</v>
      </c>
      <c r="H3792" s="7" t="s">
        <v>365</v>
      </c>
      <c r="I3792" s="7" t="s">
        <v>355</v>
      </c>
      <c r="J3792" s="14"/>
      <c r="O3792" s="22"/>
      <c r="P3792" s="22"/>
      <c r="Q3792" s="23"/>
      <c r="R3792" s="23"/>
      <c r="S3792" s="14"/>
    </row>
    <row r="3793" ht="18.75" customHeight="1">
      <c r="A3793" s="7" t="s">
        <v>1289</v>
      </c>
      <c r="B3793" s="7" t="s">
        <v>3884</v>
      </c>
      <c r="C3793" s="9">
        <v>1070443.0</v>
      </c>
      <c r="D3793" s="9">
        <v>865217.0</v>
      </c>
      <c r="E3793" s="9">
        <v>369.0</v>
      </c>
      <c r="F3793" s="7" t="s">
        <v>1290</v>
      </c>
      <c r="G3793" s="7" t="s">
        <v>364</v>
      </c>
      <c r="H3793" s="7" t="s">
        <v>365</v>
      </c>
      <c r="I3793" s="7" t="s">
        <v>355</v>
      </c>
      <c r="J3793" s="14"/>
      <c r="O3793" s="22"/>
      <c r="P3793" s="22"/>
      <c r="Q3793" s="23"/>
      <c r="R3793" s="23"/>
      <c r="S3793" s="14"/>
    </row>
    <row r="3794" ht="18.75" customHeight="1">
      <c r="A3794" s="7" t="s">
        <v>1373</v>
      </c>
      <c r="B3794" s="7" t="s">
        <v>3884</v>
      </c>
      <c r="C3794" s="9">
        <v>81369.0</v>
      </c>
      <c r="D3794" s="9">
        <v>45244.0</v>
      </c>
      <c r="E3794" s="9">
        <v>507.0</v>
      </c>
      <c r="F3794" s="7" t="s">
        <v>1374</v>
      </c>
      <c r="G3794" s="7" t="s">
        <v>364</v>
      </c>
      <c r="H3794" s="7" t="s">
        <v>365</v>
      </c>
      <c r="I3794" s="7" t="s">
        <v>355</v>
      </c>
      <c r="J3794" s="14"/>
      <c r="O3794" s="22"/>
      <c r="P3794" s="22"/>
      <c r="Q3794" s="23"/>
      <c r="R3794" s="23"/>
      <c r="S3794" s="14"/>
    </row>
    <row r="3795" ht="18.75" customHeight="1">
      <c r="A3795" s="7" t="s">
        <v>1373</v>
      </c>
      <c r="B3795" s="7" t="s">
        <v>3884</v>
      </c>
      <c r="C3795" s="9">
        <v>1477925.0</v>
      </c>
      <c r="D3795" s="9">
        <v>1061255.0</v>
      </c>
      <c r="E3795" s="9">
        <v>809.0</v>
      </c>
      <c r="F3795" s="7" t="s">
        <v>1374</v>
      </c>
      <c r="G3795" s="7" t="s">
        <v>364</v>
      </c>
      <c r="H3795" s="7" t="s">
        <v>365</v>
      </c>
      <c r="I3795" s="7" t="s">
        <v>355</v>
      </c>
      <c r="J3795" s="14"/>
      <c r="O3795" s="22"/>
      <c r="P3795" s="22"/>
      <c r="Q3795" s="23"/>
      <c r="R3795" s="23"/>
      <c r="S3795" s="14"/>
    </row>
    <row r="3796" ht="18.75" customHeight="1">
      <c r="A3796" s="7" t="s">
        <v>1373</v>
      </c>
      <c r="B3796" s="7" t="s">
        <v>3884</v>
      </c>
      <c r="C3796" s="9">
        <v>5.0</v>
      </c>
      <c r="D3796" s="9">
        <v>0.0</v>
      </c>
      <c r="E3796" s="9">
        <v>0.0</v>
      </c>
      <c r="F3796" s="7" t="s">
        <v>1374</v>
      </c>
      <c r="G3796" s="7" t="s">
        <v>364</v>
      </c>
      <c r="H3796" s="7" t="s">
        <v>365</v>
      </c>
      <c r="I3796" s="7" t="s">
        <v>355</v>
      </c>
      <c r="J3796" s="14"/>
      <c r="O3796" s="22"/>
      <c r="P3796" s="22"/>
      <c r="Q3796" s="23"/>
      <c r="R3796" s="23"/>
      <c r="S3796" s="14"/>
    </row>
    <row r="3797" ht="18.75" customHeight="1">
      <c r="A3797" s="7" t="s">
        <v>991</v>
      </c>
      <c r="B3797" s="7" t="s">
        <v>3884</v>
      </c>
      <c r="C3797" s="9">
        <v>873128.0</v>
      </c>
      <c r="D3797" s="9">
        <v>697136.0</v>
      </c>
      <c r="E3797" s="9">
        <v>377.0</v>
      </c>
      <c r="F3797" s="7" t="s">
        <v>992</v>
      </c>
      <c r="G3797" s="7" t="s">
        <v>404</v>
      </c>
      <c r="H3797" s="7" t="s">
        <v>667</v>
      </c>
      <c r="I3797" s="7" t="s">
        <v>355</v>
      </c>
      <c r="J3797" s="14"/>
      <c r="O3797" s="22"/>
      <c r="P3797" s="22"/>
      <c r="Q3797" s="23"/>
      <c r="R3797" s="23"/>
      <c r="S3797" s="14"/>
    </row>
    <row r="3798" ht="18.75" customHeight="1">
      <c r="A3798" s="7" t="s">
        <v>991</v>
      </c>
      <c r="B3798" s="7" t="s">
        <v>3884</v>
      </c>
      <c r="C3798" s="9">
        <v>2028356.0</v>
      </c>
      <c r="D3798" s="9">
        <v>1573706.0</v>
      </c>
      <c r="E3798" s="9">
        <v>287.0</v>
      </c>
      <c r="F3798" s="7" t="s">
        <v>992</v>
      </c>
      <c r="G3798" s="7" t="s">
        <v>404</v>
      </c>
      <c r="H3798" s="7" t="s">
        <v>667</v>
      </c>
      <c r="I3798" s="7" t="s">
        <v>355</v>
      </c>
      <c r="J3798" s="14"/>
      <c r="O3798" s="22"/>
      <c r="P3798" s="22"/>
      <c r="Q3798" s="23"/>
      <c r="R3798" s="23"/>
      <c r="S3798" s="14"/>
    </row>
    <row r="3799" ht="18.75" customHeight="1">
      <c r="A3799" s="7" t="s">
        <v>991</v>
      </c>
      <c r="B3799" s="7" t="s">
        <v>3884</v>
      </c>
      <c r="C3799" s="9">
        <v>17199.0</v>
      </c>
      <c r="D3799" s="9">
        <v>16589.0</v>
      </c>
      <c r="E3799" s="9">
        <v>1.0</v>
      </c>
      <c r="F3799" s="7" t="s">
        <v>992</v>
      </c>
      <c r="G3799" s="7" t="s">
        <v>404</v>
      </c>
      <c r="H3799" s="7" t="s">
        <v>667</v>
      </c>
      <c r="I3799" s="7" t="s">
        <v>355</v>
      </c>
      <c r="J3799" s="14"/>
      <c r="O3799" s="22"/>
      <c r="P3799" s="22"/>
      <c r="Q3799" s="23"/>
      <c r="R3799" s="23"/>
      <c r="S3799" s="14"/>
    </row>
    <row r="3800" ht="18.75" customHeight="1">
      <c r="A3800" s="7" t="s">
        <v>991</v>
      </c>
      <c r="B3800" s="7" t="s">
        <v>3884</v>
      </c>
      <c r="C3800" s="9">
        <v>17593.0</v>
      </c>
      <c r="D3800" s="9">
        <v>16937.0</v>
      </c>
      <c r="E3800" s="9">
        <v>1.0</v>
      </c>
      <c r="F3800" s="7" t="s">
        <v>992</v>
      </c>
      <c r="G3800" s="7" t="s">
        <v>404</v>
      </c>
      <c r="H3800" s="7" t="s">
        <v>667</v>
      </c>
      <c r="I3800" s="7" t="s">
        <v>355</v>
      </c>
      <c r="J3800" s="14"/>
      <c r="O3800" s="22"/>
      <c r="P3800" s="22"/>
      <c r="Q3800" s="23"/>
      <c r="R3800" s="23"/>
      <c r="S3800" s="14"/>
    </row>
    <row r="3801" ht="18.75" customHeight="1">
      <c r="A3801" s="7" t="s">
        <v>351</v>
      </c>
      <c r="B3801" s="7" t="s">
        <v>3884</v>
      </c>
      <c r="C3801" s="9">
        <v>226004.0</v>
      </c>
      <c r="D3801" s="9">
        <v>0.0</v>
      </c>
      <c r="E3801" s="9">
        <v>211.0</v>
      </c>
      <c r="F3801" s="7" t="s">
        <v>352</v>
      </c>
      <c r="G3801" s="7" t="s">
        <v>353</v>
      </c>
      <c r="H3801" s="7" t="s">
        <v>354</v>
      </c>
      <c r="I3801" s="7" t="s">
        <v>410</v>
      </c>
      <c r="J3801" s="14"/>
      <c r="O3801" s="22"/>
      <c r="P3801" s="22"/>
      <c r="Q3801" s="23"/>
      <c r="R3801" s="23"/>
      <c r="S3801" s="14"/>
    </row>
    <row r="3802" ht="18.75" customHeight="1">
      <c r="A3802" s="7" t="s">
        <v>351</v>
      </c>
      <c r="B3802" s="7" t="s">
        <v>3884</v>
      </c>
      <c r="C3802" s="9">
        <v>52543.0</v>
      </c>
      <c r="D3802" s="9">
        <v>0.0</v>
      </c>
      <c r="E3802" s="9">
        <v>2071.0</v>
      </c>
      <c r="F3802" s="7" t="s">
        <v>352</v>
      </c>
      <c r="G3802" s="7" t="s">
        <v>353</v>
      </c>
      <c r="H3802" s="7" t="s">
        <v>354</v>
      </c>
      <c r="I3802" s="7" t="s">
        <v>410</v>
      </c>
      <c r="J3802" s="14"/>
      <c r="O3802" s="22"/>
      <c r="P3802" s="22"/>
      <c r="Q3802" s="23"/>
      <c r="R3802" s="23"/>
      <c r="S3802" s="14"/>
    </row>
    <row r="3803" ht="18.75" customHeight="1">
      <c r="A3803" s="7" t="s">
        <v>351</v>
      </c>
      <c r="B3803" s="7" t="s">
        <v>3884</v>
      </c>
      <c r="C3803" s="9">
        <v>203592.0</v>
      </c>
      <c r="D3803" s="9">
        <v>144548.0</v>
      </c>
      <c r="E3803" s="9">
        <v>102.0</v>
      </c>
      <c r="F3803" s="7" t="s">
        <v>352</v>
      </c>
      <c r="G3803" s="7" t="s">
        <v>353</v>
      </c>
      <c r="H3803" s="7" t="s">
        <v>354</v>
      </c>
      <c r="I3803" s="7" t="s">
        <v>410</v>
      </c>
      <c r="J3803" s="14"/>
      <c r="O3803" s="22"/>
      <c r="P3803" s="22"/>
      <c r="Q3803" s="23"/>
      <c r="R3803" s="23"/>
      <c r="S3803" s="14"/>
    </row>
    <row r="3804" ht="18.75" customHeight="1">
      <c r="A3804" s="7" t="s">
        <v>351</v>
      </c>
      <c r="B3804" s="7" t="s">
        <v>3884</v>
      </c>
      <c r="C3804" s="9">
        <v>231765.0</v>
      </c>
      <c r="D3804" s="9">
        <v>196177.0</v>
      </c>
      <c r="E3804" s="9">
        <v>65.0</v>
      </c>
      <c r="F3804" s="7" t="s">
        <v>352</v>
      </c>
      <c r="G3804" s="7" t="s">
        <v>353</v>
      </c>
      <c r="H3804" s="7" t="s">
        <v>354</v>
      </c>
      <c r="I3804" s="7" t="s">
        <v>410</v>
      </c>
      <c r="J3804" s="14"/>
      <c r="O3804" s="22"/>
      <c r="P3804" s="22"/>
      <c r="Q3804" s="23"/>
      <c r="R3804" s="23"/>
      <c r="S3804" s="14"/>
    </row>
    <row r="3805" ht="18.75" customHeight="1">
      <c r="A3805" s="7" t="s">
        <v>351</v>
      </c>
      <c r="B3805" s="7" t="s">
        <v>3884</v>
      </c>
      <c r="C3805" s="9">
        <v>104703.0</v>
      </c>
      <c r="D3805" s="9">
        <v>67765.0</v>
      </c>
      <c r="E3805" s="9">
        <v>4235.0</v>
      </c>
      <c r="F3805" s="7" t="s">
        <v>352</v>
      </c>
      <c r="G3805" s="7" t="s">
        <v>353</v>
      </c>
      <c r="H3805" s="7" t="s">
        <v>354</v>
      </c>
      <c r="I3805" s="7" t="s">
        <v>410</v>
      </c>
      <c r="J3805" s="14"/>
      <c r="O3805" s="22"/>
      <c r="P3805" s="22"/>
      <c r="Q3805" s="23"/>
      <c r="R3805" s="23"/>
      <c r="S3805" s="14"/>
    </row>
    <row r="3806" ht="18.75" customHeight="1">
      <c r="A3806" s="7" t="s">
        <v>351</v>
      </c>
      <c r="B3806" s="7" t="s">
        <v>3884</v>
      </c>
      <c r="C3806" s="9">
        <v>137520.0</v>
      </c>
      <c r="D3806" s="9">
        <v>67630.0</v>
      </c>
      <c r="E3806" s="9">
        <v>4089.0</v>
      </c>
      <c r="F3806" s="7" t="s">
        <v>352</v>
      </c>
      <c r="G3806" s="7" t="s">
        <v>353</v>
      </c>
      <c r="H3806" s="7" t="s">
        <v>354</v>
      </c>
      <c r="I3806" s="7" t="s">
        <v>410</v>
      </c>
      <c r="J3806" s="14"/>
      <c r="O3806" s="22"/>
      <c r="P3806" s="22"/>
      <c r="Q3806" s="23"/>
      <c r="R3806" s="23"/>
      <c r="S3806" s="14"/>
    </row>
    <row r="3807" ht="18.75" customHeight="1">
      <c r="A3807" s="7" t="s">
        <v>351</v>
      </c>
      <c r="B3807" s="7" t="s">
        <v>3884</v>
      </c>
      <c r="C3807" s="9">
        <v>5018.0</v>
      </c>
      <c r="D3807" s="9">
        <v>4806.0</v>
      </c>
      <c r="E3807" s="9">
        <v>0.0</v>
      </c>
      <c r="F3807" s="7" t="s">
        <v>352</v>
      </c>
      <c r="G3807" s="7" t="s">
        <v>353</v>
      </c>
      <c r="H3807" s="7" t="s">
        <v>354</v>
      </c>
      <c r="I3807" s="7" t="s">
        <v>410</v>
      </c>
      <c r="J3807" s="14"/>
      <c r="O3807" s="22"/>
      <c r="P3807" s="22"/>
      <c r="Q3807" s="23"/>
      <c r="R3807" s="23"/>
      <c r="S3807" s="14"/>
    </row>
    <row r="3808" ht="18.75" customHeight="1">
      <c r="A3808" s="7" t="s">
        <v>408</v>
      </c>
      <c r="B3808" s="7" t="s">
        <v>3884</v>
      </c>
      <c r="C3808" s="9">
        <v>0.0</v>
      </c>
      <c r="D3808" s="9">
        <v>0.0</v>
      </c>
      <c r="E3808" s="9">
        <v>0.0</v>
      </c>
      <c r="F3808" s="7" t="s">
        <v>409</v>
      </c>
      <c r="G3808" s="7" t="s">
        <v>353</v>
      </c>
      <c r="H3808" s="7" t="s">
        <v>354</v>
      </c>
      <c r="I3808" s="7" t="s">
        <v>410</v>
      </c>
      <c r="J3808" s="14"/>
      <c r="O3808" s="22"/>
      <c r="P3808" s="22"/>
      <c r="Q3808" s="23"/>
      <c r="R3808" s="23"/>
      <c r="S3808" s="14"/>
    </row>
    <row r="3809" ht="18.75" customHeight="1">
      <c r="A3809" s="7" t="s">
        <v>408</v>
      </c>
      <c r="B3809" s="7" t="s">
        <v>3884</v>
      </c>
      <c r="C3809" s="9">
        <v>0.0</v>
      </c>
      <c r="D3809" s="9">
        <v>0.0</v>
      </c>
      <c r="E3809" s="9">
        <v>0.0</v>
      </c>
      <c r="F3809" s="7" t="s">
        <v>409</v>
      </c>
      <c r="G3809" s="7" t="s">
        <v>353</v>
      </c>
      <c r="H3809" s="7" t="s">
        <v>354</v>
      </c>
      <c r="I3809" s="7" t="s">
        <v>410</v>
      </c>
      <c r="J3809" s="14"/>
      <c r="O3809" s="22"/>
      <c r="P3809" s="22"/>
      <c r="Q3809" s="23"/>
      <c r="R3809" s="23"/>
      <c r="S3809" s="14"/>
    </row>
    <row r="3810" ht="18.75" customHeight="1">
      <c r="A3810" s="7" t="s">
        <v>408</v>
      </c>
      <c r="B3810" s="7" t="s">
        <v>3884</v>
      </c>
      <c r="C3810" s="9">
        <v>360802.0</v>
      </c>
      <c r="D3810" s="9">
        <v>237710.0</v>
      </c>
      <c r="E3810" s="9">
        <v>853.0</v>
      </c>
      <c r="F3810" s="7" t="s">
        <v>409</v>
      </c>
      <c r="G3810" s="7" t="s">
        <v>353</v>
      </c>
      <c r="H3810" s="7" t="s">
        <v>354</v>
      </c>
      <c r="I3810" s="7" t="s">
        <v>410</v>
      </c>
      <c r="J3810" s="14"/>
      <c r="O3810" s="22"/>
      <c r="P3810" s="22"/>
      <c r="Q3810" s="23"/>
      <c r="R3810" s="23"/>
      <c r="S3810" s="14"/>
    </row>
    <row r="3811" ht="18.75" customHeight="1">
      <c r="A3811" s="7" t="s">
        <v>1001</v>
      </c>
      <c r="B3811" s="7" t="s">
        <v>3884</v>
      </c>
      <c r="C3811" s="9">
        <v>1270287.0</v>
      </c>
      <c r="D3811" s="9">
        <v>990740.0</v>
      </c>
      <c r="E3811" s="9">
        <v>533.0</v>
      </c>
      <c r="F3811" s="7" t="s">
        <v>1002</v>
      </c>
      <c r="G3811" s="7" t="s">
        <v>353</v>
      </c>
      <c r="H3811" s="7" t="s">
        <v>378</v>
      </c>
      <c r="I3811" s="7" t="s">
        <v>355</v>
      </c>
      <c r="J3811" s="14"/>
      <c r="O3811" s="22"/>
      <c r="P3811" s="22"/>
      <c r="Q3811" s="23"/>
      <c r="R3811" s="23"/>
      <c r="S3811" s="14"/>
    </row>
    <row r="3812" ht="18.75" customHeight="1">
      <c r="A3812" s="7" t="s">
        <v>1001</v>
      </c>
      <c r="B3812" s="7" t="s">
        <v>3884</v>
      </c>
      <c r="C3812" s="9">
        <v>1266233.0</v>
      </c>
      <c r="D3812" s="9">
        <v>1067512.0</v>
      </c>
      <c r="E3812" s="9">
        <v>485.0</v>
      </c>
      <c r="F3812" s="7" t="s">
        <v>1002</v>
      </c>
      <c r="G3812" s="7" t="s">
        <v>353</v>
      </c>
      <c r="H3812" s="7" t="s">
        <v>378</v>
      </c>
      <c r="I3812" s="7" t="s">
        <v>355</v>
      </c>
      <c r="J3812" s="14"/>
      <c r="O3812" s="22"/>
      <c r="P3812" s="22"/>
      <c r="Q3812" s="23"/>
      <c r="R3812" s="23"/>
      <c r="S3812" s="14"/>
    </row>
    <row r="3813" ht="18.75" customHeight="1">
      <c r="A3813" s="7" t="s">
        <v>1001</v>
      </c>
      <c r="B3813" s="7" t="s">
        <v>3884</v>
      </c>
      <c r="C3813" s="9">
        <v>22002.0</v>
      </c>
      <c r="D3813" s="9">
        <v>20831.0</v>
      </c>
      <c r="E3813" s="9">
        <v>0.0</v>
      </c>
      <c r="F3813" s="7" t="s">
        <v>1002</v>
      </c>
      <c r="G3813" s="7" t="s">
        <v>353</v>
      </c>
      <c r="H3813" s="7" t="s">
        <v>378</v>
      </c>
      <c r="I3813" s="7" t="s">
        <v>355</v>
      </c>
      <c r="J3813" s="14"/>
      <c r="O3813" s="22"/>
      <c r="P3813" s="22"/>
      <c r="Q3813" s="23"/>
      <c r="R3813" s="23"/>
      <c r="S3813" s="14"/>
    </row>
    <row r="3814" ht="18.75" customHeight="1">
      <c r="A3814" s="7" t="s">
        <v>1001</v>
      </c>
      <c r="B3814" s="7" t="s">
        <v>3884</v>
      </c>
      <c r="C3814" s="9">
        <v>26363.0</v>
      </c>
      <c r="D3814" s="9">
        <v>25438.0</v>
      </c>
      <c r="E3814" s="9">
        <v>0.0</v>
      </c>
      <c r="F3814" s="7" t="s">
        <v>1002</v>
      </c>
      <c r="G3814" s="7" t="s">
        <v>353</v>
      </c>
      <c r="H3814" s="7" t="s">
        <v>378</v>
      </c>
      <c r="I3814" s="7" t="s">
        <v>355</v>
      </c>
      <c r="J3814" s="14"/>
      <c r="O3814" s="22"/>
      <c r="P3814" s="22"/>
      <c r="Q3814" s="23"/>
      <c r="R3814" s="23"/>
      <c r="S3814" s="14"/>
    </row>
    <row r="3815" ht="18.75" customHeight="1">
      <c r="A3815" s="7" t="s">
        <v>1001</v>
      </c>
      <c r="B3815" s="7" t="s">
        <v>3884</v>
      </c>
      <c r="C3815" s="9">
        <v>1722841.0</v>
      </c>
      <c r="D3815" s="9">
        <v>0.0</v>
      </c>
      <c r="E3815" s="9">
        <v>1419.0</v>
      </c>
      <c r="F3815" s="7" t="s">
        <v>1002</v>
      </c>
      <c r="G3815" s="7" t="s">
        <v>353</v>
      </c>
      <c r="H3815" s="7" t="s">
        <v>378</v>
      </c>
      <c r="I3815" s="7" t="s">
        <v>355</v>
      </c>
      <c r="J3815" s="14"/>
      <c r="O3815" s="22"/>
      <c r="P3815" s="22"/>
      <c r="Q3815" s="23"/>
      <c r="R3815" s="23"/>
      <c r="S3815" s="14"/>
    </row>
    <row r="3816" ht="18.75" customHeight="1">
      <c r="A3816" s="7" t="s">
        <v>1001</v>
      </c>
      <c r="B3816" s="7" t="s">
        <v>3884</v>
      </c>
      <c r="C3816" s="9">
        <v>1627735.0</v>
      </c>
      <c r="D3816" s="9">
        <v>0.0</v>
      </c>
      <c r="E3816" s="9">
        <v>1361.0</v>
      </c>
      <c r="F3816" s="7" t="s">
        <v>1002</v>
      </c>
      <c r="G3816" s="7" t="s">
        <v>353</v>
      </c>
      <c r="H3816" s="7" t="s">
        <v>378</v>
      </c>
      <c r="I3816" s="7" t="s">
        <v>355</v>
      </c>
      <c r="J3816" s="14"/>
      <c r="O3816" s="22"/>
      <c r="P3816" s="22"/>
      <c r="Q3816" s="23"/>
      <c r="R3816" s="23"/>
      <c r="S3816" s="14"/>
    </row>
    <row r="3817" ht="18.75" customHeight="1">
      <c r="A3817" s="7" t="s">
        <v>1223</v>
      </c>
      <c r="B3817" s="7" t="s">
        <v>3884</v>
      </c>
      <c r="C3817" s="9">
        <v>2158573.0</v>
      </c>
      <c r="D3817" s="9">
        <v>0.0</v>
      </c>
      <c r="E3817" s="9">
        <v>2135.0</v>
      </c>
      <c r="F3817" s="7" t="s">
        <v>1224</v>
      </c>
      <c r="G3817" s="7" t="s">
        <v>353</v>
      </c>
      <c r="H3817" s="7" t="s">
        <v>378</v>
      </c>
      <c r="I3817" s="7" t="s">
        <v>355</v>
      </c>
      <c r="J3817" s="14"/>
      <c r="O3817" s="22"/>
      <c r="P3817" s="22"/>
      <c r="Q3817" s="23"/>
      <c r="R3817" s="23"/>
      <c r="S3817" s="14"/>
    </row>
    <row r="3818" ht="18.75" customHeight="1">
      <c r="A3818" s="7" t="s">
        <v>1131</v>
      </c>
      <c r="B3818" s="7" t="s">
        <v>3884</v>
      </c>
      <c r="C3818" s="9">
        <v>68857.0</v>
      </c>
      <c r="D3818" s="9">
        <v>56174.0</v>
      </c>
      <c r="E3818" s="9">
        <v>45.0</v>
      </c>
      <c r="F3818" s="7" t="s">
        <v>1132</v>
      </c>
      <c r="G3818" s="7" t="s">
        <v>404</v>
      </c>
      <c r="H3818" s="7" t="s">
        <v>760</v>
      </c>
      <c r="I3818" s="7" t="s">
        <v>355</v>
      </c>
      <c r="J3818" s="14"/>
      <c r="O3818" s="22"/>
      <c r="P3818" s="22"/>
      <c r="Q3818" s="23"/>
      <c r="R3818" s="23"/>
      <c r="S3818" s="14"/>
    </row>
    <row r="3819" ht="18.75" customHeight="1">
      <c r="A3819" s="7" t="s">
        <v>1371</v>
      </c>
      <c r="B3819" s="7" t="s">
        <v>3884</v>
      </c>
      <c r="C3819" s="9">
        <v>1979721.0</v>
      </c>
      <c r="D3819" s="9">
        <v>1553572.0</v>
      </c>
      <c r="E3819" s="9">
        <v>616.0</v>
      </c>
      <c r="F3819" s="7" t="s">
        <v>1372</v>
      </c>
      <c r="G3819" s="7" t="s">
        <v>358</v>
      </c>
      <c r="H3819" s="7" t="s">
        <v>466</v>
      </c>
      <c r="I3819" s="7" t="s">
        <v>355</v>
      </c>
      <c r="J3819" s="14"/>
      <c r="O3819" s="22"/>
      <c r="P3819" s="22"/>
      <c r="Q3819" s="23"/>
      <c r="R3819" s="23"/>
      <c r="S3819" s="14"/>
    </row>
    <row r="3820" ht="18.75" customHeight="1">
      <c r="A3820" s="7" t="s">
        <v>1371</v>
      </c>
      <c r="B3820" s="7" t="s">
        <v>3884</v>
      </c>
      <c r="C3820" s="9">
        <v>1713289.0</v>
      </c>
      <c r="D3820" s="9">
        <v>441935.0</v>
      </c>
      <c r="E3820" s="9">
        <v>866.0</v>
      </c>
      <c r="F3820" s="7" t="s">
        <v>1372</v>
      </c>
      <c r="G3820" s="7" t="s">
        <v>358</v>
      </c>
      <c r="H3820" s="7" t="s">
        <v>466</v>
      </c>
      <c r="I3820" s="7" t="s">
        <v>355</v>
      </c>
      <c r="J3820" s="14"/>
      <c r="O3820" s="22"/>
      <c r="P3820" s="22"/>
      <c r="Q3820" s="23"/>
      <c r="R3820" s="23"/>
      <c r="S3820" s="14"/>
    </row>
    <row r="3821" ht="18.75" customHeight="1">
      <c r="A3821" s="7" t="s">
        <v>1305</v>
      </c>
      <c r="B3821" s="7" t="s">
        <v>3884</v>
      </c>
      <c r="C3821" s="9">
        <v>917403.0</v>
      </c>
      <c r="D3821" s="9">
        <v>0.0</v>
      </c>
      <c r="E3821" s="9">
        <v>906.0</v>
      </c>
      <c r="F3821" s="7" t="s">
        <v>1306</v>
      </c>
      <c r="G3821" s="7" t="s">
        <v>353</v>
      </c>
      <c r="H3821" s="7" t="s">
        <v>378</v>
      </c>
      <c r="I3821" s="7" t="s">
        <v>355</v>
      </c>
      <c r="J3821" s="14"/>
      <c r="O3821" s="22"/>
      <c r="P3821" s="22"/>
      <c r="Q3821" s="23"/>
      <c r="R3821" s="23"/>
      <c r="S3821" s="14"/>
    </row>
    <row r="3822" ht="18.75" customHeight="1">
      <c r="A3822" s="7" t="s">
        <v>1305</v>
      </c>
      <c r="B3822" s="7" t="s">
        <v>3884</v>
      </c>
      <c r="C3822" s="9">
        <v>720265.0</v>
      </c>
      <c r="D3822" s="9">
        <v>0.0</v>
      </c>
      <c r="E3822" s="9">
        <v>577.0</v>
      </c>
      <c r="F3822" s="7" t="s">
        <v>1306</v>
      </c>
      <c r="G3822" s="7" t="s">
        <v>353</v>
      </c>
      <c r="H3822" s="7" t="s">
        <v>378</v>
      </c>
      <c r="I3822" s="7" t="s">
        <v>355</v>
      </c>
      <c r="J3822" s="14"/>
      <c r="O3822" s="22"/>
      <c r="P3822" s="22"/>
      <c r="Q3822" s="23"/>
      <c r="R3822" s="23"/>
      <c r="S3822" s="14"/>
    </row>
    <row r="3823" ht="18.75" customHeight="1">
      <c r="A3823" s="7" t="s">
        <v>1283</v>
      </c>
      <c r="B3823" s="7" t="s">
        <v>3884</v>
      </c>
      <c r="C3823" s="9">
        <v>5450373.0</v>
      </c>
      <c r="D3823" s="9">
        <v>0.0</v>
      </c>
      <c r="E3823" s="9">
        <v>4403.0</v>
      </c>
      <c r="F3823" s="7" t="s">
        <v>1284</v>
      </c>
      <c r="G3823" s="7" t="s">
        <v>503</v>
      </c>
      <c r="H3823" s="7" t="s">
        <v>928</v>
      </c>
      <c r="I3823" s="7" t="s">
        <v>355</v>
      </c>
      <c r="J3823" s="14"/>
      <c r="O3823" s="22"/>
      <c r="P3823" s="22"/>
      <c r="Q3823" s="23"/>
      <c r="R3823" s="23"/>
      <c r="S3823" s="14"/>
    </row>
    <row r="3824" ht="18.75" customHeight="1">
      <c r="A3824" s="7" t="s">
        <v>1275</v>
      </c>
      <c r="B3824" s="7" t="s">
        <v>3884</v>
      </c>
      <c r="C3824" s="9">
        <v>5280900.0</v>
      </c>
      <c r="D3824" s="9">
        <v>0.0</v>
      </c>
      <c r="E3824" s="9">
        <v>4311.0</v>
      </c>
      <c r="F3824" s="7" t="s">
        <v>1276</v>
      </c>
      <c r="G3824" s="7" t="s">
        <v>353</v>
      </c>
      <c r="H3824" s="7" t="s">
        <v>378</v>
      </c>
      <c r="I3824" s="7" t="s">
        <v>355</v>
      </c>
      <c r="J3824" s="14"/>
      <c r="O3824" s="22"/>
      <c r="P3824" s="22"/>
      <c r="Q3824" s="23"/>
      <c r="R3824" s="23"/>
      <c r="S3824" s="14"/>
    </row>
    <row r="3825" ht="18.75" customHeight="1">
      <c r="A3825" s="7" t="s">
        <v>1275</v>
      </c>
      <c r="B3825" s="7" t="s">
        <v>3884</v>
      </c>
      <c r="C3825" s="9">
        <v>2877971.0</v>
      </c>
      <c r="D3825" s="9">
        <v>0.0</v>
      </c>
      <c r="E3825" s="9">
        <v>2229.0</v>
      </c>
      <c r="F3825" s="7" t="s">
        <v>1276</v>
      </c>
      <c r="G3825" s="7" t="s">
        <v>353</v>
      </c>
      <c r="H3825" s="7" t="s">
        <v>378</v>
      </c>
      <c r="I3825" s="7" t="s">
        <v>355</v>
      </c>
      <c r="J3825" s="14"/>
      <c r="O3825" s="22"/>
      <c r="P3825" s="22"/>
      <c r="Q3825" s="23"/>
      <c r="R3825" s="23"/>
      <c r="S3825" s="14"/>
    </row>
    <row r="3826" ht="18.75" customHeight="1">
      <c r="A3826" s="7" t="s">
        <v>1275</v>
      </c>
      <c r="B3826" s="7" t="s">
        <v>3884</v>
      </c>
      <c r="C3826" s="9">
        <v>4001736.0</v>
      </c>
      <c r="D3826" s="9">
        <v>2784228.0</v>
      </c>
      <c r="E3826" s="9">
        <v>1965.0</v>
      </c>
      <c r="F3826" s="7" t="s">
        <v>1276</v>
      </c>
      <c r="G3826" s="7" t="s">
        <v>353</v>
      </c>
      <c r="H3826" s="7" t="s">
        <v>378</v>
      </c>
      <c r="I3826" s="7" t="s">
        <v>355</v>
      </c>
      <c r="J3826" s="14"/>
      <c r="O3826" s="22"/>
      <c r="P3826" s="22"/>
      <c r="Q3826" s="23"/>
      <c r="R3826" s="23"/>
      <c r="S3826" s="14"/>
    </row>
    <row r="3827" ht="18.75" customHeight="1">
      <c r="A3827" s="7" t="s">
        <v>1275</v>
      </c>
      <c r="B3827" s="7" t="s">
        <v>3884</v>
      </c>
      <c r="C3827" s="9">
        <v>2168833.0</v>
      </c>
      <c r="D3827" s="9">
        <v>1359195.0</v>
      </c>
      <c r="E3827" s="9">
        <v>2319.0</v>
      </c>
      <c r="F3827" s="7" t="s">
        <v>1276</v>
      </c>
      <c r="G3827" s="7" t="s">
        <v>353</v>
      </c>
      <c r="H3827" s="7" t="s">
        <v>378</v>
      </c>
      <c r="I3827" s="7" t="s">
        <v>355</v>
      </c>
      <c r="J3827" s="14"/>
      <c r="O3827" s="22"/>
      <c r="P3827" s="22"/>
      <c r="Q3827" s="23"/>
      <c r="R3827" s="23"/>
      <c r="S3827" s="14"/>
    </row>
    <row r="3828" ht="18.75" customHeight="1">
      <c r="A3828" s="7" t="s">
        <v>1275</v>
      </c>
      <c r="B3828" s="7" t="s">
        <v>3884</v>
      </c>
      <c r="C3828" s="9">
        <v>40446.0</v>
      </c>
      <c r="D3828" s="9">
        <v>38564.0</v>
      </c>
      <c r="E3828" s="9">
        <v>0.0</v>
      </c>
      <c r="F3828" s="7" t="s">
        <v>1276</v>
      </c>
      <c r="G3828" s="7" t="s">
        <v>353</v>
      </c>
      <c r="H3828" s="7" t="s">
        <v>378</v>
      </c>
      <c r="I3828" s="7" t="s">
        <v>355</v>
      </c>
      <c r="J3828" s="14"/>
      <c r="O3828" s="22"/>
      <c r="P3828" s="22"/>
      <c r="Q3828" s="23"/>
      <c r="R3828" s="23"/>
      <c r="S3828" s="14"/>
    </row>
    <row r="3829" ht="18.75" customHeight="1">
      <c r="A3829" s="7" t="s">
        <v>1275</v>
      </c>
      <c r="B3829" s="7" t="s">
        <v>3884</v>
      </c>
      <c r="C3829" s="9">
        <v>78735.0</v>
      </c>
      <c r="D3829" s="9">
        <v>73435.0</v>
      </c>
      <c r="E3829" s="9">
        <v>5.0</v>
      </c>
      <c r="F3829" s="7" t="s">
        <v>1276</v>
      </c>
      <c r="G3829" s="7" t="s">
        <v>353</v>
      </c>
      <c r="H3829" s="7" t="s">
        <v>378</v>
      </c>
      <c r="I3829" s="7" t="s">
        <v>355</v>
      </c>
      <c r="J3829" s="14"/>
      <c r="O3829" s="22"/>
      <c r="P3829" s="22"/>
      <c r="Q3829" s="23"/>
      <c r="R3829" s="23"/>
      <c r="S3829" s="14"/>
    </row>
    <row r="3830" ht="18.75" customHeight="1">
      <c r="A3830" s="7" t="s">
        <v>1345</v>
      </c>
      <c r="B3830" s="7" t="s">
        <v>3884</v>
      </c>
      <c r="C3830" s="9">
        <v>218085.0</v>
      </c>
      <c r="D3830" s="9">
        <v>151566.0</v>
      </c>
      <c r="E3830" s="9">
        <v>121.0</v>
      </c>
      <c r="F3830" s="7" t="s">
        <v>1346</v>
      </c>
      <c r="G3830" s="7" t="s">
        <v>416</v>
      </c>
      <c r="H3830" s="7" t="s">
        <v>417</v>
      </c>
      <c r="I3830" s="7" t="s">
        <v>355</v>
      </c>
      <c r="J3830" s="14"/>
      <c r="O3830" s="22"/>
      <c r="P3830" s="22"/>
      <c r="Q3830" s="23"/>
      <c r="R3830" s="23"/>
      <c r="S3830" s="14"/>
    </row>
    <row r="3831" ht="18.75" customHeight="1">
      <c r="A3831" s="7" t="s">
        <v>1351</v>
      </c>
      <c r="B3831" s="7" t="s">
        <v>3884</v>
      </c>
      <c r="C3831" s="9">
        <v>398433.0</v>
      </c>
      <c r="D3831" s="9">
        <v>359267.0</v>
      </c>
      <c r="E3831" s="9">
        <v>135.0</v>
      </c>
      <c r="F3831" s="7" t="s">
        <v>1352</v>
      </c>
      <c r="G3831" s="7" t="s">
        <v>416</v>
      </c>
      <c r="H3831" s="7" t="s">
        <v>417</v>
      </c>
      <c r="I3831" s="7" t="s">
        <v>355</v>
      </c>
      <c r="J3831" s="14"/>
      <c r="O3831" s="22"/>
      <c r="P3831" s="22"/>
      <c r="Q3831" s="23"/>
      <c r="R3831" s="23"/>
      <c r="S3831" s="14"/>
    </row>
    <row r="3832" ht="18.75" customHeight="1">
      <c r="A3832" s="7" t="s">
        <v>1279</v>
      </c>
      <c r="B3832" s="7" t="s">
        <v>3884</v>
      </c>
      <c r="C3832" s="9">
        <v>2108565.0</v>
      </c>
      <c r="D3832" s="9">
        <v>0.0</v>
      </c>
      <c r="E3832" s="9">
        <v>2214.0</v>
      </c>
      <c r="F3832" s="7" t="s">
        <v>1280</v>
      </c>
      <c r="G3832" s="7" t="s">
        <v>353</v>
      </c>
      <c r="H3832" s="7" t="s">
        <v>378</v>
      </c>
      <c r="I3832" s="7" t="s">
        <v>355</v>
      </c>
      <c r="J3832" s="14"/>
      <c r="O3832" s="22"/>
      <c r="P3832" s="22"/>
      <c r="Q3832" s="23"/>
      <c r="R3832" s="23"/>
      <c r="S3832" s="14"/>
    </row>
    <row r="3833" ht="18.75" customHeight="1">
      <c r="A3833" s="7" t="s">
        <v>1369</v>
      </c>
      <c r="B3833" s="7" t="s">
        <v>3884</v>
      </c>
      <c r="C3833" s="9">
        <v>2488371.0</v>
      </c>
      <c r="D3833" s="9">
        <v>0.0</v>
      </c>
      <c r="E3833" s="9">
        <v>2082.0</v>
      </c>
      <c r="F3833" s="7" t="s">
        <v>1370</v>
      </c>
      <c r="G3833" s="7" t="s">
        <v>353</v>
      </c>
      <c r="H3833" s="7" t="s">
        <v>378</v>
      </c>
      <c r="I3833" s="7" t="s">
        <v>355</v>
      </c>
      <c r="J3833" s="14"/>
      <c r="O3833" s="22"/>
      <c r="P3833" s="22"/>
      <c r="Q3833" s="23"/>
      <c r="R3833" s="23"/>
      <c r="S3833" s="14"/>
    </row>
    <row r="3834" ht="18.75" customHeight="1">
      <c r="A3834" s="7" t="s">
        <v>1369</v>
      </c>
      <c r="B3834" s="7" t="s">
        <v>3884</v>
      </c>
      <c r="C3834" s="9">
        <v>1216336.0</v>
      </c>
      <c r="D3834" s="9">
        <v>0.0</v>
      </c>
      <c r="E3834" s="9">
        <v>902.0</v>
      </c>
      <c r="F3834" s="7" t="s">
        <v>1370</v>
      </c>
      <c r="G3834" s="7" t="s">
        <v>353</v>
      </c>
      <c r="H3834" s="7" t="s">
        <v>378</v>
      </c>
      <c r="I3834" s="7" t="s">
        <v>355</v>
      </c>
      <c r="J3834" s="14"/>
      <c r="O3834" s="22"/>
      <c r="P3834" s="22"/>
      <c r="Q3834" s="23"/>
      <c r="R3834" s="23"/>
      <c r="S3834" s="14"/>
    </row>
    <row r="3835" ht="18.75" customHeight="1">
      <c r="A3835" s="7" t="s">
        <v>1369</v>
      </c>
      <c r="B3835" s="7" t="s">
        <v>3884</v>
      </c>
      <c r="C3835" s="9">
        <v>1626891.0</v>
      </c>
      <c r="D3835" s="9">
        <v>819146.0</v>
      </c>
      <c r="E3835" s="9">
        <v>960.0</v>
      </c>
      <c r="F3835" s="7" t="s">
        <v>1370</v>
      </c>
      <c r="G3835" s="7" t="s">
        <v>353</v>
      </c>
      <c r="H3835" s="7" t="s">
        <v>378</v>
      </c>
      <c r="I3835" s="7" t="s">
        <v>355</v>
      </c>
      <c r="J3835" s="14"/>
      <c r="O3835" s="22"/>
      <c r="P3835" s="22"/>
      <c r="Q3835" s="23"/>
      <c r="R3835" s="23"/>
      <c r="S3835" s="14"/>
    </row>
    <row r="3836" ht="18.75" customHeight="1">
      <c r="A3836" s="7" t="s">
        <v>1369</v>
      </c>
      <c r="B3836" s="7" t="s">
        <v>3884</v>
      </c>
      <c r="C3836" s="9">
        <v>933878.0</v>
      </c>
      <c r="D3836" s="9">
        <v>423598.0</v>
      </c>
      <c r="E3836" s="9">
        <v>1149.0</v>
      </c>
      <c r="F3836" s="7" t="s">
        <v>1370</v>
      </c>
      <c r="G3836" s="7" t="s">
        <v>353</v>
      </c>
      <c r="H3836" s="7" t="s">
        <v>378</v>
      </c>
      <c r="I3836" s="7" t="s">
        <v>355</v>
      </c>
      <c r="J3836" s="14"/>
      <c r="O3836" s="22"/>
      <c r="P3836" s="22"/>
      <c r="Q3836" s="23"/>
      <c r="R3836" s="23"/>
      <c r="S3836" s="14"/>
    </row>
    <row r="3837" ht="18.75" customHeight="1">
      <c r="A3837" s="7" t="s">
        <v>1369</v>
      </c>
      <c r="B3837" s="7" t="s">
        <v>3884</v>
      </c>
      <c r="C3837" s="9">
        <v>42395.0</v>
      </c>
      <c r="D3837" s="9">
        <v>41083.0</v>
      </c>
      <c r="E3837" s="9">
        <v>0.0</v>
      </c>
      <c r="F3837" s="7" t="s">
        <v>1370</v>
      </c>
      <c r="G3837" s="7" t="s">
        <v>353</v>
      </c>
      <c r="H3837" s="7" t="s">
        <v>378</v>
      </c>
      <c r="I3837" s="7" t="s">
        <v>355</v>
      </c>
      <c r="J3837" s="14"/>
      <c r="O3837" s="22"/>
      <c r="P3837" s="22"/>
      <c r="Q3837" s="23"/>
      <c r="R3837" s="23"/>
      <c r="S3837" s="14"/>
    </row>
    <row r="3838" ht="18.75" customHeight="1">
      <c r="A3838" s="7" t="s">
        <v>1369</v>
      </c>
      <c r="B3838" s="7" t="s">
        <v>3884</v>
      </c>
      <c r="C3838" s="9">
        <v>23098.0</v>
      </c>
      <c r="D3838" s="9">
        <v>21854.0</v>
      </c>
      <c r="E3838" s="9">
        <v>0.0</v>
      </c>
      <c r="F3838" s="7" t="s">
        <v>1370</v>
      </c>
      <c r="G3838" s="7" t="s">
        <v>353</v>
      </c>
      <c r="H3838" s="7" t="s">
        <v>378</v>
      </c>
      <c r="I3838" s="7" t="s">
        <v>355</v>
      </c>
      <c r="J3838" s="14"/>
      <c r="O3838" s="22"/>
      <c r="P3838" s="22"/>
      <c r="Q3838" s="23"/>
      <c r="R3838" s="23"/>
      <c r="S3838" s="14"/>
    </row>
    <row r="3839" ht="18.75" customHeight="1">
      <c r="A3839" s="7" t="s">
        <v>1369</v>
      </c>
      <c r="B3839" s="7" t="s">
        <v>3884</v>
      </c>
      <c r="C3839" s="9">
        <v>31614.0</v>
      </c>
      <c r="D3839" s="9">
        <v>29582.0</v>
      </c>
      <c r="E3839" s="9">
        <v>0.0</v>
      </c>
      <c r="F3839" s="7" t="s">
        <v>1370</v>
      </c>
      <c r="G3839" s="7" t="s">
        <v>353</v>
      </c>
      <c r="H3839" s="7" t="s">
        <v>378</v>
      </c>
      <c r="I3839" s="7" t="s">
        <v>355</v>
      </c>
      <c r="J3839" s="14"/>
      <c r="O3839" s="22"/>
      <c r="P3839" s="22"/>
      <c r="Q3839" s="23"/>
      <c r="R3839" s="23"/>
      <c r="S3839" s="14"/>
    </row>
    <row r="3840" ht="18.75" customHeight="1">
      <c r="A3840" s="7" t="s">
        <v>565</v>
      </c>
      <c r="B3840" s="7" t="s">
        <v>3884</v>
      </c>
      <c r="C3840" s="9">
        <v>3946919.0</v>
      </c>
      <c r="D3840" s="9">
        <v>0.0</v>
      </c>
      <c r="E3840" s="9">
        <v>3281.0</v>
      </c>
      <c r="F3840" s="7" t="s">
        <v>566</v>
      </c>
      <c r="G3840" s="7" t="s">
        <v>364</v>
      </c>
      <c r="H3840" s="7" t="s">
        <v>365</v>
      </c>
      <c r="I3840" s="7" t="s">
        <v>355</v>
      </c>
      <c r="J3840" s="14"/>
      <c r="O3840" s="22"/>
      <c r="P3840" s="22"/>
      <c r="Q3840" s="23"/>
      <c r="R3840" s="23"/>
      <c r="S3840" s="14"/>
    </row>
    <row r="3841" ht="18.75" customHeight="1">
      <c r="A3841" s="7" t="s">
        <v>565</v>
      </c>
      <c r="B3841" s="7" t="s">
        <v>3884</v>
      </c>
      <c r="C3841" s="9">
        <v>4394978.0</v>
      </c>
      <c r="D3841" s="9">
        <v>3377895.0</v>
      </c>
      <c r="E3841" s="9">
        <v>1819.0</v>
      </c>
      <c r="F3841" s="7" t="s">
        <v>566</v>
      </c>
      <c r="G3841" s="7" t="s">
        <v>364</v>
      </c>
      <c r="H3841" s="7" t="s">
        <v>365</v>
      </c>
      <c r="I3841" s="7" t="s">
        <v>355</v>
      </c>
      <c r="J3841" s="14"/>
      <c r="O3841" s="22"/>
      <c r="P3841" s="22"/>
      <c r="Q3841" s="23"/>
      <c r="R3841" s="23"/>
      <c r="S3841" s="14"/>
    </row>
    <row r="3842" ht="18.75" customHeight="1">
      <c r="A3842" s="7" t="s">
        <v>1131</v>
      </c>
      <c r="B3842" s="7" t="s">
        <v>3884</v>
      </c>
      <c r="C3842" s="9">
        <v>472062.0</v>
      </c>
      <c r="D3842" s="9">
        <v>391226.0</v>
      </c>
      <c r="E3842" s="9">
        <v>288.0</v>
      </c>
      <c r="F3842" s="7" t="s">
        <v>1132</v>
      </c>
      <c r="G3842" s="7" t="s">
        <v>404</v>
      </c>
      <c r="H3842" s="7" t="s">
        <v>760</v>
      </c>
      <c r="I3842" s="7" t="s">
        <v>355</v>
      </c>
      <c r="J3842" s="14"/>
      <c r="O3842" s="22"/>
      <c r="P3842" s="22"/>
      <c r="Q3842" s="23"/>
      <c r="R3842" s="23"/>
      <c r="S3842" s="14"/>
    </row>
    <row r="3843" ht="18.75" customHeight="1">
      <c r="A3843" s="7" t="s">
        <v>1291</v>
      </c>
      <c r="B3843" s="7" t="s">
        <v>3884</v>
      </c>
      <c r="C3843" s="9">
        <v>1782970.0</v>
      </c>
      <c r="D3843" s="9">
        <v>0.0</v>
      </c>
      <c r="E3843" s="9">
        <v>1981.0</v>
      </c>
      <c r="F3843" s="7" t="s">
        <v>1292</v>
      </c>
      <c r="G3843" s="7" t="s">
        <v>353</v>
      </c>
      <c r="H3843" s="7" t="s">
        <v>354</v>
      </c>
      <c r="I3843" s="7" t="s">
        <v>410</v>
      </c>
      <c r="J3843" s="14"/>
      <c r="O3843" s="22"/>
      <c r="P3843" s="22"/>
      <c r="Q3843" s="23"/>
      <c r="R3843" s="23"/>
      <c r="S3843" s="14"/>
    </row>
    <row r="3844" ht="18.75" customHeight="1">
      <c r="A3844" s="7" t="s">
        <v>1291</v>
      </c>
      <c r="B3844" s="7" t="s">
        <v>3884</v>
      </c>
      <c r="C3844" s="9">
        <v>2175167.0</v>
      </c>
      <c r="D3844" s="9">
        <v>0.0</v>
      </c>
      <c r="E3844" s="9">
        <v>1830.0</v>
      </c>
      <c r="F3844" s="7" t="s">
        <v>1292</v>
      </c>
      <c r="G3844" s="7" t="s">
        <v>353</v>
      </c>
      <c r="H3844" s="7" t="s">
        <v>354</v>
      </c>
      <c r="I3844" s="7" t="s">
        <v>410</v>
      </c>
      <c r="J3844" s="14"/>
      <c r="O3844" s="22"/>
      <c r="P3844" s="22"/>
      <c r="Q3844" s="23"/>
      <c r="R3844" s="23"/>
      <c r="S3844" s="14"/>
    </row>
    <row r="3845" ht="18.75" customHeight="1">
      <c r="A3845" s="7" t="s">
        <v>1291</v>
      </c>
      <c r="B3845" s="7" t="s">
        <v>3884</v>
      </c>
      <c r="C3845" s="9">
        <v>677007.0</v>
      </c>
      <c r="D3845" s="9">
        <v>330919.0</v>
      </c>
      <c r="E3845" s="9">
        <v>552.0</v>
      </c>
      <c r="F3845" s="7" t="s">
        <v>1292</v>
      </c>
      <c r="G3845" s="7" t="s">
        <v>353</v>
      </c>
      <c r="H3845" s="7" t="s">
        <v>354</v>
      </c>
      <c r="I3845" s="7" t="s">
        <v>410</v>
      </c>
      <c r="J3845" s="14"/>
      <c r="O3845" s="22"/>
      <c r="P3845" s="22"/>
      <c r="Q3845" s="23"/>
      <c r="R3845" s="23"/>
      <c r="S3845" s="14"/>
    </row>
    <row r="3846" ht="18.75" customHeight="1">
      <c r="A3846" s="7" t="s">
        <v>1291</v>
      </c>
      <c r="B3846" s="7" t="s">
        <v>3884</v>
      </c>
      <c r="C3846" s="9">
        <v>205275.0</v>
      </c>
      <c r="D3846" s="9">
        <v>150462.0</v>
      </c>
      <c r="E3846" s="9">
        <v>62.0</v>
      </c>
      <c r="F3846" s="7" t="s">
        <v>1292</v>
      </c>
      <c r="G3846" s="7" t="s">
        <v>353</v>
      </c>
      <c r="H3846" s="7" t="s">
        <v>354</v>
      </c>
      <c r="I3846" s="7" t="s">
        <v>410</v>
      </c>
      <c r="J3846" s="14"/>
      <c r="O3846" s="22"/>
      <c r="P3846" s="22"/>
      <c r="Q3846" s="23"/>
      <c r="R3846" s="23"/>
      <c r="S3846" s="14"/>
    </row>
    <row r="3847" ht="18.75" customHeight="1">
      <c r="A3847" s="7" t="s">
        <v>1455</v>
      </c>
      <c r="B3847" s="7" t="s">
        <v>3884</v>
      </c>
      <c r="C3847" s="9">
        <v>618374.0</v>
      </c>
      <c r="D3847" s="9">
        <v>0.0</v>
      </c>
      <c r="E3847" s="9">
        <v>528.0</v>
      </c>
      <c r="F3847" s="7" t="s">
        <v>1456</v>
      </c>
      <c r="G3847" s="7" t="s">
        <v>416</v>
      </c>
      <c r="H3847" s="7" t="s">
        <v>417</v>
      </c>
      <c r="I3847" s="7" t="s">
        <v>355</v>
      </c>
      <c r="J3847" s="14"/>
      <c r="O3847" s="22"/>
      <c r="P3847" s="22"/>
      <c r="Q3847" s="23"/>
      <c r="R3847" s="23"/>
      <c r="S3847" s="14"/>
    </row>
    <row r="3848" ht="18.75" customHeight="1">
      <c r="A3848" s="14"/>
      <c r="B3848" s="7" t="s">
        <v>3884</v>
      </c>
      <c r="C3848" s="9">
        <v>1844862.0</v>
      </c>
      <c r="D3848" s="9">
        <v>0.0</v>
      </c>
      <c r="E3848" s="9">
        <v>1965.0</v>
      </c>
      <c r="F3848" s="14"/>
      <c r="G3848" s="14"/>
      <c r="H3848" s="14"/>
      <c r="I3848" s="14"/>
      <c r="J3848" s="14"/>
      <c r="O3848" s="22"/>
      <c r="P3848" s="22"/>
      <c r="Q3848" s="23"/>
      <c r="R3848" s="23"/>
      <c r="S3848" s="14"/>
    </row>
    <row r="3849" ht="18.75" customHeight="1">
      <c r="A3849" s="7" t="s">
        <v>1443</v>
      </c>
      <c r="B3849" s="7" t="s">
        <v>3884</v>
      </c>
      <c r="C3849" s="9">
        <v>1231877.0</v>
      </c>
      <c r="D3849" s="9">
        <v>0.0</v>
      </c>
      <c r="E3849" s="9">
        <v>1134.0</v>
      </c>
      <c r="F3849" s="7" t="s">
        <v>1444</v>
      </c>
      <c r="G3849" s="7" t="s">
        <v>404</v>
      </c>
      <c r="H3849" s="7" t="s">
        <v>783</v>
      </c>
      <c r="I3849" s="7" t="s">
        <v>355</v>
      </c>
      <c r="J3849" s="14"/>
      <c r="O3849" s="22"/>
      <c r="P3849" s="22"/>
      <c r="Q3849" s="23"/>
      <c r="R3849" s="23"/>
      <c r="S3849" s="14"/>
    </row>
    <row r="3850" ht="18.75" customHeight="1">
      <c r="A3850" s="7" t="s">
        <v>1443</v>
      </c>
      <c r="B3850" s="7" t="s">
        <v>3884</v>
      </c>
      <c r="C3850" s="9">
        <v>72882.0</v>
      </c>
      <c r="D3850" s="9">
        <v>0.0</v>
      </c>
      <c r="E3850" s="9">
        <v>301.0</v>
      </c>
      <c r="F3850" s="7" t="s">
        <v>1444</v>
      </c>
      <c r="G3850" s="7" t="s">
        <v>404</v>
      </c>
      <c r="H3850" s="7" t="s">
        <v>783</v>
      </c>
      <c r="I3850" s="7" t="s">
        <v>355</v>
      </c>
      <c r="J3850" s="14"/>
      <c r="O3850" s="22"/>
      <c r="P3850" s="22"/>
      <c r="Q3850" s="23"/>
      <c r="R3850" s="23"/>
      <c r="S3850" s="14"/>
    </row>
    <row r="3851" ht="18.75" customHeight="1">
      <c r="A3851" s="7" t="s">
        <v>1397</v>
      </c>
      <c r="B3851" s="7" t="s">
        <v>3884</v>
      </c>
      <c r="C3851" s="9">
        <v>179483.0</v>
      </c>
      <c r="D3851" s="9">
        <v>124462.0</v>
      </c>
      <c r="E3851" s="9">
        <v>128.0</v>
      </c>
      <c r="F3851" s="7" t="s">
        <v>1398</v>
      </c>
      <c r="G3851" s="7" t="s">
        <v>416</v>
      </c>
      <c r="H3851" s="7" t="s">
        <v>417</v>
      </c>
      <c r="I3851" s="7" t="s">
        <v>355</v>
      </c>
      <c r="J3851" s="14"/>
      <c r="O3851" s="22"/>
      <c r="P3851" s="22"/>
      <c r="Q3851" s="23"/>
      <c r="R3851" s="23"/>
      <c r="S3851" s="14"/>
    </row>
    <row r="3852" ht="18.75" customHeight="1">
      <c r="A3852" s="7" t="s">
        <v>1277</v>
      </c>
      <c r="B3852" s="7" t="s">
        <v>3884</v>
      </c>
      <c r="C3852" s="9">
        <v>0.0</v>
      </c>
      <c r="D3852" s="9">
        <v>0.0</v>
      </c>
      <c r="E3852" s="9">
        <v>0.0</v>
      </c>
      <c r="F3852" s="7" t="s">
        <v>1278</v>
      </c>
      <c r="G3852" s="7" t="s">
        <v>353</v>
      </c>
      <c r="H3852" s="7" t="s">
        <v>378</v>
      </c>
      <c r="I3852" s="7" t="s">
        <v>355</v>
      </c>
      <c r="J3852" s="14"/>
      <c r="O3852" s="22"/>
      <c r="P3852" s="22"/>
      <c r="Q3852" s="23"/>
      <c r="R3852" s="23"/>
      <c r="S3852" s="14"/>
    </row>
    <row r="3853" ht="18.75" customHeight="1">
      <c r="A3853" s="7" t="s">
        <v>1277</v>
      </c>
      <c r="B3853" s="7" t="s">
        <v>3884</v>
      </c>
      <c r="C3853" s="9">
        <v>1348868.0</v>
      </c>
      <c r="D3853" s="9">
        <v>0.0</v>
      </c>
      <c r="E3853" s="9">
        <v>1229.0</v>
      </c>
      <c r="F3853" s="7" t="s">
        <v>1278</v>
      </c>
      <c r="G3853" s="7" t="s">
        <v>353</v>
      </c>
      <c r="H3853" s="7" t="s">
        <v>378</v>
      </c>
      <c r="I3853" s="7" t="s">
        <v>355</v>
      </c>
      <c r="J3853" s="14"/>
      <c r="O3853" s="22"/>
      <c r="P3853" s="22"/>
      <c r="Q3853" s="23"/>
      <c r="R3853" s="23"/>
      <c r="S3853" s="14"/>
    </row>
    <row r="3854" ht="18.75" customHeight="1">
      <c r="A3854" s="7" t="s">
        <v>1041</v>
      </c>
      <c r="B3854" s="7" t="s">
        <v>3884</v>
      </c>
      <c r="C3854" s="9">
        <v>383577.0</v>
      </c>
      <c r="D3854" s="9">
        <v>0.0</v>
      </c>
      <c r="E3854" s="9">
        <v>309.0</v>
      </c>
      <c r="F3854" s="7" t="s">
        <v>1042</v>
      </c>
      <c r="G3854" s="7" t="s">
        <v>416</v>
      </c>
      <c r="H3854" s="7" t="s">
        <v>430</v>
      </c>
      <c r="I3854" s="7" t="s">
        <v>355</v>
      </c>
      <c r="J3854" s="14"/>
      <c r="O3854" s="22"/>
      <c r="P3854" s="22"/>
      <c r="Q3854" s="23"/>
      <c r="R3854" s="23"/>
      <c r="S3854" s="14"/>
    </row>
    <row r="3855" ht="18.75" customHeight="1">
      <c r="A3855" s="7" t="s">
        <v>3755</v>
      </c>
      <c r="B3855" s="7" t="s">
        <v>3884</v>
      </c>
      <c r="C3855" s="9">
        <v>1711944.0</v>
      </c>
      <c r="D3855" s="9">
        <v>0.0</v>
      </c>
      <c r="E3855" s="9">
        <v>1332.0</v>
      </c>
      <c r="F3855" s="7" t="s">
        <v>3896</v>
      </c>
      <c r="G3855" s="7" t="s">
        <v>416</v>
      </c>
      <c r="H3855" s="7" t="s">
        <v>417</v>
      </c>
      <c r="I3855" s="7" t="s">
        <v>3886</v>
      </c>
      <c r="J3855" s="14"/>
      <c r="O3855" s="22"/>
      <c r="P3855" s="22"/>
      <c r="Q3855" s="23"/>
      <c r="R3855" s="23"/>
      <c r="S3855" s="14"/>
    </row>
    <row r="3856" ht="18.75" customHeight="1">
      <c r="A3856" s="7" t="s">
        <v>3755</v>
      </c>
      <c r="B3856" s="7" t="s">
        <v>3884</v>
      </c>
      <c r="C3856" s="9">
        <v>109799.0</v>
      </c>
      <c r="D3856" s="9">
        <v>0.0</v>
      </c>
      <c r="E3856" s="9">
        <v>643.0</v>
      </c>
      <c r="F3856" s="7" t="s">
        <v>3896</v>
      </c>
      <c r="G3856" s="7" t="s">
        <v>416</v>
      </c>
      <c r="H3856" s="7" t="s">
        <v>417</v>
      </c>
      <c r="I3856" s="7" t="s">
        <v>3886</v>
      </c>
      <c r="J3856" s="14"/>
      <c r="O3856" s="22"/>
      <c r="P3856" s="22"/>
      <c r="Q3856" s="23"/>
      <c r="R3856" s="23"/>
      <c r="S3856" s="14"/>
    </row>
    <row r="3857" ht="18.75" customHeight="1">
      <c r="A3857" s="7" t="s">
        <v>1391</v>
      </c>
      <c r="B3857" s="7" t="s">
        <v>3884</v>
      </c>
      <c r="C3857" s="9">
        <v>2638732.0</v>
      </c>
      <c r="D3857" s="9">
        <v>0.0</v>
      </c>
      <c r="E3857" s="9">
        <v>1813.0</v>
      </c>
      <c r="F3857" s="7" t="s">
        <v>1392</v>
      </c>
      <c r="G3857" s="7" t="s">
        <v>353</v>
      </c>
      <c r="H3857" s="7" t="s">
        <v>378</v>
      </c>
      <c r="I3857" s="7" t="s">
        <v>355</v>
      </c>
      <c r="J3857" s="14"/>
      <c r="O3857" s="22"/>
      <c r="P3857" s="22"/>
      <c r="Q3857" s="23"/>
      <c r="R3857" s="23"/>
      <c r="S3857" s="14"/>
    </row>
    <row r="3858" ht="18.75" customHeight="1">
      <c r="A3858" s="7" t="s">
        <v>1391</v>
      </c>
      <c r="B3858" s="7" t="s">
        <v>3884</v>
      </c>
      <c r="C3858" s="9">
        <v>1433948.0</v>
      </c>
      <c r="D3858" s="9">
        <v>0.0</v>
      </c>
      <c r="E3858" s="9">
        <v>1037.0</v>
      </c>
      <c r="F3858" s="7" t="s">
        <v>1392</v>
      </c>
      <c r="G3858" s="7" t="s">
        <v>353</v>
      </c>
      <c r="H3858" s="7" t="s">
        <v>378</v>
      </c>
      <c r="I3858" s="7" t="s">
        <v>355</v>
      </c>
      <c r="J3858" s="14"/>
      <c r="O3858" s="22"/>
      <c r="P3858" s="22"/>
      <c r="Q3858" s="23"/>
      <c r="R3858" s="23"/>
      <c r="S3858" s="14"/>
    </row>
    <row r="3859" ht="18.75" customHeight="1">
      <c r="A3859" s="7" t="s">
        <v>1391</v>
      </c>
      <c r="B3859" s="7" t="s">
        <v>3884</v>
      </c>
      <c r="C3859" s="9">
        <v>1895997.0</v>
      </c>
      <c r="D3859" s="9">
        <v>1415272.0</v>
      </c>
      <c r="E3859" s="9">
        <v>632.0</v>
      </c>
      <c r="F3859" s="7" t="s">
        <v>1392</v>
      </c>
      <c r="G3859" s="7" t="s">
        <v>353</v>
      </c>
      <c r="H3859" s="7" t="s">
        <v>378</v>
      </c>
      <c r="I3859" s="7" t="s">
        <v>355</v>
      </c>
      <c r="J3859" s="14"/>
      <c r="O3859" s="22"/>
      <c r="P3859" s="22"/>
      <c r="Q3859" s="23"/>
      <c r="R3859" s="23"/>
      <c r="S3859" s="14"/>
    </row>
    <row r="3860" ht="18.75" customHeight="1">
      <c r="A3860" s="7" t="s">
        <v>1391</v>
      </c>
      <c r="B3860" s="7" t="s">
        <v>3884</v>
      </c>
      <c r="C3860" s="9">
        <v>981413.0</v>
      </c>
      <c r="D3860" s="9">
        <v>565105.0</v>
      </c>
      <c r="E3860" s="9">
        <v>997.0</v>
      </c>
      <c r="F3860" s="7" t="s">
        <v>1392</v>
      </c>
      <c r="G3860" s="7" t="s">
        <v>353</v>
      </c>
      <c r="H3860" s="7" t="s">
        <v>378</v>
      </c>
      <c r="I3860" s="7" t="s">
        <v>355</v>
      </c>
      <c r="J3860" s="14"/>
      <c r="O3860" s="22"/>
      <c r="P3860" s="22"/>
      <c r="Q3860" s="23"/>
      <c r="R3860" s="23"/>
      <c r="S3860" s="14"/>
    </row>
    <row r="3861" ht="18.75" customHeight="1">
      <c r="A3861" s="7" t="s">
        <v>1391</v>
      </c>
      <c r="B3861" s="7" t="s">
        <v>3884</v>
      </c>
      <c r="C3861" s="9">
        <v>54211.0</v>
      </c>
      <c r="D3861" s="9">
        <v>52802.0</v>
      </c>
      <c r="E3861" s="9">
        <v>1.0</v>
      </c>
      <c r="F3861" s="7" t="s">
        <v>1392</v>
      </c>
      <c r="G3861" s="7" t="s">
        <v>353</v>
      </c>
      <c r="H3861" s="7" t="s">
        <v>378</v>
      </c>
      <c r="I3861" s="7" t="s">
        <v>355</v>
      </c>
      <c r="J3861" s="14"/>
      <c r="O3861" s="22"/>
      <c r="P3861" s="22"/>
      <c r="Q3861" s="23"/>
      <c r="R3861" s="23"/>
      <c r="S3861" s="14"/>
    </row>
    <row r="3862" ht="18.75" customHeight="1">
      <c r="A3862" s="7" t="s">
        <v>1391</v>
      </c>
      <c r="B3862" s="7" t="s">
        <v>3884</v>
      </c>
      <c r="C3862" s="9">
        <v>30801.0</v>
      </c>
      <c r="D3862" s="9">
        <v>29273.0</v>
      </c>
      <c r="E3862" s="9">
        <v>0.0</v>
      </c>
      <c r="F3862" s="7" t="s">
        <v>1392</v>
      </c>
      <c r="G3862" s="7" t="s">
        <v>353</v>
      </c>
      <c r="H3862" s="7" t="s">
        <v>378</v>
      </c>
      <c r="I3862" s="7" t="s">
        <v>355</v>
      </c>
      <c r="J3862" s="14"/>
      <c r="O3862" s="22"/>
      <c r="P3862" s="22"/>
      <c r="Q3862" s="23"/>
      <c r="R3862" s="23"/>
      <c r="S3862" s="14"/>
    </row>
    <row r="3863" ht="18.75" customHeight="1">
      <c r="A3863" s="7" t="s">
        <v>1391</v>
      </c>
      <c r="B3863" s="7" t="s">
        <v>3884</v>
      </c>
      <c r="C3863" s="9">
        <v>42106.0</v>
      </c>
      <c r="D3863" s="9">
        <v>39927.0</v>
      </c>
      <c r="E3863" s="9">
        <v>0.0</v>
      </c>
      <c r="F3863" s="7" t="s">
        <v>1392</v>
      </c>
      <c r="G3863" s="7" t="s">
        <v>353</v>
      </c>
      <c r="H3863" s="7" t="s">
        <v>378</v>
      </c>
      <c r="I3863" s="7" t="s">
        <v>355</v>
      </c>
      <c r="J3863" s="14"/>
      <c r="O3863" s="22"/>
      <c r="P3863" s="22"/>
      <c r="Q3863" s="23"/>
      <c r="R3863" s="23"/>
      <c r="S3863" s="14"/>
    </row>
    <row r="3864" ht="18.75" customHeight="1">
      <c r="A3864" s="7" t="s">
        <v>926</v>
      </c>
      <c r="B3864" s="7" t="s">
        <v>3884</v>
      </c>
      <c r="C3864" s="9">
        <v>344603.0</v>
      </c>
      <c r="D3864" s="9">
        <v>152535.0</v>
      </c>
      <c r="E3864" s="9">
        <v>147017.0</v>
      </c>
      <c r="F3864" s="7" t="s">
        <v>927</v>
      </c>
      <c r="G3864" s="7" t="s">
        <v>503</v>
      </c>
      <c r="H3864" s="7" t="s">
        <v>928</v>
      </c>
      <c r="I3864" s="7" t="s">
        <v>355</v>
      </c>
      <c r="J3864" s="14"/>
      <c r="O3864" s="22"/>
      <c r="P3864" s="22"/>
      <c r="Q3864" s="23"/>
      <c r="R3864" s="23"/>
      <c r="S3864" s="14"/>
    </row>
    <row r="3865" ht="18.75" customHeight="1">
      <c r="A3865" s="7" t="s">
        <v>926</v>
      </c>
      <c r="B3865" s="7" t="s">
        <v>3884</v>
      </c>
      <c r="C3865" s="9">
        <v>23692.0</v>
      </c>
      <c r="D3865" s="9">
        <v>22521.0</v>
      </c>
      <c r="E3865" s="9">
        <v>0.0</v>
      </c>
      <c r="F3865" s="7" t="s">
        <v>927</v>
      </c>
      <c r="G3865" s="7" t="s">
        <v>503</v>
      </c>
      <c r="H3865" s="7" t="s">
        <v>928</v>
      </c>
      <c r="I3865" s="7" t="s">
        <v>355</v>
      </c>
      <c r="J3865" s="14"/>
      <c r="O3865" s="22"/>
      <c r="P3865" s="22"/>
      <c r="Q3865" s="23"/>
      <c r="R3865" s="23"/>
      <c r="S3865" s="14"/>
    </row>
    <row r="3866" ht="18.75" customHeight="1">
      <c r="A3866" s="7" t="s">
        <v>926</v>
      </c>
      <c r="B3866" s="7" t="s">
        <v>3884</v>
      </c>
      <c r="C3866" s="9">
        <v>46102.0</v>
      </c>
      <c r="D3866" s="9">
        <v>43318.0</v>
      </c>
      <c r="E3866" s="9">
        <v>0.0</v>
      </c>
      <c r="F3866" s="7" t="s">
        <v>927</v>
      </c>
      <c r="G3866" s="7" t="s">
        <v>503</v>
      </c>
      <c r="H3866" s="7" t="s">
        <v>928</v>
      </c>
      <c r="I3866" s="7" t="s">
        <v>355</v>
      </c>
      <c r="J3866" s="14"/>
      <c r="O3866" s="22"/>
      <c r="P3866" s="22"/>
      <c r="Q3866" s="23"/>
      <c r="R3866" s="23"/>
      <c r="S3866" s="14"/>
    </row>
    <row r="3867" ht="18.75" customHeight="1">
      <c r="A3867" s="7" t="s">
        <v>1453</v>
      </c>
      <c r="B3867" s="7" t="s">
        <v>3884</v>
      </c>
      <c r="C3867" s="9">
        <v>1794366.0</v>
      </c>
      <c r="D3867" s="9">
        <v>1363736.0</v>
      </c>
      <c r="E3867" s="9">
        <v>458.0</v>
      </c>
      <c r="F3867" s="7" t="s">
        <v>1454</v>
      </c>
      <c r="G3867" s="7" t="s">
        <v>358</v>
      </c>
      <c r="H3867" s="7" t="s">
        <v>466</v>
      </c>
      <c r="I3867" s="7" t="s">
        <v>355</v>
      </c>
      <c r="J3867" s="14"/>
      <c r="O3867" s="22"/>
      <c r="P3867" s="22"/>
      <c r="Q3867" s="23"/>
      <c r="R3867" s="23"/>
      <c r="S3867" s="14"/>
    </row>
    <row r="3868" ht="18.75" customHeight="1">
      <c r="A3868" s="7" t="s">
        <v>1453</v>
      </c>
      <c r="B3868" s="7" t="s">
        <v>3884</v>
      </c>
      <c r="C3868" s="9">
        <v>1667342.0</v>
      </c>
      <c r="D3868" s="9">
        <v>1241007.0</v>
      </c>
      <c r="E3868" s="9">
        <v>956.0</v>
      </c>
      <c r="F3868" s="7" t="s">
        <v>1454</v>
      </c>
      <c r="G3868" s="7" t="s">
        <v>358</v>
      </c>
      <c r="H3868" s="7" t="s">
        <v>466</v>
      </c>
      <c r="I3868" s="7" t="s">
        <v>355</v>
      </c>
      <c r="J3868" s="14"/>
      <c r="O3868" s="22"/>
      <c r="P3868" s="22"/>
      <c r="Q3868" s="23"/>
      <c r="R3868" s="23"/>
      <c r="S3868" s="14"/>
    </row>
    <row r="3869" ht="18.75" customHeight="1">
      <c r="A3869" s="7" t="s">
        <v>1427</v>
      </c>
      <c r="B3869" s="7" t="s">
        <v>3884</v>
      </c>
      <c r="C3869" s="9">
        <v>4741552.0</v>
      </c>
      <c r="D3869" s="9">
        <v>0.0</v>
      </c>
      <c r="E3869" s="9">
        <v>2975.0</v>
      </c>
      <c r="F3869" s="7" t="s">
        <v>1428</v>
      </c>
      <c r="G3869" s="7" t="s">
        <v>358</v>
      </c>
      <c r="H3869" s="7" t="s">
        <v>466</v>
      </c>
      <c r="I3869" s="7" t="s">
        <v>355</v>
      </c>
      <c r="J3869" s="14"/>
      <c r="O3869" s="22"/>
      <c r="P3869" s="22"/>
      <c r="Q3869" s="23"/>
      <c r="R3869" s="23"/>
      <c r="S3869" s="14"/>
    </row>
    <row r="3870" ht="18.75" customHeight="1">
      <c r="A3870" s="7" t="s">
        <v>1427</v>
      </c>
      <c r="B3870" s="7" t="s">
        <v>3884</v>
      </c>
      <c r="C3870" s="9">
        <v>426178.0</v>
      </c>
      <c r="D3870" s="9">
        <v>283451.0</v>
      </c>
      <c r="E3870" s="9">
        <v>242.0</v>
      </c>
      <c r="F3870" s="7" t="s">
        <v>1428</v>
      </c>
      <c r="G3870" s="7" t="s">
        <v>358</v>
      </c>
      <c r="H3870" s="7" t="s">
        <v>466</v>
      </c>
      <c r="I3870" s="7" t="s">
        <v>355</v>
      </c>
      <c r="J3870" s="14"/>
      <c r="O3870" s="22"/>
      <c r="P3870" s="22"/>
      <c r="Q3870" s="23"/>
      <c r="R3870" s="23"/>
      <c r="S3870" s="14"/>
    </row>
    <row r="3871" ht="18.75" customHeight="1">
      <c r="A3871" s="7" t="s">
        <v>1427</v>
      </c>
      <c r="B3871" s="7" t="s">
        <v>3884</v>
      </c>
      <c r="C3871" s="9">
        <v>49511.0</v>
      </c>
      <c r="D3871" s="9">
        <v>0.0</v>
      </c>
      <c r="E3871" s="9">
        <v>1453.0</v>
      </c>
      <c r="F3871" s="7" t="s">
        <v>1428</v>
      </c>
      <c r="G3871" s="7" t="s">
        <v>358</v>
      </c>
      <c r="H3871" s="7" t="s">
        <v>466</v>
      </c>
      <c r="I3871" s="7" t="s">
        <v>355</v>
      </c>
      <c r="J3871" s="14"/>
      <c r="O3871" s="22"/>
      <c r="P3871" s="22"/>
      <c r="Q3871" s="23"/>
      <c r="R3871" s="23"/>
      <c r="S3871" s="14"/>
    </row>
    <row r="3872" ht="18.75" customHeight="1">
      <c r="A3872" s="7" t="s">
        <v>943</v>
      </c>
      <c r="B3872" s="7" t="s">
        <v>3884</v>
      </c>
      <c r="C3872" s="9">
        <v>1839884.0</v>
      </c>
      <c r="D3872" s="9">
        <v>1289119.0</v>
      </c>
      <c r="E3872" s="9">
        <v>804.0</v>
      </c>
      <c r="F3872" s="7" t="s">
        <v>944</v>
      </c>
      <c r="G3872" s="7" t="s">
        <v>353</v>
      </c>
      <c r="H3872" s="7" t="s">
        <v>378</v>
      </c>
      <c r="I3872" s="7" t="s">
        <v>355</v>
      </c>
      <c r="J3872" s="14"/>
      <c r="O3872" s="22"/>
      <c r="P3872" s="22"/>
      <c r="Q3872" s="23"/>
      <c r="R3872" s="23"/>
      <c r="S3872" s="14"/>
    </row>
    <row r="3873" ht="18.75" customHeight="1">
      <c r="A3873" s="7" t="s">
        <v>943</v>
      </c>
      <c r="B3873" s="7" t="s">
        <v>3884</v>
      </c>
      <c r="C3873" s="9">
        <v>794522.0</v>
      </c>
      <c r="D3873" s="9">
        <v>457106.0</v>
      </c>
      <c r="E3873" s="9">
        <v>826.0</v>
      </c>
      <c r="F3873" s="7" t="s">
        <v>944</v>
      </c>
      <c r="G3873" s="7" t="s">
        <v>353</v>
      </c>
      <c r="H3873" s="7" t="s">
        <v>378</v>
      </c>
      <c r="I3873" s="7" t="s">
        <v>355</v>
      </c>
      <c r="J3873" s="14"/>
      <c r="O3873" s="22"/>
      <c r="P3873" s="22"/>
      <c r="Q3873" s="23"/>
      <c r="R3873" s="23"/>
      <c r="S3873" s="14"/>
    </row>
    <row r="3874" ht="18.75" customHeight="1">
      <c r="A3874" s="7" t="s">
        <v>943</v>
      </c>
      <c r="B3874" s="7" t="s">
        <v>3884</v>
      </c>
      <c r="C3874" s="9">
        <v>1143522.0</v>
      </c>
      <c r="D3874" s="9">
        <v>861701.0</v>
      </c>
      <c r="E3874" s="9">
        <v>325.0</v>
      </c>
      <c r="F3874" s="7" t="s">
        <v>944</v>
      </c>
      <c r="G3874" s="7" t="s">
        <v>353</v>
      </c>
      <c r="H3874" s="7" t="s">
        <v>378</v>
      </c>
      <c r="I3874" s="7" t="s">
        <v>355</v>
      </c>
      <c r="J3874" s="14"/>
      <c r="O3874" s="22"/>
      <c r="P3874" s="22"/>
      <c r="Q3874" s="23"/>
      <c r="R3874" s="23"/>
      <c r="S3874" s="14"/>
    </row>
    <row r="3875" ht="18.75" customHeight="1">
      <c r="A3875" s="7" t="s">
        <v>1425</v>
      </c>
      <c r="B3875" s="7" t="s">
        <v>3884</v>
      </c>
      <c r="C3875" s="9">
        <v>2662449.0</v>
      </c>
      <c r="D3875" s="9">
        <v>0.0</v>
      </c>
      <c r="E3875" s="9">
        <v>2111.0</v>
      </c>
      <c r="F3875" s="7" t="s">
        <v>1426</v>
      </c>
      <c r="G3875" s="7" t="s">
        <v>358</v>
      </c>
      <c r="H3875" s="7" t="s">
        <v>466</v>
      </c>
      <c r="I3875" s="7" t="s">
        <v>355</v>
      </c>
      <c r="J3875" s="14"/>
      <c r="O3875" s="22"/>
      <c r="P3875" s="22"/>
      <c r="Q3875" s="23"/>
      <c r="R3875" s="23"/>
      <c r="S3875" s="14"/>
    </row>
    <row r="3876" ht="18.75" customHeight="1">
      <c r="A3876" s="7" t="s">
        <v>1425</v>
      </c>
      <c r="B3876" s="7" t="s">
        <v>3884</v>
      </c>
      <c r="C3876" s="9">
        <v>1200772.0</v>
      </c>
      <c r="D3876" s="9">
        <v>734168.0</v>
      </c>
      <c r="E3876" s="9">
        <v>860.0</v>
      </c>
      <c r="F3876" s="7" t="s">
        <v>1426</v>
      </c>
      <c r="G3876" s="7" t="s">
        <v>358</v>
      </c>
      <c r="H3876" s="7" t="s">
        <v>466</v>
      </c>
      <c r="I3876" s="7" t="s">
        <v>355</v>
      </c>
      <c r="J3876" s="14"/>
      <c r="O3876" s="22"/>
      <c r="P3876" s="22"/>
      <c r="Q3876" s="23"/>
      <c r="R3876" s="23"/>
      <c r="S3876" s="14"/>
    </row>
    <row r="3877" ht="18.75" customHeight="1">
      <c r="A3877" s="7" t="s">
        <v>1399</v>
      </c>
      <c r="B3877" s="7" t="s">
        <v>3884</v>
      </c>
      <c r="C3877" s="9">
        <v>237685.0</v>
      </c>
      <c r="D3877" s="9">
        <v>172949.0</v>
      </c>
      <c r="E3877" s="9">
        <v>93.0</v>
      </c>
      <c r="F3877" s="7" t="s">
        <v>1400</v>
      </c>
      <c r="G3877" s="7" t="s">
        <v>416</v>
      </c>
      <c r="H3877" s="7" t="s">
        <v>417</v>
      </c>
      <c r="I3877" s="7" t="s">
        <v>355</v>
      </c>
      <c r="J3877" s="14"/>
      <c r="O3877" s="22"/>
      <c r="P3877" s="22"/>
      <c r="Q3877" s="23"/>
      <c r="R3877" s="23"/>
      <c r="S3877" s="14"/>
    </row>
    <row r="3878" ht="18.75" customHeight="1">
      <c r="A3878" s="7" t="s">
        <v>1361</v>
      </c>
      <c r="B3878" s="7" t="s">
        <v>3884</v>
      </c>
      <c r="C3878" s="9">
        <v>2420829.0</v>
      </c>
      <c r="D3878" s="9">
        <v>0.0</v>
      </c>
      <c r="E3878" s="9">
        <v>2020.0</v>
      </c>
      <c r="F3878" s="7" t="s">
        <v>1362</v>
      </c>
      <c r="G3878" s="7" t="s">
        <v>353</v>
      </c>
      <c r="H3878" s="7" t="s">
        <v>378</v>
      </c>
      <c r="I3878" s="7" t="s">
        <v>355</v>
      </c>
      <c r="J3878" s="14"/>
      <c r="O3878" s="22"/>
      <c r="P3878" s="22"/>
      <c r="Q3878" s="23"/>
      <c r="R3878" s="23"/>
      <c r="S3878" s="14"/>
    </row>
    <row r="3879" ht="18.75" customHeight="1">
      <c r="A3879" s="7" t="s">
        <v>1361</v>
      </c>
      <c r="B3879" s="7" t="s">
        <v>3884</v>
      </c>
      <c r="C3879" s="9">
        <v>919844.0</v>
      </c>
      <c r="D3879" s="9">
        <v>0.0</v>
      </c>
      <c r="E3879" s="9">
        <v>934.0</v>
      </c>
      <c r="F3879" s="7" t="s">
        <v>1362</v>
      </c>
      <c r="G3879" s="7" t="s">
        <v>353</v>
      </c>
      <c r="H3879" s="7" t="s">
        <v>378</v>
      </c>
      <c r="I3879" s="7" t="s">
        <v>355</v>
      </c>
      <c r="J3879" s="14"/>
      <c r="O3879" s="22"/>
      <c r="P3879" s="22"/>
      <c r="Q3879" s="23"/>
      <c r="R3879" s="23"/>
      <c r="S3879" s="14"/>
    </row>
    <row r="3880" ht="18.75" customHeight="1">
      <c r="A3880" s="7" t="s">
        <v>1361</v>
      </c>
      <c r="B3880" s="7" t="s">
        <v>3884</v>
      </c>
      <c r="C3880" s="9">
        <v>14170.0</v>
      </c>
      <c r="D3880" s="9">
        <v>0.0</v>
      </c>
      <c r="E3880" s="9">
        <v>481.0</v>
      </c>
      <c r="F3880" s="7" t="s">
        <v>1362</v>
      </c>
      <c r="G3880" s="7" t="s">
        <v>353</v>
      </c>
      <c r="H3880" s="7" t="s">
        <v>378</v>
      </c>
      <c r="I3880" s="7" t="s">
        <v>355</v>
      </c>
      <c r="J3880" s="14"/>
      <c r="O3880" s="22"/>
      <c r="P3880" s="22"/>
      <c r="Q3880" s="23"/>
      <c r="R3880" s="23"/>
      <c r="S3880" s="14"/>
    </row>
    <row r="3881" ht="18.75" customHeight="1">
      <c r="A3881" s="7" t="s">
        <v>1539</v>
      </c>
      <c r="B3881" s="7" t="s">
        <v>3884</v>
      </c>
      <c r="C3881" s="9">
        <v>624990.0</v>
      </c>
      <c r="D3881" s="9">
        <v>0.0</v>
      </c>
      <c r="E3881" s="9">
        <v>503.0</v>
      </c>
      <c r="F3881" s="7" t="s">
        <v>1540</v>
      </c>
      <c r="G3881" s="7" t="s">
        <v>416</v>
      </c>
      <c r="H3881" s="7" t="s">
        <v>417</v>
      </c>
      <c r="I3881" s="7" t="s">
        <v>355</v>
      </c>
      <c r="J3881" s="14"/>
      <c r="O3881" s="22"/>
      <c r="P3881" s="22"/>
      <c r="Q3881" s="23"/>
      <c r="R3881" s="23"/>
      <c r="S3881" s="14"/>
    </row>
    <row r="3882" ht="18.75" customHeight="1">
      <c r="A3882" s="7" t="s">
        <v>1455</v>
      </c>
      <c r="B3882" s="7" t="s">
        <v>3884</v>
      </c>
      <c r="C3882" s="9">
        <v>1331361.0</v>
      </c>
      <c r="D3882" s="9">
        <v>1055669.0</v>
      </c>
      <c r="E3882" s="9">
        <v>415.0</v>
      </c>
      <c r="F3882" s="7" t="s">
        <v>1456</v>
      </c>
      <c r="G3882" s="7" t="s">
        <v>416</v>
      </c>
      <c r="H3882" s="7" t="s">
        <v>417</v>
      </c>
      <c r="I3882" s="7" t="s">
        <v>355</v>
      </c>
      <c r="J3882" s="14"/>
      <c r="O3882" s="22"/>
      <c r="P3882" s="22"/>
      <c r="Q3882" s="23"/>
      <c r="R3882" s="23"/>
      <c r="S3882" s="14"/>
    </row>
    <row r="3883" ht="18.75" customHeight="1">
      <c r="A3883" s="7" t="s">
        <v>1393</v>
      </c>
      <c r="B3883" s="7" t="s">
        <v>3884</v>
      </c>
      <c r="C3883" s="9">
        <v>1172924.0</v>
      </c>
      <c r="D3883" s="9">
        <v>768962.0</v>
      </c>
      <c r="E3883" s="9">
        <v>588.0</v>
      </c>
      <c r="F3883" s="7" t="s">
        <v>1394</v>
      </c>
      <c r="G3883" s="7" t="s">
        <v>353</v>
      </c>
      <c r="H3883" s="7" t="s">
        <v>378</v>
      </c>
      <c r="I3883" s="7" t="s">
        <v>355</v>
      </c>
      <c r="J3883" s="14"/>
      <c r="O3883" s="22"/>
      <c r="P3883" s="22"/>
      <c r="Q3883" s="23"/>
      <c r="R3883" s="23"/>
      <c r="S3883" s="14"/>
    </row>
    <row r="3884" ht="18.75" customHeight="1">
      <c r="A3884" s="7" t="s">
        <v>1393</v>
      </c>
      <c r="B3884" s="7" t="s">
        <v>3884</v>
      </c>
      <c r="C3884" s="9">
        <v>479661.0</v>
      </c>
      <c r="D3884" s="9">
        <v>275936.0</v>
      </c>
      <c r="E3884" s="9">
        <v>469.0</v>
      </c>
      <c r="F3884" s="7" t="s">
        <v>1394</v>
      </c>
      <c r="G3884" s="7" t="s">
        <v>353</v>
      </c>
      <c r="H3884" s="7" t="s">
        <v>378</v>
      </c>
      <c r="I3884" s="7" t="s">
        <v>355</v>
      </c>
      <c r="J3884" s="14"/>
      <c r="O3884" s="22"/>
      <c r="P3884" s="22"/>
      <c r="Q3884" s="23"/>
      <c r="R3884" s="23"/>
      <c r="S3884" s="14"/>
    </row>
    <row r="3885" ht="18.75" customHeight="1">
      <c r="A3885" s="7" t="s">
        <v>1393</v>
      </c>
      <c r="B3885" s="7" t="s">
        <v>3884</v>
      </c>
      <c r="C3885" s="9">
        <v>16794.0</v>
      </c>
      <c r="D3885" s="9">
        <v>15754.0</v>
      </c>
      <c r="E3885" s="9">
        <v>5.0</v>
      </c>
      <c r="F3885" s="7" t="s">
        <v>1394</v>
      </c>
      <c r="G3885" s="7" t="s">
        <v>353</v>
      </c>
      <c r="H3885" s="7" t="s">
        <v>378</v>
      </c>
      <c r="I3885" s="7" t="s">
        <v>355</v>
      </c>
      <c r="J3885" s="14"/>
      <c r="O3885" s="22"/>
      <c r="P3885" s="22"/>
      <c r="Q3885" s="23"/>
      <c r="R3885" s="23"/>
      <c r="S3885" s="14"/>
    </row>
    <row r="3886" ht="18.75" customHeight="1">
      <c r="A3886" s="7" t="s">
        <v>1135</v>
      </c>
      <c r="B3886" s="7" t="s">
        <v>3884</v>
      </c>
      <c r="C3886" s="9">
        <v>378311.0</v>
      </c>
      <c r="D3886" s="9">
        <v>313040.0</v>
      </c>
      <c r="E3886" s="9">
        <v>104.0</v>
      </c>
      <c r="F3886" s="7" t="s">
        <v>1136</v>
      </c>
      <c r="G3886" s="7" t="s">
        <v>404</v>
      </c>
      <c r="H3886" s="7" t="s">
        <v>667</v>
      </c>
      <c r="I3886" s="7" t="s">
        <v>355</v>
      </c>
      <c r="J3886" s="14"/>
      <c r="O3886" s="22"/>
      <c r="P3886" s="22"/>
      <c r="Q3886" s="23"/>
      <c r="R3886" s="23"/>
      <c r="S3886" s="14"/>
    </row>
    <row r="3887" ht="18.75" customHeight="1">
      <c r="A3887" s="7" t="s">
        <v>1135</v>
      </c>
      <c r="B3887" s="7" t="s">
        <v>3884</v>
      </c>
      <c r="C3887" s="9">
        <v>370366.0</v>
      </c>
      <c r="D3887" s="9">
        <v>295836.0</v>
      </c>
      <c r="E3887" s="9">
        <v>97.0</v>
      </c>
      <c r="F3887" s="7" t="s">
        <v>1136</v>
      </c>
      <c r="G3887" s="7" t="s">
        <v>404</v>
      </c>
      <c r="H3887" s="7" t="s">
        <v>667</v>
      </c>
      <c r="I3887" s="7" t="s">
        <v>355</v>
      </c>
      <c r="J3887" s="14"/>
      <c r="O3887" s="22"/>
      <c r="P3887" s="22"/>
      <c r="Q3887" s="23"/>
      <c r="R3887" s="23"/>
      <c r="S3887" s="14"/>
    </row>
    <row r="3888" ht="18.75" customHeight="1">
      <c r="A3888" s="7" t="s">
        <v>1533</v>
      </c>
      <c r="B3888" s="7" t="s">
        <v>3884</v>
      </c>
      <c r="C3888" s="9">
        <v>1502775.0</v>
      </c>
      <c r="D3888" s="9">
        <v>1011957.0</v>
      </c>
      <c r="E3888" s="9">
        <v>933.0</v>
      </c>
      <c r="F3888" s="7" t="s">
        <v>1534</v>
      </c>
      <c r="G3888" s="7" t="s">
        <v>358</v>
      </c>
      <c r="H3888" s="7" t="s">
        <v>466</v>
      </c>
      <c r="I3888" s="7" t="s">
        <v>355</v>
      </c>
      <c r="J3888" s="14"/>
      <c r="O3888" s="22"/>
      <c r="P3888" s="22"/>
      <c r="Q3888" s="23"/>
      <c r="R3888" s="23"/>
      <c r="S3888" s="14"/>
    </row>
    <row r="3889" ht="18.75" customHeight="1">
      <c r="A3889" s="7" t="s">
        <v>1533</v>
      </c>
      <c r="B3889" s="7" t="s">
        <v>3884</v>
      </c>
      <c r="C3889" s="9">
        <v>1834559.0</v>
      </c>
      <c r="D3889" s="9">
        <v>1364876.0</v>
      </c>
      <c r="E3889" s="9">
        <v>500.0</v>
      </c>
      <c r="F3889" s="7" t="s">
        <v>1534</v>
      </c>
      <c r="G3889" s="7" t="s">
        <v>358</v>
      </c>
      <c r="H3889" s="7" t="s">
        <v>466</v>
      </c>
      <c r="I3889" s="7" t="s">
        <v>355</v>
      </c>
      <c r="J3889" s="14"/>
      <c r="O3889" s="22"/>
      <c r="P3889" s="22"/>
      <c r="Q3889" s="23"/>
      <c r="R3889" s="23"/>
      <c r="S3889" s="14"/>
    </row>
    <row r="3890" ht="18.75" customHeight="1">
      <c r="A3890" s="7" t="s">
        <v>1395</v>
      </c>
      <c r="B3890" s="7" t="s">
        <v>3884</v>
      </c>
      <c r="C3890" s="9">
        <v>2544911.0</v>
      </c>
      <c r="D3890" s="9">
        <v>0.0</v>
      </c>
      <c r="E3890" s="9">
        <v>2428.0</v>
      </c>
      <c r="F3890" s="7" t="s">
        <v>1396</v>
      </c>
      <c r="G3890" s="7" t="s">
        <v>358</v>
      </c>
      <c r="H3890" s="7" t="s">
        <v>466</v>
      </c>
      <c r="I3890" s="7" t="s">
        <v>355</v>
      </c>
      <c r="J3890" s="14"/>
      <c r="O3890" s="22"/>
      <c r="P3890" s="22"/>
      <c r="Q3890" s="23"/>
      <c r="R3890" s="23"/>
      <c r="S3890" s="14"/>
    </row>
    <row r="3891" ht="18.75" customHeight="1">
      <c r="A3891" s="7" t="s">
        <v>1395</v>
      </c>
      <c r="B3891" s="7" t="s">
        <v>3884</v>
      </c>
      <c r="C3891" s="9">
        <v>2066158.0</v>
      </c>
      <c r="D3891" s="9">
        <v>0.0</v>
      </c>
      <c r="E3891" s="9">
        <v>1247.0</v>
      </c>
      <c r="F3891" s="7" t="s">
        <v>1396</v>
      </c>
      <c r="G3891" s="7" t="s">
        <v>358</v>
      </c>
      <c r="H3891" s="7" t="s">
        <v>466</v>
      </c>
      <c r="I3891" s="7" t="s">
        <v>355</v>
      </c>
      <c r="J3891" s="14"/>
      <c r="O3891" s="22"/>
      <c r="P3891" s="22"/>
      <c r="Q3891" s="23"/>
      <c r="R3891" s="23"/>
      <c r="S3891" s="14"/>
    </row>
    <row r="3892" ht="18.75" customHeight="1">
      <c r="A3892" s="7" t="s">
        <v>1395</v>
      </c>
      <c r="B3892" s="7" t="s">
        <v>3884</v>
      </c>
      <c r="C3892" s="9">
        <v>1802966.0</v>
      </c>
      <c r="D3892" s="9">
        <v>1336224.0</v>
      </c>
      <c r="E3892" s="9">
        <v>474.0</v>
      </c>
      <c r="F3892" s="7" t="s">
        <v>1396</v>
      </c>
      <c r="G3892" s="7" t="s">
        <v>358</v>
      </c>
      <c r="H3892" s="7" t="s">
        <v>466</v>
      </c>
      <c r="I3892" s="7" t="s">
        <v>355</v>
      </c>
      <c r="J3892" s="14"/>
      <c r="O3892" s="22"/>
      <c r="P3892" s="22"/>
      <c r="Q3892" s="23"/>
      <c r="R3892" s="23"/>
      <c r="S3892" s="14"/>
    </row>
    <row r="3893" ht="18.75" customHeight="1">
      <c r="A3893" s="7" t="s">
        <v>1395</v>
      </c>
      <c r="B3893" s="7" t="s">
        <v>3884</v>
      </c>
      <c r="C3893" s="9">
        <v>1483005.0</v>
      </c>
      <c r="D3893" s="9">
        <v>995060.0</v>
      </c>
      <c r="E3893" s="9">
        <v>1106.0</v>
      </c>
      <c r="F3893" s="7" t="s">
        <v>1396</v>
      </c>
      <c r="G3893" s="7" t="s">
        <v>358</v>
      </c>
      <c r="H3893" s="7" t="s">
        <v>466</v>
      </c>
      <c r="I3893" s="7" t="s">
        <v>355</v>
      </c>
      <c r="J3893" s="14"/>
      <c r="O3893" s="22"/>
      <c r="P3893" s="22"/>
      <c r="Q3893" s="23"/>
      <c r="R3893" s="23"/>
      <c r="S3893" s="14"/>
    </row>
    <row r="3894" ht="18.75" customHeight="1">
      <c r="A3894" s="7" t="s">
        <v>1471</v>
      </c>
      <c r="B3894" s="7" t="s">
        <v>3884</v>
      </c>
      <c r="C3894" s="9">
        <v>1808192.0</v>
      </c>
      <c r="D3894" s="9">
        <v>1468155.0</v>
      </c>
      <c r="E3894" s="9">
        <v>270.0</v>
      </c>
      <c r="F3894" s="7" t="s">
        <v>1472</v>
      </c>
      <c r="G3894" s="7" t="s">
        <v>404</v>
      </c>
      <c r="H3894" s="7" t="s">
        <v>405</v>
      </c>
      <c r="I3894" s="7" t="s">
        <v>355</v>
      </c>
      <c r="J3894" s="14"/>
      <c r="O3894" s="22"/>
      <c r="P3894" s="22"/>
      <c r="Q3894" s="23"/>
      <c r="R3894" s="23"/>
      <c r="S3894" s="14"/>
    </row>
    <row r="3895" ht="18.75" customHeight="1">
      <c r="A3895" s="7" t="s">
        <v>1471</v>
      </c>
      <c r="B3895" s="7" t="s">
        <v>3884</v>
      </c>
      <c r="C3895" s="9">
        <v>4640545.0</v>
      </c>
      <c r="D3895" s="9">
        <v>0.0</v>
      </c>
      <c r="E3895" s="9">
        <v>4643.0</v>
      </c>
      <c r="F3895" s="7" t="s">
        <v>1472</v>
      </c>
      <c r="G3895" s="7" t="s">
        <v>404</v>
      </c>
      <c r="H3895" s="7" t="s">
        <v>405</v>
      </c>
      <c r="I3895" s="7" t="s">
        <v>355</v>
      </c>
      <c r="J3895" s="14"/>
      <c r="O3895" s="22"/>
      <c r="P3895" s="22"/>
      <c r="Q3895" s="23"/>
      <c r="R3895" s="23"/>
      <c r="S3895" s="14"/>
    </row>
    <row r="3896" ht="18.75" customHeight="1">
      <c r="A3896" s="7" t="s">
        <v>1471</v>
      </c>
      <c r="B3896" s="7" t="s">
        <v>3884</v>
      </c>
      <c r="C3896" s="9">
        <v>55022.0</v>
      </c>
      <c r="D3896" s="9">
        <v>0.0</v>
      </c>
      <c r="E3896" s="9">
        <v>1747.0</v>
      </c>
      <c r="F3896" s="7" t="s">
        <v>1472</v>
      </c>
      <c r="G3896" s="7" t="s">
        <v>404</v>
      </c>
      <c r="H3896" s="7" t="s">
        <v>405</v>
      </c>
      <c r="I3896" s="7" t="s">
        <v>355</v>
      </c>
      <c r="J3896" s="14"/>
      <c r="O3896" s="22"/>
      <c r="P3896" s="22"/>
      <c r="Q3896" s="23"/>
      <c r="R3896" s="23"/>
      <c r="S3896" s="14"/>
    </row>
    <row r="3897" ht="18.75" customHeight="1">
      <c r="A3897" s="7" t="s">
        <v>1537</v>
      </c>
      <c r="B3897" s="7" t="s">
        <v>3884</v>
      </c>
      <c r="C3897" s="9">
        <v>501506.0</v>
      </c>
      <c r="D3897" s="9">
        <v>0.0</v>
      </c>
      <c r="E3897" s="9">
        <v>9640.0</v>
      </c>
      <c r="F3897" s="7" t="s">
        <v>1538</v>
      </c>
      <c r="G3897" s="7" t="s">
        <v>416</v>
      </c>
      <c r="H3897" s="7" t="s">
        <v>417</v>
      </c>
      <c r="I3897" s="7" t="s">
        <v>355</v>
      </c>
      <c r="J3897" s="14"/>
      <c r="O3897" s="22"/>
      <c r="P3897" s="22"/>
      <c r="Q3897" s="23"/>
      <c r="R3897" s="23"/>
      <c r="S3897" s="14"/>
    </row>
    <row r="3898" ht="18.75" customHeight="1">
      <c r="A3898" s="7" t="s">
        <v>1537</v>
      </c>
      <c r="B3898" s="7" t="s">
        <v>3884</v>
      </c>
      <c r="C3898" s="9">
        <v>524801.0</v>
      </c>
      <c r="D3898" s="9">
        <v>0.0</v>
      </c>
      <c r="E3898" s="9">
        <v>813.0</v>
      </c>
      <c r="F3898" s="7" t="s">
        <v>1538</v>
      </c>
      <c r="G3898" s="7" t="s">
        <v>416</v>
      </c>
      <c r="H3898" s="7" t="s">
        <v>417</v>
      </c>
      <c r="I3898" s="7" t="s">
        <v>355</v>
      </c>
      <c r="J3898" s="14"/>
      <c r="O3898" s="22"/>
      <c r="P3898" s="22"/>
      <c r="Q3898" s="23"/>
      <c r="R3898" s="23"/>
      <c r="S3898" s="14"/>
    </row>
    <row r="3899" ht="18.75" customHeight="1">
      <c r="A3899" s="7" t="s">
        <v>1401</v>
      </c>
      <c r="B3899" s="7" t="s">
        <v>3884</v>
      </c>
      <c r="C3899" s="9">
        <v>1.0850951E7</v>
      </c>
      <c r="D3899" s="9">
        <v>0.0</v>
      </c>
      <c r="E3899" s="9">
        <v>9608.0</v>
      </c>
      <c r="F3899" s="7" t="s">
        <v>1402</v>
      </c>
      <c r="G3899" s="7" t="s">
        <v>358</v>
      </c>
      <c r="H3899" s="7" t="s">
        <v>466</v>
      </c>
      <c r="I3899" s="7" t="s">
        <v>410</v>
      </c>
      <c r="J3899" s="14"/>
      <c r="O3899" s="22"/>
      <c r="P3899" s="22"/>
      <c r="Q3899" s="23"/>
      <c r="R3899" s="23"/>
      <c r="S3899" s="14"/>
    </row>
    <row r="3900" ht="18.75" customHeight="1">
      <c r="A3900" s="7" t="s">
        <v>1401</v>
      </c>
      <c r="B3900" s="7" t="s">
        <v>3884</v>
      </c>
      <c r="C3900" s="9">
        <v>528308.0</v>
      </c>
      <c r="D3900" s="9">
        <v>0.0</v>
      </c>
      <c r="E3900" s="9">
        <v>414.0</v>
      </c>
      <c r="F3900" s="7" t="s">
        <v>1402</v>
      </c>
      <c r="G3900" s="7" t="s">
        <v>358</v>
      </c>
      <c r="H3900" s="7" t="s">
        <v>466</v>
      </c>
      <c r="I3900" s="7" t="s">
        <v>410</v>
      </c>
      <c r="J3900" s="14"/>
      <c r="O3900" s="22"/>
      <c r="P3900" s="22"/>
      <c r="Q3900" s="23"/>
      <c r="R3900" s="23"/>
      <c r="S3900" s="14"/>
    </row>
    <row r="3901" ht="18.75" customHeight="1">
      <c r="A3901" s="7" t="s">
        <v>1401</v>
      </c>
      <c r="B3901" s="7" t="s">
        <v>3884</v>
      </c>
      <c r="C3901" s="9">
        <v>623971.0</v>
      </c>
      <c r="D3901" s="9">
        <v>0.0</v>
      </c>
      <c r="E3901" s="9">
        <v>569.0</v>
      </c>
      <c r="F3901" s="7" t="s">
        <v>1402</v>
      </c>
      <c r="G3901" s="7" t="s">
        <v>358</v>
      </c>
      <c r="H3901" s="7" t="s">
        <v>466</v>
      </c>
      <c r="I3901" s="7" t="s">
        <v>410</v>
      </c>
      <c r="J3901" s="14"/>
      <c r="O3901" s="22"/>
      <c r="P3901" s="22"/>
      <c r="Q3901" s="23"/>
      <c r="R3901" s="23"/>
      <c r="S3901" s="14"/>
    </row>
    <row r="3902" ht="18.75" customHeight="1">
      <c r="A3902" s="7" t="s">
        <v>1401</v>
      </c>
      <c r="B3902" s="7" t="s">
        <v>3884</v>
      </c>
      <c r="C3902" s="9">
        <v>634830.0</v>
      </c>
      <c r="D3902" s="9">
        <v>0.0</v>
      </c>
      <c r="E3902" s="9">
        <v>464.0</v>
      </c>
      <c r="F3902" s="7" t="s">
        <v>1402</v>
      </c>
      <c r="G3902" s="7" t="s">
        <v>358</v>
      </c>
      <c r="H3902" s="7" t="s">
        <v>466</v>
      </c>
      <c r="I3902" s="7" t="s">
        <v>410</v>
      </c>
      <c r="J3902" s="14"/>
      <c r="O3902" s="22"/>
      <c r="P3902" s="22"/>
      <c r="Q3902" s="23"/>
      <c r="R3902" s="23"/>
      <c r="S3902" s="14"/>
    </row>
    <row r="3903" ht="18.75" customHeight="1">
      <c r="A3903" s="7" t="s">
        <v>1401</v>
      </c>
      <c r="B3903" s="7" t="s">
        <v>3884</v>
      </c>
      <c r="C3903" s="9">
        <v>526359.0</v>
      </c>
      <c r="D3903" s="9">
        <v>0.0</v>
      </c>
      <c r="E3903" s="9">
        <v>503.0</v>
      </c>
      <c r="F3903" s="7" t="s">
        <v>1402</v>
      </c>
      <c r="G3903" s="7" t="s">
        <v>358</v>
      </c>
      <c r="H3903" s="7" t="s">
        <v>466</v>
      </c>
      <c r="I3903" s="7" t="s">
        <v>410</v>
      </c>
      <c r="J3903" s="14"/>
      <c r="O3903" s="22"/>
      <c r="P3903" s="22"/>
      <c r="Q3903" s="23"/>
      <c r="R3903" s="23"/>
      <c r="S3903" s="14"/>
    </row>
    <row r="3904" ht="18.75" customHeight="1">
      <c r="A3904" s="7" t="s">
        <v>1401</v>
      </c>
      <c r="B3904" s="7" t="s">
        <v>3884</v>
      </c>
      <c r="C3904" s="9">
        <v>612441.0</v>
      </c>
      <c r="D3904" s="9">
        <v>0.0</v>
      </c>
      <c r="E3904" s="9">
        <v>573.0</v>
      </c>
      <c r="F3904" s="7" t="s">
        <v>1402</v>
      </c>
      <c r="G3904" s="7" t="s">
        <v>358</v>
      </c>
      <c r="H3904" s="7" t="s">
        <v>466</v>
      </c>
      <c r="I3904" s="7" t="s">
        <v>410</v>
      </c>
      <c r="J3904" s="14"/>
      <c r="O3904" s="22"/>
      <c r="P3904" s="22"/>
      <c r="Q3904" s="23"/>
      <c r="R3904" s="23"/>
      <c r="S3904" s="14"/>
    </row>
    <row r="3905" ht="18.75" customHeight="1">
      <c r="A3905" s="7" t="s">
        <v>1401</v>
      </c>
      <c r="B3905" s="7" t="s">
        <v>3884</v>
      </c>
      <c r="C3905" s="9">
        <v>503128.0</v>
      </c>
      <c r="D3905" s="9">
        <v>0.0</v>
      </c>
      <c r="E3905" s="9">
        <v>598.0</v>
      </c>
      <c r="F3905" s="7" t="s">
        <v>1402</v>
      </c>
      <c r="G3905" s="7" t="s">
        <v>358</v>
      </c>
      <c r="H3905" s="7" t="s">
        <v>466</v>
      </c>
      <c r="I3905" s="7" t="s">
        <v>410</v>
      </c>
      <c r="J3905" s="14"/>
      <c r="O3905" s="22"/>
      <c r="P3905" s="22"/>
      <c r="Q3905" s="23"/>
      <c r="R3905" s="23"/>
      <c r="S3905" s="14"/>
    </row>
    <row r="3906" ht="18.75" customHeight="1">
      <c r="A3906" s="7" t="s">
        <v>1401</v>
      </c>
      <c r="B3906" s="7" t="s">
        <v>3884</v>
      </c>
      <c r="C3906" s="9">
        <v>647757.0</v>
      </c>
      <c r="D3906" s="9">
        <v>0.0</v>
      </c>
      <c r="E3906" s="9">
        <v>632.0</v>
      </c>
      <c r="F3906" s="7" t="s">
        <v>1402</v>
      </c>
      <c r="G3906" s="7" t="s">
        <v>358</v>
      </c>
      <c r="H3906" s="7" t="s">
        <v>466</v>
      </c>
      <c r="I3906" s="7" t="s">
        <v>410</v>
      </c>
      <c r="J3906" s="14"/>
      <c r="O3906" s="22"/>
      <c r="P3906" s="22"/>
      <c r="Q3906" s="23"/>
      <c r="R3906" s="23"/>
      <c r="S3906" s="14"/>
    </row>
    <row r="3907" ht="18.75" customHeight="1">
      <c r="A3907" s="7" t="s">
        <v>1401</v>
      </c>
      <c r="B3907" s="7" t="s">
        <v>3884</v>
      </c>
      <c r="C3907" s="9">
        <v>564635.0</v>
      </c>
      <c r="D3907" s="9">
        <v>0.0</v>
      </c>
      <c r="E3907" s="9">
        <v>617.0</v>
      </c>
      <c r="F3907" s="7" t="s">
        <v>1402</v>
      </c>
      <c r="G3907" s="7" t="s">
        <v>358</v>
      </c>
      <c r="H3907" s="7" t="s">
        <v>466</v>
      </c>
      <c r="I3907" s="7" t="s">
        <v>410</v>
      </c>
      <c r="J3907" s="14"/>
      <c r="O3907" s="22"/>
      <c r="P3907" s="22"/>
      <c r="Q3907" s="23"/>
      <c r="R3907" s="23"/>
      <c r="S3907" s="14"/>
    </row>
    <row r="3908" ht="18.75" customHeight="1">
      <c r="A3908" s="7" t="s">
        <v>1401</v>
      </c>
      <c r="B3908" s="7" t="s">
        <v>3884</v>
      </c>
      <c r="C3908" s="9">
        <v>634929.0</v>
      </c>
      <c r="D3908" s="9">
        <v>0.0</v>
      </c>
      <c r="E3908" s="9">
        <v>728.0</v>
      </c>
      <c r="F3908" s="7" t="s">
        <v>1402</v>
      </c>
      <c r="G3908" s="7" t="s">
        <v>358</v>
      </c>
      <c r="H3908" s="7" t="s">
        <v>466</v>
      </c>
      <c r="I3908" s="7" t="s">
        <v>410</v>
      </c>
      <c r="J3908" s="14"/>
      <c r="O3908" s="22"/>
      <c r="P3908" s="22"/>
      <c r="Q3908" s="23"/>
      <c r="R3908" s="23"/>
      <c r="S3908" s="14"/>
    </row>
    <row r="3909" ht="18.75" customHeight="1">
      <c r="A3909" s="7" t="s">
        <v>1401</v>
      </c>
      <c r="B3909" s="7" t="s">
        <v>3884</v>
      </c>
      <c r="C3909" s="9">
        <v>603845.0</v>
      </c>
      <c r="D3909" s="9">
        <v>0.0</v>
      </c>
      <c r="E3909" s="9">
        <v>595.0</v>
      </c>
      <c r="F3909" s="7" t="s">
        <v>1402</v>
      </c>
      <c r="G3909" s="7" t="s">
        <v>358</v>
      </c>
      <c r="H3909" s="7" t="s">
        <v>466</v>
      </c>
      <c r="I3909" s="7" t="s">
        <v>410</v>
      </c>
      <c r="J3909" s="14"/>
      <c r="O3909" s="22"/>
      <c r="P3909" s="22"/>
      <c r="Q3909" s="23"/>
      <c r="R3909" s="23"/>
      <c r="S3909" s="14"/>
    </row>
    <row r="3910" ht="18.75" customHeight="1">
      <c r="A3910" s="7" t="s">
        <v>1401</v>
      </c>
      <c r="B3910" s="7" t="s">
        <v>3884</v>
      </c>
      <c r="C3910" s="9">
        <v>592829.0</v>
      </c>
      <c r="D3910" s="9">
        <v>0.0</v>
      </c>
      <c r="E3910" s="9">
        <v>582.0</v>
      </c>
      <c r="F3910" s="7" t="s">
        <v>1402</v>
      </c>
      <c r="G3910" s="7" t="s">
        <v>358</v>
      </c>
      <c r="H3910" s="7" t="s">
        <v>466</v>
      </c>
      <c r="I3910" s="7" t="s">
        <v>410</v>
      </c>
      <c r="J3910" s="14"/>
      <c r="O3910" s="22"/>
      <c r="P3910" s="22"/>
      <c r="Q3910" s="23"/>
      <c r="R3910" s="23"/>
      <c r="S3910" s="14"/>
    </row>
    <row r="3911" ht="18.75" customHeight="1">
      <c r="A3911" s="7" t="s">
        <v>1401</v>
      </c>
      <c r="B3911" s="7" t="s">
        <v>3884</v>
      </c>
      <c r="C3911" s="9">
        <v>0.0</v>
      </c>
      <c r="D3911" s="9">
        <v>0.0</v>
      </c>
      <c r="E3911" s="9">
        <v>0.0</v>
      </c>
      <c r="F3911" s="7" t="s">
        <v>1402</v>
      </c>
      <c r="G3911" s="7" t="s">
        <v>358</v>
      </c>
      <c r="H3911" s="7" t="s">
        <v>466</v>
      </c>
      <c r="I3911" s="7" t="s">
        <v>410</v>
      </c>
      <c r="J3911" s="14"/>
      <c r="O3911" s="22"/>
      <c r="P3911" s="22"/>
      <c r="Q3911" s="23"/>
      <c r="R3911" s="23"/>
      <c r="S3911" s="14"/>
    </row>
    <row r="3912" ht="18.75" customHeight="1">
      <c r="A3912" s="7" t="s">
        <v>1401</v>
      </c>
      <c r="B3912" s="7" t="s">
        <v>3884</v>
      </c>
      <c r="C3912" s="9">
        <v>20770.0</v>
      </c>
      <c r="D3912" s="9">
        <v>0.0</v>
      </c>
      <c r="E3912" s="9">
        <v>27.0</v>
      </c>
      <c r="F3912" s="7" t="s">
        <v>1402</v>
      </c>
      <c r="G3912" s="7" t="s">
        <v>358</v>
      </c>
      <c r="H3912" s="7" t="s">
        <v>466</v>
      </c>
      <c r="I3912" s="7" t="s">
        <v>410</v>
      </c>
      <c r="J3912" s="14"/>
      <c r="O3912" s="22"/>
      <c r="P3912" s="22"/>
      <c r="Q3912" s="23"/>
      <c r="R3912" s="23"/>
      <c r="S3912" s="14"/>
    </row>
    <row r="3913" ht="18.75" customHeight="1">
      <c r="A3913" s="7" t="s">
        <v>1401</v>
      </c>
      <c r="B3913" s="7" t="s">
        <v>3884</v>
      </c>
      <c r="C3913" s="9">
        <v>701517.0</v>
      </c>
      <c r="D3913" s="9">
        <v>0.0</v>
      </c>
      <c r="E3913" s="9">
        <v>659.0</v>
      </c>
      <c r="F3913" s="7" t="s">
        <v>1402</v>
      </c>
      <c r="G3913" s="7" t="s">
        <v>358</v>
      </c>
      <c r="H3913" s="7" t="s">
        <v>466</v>
      </c>
      <c r="I3913" s="7" t="s">
        <v>410</v>
      </c>
      <c r="J3913" s="14"/>
      <c r="O3913" s="22"/>
      <c r="P3913" s="22"/>
      <c r="Q3913" s="23"/>
      <c r="R3913" s="23"/>
      <c r="S3913" s="14"/>
    </row>
    <row r="3914" ht="18.75" customHeight="1">
      <c r="A3914" s="7" t="s">
        <v>1401</v>
      </c>
      <c r="B3914" s="7" t="s">
        <v>3884</v>
      </c>
      <c r="C3914" s="9">
        <v>693393.0</v>
      </c>
      <c r="D3914" s="9">
        <v>0.0</v>
      </c>
      <c r="E3914" s="9">
        <v>664.0</v>
      </c>
      <c r="F3914" s="7" t="s">
        <v>1402</v>
      </c>
      <c r="G3914" s="7" t="s">
        <v>358</v>
      </c>
      <c r="H3914" s="7" t="s">
        <v>466</v>
      </c>
      <c r="I3914" s="7" t="s">
        <v>410</v>
      </c>
      <c r="J3914" s="14"/>
      <c r="O3914" s="22"/>
      <c r="P3914" s="22"/>
      <c r="Q3914" s="23"/>
      <c r="R3914" s="23"/>
      <c r="S3914" s="14"/>
    </row>
    <row r="3915" ht="18.75" customHeight="1">
      <c r="A3915" s="7" t="s">
        <v>1401</v>
      </c>
      <c r="B3915" s="7" t="s">
        <v>3884</v>
      </c>
      <c r="C3915" s="9">
        <v>721473.0</v>
      </c>
      <c r="D3915" s="9">
        <v>0.0</v>
      </c>
      <c r="E3915" s="9">
        <v>651.0</v>
      </c>
      <c r="F3915" s="7" t="s">
        <v>1402</v>
      </c>
      <c r="G3915" s="7" t="s">
        <v>358</v>
      </c>
      <c r="H3915" s="7" t="s">
        <v>466</v>
      </c>
      <c r="I3915" s="7" t="s">
        <v>410</v>
      </c>
      <c r="J3915" s="14"/>
      <c r="O3915" s="22"/>
      <c r="P3915" s="22"/>
      <c r="Q3915" s="23"/>
      <c r="R3915" s="23"/>
      <c r="S3915" s="14"/>
    </row>
    <row r="3916" ht="18.75" customHeight="1">
      <c r="A3916" s="7" t="s">
        <v>1401</v>
      </c>
      <c r="B3916" s="7" t="s">
        <v>3884</v>
      </c>
      <c r="C3916" s="9">
        <v>8501617.0</v>
      </c>
      <c r="D3916" s="9">
        <v>5393373.0</v>
      </c>
      <c r="E3916" s="9">
        <v>3717.0</v>
      </c>
      <c r="F3916" s="7" t="s">
        <v>1402</v>
      </c>
      <c r="G3916" s="7" t="s">
        <v>358</v>
      </c>
      <c r="H3916" s="7" t="s">
        <v>466</v>
      </c>
      <c r="I3916" s="7" t="s">
        <v>410</v>
      </c>
      <c r="J3916" s="14"/>
      <c r="O3916" s="22"/>
      <c r="P3916" s="22"/>
      <c r="Q3916" s="23"/>
      <c r="R3916" s="23"/>
      <c r="S3916" s="14"/>
    </row>
    <row r="3917" ht="18.75" customHeight="1">
      <c r="A3917" s="7" t="s">
        <v>1401</v>
      </c>
      <c r="B3917" s="7" t="s">
        <v>3884</v>
      </c>
      <c r="C3917" s="9">
        <v>421334.0</v>
      </c>
      <c r="D3917" s="9">
        <v>395511.0</v>
      </c>
      <c r="E3917" s="9">
        <v>5.0</v>
      </c>
      <c r="F3917" s="7" t="s">
        <v>1402</v>
      </c>
      <c r="G3917" s="7" t="s">
        <v>358</v>
      </c>
      <c r="H3917" s="7" t="s">
        <v>466</v>
      </c>
      <c r="I3917" s="7" t="s">
        <v>410</v>
      </c>
      <c r="J3917" s="14"/>
      <c r="O3917" s="22"/>
      <c r="P3917" s="22"/>
      <c r="Q3917" s="23"/>
      <c r="R3917" s="23"/>
      <c r="S3917" s="14"/>
    </row>
    <row r="3918" ht="18.75" customHeight="1">
      <c r="A3918" s="7" t="s">
        <v>1401</v>
      </c>
      <c r="B3918" s="7" t="s">
        <v>3884</v>
      </c>
      <c r="C3918" s="9">
        <v>261629.0</v>
      </c>
      <c r="D3918" s="9">
        <v>0.0</v>
      </c>
      <c r="E3918" s="9">
        <v>12153.0</v>
      </c>
      <c r="F3918" s="7" t="s">
        <v>1402</v>
      </c>
      <c r="G3918" s="7" t="s">
        <v>358</v>
      </c>
      <c r="H3918" s="7" t="s">
        <v>466</v>
      </c>
      <c r="I3918" s="7" t="s">
        <v>410</v>
      </c>
      <c r="J3918" s="14"/>
      <c r="O3918" s="22"/>
      <c r="P3918" s="22"/>
      <c r="Q3918" s="23"/>
      <c r="R3918" s="23"/>
      <c r="S3918" s="14"/>
    </row>
    <row r="3919" ht="18.75" customHeight="1">
      <c r="A3919" s="7" t="s">
        <v>1401</v>
      </c>
      <c r="B3919" s="7" t="s">
        <v>3884</v>
      </c>
      <c r="C3919" s="9">
        <v>303333.0</v>
      </c>
      <c r="D3919" s="9">
        <v>0.0</v>
      </c>
      <c r="E3919" s="9">
        <v>688.0</v>
      </c>
      <c r="F3919" s="7" t="s">
        <v>1402</v>
      </c>
      <c r="G3919" s="7" t="s">
        <v>358</v>
      </c>
      <c r="H3919" s="7" t="s">
        <v>466</v>
      </c>
      <c r="I3919" s="7" t="s">
        <v>410</v>
      </c>
      <c r="J3919" s="14"/>
      <c r="O3919" s="22"/>
      <c r="P3919" s="22"/>
      <c r="Q3919" s="23"/>
      <c r="R3919" s="23"/>
      <c r="S3919" s="14"/>
    </row>
    <row r="3920" ht="18.75" customHeight="1">
      <c r="A3920" s="7" t="s">
        <v>1509</v>
      </c>
      <c r="B3920" s="7" t="s">
        <v>3884</v>
      </c>
      <c r="C3920" s="9">
        <v>1431898.0</v>
      </c>
      <c r="D3920" s="9">
        <v>0.0</v>
      </c>
      <c r="E3920" s="9">
        <v>1404.0</v>
      </c>
      <c r="F3920" s="7" t="s">
        <v>1510</v>
      </c>
      <c r="G3920" s="7" t="s">
        <v>353</v>
      </c>
      <c r="H3920" s="7" t="s">
        <v>725</v>
      </c>
      <c r="I3920" s="7" t="s">
        <v>355</v>
      </c>
      <c r="J3920" s="14"/>
      <c r="O3920" s="22"/>
      <c r="P3920" s="22"/>
      <c r="Q3920" s="23"/>
      <c r="R3920" s="23"/>
      <c r="S3920" s="14"/>
    </row>
    <row r="3921" ht="18.75" customHeight="1">
      <c r="A3921" s="7" t="s">
        <v>1509</v>
      </c>
      <c r="B3921" s="7" t="s">
        <v>3884</v>
      </c>
      <c r="C3921" s="9">
        <v>758291.0</v>
      </c>
      <c r="D3921" s="9">
        <v>0.0</v>
      </c>
      <c r="E3921" s="9">
        <v>385.0</v>
      </c>
      <c r="F3921" s="7" t="s">
        <v>1510</v>
      </c>
      <c r="G3921" s="7" t="s">
        <v>353</v>
      </c>
      <c r="H3921" s="7" t="s">
        <v>725</v>
      </c>
      <c r="I3921" s="7" t="s">
        <v>355</v>
      </c>
      <c r="J3921" s="14"/>
      <c r="O3921" s="22"/>
      <c r="P3921" s="22"/>
      <c r="Q3921" s="23"/>
      <c r="R3921" s="23"/>
      <c r="S3921" s="14"/>
    </row>
    <row r="3922" ht="18.75" customHeight="1">
      <c r="A3922" s="7" t="s">
        <v>1423</v>
      </c>
      <c r="B3922" s="7" t="s">
        <v>3884</v>
      </c>
      <c r="C3922" s="9">
        <v>3200987.0</v>
      </c>
      <c r="D3922" s="9">
        <v>0.0</v>
      </c>
      <c r="E3922" s="9">
        <v>2759.0</v>
      </c>
      <c r="F3922" s="7" t="s">
        <v>1424</v>
      </c>
      <c r="G3922" s="7" t="s">
        <v>358</v>
      </c>
      <c r="H3922" s="7" t="s">
        <v>466</v>
      </c>
      <c r="I3922" s="7" t="s">
        <v>355</v>
      </c>
      <c r="J3922" s="14"/>
      <c r="O3922" s="22"/>
      <c r="P3922" s="22"/>
      <c r="Q3922" s="23"/>
      <c r="R3922" s="23"/>
      <c r="S3922" s="14"/>
    </row>
    <row r="3923" ht="18.75" customHeight="1">
      <c r="A3923" s="7" t="s">
        <v>1423</v>
      </c>
      <c r="B3923" s="7" t="s">
        <v>3884</v>
      </c>
      <c r="C3923" s="9">
        <v>2063070.0</v>
      </c>
      <c r="D3923" s="9">
        <v>0.0</v>
      </c>
      <c r="E3923" s="9">
        <v>1008.0</v>
      </c>
      <c r="F3923" s="7" t="s">
        <v>1424</v>
      </c>
      <c r="G3923" s="7" t="s">
        <v>358</v>
      </c>
      <c r="H3923" s="7" t="s">
        <v>466</v>
      </c>
      <c r="I3923" s="7" t="s">
        <v>355</v>
      </c>
      <c r="J3923" s="14"/>
      <c r="O3923" s="22"/>
      <c r="P3923" s="22"/>
      <c r="Q3923" s="23"/>
      <c r="R3923" s="23"/>
      <c r="S3923" s="14"/>
    </row>
    <row r="3924" ht="18.75" customHeight="1">
      <c r="A3924" s="7" t="s">
        <v>1423</v>
      </c>
      <c r="B3924" s="7" t="s">
        <v>3884</v>
      </c>
      <c r="C3924" s="9">
        <v>54592.0</v>
      </c>
      <c r="D3924" s="9">
        <v>0.0</v>
      </c>
      <c r="E3924" s="9">
        <v>1949.0</v>
      </c>
      <c r="F3924" s="7" t="s">
        <v>1424</v>
      </c>
      <c r="G3924" s="7" t="s">
        <v>358</v>
      </c>
      <c r="H3924" s="7" t="s">
        <v>466</v>
      </c>
      <c r="I3924" s="7" t="s">
        <v>355</v>
      </c>
      <c r="J3924" s="14"/>
      <c r="O3924" s="22"/>
      <c r="P3924" s="22"/>
      <c r="Q3924" s="23"/>
      <c r="R3924" s="23"/>
      <c r="S3924" s="14"/>
    </row>
    <row r="3925" ht="18.75" customHeight="1">
      <c r="A3925" s="7" t="s">
        <v>1571</v>
      </c>
      <c r="B3925" s="7" t="s">
        <v>3884</v>
      </c>
      <c r="C3925" s="9">
        <v>532933.0</v>
      </c>
      <c r="D3925" s="9">
        <v>0.0</v>
      </c>
      <c r="E3925" s="9">
        <v>380.0</v>
      </c>
      <c r="F3925" s="7" t="s">
        <v>1572</v>
      </c>
      <c r="G3925" s="7" t="s">
        <v>404</v>
      </c>
      <c r="H3925" s="7" t="s">
        <v>405</v>
      </c>
      <c r="I3925" s="7" t="s">
        <v>355</v>
      </c>
      <c r="J3925" s="14"/>
      <c r="O3925" s="22"/>
      <c r="P3925" s="22"/>
      <c r="Q3925" s="23"/>
      <c r="R3925" s="23"/>
      <c r="S3925" s="14"/>
    </row>
    <row r="3926" ht="18.75" customHeight="1">
      <c r="A3926" s="7" t="s">
        <v>1573</v>
      </c>
      <c r="B3926" s="7" t="s">
        <v>3884</v>
      </c>
      <c r="C3926" s="9">
        <v>568664.0</v>
      </c>
      <c r="D3926" s="9">
        <v>0.0</v>
      </c>
      <c r="E3926" s="9">
        <v>402.0</v>
      </c>
      <c r="F3926" s="7" t="s">
        <v>1574</v>
      </c>
      <c r="G3926" s="7" t="s">
        <v>404</v>
      </c>
      <c r="H3926" s="7" t="s">
        <v>405</v>
      </c>
      <c r="I3926" s="7" t="s">
        <v>355</v>
      </c>
      <c r="J3926" s="14"/>
      <c r="O3926" s="22"/>
      <c r="P3926" s="22"/>
      <c r="Q3926" s="23"/>
      <c r="R3926" s="23"/>
      <c r="S3926" s="14"/>
    </row>
    <row r="3927" ht="18.75" customHeight="1">
      <c r="A3927" s="7" t="s">
        <v>1569</v>
      </c>
      <c r="B3927" s="7" t="s">
        <v>3884</v>
      </c>
      <c r="C3927" s="9">
        <v>504200.0</v>
      </c>
      <c r="D3927" s="9">
        <v>0.0</v>
      </c>
      <c r="E3927" s="9">
        <v>383.0</v>
      </c>
      <c r="F3927" s="7" t="s">
        <v>1570</v>
      </c>
      <c r="G3927" s="7" t="s">
        <v>404</v>
      </c>
      <c r="H3927" s="7" t="s">
        <v>405</v>
      </c>
      <c r="I3927" s="7" t="s">
        <v>355</v>
      </c>
      <c r="J3927" s="14"/>
      <c r="O3927" s="22"/>
      <c r="P3927" s="22"/>
      <c r="Q3927" s="23"/>
      <c r="R3927" s="23"/>
      <c r="S3927" s="14"/>
    </row>
    <row r="3928" ht="18.75" customHeight="1">
      <c r="A3928" s="7" t="s">
        <v>3897</v>
      </c>
      <c r="B3928" s="7" t="s">
        <v>3884</v>
      </c>
      <c r="C3928" s="9">
        <v>125474.0</v>
      </c>
      <c r="D3928" s="9">
        <v>0.0</v>
      </c>
      <c r="E3928" s="9">
        <v>127.0</v>
      </c>
      <c r="F3928" s="7" t="s">
        <v>3898</v>
      </c>
      <c r="G3928" s="7" t="s">
        <v>416</v>
      </c>
      <c r="H3928" s="7" t="s">
        <v>417</v>
      </c>
      <c r="I3928" s="7" t="s">
        <v>3886</v>
      </c>
      <c r="J3928" s="14"/>
      <c r="O3928" s="22"/>
      <c r="P3928" s="22"/>
      <c r="Q3928" s="23"/>
      <c r="R3928" s="23"/>
      <c r="S3928" s="14"/>
    </row>
    <row r="3929" ht="18.75" customHeight="1">
      <c r="A3929" s="7" t="s">
        <v>1523</v>
      </c>
      <c r="B3929" s="7" t="s">
        <v>3884</v>
      </c>
      <c r="C3929" s="9">
        <v>7035725.0</v>
      </c>
      <c r="D3929" s="9">
        <v>3024763.0</v>
      </c>
      <c r="E3929" s="9">
        <v>3568.0</v>
      </c>
      <c r="F3929" s="7" t="s">
        <v>1524</v>
      </c>
      <c r="G3929" s="7" t="s">
        <v>364</v>
      </c>
      <c r="H3929" s="7" t="s">
        <v>365</v>
      </c>
      <c r="I3929" s="7" t="s">
        <v>410</v>
      </c>
      <c r="J3929" s="14"/>
      <c r="O3929" s="22"/>
      <c r="P3929" s="22"/>
      <c r="Q3929" s="23"/>
      <c r="R3929" s="23"/>
      <c r="S3929" s="14"/>
    </row>
    <row r="3930" ht="18.75" customHeight="1">
      <c r="A3930" s="7" t="s">
        <v>1561</v>
      </c>
      <c r="B3930" s="7" t="s">
        <v>3884</v>
      </c>
      <c r="C3930" s="9">
        <v>1802214.0</v>
      </c>
      <c r="D3930" s="9">
        <v>1333381.0</v>
      </c>
      <c r="E3930" s="9">
        <v>463.0</v>
      </c>
      <c r="F3930" s="7" t="s">
        <v>1562</v>
      </c>
      <c r="G3930" s="7" t="s">
        <v>358</v>
      </c>
      <c r="H3930" s="7" t="s">
        <v>466</v>
      </c>
      <c r="I3930" s="7" t="s">
        <v>355</v>
      </c>
      <c r="J3930" s="14"/>
      <c r="O3930" s="22"/>
      <c r="P3930" s="22"/>
      <c r="Q3930" s="23"/>
      <c r="R3930" s="23"/>
      <c r="S3930" s="14"/>
    </row>
    <row r="3931" ht="18.75" customHeight="1">
      <c r="A3931" s="7" t="s">
        <v>1561</v>
      </c>
      <c r="B3931" s="7" t="s">
        <v>3884</v>
      </c>
      <c r="C3931" s="9">
        <v>1516627.0</v>
      </c>
      <c r="D3931" s="9">
        <v>1047021.0</v>
      </c>
      <c r="E3931" s="9">
        <v>1039.0</v>
      </c>
      <c r="F3931" s="7" t="s">
        <v>1562</v>
      </c>
      <c r="G3931" s="7" t="s">
        <v>358</v>
      </c>
      <c r="H3931" s="7" t="s">
        <v>466</v>
      </c>
      <c r="I3931" s="7" t="s">
        <v>355</v>
      </c>
      <c r="J3931" s="14"/>
      <c r="O3931" s="22"/>
      <c r="P3931" s="22"/>
      <c r="Q3931" s="23"/>
      <c r="R3931" s="23"/>
      <c r="S3931" s="14"/>
    </row>
    <row r="3932" ht="18.75" customHeight="1">
      <c r="A3932" s="7" t="s">
        <v>1577</v>
      </c>
      <c r="B3932" s="7" t="s">
        <v>3884</v>
      </c>
      <c r="C3932" s="9">
        <v>639161.0</v>
      </c>
      <c r="D3932" s="9">
        <v>0.0</v>
      </c>
      <c r="E3932" s="9">
        <v>603.0</v>
      </c>
      <c r="F3932" s="7" t="s">
        <v>1578</v>
      </c>
      <c r="G3932" s="7" t="s">
        <v>404</v>
      </c>
      <c r="H3932" s="7" t="s">
        <v>405</v>
      </c>
      <c r="I3932" s="7" t="s">
        <v>355</v>
      </c>
      <c r="J3932" s="14"/>
      <c r="O3932" s="22"/>
      <c r="P3932" s="22"/>
      <c r="Q3932" s="23"/>
      <c r="R3932" s="23"/>
      <c r="S3932" s="14"/>
    </row>
    <row r="3933" ht="18.75" customHeight="1">
      <c r="A3933" s="7" t="s">
        <v>1567</v>
      </c>
      <c r="B3933" s="7" t="s">
        <v>3884</v>
      </c>
      <c r="C3933" s="9">
        <v>7147862.0</v>
      </c>
      <c r="D3933" s="9">
        <v>4701766.0</v>
      </c>
      <c r="E3933" s="9">
        <v>3428.0</v>
      </c>
      <c r="F3933" s="7" t="s">
        <v>1568</v>
      </c>
      <c r="G3933" s="7" t="s">
        <v>358</v>
      </c>
      <c r="H3933" s="7" t="s">
        <v>466</v>
      </c>
      <c r="I3933" s="7" t="s">
        <v>355</v>
      </c>
      <c r="J3933" s="14"/>
      <c r="O3933" s="22"/>
      <c r="P3933" s="22"/>
      <c r="Q3933" s="23"/>
      <c r="R3933" s="23"/>
      <c r="S3933" s="14"/>
    </row>
    <row r="3934" ht="18.75" customHeight="1">
      <c r="A3934" s="7" t="s">
        <v>1575</v>
      </c>
      <c r="B3934" s="7" t="s">
        <v>3884</v>
      </c>
      <c r="C3934" s="9">
        <v>53918.0</v>
      </c>
      <c r="D3934" s="9">
        <v>0.0</v>
      </c>
      <c r="E3934" s="9">
        <v>80.0</v>
      </c>
      <c r="F3934" s="7" t="s">
        <v>1576</v>
      </c>
      <c r="G3934" s="7" t="s">
        <v>404</v>
      </c>
      <c r="H3934" s="7" t="s">
        <v>405</v>
      </c>
      <c r="I3934" s="7" t="s">
        <v>355</v>
      </c>
      <c r="J3934" s="14"/>
      <c r="O3934" s="22"/>
      <c r="P3934" s="22"/>
      <c r="Q3934" s="23"/>
      <c r="R3934" s="23"/>
      <c r="S3934" s="14"/>
    </row>
    <row r="3935" ht="18.75" customHeight="1">
      <c r="A3935" s="7" t="s">
        <v>1575</v>
      </c>
      <c r="B3935" s="7" t="s">
        <v>3884</v>
      </c>
      <c r="C3935" s="9">
        <v>126174.0</v>
      </c>
      <c r="D3935" s="9">
        <v>0.0</v>
      </c>
      <c r="E3935" s="9">
        <v>92.0</v>
      </c>
      <c r="F3935" s="7" t="s">
        <v>1576</v>
      </c>
      <c r="G3935" s="7" t="s">
        <v>404</v>
      </c>
      <c r="H3935" s="7" t="s">
        <v>405</v>
      </c>
      <c r="I3935" s="7" t="s">
        <v>355</v>
      </c>
      <c r="J3935" s="14"/>
      <c r="O3935" s="22"/>
      <c r="P3935" s="22"/>
      <c r="Q3935" s="23"/>
      <c r="R3935" s="23"/>
      <c r="S3935" s="14"/>
    </row>
    <row r="3936" ht="18.75" customHeight="1">
      <c r="A3936" s="7" t="s">
        <v>1631</v>
      </c>
      <c r="B3936" s="7" t="s">
        <v>3884</v>
      </c>
      <c r="C3936" s="9">
        <v>0.0</v>
      </c>
      <c r="D3936" s="9">
        <v>0.0</v>
      </c>
      <c r="E3936" s="9">
        <v>0.0</v>
      </c>
      <c r="F3936" s="7" t="s">
        <v>1632</v>
      </c>
      <c r="G3936" s="7" t="s">
        <v>416</v>
      </c>
      <c r="H3936" s="7" t="s">
        <v>417</v>
      </c>
      <c r="I3936" s="7" t="s">
        <v>355</v>
      </c>
      <c r="J3936" s="14"/>
      <c r="O3936" s="22"/>
      <c r="P3936" s="22"/>
      <c r="Q3936" s="23"/>
      <c r="R3936" s="23"/>
      <c r="S3936" s="14"/>
    </row>
    <row r="3937" ht="18.75" customHeight="1">
      <c r="A3937" s="7" t="s">
        <v>1221</v>
      </c>
      <c r="B3937" s="7" t="s">
        <v>3884</v>
      </c>
      <c r="C3937" s="9">
        <v>554589.0</v>
      </c>
      <c r="D3937" s="9">
        <v>0.0</v>
      </c>
      <c r="E3937" s="9">
        <v>660.0</v>
      </c>
      <c r="F3937" s="7" t="s">
        <v>1222</v>
      </c>
      <c r="G3937" s="7" t="s">
        <v>353</v>
      </c>
      <c r="H3937" s="7" t="s">
        <v>378</v>
      </c>
      <c r="I3937" s="7" t="s">
        <v>355</v>
      </c>
      <c r="J3937" s="14"/>
      <c r="O3937" s="22"/>
      <c r="P3937" s="22"/>
      <c r="Q3937" s="23"/>
      <c r="R3937" s="23"/>
      <c r="S3937" s="14"/>
    </row>
    <row r="3938" ht="18.75" customHeight="1">
      <c r="A3938" s="7" t="s">
        <v>1221</v>
      </c>
      <c r="B3938" s="7" t="s">
        <v>3884</v>
      </c>
      <c r="C3938" s="9">
        <v>329182.0</v>
      </c>
      <c r="D3938" s="9">
        <v>0.0</v>
      </c>
      <c r="E3938" s="9">
        <v>355.0</v>
      </c>
      <c r="F3938" s="7" t="s">
        <v>1222</v>
      </c>
      <c r="G3938" s="7" t="s">
        <v>353</v>
      </c>
      <c r="H3938" s="7" t="s">
        <v>378</v>
      </c>
      <c r="I3938" s="7" t="s">
        <v>355</v>
      </c>
      <c r="J3938" s="14"/>
      <c r="O3938" s="22"/>
      <c r="P3938" s="22"/>
      <c r="Q3938" s="23"/>
      <c r="R3938" s="23"/>
      <c r="S3938" s="14"/>
    </row>
    <row r="3939" ht="18.75" customHeight="1">
      <c r="A3939" s="7" t="s">
        <v>870</v>
      </c>
      <c r="B3939" s="7" t="s">
        <v>3884</v>
      </c>
      <c r="C3939" s="9">
        <v>1422530.0</v>
      </c>
      <c r="D3939" s="9">
        <v>0.0</v>
      </c>
      <c r="E3939" s="9">
        <v>1662.0</v>
      </c>
      <c r="F3939" s="7" t="s">
        <v>871</v>
      </c>
      <c r="G3939" s="7" t="s">
        <v>353</v>
      </c>
      <c r="H3939" s="7" t="s">
        <v>378</v>
      </c>
      <c r="I3939" s="7" t="s">
        <v>355</v>
      </c>
      <c r="J3939" s="14"/>
      <c r="O3939" s="22"/>
      <c r="P3939" s="22"/>
      <c r="Q3939" s="23"/>
      <c r="R3939" s="23"/>
      <c r="S3939" s="14"/>
    </row>
    <row r="3940" ht="18.75" customHeight="1">
      <c r="A3940" s="7" t="s">
        <v>1605</v>
      </c>
      <c r="B3940" s="7" t="s">
        <v>3884</v>
      </c>
      <c r="C3940" s="9">
        <v>442686.0</v>
      </c>
      <c r="D3940" s="9">
        <v>0.0</v>
      </c>
      <c r="E3940" s="9">
        <v>563.0</v>
      </c>
      <c r="F3940" s="7" t="s">
        <v>1606</v>
      </c>
      <c r="G3940" s="7" t="s">
        <v>416</v>
      </c>
      <c r="H3940" s="7" t="s">
        <v>417</v>
      </c>
      <c r="I3940" s="7" t="s">
        <v>355</v>
      </c>
      <c r="J3940" s="14"/>
      <c r="O3940" s="22"/>
      <c r="P3940" s="22"/>
      <c r="Q3940" s="23"/>
      <c r="R3940" s="23"/>
      <c r="S3940" s="14"/>
    </row>
    <row r="3941" ht="18.75" customHeight="1">
      <c r="A3941" s="7" t="s">
        <v>1607</v>
      </c>
      <c r="B3941" s="7" t="s">
        <v>3884</v>
      </c>
      <c r="C3941" s="9">
        <v>782650.0</v>
      </c>
      <c r="D3941" s="9">
        <v>0.0</v>
      </c>
      <c r="E3941" s="9">
        <v>4794.0</v>
      </c>
      <c r="F3941" s="7" t="s">
        <v>1608</v>
      </c>
      <c r="G3941" s="7" t="s">
        <v>416</v>
      </c>
      <c r="H3941" s="7" t="s">
        <v>417</v>
      </c>
      <c r="I3941" s="7" t="s">
        <v>355</v>
      </c>
      <c r="J3941" s="14"/>
      <c r="O3941" s="22"/>
      <c r="P3941" s="22"/>
      <c r="Q3941" s="23"/>
      <c r="R3941" s="23"/>
      <c r="S3941" s="14"/>
    </row>
    <row r="3942" ht="18.75" customHeight="1">
      <c r="A3942" s="7" t="s">
        <v>1607</v>
      </c>
      <c r="B3942" s="7" t="s">
        <v>3884</v>
      </c>
      <c r="C3942" s="9">
        <v>863113.0</v>
      </c>
      <c r="D3942" s="9">
        <v>0.0</v>
      </c>
      <c r="E3942" s="9">
        <v>782.0</v>
      </c>
      <c r="F3942" s="7" t="s">
        <v>1608</v>
      </c>
      <c r="G3942" s="7" t="s">
        <v>416</v>
      </c>
      <c r="H3942" s="7" t="s">
        <v>417</v>
      </c>
      <c r="I3942" s="7" t="s">
        <v>355</v>
      </c>
      <c r="J3942" s="14"/>
      <c r="O3942" s="22"/>
      <c r="P3942" s="22"/>
      <c r="Q3942" s="23"/>
      <c r="R3942" s="23"/>
      <c r="S3942" s="14"/>
    </row>
    <row r="3943" ht="18.75" customHeight="1">
      <c r="A3943" s="7" t="s">
        <v>1309</v>
      </c>
      <c r="B3943" s="7" t="s">
        <v>3884</v>
      </c>
      <c r="C3943" s="9">
        <v>67015.0</v>
      </c>
      <c r="D3943" s="9">
        <v>0.0</v>
      </c>
      <c r="E3943" s="9">
        <v>69.0</v>
      </c>
      <c r="F3943" s="7" t="s">
        <v>1310</v>
      </c>
      <c r="G3943" s="7" t="s">
        <v>353</v>
      </c>
      <c r="H3943" s="7" t="s">
        <v>378</v>
      </c>
      <c r="I3943" s="7" t="s">
        <v>355</v>
      </c>
      <c r="J3943" s="14"/>
      <c r="O3943" s="22"/>
      <c r="P3943" s="22"/>
      <c r="Q3943" s="23"/>
      <c r="R3943" s="23"/>
      <c r="S3943" s="14"/>
    </row>
    <row r="3944" ht="18.75" customHeight="1">
      <c r="A3944" s="7" t="s">
        <v>1539</v>
      </c>
      <c r="B3944" s="7" t="s">
        <v>3884</v>
      </c>
      <c r="C3944" s="9">
        <v>219381.0</v>
      </c>
      <c r="D3944" s="9">
        <v>158993.0</v>
      </c>
      <c r="E3944" s="9">
        <v>127.0</v>
      </c>
      <c r="F3944" s="7" t="s">
        <v>1540</v>
      </c>
      <c r="G3944" s="7" t="s">
        <v>416</v>
      </c>
      <c r="H3944" s="7" t="s">
        <v>417</v>
      </c>
      <c r="I3944" s="7" t="s">
        <v>355</v>
      </c>
      <c r="J3944" s="14"/>
      <c r="O3944" s="22"/>
      <c r="P3944" s="22"/>
      <c r="Q3944" s="23"/>
      <c r="R3944" s="23"/>
      <c r="S3944" s="14"/>
    </row>
    <row r="3945" ht="18.75" customHeight="1">
      <c r="A3945" s="7" t="s">
        <v>1678</v>
      </c>
      <c r="B3945" s="7" t="s">
        <v>3884</v>
      </c>
      <c r="C3945" s="9">
        <v>423122.0</v>
      </c>
      <c r="D3945" s="9">
        <v>0.0</v>
      </c>
      <c r="E3945" s="9">
        <v>654.0</v>
      </c>
      <c r="F3945" s="7" t="s">
        <v>1679</v>
      </c>
      <c r="G3945" s="7" t="s">
        <v>416</v>
      </c>
      <c r="H3945" s="7" t="s">
        <v>417</v>
      </c>
      <c r="I3945" s="7" t="s">
        <v>355</v>
      </c>
      <c r="J3945" s="14"/>
      <c r="O3945" s="22"/>
      <c r="P3945" s="22"/>
      <c r="Q3945" s="23"/>
      <c r="R3945" s="23"/>
      <c r="S3945" s="14"/>
    </row>
    <row r="3946" ht="18.75" customHeight="1">
      <c r="A3946" s="7" t="s">
        <v>1615</v>
      </c>
      <c r="B3946" s="7" t="s">
        <v>3884</v>
      </c>
      <c r="C3946" s="9">
        <v>278542.0</v>
      </c>
      <c r="D3946" s="9">
        <v>0.0</v>
      </c>
      <c r="E3946" s="9">
        <v>203.0</v>
      </c>
      <c r="F3946" s="7" t="s">
        <v>1616</v>
      </c>
      <c r="G3946" s="7" t="s">
        <v>404</v>
      </c>
      <c r="H3946" s="7" t="s">
        <v>783</v>
      </c>
      <c r="I3946" s="7" t="s">
        <v>355</v>
      </c>
      <c r="J3946" s="14"/>
      <c r="O3946" s="22"/>
      <c r="P3946" s="22"/>
      <c r="Q3946" s="23"/>
      <c r="R3946" s="23"/>
      <c r="S3946" s="14"/>
    </row>
    <row r="3947" ht="18.75" customHeight="1">
      <c r="A3947" s="7" t="s">
        <v>1615</v>
      </c>
      <c r="B3947" s="7" t="s">
        <v>3884</v>
      </c>
      <c r="C3947" s="9">
        <v>560634.0</v>
      </c>
      <c r="D3947" s="9">
        <v>0.0</v>
      </c>
      <c r="E3947" s="9">
        <v>447.0</v>
      </c>
      <c r="F3947" s="7" t="s">
        <v>1616</v>
      </c>
      <c r="G3947" s="7" t="s">
        <v>404</v>
      </c>
      <c r="H3947" s="7" t="s">
        <v>783</v>
      </c>
      <c r="I3947" s="7" t="s">
        <v>355</v>
      </c>
      <c r="J3947" s="14"/>
      <c r="O3947" s="22"/>
      <c r="P3947" s="22"/>
      <c r="Q3947" s="23"/>
      <c r="R3947" s="23"/>
      <c r="S3947" s="14"/>
    </row>
    <row r="3948" ht="18.75" customHeight="1">
      <c r="A3948" s="7" t="s">
        <v>1601</v>
      </c>
      <c r="B3948" s="7" t="s">
        <v>3884</v>
      </c>
      <c r="C3948" s="9">
        <v>736493.0</v>
      </c>
      <c r="D3948" s="9">
        <v>407306.0</v>
      </c>
      <c r="E3948" s="9">
        <v>318.0</v>
      </c>
      <c r="F3948" s="7" t="s">
        <v>1602</v>
      </c>
      <c r="G3948" s="7" t="s">
        <v>404</v>
      </c>
      <c r="H3948" s="7" t="s">
        <v>405</v>
      </c>
      <c r="I3948" s="7" t="s">
        <v>355</v>
      </c>
      <c r="J3948" s="14"/>
      <c r="O3948" s="22"/>
      <c r="P3948" s="22"/>
      <c r="Q3948" s="23"/>
      <c r="R3948" s="23"/>
      <c r="S3948" s="14"/>
    </row>
    <row r="3949" ht="18.75" customHeight="1">
      <c r="A3949" s="7" t="s">
        <v>1676</v>
      </c>
      <c r="B3949" s="7" t="s">
        <v>3884</v>
      </c>
      <c r="C3949" s="9">
        <v>156064.0</v>
      </c>
      <c r="D3949" s="9">
        <v>0.0</v>
      </c>
      <c r="E3949" s="9">
        <v>1422.0</v>
      </c>
      <c r="F3949" s="7" t="s">
        <v>1677</v>
      </c>
      <c r="G3949" s="7" t="s">
        <v>416</v>
      </c>
      <c r="H3949" s="7" t="s">
        <v>417</v>
      </c>
      <c r="I3949" s="7" t="s">
        <v>355</v>
      </c>
      <c r="J3949" s="14"/>
      <c r="O3949" s="22"/>
      <c r="P3949" s="22"/>
      <c r="Q3949" s="23"/>
      <c r="R3949" s="23"/>
      <c r="S3949" s="14"/>
    </row>
    <row r="3950" ht="18.75" customHeight="1">
      <c r="A3950" s="7" t="s">
        <v>1676</v>
      </c>
      <c r="B3950" s="7" t="s">
        <v>3884</v>
      </c>
      <c r="C3950" s="9">
        <v>140870.0</v>
      </c>
      <c r="D3950" s="9">
        <v>0.0</v>
      </c>
      <c r="E3950" s="9">
        <v>480.0</v>
      </c>
      <c r="F3950" s="7" t="s">
        <v>1677</v>
      </c>
      <c r="G3950" s="7" t="s">
        <v>416</v>
      </c>
      <c r="H3950" s="7" t="s">
        <v>417</v>
      </c>
      <c r="I3950" s="7" t="s">
        <v>355</v>
      </c>
      <c r="J3950" s="14"/>
      <c r="O3950" s="22"/>
      <c r="P3950" s="22"/>
      <c r="Q3950" s="23"/>
      <c r="R3950" s="23"/>
      <c r="S3950" s="14"/>
    </row>
    <row r="3951" ht="18.75" customHeight="1">
      <c r="A3951" s="7" t="s">
        <v>1661</v>
      </c>
      <c r="B3951" s="7" t="s">
        <v>3884</v>
      </c>
      <c r="C3951" s="9">
        <v>66652.0</v>
      </c>
      <c r="D3951" s="9">
        <v>0.0</v>
      </c>
      <c r="E3951" s="9">
        <v>332.0</v>
      </c>
      <c r="F3951" s="7" t="s">
        <v>1662</v>
      </c>
      <c r="G3951" s="7" t="s">
        <v>416</v>
      </c>
      <c r="H3951" s="7" t="s">
        <v>417</v>
      </c>
      <c r="I3951" s="7" t="s">
        <v>355</v>
      </c>
      <c r="J3951" s="14"/>
      <c r="O3951" s="22"/>
      <c r="P3951" s="22"/>
      <c r="Q3951" s="23"/>
      <c r="R3951" s="23"/>
      <c r="S3951" s="14"/>
    </row>
    <row r="3952" ht="18.75" customHeight="1">
      <c r="A3952" s="7" t="s">
        <v>1661</v>
      </c>
      <c r="B3952" s="7" t="s">
        <v>3884</v>
      </c>
      <c r="C3952" s="9">
        <v>95822.0</v>
      </c>
      <c r="D3952" s="9">
        <v>0.0</v>
      </c>
      <c r="E3952" s="9">
        <v>1164.0</v>
      </c>
      <c r="F3952" s="7" t="s">
        <v>1662</v>
      </c>
      <c r="G3952" s="7" t="s">
        <v>416</v>
      </c>
      <c r="H3952" s="7" t="s">
        <v>417</v>
      </c>
      <c r="I3952" s="7" t="s">
        <v>355</v>
      </c>
      <c r="J3952" s="14"/>
      <c r="O3952" s="22"/>
      <c r="P3952" s="22"/>
      <c r="Q3952" s="23"/>
      <c r="R3952" s="23"/>
      <c r="S3952" s="14"/>
    </row>
    <row r="3953" ht="18.75" customHeight="1">
      <c r="A3953" s="7" t="s">
        <v>1686</v>
      </c>
      <c r="B3953" s="7" t="s">
        <v>3884</v>
      </c>
      <c r="C3953" s="9">
        <v>2011614.0</v>
      </c>
      <c r="D3953" s="9">
        <v>1211383.0</v>
      </c>
      <c r="E3953" s="9">
        <v>1155.0</v>
      </c>
      <c r="F3953" s="7" t="s">
        <v>1687</v>
      </c>
      <c r="G3953" s="7" t="s">
        <v>364</v>
      </c>
      <c r="H3953" s="7" t="s">
        <v>365</v>
      </c>
      <c r="I3953" s="7" t="s">
        <v>355</v>
      </c>
      <c r="J3953" s="14"/>
      <c r="O3953" s="22"/>
      <c r="P3953" s="22"/>
      <c r="Q3953" s="23"/>
      <c r="R3953" s="23"/>
      <c r="S3953" s="14"/>
    </row>
    <row r="3954" ht="18.75" customHeight="1">
      <c r="A3954" s="7" t="s">
        <v>1680</v>
      </c>
      <c r="B3954" s="7" t="s">
        <v>3884</v>
      </c>
      <c r="C3954" s="9">
        <v>136085.0</v>
      </c>
      <c r="D3954" s="9">
        <v>0.0</v>
      </c>
      <c r="E3954" s="9">
        <v>513.0</v>
      </c>
      <c r="F3954" s="7" t="s">
        <v>1681</v>
      </c>
      <c r="G3954" s="7" t="s">
        <v>353</v>
      </c>
      <c r="H3954" s="7" t="s">
        <v>378</v>
      </c>
      <c r="I3954" s="7" t="s">
        <v>355</v>
      </c>
      <c r="J3954" s="14"/>
      <c r="O3954" s="22"/>
      <c r="P3954" s="22"/>
      <c r="Q3954" s="23"/>
      <c r="R3954" s="23"/>
      <c r="S3954" s="14"/>
    </row>
    <row r="3955" ht="18.75" customHeight="1">
      <c r="A3955" s="7" t="s">
        <v>709</v>
      </c>
      <c r="B3955" s="7" t="s">
        <v>3884</v>
      </c>
      <c r="C3955" s="9">
        <v>0.0</v>
      </c>
      <c r="D3955" s="9">
        <v>0.0</v>
      </c>
      <c r="E3955" s="9">
        <v>0.0</v>
      </c>
      <c r="F3955" s="7" t="s">
        <v>710</v>
      </c>
      <c r="G3955" s="7" t="s">
        <v>404</v>
      </c>
      <c r="H3955" s="7" t="s">
        <v>667</v>
      </c>
      <c r="I3955" s="7" t="s">
        <v>410</v>
      </c>
      <c r="J3955" s="14"/>
      <c r="O3955" s="22"/>
      <c r="P3955" s="22"/>
      <c r="Q3955" s="23"/>
      <c r="R3955" s="23"/>
      <c r="S3955" s="14"/>
    </row>
    <row r="3956" ht="18.75" customHeight="1">
      <c r="A3956" s="7" t="s">
        <v>1686</v>
      </c>
      <c r="B3956" s="7" t="s">
        <v>3884</v>
      </c>
      <c r="C3956" s="9">
        <v>2007662.0</v>
      </c>
      <c r="D3956" s="9">
        <v>1299569.0</v>
      </c>
      <c r="E3956" s="9">
        <v>1262.0</v>
      </c>
      <c r="F3956" s="7" t="s">
        <v>1687</v>
      </c>
      <c r="G3956" s="7" t="s">
        <v>364</v>
      </c>
      <c r="H3956" s="7" t="s">
        <v>365</v>
      </c>
      <c r="I3956" s="7" t="s">
        <v>355</v>
      </c>
      <c r="J3956" s="14"/>
      <c r="O3956" s="22"/>
      <c r="P3956" s="22"/>
      <c r="Q3956" s="23"/>
      <c r="R3956" s="23"/>
      <c r="S3956" s="14"/>
    </row>
    <row r="3957" ht="18.75" customHeight="1">
      <c r="A3957" s="7" t="s">
        <v>870</v>
      </c>
      <c r="B3957" s="7" t="s">
        <v>3884</v>
      </c>
      <c r="C3957" s="9">
        <v>2012229.0</v>
      </c>
      <c r="D3957" s="9">
        <v>0.0</v>
      </c>
      <c r="E3957" s="9">
        <v>2117.0</v>
      </c>
      <c r="F3957" s="7" t="s">
        <v>871</v>
      </c>
      <c r="G3957" s="7" t="s">
        <v>353</v>
      </c>
      <c r="H3957" s="7" t="s">
        <v>378</v>
      </c>
      <c r="I3957" s="7" t="s">
        <v>355</v>
      </c>
      <c r="J3957" s="14"/>
      <c r="O3957" s="22"/>
      <c r="P3957" s="22"/>
      <c r="Q3957" s="23"/>
      <c r="R3957" s="23"/>
      <c r="S3957" s="14"/>
    </row>
    <row r="3958" ht="18.75" customHeight="1">
      <c r="A3958" s="7" t="s">
        <v>1680</v>
      </c>
      <c r="B3958" s="7" t="s">
        <v>3884</v>
      </c>
      <c r="C3958" s="9">
        <v>251847.0</v>
      </c>
      <c r="D3958" s="9">
        <v>0.0</v>
      </c>
      <c r="E3958" s="9">
        <v>720.0</v>
      </c>
      <c r="F3958" s="7" t="s">
        <v>1681</v>
      </c>
      <c r="G3958" s="7" t="s">
        <v>353</v>
      </c>
      <c r="H3958" s="7" t="s">
        <v>378</v>
      </c>
      <c r="I3958" s="7" t="s">
        <v>355</v>
      </c>
      <c r="J3958" s="14"/>
      <c r="O3958" s="22"/>
      <c r="P3958" s="22"/>
      <c r="Q3958" s="23"/>
      <c r="R3958" s="23"/>
      <c r="S3958" s="14"/>
    </row>
    <row r="3959" ht="18.75" customHeight="1">
      <c r="A3959" s="7" t="s">
        <v>1221</v>
      </c>
      <c r="B3959" s="7" t="s">
        <v>3884</v>
      </c>
      <c r="C3959" s="9">
        <v>2924310.0</v>
      </c>
      <c r="D3959" s="9">
        <v>0.0</v>
      </c>
      <c r="E3959" s="9">
        <v>2952.0</v>
      </c>
      <c r="F3959" s="7" t="s">
        <v>1222</v>
      </c>
      <c r="G3959" s="7" t="s">
        <v>353</v>
      </c>
      <c r="H3959" s="7" t="s">
        <v>378</v>
      </c>
      <c r="I3959" s="7" t="s">
        <v>355</v>
      </c>
      <c r="J3959" s="14"/>
      <c r="O3959" s="22"/>
      <c r="P3959" s="22"/>
      <c r="Q3959" s="23"/>
      <c r="R3959" s="23"/>
      <c r="S3959" s="14"/>
    </row>
    <row r="3960" ht="18.75" customHeight="1">
      <c r="A3960" s="7" t="s">
        <v>1221</v>
      </c>
      <c r="B3960" s="7" t="s">
        <v>3884</v>
      </c>
      <c r="C3960" s="9">
        <v>1797232.0</v>
      </c>
      <c r="D3960" s="9">
        <v>0.0</v>
      </c>
      <c r="E3960" s="9">
        <v>1537.0</v>
      </c>
      <c r="F3960" s="7" t="s">
        <v>1222</v>
      </c>
      <c r="G3960" s="7" t="s">
        <v>353</v>
      </c>
      <c r="H3960" s="7" t="s">
        <v>378</v>
      </c>
      <c r="I3960" s="7" t="s">
        <v>355</v>
      </c>
      <c r="J3960" s="14"/>
      <c r="O3960" s="22"/>
      <c r="P3960" s="22"/>
      <c r="Q3960" s="23"/>
      <c r="R3960" s="23"/>
      <c r="S3960" s="14"/>
    </row>
    <row r="3961" ht="18.75" customHeight="1">
      <c r="A3961" s="7" t="s">
        <v>1676</v>
      </c>
      <c r="B3961" s="7" t="s">
        <v>3884</v>
      </c>
      <c r="C3961" s="9">
        <v>462486.0</v>
      </c>
      <c r="D3961" s="9">
        <v>0.0</v>
      </c>
      <c r="E3961" s="9">
        <v>4948.0</v>
      </c>
      <c r="F3961" s="7" t="s">
        <v>1677</v>
      </c>
      <c r="G3961" s="7" t="s">
        <v>416</v>
      </c>
      <c r="H3961" s="7" t="s">
        <v>417</v>
      </c>
      <c r="I3961" s="7" t="s">
        <v>355</v>
      </c>
      <c r="J3961" s="14"/>
      <c r="O3961" s="22"/>
      <c r="P3961" s="22"/>
      <c r="Q3961" s="23"/>
      <c r="R3961" s="23"/>
      <c r="S3961" s="14"/>
    </row>
    <row r="3962" ht="18.75" customHeight="1">
      <c r="A3962" s="7" t="s">
        <v>1676</v>
      </c>
      <c r="B3962" s="7" t="s">
        <v>3884</v>
      </c>
      <c r="C3962" s="9">
        <v>106509.0</v>
      </c>
      <c r="D3962" s="9">
        <v>0.0</v>
      </c>
      <c r="E3962" s="9">
        <v>253.0</v>
      </c>
      <c r="F3962" s="7" t="s">
        <v>1677</v>
      </c>
      <c r="G3962" s="7" t="s">
        <v>416</v>
      </c>
      <c r="H3962" s="7" t="s">
        <v>417</v>
      </c>
      <c r="I3962" s="7" t="s">
        <v>355</v>
      </c>
      <c r="J3962" s="14"/>
      <c r="O3962" s="22"/>
      <c r="P3962" s="22"/>
      <c r="Q3962" s="23"/>
      <c r="R3962" s="23"/>
      <c r="S3962" s="14"/>
    </row>
    <row r="3963" ht="18.75" customHeight="1">
      <c r="A3963" s="7" t="s">
        <v>1423</v>
      </c>
      <c r="B3963" s="7" t="s">
        <v>3884</v>
      </c>
      <c r="C3963" s="9">
        <v>1949456.0</v>
      </c>
      <c r="D3963" s="9">
        <v>0.0</v>
      </c>
      <c r="E3963" s="9">
        <v>2238.0</v>
      </c>
      <c r="F3963" s="7" t="s">
        <v>1424</v>
      </c>
      <c r="G3963" s="7" t="s">
        <v>358</v>
      </c>
      <c r="H3963" s="7" t="s">
        <v>466</v>
      </c>
      <c r="I3963" s="7" t="s">
        <v>355</v>
      </c>
      <c r="J3963" s="14"/>
      <c r="O3963" s="22"/>
      <c r="P3963" s="22"/>
      <c r="Q3963" s="23"/>
      <c r="R3963" s="23"/>
      <c r="S3963" s="14"/>
    </row>
    <row r="3964" ht="18.75" customHeight="1">
      <c r="A3964" s="7" t="s">
        <v>1423</v>
      </c>
      <c r="B3964" s="7" t="s">
        <v>3884</v>
      </c>
      <c r="C3964" s="9">
        <v>1542792.0</v>
      </c>
      <c r="D3964" s="9">
        <v>0.0</v>
      </c>
      <c r="E3964" s="9">
        <v>978.0</v>
      </c>
      <c r="F3964" s="7" t="s">
        <v>1424</v>
      </c>
      <c r="G3964" s="7" t="s">
        <v>358</v>
      </c>
      <c r="H3964" s="7" t="s">
        <v>466</v>
      </c>
      <c r="I3964" s="7" t="s">
        <v>355</v>
      </c>
      <c r="J3964" s="14"/>
      <c r="O3964" s="22"/>
      <c r="P3964" s="22"/>
      <c r="Q3964" s="23"/>
      <c r="R3964" s="23"/>
      <c r="S3964" s="14"/>
    </row>
    <row r="3965" ht="18.75" customHeight="1">
      <c r="A3965" s="7" t="s">
        <v>1423</v>
      </c>
      <c r="B3965" s="7" t="s">
        <v>3884</v>
      </c>
      <c r="C3965" s="9">
        <v>53923.0</v>
      </c>
      <c r="D3965" s="9">
        <v>0.0</v>
      </c>
      <c r="E3965" s="9">
        <v>2416.0</v>
      </c>
      <c r="F3965" s="7" t="s">
        <v>1424</v>
      </c>
      <c r="G3965" s="7" t="s">
        <v>358</v>
      </c>
      <c r="H3965" s="7" t="s">
        <v>466</v>
      </c>
      <c r="I3965" s="7" t="s">
        <v>355</v>
      </c>
      <c r="J3965" s="14"/>
      <c r="O3965" s="22"/>
      <c r="P3965" s="22"/>
      <c r="Q3965" s="23"/>
      <c r="R3965" s="23"/>
      <c r="S3965" s="14"/>
    </row>
    <row r="3966" ht="18.75" customHeight="1">
      <c r="A3966" s="7" t="s">
        <v>1539</v>
      </c>
      <c r="B3966" s="7" t="s">
        <v>3884</v>
      </c>
      <c r="C3966" s="9">
        <v>699048.0</v>
      </c>
      <c r="D3966" s="9">
        <v>540169.0</v>
      </c>
      <c r="E3966" s="9">
        <v>219.0</v>
      </c>
      <c r="F3966" s="7" t="s">
        <v>1540</v>
      </c>
      <c r="G3966" s="7" t="s">
        <v>416</v>
      </c>
      <c r="H3966" s="7" t="s">
        <v>417</v>
      </c>
      <c r="I3966" s="7" t="s">
        <v>355</v>
      </c>
      <c r="J3966" s="14"/>
      <c r="O3966" s="22"/>
      <c r="P3966" s="22"/>
      <c r="Q3966" s="23"/>
      <c r="R3966" s="23"/>
      <c r="S3966" s="14"/>
    </row>
    <row r="3967" ht="18.75" customHeight="1">
      <c r="A3967" s="7" t="s">
        <v>1523</v>
      </c>
      <c r="B3967" s="7" t="s">
        <v>3884</v>
      </c>
      <c r="C3967" s="9">
        <v>1.5743773E7</v>
      </c>
      <c r="D3967" s="9">
        <v>7419223.0</v>
      </c>
      <c r="E3967" s="9">
        <v>10541.0</v>
      </c>
      <c r="F3967" s="7" t="s">
        <v>1524</v>
      </c>
      <c r="G3967" s="7" t="s">
        <v>364</v>
      </c>
      <c r="H3967" s="7" t="s">
        <v>365</v>
      </c>
      <c r="I3967" s="7" t="s">
        <v>410</v>
      </c>
      <c r="J3967" s="14"/>
      <c r="O3967" s="22"/>
      <c r="P3967" s="22"/>
      <c r="Q3967" s="23"/>
      <c r="R3967" s="23"/>
      <c r="S3967" s="14"/>
    </row>
    <row r="3968" ht="18.75" customHeight="1">
      <c r="A3968" s="7" t="s">
        <v>1523</v>
      </c>
      <c r="B3968" s="7" t="s">
        <v>3884</v>
      </c>
      <c r="C3968" s="9">
        <v>0.0</v>
      </c>
      <c r="D3968" s="9">
        <v>0.0</v>
      </c>
      <c r="E3968" s="9">
        <v>0.0</v>
      </c>
      <c r="F3968" s="7" t="s">
        <v>1524</v>
      </c>
      <c r="G3968" s="7" t="s">
        <v>364</v>
      </c>
      <c r="H3968" s="7" t="s">
        <v>365</v>
      </c>
      <c r="I3968" s="7" t="s">
        <v>410</v>
      </c>
      <c r="J3968" s="14"/>
      <c r="O3968" s="22"/>
      <c r="P3968" s="22"/>
      <c r="Q3968" s="23"/>
      <c r="R3968" s="23"/>
      <c r="S3968" s="14"/>
    </row>
    <row r="3969" ht="18.75" customHeight="1">
      <c r="A3969" s="7" t="s">
        <v>1567</v>
      </c>
      <c r="B3969" s="7" t="s">
        <v>3884</v>
      </c>
      <c r="C3969" s="9">
        <v>3259770.0</v>
      </c>
      <c r="D3969" s="9">
        <v>2261305.0</v>
      </c>
      <c r="E3969" s="9">
        <v>2628.0</v>
      </c>
      <c r="F3969" s="7" t="s">
        <v>1568</v>
      </c>
      <c r="G3969" s="7" t="s">
        <v>358</v>
      </c>
      <c r="H3969" s="7" t="s">
        <v>466</v>
      </c>
      <c r="I3969" s="7" t="s">
        <v>355</v>
      </c>
      <c r="J3969" s="14"/>
      <c r="O3969" s="22"/>
      <c r="P3969" s="22"/>
      <c r="Q3969" s="23"/>
      <c r="R3969" s="23"/>
      <c r="S3969" s="14"/>
    </row>
    <row r="3970" ht="18.75" customHeight="1">
      <c r="A3970" s="7" t="s">
        <v>1401</v>
      </c>
      <c r="B3970" s="7" t="s">
        <v>3884</v>
      </c>
      <c r="C3970" s="9">
        <v>4442318.0</v>
      </c>
      <c r="D3970" s="9">
        <v>0.0</v>
      </c>
      <c r="E3970" s="9">
        <v>3041.0</v>
      </c>
      <c r="F3970" s="7" t="s">
        <v>1402</v>
      </c>
      <c r="G3970" s="7" t="s">
        <v>358</v>
      </c>
      <c r="H3970" s="7" t="s">
        <v>466</v>
      </c>
      <c r="I3970" s="7" t="s">
        <v>410</v>
      </c>
      <c r="J3970" s="14"/>
      <c r="O3970" s="22"/>
      <c r="P3970" s="22"/>
      <c r="Q3970" s="23"/>
      <c r="R3970" s="23"/>
      <c r="S3970" s="14"/>
    </row>
    <row r="3971" ht="18.75" customHeight="1">
      <c r="A3971" s="7" t="s">
        <v>1401</v>
      </c>
      <c r="B3971" s="7" t="s">
        <v>3884</v>
      </c>
      <c r="C3971" s="9">
        <v>4749645.0</v>
      </c>
      <c r="D3971" s="9">
        <v>0.0</v>
      </c>
      <c r="E3971" s="9">
        <v>3876.0</v>
      </c>
      <c r="F3971" s="7" t="s">
        <v>1402</v>
      </c>
      <c r="G3971" s="7" t="s">
        <v>358</v>
      </c>
      <c r="H3971" s="7" t="s">
        <v>466</v>
      </c>
      <c r="I3971" s="7" t="s">
        <v>410</v>
      </c>
      <c r="J3971" s="14"/>
      <c r="O3971" s="22"/>
      <c r="P3971" s="22"/>
      <c r="Q3971" s="23"/>
      <c r="R3971" s="23"/>
      <c r="S3971" s="14"/>
    </row>
    <row r="3972" ht="18.75" customHeight="1">
      <c r="A3972" s="7" t="s">
        <v>1401</v>
      </c>
      <c r="B3972" s="7" t="s">
        <v>3884</v>
      </c>
      <c r="C3972" s="9">
        <v>5546854.0</v>
      </c>
      <c r="D3972" s="9">
        <v>0.0</v>
      </c>
      <c r="E3972" s="9">
        <v>4175.0</v>
      </c>
      <c r="F3972" s="7" t="s">
        <v>1402</v>
      </c>
      <c r="G3972" s="7" t="s">
        <v>358</v>
      </c>
      <c r="H3972" s="7" t="s">
        <v>466</v>
      </c>
      <c r="I3972" s="7" t="s">
        <v>410</v>
      </c>
      <c r="J3972" s="14"/>
      <c r="O3972" s="22"/>
      <c r="P3972" s="22"/>
      <c r="Q3972" s="23"/>
      <c r="R3972" s="23"/>
      <c r="S3972" s="14"/>
    </row>
    <row r="3973" ht="18.75" customHeight="1">
      <c r="A3973" s="7" t="s">
        <v>1401</v>
      </c>
      <c r="B3973" s="7" t="s">
        <v>3884</v>
      </c>
      <c r="C3973" s="9">
        <v>5244361.0</v>
      </c>
      <c r="D3973" s="9">
        <v>0.0</v>
      </c>
      <c r="E3973" s="9">
        <v>4777.0</v>
      </c>
      <c r="F3973" s="7" t="s">
        <v>1402</v>
      </c>
      <c r="G3973" s="7" t="s">
        <v>358</v>
      </c>
      <c r="H3973" s="7" t="s">
        <v>466</v>
      </c>
      <c r="I3973" s="7" t="s">
        <v>410</v>
      </c>
      <c r="J3973" s="14"/>
      <c r="O3973" s="22"/>
      <c r="P3973" s="22"/>
      <c r="Q3973" s="23"/>
      <c r="R3973" s="23"/>
      <c r="S3973" s="14"/>
    </row>
    <row r="3974" ht="18.75" customHeight="1">
      <c r="A3974" s="7" t="s">
        <v>1401</v>
      </c>
      <c r="B3974" s="7" t="s">
        <v>3884</v>
      </c>
      <c r="C3974" s="9">
        <v>5118711.0</v>
      </c>
      <c r="D3974" s="9">
        <v>0.0</v>
      </c>
      <c r="E3974" s="9">
        <v>4310.0</v>
      </c>
      <c r="F3974" s="7" t="s">
        <v>1402</v>
      </c>
      <c r="G3974" s="7" t="s">
        <v>358</v>
      </c>
      <c r="H3974" s="7" t="s">
        <v>466</v>
      </c>
      <c r="I3974" s="7" t="s">
        <v>410</v>
      </c>
      <c r="J3974" s="14"/>
      <c r="O3974" s="22"/>
      <c r="P3974" s="22"/>
      <c r="Q3974" s="23"/>
      <c r="R3974" s="23"/>
      <c r="S3974" s="14"/>
    </row>
    <row r="3975" ht="18.75" customHeight="1">
      <c r="A3975" s="7" t="s">
        <v>1401</v>
      </c>
      <c r="B3975" s="7" t="s">
        <v>3884</v>
      </c>
      <c r="C3975" s="9">
        <v>4110013.0</v>
      </c>
      <c r="D3975" s="9">
        <v>0.0</v>
      </c>
      <c r="E3975" s="9">
        <v>4317.0</v>
      </c>
      <c r="F3975" s="7" t="s">
        <v>1402</v>
      </c>
      <c r="G3975" s="7" t="s">
        <v>358</v>
      </c>
      <c r="H3975" s="7" t="s">
        <v>466</v>
      </c>
      <c r="I3975" s="7" t="s">
        <v>410</v>
      </c>
      <c r="J3975" s="14"/>
      <c r="O3975" s="22"/>
      <c r="P3975" s="22"/>
      <c r="Q3975" s="23"/>
      <c r="R3975" s="23"/>
      <c r="S3975" s="14"/>
    </row>
    <row r="3976" ht="18.75" customHeight="1">
      <c r="A3976" s="7" t="s">
        <v>1401</v>
      </c>
      <c r="B3976" s="7" t="s">
        <v>3884</v>
      </c>
      <c r="C3976" s="9">
        <v>5888467.0</v>
      </c>
      <c r="D3976" s="9">
        <v>0.0</v>
      </c>
      <c r="E3976" s="9">
        <v>4904.0</v>
      </c>
      <c r="F3976" s="7" t="s">
        <v>1402</v>
      </c>
      <c r="G3976" s="7" t="s">
        <v>358</v>
      </c>
      <c r="H3976" s="7" t="s">
        <v>466</v>
      </c>
      <c r="I3976" s="7" t="s">
        <v>410</v>
      </c>
      <c r="J3976" s="14"/>
      <c r="O3976" s="22"/>
      <c r="P3976" s="22"/>
      <c r="Q3976" s="23"/>
      <c r="R3976" s="23"/>
      <c r="S3976" s="14"/>
    </row>
    <row r="3977" ht="18.75" customHeight="1">
      <c r="A3977" s="7" t="s">
        <v>1401</v>
      </c>
      <c r="B3977" s="7" t="s">
        <v>3884</v>
      </c>
      <c r="C3977" s="9">
        <v>5350044.0</v>
      </c>
      <c r="D3977" s="9">
        <v>0.0</v>
      </c>
      <c r="E3977" s="9">
        <v>5021.0</v>
      </c>
      <c r="F3977" s="7" t="s">
        <v>1402</v>
      </c>
      <c r="G3977" s="7" t="s">
        <v>358</v>
      </c>
      <c r="H3977" s="7" t="s">
        <v>466</v>
      </c>
      <c r="I3977" s="7" t="s">
        <v>410</v>
      </c>
      <c r="J3977" s="14"/>
      <c r="O3977" s="22"/>
      <c r="P3977" s="22"/>
      <c r="Q3977" s="23"/>
      <c r="R3977" s="23"/>
      <c r="S3977" s="14"/>
    </row>
    <row r="3978" ht="18.75" customHeight="1">
      <c r="A3978" s="7" t="s">
        <v>1401</v>
      </c>
      <c r="B3978" s="7" t="s">
        <v>3884</v>
      </c>
      <c r="C3978" s="9">
        <v>5826274.0</v>
      </c>
      <c r="D3978" s="9">
        <v>0.0</v>
      </c>
      <c r="E3978" s="9">
        <v>5561.0</v>
      </c>
      <c r="F3978" s="7" t="s">
        <v>1402</v>
      </c>
      <c r="G3978" s="7" t="s">
        <v>358</v>
      </c>
      <c r="H3978" s="7" t="s">
        <v>466</v>
      </c>
      <c r="I3978" s="7" t="s">
        <v>410</v>
      </c>
      <c r="J3978" s="14"/>
      <c r="O3978" s="22"/>
      <c r="P3978" s="22"/>
      <c r="Q3978" s="23"/>
      <c r="R3978" s="23"/>
      <c r="S3978" s="14"/>
    </row>
    <row r="3979" ht="18.75" customHeight="1">
      <c r="A3979" s="7" t="s">
        <v>1401</v>
      </c>
      <c r="B3979" s="7" t="s">
        <v>3884</v>
      </c>
      <c r="C3979" s="9">
        <v>5203824.0</v>
      </c>
      <c r="D3979" s="9">
        <v>0.0</v>
      </c>
      <c r="E3979" s="9">
        <v>4516.0</v>
      </c>
      <c r="F3979" s="7" t="s">
        <v>1402</v>
      </c>
      <c r="G3979" s="7" t="s">
        <v>358</v>
      </c>
      <c r="H3979" s="7" t="s">
        <v>466</v>
      </c>
      <c r="I3979" s="7" t="s">
        <v>410</v>
      </c>
      <c r="J3979" s="14"/>
      <c r="O3979" s="22"/>
      <c r="P3979" s="22"/>
      <c r="Q3979" s="23"/>
      <c r="R3979" s="23"/>
      <c r="S3979" s="14"/>
    </row>
    <row r="3980" ht="18.75" customHeight="1">
      <c r="A3980" s="7" t="s">
        <v>1401</v>
      </c>
      <c r="B3980" s="7" t="s">
        <v>3884</v>
      </c>
      <c r="C3980" s="9">
        <v>5381669.0</v>
      </c>
      <c r="D3980" s="9">
        <v>0.0</v>
      </c>
      <c r="E3980" s="9">
        <v>4670.0</v>
      </c>
      <c r="F3980" s="7" t="s">
        <v>1402</v>
      </c>
      <c r="G3980" s="7" t="s">
        <v>358</v>
      </c>
      <c r="H3980" s="7" t="s">
        <v>466</v>
      </c>
      <c r="I3980" s="7" t="s">
        <v>410</v>
      </c>
      <c r="J3980" s="14"/>
      <c r="O3980" s="22"/>
      <c r="P3980" s="22"/>
      <c r="Q3980" s="23"/>
      <c r="R3980" s="23"/>
      <c r="S3980" s="14"/>
    </row>
    <row r="3981" ht="18.75" customHeight="1">
      <c r="A3981" s="7" t="s">
        <v>1401</v>
      </c>
      <c r="B3981" s="7" t="s">
        <v>3884</v>
      </c>
      <c r="C3981" s="9">
        <v>3763781.0</v>
      </c>
      <c r="D3981" s="9">
        <v>0.0</v>
      </c>
      <c r="E3981" s="9">
        <v>3441.0</v>
      </c>
      <c r="F3981" s="7" t="s">
        <v>1402</v>
      </c>
      <c r="G3981" s="7" t="s">
        <v>358</v>
      </c>
      <c r="H3981" s="7" t="s">
        <v>466</v>
      </c>
      <c r="I3981" s="7" t="s">
        <v>410</v>
      </c>
      <c r="J3981" s="14"/>
      <c r="O3981" s="22"/>
      <c r="P3981" s="22"/>
      <c r="Q3981" s="23"/>
      <c r="R3981" s="23"/>
      <c r="S3981" s="14"/>
    </row>
    <row r="3982" ht="18.75" customHeight="1">
      <c r="A3982" s="7" t="s">
        <v>1401</v>
      </c>
      <c r="B3982" s="7" t="s">
        <v>3884</v>
      </c>
      <c r="C3982" s="9">
        <v>6406309.0</v>
      </c>
      <c r="D3982" s="9">
        <v>0.0</v>
      </c>
      <c r="E3982" s="9">
        <v>5080.0</v>
      </c>
      <c r="F3982" s="7" t="s">
        <v>1402</v>
      </c>
      <c r="G3982" s="7" t="s">
        <v>358</v>
      </c>
      <c r="H3982" s="7" t="s">
        <v>466</v>
      </c>
      <c r="I3982" s="7" t="s">
        <v>410</v>
      </c>
      <c r="J3982" s="14"/>
      <c r="O3982" s="22"/>
      <c r="P3982" s="22"/>
      <c r="Q3982" s="23"/>
      <c r="R3982" s="23"/>
      <c r="S3982" s="14"/>
    </row>
    <row r="3983" ht="18.75" customHeight="1">
      <c r="A3983" s="7" t="s">
        <v>1401</v>
      </c>
      <c r="B3983" s="7" t="s">
        <v>3884</v>
      </c>
      <c r="C3983" s="9">
        <v>5390521.0</v>
      </c>
      <c r="D3983" s="9">
        <v>0.0</v>
      </c>
      <c r="E3983" s="9">
        <v>4349.0</v>
      </c>
      <c r="F3983" s="7" t="s">
        <v>1402</v>
      </c>
      <c r="G3983" s="7" t="s">
        <v>358</v>
      </c>
      <c r="H3983" s="7" t="s">
        <v>466</v>
      </c>
      <c r="I3983" s="7" t="s">
        <v>410</v>
      </c>
      <c r="J3983" s="14"/>
      <c r="O3983" s="22"/>
      <c r="P3983" s="22"/>
      <c r="Q3983" s="23"/>
      <c r="R3983" s="23"/>
      <c r="S3983" s="14"/>
    </row>
    <row r="3984" ht="18.75" customHeight="1">
      <c r="A3984" s="7" t="s">
        <v>1401</v>
      </c>
      <c r="B3984" s="7" t="s">
        <v>3884</v>
      </c>
      <c r="C3984" s="9">
        <v>6001093.0</v>
      </c>
      <c r="D3984" s="9">
        <v>0.0</v>
      </c>
      <c r="E3984" s="9">
        <v>4737.0</v>
      </c>
      <c r="F3984" s="7" t="s">
        <v>1402</v>
      </c>
      <c r="G3984" s="7" t="s">
        <v>358</v>
      </c>
      <c r="H3984" s="7" t="s">
        <v>466</v>
      </c>
      <c r="I3984" s="7" t="s">
        <v>410</v>
      </c>
      <c r="J3984" s="14"/>
      <c r="O3984" s="22"/>
      <c r="P3984" s="22"/>
      <c r="Q3984" s="23"/>
      <c r="R3984" s="23"/>
      <c r="S3984" s="14"/>
    </row>
    <row r="3985" ht="18.75" customHeight="1">
      <c r="A3985" s="7" t="s">
        <v>1401</v>
      </c>
      <c r="B3985" s="7" t="s">
        <v>3884</v>
      </c>
      <c r="C3985" s="9">
        <v>372683.0</v>
      </c>
      <c r="D3985" s="9">
        <v>0.0</v>
      </c>
      <c r="E3985" s="9">
        <v>193.0</v>
      </c>
      <c r="F3985" s="7" t="s">
        <v>1402</v>
      </c>
      <c r="G3985" s="7" t="s">
        <v>358</v>
      </c>
      <c r="H3985" s="7" t="s">
        <v>466</v>
      </c>
      <c r="I3985" s="7" t="s">
        <v>410</v>
      </c>
      <c r="J3985" s="14"/>
      <c r="O3985" s="22"/>
      <c r="P3985" s="22"/>
      <c r="Q3985" s="23"/>
      <c r="R3985" s="23"/>
      <c r="S3985" s="14"/>
    </row>
    <row r="3986" ht="18.75" customHeight="1">
      <c r="A3986" s="7" t="s">
        <v>1401</v>
      </c>
      <c r="B3986" s="7" t="s">
        <v>3884</v>
      </c>
      <c r="C3986" s="9">
        <v>877410.0</v>
      </c>
      <c r="D3986" s="9">
        <v>596037.0</v>
      </c>
      <c r="E3986" s="9">
        <v>1654.0</v>
      </c>
      <c r="F3986" s="7" t="s">
        <v>1402</v>
      </c>
      <c r="G3986" s="7" t="s">
        <v>358</v>
      </c>
      <c r="H3986" s="7" t="s">
        <v>466</v>
      </c>
      <c r="I3986" s="7" t="s">
        <v>410</v>
      </c>
      <c r="J3986" s="14"/>
      <c r="O3986" s="22"/>
      <c r="P3986" s="22"/>
      <c r="Q3986" s="23"/>
      <c r="R3986" s="23"/>
      <c r="S3986" s="14"/>
    </row>
    <row r="3987" ht="18.75" customHeight="1">
      <c r="A3987" s="7" t="s">
        <v>1401</v>
      </c>
      <c r="B3987" s="7" t="s">
        <v>3884</v>
      </c>
      <c r="C3987" s="9">
        <v>779528.0</v>
      </c>
      <c r="D3987" s="9">
        <v>579250.0</v>
      </c>
      <c r="E3987" s="9">
        <v>1252.0</v>
      </c>
      <c r="F3987" s="7" t="s">
        <v>1402</v>
      </c>
      <c r="G3987" s="7" t="s">
        <v>358</v>
      </c>
      <c r="H3987" s="7" t="s">
        <v>466</v>
      </c>
      <c r="I3987" s="7" t="s">
        <v>410</v>
      </c>
      <c r="J3987" s="14"/>
      <c r="O3987" s="22"/>
      <c r="P3987" s="22"/>
      <c r="Q3987" s="23"/>
      <c r="R3987" s="23"/>
      <c r="S3987" s="14"/>
    </row>
    <row r="3988" ht="18.75" customHeight="1">
      <c r="A3988" s="7" t="s">
        <v>1401</v>
      </c>
      <c r="B3988" s="7" t="s">
        <v>3884</v>
      </c>
      <c r="C3988" s="9">
        <v>0.0</v>
      </c>
      <c r="D3988" s="9">
        <v>0.0</v>
      </c>
      <c r="E3988" s="9">
        <v>0.0</v>
      </c>
      <c r="F3988" s="7" t="s">
        <v>1402</v>
      </c>
      <c r="G3988" s="7" t="s">
        <v>358</v>
      </c>
      <c r="H3988" s="7" t="s">
        <v>466</v>
      </c>
      <c r="I3988" s="7" t="s">
        <v>410</v>
      </c>
      <c r="J3988" s="14"/>
      <c r="O3988" s="22"/>
      <c r="P3988" s="22"/>
      <c r="Q3988" s="23"/>
      <c r="R3988" s="23"/>
      <c r="S3988" s="14"/>
    </row>
    <row r="3989" ht="18.75" customHeight="1">
      <c r="A3989" s="7" t="s">
        <v>1401</v>
      </c>
      <c r="B3989" s="7" t="s">
        <v>3884</v>
      </c>
      <c r="C3989" s="9">
        <v>313985.0</v>
      </c>
      <c r="D3989" s="9">
        <v>285953.0</v>
      </c>
      <c r="E3989" s="9">
        <v>10.0</v>
      </c>
      <c r="F3989" s="7" t="s">
        <v>1402</v>
      </c>
      <c r="G3989" s="7" t="s">
        <v>358</v>
      </c>
      <c r="H3989" s="7" t="s">
        <v>466</v>
      </c>
      <c r="I3989" s="7" t="s">
        <v>410</v>
      </c>
      <c r="J3989" s="14"/>
      <c r="O3989" s="22"/>
      <c r="P3989" s="22"/>
      <c r="Q3989" s="23"/>
      <c r="R3989" s="23"/>
      <c r="S3989" s="14"/>
    </row>
    <row r="3990" ht="18.75" customHeight="1">
      <c r="A3990" s="7" t="s">
        <v>1401</v>
      </c>
      <c r="B3990" s="7" t="s">
        <v>3884</v>
      </c>
      <c r="C3990" s="9">
        <v>168498.0</v>
      </c>
      <c r="D3990" s="9">
        <v>153974.0</v>
      </c>
      <c r="E3990" s="9">
        <v>5.0</v>
      </c>
      <c r="F3990" s="7" t="s">
        <v>1402</v>
      </c>
      <c r="G3990" s="7" t="s">
        <v>358</v>
      </c>
      <c r="H3990" s="7" t="s">
        <v>466</v>
      </c>
      <c r="I3990" s="7" t="s">
        <v>410</v>
      </c>
      <c r="J3990" s="14"/>
      <c r="O3990" s="22"/>
      <c r="P3990" s="22"/>
      <c r="Q3990" s="23"/>
      <c r="R3990" s="23"/>
      <c r="S3990" s="14"/>
    </row>
    <row r="3991" ht="18.75" customHeight="1">
      <c r="A3991" s="7" t="s">
        <v>1401</v>
      </c>
      <c r="B3991" s="7" t="s">
        <v>3884</v>
      </c>
      <c r="C3991" s="9">
        <v>425356.0</v>
      </c>
      <c r="D3991" s="9">
        <v>390620.0</v>
      </c>
      <c r="E3991" s="9">
        <v>5.0</v>
      </c>
      <c r="F3991" s="7" t="s">
        <v>1402</v>
      </c>
      <c r="G3991" s="7" t="s">
        <v>358</v>
      </c>
      <c r="H3991" s="7" t="s">
        <v>466</v>
      </c>
      <c r="I3991" s="7" t="s">
        <v>410</v>
      </c>
      <c r="J3991" s="14"/>
      <c r="O3991" s="22"/>
      <c r="P3991" s="22"/>
      <c r="Q3991" s="23"/>
      <c r="R3991" s="23"/>
      <c r="S3991" s="14"/>
    </row>
    <row r="3992" ht="18.75" customHeight="1">
      <c r="A3992" s="7" t="s">
        <v>1401</v>
      </c>
      <c r="B3992" s="7" t="s">
        <v>3884</v>
      </c>
      <c r="C3992" s="9">
        <v>332191.0</v>
      </c>
      <c r="D3992" s="9">
        <v>0.0</v>
      </c>
      <c r="E3992" s="9">
        <v>22911.0</v>
      </c>
      <c r="F3992" s="7" t="s">
        <v>1402</v>
      </c>
      <c r="G3992" s="7" t="s">
        <v>358</v>
      </c>
      <c r="H3992" s="7" t="s">
        <v>466</v>
      </c>
      <c r="I3992" s="7" t="s">
        <v>410</v>
      </c>
      <c r="J3992" s="14"/>
      <c r="O3992" s="22"/>
      <c r="P3992" s="22"/>
      <c r="Q3992" s="23"/>
      <c r="R3992" s="23"/>
      <c r="S3992" s="14"/>
    </row>
    <row r="3993" ht="18.75" customHeight="1">
      <c r="A3993" s="7" t="s">
        <v>1401</v>
      </c>
      <c r="B3993" s="7" t="s">
        <v>3884</v>
      </c>
      <c r="C3993" s="9">
        <v>373795.0</v>
      </c>
      <c r="D3993" s="9">
        <v>0.0</v>
      </c>
      <c r="E3993" s="9">
        <v>535.0</v>
      </c>
      <c r="F3993" s="7" t="s">
        <v>1402</v>
      </c>
      <c r="G3993" s="7" t="s">
        <v>358</v>
      </c>
      <c r="H3993" s="7" t="s">
        <v>466</v>
      </c>
      <c r="I3993" s="7" t="s">
        <v>410</v>
      </c>
      <c r="J3993" s="14"/>
      <c r="O3993" s="22"/>
      <c r="P3993" s="22"/>
      <c r="Q3993" s="23"/>
      <c r="R3993" s="23"/>
      <c r="S3993" s="14"/>
    </row>
    <row r="3994" ht="18.75" customHeight="1">
      <c r="A3994" s="7" t="s">
        <v>1631</v>
      </c>
      <c r="B3994" s="7" t="s">
        <v>3884</v>
      </c>
      <c r="C3994" s="9">
        <v>353262.0</v>
      </c>
      <c r="D3994" s="9">
        <v>290031.0</v>
      </c>
      <c r="E3994" s="9">
        <v>147.0</v>
      </c>
      <c r="F3994" s="7" t="s">
        <v>1632</v>
      </c>
      <c r="G3994" s="7" t="s">
        <v>416</v>
      </c>
      <c r="H3994" s="7" t="s">
        <v>417</v>
      </c>
      <c r="I3994" s="7" t="s">
        <v>355</v>
      </c>
      <c r="J3994" s="14"/>
      <c r="O3994" s="22"/>
      <c r="P3994" s="22"/>
      <c r="Q3994" s="23"/>
      <c r="R3994" s="23"/>
      <c r="S3994" s="14"/>
    </row>
    <row r="3995" ht="18.75" customHeight="1">
      <c r="A3995" s="7" t="s">
        <v>1579</v>
      </c>
      <c r="B3995" s="7" t="s">
        <v>3884</v>
      </c>
      <c r="C3995" s="9">
        <v>3100160.0</v>
      </c>
      <c r="D3995" s="9">
        <v>0.0</v>
      </c>
      <c r="E3995" s="9">
        <v>2682.0</v>
      </c>
      <c r="F3995" s="7" t="s">
        <v>1580</v>
      </c>
      <c r="G3995" s="7" t="s">
        <v>353</v>
      </c>
      <c r="H3995" s="7" t="s">
        <v>378</v>
      </c>
      <c r="I3995" s="7" t="s">
        <v>355</v>
      </c>
      <c r="J3995" s="14"/>
      <c r="O3995" s="22"/>
      <c r="P3995" s="22"/>
      <c r="Q3995" s="23"/>
      <c r="R3995" s="23"/>
      <c r="S3995" s="14"/>
    </row>
    <row r="3996" ht="18.75" customHeight="1">
      <c r="A3996" s="7" t="s">
        <v>3758</v>
      </c>
      <c r="B3996" s="7" t="s">
        <v>3884</v>
      </c>
      <c r="C3996" s="9">
        <v>54667.0</v>
      </c>
      <c r="D3996" s="9">
        <v>0.0</v>
      </c>
      <c r="E3996" s="9">
        <v>247.0</v>
      </c>
      <c r="F3996" s="7" t="s">
        <v>3899</v>
      </c>
      <c r="G3996" s="7" t="s">
        <v>416</v>
      </c>
      <c r="H3996" s="7" t="s">
        <v>417</v>
      </c>
      <c r="I3996" s="7" t="s">
        <v>3886</v>
      </c>
      <c r="J3996" s="14"/>
      <c r="O3996" s="22"/>
      <c r="P3996" s="22"/>
      <c r="Q3996" s="23"/>
      <c r="R3996" s="23"/>
      <c r="S3996" s="14"/>
    </row>
    <row r="3997" ht="18.75" customHeight="1">
      <c r="A3997" s="7" t="s">
        <v>1691</v>
      </c>
      <c r="B3997" s="7" t="s">
        <v>3884</v>
      </c>
      <c r="C3997" s="9">
        <v>2092567.0</v>
      </c>
      <c r="D3997" s="9">
        <v>1556467.0</v>
      </c>
      <c r="E3997" s="9">
        <v>1144.0</v>
      </c>
      <c r="F3997" s="7" t="s">
        <v>1692</v>
      </c>
      <c r="G3997" s="7" t="s">
        <v>364</v>
      </c>
      <c r="H3997" s="7" t="s">
        <v>365</v>
      </c>
      <c r="I3997" s="7" t="s">
        <v>355</v>
      </c>
      <c r="J3997" s="14"/>
      <c r="O3997" s="22"/>
      <c r="P3997" s="22"/>
      <c r="Q3997" s="23"/>
      <c r="R3997" s="23"/>
      <c r="S3997" s="14"/>
    </row>
    <row r="3998" ht="18.75" customHeight="1">
      <c r="A3998" s="7" t="s">
        <v>1691</v>
      </c>
      <c r="B3998" s="7" t="s">
        <v>3884</v>
      </c>
      <c r="C3998" s="9">
        <v>1625905.0</v>
      </c>
      <c r="D3998" s="9">
        <v>1283011.0</v>
      </c>
      <c r="E3998" s="9">
        <v>516.0</v>
      </c>
      <c r="F3998" s="7" t="s">
        <v>1692</v>
      </c>
      <c r="G3998" s="7" t="s">
        <v>364</v>
      </c>
      <c r="H3998" s="7" t="s">
        <v>365</v>
      </c>
      <c r="I3998" s="7" t="s">
        <v>355</v>
      </c>
      <c r="J3998" s="14"/>
      <c r="O3998" s="22"/>
      <c r="P3998" s="22"/>
      <c r="Q3998" s="23"/>
      <c r="R3998" s="23"/>
      <c r="S3998" s="14"/>
    </row>
    <row r="3999" ht="18.75" customHeight="1">
      <c r="A3999" s="7" t="s">
        <v>1657</v>
      </c>
      <c r="B3999" s="7" t="s">
        <v>3884</v>
      </c>
      <c r="C3999" s="9">
        <v>1791825.0</v>
      </c>
      <c r="D3999" s="9">
        <v>1297595.0</v>
      </c>
      <c r="E3999" s="9">
        <v>617.0</v>
      </c>
      <c r="F3999" s="7" t="s">
        <v>1658</v>
      </c>
      <c r="G3999" s="7" t="s">
        <v>358</v>
      </c>
      <c r="H3999" s="7" t="s">
        <v>466</v>
      </c>
      <c r="I3999" s="7" t="s">
        <v>355</v>
      </c>
      <c r="J3999" s="14"/>
      <c r="O3999" s="22"/>
      <c r="P3999" s="22"/>
      <c r="Q3999" s="23"/>
      <c r="R3999" s="23"/>
      <c r="S3999" s="14"/>
    </row>
    <row r="4000" ht="18.75" customHeight="1">
      <c r="A4000" s="7" t="s">
        <v>1537</v>
      </c>
      <c r="B4000" s="7" t="s">
        <v>3884</v>
      </c>
      <c r="C4000" s="9">
        <v>1632351.0</v>
      </c>
      <c r="D4000" s="9">
        <v>1020324.0</v>
      </c>
      <c r="E4000" s="9">
        <v>694.0</v>
      </c>
      <c r="F4000" s="7" t="s">
        <v>1538</v>
      </c>
      <c r="G4000" s="7" t="s">
        <v>416</v>
      </c>
      <c r="H4000" s="7" t="s">
        <v>417</v>
      </c>
      <c r="I4000" s="7" t="s">
        <v>355</v>
      </c>
      <c r="J4000" s="14"/>
      <c r="O4000" s="22"/>
      <c r="P4000" s="22"/>
      <c r="Q4000" s="23"/>
      <c r="R4000" s="23"/>
      <c r="S4000" s="14"/>
    </row>
    <row r="4001" ht="18.75" customHeight="1">
      <c r="A4001" s="7" t="s">
        <v>1291</v>
      </c>
      <c r="B4001" s="7" t="s">
        <v>3884</v>
      </c>
      <c r="C4001" s="9">
        <v>2914852.0</v>
      </c>
      <c r="D4001" s="9">
        <v>0.0</v>
      </c>
      <c r="E4001" s="9">
        <v>3583.0</v>
      </c>
      <c r="F4001" s="7" t="s">
        <v>1292</v>
      </c>
      <c r="G4001" s="7" t="s">
        <v>353</v>
      </c>
      <c r="H4001" s="7" t="s">
        <v>354</v>
      </c>
      <c r="I4001" s="7" t="s">
        <v>410</v>
      </c>
      <c r="J4001" s="14"/>
      <c r="O4001" s="22"/>
      <c r="P4001" s="22"/>
      <c r="Q4001" s="23"/>
      <c r="R4001" s="23"/>
      <c r="S4001" s="14"/>
    </row>
    <row r="4002" ht="18.75" customHeight="1">
      <c r="A4002" s="7" t="s">
        <v>1291</v>
      </c>
      <c r="B4002" s="7" t="s">
        <v>3884</v>
      </c>
      <c r="C4002" s="9">
        <v>3774406.0</v>
      </c>
      <c r="D4002" s="9">
        <v>0.0</v>
      </c>
      <c r="E4002" s="9">
        <v>3550.0</v>
      </c>
      <c r="F4002" s="7" t="s">
        <v>1292</v>
      </c>
      <c r="G4002" s="7" t="s">
        <v>353</v>
      </c>
      <c r="H4002" s="7" t="s">
        <v>354</v>
      </c>
      <c r="I4002" s="7" t="s">
        <v>410</v>
      </c>
      <c r="J4002" s="14"/>
      <c r="O4002" s="22"/>
      <c r="P4002" s="22"/>
      <c r="Q4002" s="23"/>
      <c r="R4002" s="23"/>
      <c r="S4002" s="14"/>
    </row>
    <row r="4003" ht="18.75" customHeight="1">
      <c r="A4003" s="7" t="s">
        <v>1607</v>
      </c>
      <c r="B4003" s="7" t="s">
        <v>3884</v>
      </c>
      <c r="C4003" s="9">
        <v>1660680.0</v>
      </c>
      <c r="D4003" s="9">
        <v>1183040.0</v>
      </c>
      <c r="E4003" s="9">
        <v>620.0</v>
      </c>
      <c r="F4003" s="7" t="s">
        <v>1608</v>
      </c>
      <c r="G4003" s="7" t="s">
        <v>416</v>
      </c>
      <c r="H4003" s="7" t="s">
        <v>417</v>
      </c>
      <c r="I4003" s="7" t="s">
        <v>355</v>
      </c>
      <c r="J4003" s="14"/>
      <c r="O4003" s="22"/>
      <c r="P4003" s="22"/>
      <c r="Q4003" s="23"/>
      <c r="R4003" s="23"/>
      <c r="S4003" s="14"/>
    </row>
    <row r="4004" ht="18.75" customHeight="1">
      <c r="A4004" s="7" t="s">
        <v>1497</v>
      </c>
      <c r="B4004" s="7" t="s">
        <v>3884</v>
      </c>
      <c r="C4004" s="9">
        <v>2988766.0</v>
      </c>
      <c r="D4004" s="9">
        <v>0.0</v>
      </c>
      <c r="E4004" s="9">
        <v>2011.0</v>
      </c>
      <c r="F4004" s="7" t="s">
        <v>1498</v>
      </c>
      <c r="G4004" s="7" t="s">
        <v>404</v>
      </c>
      <c r="H4004" s="7" t="s">
        <v>405</v>
      </c>
      <c r="I4004" s="7" t="s">
        <v>410</v>
      </c>
      <c r="J4004" s="14"/>
      <c r="O4004" s="22"/>
      <c r="P4004" s="22"/>
      <c r="Q4004" s="23"/>
      <c r="R4004" s="23"/>
      <c r="S4004" s="14"/>
    </row>
    <row r="4005" ht="18.75" customHeight="1">
      <c r="A4005" s="7" t="s">
        <v>1497</v>
      </c>
      <c r="B4005" s="7" t="s">
        <v>3884</v>
      </c>
      <c r="C4005" s="9">
        <v>1056570.0</v>
      </c>
      <c r="D4005" s="9">
        <v>723590.0</v>
      </c>
      <c r="E4005" s="9">
        <v>1000.0</v>
      </c>
      <c r="F4005" s="7" t="s">
        <v>1498</v>
      </c>
      <c r="G4005" s="7" t="s">
        <v>404</v>
      </c>
      <c r="H4005" s="7" t="s">
        <v>405</v>
      </c>
      <c r="I4005" s="7" t="s">
        <v>410</v>
      </c>
      <c r="J4005" s="14"/>
      <c r="O4005" s="22"/>
      <c r="P4005" s="22"/>
      <c r="Q4005" s="23"/>
      <c r="R4005" s="23"/>
      <c r="S4005" s="14"/>
    </row>
    <row r="4006" ht="18.75" customHeight="1">
      <c r="A4006" s="7" t="s">
        <v>1497</v>
      </c>
      <c r="B4006" s="7" t="s">
        <v>3884</v>
      </c>
      <c r="C4006" s="9">
        <v>148067.0</v>
      </c>
      <c r="D4006" s="9">
        <v>63718.0</v>
      </c>
      <c r="E4006" s="9">
        <v>257.0</v>
      </c>
      <c r="F4006" s="7" t="s">
        <v>1498</v>
      </c>
      <c r="G4006" s="7" t="s">
        <v>404</v>
      </c>
      <c r="H4006" s="7" t="s">
        <v>405</v>
      </c>
      <c r="I4006" s="7" t="s">
        <v>410</v>
      </c>
      <c r="J4006" s="14"/>
      <c r="O4006" s="22"/>
      <c r="P4006" s="22"/>
      <c r="Q4006" s="23"/>
      <c r="R4006" s="23"/>
      <c r="S4006" s="14"/>
    </row>
    <row r="4007" ht="18.75" customHeight="1">
      <c r="A4007" s="7" t="s">
        <v>1497</v>
      </c>
      <c r="B4007" s="7" t="s">
        <v>3884</v>
      </c>
      <c r="C4007" s="9">
        <v>107769.0</v>
      </c>
      <c r="D4007" s="9">
        <v>102272.0</v>
      </c>
      <c r="E4007" s="9">
        <v>12.0</v>
      </c>
      <c r="F4007" s="7" t="s">
        <v>1498</v>
      </c>
      <c r="G4007" s="7" t="s">
        <v>404</v>
      </c>
      <c r="H4007" s="7" t="s">
        <v>405</v>
      </c>
      <c r="I4007" s="7" t="s">
        <v>410</v>
      </c>
      <c r="J4007" s="14"/>
      <c r="O4007" s="22"/>
      <c r="P4007" s="22"/>
      <c r="Q4007" s="23"/>
      <c r="R4007" s="23"/>
      <c r="S4007" s="14"/>
    </row>
    <row r="4008" ht="18.75" customHeight="1">
      <c r="A4008" s="7" t="s">
        <v>1497</v>
      </c>
      <c r="B4008" s="7" t="s">
        <v>3884</v>
      </c>
      <c r="C4008" s="9">
        <v>55843.0</v>
      </c>
      <c r="D4008" s="9">
        <v>51140.0</v>
      </c>
      <c r="E4008" s="9">
        <v>4.0</v>
      </c>
      <c r="F4008" s="7" t="s">
        <v>1498</v>
      </c>
      <c r="G4008" s="7" t="s">
        <v>404</v>
      </c>
      <c r="H4008" s="7" t="s">
        <v>405</v>
      </c>
      <c r="I4008" s="7" t="s">
        <v>410</v>
      </c>
      <c r="J4008" s="14"/>
      <c r="O4008" s="22"/>
      <c r="P4008" s="22"/>
      <c r="Q4008" s="23"/>
      <c r="R4008" s="23"/>
      <c r="S4008" s="14"/>
    </row>
    <row r="4009" ht="18.75" customHeight="1">
      <c r="A4009" s="7" t="s">
        <v>1497</v>
      </c>
      <c r="B4009" s="7" t="s">
        <v>3884</v>
      </c>
      <c r="C4009" s="9">
        <v>97224.0</v>
      </c>
      <c r="D4009" s="9">
        <v>91195.0</v>
      </c>
      <c r="E4009" s="9">
        <v>3.0</v>
      </c>
      <c r="F4009" s="7" t="s">
        <v>1498</v>
      </c>
      <c r="G4009" s="7" t="s">
        <v>404</v>
      </c>
      <c r="H4009" s="7" t="s">
        <v>405</v>
      </c>
      <c r="I4009" s="7" t="s">
        <v>410</v>
      </c>
      <c r="J4009" s="14"/>
      <c r="O4009" s="22"/>
      <c r="P4009" s="22"/>
      <c r="Q4009" s="23"/>
      <c r="R4009" s="23"/>
      <c r="S4009" s="14"/>
    </row>
    <row r="4010" ht="18.75" customHeight="1">
      <c r="A4010" s="7" t="s">
        <v>1497</v>
      </c>
      <c r="B4010" s="7" t="s">
        <v>3884</v>
      </c>
      <c r="C4010" s="9">
        <v>73578.0</v>
      </c>
      <c r="D4010" s="9">
        <v>0.0</v>
      </c>
      <c r="E4010" s="9">
        <v>1565.0</v>
      </c>
      <c r="F4010" s="7" t="s">
        <v>1498</v>
      </c>
      <c r="G4010" s="7" t="s">
        <v>404</v>
      </c>
      <c r="H4010" s="7" t="s">
        <v>405</v>
      </c>
      <c r="I4010" s="7" t="s">
        <v>410</v>
      </c>
      <c r="J4010" s="14"/>
      <c r="O4010" s="22"/>
      <c r="P4010" s="22"/>
      <c r="Q4010" s="23"/>
      <c r="R4010" s="23"/>
      <c r="S4010" s="14"/>
    </row>
    <row r="4011" ht="18.75" customHeight="1">
      <c r="A4011" s="7" t="s">
        <v>1497</v>
      </c>
      <c r="B4011" s="7" t="s">
        <v>3884</v>
      </c>
      <c r="C4011" s="9">
        <v>107278.0</v>
      </c>
      <c r="D4011" s="9">
        <v>0.0</v>
      </c>
      <c r="E4011" s="9">
        <v>1193.0</v>
      </c>
      <c r="F4011" s="7" t="s">
        <v>1498</v>
      </c>
      <c r="G4011" s="7" t="s">
        <v>404</v>
      </c>
      <c r="H4011" s="7" t="s">
        <v>405</v>
      </c>
      <c r="I4011" s="7" t="s">
        <v>410</v>
      </c>
      <c r="J4011" s="14"/>
      <c r="O4011" s="22"/>
      <c r="P4011" s="22"/>
      <c r="Q4011" s="23"/>
      <c r="R4011" s="23"/>
      <c r="S4011" s="14"/>
    </row>
    <row r="4012" ht="18.75" customHeight="1">
      <c r="A4012" s="7" t="s">
        <v>1497</v>
      </c>
      <c r="B4012" s="7" t="s">
        <v>3884</v>
      </c>
      <c r="C4012" s="9">
        <v>127676.0</v>
      </c>
      <c r="D4012" s="9">
        <v>105.0</v>
      </c>
      <c r="E4012" s="9">
        <v>16.0</v>
      </c>
      <c r="F4012" s="7" t="s">
        <v>1498</v>
      </c>
      <c r="G4012" s="7" t="s">
        <v>404</v>
      </c>
      <c r="H4012" s="7" t="s">
        <v>405</v>
      </c>
      <c r="I4012" s="7" t="s">
        <v>410</v>
      </c>
      <c r="J4012" s="14"/>
      <c r="O4012" s="22"/>
      <c r="P4012" s="22"/>
      <c r="Q4012" s="23"/>
      <c r="R4012" s="23"/>
      <c r="S4012" s="14"/>
    </row>
    <row r="4013" ht="18.75" customHeight="1">
      <c r="A4013" s="7" t="s">
        <v>1497</v>
      </c>
      <c r="B4013" s="7" t="s">
        <v>3884</v>
      </c>
      <c r="C4013" s="9">
        <v>0.0</v>
      </c>
      <c r="D4013" s="9">
        <v>0.0</v>
      </c>
      <c r="E4013" s="9">
        <v>0.0</v>
      </c>
      <c r="F4013" s="7" t="s">
        <v>1498</v>
      </c>
      <c r="G4013" s="7" t="s">
        <v>404</v>
      </c>
      <c r="H4013" s="7" t="s">
        <v>405</v>
      </c>
      <c r="I4013" s="7" t="s">
        <v>410</v>
      </c>
      <c r="J4013" s="14"/>
      <c r="O4013" s="22"/>
      <c r="P4013" s="22"/>
      <c r="Q4013" s="23"/>
      <c r="R4013" s="23"/>
      <c r="S4013" s="14"/>
    </row>
    <row r="4014" ht="18.75" customHeight="1">
      <c r="A4014" s="7" t="s">
        <v>1497</v>
      </c>
      <c r="B4014" s="7" t="s">
        <v>3884</v>
      </c>
      <c r="C4014" s="9">
        <v>0.0</v>
      </c>
      <c r="D4014" s="9">
        <v>0.0</v>
      </c>
      <c r="E4014" s="9">
        <v>0.0</v>
      </c>
      <c r="F4014" s="7" t="s">
        <v>1498</v>
      </c>
      <c r="G4014" s="7" t="s">
        <v>404</v>
      </c>
      <c r="H4014" s="7" t="s">
        <v>405</v>
      </c>
      <c r="I4014" s="7" t="s">
        <v>410</v>
      </c>
      <c r="J4014" s="14"/>
      <c r="O4014" s="22"/>
      <c r="P4014" s="22"/>
      <c r="Q4014" s="23"/>
      <c r="R4014" s="23"/>
      <c r="S4014" s="14"/>
    </row>
    <row r="4015" ht="18.75" customHeight="1">
      <c r="A4015" s="7" t="s">
        <v>1705</v>
      </c>
      <c r="B4015" s="7" t="s">
        <v>3884</v>
      </c>
      <c r="C4015" s="9">
        <v>2110341.0</v>
      </c>
      <c r="D4015" s="9">
        <v>1665048.0</v>
      </c>
      <c r="E4015" s="9">
        <v>1412.0</v>
      </c>
      <c r="F4015" s="7" t="s">
        <v>1706</v>
      </c>
      <c r="G4015" s="7" t="s">
        <v>364</v>
      </c>
      <c r="H4015" s="7" t="s">
        <v>365</v>
      </c>
      <c r="I4015" s="7" t="s">
        <v>355</v>
      </c>
      <c r="J4015" s="14"/>
      <c r="O4015" s="22"/>
      <c r="P4015" s="22"/>
      <c r="Q4015" s="23"/>
      <c r="R4015" s="23"/>
      <c r="S4015" s="14"/>
    </row>
    <row r="4016" ht="18.75" customHeight="1">
      <c r="A4016" s="7" t="s">
        <v>1729</v>
      </c>
      <c r="B4016" s="7" t="s">
        <v>3884</v>
      </c>
      <c r="C4016" s="9">
        <v>487570.0</v>
      </c>
      <c r="D4016" s="9">
        <v>0.0</v>
      </c>
      <c r="E4016" s="9">
        <v>386.0</v>
      </c>
      <c r="F4016" s="7" t="s">
        <v>1730</v>
      </c>
      <c r="G4016" s="7" t="s">
        <v>404</v>
      </c>
      <c r="H4016" s="7" t="s">
        <v>405</v>
      </c>
      <c r="I4016" s="7" t="s">
        <v>355</v>
      </c>
      <c r="J4016" s="14"/>
      <c r="O4016" s="22"/>
      <c r="P4016" s="22"/>
      <c r="Q4016" s="23"/>
      <c r="R4016" s="23"/>
      <c r="S4016" s="14"/>
    </row>
    <row r="4017" ht="18.75" customHeight="1">
      <c r="A4017" s="7" t="s">
        <v>1753</v>
      </c>
      <c r="B4017" s="7" t="s">
        <v>3884</v>
      </c>
      <c r="C4017" s="9">
        <v>326921.0</v>
      </c>
      <c r="D4017" s="9">
        <v>0.0</v>
      </c>
      <c r="E4017" s="9">
        <v>642.0</v>
      </c>
      <c r="F4017" s="7" t="s">
        <v>1754</v>
      </c>
      <c r="G4017" s="7" t="s">
        <v>416</v>
      </c>
      <c r="H4017" s="7" t="s">
        <v>417</v>
      </c>
      <c r="I4017" s="7" t="s">
        <v>355</v>
      </c>
      <c r="J4017" s="14"/>
      <c r="O4017" s="22"/>
      <c r="P4017" s="22"/>
      <c r="Q4017" s="23"/>
      <c r="R4017" s="23"/>
      <c r="S4017" s="14"/>
    </row>
    <row r="4018" ht="18.75" customHeight="1">
      <c r="A4018" s="7" t="s">
        <v>1711</v>
      </c>
      <c r="B4018" s="7" t="s">
        <v>3884</v>
      </c>
      <c r="C4018" s="9">
        <v>471159.0</v>
      </c>
      <c r="D4018" s="9">
        <v>0.0</v>
      </c>
      <c r="E4018" s="9">
        <v>451.0</v>
      </c>
      <c r="F4018" s="7" t="s">
        <v>1712</v>
      </c>
      <c r="G4018" s="7" t="s">
        <v>404</v>
      </c>
      <c r="H4018" s="7" t="s">
        <v>667</v>
      </c>
      <c r="I4018" s="7" t="s">
        <v>355</v>
      </c>
      <c r="J4018" s="14"/>
      <c r="O4018" s="22"/>
      <c r="P4018" s="22"/>
      <c r="Q4018" s="23"/>
      <c r="R4018" s="23"/>
      <c r="S4018" s="14"/>
    </row>
    <row r="4019" ht="18.75" customHeight="1">
      <c r="A4019" s="7" t="s">
        <v>1605</v>
      </c>
      <c r="B4019" s="7" t="s">
        <v>3884</v>
      </c>
      <c r="C4019" s="9">
        <v>355112.0</v>
      </c>
      <c r="D4019" s="9">
        <v>237693.0</v>
      </c>
      <c r="E4019" s="9">
        <v>235.0</v>
      </c>
      <c r="F4019" s="7" t="s">
        <v>1606</v>
      </c>
      <c r="G4019" s="7" t="s">
        <v>416</v>
      </c>
      <c r="H4019" s="7" t="s">
        <v>417</v>
      </c>
      <c r="I4019" s="7" t="s">
        <v>355</v>
      </c>
      <c r="J4019" s="14"/>
      <c r="O4019" s="22"/>
      <c r="P4019" s="22"/>
      <c r="Q4019" s="23"/>
      <c r="R4019" s="23"/>
      <c r="S4019" s="14"/>
    </row>
    <row r="4020" ht="18.75" customHeight="1">
      <c r="A4020" s="7" t="s">
        <v>1429</v>
      </c>
      <c r="B4020" s="7" t="s">
        <v>3884</v>
      </c>
      <c r="C4020" s="9">
        <v>7881859.0</v>
      </c>
      <c r="D4020" s="9">
        <v>0.0</v>
      </c>
      <c r="E4020" s="9">
        <v>7058.0</v>
      </c>
      <c r="F4020" s="7" t="s">
        <v>1430</v>
      </c>
      <c r="G4020" s="7" t="s">
        <v>416</v>
      </c>
      <c r="H4020" s="7" t="s">
        <v>430</v>
      </c>
      <c r="I4020" s="7" t="s">
        <v>2120</v>
      </c>
      <c r="J4020" s="14"/>
      <c r="O4020" s="22"/>
      <c r="P4020" s="22"/>
      <c r="Q4020" s="23"/>
      <c r="R4020" s="23"/>
      <c r="S4020" s="14"/>
    </row>
    <row r="4021" ht="18.75" customHeight="1">
      <c r="A4021" s="7" t="s">
        <v>1429</v>
      </c>
      <c r="B4021" s="7" t="s">
        <v>3884</v>
      </c>
      <c r="C4021" s="9">
        <v>5852796.0</v>
      </c>
      <c r="D4021" s="9">
        <v>5031581.0</v>
      </c>
      <c r="E4021" s="9">
        <v>1723.0</v>
      </c>
      <c r="F4021" s="7" t="s">
        <v>1430</v>
      </c>
      <c r="G4021" s="7" t="s">
        <v>416</v>
      </c>
      <c r="H4021" s="7" t="s">
        <v>430</v>
      </c>
      <c r="I4021" s="7" t="s">
        <v>2120</v>
      </c>
      <c r="J4021" s="14"/>
      <c r="O4021" s="22"/>
      <c r="P4021" s="22"/>
      <c r="Q4021" s="23"/>
      <c r="R4021" s="23"/>
      <c r="S4021" s="14"/>
    </row>
    <row r="4022" ht="18.75" customHeight="1">
      <c r="A4022" s="7" t="s">
        <v>1431</v>
      </c>
      <c r="B4022" s="7" t="s">
        <v>3884</v>
      </c>
      <c r="C4022" s="9">
        <v>7826137.0</v>
      </c>
      <c r="D4022" s="9">
        <v>0.0</v>
      </c>
      <c r="E4022" s="9">
        <v>10390.0</v>
      </c>
      <c r="F4022" s="7" t="s">
        <v>1432</v>
      </c>
      <c r="G4022" s="7" t="s">
        <v>416</v>
      </c>
      <c r="H4022" s="7" t="s">
        <v>430</v>
      </c>
      <c r="I4022" s="7" t="s">
        <v>2120</v>
      </c>
      <c r="J4022" s="14"/>
      <c r="O4022" s="22"/>
      <c r="P4022" s="22"/>
      <c r="Q4022" s="23"/>
      <c r="R4022" s="23"/>
      <c r="S4022" s="14"/>
    </row>
    <row r="4023" ht="18.75" customHeight="1">
      <c r="A4023" s="7" t="s">
        <v>1431</v>
      </c>
      <c r="B4023" s="7" t="s">
        <v>3884</v>
      </c>
      <c r="C4023" s="9">
        <v>5874915.0</v>
      </c>
      <c r="D4023" s="9">
        <v>5095116.0</v>
      </c>
      <c r="E4023" s="9">
        <v>1875.0</v>
      </c>
      <c r="F4023" s="7" t="s">
        <v>1432</v>
      </c>
      <c r="G4023" s="7" t="s">
        <v>416</v>
      </c>
      <c r="H4023" s="7" t="s">
        <v>430</v>
      </c>
      <c r="I4023" s="7" t="s">
        <v>2120</v>
      </c>
      <c r="J4023" s="14"/>
      <c r="O4023" s="22"/>
      <c r="P4023" s="22"/>
      <c r="Q4023" s="23"/>
      <c r="R4023" s="23"/>
      <c r="S4023" s="14"/>
    </row>
    <row r="4024" ht="18.75" customHeight="1">
      <c r="A4024" s="7" t="s">
        <v>1361</v>
      </c>
      <c r="B4024" s="7" t="s">
        <v>3884</v>
      </c>
      <c r="C4024" s="9">
        <v>746253.0</v>
      </c>
      <c r="D4024" s="9">
        <v>0.0</v>
      </c>
      <c r="E4024" s="9">
        <v>676.0</v>
      </c>
      <c r="F4024" s="7" t="s">
        <v>1362</v>
      </c>
      <c r="G4024" s="7" t="s">
        <v>353</v>
      </c>
      <c r="H4024" s="7" t="s">
        <v>378</v>
      </c>
      <c r="I4024" s="7" t="s">
        <v>355</v>
      </c>
      <c r="J4024" s="14"/>
      <c r="O4024" s="22"/>
      <c r="P4024" s="22"/>
      <c r="Q4024" s="23"/>
      <c r="R4024" s="23"/>
      <c r="S4024" s="14"/>
    </row>
    <row r="4025" ht="18.75" customHeight="1">
      <c r="A4025" s="7" t="s">
        <v>1361</v>
      </c>
      <c r="B4025" s="7" t="s">
        <v>3884</v>
      </c>
      <c r="C4025" s="9">
        <v>435634.0</v>
      </c>
      <c r="D4025" s="9">
        <v>0.0</v>
      </c>
      <c r="E4025" s="9">
        <v>284.0</v>
      </c>
      <c r="F4025" s="7" t="s">
        <v>1362</v>
      </c>
      <c r="G4025" s="7" t="s">
        <v>353</v>
      </c>
      <c r="H4025" s="7" t="s">
        <v>378</v>
      </c>
      <c r="I4025" s="7" t="s">
        <v>355</v>
      </c>
      <c r="J4025" s="14"/>
      <c r="O4025" s="22"/>
      <c r="P4025" s="22"/>
      <c r="Q4025" s="23"/>
      <c r="R4025" s="23"/>
      <c r="S4025" s="14"/>
    </row>
    <row r="4026" ht="18.75" customHeight="1">
      <c r="A4026" s="7" t="s">
        <v>1505</v>
      </c>
      <c r="B4026" s="7" t="s">
        <v>3884</v>
      </c>
      <c r="C4026" s="9">
        <v>7302230.0</v>
      </c>
      <c r="D4026" s="9">
        <v>0.0</v>
      </c>
      <c r="E4026" s="9">
        <v>4647.0</v>
      </c>
      <c r="F4026" s="7" t="s">
        <v>1506</v>
      </c>
      <c r="G4026" s="7" t="s">
        <v>404</v>
      </c>
      <c r="H4026" s="7" t="s">
        <v>405</v>
      </c>
      <c r="I4026" s="7" t="s">
        <v>410</v>
      </c>
      <c r="J4026" s="14"/>
      <c r="O4026" s="22"/>
      <c r="P4026" s="22"/>
      <c r="Q4026" s="23"/>
      <c r="R4026" s="23"/>
      <c r="S4026" s="14"/>
    </row>
    <row r="4027" ht="18.75" customHeight="1">
      <c r="A4027" s="7" t="s">
        <v>1505</v>
      </c>
      <c r="B4027" s="7" t="s">
        <v>3884</v>
      </c>
      <c r="C4027" s="9">
        <v>5786440.0</v>
      </c>
      <c r="D4027" s="9">
        <v>3931546.0</v>
      </c>
      <c r="E4027" s="9">
        <v>5260.0</v>
      </c>
      <c r="F4027" s="7" t="s">
        <v>1506</v>
      </c>
      <c r="G4027" s="7" t="s">
        <v>404</v>
      </c>
      <c r="H4027" s="7" t="s">
        <v>405</v>
      </c>
      <c r="I4027" s="7" t="s">
        <v>410</v>
      </c>
      <c r="J4027" s="14"/>
      <c r="O4027" s="22"/>
      <c r="P4027" s="22"/>
      <c r="Q4027" s="23"/>
      <c r="R4027" s="23"/>
      <c r="S4027" s="14"/>
    </row>
    <row r="4028" ht="18.75" customHeight="1">
      <c r="A4028" s="7" t="s">
        <v>1505</v>
      </c>
      <c r="B4028" s="7" t="s">
        <v>3884</v>
      </c>
      <c r="C4028" s="9">
        <v>62727.0</v>
      </c>
      <c r="D4028" s="9">
        <v>57870.0</v>
      </c>
      <c r="E4028" s="9">
        <v>5.0</v>
      </c>
      <c r="F4028" s="7" t="s">
        <v>1506</v>
      </c>
      <c r="G4028" s="7" t="s">
        <v>404</v>
      </c>
      <c r="H4028" s="7" t="s">
        <v>405</v>
      </c>
      <c r="I4028" s="7" t="s">
        <v>410</v>
      </c>
      <c r="J4028" s="14"/>
      <c r="O4028" s="22"/>
      <c r="P4028" s="22"/>
      <c r="Q4028" s="23"/>
      <c r="R4028" s="23"/>
      <c r="S4028" s="14"/>
    </row>
    <row r="4029" ht="18.75" customHeight="1">
      <c r="A4029" s="7" t="s">
        <v>1505</v>
      </c>
      <c r="B4029" s="7" t="s">
        <v>3884</v>
      </c>
      <c r="C4029" s="9">
        <v>117774.0</v>
      </c>
      <c r="D4029" s="9">
        <v>0.0</v>
      </c>
      <c r="E4029" s="9">
        <v>5.0</v>
      </c>
      <c r="F4029" s="7" t="s">
        <v>1506</v>
      </c>
      <c r="G4029" s="7" t="s">
        <v>404</v>
      </c>
      <c r="H4029" s="7" t="s">
        <v>405</v>
      </c>
      <c r="I4029" s="7" t="s">
        <v>410</v>
      </c>
      <c r="J4029" s="14"/>
      <c r="O4029" s="22"/>
      <c r="P4029" s="22"/>
      <c r="Q4029" s="23"/>
      <c r="R4029" s="23"/>
      <c r="S4029" s="14"/>
    </row>
    <row r="4030" ht="18.75" customHeight="1">
      <c r="A4030" s="7" t="s">
        <v>1741</v>
      </c>
      <c r="B4030" s="7" t="s">
        <v>3884</v>
      </c>
      <c r="C4030" s="9">
        <v>3245052.0</v>
      </c>
      <c r="D4030" s="9">
        <v>0.0</v>
      </c>
      <c r="E4030" s="9">
        <v>2645.0</v>
      </c>
      <c r="F4030" s="7" t="s">
        <v>1742</v>
      </c>
      <c r="G4030" s="7" t="s">
        <v>358</v>
      </c>
      <c r="H4030" s="7" t="s">
        <v>466</v>
      </c>
      <c r="I4030" s="7" t="s">
        <v>355</v>
      </c>
      <c r="J4030" s="14"/>
      <c r="O4030" s="22"/>
      <c r="P4030" s="22"/>
      <c r="Q4030" s="23"/>
      <c r="R4030" s="23"/>
      <c r="S4030" s="14"/>
    </row>
    <row r="4031" ht="18.75" customHeight="1">
      <c r="A4031" s="7" t="s">
        <v>1741</v>
      </c>
      <c r="B4031" s="7" t="s">
        <v>3884</v>
      </c>
      <c r="C4031" s="9">
        <v>2095632.0</v>
      </c>
      <c r="D4031" s="9">
        <v>1434177.0</v>
      </c>
      <c r="E4031" s="9">
        <v>1125.0</v>
      </c>
      <c r="F4031" s="7" t="s">
        <v>1742</v>
      </c>
      <c r="G4031" s="7" t="s">
        <v>358</v>
      </c>
      <c r="H4031" s="7" t="s">
        <v>466</v>
      </c>
      <c r="I4031" s="7" t="s">
        <v>355</v>
      </c>
      <c r="J4031" s="14"/>
      <c r="O4031" s="22"/>
      <c r="P4031" s="22"/>
      <c r="Q4031" s="23"/>
      <c r="R4031" s="23"/>
      <c r="S4031" s="14"/>
    </row>
    <row r="4032" ht="18.75" customHeight="1">
      <c r="A4032" s="7" t="s">
        <v>1155</v>
      </c>
      <c r="B4032" s="7" t="s">
        <v>3884</v>
      </c>
      <c r="C4032" s="9">
        <v>1294275.0</v>
      </c>
      <c r="D4032" s="9">
        <v>0.0</v>
      </c>
      <c r="E4032" s="9">
        <v>1228.0</v>
      </c>
      <c r="F4032" s="7" t="s">
        <v>1156</v>
      </c>
      <c r="G4032" s="7" t="s">
        <v>358</v>
      </c>
      <c r="H4032" s="7" t="s">
        <v>359</v>
      </c>
      <c r="I4032" s="7" t="s">
        <v>355</v>
      </c>
      <c r="J4032" s="14"/>
      <c r="O4032" s="22"/>
      <c r="P4032" s="22"/>
      <c r="Q4032" s="23"/>
      <c r="R4032" s="23"/>
      <c r="S4032" s="14"/>
    </row>
    <row r="4033" ht="18.75" customHeight="1">
      <c r="A4033" s="7" t="s">
        <v>1155</v>
      </c>
      <c r="B4033" s="7" t="s">
        <v>3884</v>
      </c>
      <c r="C4033" s="9">
        <v>1310300.0</v>
      </c>
      <c r="D4033" s="9">
        <v>0.0</v>
      </c>
      <c r="E4033" s="9">
        <v>1253.0</v>
      </c>
      <c r="F4033" s="7" t="s">
        <v>1156</v>
      </c>
      <c r="G4033" s="7" t="s">
        <v>358</v>
      </c>
      <c r="H4033" s="7" t="s">
        <v>359</v>
      </c>
      <c r="I4033" s="7" t="s">
        <v>355</v>
      </c>
      <c r="J4033" s="14"/>
      <c r="O4033" s="22"/>
      <c r="P4033" s="22"/>
      <c r="Q4033" s="23"/>
      <c r="R4033" s="23"/>
      <c r="S4033" s="14"/>
    </row>
    <row r="4034" ht="18.75" customHeight="1">
      <c r="A4034" s="7" t="s">
        <v>1155</v>
      </c>
      <c r="B4034" s="7" t="s">
        <v>3884</v>
      </c>
      <c r="C4034" s="9">
        <v>1406609.0</v>
      </c>
      <c r="D4034" s="9">
        <v>0.0</v>
      </c>
      <c r="E4034" s="9">
        <v>1369.0</v>
      </c>
      <c r="F4034" s="7" t="s">
        <v>1156</v>
      </c>
      <c r="G4034" s="7" t="s">
        <v>358</v>
      </c>
      <c r="H4034" s="7" t="s">
        <v>359</v>
      </c>
      <c r="I4034" s="7" t="s">
        <v>355</v>
      </c>
      <c r="J4034" s="14"/>
      <c r="O4034" s="22"/>
      <c r="P4034" s="22"/>
      <c r="Q4034" s="23"/>
      <c r="R4034" s="23"/>
      <c r="S4034" s="14"/>
    </row>
    <row r="4035" ht="18.75" customHeight="1">
      <c r="A4035" s="7" t="s">
        <v>1155</v>
      </c>
      <c r="B4035" s="7" t="s">
        <v>3884</v>
      </c>
      <c r="C4035" s="9">
        <v>1360780.0</v>
      </c>
      <c r="D4035" s="9">
        <v>0.0</v>
      </c>
      <c r="E4035" s="9">
        <v>1350.0</v>
      </c>
      <c r="F4035" s="7" t="s">
        <v>1156</v>
      </c>
      <c r="G4035" s="7" t="s">
        <v>358</v>
      </c>
      <c r="H4035" s="7" t="s">
        <v>359</v>
      </c>
      <c r="I4035" s="7" t="s">
        <v>355</v>
      </c>
      <c r="J4035" s="14"/>
      <c r="O4035" s="22"/>
      <c r="P4035" s="22"/>
      <c r="Q4035" s="23"/>
      <c r="R4035" s="23"/>
      <c r="S4035" s="14"/>
    </row>
    <row r="4036" ht="18.75" customHeight="1">
      <c r="A4036" s="7" t="s">
        <v>1155</v>
      </c>
      <c r="B4036" s="7" t="s">
        <v>3884</v>
      </c>
      <c r="C4036" s="9">
        <v>738901.0</v>
      </c>
      <c r="D4036" s="9">
        <v>583954.0</v>
      </c>
      <c r="E4036" s="9">
        <v>327.0</v>
      </c>
      <c r="F4036" s="7" t="s">
        <v>1156</v>
      </c>
      <c r="G4036" s="7" t="s">
        <v>358</v>
      </c>
      <c r="H4036" s="7" t="s">
        <v>359</v>
      </c>
      <c r="I4036" s="7" t="s">
        <v>355</v>
      </c>
      <c r="J4036" s="14"/>
      <c r="O4036" s="22"/>
      <c r="P4036" s="22"/>
      <c r="Q4036" s="23"/>
      <c r="R4036" s="23"/>
      <c r="S4036" s="14"/>
    </row>
    <row r="4037" ht="18.75" customHeight="1">
      <c r="A4037" s="7" t="s">
        <v>1155</v>
      </c>
      <c r="B4037" s="7" t="s">
        <v>3884</v>
      </c>
      <c r="C4037" s="9">
        <v>824830.0</v>
      </c>
      <c r="D4037" s="9">
        <v>387405.0</v>
      </c>
      <c r="E4037" s="9">
        <v>506.0</v>
      </c>
      <c r="F4037" s="7" t="s">
        <v>1156</v>
      </c>
      <c r="G4037" s="7" t="s">
        <v>358</v>
      </c>
      <c r="H4037" s="7" t="s">
        <v>359</v>
      </c>
      <c r="I4037" s="7" t="s">
        <v>355</v>
      </c>
      <c r="J4037" s="14"/>
      <c r="O4037" s="22"/>
      <c r="P4037" s="22"/>
      <c r="Q4037" s="23"/>
      <c r="R4037" s="23"/>
      <c r="S4037" s="14"/>
    </row>
    <row r="4038" ht="18.75" customHeight="1">
      <c r="A4038" s="7" t="s">
        <v>1155</v>
      </c>
      <c r="B4038" s="7" t="s">
        <v>3884</v>
      </c>
      <c r="C4038" s="9">
        <v>846525.0</v>
      </c>
      <c r="D4038" s="9">
        <v>580987.0</v>
      </c>
      <c r="E4038" s="9">
        <v>516.0</v>
      </c>
      <c r="F4038" s="7" t="s">
        <v>1156</v>
      </c>
      <c r="G4038" s="7" t="s">
        <v>358</v>
      </c>
      <c r="H4038" s="7" t="s">
        <v>359</v>
      </c>
      <c r="I4038" s="7" t="s">
        <v>355</v>
      </c>
      <c r="J4038" s="14"/>
      <c r="O4038" s="22"/>
      <c r="P4038" s="22"/>
      <c r="Q4038" s="23"/>
      <c r="R4038" s="23"/>
      <c r="S4038" s="14"/>
    </row>
    <row r="4039" ht="18.75" customHeight="1">
      <c r="A4039" s="7" t="s">
        <v>1155</v>
      </c>
      <c r="B4039" s="7" t="s">
        <v>3884</v>
      </c>
      <c r="C4039" s="9">
        <v>859419.0</v>
      </c>
      <c r="D4039" s="9">
        <v>571807.0</v>
      </c>
      <c r="E4039" s="9">
        <v>528.0</v>
      </c>
      <c r="F4039" s="7" t="s">
        <v>1156</v>
      </c>
      <c r="G4039" s="7" t="s">
        <v>358</v>
      </c>
      <c r="H4039" s="7" t="s">
        <v>359</v>
      </c>
      <c r="I4039" s="7" t="s">
        <v>355</v>
      </c>
      <c r="J4039" s="14"/>
      <c r="O4039" s="22"/>
      <c r="P4039" s="22"/>
      <c r="Q4039" s="23"/>
      <c r="R4039" s="23"/>
      <c r="S4039" s="14"/>
    </row>
    <row r="4040" ht="18.75" customHeight="1">
      <c r="A4040" s="7" t="s">
        <v>1155</v>
      </c>
      <c r="B4040" s="7" t="s">
        <v>3884</v>
      </c>
      <c r="C4040" s="9">
        <v>30522.0</v>
      </c>
      <c r="D4040" s="9">
        <v>25542.0</v>
      </c>
      <c r="E4040" s="9">
        <v>57.0</v>
      </c>
      <c r="F4040" s="7" t="s">
        <v>1156</v>
      </c>
      <c r="G4040" s="7" t="s">
        <v>358</v>
      </c>
      <c r="H4040" s="7" t="s">
        <v>359</v>
      </c>
      <c r="I4040" s="7" t="s">
        <v>355</v>
      </c>
      <c r="J4040" s="14"/>
      <c r="O4040" s="22"/>
      <c r="P4040" s="22"/>
      <c r="Q4040" s="23"/>
      <c r="R4040" s="23"/>
      <c r="S4040" s="14"/>
    </row>
    <row r="4041" ht="18.75" customHeight="1">
      <c r="A4041" s="7" t="s">
        <v>1155</v>
      </c>
      <c r="B4041" s="7" t="s">
        <v>3884</v>
      </c>
      <c r="C4041" s="9">
        <v>29680.0</v>
      </c>
      <c r="D4041" s="9">
        <v>19836.0</v>
      </c>
      <c r="E4041" s="9">
        <v>9.0</v>
      </c>
      <c r="F4041" s="7" t="s">
        <v>1156</v>
      </c>
      <c r="G4041" s="7" t="s">
        <v>358</v>
      </c>
      <c r="H4041" s="7" t="s">
        <v>359</v>
      </c>
      <c r="I4041" s="7" t="s">
        <v>355</v>
      </c>
      <c r="J4041" s="14"/>
      <c r="O4041" s="22"/>
      <c r="P4041" s="22"/>
      <c r="Q4041" s="23"/>
      <c r="R4041" s="23"/>
      <c r="S4041" s="14"/>
    </row>
    <row r="4042" ht="18.75" customHeight="1">
      <c r="A4042" s="7" t="s">
        <v>1155</v>
      </c>
      <c r="B4042" s="7" t="s">
        <v>3884</v>
      </c>
      <c r="C4042" s="9">
        <v>16858.0</v>
      </c>
      <c r="D4042" s="9">
        <v>13783.0</v>
      </c>
      <c r="E4042" s="9">
        <v>34.0</v>
      </c>
      <c r="F4042" s="7" t="s">
        <v>1156</v>
      </c>
      <c r="G4042" s="7" t="s">
        <v>358</v>
      </c>
      <c r="H4042" s="7" t="s">
        <v>359</v>
      </c>
      <c r="I4042" s="7" t="s">
        <v>355</v>
      </c>
      <c r="J4042" s="14"/>
      <c r="O4042" s="22"/>
      <c r="P4042" s="22"/>
      <c r="Q4042" s="23"/>
      <c r="R4042" s="23"/>
      <c r="S4042" s="14"/>
    </row>
    <row r="4043" ht="18.75" customHeight="1">
      <c r="A4043" s="7" t="s">
        <v>1155</v>
      </c>
      <c r="B4043" s="7" t="s">
        <v>3884</v>
      </c>
      <c r="C4043" s="9">
        <v>661.0</v>
      </c>
      <c r="D4043" s="9">
        <v>558.0</v>
      </c>
      <c r="E4043" s="9">
        <v>1.0</v>
      </c>
      <c r="F4043" s="7" t="s">
        <v>1156</v>
      </c>
      <c r="G4043" s="7" t="s">
        <v>358</v>
      </c>
      <c r="H4043" s="7" t="s">
        <v>359</v>
      </c>
      <c r="I4043" s="7" t="s">
        <v>355</v>
      </c>
      <c r="J4043" s="14"/>
      <c r="O4043" s="22"/>
      <c r="P4043" s="22"/>
      <c r="Q4043" s="23"/>
      <c r="R4043" s="23"/>
      <c r="S4043" s="14"/>
    </row>
    <row r="4044" ht="18.75" customHeight="1">
      <c r="A4044" s="7" t="s">
        <v>1757</v>
      </c>
      <c r="B4044" s="7" t="s">
        <v>3884</v>
      </c>
      <c r="C4044" s="9">
        <v>227749.0</v>
      </c>
      <c r="D4044" s="9">
        <v>0.0</v>
      </c>
      <c r="E4044" s="9">
        <v>1930.0</v>
      </c>
      <c r="F4044" s="7" t="s">
        <v>1758</v>
      </c>
      <c r="G4044" s="7" t="s">
        <v>416</v>
      </c>
      <c r="H4044" s="7" t="s">
        <v>417</v>
      </c>
      <c r="I4044" s="7" t="s">
        <v>355</v>
      </c>
      <c r="J4044" s="14"/>
      <c r="O4044" s="22"/>
      <c r="P4044" s="22"/>
      <c r="Q4044" s="23"/>
      <c r="R4044" s="23"/>
      <c r="S4044" s="14"/>
    </row>
    <row r="4045" ht="18.75" customHeight="1">
      <c r="A4045" s="7" t="s">
        <v>1731</v>
      </c>
      <c r="B4045" s="7" t="s">
        <v>3884</v>
      </c>
      <c r="C4045" s="9">
        <v>0.0</v>
      </c>
      <c r="D4045" s="9">
        <v>0.0</v>
      </c>
      <c r="E4045" s="9">
        <v>0.0</v>
      </c>
      <c r="F4045" s="7" t="s">
        <v>1732</v>
      </c>
      <c r="G4045" s="7" t="s">
        <v>416</v>
      </c>
      <c r="H4045" s="7" t="s">
        <v>417</v>
      </c>
      <c r="I4045" s="7" t="s">
        <v>355</v>
      </c>
      <c r="J4045" s="14"/>
      <c r="O4045" s="22"/>
      <c r="P4045" s="22"/>
      <c r="Q4045" s="23"/>
      <c r="R4045" s="23"/>
      <c r="S4045" s="14"/>
    </row>
    <row r="4046" ht="18.75" customHeight="1">
      <c r="A4046" s="7" t="s">
        <v>1731</v>
      </c>
      <c r="B4046" s="7" t="s">
        <v>3884</v>
      </c>
      <c r="C4046" s="9">
        <v>0.0</v>
      </c>
      <c r="D4046" s="9">
        <v>0.0</v>
      </c>
      <c r="E4046" s="9">
        <v>0.0</v>
      </c>
      <c r="F4046" s="7" t="s">
        <v>1732</v>
      </c>
      <c r="G4046" s="7" t="s">
        <v>416</v>
      </c>
      <c r="H4046" s="7" t="s">
        <v>417</v>
      </c>
      <c r="I4046" s="7" t="s">
        <v>355</v>
      </c>
      <c r="J4046" s="14"/>
      <c r="O4046" s="22"/>
      <c r="P4046" s="22"/>
      <c r="Q4046" s="23"/>
      <c r="R4046" s="23"/>
      <c r="S4046" s="14"/>
    </row>
    <row r="4047" ht="18.75" customHeight="1">
      <c r="A4047" s="7" t="s">
        <v>1511</v>
      </c>
      <c r="B4047" s="7" t="s">
        <v>3884</v>
      </c>
      <c r="C4047" s="9">
        <v>2771819.0</v>
      </c>
      <c r="D4047" s="9">
        <v>0.0</v>
      </c>
      <c r="E4047" s="9">
        <v>3803.0</v>
      </c>
      <c r="F4047" s="7" t="s">
        <v>1512</v>
      </c>
      <c r="G4047" s="7" t="s">
        <v>353</v>
      </c>
      <c r="H4047" s="7" t="s">
        <v>354</v>
      </c>
      <c r="I4047" s="7" t="s">
        <v>355</v>
      </c>
      <c r="J4047" s="14"/>
      <c r="O4047" s="22"/>
      <c r="P4047" s="22"/>
      <c r="Q4047" s="23"/>
      <c r="R4047" s="23"/>
      <c r="S4047" s="14"/>
    </row>
    <row r="4048" ht="18.75" customHeight="1">
      <c r="A4048" s="7" t="s">
        <v>1661</v>
      </c>
      <c r="B4048" s="7" t="s">
        <v>3884</v>
      </c>
      <c r="C4048" s="9">
        <v>1941181.0</v>
      </c>
      <c r="D4048" s="9">
        <v>1347653.0</v>
      </c>
      <c r="E4048" s="9">
        <v>420.0</v>
      </c>
      <c r="F4048" s="7" t="s">
        <v>1662</v>
      </c>
      <c r="G4048" s="7" t="s">
        <v>416</v>
      </c>
      <c r="H4048" s="7" t="s">
        <v>417</v>
      </c>
      <c r="I4048" s="7" t="s">
        <v>355</v>
      </c>
      <c r="J4048" s="14"/>
      <c r="O4048" s="22"/>
      <c r="P4048" s="22"/>
      <c r="Q4048" s="23"/>
      <c r="R4048" s="23"/>
      <c r="S4048" s="14"/>
    </row>
    <row r="4049" ht="18.75" customHeight="1">
      <c r="A4049" s="7" t="s">
        <v>1321</v>
      </c>
      <c r="B4049" s="7" t="s">
        <v>3884</v>
      </c>
      <c r="C4049" s="9">
        <v>452193.0</v>
      </c>
      <c r="D4049" s="9">
        <v>0.0</v>
      </c>
      <c r="E4049" s="9">
        <v>365.0</v>
      </c>
      <c r="F4049" s="7" t="s">
        <v>1322</v>
      </c>
      <c r="G4049" s="7" t="s">
        <v>416</v>
      </c>
      <c r="H4049" s="7" t="s">
        <v>417</v>
      </c>
      <c r="I4049" s="7" t="s">
        <v>2117</v>
      </c>
      <c r="J4049" s="14"/>
      <c r="O4049" s="22"/>
      <c r="P4049" s="22"/>
      <c r="Q4049" s="23"/>
      <c r="R4049" s="23"/>
      <c r="S4049" s="14"/>
    </row>
    <row r="4050" ht="18.75" customHeight="1">
      <c r="A4050" s="7" t="s">
        <v>1321</v>
      </c>
      <c r="B4050" s="7" t="s">
        <v>3884</v>
      </c>
      <c r="C4050" s="9">
        <v>879250.0</v>
      </c>
      <c r="D4050" s="9">
        <v>0.0</v>
      </c>
      <c r="E4050" s="9">
        <v>625.0</v>
      </c>
      <c r="F4050" s="7" t="s">
        <v>1322</v>
      </c>
      <c r="G4050" s="7" t="s">
        <v>416</v>
      </c>
      <c r="H4050" s="7" t="s">
        <v>417</v>
      </c>
      <c r="I4050" s="7" t="s">
        <v>2117</v>
      </c>
      <c r="J4050" s="14"/>
      <c r="O4050" s="22"/>
      <c r="P4050" s="22"/>
      <c r="Q4050" s="23"/>
      <c r="R4050" s="23"/>
      <c r="S4050" s="14"/>
    </row>
    <row r="4051" ht="18.75" customHeight="1">
      <c r="A4051" s="7" t="s">
        <v>1375</v>
      </c>
      <c r="B4051" s="7" t="s">
        <v>3884</v>
      </c>
      <c r="C4051" s="9">
        <v>684496.0</v>
      </c>
      <c r="D4051" s="9">
        <v>0.0</v>
      </c>
      <c r="E4051" s="9">
        <v>692.0</v>
      </c>
      <c r="F4051" s="7" t="s">
        <v>1376</v>
      </c>
      <c r="G4051" s="7" t="s">
        <v>353</v>
      </c>
      <c r="H4051" s="7" t="s">
        <v>378</v>
      </c>
      <c r="I4051" s="7" t="s">
        <v>355</v>
      </c>
      <c r="J4051" s="14"/>
      <c r="O4051" s="22"/>
      <c r="P4051" s="22"/>
      <c r="Q4051" s="23"/>
      <c r="R4051" s="23"/>
      <c r="S4051" s="14"/>
    </row>
    <row r="4052" ht="18.75" customHeight="1">
      <c r="A4052" s="7" t="s">
        <v>1375</v>
      </c>
      <c r="B4052" s="7" t="s">
        <v>3884</v>
      </c>
      <c r="C4052" s="9">
        <v>444531.0</v>
      </c>
      <c r="D4052" s="9">
        <v>0.0</v>
      </c>
      <c r="E4052" s="9">
        <v>272.0</v>
      </c>
      <c r="F4052" s="7" t="s">
        <v>1376</v>
      </c>
      <c r="G4052" s="7" t="s">
        <v>353</v>
      </c>
      <c r="H4052" s="7" t="s">
        <v>378</v>
      </c>
      <c r="I4052" s="7" t="s">
        <v>355</v>
      </c>
      <c r="J4052" s="14"/>
      <c r="O4052" s="22"/>
      <c r="P4052" s="22"/>
      <c r="Q4052" s="23"/>
      <c r="R4052" s="23"/>
      <c r="S4052" s="14"/>
    </row>
    <row r="4053" ht="18.75" customHeight="1">
      <c r="A4053" s="7" t="s">
        <v>3900</v>
      </c>
      <c r="B4053" s="7" t="s">
        <v>3884</v>
      </c>
      <c r="C4053" s="9">
        <v>823317.0</v>
      </c>
      <c r="D4053" s="9">
        <v>0.0</v>
      </c>
      <c r="E4053" s="9">
        <v>1471.0</v>
      </c>
      <c r="F4053" s="7" t="s">
        <v>3901</v>
      </c>
      <c r="G4053" s="7" t="s">
        <v>416</v>
      </c>
      <c r="H4053" s="7" t="s">
        <v>417</v>
      </c>
      <c r="I4053" s="7" t="s">
        <v>3886</v>
      </c>
      <c r="J4053" s="14"/>
      <c r="O4053" s="22"/>
      <c r="P4053" s="22"/>
      <c r="Q4053" s="23"/>
      <c r="R4053" s="23"/>
      <c r="S4053" s="14"/>
    </row>
    <row r="4054" ht="18.75" customHeight="1">
      <c r="A4054" s="7" t="s">
        <v>1507</v>
      </c>
      <c r="B4054" s="7" t="s">
        <v>3884</v>
      </c>
      <c r="C4054" s="9">
        <v>330542.0</v>
      </c>
      <c r="D4054" s="9">
        <v>178316.0</v>
      </c>
      <c r="E4054" s="9">
        <v>304.0</v>
      </c>
      <c r="F4054" s="7" t="s">
        <v>1508</v>
      </c>
      <c r="G4054" s="7" t="s">
        <v>404</v>
      </c>
      <c r="H4054" s="7" t="s">
        <v>405</v>
      </c>
      <c r="I4054" s="7" t="s">
        <v>410</v>
      </c>
      <c r="J4054" s="14"/>
      <c r="O4054" s="22"/>
      <c r="P4054" s="22"/>
      <c r="Q4054" s="23"/>
      <c r="R4054" s="23"/>
      <c r="S4054" s="14"/>
    </row>
    <row r="4055" ht="18.75" customHeight="1">
      <c r="A4055" s="7" t="s">
        <v>1507</v>
      </c>
      <c r="B4055" s="7" t="s">
        <v>3884</v>
      </c>
      <c r="C4055" s="9">
        <v>869181.0</v>
      </c>
      <c r="D4055" s="9">
        <v>0.0</v>
      </c>
      <c r="E4055" s="9">
        <v>1354.0</v>
      </c>
      <c r="F4055" s="7" t="s">
        <v>1508</v>
      </c>
      <c r="G4055" s="7" t="s">
        <v>404</v>
      </c>
      <c r="H4055" s="7" t="s">
        <v>405</v>
      </c>
      <c r="I4055" s="7" t="s">
        <v>410</v>
      </c>
      <c r="J4055" s="14"/>
      <c r="O4055" s="22"/>
      <c r="P4055" s="22"/>
      <c r="Q4055" s="23"/>
      <c r="R4055" s="23"/>
      <c r="S4055" s="14"/>
    </row>
    <row r="4056" ht="18.75" customHeight="1">
      <c r="A4056" s="7" t="s">
        <v>1507</v>
      </c>
      <c r="B4056" s="7" t="s">
        <v>3884</v>
      </c>
      <c r="C4056" s="9">
        <v>833484.0</v>
      </c>
      <c r="D4056" s="9">
        <v>496106.0</v>
      </c>
      <c r="E4056" s="9">
        <v>592.0</v>
      </c>
      <c r="F4056" s="7" t="s">
        <v>1508</v>
      </c>
      <c r="G4056" s="7" t="s">
        <v>404</v>
      </c>
      <c r="H4056" s="7" t="s">
        <v>405</v>
      </c>
      <c r="I4056" s="7" t="s">
        <v>410</v>
      </c>
      <c r="J4056" s="14"/>
      <c r="O4056" s="22"/>
      <c r="P4056" s="22"/>
      <c r="Q4056" s="23"/>
      <c r="R4056" s="23"/>
      <c r="S4056" s="14"/>
    </row>
    <row r="4057" ht="18.75" customHeight="1">
      <c r="A4057" s="7" t="s">
        <v>1507</v>
      </c>
      <c r="B4057" s="7" t="s">
        <v>3884</v>
      </c>
      <c r="C4057" s="9">
        <v>2280296.0</v>
      </c>
      <c r="D4057" s="9">
        <v>0.0</v>
      </c>
      <c r="E4057" s="9">
        <v>1527.0</v>
      </c>
      <c r="F4057" s="7" t="s">
        <v>1508</v>
      </c>
      <c r="G4057" s="7" t="s">
        <v>404</v>
      </c>
      <c r="H4057" s="7" t="s">
        <v>405</v>
      </c>
      <c r="I4057" s="7" t="s">
        <v>410</v>
      </c>
      <c r="J4057" s="14"/>
      <c r="O4057" s="22"/>
      <c r="P4057" s="22"/>
      <c r="Q4057" s="23"/>
      <c r="R4057" s="23"/>
      <c r="S4057" s="14"/>
    </row>
    <row r="4058" ht="18.75" customHeight="1">
      <c r="A4058" s="7" t="s">
        <v>1507</v>
      </c>
      <c r="B4058" s="7" t="s">
        <v>3884</v>
      </c>
      <c r="C4058" s="9">
        <v>163599.0</v>
      </c>
      <c r="D4058" s="9">
        <v>103834.0</v>
      </c>
      <c r="E4058" s="9">
        <v>1386.0</v>
      </c>
      <c r="F4058" s="7" t="s">
        <v>1508</v>
      </c>
      <c r="G4058" s="7" t="s">
        <v>404</v>
      </c>
      <c r="H4058" s="7" t="s">
        <v>405</v>
      </c>
      <c r="I4058" s="7" t="s">
        <v>410</v>
      </c>
      <c r="J4058" s="14"/>
      <c r="O4058" s="22"/>
      <c r="P4058" s="22"/>
      <c r="Q4058" s="23"/>
      <c r="R4058" s="23"/>
      <c r="S4058" s="14"/>
    </row>
    <row r="4059" ht="18.75" customHeight="1">
      <c r="A4059" s="7" t="s">
        <v>1507</v>
      </c>
      <c r="B4059" s="7" t="s">
        <v>3884</v>
      </c>
      <c r="C4059" s="9">
        <v>490685.0</v>
      </c>
      <c r="D4059" s="9">
        <v>0.0</v>
      </c>
      <c r="E4059" s="9">
        <v>732.0</v>
      </c>
      <c r="F4059" s="7" t="s">
        <v>1508</v>
      </c>
      <c r="G4059" s="7" t="s">
        <v>404</v>
      </c>
      <c r="H4059" s="7" t="s">
        <v>405</v>
      </c>
      <c r="I4059" s="7" t="s">
        <v>410</v>
      </c>
      <c r="J4059" s="14"/>
      <c r="O4059" s="22"/>
      <c r="P4059" s="22"/>
      <c r="Q4059" s="23"/>
      <c r="R4059" s="23"/>
      <c r="S4059" s="14"/>
    </row>
    <row r="4060" ht="18.75" customHeight="1">
      <c r="A4060" s="7" t="s">
        <v>1507</v>
      </c>
      <c r="B4060" s="7" t="s">
        <v>3884</v>
      </c>
      <c r="C4060" s="9">
        <v>103887.0</v>
      </c>
      <c r="D4060" s="9">
        <v>0.0</v>
      </c>
      <c r="E4060" s="9">
        <v>1357.0</v>
      </c>
      <c r="F4060" s="7" t="s">
        <v>1508</v>
      </c>
      <c r="G4060" s="7" t="s">
        <v>404</v>
      </c>
      <c r="H4060" s="7" t="s">
        <v>405</v>
      </c>
      <c r="I4060" s="7" t="s">
        <v>410</v>
      </c>
      <c r="J4060" s="14"/>
      <c r="O4060" s="22"/>
      <c r="P4060" s="22"/>
      <c r="Q4060" s="23"/>
      <c r="R4060" s="23"/>
      <c r="S4060" s="14"/>
    </row>
    <row r="4061" ht="18.75" customHeight="1">
      <c r="A4061" s="7" t="s">
        <v>1676</v>
      </c>
      <c r="B4061" s="7" t="s">
        <v>3884</v>
      </c>
      <c r="C4061" s="9">
        <v>1423065.0</v>
      </c>
      <c r="D4061" s="9">
        <v>892056.0</v>
      </c>
      <c r="E4061" s="9">
        <v>1291.0</v>
      </c>
      <c r="F4061" s="7" t="s">
        <v>1677</v>
      </c>
      <c r="G4061" s="7" t="s">
        <v>416</v>
      </c>
      <c r="H4061" s="7" t="s">
        <v>417</v>
      </c>
      <c r="I4061" s="7" t="s">
        <v>355</v>
      </c>
      <c r="J4061" s="14"/>
      <c r="O4061" s="22"/>
      <c r="P4061" s="22"/>
      <c r="Q4061" s="23"/>
      <c r="R4061" s="23"/>
      <c r="S4061" s="14"/>
    </row>
    <row r="4062" ht="18.75" customHeight="1">
      <c r="A4062" s="7" t="s">
        <v>1676</v>
      </c>
      <c r="B4062" s="7" t="s">
        <v>3884</v>
      </c>
      <c r="C4062" s="9">
        <v>618397.0</v>
      </c>
      <c r="D4062" s="9">
        <v>352206.0</v>
      </c>
      <c r="E4062" s="9">
        <v>710.0</v>
      </c>
      <c r="F4062" s="7" t="s">
        <v>1677</v>
      </c>
      <c r="G4062" s="7" t="s">
        <v>416</v>
      </c>
      <c r="H4062" s="7" t="s">
        <v>417</v>
      </c>
      <c r="I4062" s="7" t="s">
        <v>355</v>
      </c>
      <c r="J4062" s="14"/>
      <c r="O4062" s="22"/>
      <c r="P4062" s="22"/>
      <c r="Q4062" s="23"/>
      <c r="R4062" s="23"/>
      <c r="S4062" s="14"/>
    </row>
    <row r="4063" ht="18.75" customHeight="1">
      <c r="A4063" s="7" t="s">
        <v>1555</v>
      </c>
      <c r="B4063" s="7" t="s">
        <v>3884</v>
      </c>
      <c r="C4063" s="9">
        <v>2477098.0</v>
      </c>
      <c r="D4063" s="9">
        <v>1646816.0</v>
      </c>
      <c r="E4063" s="9">
        <v>2869.0</v>
      </c>
      <c r="F4063" s="7" t="s">
        <v>1556</v>
      </c>
      <c r="G4063" s="7" t="s">
        <v>404</v>
      </c>
      <c r="H4063" s="7" t="s">
        <v>760</v>
      </c>
      <c r="I4063" s="7" t="s">
        <v>355</v>
      </c>
      <c r="J4063" s="14"/>
      <c r="O4063" s="22"/>
      <c r="P4063" s="22"/>
      <c r="Q4063" s="23"/>
      <c r="R4063" s="23"/>
      <c r="S4063" s="14"/>
    </row>
    <row r="4064" ht="18.75" customHeight="1">
      <c r="A4064" s="7" t="s">
        <v>1555</v>
      </c>
      <c r="B4064" s="7" t="s">
        <v>3884</v>
      </c>
      <c r="C4064" s="9">
        <v>4862616.0</v>
      </c>
      <c r="D4064" s="9">
        <v>0.0</v>
      </c>
      <c r="E4064" s="9">
        <v>4386.0</v>
      </c>
      <c r="F4064" s="7" t="s">
        <v>1556</v>
      </c>
      <c r="G4064" s="7" t="s">
        <v>404</v>
      </c>
      <c r="H4064" s="7" t="s">
        <v>760</v>
      </c>
      <c r="I4064" s="7" t="s">
        <v>355</v>
      </c>
      <c r="J4064" s="14"/>
      <c r="O4064" s="22"/>
      <c r="P4064" s="22"/>
      <c r="Q4064" s="23"/>
      <c r="R4064" s="23"/>
      <c r="S4064" s="14"/>
    </row>
    <row r="4065" ht="18.75" customHeight="1">
      <c r="A4065" s="7" t="s">
        <v>1678</v>
      </c>
      <c r="B4065" s="7" t="s">
        <v>3884</v>
      </c>
      <c r="C4065" s="9">
        <v>1972501.0</v>
      </c>
      <c r="D4065" s="9">
        <v>1637536.0</v>
      </c>
      <c r="E4065" s="9">
        <v>684.0</v>
      </c>
      <c r="F4065" s="7" t="s">
        <v>1679</v>
      </c>
      <c r="G4065" s="7" t="s">
        <v>416</v>
      </c>
      <c r="H4065" s="7" t="s">
        <v>417</v>
      </c>
      <c r="I4065" s="7" t="s">
        <v>355</v>
      </c>
      <c r="J4065" s="14"/>
      <c r="O4065" s="22"/>
      <c r="P4065" s="22"/>
      <c r="Q4065" s="23"/>
      <c r="R4065" s="23"/>
      <c r="S4065" s="14"/>
    </row>
    <row r="4066" ht="18.75" customHeight="1">
      <c r="A4066" s="7" t="s">
        <v>1801</v>
      </c>
      <c r="B4066" s="7" t="s">
        <v>3884</v>
      </c>
      <c r="C4066" s="9">
        <v>644051.0</v>
      </c>
      <c r="D4066" s="9">
        <v>0.0</v>
      </c>
      <c r="E4066" s="9">
        <v>20747.0</v>
      </c>
      <c r="F4066" s="7" t="s">
        <v>1802</v>
      </c>
      <c r="G4066" s="7" t="s">
        <v>416</v>
      </c>
      <c r="H4066" s="7" t="s">
        <v>417</v>
      </c>
      <c r="I4066" s="7" t="s">
        <v>355</v>
      </c>
      <c r="J4066" s="14"/>
      <c r="O4066" s="22"/>
      <c r="P4066" s="22"/>
      <c r="Q4066" s="23"/>
      <c r="R4066" s="23"/>
      <c r="S4066" s="14"/>
    </row>
    <row r="4067" ht="18.75" customHeight="1">
      <c r="A4067" s="7" t="s">
        <v>1801</v>
      </c>
      <c r="B4067" s="7" t="s">
        <v>3884</v>
      </c>
      <c r="C4067" s="9">
        <v>270106.0</v>
      </c>
      <c r="D4067" s="9">
        <v>0.0</v>
      </c>
      <c r="E4067" s="9">
        <v>13286.0</v>
      </c>
      <c r="F4067" s="7" t="s">
        <v>1802</v>
      </c>
      <c r="G4067" s="7" t="s">
        <v>416</v>
      </c>
      <c r="H4067" s="7" t="s">
        <v>417</v>
      </c>
      <c r="I4067" s="7" t="s">
        <v>355</v>
      </c>
      <c r="J4067" s="14"/>
      <c r="O4067" s="22"/>
      <c r="P4067" s="22"/>
      <c r="Q4067" s="23"/>
      <c r="R4067" s="23"/>
      <c r="S4067" s="14"/>
    </row>
    <row r="4068" ht="18.75" customHeight="1">
      <c r="A4068" s="7" t="s">
        <v>3902</v>
      </c>
      <c r="B4068" s="7" t="s">
        <v>3884</v>
      </c>
      <c r="C4068" s="9">
        <v>3520.0</v>
      </c>
      <c r="D4068" s="9">
        <v>0.0</v>
      </c>
      <c r="E4068" s="9">
        <v>0.0</v>
      </c>
      <c r="F4068" s="7" t="s">
        <v>3903</v>
      </c>
      <c r="G4068" s="7" t="s">
        <v>416</v>
      </c>
      <c r="H4068" s="7" t="s">
        <v>417</v>
      </c>
      <c r="I4068" s="7" t="s">
        <v>3886</v>
      </c>
      <c r="J4068" s="14"/>
      <c r="O4068" s="22"/>
      <c r="P4068" s="22"/>
      <c r="Q4068" s="23"/>
      <c r="R4068" s="23"/>
      <c r="S4068" s="14"/>
    </row>
    <row r="4069" ht="18.75" customHeight="1">
      <c r="A4069" s="7" t="s">
        <v>1813</v>
      </c>
      <c r="B4069" s="7" t="s">
        <v>3884</v>
      </c>
      <c r="C4069" s="9">
        <v>1653914.0</v>
      </c>
      <c r="D4069" s="9">
        <v>1293052.0</v>
      </c>
      <c r="E4069" s="9">
        <v>539.0</v>
      </c>
      <c r="F4069" s="7" t="s">
        <v>1814</v>
      </c>
      <c r="G4069" s="7" t="s">
        <v>358</v>
      </c>
      <c r="H4069" s="7" t="s">
        <v>466</v>
      </c>
      <c r="I4069" s="7" t="s">
        <v>355</v>
      </c>
      <c r="J4069" s="14"/>
      <c r="O4069" s="22"/>
      <c r="P4069" s="22"/>
      <c r="Q4069" s="23"/>
      <c r="R4069" s="23"/>
      <c r="S4069" s="14"/>
    </row>
    <row r="4070" ht="18.75" customHeight="1">
      <c r="A4070" s="7" t="s">
        <v>1813</v>
      </c>
      <c r="B4070" s="7" t="s">
        <v>3884</v>
      </c>
      <c r="C4070" s="9">
        <v>1324676.0</v>
      </c>
      <c r="D4070" s="9">
        <v>931995.0</v>
      </c>
      <c r="E4070" s="9">
        <v>1347.0</v>
      </c>
      <c r="F4070" s="7" t="s">
        <v>1814</v>
      </c>
      <c r="G4070" s="7" t="s">
        <v>358</v>
      </c>
      <c r="H4070" s="7" t="s">
        <v>466</v>
      </c>
      <c r="I4070" s="7" t="s">
        <v>355</v>
      </c>
      <c r="J4070" s="14"/>
      <c r="O4070" s="22"/>
      <c r="P4070" s="22"/>
      <c r="Q4070" s="23"/>
      <c r="R4070" s="23"/>
      <c r="S4070" s="14"/>
    </row>
    <row r="4071" ht="18.75" customHeight="1">
      <c r="A4071" s="7" t="s">
        <v>1797</v>
      </c>
      <c r="B4071" s="7" t="s">
        <v>3884</v>
      </c>
      <c r="C4071" s="9">
        <v>5478462.0</v>
      </c>
      <c r="D4071" s="9">
        <v>0.0</v>
      </c>
      <c r="E4071" s="9">
        <v>5367.0</v>
      </c>
      <c r="F4071" s="7" t="s">
        <v>1798</v>
      </c>
      <c r="G4071" s="7" t="s">
        <v>353</v>
      </c>
      <c r="H4071" s="7" t="s">
        <v>725</v>
      </c>
      <c r="I4071" s="7" t="s">
        <v>355</v>
      </c>
      <c r="J4071" s="14"/>
      <c r="O4071" s="22"/>
      <c r="P4071" s="22"/>
      <c r="Q4071" s="23"/>
      <c r="R4071" s="23"/>
      <c r="S4071" s="14"/>
    </row>
    <row r="4072" ht="18.75" customHeight="1">
      <c r="A4072" s="7" t="s">
        <v>1797</v>
      </c>
      <c r="B4072" s="7" t="s">
        <v>3884</v>
      </c>
      <c r="C4072" s="9">
        <v>3574663.0</v>
      </c>
      <c r="D4072" s="9">
        <v>0.0</v>
      </c>
      <c r="E4072" s="9">
        <v>3179.0</v>
      </c>
      <c r="F4072" s="7" t="s">
        <v>1798</v>
      </c>
      <c r="G4072" s="7" t="s">
        <v>353</v>
      </c>
      <c r="H4072" s="7" t="s">
        <v>725</v>
      </c>
      <c r="I4072" s="7" t="s">
        <v>355</v>
      </c>
      <c r="J4072" s="14"/>
      <c r="O4072" s="22"/>
      <c r="P4072" s="22"/>
      <c r="Q4072" s="23"/>
      <c r="R4072" s="23"/>
      <c r="S4072" s="14"/>
    </row>
    <row r="4073" ht="18.75" customHeight="1">
      <c r="A4073" s="7" t="s">
        <v>1839</v>
      </c>
      <c r="B4073" s="7" t="s">
        <v>3884</v>
      </c>
      <c r="C4073" s="9">
        <v>0.0</v>
      </c>
      <c r="D4073" s="9">
        <v>0.0</v>
      </c>
      <c r="E4073" s="9">
        <v>0.0</v>
      </c>
      <c r="F4073" s="7" t="s">
        <v>1840</v>
      </c>
      <c r="G4073" s="7" t="s">
        <v>416</v>
      </c>
      <c r="H4073" s="7" t="s">
        <v>417</v>
      </c>
      <c r="I4073" s="7" t="s">
        <v>355</v>
      </c>
      <c r="J4073" s="14"/>
      <c r="O4073" s="22"/>
      <c r="P4073" s="22"/>
      <c r="Q4073" s="23"/>
      <c r="R4073" s="23"/>
      <c r="S4073" s="14"/>
    </row>
    <row r="4074" ht="18.75" customHeight="1">
      <c r="A4074" s="7" t="s">
        <v>1763</v>
      </c>
      <c r="B4074" s="7" t="s">
        <v>3884</v>
      </c>
      <c r="C4074" s="9">
        <v>1743761.0</v>
      </c>
      <c r="D4074" s="9">
        <v>1378869.0</v>
      </c>
      <c r="E4074" s="9">
        <v>531.0</v>
      </c>
      <c r="F4074" s="7" t="s">
        <v>1764</v>
      </c>
      <c r="G4074" s="7" t="s">
        <v>358</v>
      </c>
      <c r="H4074" s="7" t="s">
        <v>466</v>
      </c>
      <c r="I4074" s="7" t="s">
        <v>355</v>
      </c>
      <c r="J4074" s="14"/>
      <c r="O4074" s="22"/>
      <c r="P4074" s="22"/>
      <c r="Q4074" s="23"/>
      <c r="R4074" s="23"/>
      <c r="S4074" s="14"/>
    </row>
    <row r="4075" ht="18.75" customHeight="1">
      <c r="A4075" s="7" t="s">
        <v>1763</v>
      </c>
      <c r="B4075" s="7" t="s">
        <v>3884</v>
      </c>
      <c r="C4075" s="9">
        <v>1399143.0</v>
      </c>
      <c r="D4075" s="9">
        <v>1006394.0</v>
      </c>
      <c r="E4075" s="9">
        <v>1272.0</v>
      </c>
      <c r="F4075" s="7" t="s">
        <v>1764</v>
      </c>
      <c r="G4075" s="7" t="s">
        <v>358</v>
      </c>
      <c r="H4075" s="7" t="s">
        <v>466</v>
      </c>
      <c r="I4075" s="7" t="s">
        <v>355</v>
      </c>
      <c r="J4075" s="14"/>
      <c r="O4075" s="22"/>
      <c r="P4075" s="22"/>
      <c r="Q4075" s="23"/>
      <c r="R4075" s="23"/>
      <c r="S4075" s="14"/>
    </row>
    <row r="4076" ht="18.75" customHeight="1">
      <c r="A4076" s="7" t="s">
        <v>1837</v>
      </c>
      <c r="B4076" s="7" t="s">
        <v>3884</v>
      </c>
      <c r="C4076" s="9">
        <v>392911.0</v>
      </c>
      <c r="D4076" s="9">
        <v>0.0</v>
      </c>
      <c r="E4076" s="9">
        <v>9778.0</v>
      </c>
      <c r="F4076" s="7" t="s">
        <v>1838</v>
      </c>
      <c r="G4076" s="7" t="s">
        <v>416</v>
      </c>
      <c r="H4076" s="7" t="s">
        <v>417</v>
      </c>
      <c r="I4076" s="7" t="s">
        <v>355</v>
      </c>
      <c r="J4076" s="14"/>
      <c r="O4076" s="22"/>
      <c r="P4076" s="22"/>
      <c r="Q4076" s="23"/>
      <c r="R4076" s="23"/>
      <c r="S4076" s="14"/>
    </row>
    <row r="4077" ht="18.75" customHeight="1">
      <c r="A4077" s="7" t="s">
        <v>1639</v>
      </c>
      <c r="B4077" s="7" t="s">
        <v>3884</v>
      </c>
      <c r="C4077" s="9">
        <v>1092500.0</v>
      </c>
      <c r="D4077" s="9">
        <v>851521.0</v>
      </c>
      <c r="E4077" s="9">
        <v>438.0</v>
      </c>
      <c r="F4077" s="7" t="s">
        <v>1640</v>
      </c>
      <c r="G4077" s="7" t="s">
        <v>404</v>
      </c>
      <c r="H4077" s="7" t="s">
        <v>667</v>
      </c>
      <c r="I4077" s="7" t="s">
        <v>355</v>
      </c>
      <c r="J4077" s="14"/>
      <c r="O4077" s="22"/>
      <c r="P4077" s="22"/>
      <c r="Q4077" s="23"/>
      <c r="R4077" s="23"/>
      <c r="S4077" s="14"/>
    </row>
    <row r="4078" ht="18.75" customHeight="1">
      <c r="A4078" s="7" t="s">
        <v>1639</v>
      </c>
      <c r="B4078" s="7" t="s">
        <v>3884</v>
      </c>
      <c r="C4078" s="9">
        <v>424277.0</v>
      </c>
      <c r="D4078" s="9">
        <v>348724.0</v>
      </c>
      <c r="E4078" s="9">
        <v>172.0</v>
      </c>
      <c r="F4078" s="7" t="s">
        <v>1640</v>
      </c>
      <c r="G4078" s="7" t="s">
        <v>404</v>
      </c>
      <c r="H4078" s="7" t="s">
        <v>667</v>
      </c>
      <c r="I4078" s="7" t="s">
        <v>355</v>
      </c>
      <c r="J4078" s="14"/>
      <c r="O4078" s="22"/>
      <c r="P4078" s="22"/>
      <c r="Q4078" s="23"/>
      <c r="R4078" s="23"/>
      <c r="S4078" s="14"/>
    </row>
    <row r="4079" ht="18.75" customHeight="1">
      <c r="A4079" s="7" t="s">
        <v>1639</v>
      </c>
      <c r="B4079" s="7" t="s">
        <v>3884</v>
      </c>
      <c r="C4079" s="9">
        <v>1351900.0</v>
      </c>
      <c r="D4079" s="9">
        <v>0.0</v>
      </c>
      <c r="E4079" s="9">
        <v>1267.0</v>
      </c>
      <c r="F4079" s="7" t="s">
        <v>1640</v>
      </c>
      <c r="G4079" s="7" t="s">
        <v>404</v>
      </c>
      <c r="H4079" s="7" t="s">
        <v>667</v>
      </c>
      <c r="I4079" s="7" t="s">
        <v>355</v>
      </c>
      <c r="J4079" s="14"/>
      <c r="O4079" s="22"/>
      <c r="P4079" s="22"/>
      <c r="Q4079" s="23"/>
      <c r="R4079" s="23"/>
      <c r="S4079" s="14"/>
    </row>
    <row r="4080" ht="18.75" customHeight="1">
      <c r="A4080" s="7" t="s">
        <v>1639</v>
      </c>
      <c r="B4080" s="7" t="s">
        <v>3884</v>
      </c>
      <c r="C4080" s="9">
        <v>61661.0</v>
      </c>
      <c r="D4080" s="9">
        <v>0.0</v>
      </c>
      <c r="E4080" s="9">
        <v>136.0</v>
      </c>
      <c r="F4080" s="7" t="s">
        <v>1640</v>
      </c>
      <c r="G4080" s="7" t="s">
        <v>404</v>
      </c>
      <c r="H4080" s="7" t="s">
        <v>667</v>
      </c>
      <c r="I4080" s="7" t="s">
        <v>355</v>
      </c>
      <c r="J4080" s="14"/>
      <c r="O4080" s="22"/>
      <c r="P4080" s="22"/>
      <c r="Q4080" s="23"/>
      <c r="R4080" s="23"/>
      <c r="S4080" s="14"/>
    </row>
    <row r="4081" ht="18.75" customHeight="1">
      <c r="A4081" s="7" t="s">
        <v>1753</v>
      </c>
      <c r="B4081" s="7" t="s">
        <v>3884</v>
      </c>
      <c r="C4081" s="9">
        <v>1124305.0</v>
      </c>
      <c r="D4081" s="9">
        <v>941111.0</v>
      </c>
      <c r="E4081" s="9">
        <v>288.0</v>
      </c>
      <c r="F4081" s="7" t="s">
        <v>1754</v>
      </c>
      <c r="G4081" s="7" t="s">
        <v>416</v>
      </c>
      <c r="H4081" s="7" t="s">
        <v>417</v>
      </c>
      <c r="I4081" s="7" t="s">
        <v>355</v>
      </c>
      <c r="J4081" s="14"/>
      <c r="O4081" s="22"/>
      <c r="P4081" s="22"/>
      <c r="Q4081" s="23"/>
      <c r="R4081" s="23"/>
      <c r="S4081" s="14"/>
    </row>
    <row r="4082" ht="18.75" customHeight="1">
      <c r="A4082" s="7" t="s">
        <v>1731</v>
      </c>
      <c r="B4082" s="7" t="s">
        <v>3884</v>
      </c>
      <c r="C4082" s="9">
        <v>1296072.0</v>
      </c>
      <c r="D4082" s="9">
        <v>716921.0</v>
      </c>
      <c r="E4082" s="9">
        <v>2154.0</v>
      </c>
      <c r="F4082" s="7" t="s">
        <v>1732</v>
      </c>
      <c r="G4082" s="7" t="s">
        <v>416</v>
      </c>
      <c r="H4082" s="7" t="s">
        <v>417</v>
      </c>
      <c r="I4082" s="7" t="s">
        <v>355</v>
      </c>
      <c r="J4082" s="14"/>
      <c r="O4082" s="22"/>
      <c r="P4082" s="22"/>
      <c r="Q4082" s="23"/>
      <c r="R4082" s="23"/>
      <c r="S4082" s="14"/>
    </row>
    <row r="4083" ht="18.75" customHeight="1">
      <c r="A4083" s="7" t="s">
        <v>1757</v>
      </c>
      <c r="B4083" s="7" t="s">
        <v>3884</v>
      </c>
      <c r="C4083" s="9">
        <v>842361.0</v>
      </c>
      <c r="D4083" s="9">
        <v>678503.0</v>
      </c>
      <c r="E4083" s="9">
        <v>272.0</v>
      </c>
      <c r="F4083" s="7" t="s">
        <v>1758</v>
      </c>
      <c r="G4083" s="7" t="s">
        <v>416</v>
      </c>
      <c r="H4083" s="7" t="s">
        <v>417</v>
      </c>
      <c r="I4083" s="7" t="s">
        <v>355</v>
      </c>
      <c r="J4083" s="14"/>
      <c r="O4083" s="22"/>
      <c r="P4083" s="22"/>
      <c r="Q4083" s="23"/>
      <c r="R4083" s="23"/>
      <c r="S4083" s="14"/>
    </row>
    <row r="4084" ht="18.75" customHeight="1">
      <c r="A4084" s="7" t="s">
        <v>1811</v>
      </c>
      <c r="B4084" s="7" t="s">
        <v>3884</v>
      </c>
      <c r="C4084" s="9">
        <v>577314.0</v>
      </c>
      <c r="D4084" s="9">
        <v>0.0</v>
      </c>
      <c r="E4084" s="9">
        <v>519.0</v>
      </c>
      <c r="F4084" s="7" t="s">
        <v>1812</v>
      </c>
      <c r="G4084" s="7" t="s">
        <v>416</v>
      </c>
      <c r="H4084" s="7" t="s">
        <v>405</v>
      </c>
      <c r="I4084" s="7" t="s">
        <v>355</v>
      </c>
      <c r="J4084" s="14"/>
      <c r="O4084" s="22"/>
      <c r="P4084" s="22"/>
      <c r="Q4084" s="23"/>
      <c r="R4084" s="23"/>
      <c r="S4084" s="14"/>
    </row>
    <row r="4085" ht="18.75" customHeight="1">
      <c r="A4085" s="7" t="s">
        <v>856</v>
      </c>
      <c r="B4085" s="7" t="s">
        <v>3884</v>
      </c>
      <c r="C4085" s="9">
        <v>807797.0</v>
      </c>
      <c r="D4085" s="9">
        <v>0.0</v>
      </c>
      <c r="E4085" s="9">
        <v>1145.0</v>
      </c>
      <c r="F4085" s="7" t="s">
        <v>857</v>
      </c>
      <c r="G4085" s="7" t="s">
        <v>364</v>
      </c>
      <c r="H4085" s="7" t="s">
        <v>365</v>
      </c>
      <c r="I4085" s="7" t="s">
        <v>355</v>
      </c>
      <c r="J4085" s="14"/>
      <c r="O4085" s="22"/>
      <c r="P4085" s="22"/>
      <c r="Q4085" s="23"/>
      <c r="R4085" s="23"/>
      <c r="S4085" s="14"/>
    </row>
    <row r="4086" ht="18.75" customHeight="1">
      <c r="A4086" s="7" t="s">
        <v>856</v>
      </c>
      <c r="B4086" s="7" t="s">
        <v>3884</v>
      </c>
      <c r="C4086" s="9">
        <v>80460.0</v>
      </c>
      <c r="D4086" s="9">
        <v>0.0</v>
      </c>
      <c r="E4086" s="9">
        <v>197.0</v>
      </c>
      <c r="F4086" s="7" t="s">
        <v>857</v>
      </c>
      <c r="G4086" s="7" t="s">
        <v>364</v>
      </c>
      <c r="H4086" s="7" t="s">
        <v>365</v>
      </c>
      <c r="I4086" s="7" t="s">
        <v>355</v>
      </c>
      <c r="J4086" s="14"/>
      <c r="O4086" s="22"/>
      <c r="P4086" s="22"/>
      <c r="Q4086" s="23"/>
      <c r="R4086" s="23"/>
      <c r="S4086" s="14"/>
    </row>
    <row r="4087" ht="18.75" customHeight="1">
      <c r="A4087" s="7" t="s">
        <v>856</v>
      </c>
      <c r="B4087" s="7" t="s">
        <v>3884</v>
      </c>
      <c r="C4087" s="9">
        <v>369467.0</v>
      </c>
      <c r="D4087" s="9">
        <v>250335.0</v>
      </c>
      <c r="E4087" s="9">
        <v>452.0</v>
      </c>
      <c r="F4087" s="7" t="s">
        <v>857</v>
      </c>
      <c r="G4087" s="7" t="s">
        <v>364</v>
      </c>
      <c r="H4087" s="7" t="s">
        <v>365</v>
      </c>
      <c r="I4087" s="7" t="s">
        <v>355</v>
      </c>
      <c r="J4087" s="14"/>
      <c r="O4087" s="22"/>
      <c r="P4087" s="22"/>
      <c r="Q4087" s="23"/>
      <c r="R4087" s="23"/>
      <c r="S4087" s="14"/>
    </row>
    <row r="4088" ht="18.75" customHeight="1">
      <c r="A4088" s="7" t="s">
        <v>856</v>
      </c>
      <c r="B4088" s="7" t="s">
        <v>3884</v>
      </c>
      <c r="C4088" s="9">
        <v>345380.0</v>
      </c>
      <c r="D4088" s="9">
        <v>253974.0</v>
      </c>
      <c r="E4088" s="9">
        <v>290.0</v>
      </c>
      <c r="F4088" s="7" t="s">
        <v>857</v>
      </c>
      <c r="G4088" s="7" t="s">
        <v>364</v>
      </c>
      <c r="H4088" s="7" t="s">
        <v>365</v>
      </c>
      <c r="I4088" s="7" t="s">
        <v>355</v>
      </c>
      <c r="J4088" s="14"/>
      <c r="O4088" s="22"/>
      <c r="P4088" s="22"/>
      <c r="Q4088" s="23"/>
      <c r="R4088" s="23"/>
      <c r="S4088" s="14"/>
    </row>
    <row r="4089" ht="18.75" customHeight="1">
      <c r="A4089" s="7" t="s">
        <v>1733</v>
      </c>
      <c r="B4089" s="7" t="s">
        <v>3884</v>
      </c>
      <c r="C4089" s="9">
        <v>5202312.0</v>
      </c>
      <c r="D4089" s="9">
        <v>0.0</v>
      </c>
      <c r="E4089" s="9">
        <v>4391.0</v>
      </c>
      <c r="F4089" s="7" t="s">
        <v>1734</v>
      </c>
      <c r="G4089" s="7" t="s">
        <v>353</v>
      </c>
      <c r="H4089" s="7" t="s">
        <v>378</v>
      </c>
      <c r="I4089" s="7" t="s">
        <v>410</v>
      </c>
      <c r="J4089" s="14"/>
      <c r="O4089" s="22"/>
      <c r="P4089" s="22"/>
      <c r="Q4089" s="23"/>
      <c r="R4089" s="23"/>
      <c r="S4089" s="14"/>
    </row>
    <row r="4090" ht="18.75" customHeight="1">
      <c r="A4090" s="7" t="s">
        <v>1831</v>
      </c>
      <c r="B4090" s="7" t="s">
        <v>3884</v>
      </c>
      <c r="C4090" s="9">
        <v>3645388.0</v>
      </c>
      <c r="D4090" s="9">
        <v>0.0</v>
      </c>
      <c r="E4090" s="9">
        <v>3496.0</v>
      </c>
      <c r="F4090" s="7" t="s">
        <v>1832</v>
      </c>
      <c r="G4090" s="7" t="s">
        <v>358</v>
      </c>
      <c r="H4090" s="7" t="s">
        <v>1665</v>
      </c>
      <c r="I4090" s="7" t="s">
        <v>410</v>
      </c>
      <c r="J4090" s="14"/>
      <c r="O4090" s="22"/>
      <c r="P4090" s="22"/>
      <c r="Q4090" s="23"/>
      <c r="R4090" s="23"/>
      <c r="S4090" s="14"/>
    </row>
    <row r="4091" ht="18.75" customHeight="1">
      <c r="A4091" s="7" t="s">
        <v>2166</v>
      </c>
      <c r="B4091" s="7" t="s">
        <v>3884</v>
      </c>
      <c r="C4091" s="9">
        <v>32.0</v>
      </c>
      <c r="D4091" s="9">
        <v>0.0</v>
      </c>
      <c r="E4091" s="9">
        <v>0.0</v>
      </c>
      <c r="F4091" s="7" t="s">
        <v>2167</v>
      </c>
      <c r="G4091" s="7" t="s">
        <v>364</v>
      </c>
      <c r="H4091" s="7" t="s">
        <v>365</v>
      </c>
      <c r="I4091" s="7" t="s">
        <v>410</v>
      </c>
      <c r="J4091" s="14"/>
      <c r="O4091" s="22"/>
      <c r="P4091" s="22"/>
      <c r="Q4091" s="23"/>
      <c r="R4091" s="23"/>
      <c r="S4091" s="14"/>
    </row>
    <row r="4092" ht="18.75" customHeight="1">
      <c r="A4092" s="7" t="s">
        <v>1855</v>
      </c>
      <c r="B4092" s="7" t="s">
        <v>3884</v>
      </c>
      <c r="C4092" s="9">
        <v>0.0</v>
      </c>
      <c r="D4092" s="9">
        <v>0.0</v>
      </c>
      <c r="E4092" s="9">
        <v>0.0</v>
      </c>
      <c r="F4092" s="7" t="s">
        <v>1856</v>
      </c>
      <c r="G4092" s="7" t="s">
        <v>364</v>
      </c>
      <c r="H4092" s="7" t="s">
        <v>365</v>
      </c>
      <c r="I4092" s="7" t="s">
        <v>410</v>
      </c>
      <c r="J4092" s="14"/>
      <c r="O4092" s="22"/>
      <c r="P4092" s="22"/>
      <c r="Q4092" s="23"/>
      <c r="R4092" s="23"/>
      <c r="S4092" s="14"/>
    </row>
    <row r="4093" ht="18.75" customHeight="1">
      <c r="A4093" s="7" t="s">
        <v>2168</v>
      </c>
      <c r="B4093" s="7" t="s">
        <v>3884</v>
      </c>
      <c r="C4093" s="9">
        <v>0.0</v>
      </c>
      <c r="D4093" s="9">
        <v>0.0</v>
      </c>
      <c r="E4093" s="9">
        <v>0.0</v>
      </c>
      <c r="F4093" s="7" t="s">
        <v>2169</v>
      </c>
      <c r="G4093" s="7" t="s">
        <v>364</v>
      </c>
      <c r="H4093" s="7" t="s">
        <v>365</v>
      </c>
      <c r="I4093" s="7" t="s">
        <v>410</v>
      </c>
      <c r="J4093" s="14"/>
      <c r="O4093" s="22"/>
      <c r="P4093" s="22"/>
      <c r="Q4093" s="23"/>
      <c r="R4093" s="23"/>
      <c r="S4093" s="14"/>
    </row>
    <row r="4094" ht="18.75" customHeight="1">
      <c r="A4094" s="7" t="s">
        <v>1737</v>
      </c>
      <c r="B4094" s="7" t="s">
        <v>3884</v>
      </c>
      <c r="C4094" s="9">
        <v>3756721.0</v>
      </c>
      <c r="D4094" s="9">
        <v>0.0</v>
      </c>
      <c r="E4094" s="9">
        <v>3348.0</v>
      </c>
      <c r="F4094" s="7" t="s">
        <v>1738</v>
      </c>
      <c r="G4094" s="7" t="s">
        <v>353</v>
      </c>
      <c r="H4094" s="7" t="s">
        <v>354</v>
      </c>
      <c r="I4094" s="7" t="s">
        <v>410</v>
      </c>
      <c r="J4094" s="14"/>
      <c r="O4094" s="22"/>
      <c r="P4094" s="22"/>
      <c r="Q4094" s="23"/>
      <c r="R4094" s="23"/>
      <c r="S4094" s="14"/>
    </row>
    <row r="4095" ht="18.75" customHeight="1">
      <c r="A4095" s="7" t="s">
        <v>1737</v>
      </c>
      <c r="B4095" s="7" t="s">
        <v>3884</v>
      </c>
      <c r="C4095" s="9">
        <v>4613577.0</v>
      </c>
      <c r="D4095" s="9">
        <v>0.0</v>
      </c>
      <c r="E4095" s="9">
        <v>5448.0</v>
      </c>
      <c r="F4095" s="7" t="s">
        <v>1738</v>
      </c>
      <c r="G4095" s="7" t="s">
        <v>353</v>
      </c>
      <c r="H4095" s="7" t="s">
        <v>354</v>
      </c>
      <c r="I4095" s="7" t="s">
        <v>410</v>
      </c>
      <c r="J4095" s="14"/>
      <c r="O4095" s="22"/>
      <c r="P4095" s="22"/>
      <c r="Q4095" s="23"/>
      <c r="R4095" s="23"/>
      <c r="S4095" s="14"/>
    </row>
    <row r="4096" ht="18.75" customHeight="1">
      <c r="A4096" s="7" t="s">
        <v>1737</v>
      </c>
      <c r="B4096" s="7" t="s">
        <v>3884</v>
      </c>
      <c r="C4096" s="9">
        <v>72216.0</v>
      </c>
      <c r="D4096" s="9">
        <v>0.0</v>
      </c>
      <c r="E4096" s="9">
        <v>2021.0</v>
      </c>
      <c r="F4096" s="7" t="s">
        <v>1738</v>
      </c>
      <c r="G4096" s="7" t="s">
        <v>353</v>
      </c>
      <c r="H4096" s="7" t="s">
        <v>354</v>
      </c>
      <c r="I4096" s="7" t="s">
        <v>410</v>
      </c>
      <c r="J4096" s="14"/>
      <c r="O4096" s="22"/>
      <c r="P4096" s="22"/>
      <c r="Q4096" s="23"/>
      <c r="R4096" s="23"/>
      <c r="S4096" s="14"/>
    </row>
    <row r="4097" ht="18.75" customHeight="1">
      <c r="A4097" s="7" t="s">
        <v>1807</v>
      </c>
      <c r="B4097" s="7" t="s">
        <v>3884</v>
      </c>
      <c r="C4097" s="9">
        <v>3371273.0</v>
      </c>
      <c r="D4097" s="9">
        <v>2466744.0</v>
      </c>
      <c r="E4097" s="9">
        <v>2013.0</v>
      </c>
      <c r="F4097" s="7" t="s">
        <v>1808</v>
      </c>
      <c r="G4097" s="7" t="s">
        <v>353</v>
      </c>
      <c r="H4097" s="7" t="s">
        <v>354</v>
      </c>
      <c r="I4097" s="7" t="s">
        <v>355</v>
      </c>
      <c r="J4097" s="14"/>
      <c r="O4097" s="22"/>
      <c r="P4097" s="22"/>
      <c r="Q4097" s="23"/>
      <c r="R4097" s="23"/>
      <c r="S4097" s="14"/>
    </row>
    <row r="4098" ht="18.75" customHeight="1">
      <c r="A4098" s="7" t="s">
        <v>1723</v>
      </c>
      <c r="B4098" s="7" t="s">
        <v>3884</v>
      </c>
      <c r="C4098" s="9">
        <v>3985697.0</v>
      </c>
      <c r="D4098" s="9">
        <v>0.0</v>
      </c>
      <c r="E4098" s="9">
        <v>4246.0</v>
      </c>
      <c r="F4098" s="7" t="s">
        <v>1724</v>
      </c>
      <c r="G4098" s="7" t="s">
        <v>353</v>
      </c>
      <c r="H4098" s="7" t="s">
        <v>413</v>
      </c>
      <c r="I4098" s="7" t="s">
        <v>355</v>
      </c>
      <c r="J4098" s="14"/>
      <c r="O4098" s="22"/>
      <c r="P4098" s="22"/>
      <c r="Q4098" s="23"/>
      <c r="R4098" s="23"/>
      <c r="S4098" s="14"/>
    </row>
    <row r="4099" ht="18.75" customHeight="1">
      <c r="A4099" s="7" t="s">
        <v>1839</v>
      </c>
      <c r="B4099" s="7" t="s">
        <v>3884</v>
      </c>
      <c r="C4099" s="9">
        <v>1503671.0</v>
      </c>
      <c r="D4099" s="9">
        <v>1084556.0</v>
      </c>
      <c r="E4099" s="9">
        <v>621.0</v>
      </c>
      <c r="F4099" s="7" t="s">
        <v>1840</v>
      </c>
      <c r="G4099" s="7" t="s">
        <v>416</v>
      </c>
      <c r="H4099" s="7" t="s">
        <v>417</v>
      </c>
      <c r="I4099" s="7" t="s">
        <v>355</v>
      </c>
      <c r="J4099" s="14"/>
      <c r="O4099" s="22"/>
      <c r="P4099" s="22"/>
      <c r="Q4099" s="23"/>
      <c r="R4099" s="23"/>
      <c r="S4099" s="14"/>
    </row>
    <row r="4100" ht="18.75" customHeight="1">
      <c r="A4100" s="7" t="s">
        <v>1882</v>
      </c>
      <c r="B4100" s="7" t="s">
        <v>3884</v>
      </c>
      <c r="C4100" s="9">
        <v>0.0</v>
      </c>
      <c r="D4100" s="9">
        <v>0.0</v>
      </c>
      <c r="E4100" s="9">
        <v>0.0</v>
      </c>
      <c r="F4100" s="7" t="s">
        <v>1883</v>
      </c>
      <c r="G4100" s="7" t="s">
        <v>416</v>
      </c>
      <c r="H4100" s="7" t="s">
        <v>417</v>
      </c>
      <c r="I4100" s="7" t="s">
        <v>355</v>
      </c>
      <c r="J4100" s="14"/>
      <c r="O4100" s="22"/>
      <c r="P4100" s="22"/>
      <c r="Q4100" s="23"/>
      <c r="R4100" s="23"/>
      <c r="S4100" s="14"/>
    </row>
    <row r="4101" ht="18.75" customHeight="1">
      <c r="A4101" s="7" t="s">
        <v>1865</v>
      </c>
      <c r="B4101" s="7" t="s">
        <v>3884</v>
      </c>
      <c r="C4101" s="9">
        <v>764557.0</v>
      </c>
      <c r="D4101" s="9">
        <v>0.0</v>
      </c>
      <c r="E4101" s="9">
        <v>3091.0</v>
      </c>
      <c r="F4101" s="7" t="s">
        <v>1866</v>
      </c>
      <c r="G4101" s="7" t="s">
        <v>416</v>
      </c>
      <c r="H4101" s="7" t="s">
        <v>417</v>
      </c>
      <c r="I4101" s="7" t="s">
        <v>355</v>
      </c>
      <c r="J4101" s="14"/>
      <c r="O4101" s="22"/>
      <c r="P4101" s="22"/>
      <c r="Q4101" s="23"/>
      <c r="R4101" s="23"/>
      <c r="S4101" s="14"/>
    </row>
    <row r="4102" ht="18.75" customHeight="1">
      <c r="A4102" s="7" t="s">
        <v>1865</v>
      </c>
      <c r="B4102" s="7" t="s">
        <v>3884</v>
      </c>
      <c r="C4102" s="9">
        <v>858658.0</v>
      </c>
      <c r="D4102" s="9">
        <v>0.0</v>
      </c>
      <c r="E4102" s="9">
        <v>18230.0</v>
      </c>
      <c r="F4102" s="7" t="s">
        <v>1866</v>
      </c>
      <c r="G4102" s="7" t="s">
        <v>416</v>
      </c>
      <c r="H4102" s="7" t="s">
        <v>417</v>
      </c>
      <c r="I4102" s="7" t="s">
        <v>355</v>
      </c>
      <c r="J4102" s="14"/>
      <c r="O4102" s="22"/>
      <c r="P4102" s="22"/>
      <c r="Q4102" s="23"/>
      <c r="R4102" s="23"/>
      <c r="S4102" s="14"/>
    </row>
    <row r="4103" ht="18.75" customHeight="1">
      <c r="A4103" s="7" t="s">
        <v>1837</v>
      </c>
      <c r="B4103" s="7" t="s">
        <v>3884</v>
      </c>
      <c r="C4103" s="9">
        <v>661433.0</v>
      </c>
      <c r="D4103" s="9">
        <v>538458.0</v>
      </c>
      <c r="E4103" s="9">
        <v>297.0</v>
      </c>
      <c r="F4103" s="7" t="s">
        <v>1838</v>
      </c>
      <c r="G4103" s="7" t="s">
        <v>416</v>
      </c>
      <c r="H4103" s="7" t="s">
        <v>417</v>
      </c>
      <c r="I4103" s="7" t="s">
        <v>355</v>
      </c>
      <c r="J4103" s="14"/>
      <c r="O4103" s="22"/>
      <c r="P4103" s="22"/>
      <c r="Q4103" s="23"/>
      <c r="R4103" s="23"/>
      <c r="S4103" s="14"/>
    </row>
    <row r="4104" ht="18.75" customHeight="1">
      <c r="A4104" s="7" t="s">
        <v>1833</v>
      </c>
      <c r="B4104" s="7" t="s">
        <v>3884</v>
      </c>
      <c r="C4104" s="9">
        <v>0.0</v>
      </c>
      <c r="D4104" s="9">
        <v>0.0</v>
      </c>
      <c r="E4104" s="9">
        <v>0.0</v>
      </c>
      <c r="F4104" s="7" t="s">
        <v>1834</v>
      </c>
      <c r="G4104" s="7" t="s">
        <v>404</v>
      </c>
      <c r="H4104" s="7" t="s">
        <v>760</v>
      </c>
      <c r="I4104" s="7" t="s">
        <v>355</v>
      </c>
      <c r="J4104" s="14"/>
      <c r="O4104" s="22"/>
      <c r="P4104" s="22"/>
      <c r="Q4104" s="23"/>
      <c r="R4104" s="23"/>
      <c r="S4104" s="14"/>
    </row>
    <row r="4105" ht="18.75" customHeight="1">
      <c r="A4105" s="7" t="s">
        <v>1801</v>
      </c>
      <c r="B4105" s="7" t="s">
        <v>3884</v>
      </c>
      <c r="C4105" s="9">
        <v>3055729.0</v>
      </c>
      <c r="D4105" s="9">
        <v>1759107.0</v>
      </c>
      <c r="E4105" s="9">
        <v>2658.0</v>
      </c>
      <c r="F4105" s="7" t="s">
        <v>1802</v>
      </c>
      <c r="G4105" s="7" t="s">
        <v>416</v>
      </c>
      <c r="H4105" s="7" t="s">
        <v>417</v>
      </c>
      <c r="I4105" s="7" t="s">
        <v>355</v>
      </c>
      <c r="J4105" s="14"/>
      <c r="O4105" s="22"/>
      <c r="P4105" s="22"/>
      <c r="Q4105" s="23"/>
      <c r="R4105" s="23"/>
      <c r="S4105" s="14"/>
    </row>
    <row r="4106" ht="18.75" customHeight="1">
      <c r="A4106" s="7" t="s">
        <v>1739</v>
      </c>
      <c r="B4106" s="7" t="s">
        <v>3884</v>
      </c>
      <c r="C4106" s="9">
        <v>3052993.0</v>
      </c>
      <c r="D4106" s="9">
        <v>0.0</v>
      </c>
      <c r="E4106" s="9">
        <v>3057.0</v>
      </c>
      <c r="F4106" s="7" t="s">
        <v>1740</v>
      </c>
      <c r="G4106" s="7" t="s">
        <v>364</v>
      </c>
      <c r="H4106" s="7" t="s">
        <v>365</v>
      </c>
      <c r="I4106" s="7" t="s">
        <v>355</v>
      </c>
      <c r="J4106" s="14"/>
      <c r="O4106" s="22"/>
      <c r="P4106" s="22"/>
      <c r="Q4106" s="23"/>
      <c r="R4106" s="23"/>
      <c r="S4106" s="14"/>
    </row>
    <row r="4107" ht="18.75" customHeight="1">
      <c r="A4107" s="7" t="s">
        <v>1725</v>
      </c>
      <c r="B4107" s="7" t="s">
        <v>3884</v>
      </c>
      <c r="C4107" s="9">
        <v>5669970.0</v>
      </c>
      <c r="D4107" s="9">
        <v>0.0</v>
      </c>
      <c r="E4107" s="9">
        <v>5571.0</v>
      </c>
      <c r="F4107" s="7" t="s">
        <v>1726</v>
      </c>
      <c r="G4107" s="7" t="s">
        <v>353</v>
      </c>
      <c r="H4107" s="7" t="s">
        <v>378</v>
      </c>
      <c r="I4107" s="7" t="s">
        <v>410</v>
      </c>
      <c r="J4107" s="14"/>
      <c r="O4107" s="22"/>
      <c r="P4107" s="22"/>
      <c r="Q4107" s="23"/>
      <c r="R4107" s="23"/>
      <c r="S4107" s="14"/>
    </row>
    <row r="4108" ht="18.75" customHeight="1">
      <c r="A4108" s="7" t="s">
        <v>1725</v>
      </c>
      <c r="B4108" s="7" t="s">
        <v>3884</v>
      </c>
      <c r="C4108" s="9">
        <v>4452774.0</v>
      </c>
      <c r="D4108" s="9">
        <v>3288576.0</v>
      </c>
      <c r="E4108" s="9">
        <v>2624.0</v>
      </c>
      <c r="F4108" s="7" t="s">
        <v>1726</v>
      </c>
      <c r="G4108" s="7" t="s">
        <v>353</v>
      </c>
      <c r="H4108" s="7" t="s">
        <v>378</v>
      </c>
      <c r="I4108" s="7" t="s">
        <v>410</v>
      </c>
      <c r="J4108" s="14"/>
      <c r="O4108" s="22"/>
      <c r="P4108" s="22"/>
      <c r="Q4108" s="23"/>
      <c r="R4108" s="23"/>
      <c r="S4108" s="14"/>
    </row>
    <row r="4109" ht="18.75" customHeight="1">
      <c r="A4109" s="7" t="s">
        <v>3904</v>
      </c>
      <c r="B4109" s="7" t="s">
        <v>3884</v>
      </c>
      <c r="C4109" s="9">
        <v>861108.0</v>
      </c>
      <c r="D4109" s="9">
        <v>0.0</v>
      </c>
      <c r="E4109" s="9">
        <v>1593.0</v>
      </c>
      <c r="F4109" s="7" t="s">
        <v>3905</v>
      </c>
      <c r="G4109" s="7" t="s">
        <v>416</v>
      </c>
      <c r="H4109" s="7" t="s">
        <v>417</v>
      </c>
      <c r="I4109" s="7" t="s">
        <v>3886</v>
      </c>
      <c r="J4109" s="14"/>
      <c r="O4109" s="22"/>
      <c r="P4109" s="22"/>
      <c r="Q4109" s="23"/>
      <c r="R4109" s="23"/>
      <c r="S4109" s="14"/>
    </row>
    <row r="4110" ht="18.75" customHeight="1">
      <c r="A4110" s="7" t="s">
        <v>1936</v>
      </c>
      <c r="B4110" s="7" t="s">
        <v>3884</v>
      </c>
      <c r="C4110" s="9">
        <v>376246.0</v>
      </c>
      <c r="D4110" s="9">
        <v>0.0</v>
      </c>
      <c r="E4110" s="9">
        <v>681.0</v>
      </c>
      <c r="F4110" s="7" t="s">
        <v>1937</v>
      </c>
      <c r="G4110" s="7" t="s">
        <v>416</v>
      </c>
      <c r="H4110" s="7" t="s">
        <v>417</v>
      </c>
      <c r="I4110" s="7" t="s">
        <v>355</v>
      </c>
      <c r="J4110" s="14"/>
      <c r="O4110" s="22"/>
      <c r="P4110" s="22"/>
      <c r="Q4110" s="23"/>
      <c r="R4110" s="23"/>
      <c r="S4110" s="14"/>
    </row>
    <row r="4111" ht="18.75" customHeight="1">
      <c r="A4111" s="7" t="s">
        <v>1867</v>
      </c>
      <c r="B4111" s="7" t="s">
        <v>3884</v>
      </c>
      <c r="C4111" s="9">
        <v>1.5190077E7</v>
      </c>
      <c r="D4111" s="9">
        <v>0.0</v>
      </c>
      <c r="E4111" s="9">
        <v>14674.0</v>
      </c>
      <c r="F4111" s="7" t="s">
        <v>1868</v>
      </c>
      <c r="G4111" s="7" t="s">
        <v>358</v>
      </c>
      <c r="H4111" s="7" t="s">
        <v>466</v>
      </c>
      <c r="I4111" s="7" t="s">
        <v>355</v>
      </c>
      <c r="J4111" s="14"/>
      <c r="O4111" s="22"/>
      <c r="P4111" s="22"/>
      <c r="Q4111" s="23"/>
      <c r="R4111" s="23"/>
      <c r="S4111" s="14"/>
    </row>
    <row r="4112" ht="18.75" customHeight="1">
      <c r="A4112" s="7" t="s">
        <v>1867</v>
      </c>
      <c r="B4112" s="7" t="s">
        <v>3884</v>
      </c>
      <c r="C4112" s="9">
        <v>1798153.0</v>
      </c>
      <c r="D4112" s="9">
        <v>0.0</v>
      </c>
      <c r="E4112" s="9">
        <v>1522.0</v>
      </c>
      <c r="F4112" s="7" t="s">
        <v>1868</v>
      </c>
      <c r="G4112" s="7" t="s">
        <v>358</v>
      </c>
      <c r="H4112" s="7" t="s">
        <v>466</v>
      </c>
      <c r="I4112" s="7" t="s">
        <v>355</v>
      </c>
      <c r="J4112" s="14"/>
      <c r="O4112" s="22"/>
      <c r="P4112" s="22"/>
      <c r="Q4112" s="23"/>
      <c r="R4112" s="23"/>
      <c r="S4112" s="14"/>
    </row>
    <row r="4113" ht="18.75" customHeight="1">
      <c r="A4113" s="7" t="s">
        <v>1882</v>
      </c>
      <c r="B4113" s="7" t="s">
        <v>3884</v>
      </c>
      <c r="C4113" s="9">
        <v>2235533.0</v>
      </c>
      <c r="D4113" s="9">
        <v>1752687.0</v>
      </c>
      <c r="E4113" s="9">
        <v>1787.0</v>
      </c>
      <c r="F4113" s="7" t="s">
        <v>1883</v>
      </c>
      <c r="G4113" s="7" t="s">
        <v>416</v>
      </c>
      <c r="H4113" s="7" t="s">
        <v>417</v>
      </c>
      <c r="I4113" s="7" t="s">
        <v>355</v>
      </c>
      <c r="J4113" s="14"/>
      <c r="O4113" s="22"/>
      <c r="P4113" s="22"/>
      <c r="Q4113" s="23"/>
      <c r="R4113" s="23"/>
      <c r="S4113" s="14"/>
    </row>
    <row r="4114" ht="18.75" customHeight="1">
      <c r="A4114" s="7" t="s">
        <v>1946</v>
      </c>
      <c r="B4114" s="7" t="s">
        <v>3884</v>
      </c>
      <c r="C4114" s="9">
        <v>796840.0</v>
      </c>
      <c r="D4114" s="9">
        <v>0.0</v>
      </c>
      <c r="E4114" s="9">
        <v>617.0</v>
      </c>
      <c r="F4114" s="7" t="s">
        <v>1947</v>
      </c>
      <c r="G4114" s="7" t="s">
        <v>353</v>
      </c>
      <c r="H4114" s="7" t="s">
        <v>378</v>
      </c>
      <c r="I4114" s="7" t="s">
        <v>355</v>
      </c>
      <c r="J4114" s="14"/>
      <c r="O4114" s="22"/>
      <c r="P4114" s="22"/>
      <c r="Q4114" s="23"/>
      <c r="R4114" s="23"/>
      <c r="S4114" s="14"/>
    </row>
    <row r="4115" ht="18.75" customHeight="1">
      <c r="A4115" s="7" t="s">
        <v>856</v>
      </c>
      <c r="B4115" s="7" t="s">
        <v>3884</v>
      </c>
      <c r="C4115" s="9">
        <v>807797.0</v>
      </c>
      <c r="D4115" s="9">
        <v>0.0</v>
      </c>
      <c r="E4115" s="9">
        <v>1145.0</v>
      </c>
      <c r="F4115" s="7" t="s">
        <v>857</v>
      </c>
      <c r="G4115" s="7" t="s">
        <v>364</v>
      </c>
      <c r="H4115" s="7" t="s">
        <v>365</v>
      </c>
      <c r="I4115" s="7" t="s">
        <v>355</v>
      </c>
      <c r="J4115" s="14"/>
      <c r="O4115" s="22"/>
      <c r="P4115" s="22"/>
      <c r="Q4115" s="23"/>
      <c r="R4115" s="23"/>
      <c r="S4115" s="14"/>
    </row>
    <row r="4116" ht="18.75" customHeight="1">
      <c r="A4116" s="7" t="s">
        <v>856</v>
      </c>
      <c r="B4116" s="7" t="s">
        <v>3884</v>
      </c>
      <c r="C4116" s="9">
        <v>80460.0</v>
      </c>
      <c r="D4116" s="9">
        <v>0.0</v>
      </c>
      <c r="E4116" s="9">
        <v>197.0</v>
      </c>
      <c r="F4116" s="7" t="s">
        <v>857</v>
      </c>
      <c r="G4116" s="7" t="s">
        <v>364</v>
      </c>
      <c r="H4116" s="7" t="s">
        <v>365</v>
      </c>
      <c r="I4116" s="7" t="s">
        <v>355</v>
      </c>
      <c r="J4116" s="14"/>
      <c r="O4116" s="22"/>
      <c r="P4116" s="22"/>
      <c r="Q4116" s="23"/>
      <c r="R4116" s="23"/>
      <c r="S4116" s="14"/>
    </row>
    <row r="4117" ht="18.75" customHeight="1">
      <c r="A4117" s="7" t="s">
        <v>856</v>
      </c>
      <c r="B4117" s="7" t="s">
        <v>3884</v>
      </c>
      <c r="C4117" s="9">
        <v>369467.0</v>
      </c>
      <c r="D4117" s="9">
        <v>250335.0</v>
      </c>
      <c r="E4117" s="9">
        <v>452.0</v>
      </c>
      <c r="F4117" s="7" t="s">
        <v>857</v>
      </c>
      <c r="G4117" s="7" t="s">
        <v>364</v>
      </c>
      <c r="H4117" s="7" t="s">
        <v>365</v>
      </c>
      <c r="I4117" s="7" t="s">
        <v>355</v>
      </c>
      <c r="J4117" s="14"/>
      <c r="O4117" s="22"/>
      <c r="P4117" s="22"/>
      <c r="Q4117" s="23"/>
      <c r="R4117" s="23"/>
      <c r="S4117" s="14"/>
    </row>
    <row r="4118" ht="18.75" customHeight="1">
      <c r="A4118" s="7" t="s">
        <v>856</v>
      </c>
      <c r="B4118" s="7" t="s">
        <v>3884</v>
      </c>
      <c r="C4118" s="9">
        <v>345380.0</v>
      </c>
      <c r="D4118" s="9">
        <v>253974.0</v>
      </c>
      <c r="E4118" s="9">
        <v>290.0</v>
      </c>
      <c r="F4118" s="7" t="s">
        <v>857</v>
      </c>
      <c r="G4118" s="7" t="s">
        <v>364</v>
      </c>
      <c r="H4118" s="7" t="s">
        <v>365</v>
      </c>
      <c r="I4118" s="7" t="s">
        <v>355</v>
      </c>
      <c r="J4118" s="14"/>
      <c r="O4118" s="22"/>
      <c r="P4118" s="22"/>
      <c r="Q4118" s="23"/>
      <c r="R4118" s="23"/>
      <c r="S4118" s="14"/>
    </row>
    <row r="4119" ht="18.75" customHeight="1">
      <c r="A4119" s="7" t="s">
        <v>1291</v>
      </c>
      <c r="B4119" s="7" t="s">
        <v>3884</v>
      </c>
      <c r="C4119" s="9">
        <v>2914852.0</v>
      </c>
      <c r="D4119" s="9">
        <v>0.0</v>
      </c>
      <c r="E4119" s="9">
        <v>3583.0</v>
      </c>
      <c r="F4119" s="7" t="s">
        <v>1292</v>
      </c>
      <c r="G4119" s="7" t="s">
        <v>353</v>
      </c>
      <c r="H4119" s="7" t="s">
        <v>354</v>
      </c>
      <c r="I4119" s="7" t="s">
        <v>410</v>
      </c>
      <c r="J4119" s="14"/>
      <c r="O4119" s="22"/>
      <c r="P4119" s="22"/>
      <c r="Q4119" s="23"/>
      <c r="R4119" s="23"/>
      <c r="S4119" s="14"/>
    </row>
    <row r="4120" ht="18.75" customHeight="1">
      <c r="A4120" s="7" t="s">
        <v>1291</v>
      </c>
      <c r="B4120" s="7" t="s">
        <v>3884</v>
      </c>
      <c r="C4120" s="9">
        <v>3774406.0</v>
      </c>
      <c r="D4120" s="9">
        <v>0.0</v>
      </c>
      <c r="E4120" s="9">
        <v>3550.0</v>
      </c>
      <c r="F4120" s="7" t="s">
        <v>1292</v>
      </c>
      <c r="G4120" s="7" t="s">
        <v>353</v>
      </c>
      <c r="H4120" s="7" t="s">
        <v>354</v>
      </c>
      <c r="I4120" s="7" t="s">
        <v>410</v>
      </c>
      <c r="J4120" s="14"/>
      <c r="O4120" s="22"/>
      <c r="P4120" s="22"/>
      <c r="Q4120" s="23"/>
      <c r="R4120" s="23"/>
      <c r="S4120" s="14"/>
    </row>
    <row r="4121" ht="18.75" customHeight="1">
      <c r="A4121" s="7" t="s">
        <v>1555</v>
      </c>
      <c r="B4121" s="7" t="s">
        <v>3884</v>
      </c>
      <c r="C4121" s="9">
        <v>2477098.0</v>
      </c>
      <c r="D4121" s="9">
        <v>1646816.0</v>
      </c>
      <c r="E4121" s="9">
        <v>2869.0</v>
      </c>
      <c r="F4121" s="7" t="s">
        <v>1556</v>
      </c>
      <c r="G4121" s="7" t="s">
        <v>404</v>
      </c>
      <c r="H4121" s="7" t="s">
        <v>760</v>
      </c>
      <c r="I4121" s="7" t="s">
        <v>355</v>
      </c>
      <c r="J4121" s="14"/>
      <c r="O4121" s="22"/>
      <c r="P4121" s="22"/>
      <c r="Q4121" s="23"/>
      <c r="R4121" s="23"/>
      <c r="S4121" s="14"/>
    </row>
    <row r="4122" ht="18.75" customHeight="1">
      <c r="A4122" s="7" t="s">
        <v>1555</v>
      </c>
      <c r="B4122" s="7" t="s">
        <v>3884</v>
      </c>
      <c r="C4122" s="9">
        <v>4862616.0</v>
      </c>
      <c r="D4122" s="9">
        <v>0.0</v>
      </c>
      <c r="E4122" s="9">
        <v>4386.0</v>
      </c>
      <c r="F4122" s="7" t="s">
        <v>1556</v>
      </c>
      <c r="G4122" s="7" t="s">
        <v>404</v>
      </c>
      <c r="H4122" s="7" t="s">
        <v>760</v>
      </c>
      <c r="I4122" s="7" t="s">
        <v>355</v>
      </c>
      <c r="J4122" s="14"/>
      <c r="O4122" s="22"/>
      <c r="P4122" s="22"/>
      <c r="Q4122" s="23"/>
      <c r="R4122" s="23"/>
      <c r="S4122" s="14"/>
    </row>
    <row r="4123" ht="18.75" customHeight="1">
      <c r="A4123" s="7" t="s">
        <v>1723</v>
      </c>
      <c r="B4123" s="7" t="s">
        <v>3884</v>
      </c>
      <c r="C4123" s="9">
        <v>3985697.0</v>
      </c>
      <c r="D4123" s="9">
        <v>0.0</v>
      </c>
      <c r="E4123" s="9">
        <v>4246.0</v>
      </c>
      <c r="F4123" s="7" t="s">
        <v>1724</v>
      </c>
      <c r="G4123" s="7" t="s">
        <v>353</v>
      </c>
      <c r="H4123" s="7" t="s">
        <v>413</v>
      </c>
      <c r="I4123" s="7" t="s">
        <v>355</v>
      </c>
      <c r="J4123" s="14"/>
      <c r="O4123" s="22"/>
      <c r="P4123" s="22"/>
      <c r="Q4123" s="23"/>
      <c r="R4123" s="23"/>
      <c r="S4123" s="14"/>
    </row>
    <row r="4124" ht="18.75" customHeight="1">
      <c r="A4124" s="7" t="s">
        <v>1737</v>
      </c>
      <c r="B4124" s="7" t="s">
        <v>3884</v>
      </c>
      <c r="C4124" s="9">
        <v>3756721.0</v>
      </c>
      <c r="D4124" s="9">
        <v>0.0</v>
      </c>
      <c r="E4124" s="9">
        <v>3348.0</v>
      </c>
      <c r="F4124" s="7" t="s">
        <v>1738</v>
      </c>
      <c r="G4124" s="7" t="s">
        <v>353</v>
      </c>
      <c r="H4124" s="7" t="s">
        <v>354</v>
      </c>
      <c r="I4124" s="7" t="s">
        <v>410</v>
      </c>
      <c r="J4124" s="14"/>
      <c r="O4124" s="22"/>
      <c r="P4124" s="22"/>
      <c r="Q4124" s="23"/>
      <c r="R4124" s="23"/>
      <c r="S4124" s="14"/>
    </row>
    <row r="4125" ht="18.75" customHeight="1">
      <c r="A4125" s="7" t="s">
        <v>1737</v>
      </c>
      <c r="B4125" s="7" t="s">
        <v>3884</v>
      </c>
      <c r="C4125" s="9">
        <v>4613577.0</v>
      </c>
      <c r="D4125" s="9">
        <v>0.0</v>
      </c>
      <c r="E4125" s="9">
        <v>5448.0</v>
      </c>
      <c r="F4125" s="7" t="s">
        <v>1738</v>
      </c>
      <c r="G4125" s="7" t="s">
        <v>353</v>
      </c>
      <c r="H4125" s="7" t="s">
        <v>354</v>
      </c>
      <c r="I4125" s="7" t="s">
        <v>410</v>
      </c>
      <c r="J4125" s="14"/>
      <c r="O4125" s="22"/>
      <c r="P4125" s="22"/>
      <c r="Q4125" s="23"/>
      <c r="R4125" s="23"/>
      <c r="S4125" s="14"/>
    </row>
    <row r="4126" ht="18.75" customHeight="1">
      <c r="A4126" s="7" t="s">
        <v>1737</v>
      </c>
      <c r="B4126" s="7" t="s">
        <v>3884</v>
      </c>
      <c r="C4126" s="9">
        <v>72216.0</v>
      </c>
      <c r="D4126" s="9">
        <v>0.0</v>
      </c>
      <c r="E4126" s="9">
        <v>2021.0</v>
      </c>
      <c r="F4126" s="7" t="s">
        <v>1738</v>
      </c>
      <c r="G4126" s="7" t="s">
        <v>353</v>
      </c>
      <c r="H4126" s="7" t="s">
        <v>354</v>
      </c>
      <c r="I4126" s="7" t="s">
        <v>410</v>
      </c>
      <c r="J4126" s="14"/>
      <c r="O4126" s="22"/>
      <c r="P4126" s="22"/>
      <c r="Q4126" s="23"/>
      <c r="R4126" s="23"/>
      <c r="S4126" s="14"/>
    </row>
    <row r="4127" ht="18.75" customHeight="1">
      <c r="A4127" s="7" t="s">
        <v>1429</v>
      </c>
      <c r="B4127" s="7" t="s">
        <v>3884</v>
      </c>
      <c r="C4127" s="9">
        <v>7881859.0</v>
      </c>
      <c r="D4127" s="9">
        <v>0.0</v>
      </c>
      <c r="E4127" s="9">
        <v>7058.0</v>
      </c>
      <c r="F4127" s="7" t="s">
        <v>1430</v>
      </c>
      <c r="G4127" s="7" t="s">
        <v>416</v>
      </c>
      <c r="H4127" s="7" t="s">
        <v>430</v>
      </c>
      <c r="I4127" s="7" t="s">
        <v>2120</v>
      </c>
      <c r="J4127" s="14"/>
      <c r="O4127" s="22"/>
      <c r="P4127" s="22"/>
      <c r="Q4127" s="23"/>
      <c r="R4127" s="23"/>
      <c r="S4127" s="14"/>
    </row>
    <row r="4128" ht="18.75" customHeight="1">
      <c r="A4128" s="7" t="s">
        <v>1429</v>
      </c>
      <c r="B4128" s="7" t="s">
        <v>3884</v>
      </c>
      <c r="C4128" s="9">
        <v>5852796.0</v>
      </c>
      <c r="D4128" s="9">
        <v>5031581.0</v>
      </c>
      <c r="E4128" s="9">
        <v>1723.0</v>
      </c>
      <c r="F4128" s="7" t="s">
        <v>1430</v>
      </c>
      <c r="G4128" s="7" t="s">
        <v>416</v>
      </c>
      <c r="H4128" s="7" t="s">
        <v>430</v>
      </c>
      <c r="I4128" s="7" t="s">
        <v>2120</v>
      </c>
      <c r="J4128" s="14"/>
      <c r="O4128" s="22"/>
      <c r="P4128" s="22"/>
      <c r="Q4128" s="23"/>
      <c r="R4128" s="23"/>
      <c r="S4128" s="14"/>
    </row>
    <row r="4129" ht="18.75" customHeight="1">
      <c r="A4129" s="7" t="s">
        <v>1431</v>
      </c>
      <c r="B4129" s="7" t="s">
        <v>3884</v>
      </c>
      <c r="C4129" s="9">
        <v>7826137.0</v>
      </c>
      <c r="D4129" s="9">
        <v>0.0</v>
      </c>
      <c r="E4129" s="9">
        <v>10390.0</v>
      </c>
      <c r="F4129" s="7" t="s">
        <v>1432</v>
      </c>
      <c r="G4129" s="7" t="s">
        <v>416</v>
      </c>
      <c r="H4129" s="7" t="s">
        <v>430</v>
      </c>
      <c r="I4129" s="7" t="s">
        <v>2120</v>
      </c>
      <c r="J4129" s="14"/>
      <c r="O4129" s="22"/>
      <c r="P4129" s="22"/>
      <c r="Q4129" s="23"/>
      <c r="R4129" s="23"/>
      <c r="S4129" s="14"/>
    </row>
    <row r="4130" ht="18.75" customHeight="1">
      <c r="A4130" s="7" t="s">
        <v>1431</v>
      </c>
      <c r="B4130" s="7" t="s">
        <v>3884</v>
      </c>
      <c r="C4130" s="9">
        <v>5874915.0</v>
      </c>
      <c r="D4130" s="9">
        <v>5095116.0</v>
      </c>
      <c r="E4130" s="9">
        <v>1875.0</v>
      </c>
      <c r="F4130" s="7" t="s">
        <v>1432</v>
      </c>
      <c r="G4130" s="7" t="s">
        <v>416</v>
      </c>
      <c r="H4130" s="7" t="s">
        <v>430</v>
      </c>
      <c r="I4130" s="7" t="s">
        <v>2120</v>
      </c>
      <c r="J4130" s="14"/>
      <c r="O4130" s="22"/>
      <c r="P4130" s="22"/>
      <c r="Q4130" s="23"/>
      <c r="R4130" s="23"/>
      <c r="S4130" s="14"/>
    </row>
    <row r="4131" ht="18.75" customHeight="1">
      <c r="A4131" s="7" t="s">
        <v>1725</v>
      </c>
      <c r="B4131" s="7" t="s">
        <v>3884</v>
      </c>
      <c r="C4131" s="9">
        <v>5669970.0</v>
      </c>
      <c r="D4131" s="9">
        <v>0.0</v>
      </c>
      <c r="E4131" s="9">
        <v>5571.0</v>
      </c>
      <c r="F4131" s="7" t="s">
        <v>1726</v>
      </c>
      <c r="G4131" s="7" t="s">
        <v>353</v>
      </c>
      <c r="H4131" s="7" t="s">
        <v>378</v>
      </c>
      <c r="I4131" s="7" t="s">
        <v>410</v>
      </c>
      <c r="J4131" s="14"/>
      <c r="O4131" s="22"/>
      <c r="P4131" s="22"/>
      <c r="Q4131" s="23"/>
      <c r="R4131" s="23"/>
      <c r="S4131" s="14"/>
    </row>
    <row r="4132" ht="18.75" customHeight="1">
      <c r="A4132" s="7" t="s">
        <v>1725</v>
      </c>
      <c r="B4132" s="7" t="s">
        <v>3884</v>
      </c>
      <c r="C4132" s="9">
        <v>4452774.0</v>
      </c>
      <c r="D4132" s="9">
        <v>3288576.0</v>
      </c>
      <c r="E4132" s="9">
        <v>2624.0</v>
      </c>
      <c r="F4132" s="7" t="s">
        <v>1726</v>
      </c>
      <c r="G4132" s="7" t="s">
        <v>353</v>
      </c>
      <c r="H4132" s="7" t="s">
        <v>378</v>
      </c>
      <c r="I4132" s="7" t="s">
        <v>410</v>
      </c>
      <c r="J4132" s="14"/>
      <c r="O4132" s="22"/>
      <c r="P4132" s="22"/>
      <c r="Q4132" s="23"/>
      <c r="R4132" s="23"/>
      <c r="S4132" s="14"/>
    </row>
    <row r="4133" ht="18.75" customHeight="1">
      <c r="A4133" s="7" t="s">
        <v>1807</v>
      </c>
      <c r="B4133" s="7" t="s">
        <v>3884</v>
      </c>
      <c r="C4133" s="9">
        <v>3371273.0</v>
      </c>
      <c r="D4133" s="9">
        <v>2466744.0</v>
      </c>
      <c r="E4133" s="9">
        <v>2013.0</v>
      </c>
      <c r="F4133" s="7" t="s">
        <v>1808</v>
      </c>
      <c r="G4133" s="7" t="s">
        <v>353</v>
      </c>
      <c r="H4133" s="7" t="s">
        <v>354</v>
      </c>
      <c r="I4133" s="7" t="s">
        <v>355</v>
      </c>
      <c r="J4133" s="14"/>
      <c r="O4133" s="22"/>
      <c r="P4133" s="22"/>
      <c r="Q4133" s="23"/>
      <c r="R4133" s="23"/>
      <c r="S4133" s="14"/>
    </row>
    <row r="4134" ht="18.75" customHeight="1">
      <c r="A4134" s="7" t="s">
        <v>1833</v>
      </c>
      <c r="B4134" s="7" t="s">
        <v>3884</v>
      </c>
      <c r="C4134" s="9">
        <v>0.0</v>
      </c>
      <c r="D4134" s="9">
        <v>0.0</v>
      </c>
      <c r="E4134" s="9">
        <v>0.0</v>
      </c>
      <c r="F4134" s="7" t="s">
        <v>1834</v>
      </c>
      <c r="G4134" s="7" t="s">
        <v>404</v>
      </c>
      <c r="H4134" s="7" t="s">
        <v>760</v>
      </c>
      <c r="I4134" s="7" t="s">
        <v>355</v>
      </c>
      <c r="J4134" s="14"/>
      <c r="O4134" s="22"/>
      <c r="P4134" s="22"/>
      <c r="Q4134" s="23"/>
      <c r="R4134" s="23"/>
      <c r="S4134" s="14"/>
    </row>
    <row r="4135" ht="18.75" customHeight="1">
      <c r="A4135" s="7" t="s">
        <v>1733</v>
      </c>
      <c r="B4135" s="7" t="s">
        <v>3884</v>
      </c>
      <c r="C4135" s="9">
        <v>5202312.0</v>
      </c>
      <c r="D4135" s="9">
        <v>0.0</v>
      </c>
      <c r="E4135" s="9">
        <v>4391.0</v>
      </c>
      <c r="F4135" s="7" t="s">
        <v>1734</v>
      </c>
      <c r="G4135" s="7" t="s">
        <v>353</v>
      </c>
      <c r="H4135" s="7" t="s">
        <v>378</v>
      </c>
      <c r="I4135" s="7" t="s">
        <v>410</v>
      </c>
      <c r="J4135" s="14"/>
      <c r="O4135" s="22"/>
      <c r="P4135" s="22"/>
      <c r="Q4135" s="23"/>
      <c r="R4135" s="23"/>
      <c r="S4135" s="14"/>
    </row>
    <row r="4136" ht="18.75" customHeight="1">
      <c r="A4136" s="7" t="s">
        <v>1867</v>
      </c>
      <c r="B4136" s="7" t="s">
        <v>3884</v>
      </c>
      <c r="C4136" s="9">
        <v>1.5190077E7</v>
      </c>
      <c r="D4136" s="9">
        <v>0.0</v>
      </c>
      <c r="E4136" s="9">
        <v>14674.0</v>
      </c>
      <c r="F4136" s="7" t="s">
        <v>1868</v>
      </c>
      <c r="G4136" s="7" t="s">
        <v>358</v>
      </c>
      <c r="H4136" s="7" t="s">
        <v>466</v>
      </c>
      <c r="I4136" s="7" t="s">
        <v>355</v>
      </c>
      <c r="J4136" s="14"/>
      <c r="O4136" s="22"/>
      <c r="P4136" s="22"/>
      <c r="Q4136" s="23"/>
      <c r="R4136" s="23"/>
      <c r="S4136" s="14"/>
    </row>
    <row r="4137" ht="18.75" customHeight="1">
      <c r="A4137" s="7" t="s">
        <v>1867</v>
      </c>
      <c r="B4137" s="7" t="s">
        <v>3884</v>
      </c>
      <c r="C4137" s="9">
        <v>1798153.0</v>
      </c>
      <c r="D4137" s="9">
        <v>0.0</v>
      </c>
      <c r="E4137" s="9">
        <v>1522.0</v>
      </c>
      <c r="F4137" s="7" t="s">
        <v>1868</v>
      </c>
      <c r="G4137" s="7" t="s">
        <v>358</v>
      </c>
      <c r="H4137" s="7" t="s">
        <v>466</v>
      </c>
      <c r="I4137" s="7" t="s">
        <v>355</v>
      </c>
      <c r="J4137" s="14"/>
      <c r="O4137" s="22"/>
      <c r="P4137" s="22"/>
      <c r="Q4137" s="23"/>
      <c r="R4137" s="23"/>
      <c r="S4137" s="14"/>
    </row>
    <row r="4138" ht="18.75" customHeight="1">
      <c r="A4138" s="7" t="s">
        <v>1739</v>
      </c>
      <c r="B4138" s="7" t="s">
        <v>3884</v>
      </c>
      <c r="C4138" s="9">
        <v>3052993.0</v>
      </c>
      <c r="D4138" s="9">
        <v>0.0</v>
      </c>
      <c r="E4138" s="9">
        <v>3057.0</v>
      </c>
      <c r="F4138" s="7" t="s">
        <v>1740</v>
      </c>
      <c r="G4138" s="7" t="s">
        <v>364</v>
      </c>
      <c r="H4138" s="7" t="s">
        <v>365</v>
      </c>
      <c r="I4138" s="7" t="s">
        <v>355</v>
      </c>
      <c r="J4138" s="14"/>
      <c r="O4138" s="22"/>
      <c r="P4138" s="22"/>
      <c r="Q4138" s="23"/>
      <c r="R4138" s="23"/>
      <c r="S4138" s="14"/>
    </row>
    <row r="4139" ht="18.75" customHeight="1">
      <c r="A4139" s="7" t="s">
        <v>1837</v>
      </c>
      <c r="B4139" s="7" t="s">
        <v>3884</v>
      </c>
      <c r="C4139" s="9">
        <v>661433.0</v>
      </c>
      <c r="D4139" s="9">
        <v>538458.0</v>
      </c>
      <c r="E4139" s="9">
        <v>297.0</v>
      </c>
      <c r="F4139" s="7" t="s">
        <v>1838</v>
      </c>
      <c r="G4139" s="7" t="s">
        <v>416</v>
      </c>
      <c r="H4139" s="7" t="s">
        <v>417</v>
      </c>
      <c r="I4139" s="7" t="s">
        <v>355</v>
      </c>
      <c r="J4139" s="14"/>
      <c r="O4139" s="22"/>
      <c r="P4139" s="22"/>
      <c r="Q4139" s="23"/>
      <c r="R4139" s="23"/>
      <c r="S4139" s="14"/>
    </row>
    <row r="4140" ht="18.75" customHeight="1">
      <c r="A4140" s="7" t="s">
        <v>1801</v>
      </c>
      <c r="B4140" s="7" t="s">
        <v>3884</v>
      </c>
      <c r="C4140" s="9">
        <v>3055729.0</v>
      </c>
      <c r="D4140" s="9">
        <v>1759107.0</v>
      </c>
      <c r="E4140" s="9">
        <v>2658.0</v>
      </c>
      <c r="F4140" s="7" t="s">
        <v>1802</v>
      </c>
      <c r="G4140" s="7" t="s">
        <v>416</v>
      </c>
      <c r="H4140" s="7" t="s">
        <v>417</v>
      </c>
      <c r="I4140" s="7" t="s">
        <v>355</v>
      </c>
      <c r="J4140" s="14"/>
      <c r="O4140" s="22"/>
      <c r="P4140" s="22"/>
      <c r="Q4140" s="23"/>
      <c r="R4140" s="23"/>
      <c r="S4140" s="14"/>
    </row>
    <row r="4141" ht="18.75" customHeight="1">
      <c r="A4141" s="7" t="s">
        <v>3904</v>
      </c>
      <c r="B4141" s="7" t="s">
        <v>3884</v>
      </c>
      <c r="C4141" s="9">
        <v>861108.0</v>
      </c>
      <c r="D4141" s="9">
        <v>0.0</v>
      </c>
      <c r="E4141" s="9">
        <v>1593.0</v>
      </c>
      <c r="F4141" s="7" t="s">
        <v>3905</v>
      </c>
      <c r="G4141" s="7" t="s">
        <v>416</v>
      </c>
      <c r="H4141" s="7" t="s">
        <v>417</v>
      </c>
      <c r="I4141" s="7" t="s">
        <v>3886</v>
      </c>
      <c r="J4141" s="14"/>
      <c r="O4141" s="22"/>
      <c r="P4141" s="22"/>
      <c r="Q4141" s="23"/>
      <c r="R4141" s="23"/>
      <c r="S4141" s="14"/>
    </row>
    <row r="4142" ht="18.75" customHeight="1">
      <c r="A4142" s="7" t="s">
        <v>1946</v>
      </c>
      <c r="B4142" s="7" t="s">
        <v>3884</v>
      </c>
      <c r="C4142" s="9">
        <v>796840.0</v>
      </c>
      <c r="D4142" s="9">
        <v>0.0</v>
      </c>
      <c r="E4142" s="9">
        <v>617.0</v>
      </c>
      <c r="F4142" s="7" t="s">
        <v>1947</v>
      </c>
      <c r="G4142" s="7" t="s">
        <v>353</v>
      </c>
      <c r="H4142" s="7" t="s">
        <v>378</v>
      </c>
      <c r="I4142" s="7" t="s">
        <v>355</v>
      </c>
      <c r="J4142" s="14"/>
      <c r="O4142" s="22"/>
      <c r="P4142" s="22"/>
      <c r="Q4142" s="23"/>
      <c r="R4142" s="23"/>
      <c r="S4142" s="14"/>
    </row>
    <row r="4143" ht="18.75" customHeight="1">
      <c r="A4143" s="7" t="s">
        <v>1882</v>
      </c>
      <c r="B4143" s="7" t="s">
        <v>3884</v>
      </c>
      <c r="C4143" s="9">
        <v>2235533.0</v>
      </c>
      <c r="D4143" s="9">
        <v>1752687.0</v>
      </c>
      <c r="E4143" s="9">
        <v>1787.0</v>
      </c>
      <c r="F4143" s="7" t="s">
        <v>1883</v>
      </c>
      <c r="G4143" s="7" t="s">
        <v>416</v>
      </c>
      <c r="H4143" s="7" t="s">
        <v>417</v>
      </c>
      <c r="I4143" s="7" t="s">
        <v>355</v>
      </c>
      <c r="J4143" s="14"/>
      <c r="O4143" s="22"/>
      <c r="P4143" s="22"/>
      <c r="Q4143" s="23"/>
      <c r="R4143" s="23"/>
      <c r="S4143" s="14"/>
    </row>
    <row r="4144" ht="18.75" customHeight="1">
      <c r="A4144" s="7" t="s">
        <v>1497</v>
      </c>
      <c r="B4144" s="7" t="s">
        <v>3884</v>
      </c>
      <c r="C4144" s="9">
        <v>2988766.0</v>
      </c>
      <c r="D4144" s="9">
        <v>0.0</v>
      </c>
      <c r="E4144" s="9">
        <v>2011.0</v>
      </c>
      <c r="F4144" s="7" t="s">
        <v>1498</v>
      </c>
      <c r="G4144" s="7" t="s">
        <v>404</v>
      </c>
      <c r="H4144" s="7" t="s">
        <v>405</v>
      </c>
      <c r="I4144" s="7" t="s">
        <v>410</v>
      </c>
      <c r="J4144" s="14"/>
      <c r="O4144" s="22"/>
      <c r="P4144" s="22"/>
      <c r="Q4144" s="23"/>
      <c r="R4144" s="23"/>
      <c r="S4144" s="14"/>
    </row>
    <row r="4145" ht="18.75" customHeight="1">
      <c r="A4145" s="7" t="s">
        <v>1497</v>
      </c>
      <c r="B4145" s="7" t="s">
        <v>3884</v>
      </c>
      <c r="C4145" s="9">
        <v>1056570.0</v>
      </c>
      <c r="D4145" s="9">
        <v>723590.0</v>
      </c>
      <c r="E4145" s="9">
        <v>1000.0</v>
      </c>
      <c r="F4145" s="7" t="s">
        <v>1498</v>
      </c>
      <c r="G4145" s="7" t="s">
        <v>404</v>
      </c>
      <c r="H4145" s="7" t="s">
        <v>405</v>
      </c>
      <c r="I4145" s="7" t="s">
        <v>410</v>
      </c>
      <c r="J4145" s="14"/>
      <c r="O4145" s="22"/>
      <c r="P4145" s="22"/>
      <c r="Q4145" s="23"/>
      <c r="R4145" s="23"/>
      <c r="S4145" s="14"/>
    </row>
    <row r="4146" ht="18.75" customHeight="1">
      <c r="A4146" s="7" t="s">
        <v>1497</v>
      </c>
      <c r="B4146" s="7" t="s">
        <v>3884</v>
      </c>
      <c r="C4146" s="9">
        <v>148067.0</v>
      </c>
      <c r="D4146" s="9">
        <v>63718.0</v>
      </c>
      <c r="E4146" s="9">
        <v>257.0</v>
      </c>
      <c r="F4146" s="7" t="s">
        <v>1498</v>
      </c>
      <c r="G4146" s="7" t="s">
        <v>404</v>
      </c>
      <c r="H4146" s="7" t="s">
        <v>405</v>
      </c>
      <c r="I4146" s="7" t="s">
        <v>410</v>
      </c>
      <c r="J4146" s="14"/>
      <c r="O4146" s="22"/>
      <c r="P4146" s="22"/>
      <c r="Q4146" s="23"/>
      <c r="R4146" s="23"/>
      <c r="S4146" s="14"/>
    </row>
    <row r="4147" ht="18.75" customHeight="1">
      <c r="A4147" s="7" t="s">
        <v>1497</v>
      </c>
      <c r="B4147" s="7" t="s">
        <v>3884</v>
      </c>
      <c r="C4147" s="9">
        <v>107769.0</v>
      </c>
      <c r="D4147" s="9">
        <v>102272.0</v>
      </c>
      <c r="E4147" s="9">
        <v>12.0</v>
      </c>
      <c r="F4147" s="7" t="s">
        <v>1498</v>
      </c>
      <c r="G4147" s="7" t="s">
        <v>404</v>
      </c>
      <c r="H4147" s="7" t="s">
        <v>405</v>
      </c>
      <c r="I4147" s="7" t="s">
        <v>410</v>
      </c>
      <c r="J4147" s="14"/>
      <c r="O4147" s="22"/>
      <c r="P4147" s="22"/>
      <c r="Q4147" s="23"/>
      <c r="R4147" s="23"/>
      <c r="S4147" s="14"/>
    </row>
    <row r="4148" ht="18.75" customHeight="1">
      <c r="A4148" s="7" t="s">
        <v>1497</v>
      </c>
      <c r="B4148" s="7" t="s">
        <v>3884</v>
      </c>
      <c r="C4148" s="9">
        <v>55843.0</v>
      </c>
      <c r="D4148" s="9">
        <v>51140.0</v>
      </c>
      <c r="E4148" s="9">
        <v>4.0</v>
      </c>
      <c r="F4148" s="7" t="s">
        <v>1498</v>
      </c>
      <c r="G4148" s="7" t="s">
        <v>404</v>
      </c>
      <c r="H4148" s="7" t="s">
        <v>405</v>
      </c>
      <c r="I4148" s="7" t="s">
        <v>410</v>
      </c>
      <c r="J4148" s="14"/>
      <c r="O4148" s="22"/>
      <c r="P4148" s="22"/>
      <c r="Q4148" s="23"/>
      <c r="R4148" s="23"/>
      <c r="S4148" s="14"/>
    </row>
    <row r="4149" ht="18.75" customHeight="1">
      <c r="A4149" s="7" t="s">
        <v>1497</v>
      </c>
      <c r="B4149" s="7" t="s">
        <v>3884</v>
      </c>
      <c r="C4149" s="9">
        <v>97224.0</v>
      </c>
      <c r="D4149" s="9">
        <v>91195.0</v>
      </c>
      <c r="E4149" s="9">
        <v>3.0</v>
      </c>
      <c r="F4149" s="7" t="s">
        <v>1498</v>
      </c>
      <c r="G4149" s="7" t="s">
        <v>404</v>
      </c>
      <c r="H4149" s="7" t="s">
        <v>405</v>
      </c>
      <c r="I4149" s="7" t="s">
        <v>410</v>
      </c>
      <c r="J4149" s="14"/>
      <c r="O4149" s="22"/>
      <c r="P4149" s="22"/>
      <c r="Q4149" s="23"/>
      <c r="R4149" s="23"/>
      <c r="S4149" s="14"/>
    </row>
    <row r="4150" ht="18.75" customHeight="1">
      <c r="A4150" s="7" t="s">
        <v>1497</v>
      </c>
      <c r="B4150" s="7" t="s">
        <v>3884</v>
      </c>
      <c r="C4150" s="9">
        <v>73578.0</v>
      </c>
      <c r="D4150" s="9">
        <v>0.0</v>
      </c>
      <c r="E4150" s="9">
        <v>1565.0</v>
      </c>
      <c r="F4150" s="7" t="s">
        <v>1498</v>
      </c>
      <c r="G4150" s="7" t="s">
        <v>404</v>
      </c>
      <c r="H4150" s="7" t="s">
        <v>405</v>
      </c>
      <c r="I4150" s="7" t="s">
        <v>410</v>
      </c>
      <c r="J4150" s="14"/>
      <c r="O4150" s="22"/>
      <c r="P4150" s="22"/>
      <c r="Q4150" s="23"/>
      <c r="R4150" s="23"/>
      <c r="S4150" s="14"/>
    </row>
    <row r="4151" ht="18.75" customHeight="1">
      <c r="A4151" s="7" t="s">
        <v>1497</v>
      </c>
      <c r="B4151" s="7" t="s">
        <v>3884</v>
      </c>
      <c r="C4151" s="9">
        <v>107278.0</v>
      </c>
      <c r="D4151" s="9">
        <v>0.0</v>
      </c>
      <c r="E4151" s="9">
        <v>1193.0</v>
      </c>
      <c r="F4151" s="7" t="s">
        <v>1498</v>
      </c>
      <c r="G4151" s="7" t="s">
        <v>404</v>
      </c>
      <c r="H4151" s="7" t="s">
        <v>405</v>
      </c>
      <c r="I4151" s="7" t="s">
        <v>410</v>
      </c>
      <c r="J4151" s="14"/>
      <c r="O4151" s="22"/>
      <c r="P4151" s="22"/>
      <c r="Q4151" s="23"/>
      <c r="R4151" s="23"/>
      <c r="S4151" s="14"/>
    </row>
    <row r="4152" ht="18.75" customHeight="1">
      <c r="A4152" s="7" t="s">
        <v>1497</v>
      </c>
      <c r="B4152" s="7" t="s">
        <v>3884</v>
      </c>
      <c r="C4152" s="9">
        <v>127676.0</v>
      </c>
      <c r="D4152" s="9">
        <v>105.0</v>
      </c>
      <c r="E4152" s="9">
        <v>16.0</v>
      </c>
      <c r="F4152" s="7" t="s">
        <v>1498</v>
      </c>
      <c r="G4152" s="7" t="s">
        <v>404</v>
      </c>
      <c r="H4152" s="7" t="s">
        <v>405</v>
      </c>
      <c r="I4152" s="7" t="s">
        <v>410</v>
      </c>
      <c r="J4152" s="14"/>
      <c r="O4152" s="22"/>
      <c r="P4152" s="22"/>
      <c r="Q4152" s="23"/>
      <c r="R4152" s="23"/>
      <c r="S4152" s="14"/>
    </row>
    <row r="4153" ht="18.75" customHeight="1">
      <c r="A4153" s="7" t="s">
        <v>1497</v>
      </c>
      <c r="B4153" s="7" t="s">
        <v>3884</v>
      </c>
      <c r="C4153" s="9">
        <v>0.0</v>
      </c>
      <c r="D4153" s="9">
        <v>0.0</v>
      </c>
      <c r="E4153" s="9">
        <v>0.0</v>
      </c>
      <c r="F4153" s="7" t="s">
        <v>1498</v>
      </c>
      <c r="G4153" s="7" t="s">
        <v>404</v>
      </c>
      <c r="H4153" s="7" t="s">
        <v>405</v>
      </c>
      <c r="I4153" s="7" t="s">
        <v>410</v>
      </c>
      <c r="J4153" s="14"/>
      <c r="O4153" s="22"/>
      <c r="P4153" s="22"/>
      <c r="Q4153" s="23"/>
      <c r="R4153" s="23"/>
      <c r="S4153" s="14"/>
    </row>
    <row r="4154" ht="18.75" customHeight="1">
      <c r="A4154" s="7" t="s">
        <v>1497</v>
      </c>
      <c r="B4154" s="7" t="s">
        <v>3884</v>
      </c>
      <c r="C4154" s="9">
        <v>0.0</v>
      </c>
      <c r="D4154" s="9">
        <v>0.0</v>
      </c>
      <c r="E4154" s="9">
        <v>0.0</v>
      </c>
      <c r="F4154" s="7" t="s">
        <v>1498</v>
      </c>
      <c r="G4154" s="7" t="s">
        <v>404</v>
      </c>
      <c r="H4154" s="7" t="s">
        <v>405</v>
      </c>
      <c r="I4154" s="7" t="s">
        <v>410</v>
      </c>
      <c r="J4154" s="14"/>
      <c r="O4154" s="22"/>
      <c r="P4154" s="22"/>
      <c r="Q4154" s="23"/>
      <c r="R4154" s="23"/>
      <c r="S4154" s="14"/>
    </row>
    <row r="4155" ht="18.75" customHeight="1">
      <c r="A4155" s="7" t="s">
        <v>1505</v>
      </c>
      <c r="B4155" s="7" t="s">
        <v>3884</v>
      </c>
      <c r="C4155" s="9">
        <v>7302230.0</v>
      </c>
      <c r="D4155" s="9">
        <v>0.0</v>
      </c>
      <c r="E4155" s="9">
        <v>4647.0</v>
      </c>
      <c r="F4155" s="7" t="s">
        <v>1506</v>
      </c>
      <c r="G4155" s="7" t="s">
        <v>404</v>
      </c>
      <c r="H4155" s="7" t="s">
        <v>405</v>
      </c>
      <c r="I4155" s="7" t="s">
        <v>410</v>
      </c>
      <c r="J4155" s="14"/>
      <c r="O4155" s="22"/>
      <c r="P4155" s="22"/>
      <c r="Q4155" s="23"/>
      <c r="R4155" s="23"/>
      <c r="S4155" s="14"/>
    </row>
    <row r="4156" ht="18.75" customHeight="1">
      <c r="A4156" s="7" t="s">
        <v>1505</v>
      </c>
      <c r="B4156" s="7" t="s">
        <v>3884</v>
      </c>
      <c r="C4156" s="9">
        <v>5786440.0</v>
      </c>
      <c r="D4156" s="9">
        <v>3931546.0</v>
      </c>
      <c r="E4156" s="9">
        <v>5260.0</v>
      </c>
      <c r="F4156" s="7" t="s">
        <v>1506</v>
      </c>
      <c r="G4156" s="7" t="s">
        <v>404</v>
      </c>
      <c r="H4156" s="7" t="s">
        <v>405</v>
      </c>
      <c r="I4156" s="7" t="s">
        <v>410</v>
      </c>
      <c r="J4156" s="14"/>
      <c r="O4156" s="22"/>
      <c r="P4156" s="22"/>
      <c r="Q4156" s="23"/>
      <c r="R4156" s="23"/>
      <c r="S4156" s="14"/>
    </row>
    <row r="4157" ht="18.75" customHeight="1">
      <c r="A4157" s="7" t="s">
        <v>1505</v>
      </c>
      <c r="B4157" s="7" t="s">
        <v>3884</v>
      </c>
      <c r="C4157" s="9">
        <v>62727.0</v>
      </c>
      <c r="D4157" s="9">
        <v>57870.0</v>
      </c>
      <c r="E4157" s="9">
        <v>5.0</v>
      </c>
      <c r="F4157" s="7" t="s">
        <v>1506</v>
      </c>
      <c r="G4157" s="7" t="s">
        <v>404</v>
      </c>
      <c r="H4157" s="7" t="s">
        <v>405</v>
      </c>
      <c r="I4157" s="7" t="s">
        <v>410</v>
      </c>
      <c r="J4157" s="14"/>
      <c r="O4157" s="22"/>
      <c r="P4157" s="22"/>
      <c r="Q4157" s="23"/>
      <c r="R4157" s="23"/>
      <c r="S4157" s="14"/>
    </row>
    <row r="4158" ht="18.75" customHeight="1">
      <c r="A4158" s="7" t="s">
        <v>1505</v>
      </c>
      <c r="B4158" s="7" t="s">
        <v>3884</v>
      </c>
      <c r="C4158" s="9">
        <v>117774.0</v>
      </c>
      <c r="D4158" s="9">
        <v>0.0</v>
      </c>
      <c r="E4158" s="9">
        <v>5.0</v>
      </c>
      <c r="F4158" s="7" t="s">
        <v>1506</v>
      </c>
      <c r="G4158" s="7" t="s">
        <v>404</v>
      </c>
      <c r="H4158" s="7" t="s">
        <v>405</v>
      </c>
      <c r="I4158" s="7" t="s">
        <v>410</v>
      </c>
      <c r="J4158" s="14"/>
      <c r="O4158" s="22"/>
      <c r="P4158" s="22"/>
      <c r="Q4158" s="23"/>
      <c r="R4158" s="23"/>
      <c r="S4158" s="14"/>
    </row>
    <row r="4159" ht="18.75" customHeight="1">
      <c r="A4159" s="7" t="s">
        <v>1507</v>
      </c>
      <c r="B4159" s="7" t="s">
        <v>3884</v>
      </c>
      <c r="C4159" s="9">
        <v>330542.0</v>
      </c>
      <c r="D4159" s="9">
        <v>178316.0</v>
      </c>
      <c r="E4159" s="9">
        <v>304.0</v>
      </c>
      <c r="F4159" s="7" t="s">
        <v>1508</v>
      </c>
      <c r="G4159" s="7" t="s">
        <v>404</v>
      </c>
      <c r="H4159" s="7" t="s">
        <v>405</v>
      </c>
      <c r="I4159" s="7" t="s">
        <v>410</v>
      </c>
      <c r="J4159" s="14"/>
      <c r="O4159" s="22"/>
      <c r="P4159" s="22"/>
      <c r="Q4159" s="23"/>
      <c r="R4159" s="23"/>
      <c r="S4159" s="14"/>
    </row>
    <row r="4160" ht="18.75" customHeight="1">
      <c r="A4160" s="7" t="s">
        <v>1507</v>
      </c>
      <c r="B4160" s="7" t="s">
        <v>3884</v>
      </c>
      <c r="C4160" s="9">
        <v>869181.0</v>
      </c>
      <c r="D4160" s="9">
        <v>0.0</v>
      </c>
      <c r="E4160" s="9">
        <v>1354.0</v>
      </c>
      <c r="F4160" s="7" t="s">
        <v>1508</v>
      </c>
      <c r="G4160" s="7" t="s">
        <v>404</v>
      </c>
      <c r="H4160" s="7" t="s">
        <v>405</v>
      </c>
      <c r="I4160" s="7" t="s">
        <v>410</v>
      </c>
      <c r="J4160" s="14"/>
      <c r="O4160" s="22"/>
      <c r="P4160" s="22"/>
      <c r="Q4160" s="23"/>
      <c r="R4160" s="23"/>
      <c r="S4160" s="14"/>
    </row>
    <row r="4161" ht="18.75" customHeight="1">
      <c r="A4161" s="7" t="s">
        <v>1401</v>
      </c>
      <c r="B4161" s="7" t="s">
        <v>3884</v>
      </c>
      <c r="C4161" s="9">
        <v>4442318.0</v>
      </c>
      <c r="D4161" s="9">
        <v>0.0</v>
      </c>
      <c r="E4161" s="9">
        <v>3041.0</v>
      </c>
      <c r="F4161" s="7" t="s">
        <v>1402</v>
      </c>
      <c r="G4161" s="7" t="s">
        <v>358</v>
      </c>
      <c r="H4161" s="7" t="s">
        <v>466</v>
      </c>
      <c r="I4161" s="7" t="s">
        <v>410</v>
      </c>
      <c r="J4161" s="14"/>
      <c r="O4161" s="22"/>
      <c r="P4161" s="22"/>
      <c r="Q4161" s="23"/>
      <c r="R4161" s="23"/>
      <c r="S4161" s="14"/>
    </row>
    <row r="4162" ht="18.75" customHeight="1">
      <c r="A4162" s="7" t="s">
        <v>1401</v>
      </c>
      <c r="B4162" s="7" t="s">
        <v>3884</v>
      </c>
      <c r="C4162" s="9">
        <v>4749645.0</v>
      </c>
      <c r="D4162" s="9">
        <v>0.0</v>
      </c>
      <c r="E4162" s="9">
        <v>3876.0</v>
      </c>
      <c r="F4162" s="7" t="s">
        <v>1402</v>
      </c>
      <c r="G4162" s="7" t="s">
        <v>358</v>
      </c>
      <c r="H4162" s="7" t="s">
        <v>466</v>
      </c>
      <c r="I4162" s="7" t="s">
        <v>410</v>
      </c>
      <c r="J4162" s="14"/>
      <c r="O4162" s="22"/>
      <c r="P4162" s="22"/>
      <c r="Q4162" s="23"/>
      <c r="R4162" s="23"/>
      <c r="S4162" s="14"/>
    </row>
    <row r="4163" ht="18.75" customHeight="1">
      <c r="A4163" s="7" t="s">
        <v>1401</v>
      </c>
      <c r="B4163" s="7" t="s">
        <v>3884</v>
      </c>
      <c r="C4163" s="9">
        <v>5546854.0</v>
      </c>
      <c r="D4163" s="9">
        <v>0.0</v>
      </c>
      <c r="E4163" s="9">
        <v>4175.0</v>
      </c>
      <c r="F4163" s="7" t="s">
        <v>1402</v>
      </c>
      <c r="G4163" s="7" t="s">
        <v>358</v>
      </c>
      <c r="H4163" s="7" t="s">
        <v>466</v>
      </c>
      <c r="I4163" s="7" t="s">
        <v>410</v>
      </c>
      <c r="J4163" s="14"/>
      <c r="O4163" s="22"/>
      <c r="P4163" s="22"/>
      <c r="Q4163" s="23"/>
      <c r="R4163" s="23"/>
      <c r="S4163" s="14"/>
    </row>
    <row r="4164" ht="18.75" customHeight="1">
      <c r="A4164" s="7" t="s">
        <v>1401</v>
      </c>
      <c r="B4164" s="7" t="s">
        <v>3884</v>
      </c>
      <c r="C4164" s="9">
        <v>5244361.0</v>
      </c>
      <c r="D4164" s="9">
        <v>0.0</v>
      </c>
      <c r="E4164" s="9">
        <v>4777.0</v>
      </c>
      <c r="F4164" s="7" t="s">
        <v>1402</v>
      </c>
      <c r="G4164" s="7" t="s">
        <v>358</v>
      </c>
      <c r="H4164" s="7" t="s">
        <v>466</v>
      </c>
      <c r="I4164" s="7" t="s">
        <v>410</v>
      </c>
      <c r="J4164" s="14"/>
      <c r="O4164" s="22"/>
      <c r="P4164" s="22"/>
      <c r="Q4164" s="23"/>
      <c r="R4164" s="23"/>
      <c r="S4164" s="14"/>
    </row>
    <row r="4165" ht="18.75" customHeight="1">
      <c r="A4165" s="7" t="s">
        <v>1401</v>
      </c>
      <c r="B4165" s="7" t="s">
        <v>3884</v>
      </c>
      <c r="C4165" s="9">
        <v>5118711.0</v>
      </c>
      <c r="D4165" s="9">
        <v>0.0</v>
      </c>
      <c r="E4165" s="9">
        <v>4310.0</v>
      </c>
      <c r="F4165" s="7" t="s">
        <v>1402</v>
      </c>
      <c r="G4165" s="7" t="s">
        <v>358</v>
      </c>
      <c r="H4165" s="7" t="s">
        <v>466</v>
      </c>
      <c r="I4165" s="7" t="s">
        <v>410</v>
      </c>
      <c r="J4165" s="14"/>
      <c r="O4165" s="22"/>
      <c r="P4165" s="22"/>
      <c r="Q4165" s="23"/>
      <c r="R4165" s="23"/>
      <c r="S4165" s="14"/>
    </row>
    <row r="4166" ht="18.75" customHeight="1">
      <c r="A4166" s="7" t="s">
        <v>1401</v>
      </c>
      <c r="B4166" s="7" t="s">
        <v>3884</v>
      </c>
      <c r="C4166" s="9">
        <v>4110013.0</v>
      </c>
      <c r="D4166" s="9">
        <v>0.0</v>
      </c>
      <c r="E4166" s="9">
        <v>4317.0</v>
      </c>
      <c r="F4166" s="7" t="s">
        <v>1402</v>
      </c>
      <c r="G4166" s="7" t="s">
        <v>358</v>
      </c>
      <c r="H4166" s="7" t="s">
        <v>466</v>
      </c>
      <c r="I4166" s="7" t="s">
        <v>410</v>
      </c>
      <c r="J4166" s="14"/>
      <c r="O4166" s="22"/>
      <c r="P4166" s="22"/>
      <c r="Q4166" s="23"/>
      <c r="R4166" s="23"/>
      <c r="S4166" s="14"/>
    </row>
    <row r="4167" ht="18.75" customHeight="1">
      <c r="A4167" s="7" t="s">
        <v>1401</v>
      </c>
      <c r="B4167" s="7" t="s">
        <v>3884</v>
      </c>
      <c r="C4167" s="9">
        <v>5888467.0</v>
      </c>
      <c r="D4167" s="9">
        <v>0.0</v>
      </c>
      <c r="E4167" s="9">
        <v>4904.0</v>
      </c>
      <c r="F4167" s="7" t="s">
        <v>1402</v>
      </c>
      <c r="G4167" s="7" t="s">
        <v>358</v>
      </c>
      <c r="H4167" s="7" t="s">
        <v>466</v>
      </c>
      <c r="I4167" s="7" t="s">
        <v>410</v>
      </c>
      <c r="J4167" s="14"/>
      <c r="O4167" s="22"/>
      <c r="P4167" s="22"/>
      <c r="Q4167" s="23"/>
      <c r="R4167" s="23"/>
      <c r="S4167" s="14"/>
    </row>
    <row r="4168" ht="18.75" customHeight="1">
      <c r="A4168" s="7" t="s">
        <v>1401</v>
      </c>
      <c r="B4168" s="7" t="s">
        <v>3884</v>
      </c>
      <c r="C4168" s="9">
        <v>5350044.0</v>
      </c>
      <c r="D4168" s="9">
        <v>0.0</v>
      </c>
      <c r="E4168" s="9">
        <v>5021.0</v>
      </c>
      <c r="F4168" s="7" t="s">
        <v>1402</v>
      </c>
      <c r="G4168" s="7" t="s">
        <v>358</v>
      </c>
      <c r="H4168" s="7" t="s">
        <v>466</v>
      </c>
      <c r="I4168" s="7" t="s">
        <v>410</v>
      </c>
      <c r="J4168" s="14"/>
      <c r="O4168" s="22"/>
      <c r="P4168" s="22"/>
      <c r="Q4168" s="23"/>
      <c r="R4168" s="23"/>
      <c r="S4168" s="14"/>
    </row>
    <row r="4169" ht="18.75" customHeight="1">
      <c r="A4169" s="7" t="s">
        <v>1401</v>
      </c>
      <c r="B4169" s="7" t="s">
        <v>3884</v>
      </c>
      <c r="C4169" s="9">
        <v>5826274.0</v>
      </c>
      <c r="D4169" s="9">
        <v>0.0</v>
      </c>
      <c r="E4169" s="9">
        <v>5561.0</v>
      </c>
      <c r="F4169" s="7" t="s">
        <v>1402</v>
      </c>
      <c r="G4169" s="7" t="s">
        <v>358</v>
      </c>
      <c r="H4169" s="7" t="s">
        <v>466</v>
      </c>
      <c r="I4169" s="7" t="s">
        <v>410</v>
      </c>
      <c r="J4169" s="14"/>
      <c r="O4169" s="22"/>
      <c r="P4169" s="22"/>
      <c r="Q4169" s="23"/>
      <c r="R4169" s="23"/>
      <c r="S4169" s="14"/>
    </row>
    <row r="4170" ht="18.75" customHeight="1">
      <c r="A4170" s="7" t="s">
        <v>1401</v>
      </c>
      <c r="B4170" s="7" t="s">
        <v>3884</v>
      </c>
      <c r="C4170" s="9">
        <v>5203824.0</v>
      </c>
      <c r="D4170" s="9">
        <v>0.0</v>
      </c>
      <c r="E4170" s="9">
        <v>4516.0</v>
      </c>
      <c r="F4170" s="7" t="s">
        <v>1402</v>
      </c>
      <c r="G4170" s="7" t="s">
        <v>358</v>
      </c>
      <c r="H4170" s="7" t="s">
        <v>466</v>
      </c>
      <c r="I4170" s="7" t="s">
        <v>410</v>
      </c>
      <c r="J4170" s="14"/>
      <c r="O4170" s="22"/>
      <c r="P4170" s="22"/>
      <c r="Q4170" s="23"/>
      <c r="R4170" s="23"/>
      <c r="S4170" s="14"/>
    </row>
    <row r="4171" ht="18.75" customHeight="1">
      <c r="A4171" s="7" t="s">
        <v>1401</v>
      </c>
      <c r="B4171" s="7" t="s">
        <v>3884</v>
      </c>
      <c r="C4171" s="9">
        <v>5381669.0</v>
      </c>
      <c r="D4171" s="9">
        <v>0.0</v>
      </c>
      <c r="E4171" s="9">
        <v>4670.0</v>
      </c>
      <c r="F4171" s="7" t="s">
        <v>1402</v>
      </c>
      <c r="G4171" s="7" t="s">
        <v>358</v>
      </c>
      <c r="H4171" s="7" t="s">
        <v>466</v>
      </c>
      <c r="I4171" s="7" t="s">
        <v>410</v>
      </c>
      <c r="J4171" s="14"/>
      <c r="O4171" s="22"/>
      <c r="P4171" s="22"/>
      <c r="Q4171" s="23"/>
      <c r="R4171" s="23"/>
      <c r="S4171" s="14"/>
    </row>
    <row r="4172" ht="18.75" customHeight="1">
      <c r="A4172" s="7" t="s">
        <v>1401</v>
      </c>
      <c r="B4172" s="7" t="s">
        <v>3884</v>
      </c>
      <c r="C4172" s="9">
        <v>3763781.0</v>
      </c>
      <c r="D4172" s="9">
        <v>0.0</v>
      </c>
      <c r="E4172" s="9">
        <v>3441.0</v>
      </c>
      <c r="F4172" s="7" t="s">
        <v>1402</v>
      </c>
      <c r="G4172" s="7" t="s">
        <v>358</v>
      </c>
      <c r="H4172" s="7" t="s">
        <v>466</v>
      </c>
      <c r="I4172" s="7" t="s">
        <v>410</v>
      </c>
      <c r="J4172" s="14"/>
      <c r="O4172" s="22"/>
      <c r="P4172" s="22"/>
      <c r="Q4172" s="23"/>
      <c r="R4172" s="23"/>
      <c r="S4172" s="14"/>
    </row>
    <row r="4173" ht="18.75" customHeight="1">
      <c r="A4173" s="7" t="s">
        <v>1401</v>
      </c>
      <c r="B4173" s="7" t="s">
        <v>3884</v>
      </c>
      <c r="C4173" s="9">
        <v>6406309.0</v>
      </c>
      <c r="D4173" s="9">
        <v>0.0</v>
      </c>
      <c r="E4173" s="9">
        <v>5080.0</v>
      </c>
      <c r="F4173" s="7" t="s">
        <v>1402</v>
      </c>
      <c r="G4173" s="7" t="s">
        <v>358</v>
      </c>
      <c r="H4173" s="7" t="s">
        <v>466</v>
      </c>
      <c r="I4173" s="7" t="s">
        <v>410</v>
      </c>
      <c r="J4173" s="14"/>
      <c r="O4173" s="22"/>
      <c r="P4173" s="22"/>
      <c r="Q4173" s="23"/>
      <c r="R4173" s="23"/>
      <c r="S4173" s="14"/>
    </row>
    <row r="4174" ht="18.75" customHeight="1">
      <c r="A4174" s="7" t="s">
        <v>1401</v>
      </c>
      <c r="B4174" s="7" t="s">
        <v>3884</v>
      </c>
      <c r="C4174" s="9">
        <v>5390521.0</v>
      </c>
      <c r="D4174" s="9">
        <v>0.0</v>
      </c>
      <c r="E4174" s="9">
        <v>4349.0</v>
      </c>
      <c r="F4174" s="7" t="s">
        <v>1402</v>
      </c>
      <c r="G4174" s="7" t="s">
        <v>358</v>
      </c>
      <c r="H4174" s="7" t="s">
        <v>466</v>
      </c>
      <c r="I4174" s="7" t="s">
        <v>410</v>
      </c>
      <c r="J4174" s="14"/>
      <c r="O4174" s="22"/>
      <c r="P4174" s="22"/>
      <c r="Q4174" s="23"/>
      <c r="R4174" s="23"/>
      <c r="S4174" s="14"/>
    </row>
    <row r="4175" ht="18.75" customHeight="1">
      <c r="A4175" s="7" t="s">
        <v>1401</v>
      </c>
      <c r="B4175" s="7" t="s">
        <v>3884</v>
      </c>
      <c r="C4175" s="9">
        <v>6001093.0</v>
      </c>
      <c r="D4175" s="9">
        <v>0.0</v>
      </c>
      <c r="E4175" s="9">
        <v>4737.0</v>
      </c>
      <c r="F4175" s="7" t="s">
        <v>1402</v>
      </c>
      <c r="G4175" s="7" t="s">
        <v>358</v>
      </c>
      <c r="H4175" s="7" t="s">
        <v>466</v>
      </c>
      <c r="I4175" s="7" t="s">
        <v>410</v>
      </c>
      <c r="J4175" s="14"/>
      <c r="O4175" s="22"/>
      <c r="P4175" s="22"/>
      <c r="Q4175" s="23"/>
      <c r="R4175" s="23"/>
      <c r="S4175" s="14"/>
    </row>
    <row r="4176" ht="18.75" customHeight="1">
      <c r="A4176" s="7" t="s">
        <v>1401</v>
      </c>
      <c r="B4176" s="7" t="s">
        <v>3884</v>
      </c>
      <c r="C4176" s="9">
        <v>372683.0</v>
      </c>
      <c r="D4176" s="9">
        <v>0.0</v>
      </c>
      <c r="E4176" s="9">
        <v>193.0</v>
      </c>
      <c r="F4176" s="7" t="s">
        <v>1402</v>
      </c>
      <c r="G4176" s="7" t="s">
        <v>358</v>
      </c>
      <c r="H4176" s="7" t="s">
        <v>466</v>
      </c>
      <c r="I4176" s="7" t="s">
        <v>410</v>
      </c>
      <c r="J4176" s="14"/>
      <c r="O4176" s="22"/>
      <c r="P4176" s="22"/>
      <c r="Q4176" s="23"/>
      <c r="R4176" s="23"/>
      <c r="S4176" s="14"/>
    </row>
    <row r="4177" ht="18.75" customHeight="1">
      <c r="A4177" s="7" t="s">
        <v>1401</v>
      </c>
      <c r="B4177" s="7" t="s">
        <v>3884</v>
      </c>
      <c r="C4177" s="9">
        <v>877410.0</v>
      </c>
      <c r="D4177" s="9">
        <v>596037.0</v>
      </c>
      <c r="E4177" s="9">
        <v>1654.0</v>
      </c>
      <c r="F4177" s="7" t="s">
        <v>1402</v>
      </c>
      <c r="G4177" s="7" t="s">
        <v>358</v>
      </c>
      <c r="H4177" s="7" t="s">
        <v>466</v>
      </c>
      <c r="I4177" s="7" t="s">
        <v>410</v>
      </c>
      <c r="J4177" s="14"/>
      <c r="O4177" s="22"/>
      <c r="P4177" s="22"/>
      <c r="Q4177" s="23"/>
      <c r="R4177" s="23"/>
      <c r="S4177" s="14"/>
    </row>
    <row r="4178" ht="18.75" customHeight="1">
      <c r="A4178" s="7" t="s">
        <v>1401</v>
      </c>
      <c r="B4178" s="7" t="s">
        <v>3884</v>
      </c>
      <c r="C4178" s="9">
        <v>779528.0</v>
      </c>
      <c r="D4178" s="9">
        <v>579250.0</v>
      </c>
      <c r="E4178" s="9">
        <v>1252.0</v>
      </c>
      <c r="F4178" s="7" t="s">
        <v>1402</v>
      </c>
      <c r="G4178" s="7" t="s">
        <v>358</v>
      </c>
      <c r="H4178" s="7" t="s">
        <v>466</v>
      </c>
      <c r="I4178" s="7" t="s">
        <v>410</v>
      </c>
      <c r="J4178" s="14"/>
      <c r="O4178" s="22"/>
      <c r="P4178" s="22"/>
      <c r="Q4178" s="23"/>
      <c r="R4178" s="23"/>
      <c r="S4178" s="14"/>
    </row>
    <row r="4179" ht="18.75" customHeight="1">
      <c r="A4179" s="7" t="s">
        <v>1401</v>
      </c>
      <c r="B4179" s="7" t="s">
        <v>3884</v>
      </c>
      <c r="C4179" s="9">
        <v>313985.0</v>
      </c>
      <c r="D4179" s="9">
        <v>285953.0</v>
      </c>
      <c r="E4179" s="9">
        <v>10.0</v>
      </c>
      <c r="F4179" s="7" t="s">
        <v>1402</v>
      </c>
      <c r="G4179" s="7" t="s">
        <v>358</v>
      </c>
      <c r="H4179" s="7" t="s">
        <v>466</v>
      </c>
      <c r="I4179" s="7" t="s">
        <v>410</v>
      </c>
      <c r="J4179" s="14"/>
      <c r="O4179" s="22"/>
      <c r="P4179" s="22"/>
      <c r="Q4179" s="23"/>
      <c r="R4179" s="23"/>
      <c r="S4179" s="14"/>
    </row>
    <row r="4180" ht="18.75" customHeight="1">
      <c r="A4180" s="7" t="s">
        <v>1401</v>
      </c>
      <c r="B4180" s="7" t="s">
        <v>3884</v>
      </c>
      <c r="C4180" s="9">
        <v>168498.0</v>
      </c>
      <c r="D4180" s="9">
        <v>153974.0</v>
      </c>
      <c r="E4180" s="9">
        <v>5.0</v>
      </c>
      <c r="F4180" s="7" t="s">
        <v>1402</v>
      </c>
      <c r="G4180" s="7" t="s">
        <v>358</v>
      </c>
      <c r="H4180" s="7" t="s">
        <v>466</v>
      </c>
      <c r="I4180" s="7" t="s">
        <v>410</v>
      </c>
      <c r="J4180" s="14"/>
      <c r="O4180" s="22"/>
      <c r="P4180" s="22"/>
      <c r="Q4180" s="23"/>
      <c r="R4180" s="23"/>
      <c r="S4180" s="14"/>
    </row>
    <row r="4181" ht="18.75" customHeight="1">
      <c r="A4181" s="7" t="s">
        <v>1401</v>
      </c>
      <c r="B4181" s="7" t="s">
        <v>3884</v>
      </c>
      <c r="C4181" s="9">
        <v>425356.0</v>
      </c>
      <c r="D4181" s="9">
        <v>390620.0</v>
      </c>
      <c r="E4181" s="9">
        <v>5.0</v>
      </c>
      <c r="F4181" s="7" t="s">
        <v>1402</v>
      </c>
      <c r="G4181" s="7" t="s">
        <v>358</v>
      </c>
      <c r="H4181" s="7" t="s">
        <v>466</v>
      </c>
      <c r="I4181" s="7" t="s">
        <v>410</v>
      </c>
      <c r="J4181" s="14"/>
      <c r="O4181" s="22"/>
      <c r="P4181" s="22"/>
      <c r="Q4181" s="23"/>
      <c r="R4181" s="23"/>
      <c r="S4181" s="14"/>
    </row>
    <row r="4182" ht="18.75" customHeight="1">
      <c r="A4182" s="7" t="s">
        <v>1401</v>
      </c>
      <c r="B4182" s="7" t="s">
        <v>3884</v>
      </c>
      <c r="C4182" s="9">
        <v>332191.0</v>
      </c>
      <c r="D4182" s="9">
        <v>0.0</v>
      </c>
      <c r="E4182" s="9">
        <v>22911.0</v>
      </c>
      <c r="F4182" s="7" t="s">
        <v>1402</v>
      </c>
      <c r="G4182" s="7" t="s">
        <v>358</v>
      </c>
      <c r="H4182" s="7" t="s">
        <v>466</v>
      </c>
      <c r="I4182" s="7" t="s">
        <v>410</v>
      </c>
      <c r="J4182" s="14"/>
      <c r="O4182" s="22"/>
      <c r="P4182" s="22"/>
      <c r="Q4182" s="23"/>
      <c r="R4182" s="23"/>
      <c r="S4182" s="14"/>
    </row>
    <row r="4183" ht="18.75" customHeight="1">
      <c r="A4183" s="7" t="s">
        <v>1401</v>
      </c>
      <c r="B4183" s="7" t="s">
        <v>3884</v>
      </c>
      <c r="C4183" s="9">
        <v>373795.0</v>
      </c>
      <c r="D4183" s="9">
        <v>0.0</v>
      </c>
      <c r="E4183" s="9">
        <v>535.0</v>
      </c>
      <c r="F4183" s="7" t="s">
        <v>1402</v>
      </c>
      <c r="G4183" s="7" t="s">
        <v>358</v>
      </c>
      <c r="H4183" s="7" t="s">
        <v>466</v>
      </c>
      <c r="I4183" s="7" t="s">
        <v>410</v>
      </c>
      <c r="J4183" s="14"/>
      <c r="O4183" s="22"/>
      <c r="P4183" s="22"/>
      <c r="Q4183" s="23"/>
      <c r="R4183" s="23"/>
      <c r="S4183" s="14"/>
    </row>
    <row r="4184" ht="18.75" customHeight="1">
      <c r="A4184" s="7" t="s">
        <v>408</v>
      </c>
      <c r="B4184" s="7" t="s">
        <v>3884</v>
      </c>
      <c r="C4184" s="9">
        <v>6096568.0</v>
      </c>
      <c r="D4184" s="9">
        <v>0.0</v>
      </c>
      <c r="E4184" s="9">
        <v>6520.0</v>
      </c>
      <c r="F4184" s="7" t="s">
        <v>409</v>
      </c>
      <c r="G4184" s="7" t="s">
        <v>353</v>
      </c>
      <c r="H4184" s="7" t="s">
        <v>354</v>
      </c>
      <c r="I4184" s="7" t="s">
        <v>410</v>
      </c>
      <c r="J4184" s="14"/>
      <c r="O4184" s="22"/>
      <c r="P4184" s="22"/>
      <c r="Q4184" s="23"/>
      <c r="R4184" s="23"/>
      <c r="S4184" s="14"/>
    </row>
    <row r="4185" ht="18.75" customHeight="1">
      <c r="A4185" s="7" t="s">
        <v>408</v>
      </c>
      <c r="B4185" s="7" t="s">
        <v>3884</v>
      </c>
      <c r="C4185" s="9">
        <v>612124.0</v>
      </c>
      <c r="D4185" s="9">
        <v>0.0</v>
      </c>
      <c r="E4185" s="9">
        <v>1067.0</v>
      </c>
      <c r="F4185" s="7" t="s">
        <v>409</v>
      </c>
      <c r="G4185" s="7" t="s">
        <v>353</v>
      </c>
      <c r="H4185" s="7" t="s">
        <v>354</v>
      </c>
      <c r="I4185" s="7" t="s">
        <v>410</v>
      </c>
      <c r="J4185" s="14"/>
      <c r="O4185" s="22"/>
      <c r="P4185" s="22"/>
      <c r="Q4185" s="23"/>
      <c r="R4185" s="23"/>
      <c r="S4185" s="14"/>
    </row>
    <row r="4186" ht="18.75" customHeight="1">
      <c r="A4186" s="7" t="s">
        <v>501</v>
      </c>
      <c r="B4186" s="7" t="s">
        <v>3884</v>
      </c>
      <c r="C4186" s="9">
        <v>1735131.0</v>
      </c>
      <c r="D4186" s="9">
        <v>0.0</v>
      </c>
      <c r="E4186" s="9">
        <v>1566.0</v>
      </c>
      <c r="F4186" s="7" t="s">
        <v>502</v>
      </c>
      <c r="G4186" s="7" t="s">
        <v>503</v>
      </c>
      <c r="H4186" s="7" t="s">
        <v>504</v>
      </c>
      <c r="I4186" s="7" t="s">
        <v>410</v>
      </c>
      <c r="J4186" s="14"/>
      <c r="O4186" s="22"/>
      <c r="P4186" s="22"/>
      <c r="Q4186" s="23"/>
      <c r="R4186" s="23"/>
      <c r="S4186" s="14"/>
    </row>
    <row r="4187" ht="18.75" customHeight="1">
      <c r="A4187" s="7" t="s">
        <v>501</v>
      </c>
      <c r="B4187" s="7" t="s">
        <v>3884</v>
      </c>
      <c r="C4187" s="9">
        <v>1128065.0</v>
      </c>
      <c r="D4187" s="9">
        <v>0.0</v>
      </c>
      <c r="E4187" s="9">
        <v>1050.0</v>
      </c>
      <c r="F4187" s="7" t="s">
        <v>502</v>
      </c>
      <c r="G4187" s="7" t="s">
        <v>503</v>
      </c>
      <c r="H4187" s="7" t="s">
        <v>504</v>
      </c>
      <c r="I4187" s="7" t="s">
        <v>410</v>
      </c>
      <c r="J4187" s="14"/>
      <c r="O4187" s="22"/>
      <c r="P4187" s="22"/>
      <c r="Q4187" s="23"/>
      <c r="R4187" s="23"/>
      <c r="S4187" s="14"/>
    </row>
    <row r="4188" ht="18.75" customHeight="1">
      <c r="A4188" s="7" t="s">
        <v>501</v>
      </c>
      <c r="B4188" s="7" t="s">
        <v>3884</v>
      </c>
      <c r="C4188" s="9">
        <v>94723.0</v>
      </c>
      <c r="D4188" s="9">
        <v>0.0</v>
      </c>
      <c r="E4188" s="9">
        <v>9128.0</v>
      </c>
      <c r="F4188" s="7" t="s">
        <v>502</v>
      </c>
      <c r="G4188" s="7" t="s">
        <v>503</v>
      </c>
      <c r="H4188" s="7" t="s">
        <v>504</v>
      </c>
      <c r="I4188" s="7" t="s">
        <v>410</v>
      </c>
      <c r="J4188" s="14"/>
      <c r="O4188" s="22"/>
      <c r="P4188" s="22"/>
      <c r="Q4188" s="23"/>
      <c r="R4188" s="23"/>
      <c r="S4188" s="14"/>
    </row>
    <row r="4189" ht="18.75" customHeight="1">
      <c r="A4189" s="7" t="s">
        <v>501</v>
      </c>
      <c r="B4189" s="7" t="s">
        <v>3884</v>
      </c>
      <c r="C4189" s="9">
        <v>121734.0</v>
      </c>
      <c r="D4189" s="9">
        <v>0.0</v>
      </c>
      <c r="E4189" s="9">
        <v>9989.0</v>
      </c>
      <c r="F4189" s="7" t="s">
        <v>502</v>
      </c>
      <c r="G4189" s="7" t="s">
        <v>503</v>
      </c>
      <c r="H4189" s="7" t="s">
        <v>504</v>
      </c>
      <c r="I4189" s="7" t="s">
        <v>410</v>
      </c>
      <c r="J4189" s="14"/>
      <c r="O4189" s="22"/>
      <c r="P4189" s="22"/>
      <c r="Q4189" s="23"/>
      <c r="R4189" s="23"/>
      <c r="S4189" s="14"/>
    </row>
    <row r="4190" ht="18.75" customHeight="1">
      <c r="A4190" s="7" t="s">
        <v>501</v>
      </c>
      <c r="B4190" s="7" t="s">
        <v>3884</v>
      </c>
      <c r="C4190" s="9">
        <v>507738.0</v>
      </c>
      <c r="D4190" s="9">
        <v>0.0</v>
      </c>
      <c r="E4190" s="9">
        <v>37581.0</v>
      </c>
      <c r="F4190" s="7" t="s">
        <v>502</v>
      </c>
      <c r="G4190" s="7" t="s">
        <v>503</v>
      </c>
      <c r="H4190" s="7" t="s">
        <v>504</v>
      </c>
      <c r="I4190" s="7" t="s">
        <v>410</v>
      </c>
      <c r="J4190" s="14"/>
      <c r="O4190" s="22"/>
      <c r="P4190" s="22"/>
      <c r="Q4190" s="23"/>
      <c r="R4190" s="23"/>
      <c r="S4190" s="14"/>
    </row>
    <row r="4191" ht="18.75" customHeight="1">
      <c r="A4191" s="7" t="s">
        <v>501</v>
      </c>
      <c r="B4191" s="7" t="s">
        <v>3884</v>
      </c>
      <c r="C4191" s="9">
        <v>88129.0</v>
      </c>
      <c r="D4191" s="9">
        <v>55993.0</v>
      </c>
      <c r="E4191" s="9">
        <v>1299.0</v>
      </c>
      <c r="F4191" s="7" t="s">
        <v>502</v>
      </c>
      <c r="G4191" s="7" t="s">
        <v>503</v>
      </c>
      <c r="H4191" s="7" t="s">
        <v>504</v>
      </c>
      <c r="I4191" s="7" t="s">
        <v>410</v>
      </c>
      <c r="J4191" s="14"/>
      <c r="O4191" s="22"/>
      <c r="P4191" s="22"/>
      <c r="Q4191" s="23"/>
      <c r="R4191" s="23"/>
      <c r="S4191" s="14"/>
    </row>
    <row r="4192" ht="18.75" customHeight="1">
      <c r="A4192" s="7" t="s">
        <v>501</v>
      </c>
      <c r="B4192" s="7" t="s">
        <v>3884</v>
      </c>
      <c r="C4192" s="9">
        <v>49449.0</v>
      </c>
      <c r="D4192" s="9">
        <v>32995.0</v>
      </c>
      <c r="E4192" s="9">
        <v>7998.0</v>
      </c>
      <c r="F4192" s="7" t="s">
        <v>502</v>
      </c>
      <c r="G4192" s="7" t="s">
        <v>503</v>
      </c>
      <c r="H4192" s="7" t="s">
        <v>504</v>
      </c>
      <c r="I4192" s="7" t="s">
        <v>410</v>
      </c>
      <c r="J4192" s="14"/>
      <c r="O4192" s="22"/>
      <c r="P4192" s="22"/>
      <c r="Q4192" s="23"/>
      <c r="R4192" s="23"/>
      <c r="S4192" s="14"/>
    </row>
    <row r="4193" ht="18.75" customHeight="1">
      <c r="A4193" s="7" t="s">
        <v>501</v>
      </c>
      <c r="B4193" s="7" t="s">
        <v>3884</v>
      </c>
      <c r="C4193" s="9">
        <v>1281600.0</v>
      </c>
      <c r="D4193" s="9">
        <v>938981.0</v>
      </c>
      <c r="E4193" s="9">
        <v>716.0</v>
      </c>
      <c r="F4193" s="7" t="s">
        <v>502</v>
      </c>
      <c r="G4193" s="7" t="s">
        <v>503</v>
      </c>
      <c r="H4193" s="7" t="s">
        <v>504</v>
      </c>
      <c r="I4193" s="7" t="s">
        <v>410</v>
      </c>
      <c r="J4193" s="14"/>
      <c r="O4193" s="22"/>
      <c r="P4193" s="22"/>
      <c r="Q4193" s="23"/>
      <c r="R4193" s="23"/>
      <c r="S4193" s="14"/>
    </row>
    <row r="4194" ht="18.75" customHeight="1">
      <c r="A4194" s="7" t="s">
        <v>501</v>
      </c>
      <c r="B4194" s="7" t="s">
        <v>3884</v>
      </c>
      <c r="C4194" s="9">
        <v>1142971.0</v>
      </c>
      <c r="D4194" s="9">
        <v>907027.0</v>
      </c>
      <c r="E4194" s="9">
        <v>521.0</v>
      </c>
      <c r="F4194" s="7" t="s">
        <v>502</v>
      </c>
      <c r="G4194" s="7" t="s">
        <v>503</v>
      </c>
      <c r="H4194" s="7" t="s">
        <v>504</v>
      </c>
      <c r="I4194" s="7" t="s">
        <v>410</v>
      </c>
      <c r="J4194" s="14"/>
      <c r="O4194" s="22"/>
      <c r="P4194" s="22"/>
      <c r="Q4194" s="23"/>
      <c r="R4194" s="23"/>
      <c r="S4194" s="14"/>
    </row>
    <row r="4195" ht="18.75" customHeight="1">
      <c r="A4195" s="7" t="s">
        <v>501</v>
      </c>
      <c r="B4195" s="7" t="s">
        <v>3884</v>
      </c>
      <c r="C4195" s="9">
        <v>1913110.0</v>
      </c>
      <c r="D4195" s="9">
        <v>1439653.0</v>
      </c>
      <c r="E4195" s="9">
        <v>1493.0</v>
      </c>
      <c r="F4195" s="7" t="s">
        <v>502</v>
      </c>
      <c r="G4195" s="7" t="s">
        <v>503</v>
      </c>
      <c r="H4195" s="7" t="s">
        <v>504</v>
      </c>
      <c r="I4195" s="7" t="s">
        <v>410</v>
      </c>
      <c r="J4195" s="14"/>
      <c r="O4195" s="22"/>
      <c r="P4195" s="22"/>
      <c r="Q4195" s="23"/>
      <c r="R4195" s="23"/>
      <c r="S4195" s="14"/>
    </row>
    <row r="4196" ht="18.75" customHeight="1">
      <c r="A4196" s="7" t="s">
        <v>501</v>
      </c>
      <c r="B4196" s="7" t="s">
        <v>3884</v>
      </c>
      <c r="C4196" s="9">
        <v>24890.0</v>
      </c>
      <c r="D4196" s="9">
        <v>0.0</v>
      </c>
      <c r="E4196" s="9">
        <v>544.0</v>
      </c>
      <c r="F4196" s="7" t="s">
        <v>502</v>
      </c>
      <c r="G4196" s="7" t="s">
        <v>503</v>
      </c>
      <c r="H4196" s="7" t="s">
        <v>504</v>
      </c>
      <c r="I4196" s="7" t="s">
        <v>410</v>
      </c>
      <c r="J4196" s="14"/>
      <c r="O4196" s="22"/>
      <c r="P4196" s="22"/>
      <c r="Q4196" s="23"/>
      <c r="R4196" s="23"/>
      <c r="S4196" s="14"/>
    </row>
    <row r="4197" ht="18.75" customHeight="1">
      <c r="A4197" s="7" t="s">
        <v>1950</v>
      </c>
      <c r="B4197" s="7" t="s">
        <v>3884</v>
      </c>
      <c r="C4197" s="9">
        <v>387525.0</v>
      </c>
      <c r="D4197" s="9">
        <v>0.0</v>
      </c>
      <c r="E4197" s="9">
        <v>406.0</v>
      </c>
      <c r="F4197" s="7" t="s">
        <v>1951</v>
      </c>
      <c r="G4197" s="7" t="s">
        <v>353</v>
      </c>
      <c r="H4197" s="7" t="s">
        <v>783</v>
      </c>
      <c r="I4197" s="7" t="s">
        <v>355</v>
      </c>
      <c r="J4197" s="14"/>
      <c r="O4197" s="22"/>
      <c r="P4197" s="22"/>
      <c r="Q4197" s="23"/>
      <c r="R4197" s="23"/>
      <c r="S4197" s="14"/>
    </row>
    <row r="4198" ht="18.75" customHeight="1">
      <c r="A4198" s="7" t="s">
        <v>1972</v>
      </c>
      <c r="B4198" s="7" t="s">
        <v>3884</v>
      </c>
      <c r="C4198" s="9">
        <v>682401.0</v>
      </c>
      <c r="D4198" s="9">
        <v>0.0</v>
      </c>
      <c r="E4198" s="9">
        <v>233.0</v>
      </c>
      <c r="F4198" s="7" t="s">
        <v>1973</v>
      </c>
      <c r="G4198" s="7" t="s">
        <v>358</v>
      </c>
      <c r="H4198" s="7" t="s">
        <v>466</v>
      </c>
      <c r="I4198" s="7" t="s">
        <v>410</v>
      </c>
      <c r="J4198" s="14"/>
      <c r="O4198" s="22"/>
      <c r="P4198" s="22"/>
      <c r="Q4198" s="23"/>
      <c r="R4198" s="23"/>
      <c r="S4198" s="14"/>
    </row>
    <row r="4199" ht="18.75" customHeight="1">
      <c r="A4199" s="7" t="s">
        <v>1972</v>
      </c>
      <c r="B4199" s="7" t="s">
        <v>3884</v>
      </c>
      <c r="C4199" s="9">
        <v>525778.0</v>
      </c>
      <c r="D4199" s="9">
        <v>0.0</v>
      </c>
      <c r="E4199" s="9">
        <v>471.0</v>
      </c>
      <c r="F4199" s="7" t="s">
        <v>1973</v>
      </c>
      <c r="G4199" s="7" t="s">
        <v>358</v>
      </c>
      <c r="H4199" s="7" t="s">
        <v>466</v>
      </c>
      <c r="I4199" s="7" t="s">
        <v>410</v>
      </c>
      <c r="J4199" s="14"/>
      <c r="O4199" s="22"/>
      <c r="P4199" s="22"/>
      <c r="Q4199" s="23"/>
      <c r="R4199" s="23"/>
      <c r="S4199" s="14"/>
    </row>
    <row r="4200" ht="18.75" customHeight="1">
      <c r="A4200" s="7" t="s">
        <v>1972</v>
      </c>
      <c r="B4200" s="7" t="s">
        <v>3884</v>
      </c>
      <c r="C4200" s="9">
        <v>1530781.0</v>
      </c>
      <c r="D4200" s="9">
        <v>0.0</v>
      </c>
      <c r="E4200" s="9">
        <v>1700.0</v>
      </c>
      <c r="F4200" s="7" t="s">
        <v>1973</v>
      </c>
      <c r="G4200" s="7" t="s">
        <v>358</v>
      </c>
      <c r="H4200" s="7" t="s">
        <v>466</v>
      </c>
      <c r="I4200" s="7" t="s">
        <v>410</v>
      </c>
      <c r="J4200" s="14"/>
      <c r="O4200" s="22"/>
      <c r="P4200" s="22"/>
      <c r="Q4200" s="23"/>
      <c r="R4200" s="23"/>
      <c r="S4200" s="14"/>
    </row>
    <row r="4201" ht="18.75" customHeight="1">
      <c r="A4201" s="7" t="s">
        <v>1972</v>
      </c>
      <c r="B4201" s="7" t="s">
        <v>3884</v>
      </c>
      <c r="C4201" s="9">
        <v>512621.0</v>
      </c>
      <c r="D4201" s="9">
        <v>389179.0</v>
      </c>
      <c r="E4201" s="9">
        <v>313.0</v>
      </c>
      <c r="F4201" s="7" t="s">
        <v>1973</v>
      </c>
      <c r="G4201" s="7" t="s">
        <v>358</v>
      </c>
      <c r="H4201" s="7" t="s">
        <v>466</v>
      </c>
      <c r="I4201" s="7" t="s">
        <v>410</v>
      </c>
      <c r="J4201" s="14"/>
      <c r="O4201" s="22"/>
      <c r="P4201" s="22"/>
      <c r="Q4201" s="23"/>
      <c r="R4201" s="23"/>
      <c r="S4201" s="14"/>
    </row>
    <row r="4202" ht="18.75" customHeight="1">
      <c r="A4202" s="7" t="s">
        <v>1972</v>
      </c>
      <c r="B4202" s="7" t="s">
        <v>3884</v>
      </c>
      <c r="C4202" s="9">
        <v>351023.0</v>
      </c>
      <c r="D4202" s="9">
        <v>275023.0</v>
      </c>
      <c r="E4202" s="9">
        <v>153.0</v>
      </c>
      <c r="F4202" s="7" t="s">
        <v>1973</v>
      </c>
      <c r="G4202" s="7" t="s">
        <v>358</v>
      </c>
      <c r="H4202" s="7" t="s">
        <v>466</v>
      </c>
      <c r="I4202" s="7" t="s">
        <v>410</v>
      </c>
      <c r="J4202" s="14"/>
      <c r="O4202" s="22"/>
      <c r="P4202" s="22"/>
      <c r="Q4202" s="23"/>
      <c r="R4202" s="23"/>
      <c r="S4202" s="14"/>
    </row>
    <row r="4203" ht="18.75" customHeight="1">
      <c r="A4203" s="7" t="s">
        <v>1972</v>
      </c>
      <c r="B4203" s="7" t="s">
        <v>3884</v>
      </c>
      <c r="C4203" s="9">
        <v>1018344.0</v>
      </c>
      <c r="D4203" s="9">
        <v>764623.0</v>
      </c>
      <c r="E4203" s="9">
        <v>640.0</v>
      </c>
      <c r="F4203" s="7" t="s">
        <v>1973</v>
      </c>
      <c r="G4203" s="7" t="s">
        <v>358</v>
      </c>
      <c r="H4203" s="7" t="s">
        <v>466</v>
      </c>
      <c r="I4203" s="7" t="s">
        <v>410</v>
      </c>
      <c r="J4203" s="14"/>
      <c r="O4203" s="22"/>
      <c r="P4203" s="22"/>
      <c r="Q4203" s="23"/>
      <c r="R4203" s="23"/>
      <c r="S4203" s="14"/>
    </row>
    <row r="4204" ht="18.75" customHeight="1">
      <c r="A4204" s="7" t="s">
        <v>1974</v>
      </c>
      <c r="B4204" s="7" t="s">
        <v>3884</v>
      </c>
      <c r="C4204" s="9">
        <v>629008.0</v>
      </c>
      <c r="D4204" s="9">
        <v>465450.0</v>
      </c>
      <c r="E4204" s="9">
        <v>426.0</v>
      </c>
      <c r="F4204" s="7" t="s">
        <v>1975</v>
      </c>
      <c r="G4204" s="7" t="s">
        <v>358</v>
      </c>
      <c r="H4204" s="7" t="s">
        <v>466</v>
      </c>
      <c r="I4204" s="7" t="s">
        <v>410</v>
      </c>
      <c r="J4204" s="14"/>
      <c r="O4204" s="22"/>
      <c r="P4204" s="22"/>
      <c r="Q4204" s="23"/>
      <c r="R4204" s="23"/>
      <c r="S4204" s="14"/>
    </row>
    <row r="4205" ht="18.75" customHeight="1">
      <c r="A4205" s="7" t="s">
        <v>1974</v>
      </c>
      <c r="B4205" s="7" t="s">
        <v>3884</v>
      </c>
      <c r="C4205" s="9">
        <v>702389.0</v>
      </c>
      <c r="D4205" s="9">
        <v>549141.0</v>
      </c>
      <c r="E4205" s="9">
        <v>436.0</v>
      </c>
      <c r="F4205" s="7" t="s">
        <v>1975</v>
      </c>
      <c r="G4205" s="7" t="s">
        <v>358</v>
      </c>
      <c r="H4205" s="7" t="s">
        <v>466</v>
      </c>
      <c r="I4205" s="7" t="s">
        <v>410</v>
      </c>
      <c r="J4205" s="14"/>
      <c r="O4205" s="22"/>
      <c r="P4205" s="22"/>
      <c r="Q4205" s="23"/>
      <c r="R4205" s="23"/>
      <c r="S4205" s="14"/>
    </row>
    <row r="4206" ht="18.75" customHeight="1">
      <c r="A4206" s="7" t="s">
        <v>1974</v>
      </c>
      <c r="B4206" s="7" t="s">
        <v>3884</v>
      </c>
      <c r="C4206" s="9">
        <v>683440.0</v>
      </c>
      <c r="D4206" s="9">
        <v>467178.0</v>
      </c>
      <c r="E4206" s="9">
        <v>452.0</v>
      </c>
      <c r="F4206" s="7" t="s">
        <v>1975</v>
      </c>
      <c r="G4206" s="7" t="s">
        <v>358</v>
      </c>
      <c r="H4206" s="7" t="s">
        <v>466</v>
      </c>
      <c r="I4206" s="7" t="s">
        <v>410</v>
      </c>
      <c r="J4206" s="14"/>
      <c r="O4206" s="22"/>
      <c r="P4206" s="22"/>
      <c r="Q4206" s="23"/>
      <c r="R4206" s="23"/>
      <c r="S4206" s="14"/>
    </row>
    <row r="4207" ht="18.75" customHeight="1">
      <c r="A4207" s="7" t="s">
        <v>1507</v>
      </c>
      <c r="B4207" s="7" t="s">
        <v>3884</v>
      </c>
      <c r="C4207" s="9">
        <v>207467.0</v>
      </c>
      <c r="D4207" s="9">
        <v>0.0</v>
      </c>
      <c r="E4207" s="9">
        <v>636.0</v>
      </c>
      <c r="F4207" s="7" t="s">
        <v>1508</v>
      </c>
      <c r="G4207" s="7" t="s">
        <v>404</v>
      </c>
      <c r="H4207" s="7" t="s">
        <v>405</v>
      </c>
      <c r="I4207" s="7" t="s">
        <v>410</v>
      </c>
      <c r="J4207" s="14"/>
      <c r="O4207" s="22"/>
      <c r="P4207" s="22"/>
      <c r="Q4207" s="23"/>
      <c r="R4207" s="23"/>
      <c r="S4207" s="14"/>
    </row>
    <row r="4208" ht="18.75" customHeight="1">
      <c r="A4208" s="7" t="s">
        <v>1948</v>
      </c>
      <c r="B4208" s="7" t="s">
        <v>3884</v>
      </c>
      <c r="C4208" s="9">
        <v>0.0</v>
      </c>
      <c r="D4208" s="9">
        <v>0.0</v>
      </c>
      <c r="E4208" s="9">
        <v>0.0</v>
      </c>
      <c r="F4208" s="7" t="s">
        <v>1949</v>
      </c>
      <c r="G4208" s="7" t="s">
        <v>353</v>
      </c>
      <c r="H4208" s="7" t="s">
        <v>378</v>
      </c>
      <c r="I4208" s="7" t="s">
        <v>355</v>
      </c>
      <c r="J4208" s="14"/>
      <c r="O4208" s="22"/>
      <c r="P4208" s="22"/>
      <c r="Q4208" s="23"/>
      <c r="R4208" s="23"/>
      <c r="S4208" s="14"/>
    </row>
    <row r="4209" ht="18.75" customHeight="1">
      <c r="A4209" s="7" t="s">
        <v>1831</v>
      </c>
      <c r="B4209" s="7" t="s">
        <v>3884</v>
      </c>
      <c r="C4209" s="9">
        <v>3645388.0</v>
      </c>
      <c r="D4209" s="9">
        <v>0.0</v>
      </c>
      <c r="E4209" s="9">
        <v>3496.0</v>
      </c>
      <c r="F4209" s="7" t="s">
        <v>1832</v>
      </c>
      <c r="G4209" s="7" t="s">
        <v>358</v>
      </c>
      <c r="H4209" s="7" t="s">
        <v>1665</v>
      </c>
      <c r="I4209" s="7" t="s">
        <v>410</v>
      </c>
      <c r="J4209" s="14"/>
      <c r="O4209" s="22"/>
      <c r="P4209" s="22"/>
      <c r="Q4209" s="23"/>
      <c r="R4209" s="23"/>
      <c r="S4209" s="14"/>
    </row>
    <row r="4210" ht="18.75" customHeight="1">
      <c r="A4210" s="7" t="s">
        <v>1831</v>
      </c>
      <c r="B4210" s="7" t="s">
        <v>3884</v>
      </c>
      <c r="C4210" s="9">
        <v>4507478.0</v>
      </c>
      <c r="D4210" s="9">
        <v>0.0</v>
      </c>
      <c r="E4210" s="9">
        <v>4539.0</v>
      </c>
      <c r="F4210" s="7" t="s">
        <v>1832</v>
      </c>
      <c r="G4210" s="7" t="s">
        <v>358</v>
      </c>
      <c r="H4210" s="7" t="s">
        <v>1665</v>
      </c>
      <c r="I4210" s="7" t="s">
        <v>410</v>
      </c>
      <c r="J4210" s="14"/>
      <c r="O4210" s="22"/>
      <c r="P4210" s="22"/>
      <c r="Q4210" s="23"/>
      <c r="R4210" s="23"/>
      <c r="S4210" s="14"/>
    </row>
    <row r="4211" ht="18.75" customHeight="1">
      <c r="A4211" s="7" t="s">
        <v>1831</v>
      </c>
      <c r="B4211" s="7" t="s">
        <v>3884</v>
      </c>
      <c r="C4211" s="9">
        <v>5415539.0</v>
      </c>
      <c r="D4211" s="9">
        <v>0.0</v>
      </c>
      <c r="E4211" s="9">
        <v>5828.0</v>
      </c>
      <c r="F4211" s="7" t="s">
        <v>1832</v>
      </c>
      <c r="G4211" s="7" t="s">
        <v>358</v>
      </c>
      <c r="H4211" s="7" t="s">
        <v>1665</v>
      </c>
      <c r="I4211" s="7" t="s">
        <v>410</v>
      </c>
      <c r="J4211" s="14"/>
      <c r="O4211" s="22"/>
      <c r="P4211" s="22"/>
      <c r="Q4211" s="23"/>
      <c r="R4211" s="23"/>
      <c r="S4211" s="14"/>
    </row>
    <row r="4212" ht="18.75" customHeight="1">
      <c r="A4212" s="7" t="s">
        <v>1831</v>
      </c>
      <c r="B4212" s="7" t="s">
        <v>3884</v>
      </c>
      <c r="C4212" s="9">
        <v>3362720.0</v>
      </c>
      <c r="D4212" s="9">
        <v>0.0</v>
      </c>
      <c r="E4212" s="9">
        <v>3870.0</v>
      </c>
      <c r="F4212" s="7" t="s">
        <v>1832</v>
      </c>
      <c r="G4212" s="7" t="s">
        <v>358</v>
      </c>
      <c r="H4212" s="7" t="s">
        <v>1665</v>
      </c>
      <c r="I4212" s="7" t="s">
        <v>410</v>
      </c>
      <c r="J4212" s="14"/>
      <c r="O4212" s="22"/>
      <c r="P4212" s="22"/>
      <c r="Q4212" s="23"/>
      <c r="R4212" s="23"/>
      <c r="S4212" s="14"/>
    </row>
    <row r="4213" ht="18.75" customHeight="1">
      <c r="A4213" s="7" t="s">
        <v>1831</v>
      </c>
      <c r="B4213" s="7" t="s">
        <v>3884</v>
      </c>
      <c r="C4213" s="9">
        <v>3511286.0</v>
      </c>
      <c r="D4213" s="9">
        <v>0.0</v>
      </c>
      <c r="E4213" s="9">
        <v>3599.0</v>
      </c>
      <c r="F4213" s="7" t="s">
        <v>1832</v>
      </c>
      <c r="G4213" s="7" t="s">
        <v>358</v>
      </c>
      <c r="H4213" s="7" t="s">
        <v>1665</v>
      </c>
      <c r="I4213" s="7" t="s">
        <v>410</v>
      </c>
      <c r="J4213" s="14"/>
      <c r="O4213" s="22"/>
      <c r="P4213" s="22"/>
      <c r="Q4213" s="23"/>
      <c r="R4213" s="23"/>
      <c r="S4213" s="14"/>
    </row>
    <row r="4214" ht="18.75" customHeight="1">
      <c r="A4214" s="7" t="s">
        <v>1831</v>
      </c>
      <c r="B4214" s="7" t="s">
        <v>3884</v>
      </c>
      <c r="C4214" s="9">
        <v>3747770.0</v>
      </c>
      <c r="D4214" s="9">
        <v>0.0</v>
      </c>
      <c r="E4214" s="9">
        <v>4527.0</v>
      </c>
      <c r="F4214" s="7" t="s">
        <v>1832</v>
      </c>
      <c r="G4214" s="7" t="s">
        <v>358</v>
      </c>
      <c r="H4214" s="7" t="s">
        <v>1665</v>
      </c>
      <c r="I4214" s="7" t="s">
        <v>410</v>
      </c>
      <c r="J4214" s="14"/>
      <c r="O4214" s="22"/>
      <c r="P4214" s="22"/>
      <c r="Q4214" s="23"/>
      <c r="R4214" s="23"/>
      <c r="S4214" s="14"/>
    </row>
    <row r="4215" ht="18.75" customHeight="1">
      <c r="A4215" s="7" t="s">
        <v>1831</v>
      </c>
      <c r="B4215" s="7" t="s">
        <v>3884</v>
      </c>
      <c r="C4215" s="9">
        <v>0.0</v>
      </c>
      <c r="D4215" s="9">
        <v>0.0</v>
      </c>
      <c r="E4215" s="9">
        <v>0.0</v>
      </c>
      <c r="F4215" s="7" t="s">
        <v>1832</v>
      </c>
      <c r="G4215" s="7" t="s">
        <v>358</v>
      </c>
      <c r="H4215" s="7" t="s">
        <v>1665</v>
      </c>
      <c r="I4215" s="7" t="s">
        <v>410</v>
      </c>
      <c r="J4215" s="14"/>
      <c r="O4215" s="22"/>
      <c r="P4215" s="22"/>
      <c r="Q4215" s="23"/>
      <c r="R4215" s="23"/>
      <c r="S4215" s="14"/>
    </row>
    <row r="4216" ht="18.75" customHeight="1">
      <c r="A4216" s="7" t="s">
        <v>1831</v>
      </c>
      <c r="B4216" s="7" t="s">
        <v>3884</v>
      </c>
      <c r="C4216" s="9">
        <v>0.0</v>
      </c>
      <c r="D4216" s="9">
        <v>0.0</v>
      </c>
      <c r="E4216" s="9">
        <v>0.0</v>
      </c>
      <c r="F4216" s="7" t="s">
        <v>1832</v>
      </c>
      <c r="G4216" s="7" t="s">
        <v>358</v>
      </c>
      <c r="H4216" s="7" t="s">
        <v>1665</v>
      </c>
      <c r="I4216" s="7" t="s">
        <v>410</v>
      </c>
      <c r="J4216" s="14"/>
      <c r="O4216" s="22"/>
      <c r="P4216" s="22"/>
      <c r="Q4216" s="23"/>
      <c r="R4216" s="23"/>
      <c r="S4216" s="14"/>
    </row>
    <row r="4217" ht="18.75" customHeight="1">
      <c r="A4217" s="7" t="s">
        <v>1831</v>
      </c>
      <c r="B4217" s="7" t="s">
        <v>3884</v>
      </c>
      <c r="C4217" s="9">
        <v>0.0</v>
      </c>
      <c r="D4217" s="9">
        <v>0.0</v>
      </c>
      <c r="E4217" s="9">
        <v>0.0</v>
      </c>
      <c r="F4217" s="7" t="s">
        <v>1832</v>
      </c>
      <c r="G4217" s="7" t="s">
        <v>358</v>
      </c>
      <c r="H4217" s="7" t="s">
        <v>1665</v>
      </c>
      <c r="I4217" s="7" t="s">
        <v>410</v>
      </c>
      <c r="J4217" s="14"/>
      <c r="O4217" s="22"/>
      <c r="P4217" s="22"/>
      <c r="Q4217" s="23"/>
      <c r="R4217" s="23"/>
      <c r="S4217" s="14"/>
    </row>
    <row r="4218" ht="18.75" customHeight="1">
      <c r="A4218" s="7" t="s">
        <v>1831</v>
      </c>
      <c r="B4218" s="7" t="s">
        <v>3884</v>
      </c>
      <c r="C4218" s="9">
        <v>0.0</v>
      </c>
      <c r="D4218" s="9">
        <v>0.0</v>
      </c>
      <c r="E4218" s="9">
        <v>0.0</v>
      </c>
      <c r="F4218" s="7" t="s">
        <v>1832</v>
      </c>
      <c r="G4218" s="7" t="s">
        <v>358</v>
      </c>
      <c r="H4218" s="7" t="s">
        <v>1665</v>
      </c>
      <c r="I4218" s="7" t="s">
        <v>410</v>
      </c>
      <c r="J4218" s="14"/>
      <c r="O4218" s="22"/>
      <c r="P4218" s="22"/>
      <c r="Q4218" s="23"/>
      <c r="R4218" s="23"/>
      <c r="S4218" s="14"/>
    </row>
    <row r="4219" ht="18.75" customHeight="1">
      <c r="A4219" s="7" t="s">
        <v>1831</v>
      </c>
      <c r="B4219" s="7" t="s">
        <v>3884</v>
      </c>
      <c r="C4219" s="9">
        <v>0.0</v>
      </c>
      <c r="D4219" s="9">
        <v>0.0</v>
      </c>
      <c r="E4219" s="9">
        <v>0.0</v>
      </c>
      <c r="F4219" s="7" t="s">
        <v>1832</v>
      </c>
      <c r="G4219" s="7" t="s">
        <v>358</v>
      </c>
      <c r="H4219" s="7" t="s">
        <v>1665</v>
      </c>
      <c r="I4219" s="7" t="s">
        <v>410</v>
      </c>
      <c r="J4219" s="14"/>
      <c r="O4219" s="22"/>
      <c r="P4219" s="22"/>
      <c r="Q4219" s="23"/>
      <c r="R4219" s="23"/>
      <c r="S4219" s="14"/>
    </row>
    <row r="4220" ht="18.75" customHeight="1">
      <c r="A4220" s="7" t="s">
        <v>1831</v>
      </c>
      <c r="B4220" s="7" t="s">
        <v>3884</v>
      </c>
      <c r="C4220" s="9">
        <v>0.0</v>
      </c>
      <c r="D4220" s="9">
        <v>0.0</v>
      </c>
      <c r="E4220" s="9">
        <v>0.0</v>
      </c>
      <c r="F4220" s="7" t="s">
        <v>1832</v>
      </c>
      <c r="G4220" s="7" t="s">
        <v>358</v>
      </c>
      <c r="H4220" s="7" t="s">
        <v>1665</v>
      </c>
      <c r="I4220" s="7" t="s">
        <v>410</v>
      </c>
      <c r="J4220" s="14"/>
      <c r="O4220" s="22"/>
      <c r="P4220" s="22"/>
      <c r="Q4220" s="23"/>
      <c r="R4220" s="23"/>
      <c r="S4220" s="14"/>
    </row>
    <row r="4221" ht="18.75" customHeight="1">
      <c r="A4221" s="7" t="s">
        <v>2166</v>
      </c>
      <c r="B4221" s="7" t="s">
        <v>3884</v>
      </c>
      <c r="C4221" s="9">
        <v>32.0</v>
      </c>
      <c r="D4221" s="9">
        <v>0.0</v>
      </c>
      <c r="E4221" s="9">
        <v>0.0</v>
      </c>
      <c r="F4221" s="7" t="s">
        <v>2167</v>
      </c>
      <c r="G4221" s="7" t="s">
        <v>364</v>
      </c>
      <c r="H4221" s="7" t="s">
        <v>365</v>
      </c>
      <c r="I4221" s="7" t="s">
        <v>410</v>
      </c>
      <c r="J4221" s="14"/>
      <c r="O4221" s="22"/>
      <c r="P4221" s="22"/>
      <c r="Q4221" s="23"/>
      <c r="R4221" s="23"/>
      <c r="S4221" s="14"/>
    </row>
    <row r="4222" ht="18.75" customHeight="1">
      <c r="A4222" s="7" t="s">
        <v>1789</v>
      </c>
      <c r="B4222" s="7" t="s">
        <v>3884</v>
      </c>
      <c r="C4222" s="9">
        <v>1060683.0</v>
      </c>
      <c r="D4222" s="9">
        <v>0.0</v>
      </c>
      <c r="E4222" s="9">
        <v>1359.0</v>
      </c>
      <c r="F4222" s="7" t="s">
        <v>1790</v>
      </c>
      <c r="G4222" s="7" t="s">
        <v>353</v>
      </c>
      <c r="H4222" s="7" t="s">
        <v>833</v>
      </c>
      <c r="I4222" s="7" t="s">
        <v>410</v>
      </c>
      <c r="J4222" s="14"/>
      <c r="O4222" s="22"/>
      <c r="P4222" s="22"/>
      <c r="Q4222" s="23"/>
      <c r="R4222" s="23"/>
      <c r="S4222" s="14"/>
    </row>
    <row r="4223" ht="18.75" customHeight="1">
      <c r="A4223" s="7" t="s">
        <v>1970</v>
      </c>
      <c r="B4223" s="7" t="s">
        <v>3884</v>
      </c>
      <c r="C4223" s="9">
        <v>4429715.0</v>
      </c>
      <c r="D4223" s="9">
        <v>0.0</v>
      </c>
      <c r="E4223" s="9">
        <v>4290.0</v>
      </c>
      <c r="F4223" s="7" t="s">
        <v>1971</v>
      </c>
      <c r="G4223" s="7" t="s">
        <v>364</v>
      </c>
      <c r="H4223" s="7" t="s">
        <v>365</v>
      </c>
      <c r="I4223" s="7" t="s">
        <v>355</v>
      </c>
      <c r="J4223" s="14"/>
      <c r="O4223" s="22"/>
      <c r="P4223" s="22"/>
      <c r="Q4223" s="23"/>
      <c r="R4223" s="23"/>
      <c r="S4223" s="14"/>
    </row>
    <row r="4224" ht="18.75" customHeight="1">
      <c r="A4224" s="7" t="s">
        <v>1865</v>
      </c>
      <c r="B4224" s="7" t="s">
        <v>3884</v>
      </c>
      <c r="C4224" s="9">
        <v>1604244.0</v>
      </c>
      <c r="D4224" s="9">
        <v>914756.0</v>
      </c>
      <c r="E4224" s="9">
        <v>816.0</v>
      </c>
      <c r="F4224" s="7" t="s">
        <v>1866</v>
      </c>
      <c r="G4224" s="7" t="s">
        <v>416</v>
      </c>
      <c r="H4224" s="7" t="s">
        <v>417</v>
      </c>
      <c r="I4224" s="7" t="s">
        <v>355</v>
      </c>
      <c r="J4224" s="14"/>
      <c r="O4224" s="22"/>
      <c r="P4224" s="22"/>
      <c r="Q4224" s="23"/>
      <c r="R4224" s="23"/>
      <c r="S4224" s="14"/>
    </row>
    <row r="4225" ht="18.75" customHeight="1">
      <c r="A4225" s="7" t="s">
        <v>2014</v>
      </c>
      <c r="B4225" s="7" t="s">
        <v>3884</v>
      </c>
      <c r="C4225" s="9">
        <v>166812.0</v>
      </c>
      <c r="D4225" s="9">
        <v>0.0</v>
      </c>
      <c r="E4225" s="9">
        <v>239.0</v>
      </c>
      <c r="F4225" s="7" t="s">
        <v>2015</v>
      </c>
      <c r="G4225" s="7" t="s">
        <v>416</v>
      </c>
      <c r="H4225" s="7" t="s">
        <v>417</v>
      </c>
      <c r="I4225" s="7" t="s">
        <v>410</v>
      </c>
      <c r="J4225" s="14"/>
      <c r="O4225" s="22"/>
      <c r="P4225" s="22"/>
      <c r="Q4225" s="23"/>
      <c r="R4225" s="23"/>
      <c r="S4225" s="14"/>
    </row>
    <row r="4226" ht="18.75" customHeight="1">
      <c r="A4226" s="7" t="s">
        <v>1936</v>
      </c>
      <c r="B4226" s="7" t="s">
        <v>3884</v>
      </c>
      <c r="C4226" s="9">
        <v>412878.0</v>
      </c>
      <c r="D4226" s="9">
        <v>358083.0</v>
      </c>
      <c r="E4226" s="9">
        <v>309.0</v>
      </c>
      <c r="F4226" s="7" t="s">
        <v>1937</v>
      </c>
      <c r="G4226" s="7" t="s">
        <v>416</v>
      </c>
      <c r="H4226" s="7" t="s">
        <v>417</v>
      </c>
      <c r="I4226" s="7" t="s">
        <v>355</v>
      </c>
      <c r="J4226" s="14"/>
      <c r="O4226" s="22"/>
      <c r="P4226" s="22"/>
      <c r="Q4226" s="23"/>
      <c r="R4226" s="23"/>
      <c r="S4226" s="14"/>
    </row>
    <row r="4227" ht="18.75" customHeight="1">
      <c r="A4227" s="7" t="s">
        <v>1986</v>
      </c>
      <c r="B4227" s="7" t="s">
        <v>3884</v>
      </c>
      <c r="C4227" s="9">
        <v>642914.0</v>
      </c>
      <c r="D4227" s="9">
        <v>0.0</v>
      </c>
      <c r="E4227" s="9">
        <v>982.0</v>
      </c>
      <c r="F4227" s="7" t="s">
        <v>1987</v>
      </c>
      <c r="G4227" s="7" t="s">
        <v>404</v>
      </c>
      <c r="H4227" s="7" t="s">
        <v>783</v>
      </c>
      <c r="I4227" s="7" t="s">
        <v>355</v>
      </c>
      <c r="J4227" s="14"/>
      <c r="O4227" s="22"/>
      <c r="P4227" s="22"/>
      <c r="Q4227" s="23"/>
      <c r="R4227" s="23"/>
      <c r="S4227" s="14"/>
    </row>
    <row r="4228" ht="18.75" customHeight="1">
      <c r="A4228" s="7" t="s">
        <v>2016</v>
      </c>
      <c r="B4228" s="7" t="s">
        <v>3884</v>
      </c>
      <c r="C4228" s="9">
        <v>3056576.0</v>
      </c>
      <c r="D4228" s="9">
        <v>0.0</v>
      </c>
      <c r="E4228" s="9">
        <v>4132.0</v>
      </c>
      <c r="F4228" s="7" t="s">
        <v>2017</v>
      </c>
      <c r="G4228" s="7" t="s">
        <v>416</v>
      </c>
      <c r="H4228" s="7" t="s">
        <v>417</v>
      </c>
      <c r="I4228" s="7" t="s">
        <v>410</v>
      </c>
      <c r="J4228" s="14"/>
      <c r="O4228" s="22"/>
      <c r="P4228" s="22"/>
      <c r="Q4228" s="23"/>
      <c r="R4228" s="23"/>
      <c r="S4228" s="14"/>
    </row>
    <row r="4229" ht="18.75" customHeight="1">
      <c r="A4229" s="7" t="s">
        <v>2010</v>
      </c>
      <c r="B4229" s="7" t="s">
        <v>3884</v>
      </c>
      <c r="C4229" s="9">
        <v>2312488.0</v>
      </c>
      <c r="D4229" s="9">
        <v>0.0</v>
      </c>
      <c r="E4229" s="9">
        <v>2348.0</v>
      </c>
      <c r="F4229" s="7" t="s">
        <v>2011</v>
      </c>
      <c r="G4229" s="7" t="s">
        <v>404</v>
      </c>
      <c r="H4229" s="7" t="s">
        <v>667</v>
      </c>
      <c r="I4229" s="7" t="s">
        <v>355</v>
      </c>
      <c r="J4229" s="14"/>
      <c r="O4229" s="22"/>
      <c r="P4229" s="22"/>
      <c r="Q4229" s="23"/>
      <c r="R4229" s="23"/>
      <c r="S4229" s="14"/>
    </row>
    <row r="4230" ht="18.75" customHeight="1">
      <c r="A4230" s="7" t="s">
        <v>2010</v>
      </c>
      <c r="B4230" s="7" t="s">
        <v>3884</v>
      </c>
      <c r="C4230" s="9">
        <v>757132.0</v>
      </c>
      <c r="D4230" s="9">
        <v>0.0</v>
      </c>
      <c r="E4230" s="9">
        <v>758.0</v>
      </c>
      <c r="F4230" s="7" t="s">
        <v>2011</v>
      </c>
      <c r="G4230" s="7" t="s">
        <v>404</v>
      </c>
      <c r="H4230" s="7" t="s">
        <v>667</v>
      </c>
      <c r="I4230" s="7" t="s">
        <v>355</v>
      </c>
      <c r="J4230" s="14"/>
      <c r="O4230" s="22"/>
      <c r="P4230" s="22"/>
      <c r="Q4230" s="23"/>
      <c r="R4230" s="23"/>
      <c r="S4230" s="14"/>
    </row>
    <row r="4231" ht="18.75" customHeight="1">
      <c r="A4231" s="7" t="s">
        <v>1735</v>
      </c>
      <c r="B4231" s="7" t="s">
        <v>3884</v>
      </c>
      <c r="C4231" s="9">
        <v>1874334.0</v>
      </c>
      <c r="D4231" s="9">
        <v>0.0</v>
      </c>
      <c r="E4231" s="9">
        <v>2782.0</v>
      </c>
      <c r="F4231" s="7" t="s">
        <v>1736</v>
      </c>
      <c r="G4231" s="7" t="s">
        <v>358</v>
      </c>
      <c r="H4231" s="7" t="s">
        <v>359</v>
      </c>
      <c r="I4231" s="7" t="s">
        <v>355</v>
      </c>
      <c r="J4231" s="14"/>
      <c r="O4231" s="22"/>
      <c r="P4231" s="22"/>
      <c r="Q4231" s="23"/>
      <c r="R4231" s="23"/>
      <c r="S4231" s="14"/>
    </row>
    <row r="4232" ht="18.75" customHeight="1">
      <c r="A4232" s="7" t="s">
        <v>1735</v>
      </c>
      <c r="B4232" s="7" t="s">
        <v>3884</v>
      </c>
      <c r="C4232" s="9">
        <v>1437325.0</v>
      </c>
      <c r="D4232" s="9">
        <v>0.0</v>
      </c>
      <c r="E4232" s="9">
        <v>815.0</v>
      </c>
      <c r="F4232" s="7" t="s">
        <v>1736</v>
      </c>
      <c r="G4232" s="7" t="s">
        <v>358</v>
      </c>
      <c r="H4232" s="7" t="s">
        <v>359</v>
      </c>
      <c r="I4232" s="7" t="s">
        <v>355</v>
      </c>
      <c r="J4232" s="14"/>
      <c r="O4232" s="22"/>
      <c r="P4232" s="22"/>
      <c r="Q4232" s="23"/>
      <c r="R4232" s="23"/>
      <c r="S4232" s="14"/>
    </row>
    <row r="4233" ht="18.75" customHeight="1">
      <c r="A4233" s="7" t="s">
        <v>1879</v>
      </c>
      <c r="B4233" s="7" t="s">
        <v>3884</v>
      </c>
      <c r="C4233" s="9">
        <v>431454.0</v>
      </c>
      <c r="D4233" s="9">
        <v>0.0</v>
      </c>
      <c r="E4233" s="9">
        <v>418.0</v>
      </c>
      <c r="F4233" s="7" t="s">
        <v>1880</v>
      </c>
      <c r="G4233" s="7" t="s">
        <v>353</v>
      </c>
      <c r="H4233" s="7" t="s">
        <v>378</v>
      </c>
      <c r="I4233" s="7" t="s">
        <v>355</v>
      </c>
      <c r="J4233" s="14"/>
      <c r="O4233" s="22"/>
      <c r="P4233" s="22"/>
      <c r="Q4233" s="23"/>
      <c r="R4233" s="23"/>
      <c r="S4233" s="14"/>
    </row>
    <row r="4234" ht="18.75" customHeight="1">
      <c r="A4234" s="7" t="s">
        <v>1523</v>
      </c>
      <c r="B4234" s="7" t="s">
        <v>3884</v>
      </c>
      <c r="C4234" s="9">
        <v>97701.0</v>
      </c>
      <c r="D4234" s="9">
        <v>90592.0</v>
      </c>
      <c r="E4234" s="9">
        <v>8.0</v>
      </c>
      <c r="F4234" s="7" t="s">
        <v>1524</v>
      </c>
      <c r="G4234" s="7" t="s">
        <v>364</v>
      </c>
      <c r="H4234" s="7" t="s">
        <v>365</v>
      </c>
      <c r="I4234" s="7" t="s">
        <v>410</v>
      </c>
      <c r="J4234" s="14"/>
      <c r="O4234" s="22"/>
      <c r="P4234" s="22"/>
      <c r="Q4234" s="23"/>
      <c r="R4234" s="23"/>
      <c r="S4234" s="14"/>
    </row>
    <row r="4235" ht="18.75" customHeight="1">
      <c r="A4235" s="7" t="s">
        <v>1877</v>
      </c>
      <c r="B4235" s="7" t="s">
        <v>3884</v>
      </c>
      <c r="C4235" s="9">
        <v>763832.0</v>
      </c>
      <c r="D4235" s="9">
        <v>0.0</v>
      </c>
      <c r="E4235" s="9">
        <v>556.0</v>
      </c>
      <c r="F4235" s="7" t="s">
        <v>1878</v>
      </c>
      <c r="G4235" s="7" t="s">
        <v>353</v>
      </c>
      <c r="H4235" s="7" t="s">
        <v>378</v>
      </c>
      <c r="I4235" s="7" t="s">
        <v>355</v>
      </c>
      <c r="J4235" s="14"/>
      <c r="O4235" s="22"/>
      <c r="P4235" s="22"/>
      <c r="Q4235" s="23"/>
      <c r="R4235" s="23"/>
      <c r="S4235" s="14"/>
    </row>
    <row r="4236" ht="18.75" customHeight="1">
      <c r="A4236" s="7" t="s">
        <v>709</v>
      </c>
      <c r="B4236" s="7" t="s">
        <v>3884</v>
      </c>
      <c r="C4236" s="9">
        <v>0.0</v>
      </c>
      <c r="D4236" s="9">
        <v>0.0</v>
      </c>
      <c r="E4236" s="9">
        <v>0.0</v>
      </c>
      <c r="F4236" s="7" t="s">
        <v>710</v>
      </c>
      <c r="G4236" s="7" t="s">
        <v>404</v>
      </c>
      <c r="H4236" s="7" t="s">
        <v>667</v>
      </c>
      <c r="I4236" s="7" t="s">
        <v>410</v>
      </c>
      <c r="J4236" s="14"/>
      <c r="O4236" s="22"/>
      <c r="P4236" s="22"/>
      <c r="Q4236" s="23"/>
      <c r="R4236" s="23"/>
      <c r="S4236" s="14"/>
    </row>
    <row r="4237" ht="18.75" customHeight="1">
      <c r="A4237" s="7" t="s">
        <v>709</v>
      </c>
      <c r="B4237" s="7" t="s">
        <v>3884</v>
      </c>
      <c r="C4237" s="9">
        <v>0.0</v>
      </c>
      <c r="D4237" s="9">
        <v>0.0</v>
      </c>
      <c r="E4237" s="9">
        <v>0.0</v>
      </c>
      <c r="F4237" s="7" t="s">
        <v>710</v>
      </c>
      <c r="G4237" s="7" t="s">
        <v>404</v>
      </c>
      <c r="H4237" s="7" t="s">
        <v>667</v>
      </c>
      <c r="I4237" s="7" t="s">
        <v>410</v>
      </c>
      <c r="J4237" s="14"/>
      <c r="O4237" s="22"/>
      <c r="P4237" s="22"/>
      <c r="Q4237" s="23"/>
      <c r="R4237" s="23"/>
      <c r="S4237" s="14"/>
    </row>
    <row r="4238" ht="18.75" customHeight="1">
      <c r="A4238" s="7" t="s">
        <v>2012</v>
      </c>
      <c r="B4238" s="7" t="s">
        <v>3884</v>
      </c>
      <c r="C4238" s="9">
        <v>1679277.0</v>
      </c>
      <c r="D4238" s="9">
        <v>0.0</v>
      </c>
      <c r="E4238" s="9">
        <v>1897.0</v>
      </c>
      <c r="F4238" s="7" t="s">
        <v>2013</v>
      </c>
      <c r="G4238" s="7" t="s">
        <v>404</v>
      </c>
      <c r="H4238" s="7" t="s">
        <v>405</v>
      </c>
      <c r="I4238" s="7" t="s">
        <v>355</v>
      </c>
      <c r="J4238" s="14"/>
      <c r="O4238" s="22"/>
      <c r="P4238" s="22"/>
      <c r="Q4238" s="23"/>
      <c r="R4238" s="23"/>
      <c r="S4238" s="14"/>
    </row>
    <row r="4239" ht="18.75" customHeight="1">
      <c r="A4239" s="7" t="s">
        <v>2006</v>
      </c>
      <c r="B4239" s="7" t="s">
        <v>3884</v>
      </c>
      <c r="C4239" s="9">
        <v>2665855.0</v>
      </c>
      <c r="D4239" s="9">
        <v>0.0</v>
      </c>
      <c r="E4239" s="9">
        <v>1341.0</v>
      </c>
      <c r="F4239" s="7" t="s">
        <v>2007</v>
      </c>
      <c r="G4239" s="7" t="s">
        <v>404</v>
      </c>
      <c r="H4239" s="7" t="s">
        <v>760</v>
      </c>
      <c r="I4239" s="7" t="s">
        <v>410</v>
      </c>
      <c r="J4239" s="14"/>
      <c r="O4239" s="22"/>
      <c r="P4239" s="22"/>
      <c r="Q4239" s="23"/>
      <c r="R4239" s="23"/>
      <c r="S4239" s="14"/>
    </row>
    <row r="4240" ht="18.75" customHeight="1">
      <c r="A4240" s="7" t="s">
        <v>2004</v>
      </c>
      <c r="B4240" s="7" t="s">
        <v>3884</v>
      </c>
      <c r="C4240" s="9">
        <v>8920101.0</v>
      </c>
      <c r="D4240" s="9">
        <v>6278291.0</v>
      </c>
      <c r="E4240" s="9">
        <v>5840.0</v>
      </c>
      <c r="F4240" s="7" t="s">
        <v>2005</v>
      </c>
      <c r="G4240" s="7" t="s">
        <v>358</v>
      </c>
      <c r="H4240" s="7" t="s">
        <v>466</v>
      </c>
      <c r="I4240" s="7" t="s">
        <v>410</v>
      </c>
      <c r="J4240" s="14"/>
      <c r="O4240" s="22"/>
      <c r="P4240" s="22"/>
      <c r="Q4240" s="23"/>
      <c r="R4240" s="23"/>
      <c r="S4240" s="14"/>
    </row>
    <row r="4241" ht="18.75" customHeight="1">
      <c r="A4241" s="7" t="s">
        <v>2072</v>
      </c>
      <c r="B4241" s="7" t="s">
        <v>3884</v>
      </c>
      <c r="C4241" s="9">
        <v>284353.0</v>
      </c>
      <c r="D4241" s="9">
        <v>0.0</v>
      </c>
      <c r="E4241" s="9">
        <v>431.0</v>
      </c>
      <c r="F4241" s="7" t="s">
        <v>2073</v>
      </c>
      <c r="G4241" s="7" t="s">
        <v>416</v>
      </c>
      <c r="H4241" s="7" t="s">
        <v>417</v>
      </c>
      <c r="I4241" s="7" t="s">
        <v>410</v>
      </c>
      <c r="J4241" s="14"/>
      <c r="O4241" s="22"/>
      <c r="P4241" s="22"/>
      <c r="Q4241" s="23"/>
      <c r="R4241" s="23"/>
      <c r="S4241" s="14"/>
    </row>
    <row r="4242" ht="18.75" customHeight="1">
      <c r="A4242" s="7" t="s">
        <v>2008</v>
      </c>
      <c r="B4242" s="7" t="s">
        <v>3884</v>
      </c>
      <c r="C4242" s="9">
        <v>5571441.0</v>
      </c>
      <c r="D4242" s="9">
        <v>0.0</v>
      </c>
      <c r="E4242" s="9">
        <v>5731.0</v>
      </c>
      <c r="F4242" s="7" t="s">
        <v>2009</v>
      </c>
      <c r="G4242" s="7" t="s">
        <v>358</v>
      </c>
      <c r="H4242" s="7" t="s">
        <v>466</v>
      </c>
      <c r="I4242" s="7" t="s">
        <v>410</v>
      </c>
      <c r="J4242" s="14"/>
      <c r="O4242" s="22"/>
      <c r="P4242" s="22"/>
      <c r="Q4242" s="23"/>
      <c r="R4242" s="23"/>
      <c r="S4242" s="14"/>
    </row>
    <row r="4243" ht="18.75" customHeight="1">
      <c r="A4243" s="7" t="s">
        <v>2008</v>
      </c>
      <c r="B4243" s="7" t="s">
        <v>3884</v>
      </c>
      <c r="C4243" s="9">
        <v>4579833.0</v>
      </c>
      <c r="D4243" s="9">
        <v>3320722.0</v>
      </c>
      <c r="E4243" s="9">
        <v>2762.0</v>
      </c>
      <c r="F4243" s="7" t="s">
        <v>2009</v>
      </c>
      <c r="G4243" s="7" t="s">
        <v>358</v>
      </c>
      <c r="H4243" s="7" t="s">
        <v>466</v>
      </c>
      <c r="I4243" s="7" t="s">
        <v>410</v>
      </c>
      <c r="J4243" s="14"/>
      <c r="O4243" s="22"/>
      <c r="P4243" s="22"/>
      <c r="Q4243" s="23"/>
      <c r="R4243" s="23"/>
      <c r="S4243" s="14"/>
    </row>
    <row r="4244" ht="18.75" customHeight="1">
      <c r="A4244" s="7" t="s">
        <v>2192</v>
      </c>
      <c r="B4244" s="7" t="s">
        <v>3884</v>
      </c>
      <c r="C4244" s="9">
        <v>0.0</v>
      </c>
      <c r="D4244" s="9">
        <v>0.0</v>
      </c>
      <c r="E4244" s="9">
        <v>0.0</v>
      </c>
      <c r="F4244" s="7" t="s">
        <v>2193</v>
      </c>
      <c r="G4244" s="7" t="s">
        <v>416</v>
      </c>
      <c r="H4244" s="7" t="s">
        <v>417</v>
      </c>
      <c r="I4244" s="7" t="s">
        <v>410</v>
      </c>
      <c r="J4244" s="14"/>
      <c r="O4244" s="22"/>
      <c r="P4244" s="22"/>
      <c r="Q4244" s="23"/>
      <c r="R4244" s="23"/>
      <c r="S4244" s="14"/>
    </row>
    <row r="4245" ht="18.75" customHeight="1">
      <c r="A4245" s="7" t="s">
        <v>2000</v>
      </c>
      <c r="B4245" s="7" t="s">
        <v>3884</v>
      </c>
      <c r="C4245" s="9">
        <v>829405.0</v>
      </c>
      <c r="D4245" s="9">
        <v>0.0</v>
      </c>
      <c r="E4245" s="9">
        <v>806.0</v>
      </c>
      <c r="F4245" s="7" t="s">
        <v>2001</v>
      </c>
      <c r="G4245" s="7" t="s">
        <v>353</v>
      </c>
      <c r="H4245" s="7" t="s">
        <v>378</v>
      </c>
      <c r="I4245" s="7" t="s">
        <v>410</v>
      </c>
      <c r="J4245" s="14"/>
      <c r="O4245" s="22"/>
      <c r="P4245" s="22"/>
      <c r="Q4245" s="23"/>
      <c r="R4245" s="23"/>
      <c r="S4245" s="14"/>
    </row>
    <row r="4246" ht="18.75" customHeight="1">
      <c r="A4246" s="7" t="s">
        <v>2000</v>
      </c>
      <c r="B4246" s="7" t="s">
        <v>3884</v>
      </c>
      <c r="C4246" s="9">
        <v>638844.0</v>
      </c>
      <c r="D4246" s="9">
        <v>0.0</v>
      </c>
      <c r="E4246" s="9">
        <v>541.0</v>
      </c>
      <c r="F4246" s="7" t="s">
        <v>2001</v>
      </c>
      <c r="G4246" s="7" t="s">
        <v>353</v>
      </c>
      <c r="H4246" s="7" t="s">
        <v>378</v>
      </c>
      <c r="I4246" s="7" t="s">
        <v>410</v>
      </c>
      <c r="J4246" s="14"/>
      <c r="O4246" s="22"/>
      <c r="P4246" s="22"/>
      <c r="Q4246" s="23"/>
      <c r="R4246" s="23"/>
      <c r="S4246" s="14"/>
    </row>
    <row r="4247" ht="18.75" customHeight="1">
      <c r="A4247" s="7" t="s">
        <v>2014</v>
      </c>
      <c r="B4247" s="7" t="s">
        <v>3884</v>
      </c>
      <c r="C4247" s="9">
        <v>1035935.0</v>
      </c>
      <c r="D4247" s="9">
        <v>849736.0</v>
      </c>
      <c r="E4247" s="9">
        <v>493.0</v>
      </c>
      <c r="F4247" s="7" t="s">
        <v>2015</v>
      </c>
      <c r="G4247" s="7" t="s">
        <v>416</v>
      </c>
      <c r="H4247" s="7" t="s">
        <v>417</v>
      </c>
      <c r="I4247" s="7" t="s">
        <v>410</v>
      </c>
      <c r="J4247" s="14"/>
      <c r="O4247" s="22"/>
      <c r="P4247" s="22"/>
      <c r="Q4247" s="23"/>
      <c r="R4247" s="23"/>
      <c r="S4247" s="14"/>
    </row>
    <row r="4248" ht="18.75" customHeight="1">
      <c r="A4248" s="7" t="s">
        <v>2016</v>
      </c>
      <c r="B4248" s="7" t="s">
        <v>3884</v>
      </c>
      <c r="C4248" s="9">
        <v>946881.0</v>
      </c>
      <c r="D4248" s="9">
        <v>771049.0</v>
      </c>
      <c r="E4248" s="9">
        <v>429.0</v>
      </c>
      <c r="F4248" s="7" t="s">
        <v>2017</v>
      </c>
      <c r="G4248" s="7" t="s">
        <v>416</v>
      </c>
      <c r="H4248" s="7" t="s">
        <v>417</v>
      </c>
      <c r="I4248" s="7" t="s">
        <v>410</v>
      </c>
      <c r="J4248" s="14"/>
      <c r="O4248" s="22"/>
      <c r="P4248" s="22"/>
      <c r="Q4248" s="23"/>
      <c r="R4248" s="23"/>
      <c r="S4248" s="14"/>
    </row>
    <row r="4249" ht="18.75" customHeight="1">
      <c r="A4249" s="7" t="s">
        <v>2002</v>
      </c>
      <c r="B4249" s="7" t="s">
        <v>3884</v>
      </c>
      <c r="C4249" s="9">
        <v>416523.0</v>
      </c>
      <c r="D4249" s="9">
        <v>0.0</v>
      </c>
      <c r="E4249" s="9">
        <v>714.0</v>
      </c>
      <c r="F4249" s="7" t="s">
        <v>2003</v>
      </c>
      <c r="G4249" s="7" t="s">
        <v>353</v>
      </c>
      <c r="H4249" s="7" t="s">
        <v>378</v>
      </c>
      <c r="I4249" s="7" t="s">
        <v>410</v>
      </c>
      <c r="J4249" s="14"/>
      <c r="O4249" s="22"/>
      <c r="P4249" s="22"/>
      <c r="Q4249" s="23"/>
      <c r="R4249" s="23"/>
      <c r="S4249" s="14"/>
    </row>
    <row r="4250" ht="18.75" customHeight="1">
      <c r="A4250" s="7" t="s">
        <v>2002</v>
      </c>
      <c r="B4250" s="7" t="s">
        <v>3884</v>
      </c>
      <c r="C4250" s="9">
        <v>727701.0</v>
      </c>
      <c r="D4250" s="9">
        <v>0.0</v>
      </c>
      <c r="E4250" s="9">
        <v>775.0</v>
      </c>
      <c r="F4250" s="7" t="s">
        <v>2003</v>
      </c>
      <c r="G4250" s="7" t="s">
        <v>353</v>
      </c>
      <c r="H4250" s="7" t="s">
        <v>378</v>
      </c>
      <c r="I4250" s="7" t="s">
        <v>410</v>
      </c>
      <c r="J4250" s="14"/>
      <c r="O4250" s="22"/>
      <c r="P4250" s="22"/>
      <c r="Q4250" s="23"/>
      <c r="R4250" s="23"/>
      <c r="S4250" s="14"/>
    </row>
    <row r="4251" ht="18.75" customHeight="1">
      <c r="A4251" s="7" t="s">
        <v>1984</v>
      </c>
      <c r="B4251" s="7" t="s">
        <v>3884</v>
      </c>
      <c r="C4251" s="9">
        <v>505069.0</v>
      </c>
      <c r="D4251" s="9">
        <v>0.0</v>
      </c>
      <c r="E4251" s="9">
        <v>460.0</v>
      </c>
      <c r="F4251" s="7" t="s">
        <v>1985</v>
      </c>
      <c r="G4251" s="7" t="s">
        <v>416</v>
      </c>
      <c r="H4251" s="7" t="s">
        <v>417</v>
      </c>
      <c r="I4251" s="7" t="s">
        <v>410</v>
      </c>
      <c r="J4251" s="14"/>
      <c r="O4251" s="22"/>
      <c r="P4251" s="22"/>
      <c r="Q4251" s="23"/>
      <c r="R4251" s="23"/>
      <c r="S4251" s="14"/>
    </row>
    <row r="4252" ht="18.75" customHeight="1">
      <c r="A4252" s="7" t="s">
        <v>1984</v>
      </c>
      <c r="B4252" s="7" t="s">
        <v>3884</v>
      </c>
      <c r="C4252" s="9">
        <v>524374.0</v>
      </c>
      <c r="D4252" s="9">
        <v>0.0</v>
      </c>
      <c r="E4252" s="9">
        <v>348.0</v>
      </c>
      <c r="F4252" s="7" t="s">
        <v>1985</v>
      </c>
      <c r="G4252" s="7" t="s">
        <v>416</v>
      </c>
      <c r="H4252" s="7" t="s">
        <v>417</v>
      </c>
      <c r="I4252" s="7" t="s">
        <v>410</v>
      </c>
      <c r="J4252" s="14"/>
      <c r="O4252" s="22"/>
      <c r="P4252" s="22"/>
      <c r="Q4252" s="23"/>
      <c r="R4252" s="23"/>
      <c r="S4252" s="14"/>
    </row>
    <row r="4253" ht="18.75" customHeight="1">
      <c r="A4253" s="7" t="s">
        <v>1875</v>
      </c>
      <c r="B4253" s="7" t="s">
        <v>3884</v>
      </c>
      <c r="C4253" s="9">
        <v>174341.0</v>
      </c>
      <c r="D4253" s="9">
        <v>129869.0</v>
      </c>
      <c r="E4253" s="9">
        <v>192.0</v>
      </c>
      <c r="F4253" s="7" t="s">
        <v>1876</v>
      </c>
      <c r="G4253" s="7" t="s">
        <v>404</v>
      </c>
      <c r="H4253" s="7" t="s">
        <v>405</v>
      </c>
      <c r="I4253" s="7" t="s">
        <v>410</v>
      </c>
      <c r="J4253" s="14"/>
      <c r="O4253" s="22"/>
      <c r="P4253" s="22"/>
      <c r="Q4253" s="23"/>
      <c r="R4253" s="23"/>
      <c r="S4253" s="14"/>
    </row>
    <row r="4254" ht="18.75" customHeight="1">
      <c r="A4254" s="7" t="s">
        <v>1875</v>
      </c>
      <c r="B4254" s="7" t="s">
        <v>3884</v>
      </c>
      <c r="C4254" s="9">
        <v>14537.0</v>
      </c>
      <c r="D4254" s="9">
        <v>14242.0</v>
      </c>
      <c r="E4254" s="9">
        <v>8.0</v>
      </c>
      <c r="F4254" s="7" t="s">
        <v>1876</v>
      </c>
      <c r="G4254" s="7" t="s">
        <v>404</v>
      </c>
      <c r="H4254" s="7" t="s">
        <v>405</v>
      </c>
      <c r="I4254" s="7" t="s">
        <v>410</v>
      </c>
      <c r="J4254" s="14"/>
      <c r="O4254" s="22"/>
      <c r="P4254" s="22"/>
      <c r="Q4254" s="23"/>
      <c r="R4254" s="23"/>
      <c r="S4254" s="14"/>
    </row>
    <row r="4255" ht="18.75" customHeight="1">
      <c r="A4255" s="7" t="s">
        <v>1908</v>
      </c>
      <c r="B4255" s="7" t="s">
        <v>3884</v>
      </c>
      <c r="C4255" s="9">
        <v>233129.0</v>
      </c>
      <c r="D4255" s="9">
        <v>0.0</v>
      </c>
      <c r="E4255" s="9">
        <v>294.0</v>
      </c>
      <c r="F4255" s="7" t="s">
        <v>1909</v>
      </c>
      <c r="G4255" s="7" t="s">
        <v>404</v>
      </c>
      <c r="H4255" s="7" t="s">
        <v>405</v>
      </c>
      <c r="I4255" s="7" t="s">
        <v>410</v>
      </c>
      <c r="J4255" s="14"/>
      <c r="O4255" s="22"/>
      <c r="P4255" s="22"/>
      <c r="Q4255" s="23"/>
      <c r="R4255" s="23"/>
      <c r="S4255" s="14"/>
    </row>
    <row r="4256" ht="18.75" customHeight="1">
      <c r="A4256" s="7" t="s">
        <v>1908</v>
      </c>
      <c r="B4256" s="7" t="s">
        <v>3884</v>
      </c>
      <c r="C4256" s="9">
        <v>149504.0</v>
      </c>
      <c r="D4256" s="9">
        <v>0.0</v>
      </c>
      <c r="E4256" s="9">
        <v>183.0</v>
      </c>
      <c r="F4256" s="7" t="s">
        <v>1909</v>
      </c>
      <c r="G4256" s="7" t="s">
        <v>404</v>
      </c>
      <c r="H4256" s="7" t="s">
        <v>405</v>
      </c>
      <c r="I4256" s="7" t="s">
        <v>410</v>
      </c>
      <c r="J4256" s="14"/>
      <c r="O4256" s="22"/>
      <c r="P4256" s="22"/>
      <c r="Q4256" s="23"/>
      <c r="R4256" s="23"/>
      <c r="S4256" s="14"/>
    </row>
    <row r="4257" ht="18.75" customHeight="1">
      <c r="A4257" s="7" t="s">
        <v>1908</v>
      </c>
      <c r="B4257" s="7" t="s">
        <v>3884</v>
      </c>
      <c r="C4257" s="9">
        <v>151527.0</v>
      </c>
      <c r="D4257" s="9">
        <v>0.0</v>
      </c>
      <c r="E4257" s="9">
        <v>206.0</v>
      </c>
      <c r="F4257" s="7" t="s">
        <v>1909</v>
      </c>
      <c r="G4257" s="7" t="s">
        <v>404</v>
      </c>
      <c r="H4257" s="7" t="s">
        <v>405</v>
      </c>
      <c r="I4257" s="7" t="s">
        <v>410</v>
      </c>
      <c r="J4257" s="14"/>
      <c r="O4257" s="22"/>
      <c r="P4257" s="22"/>
      <c r="Q4257" s="23"/>
      <c r="R4257" s="23"/>
      <c r="S4257" s="14"/>
    </row>
    <row r="4258" ht="18.75" customHeight="1">
      <c r="A4258" s="7" t="s">
        <v>1908</v>
      </c>
      <c r="B4258" s="7" t="s">
        <v>3884</v>
      </c>
      <c r="C4258" s="9">
        <v>86779.0</v>
      </c>
      <c r="D4258" s="9">
        <v>0.0</v>
      </c>
      <c r="E4258" s="9">
        <v>108.0</v>
      </c>
      <c r="F4258" s="7" t="s">
        <v>1909</v>
      </c>
      <c r="G4258" s="7" t="s">
        <v>404</v>
      </c>
      <c r="H4258" s="7" t="s">
        <v>405</v>
      </c>
      <c r="I4258" s="7" t="s">
        <v>410</v>
      </c>
      <c r="J4258" s="14"/>
      <c r="O4258" s="22"/>
      <c r="P4258" s="22"/>
      <c r="Q4258" s="23"/>
      <c r="R4258" s="23"/>
      <c r="S4258" s="14"/>
    </row>
    <row r="4259" ht="18.75" customHeight="1">
      <c r="A4259" s="7" t="s">
        <v>1908</v>
      </c>
      <c r="B4259" s="7" t="s">
        <v>3884</v>
      </c>
      <c r="C4259" s="9">
        <v>71426.0</v>
      </c>
      <c r="D4259" s="9">
        <v>0.0</v>
      </c>
      <c r="E4259" s="9">
        <v>73.0</v>
      </c>
      <c r="F4259" s="7" t="s">
        <v>1909</v>
      </c>
      <c r="G4259" s="7" t="s">
        <v>404</v>
      </c>
      <c r="H4259" s="7" t="s">
        <v>405</v>
      </c>
      <c r="I4259" s="7" t="s">
        <v>410</v>
      </c>
      <c r="J4259" s="14"/>
      <c r="O4259" s="22"/>
      <c r="P4259" s="22"/>
      <c r="Q4259" s="23"/>
      <c r="R4259" s="23"/>
      <c r="S4259" s="14"/>
    </row>
    <row r="4260" ht="18.75" customHeight="1">
      <c r="A4260" s="7" t="s">
        <v>1908</v>
      </c>
      <c r="B4260" s="7" t="s">
        <v>3884</v>
      </c>
      <c r="C4260" s="9">
        <v>41454.0</v>
      </c>
      <c r="D4260" s="9">
        <v>0.0</v>
      </c>
      <c r="E4260" s="9">
        <v>46.0</v>
      </c>
      <c r="F4260" s="7" t="s">
        <v>1909</v>
      </c>
      <c r="G4260" s="7" t="s">
        <v>404</v>
      </c>
      <c r="H4260" s="7" t="s">
        <v>405</v>
      </c>
      <c r="I4260" s="7" t="s">
        <v>410</v>
      </c>
      <c r="J4260" s="14"/>
      <c r="O4260" s="22"/>
      <c r="P4260" s="22"/>
      <c r="Q4260" s="23"/>
      <c r="R4260" s="23"/>
      <c r="S4260" s="14"/>
    </row>
    <row r="4261" ht="18.75" customHeight="1">
      <c r="A4261" s="7" t="s">
        <v>1908</v>
      </c>
      <c r="B4261" s="7" t="s">
        <v>3884</v>
      </c>
      <c r="C4261" s="9">
        <v>26389.0</v>
      </c>
      <c r="D4261" s="9">
        <v>0.0</v>
      </c>
      <c r="E4261" s="9">
        <v>31.0</v>
      </c>
      <c r="F4261" s="7" t="s">
        <v>1909</v>
      </c>
      <c r="G4261" s="7" t="s">
        <v>404</v>
      </c>
      <c r="H4261" s="7" t="s">
        <v>405</v>
      </c>
      <c r="I4261" s="7" t="s">
        <v>410</v>
      </c>
      <c r="J4261" s="14"/>
      <c r="O4261" s="22"/>
      <c r="P4261" s="22"/>
      <c r="Q4261" s="23"/>
      <c r="R4261" s="23"/>
      <c r="S4261" s="14"/>
    </row>
    <row r="4262" ht="18.75" customHeight="1">
      <c r="A4262" s="7" t="s">
        <v>3767</v>
      </c>
      <c r="B4262" s="7" t="s">
        <v>3884</v>
      </c>
      <c r="C4262" s="9">
        <v>0.0</v>
      </c>
      <c r="D4262" s="9">
        <v>0.0</v>
      </c>
      <c r="E4262" s="9">
        <v>0.0</v>
      </c>
      <c r="F4262" s="7" t="s">
        <v>3911</v>
      </c>
      <c r="G4262" s="7" t="s">
        <v>353</v>
      </c>
      <c r="H4262" s="7" t="s">
        <v>354</v>
      </c>
      <c r="I4262" s="7" t="s">
        <v>2120</v>
      </c>
      <c r="J4262" s="14"/>
      <c r="O4262" s="22"/>
      <c r="P4262" s="22"/>
      <c r="Q4262" s="23"/>
      <c r="R4262" s="23"/>
      <c r="S4262" s="14"/>
    </row>
    <row r="4263" ht="18.75" customHeight="1">
      <c r="A4263" s="7" t="s">
        <v>3912</v>
      </c>
      <c r="B4263" s="7" t="s">
        <v>3884</v>
      </c>
      <c r="C4263" s="9">
        <v>3553.0</v>
      </c>
      <c r="D4263" s="9">
        <v>0.0</v>
      </c>
      <c r="E4263" s="9">
        <v>2.0</v>
      </c>
      <c r="F4263" s="7" t="s">
        <v>3913</v>
      </c>
      <c r="G4263" s="7" t="s">
        <v>416</v>
      </c>
      <c r="H4263" s="7" t="s">
        <v>417</v>
      </c>
      <c r="I4263" s="7" t="s">
        <v>410</v>
      </c>
      <c r="J4263" s="14"/>
      <c r="O4263" s="22"/>
      <c r="P4263" s="22"/>
      <c r="Q4263" s="23"/>
      <c r="R4263" s="23"/>
      <c r="S4263" s="14"/>
    </row>
    <row r="4264" ht="18.75" customHeight="1">
      <c r="A4264" s="7" t="s">
        <v>2112</v>
      </c>
      <c r="B4264" s="7" t="s">
        <v>3884</v>
      </c>
      <c r="C4264" s="9">
        <v>61208.0</v>
      </c>
      <c r="D4264" s="9">
        <v>0.0</v>
      </c>
      <c r="E4264" s="9">
        <v>123.0</v>
      </c>
      <c r="F4264" s="7" t="s">
        <v>2113</v>
      </c>
      <c r="G4264" s="7" t="s">
        <v>416</v>
      </c>
      <c r="H4264" s="7" t="s">
        <v>417</v>
      </c>
      <c r="I4264" s="7" t="s">
        <v>410</v>
      </c>
      <c r="J4264" s="14"/>
      <c r="O4264" s="22"/>
      <c r="P4264" s="22"/>
      <c r="Q4264" s="23"/>
      <c r="R4264" s="23"/>
      <c r="S4264" s="14"/>
    </row>
    <row r="4265" ht="18.75" customHeight="1">
      <c r="A4265" s="7" t="s">
        <v>2112</v>
      </c>
      <c r="B4265" s="7" t="s">
        <v>3884</v>
      </c>
      <c r="C4265" s="9">
        <v>807.0</v>
      </c>
      <c r="D4265" s="9">
        <v>0.0</v>
      </c>
      <c r="E4265" s="9">
        <v>1.0</v>
      </c>
      <c r="F4265" s="7" t="s">
        <v>2113</v>
      </c>
      <c r="G4265" s="7" t="s">
        <v>416</v>
      </c>
      <c r="H4265" s="7" t="s">
        <v>417</v>
      </c>
      <c r="I4265" s="7" t="s">
        <v>410</v>
      </c>
      <c r="J4265" s="14"/>
      <c r="O4265" s="22"/>
      <c r="P4265" s="22"/>
      <c r="Q4265" s="23"/>
      <c r="R4265" s="23"/>
      <c r="S4265" s="14"/>
    </row>
    <row r="4266" ht="18.75" customHeight="1">
      <c r="A4266" s="7" t="s">
        <v>3915</v>
      </c>
      <c r="B4266" s="7" t="s">
        <v>3884</v>
      </c>
      <c r="C4266" s="9">
        <v>0.0</v>
      </c>
      <c r="D4266" s="9">
        <v>0.0</v>
      </c>
      <c r="E4266" s="9">
        <v>0.0</v>
      </c>
      <c r="F4266" s="7" t="s">
        <v>3916</v>
      </c>
      <c r="G4266" s="7" t="s">
        <v>416</v>
      </c>
      <c r="H4266" s="7" t="s">
        <v>417</v>
      </c>
      <c r="I4266" s="7" t="s">
        <v>2120</v>
      </c>
      <c r="J4266" s="14"/>
      <c r="O4266" s="22"/>
      <c r="P4266" s="22"/>
      <c r="Q4266" s="23"/>
      <c r="R4266" s="23"/>
      <c r="S4266" s="14"/>
    </row>
    <row r="4267" ht="18.75" customHeight="1">
      <c r="A4267" s="7" t="s">
        <v>2050</v>
      </c>
      <c r="B4267" s="7" t="s">
        <v>3884</v>
      </c>
      <c r="C4267" s="9">
        <v>0.0</v>
      </c>
      <c r="D4267" s="9">
        <v>0.0</v>
      </c>
      <c r="E4267" s="9">
        <v>0.0</v>
      </c>
      <c r="F4267" s="7" t="s">
        <v>2051</v>
      </c>
      <c r="G4267" s="7" t="s">
        <v>353</v>
      </c>
      <c r="H4267" s="7" t="s">
        <v>378</v>
      </c>
      <c r="I4267" s="7" t="s">
        <v>410</v>
      </c>
      <c r="J4267" s="14"/>
      <c r="O4267" s="22"/>
      <c r="P4267" s="22"/>
      <c r="Q4267" s="23"/>
      <c r="R4267" s="23"/>
      <c r="S4267" s="14"/>
    </row>
    <row r="4268" ht="18.75" customHeight="1">
      <c r="A4268" s="7" t="s">
        <v>2050</v>
      </c>
      <c r="B4268" s="7" t="s">
        <v>3884</v>
      </c>
      <c r="C4268" s="9">
        <v>0.0</v>
      </c>
      <c r="D4268" s="9">
        <v>0.0</v>
      </c>
      <c r="E4268" s="9">
        <v>0.0</v>
      </c>
      <c r="F4268" s="7" t="s">
        <v>2051</v>
      </c>
      <c r="G4268" s="7" t="s">
        <v>353</v>
      </c>
      <c r="H4268" s="7" t="s">
        <v>378</v>
      </c>
      <c r="I4268" s="7" t="s">
        <v>410</v>
      </c>
      <c r="J4268" s="14"/>
      <c r="O4268" s="22"/>
      <c r="P4268" s="22"/>
      <c r="Q4268" s="23"/>
      <c r="R4268" s="23"/>
      <c r="S4268" s="14"/>
    </row>
    <row r="4269" ht="18.75" customHeight="1">
      <c r="A4269" s="7" t="s">
        <v>2176</v>
      </c>
      <c r="B4269" s="7" t="s">
        <v>3884</v>
      </c>
      <c r="C4269" s="9">
        <v>0.0</v>
      </c>
      <c r="D4269" s="9">
        <v>0.0</v>
      </c>
      <c r="E4269" s="9">
        <v>0.0</v>
      </c>
      <c r="F4269" s="7" t="s">
        <v>2177</v>
      </c>
      <c r="G4269" s="7" t="s">
        <v>503</v>
      </c>
      <c r="H4269" s="7" t="s">
        <v>783</v>
      </c>
      <c r="I4269" s="7" t="s">
        <v>2120</v>
      </c>
      <c r="J4269" s="14"/>
      <c r="O4269" s="22"/>
      <c r="P4269" s="22"/>
      <c r="Q4269" s="23"/>
      <c r="R4269" s="23"/>
      <c r="S4269" s="14"/>
    </row>
    <row r="4270" ht="18.75" customHeight="1">
      <c r="A4270" s="7" t="s">
        <v>1906</v>
      </c>
      <c r="B4270" s="7" t="s">
        <v>3884</v>
      </c>
      <c r="C4270" s="9">
        <v>0.0</v>
      </c>
      <c r="D4270" s="9">
        <v>0.0</v>
      </c>
      <c r="E4270" s="9">
        <v>0.0</v>
      </c>
      <c r="F4270" s="7" t="s">
        <v>1907</v>
      </c>
      <c r="G4270" s="7" t="s">
        <v>404</v>
      </c>
      <c r="H4270" s="7" t="s">
        <v>405</v>
      </c>
      <c r="I4270" s="7" t="s">
        <v>2120</v>
      </c>
      <c r="J4270" s="14"/>
      <c r="O4270" s="22"/>
      <c r="P4270" s="22"/>
      <c r="Q4270" s="23"/>
      <c r="R4270" s="23"/>
      <c r="S4270" s="14"/>
    </row>
    <row r="4271" ht="18.75" customHeight="1">
      <c r="A4271" s="7" t="s">
        <v>2088</v>
      </c>
      <c r="B4271" s="7" t="s">
        <v>3884</v>
      </c>
      <c r="C4271" s="9">
        <v>0.0</v>
      </c>
      <c r="D4271" s="9">
        <v>0.0</v>
      </c>
      <c r="E4271" s="9">
        <v>0.0</v>
      </c>
      <c r="F4271" s="7" t="s">
        <v>2089</v>
      </c>
      <c r="G4271" s="7" t="s">
        <v>404</v>
      </c>
      <c r="H4271" s="7" t="s">
        <v>667</v>
      </c>
      <c r="I4271" s="7" t="s">
        <v>2120</v>
      </c>
      <c r="J4271" s="14"/>
      <c r="O4271" s="22"/>
      <c r="P4271" s="22"/>
      <c r="Q4271" s="23"/>
      <c r="R4271" s="23"/>
      <c r="S4271" s="14"/>
    </row>
    <row r="4272" ht="18.75" customHeight="1">
      <c r="A4272" s="7" t="s">
        <v>2088</v>
      </c>
      <c r="B4272" s="7" t="s">
        <v>3884</v>
      </c>
      <c r="C4272" s="9">
        <v>0.0</v>
      </c>
      <c r="D4272" s="9">
        <v>0.0</v>
      </c>
      <c r="E4272" s="9">
        <v>0.0</v>
      </c>
      <c r="F4272" s="7" t="s">
        <v>2089</v>
      </c>
      <c r="G4272" s="7" t="s">
        <v>404</v>
      </c>
      <c r="H4272" s="7" t="s">
        <v>667</v>
      </c>
      <c r="I4272" s="7" t="s">
        <v>2120</v>
      </c>
      <c r="J4272" s="14"/>
      <c r="O4272" s="22"/>
      <c r="P4272" s="22"/>
      <c r="Q4272" s="23"/>
      <c r="R4272" s="23"/>
      <c r="S4272" s="14"/>
    </row>
    <row r="4273" ht="18.75" customHeight="1">
      <c r="A4273" s="7" t="s">
        <v>2080</v>
      </c>
      <c r="B4273" s="7" t="s">
        <v>3884</v>
      </c>
      <c r="C4273" s="9">
        <v>0.0</v>
      </c>
      <c r="D4273" s="9">
        <v>0.0</v>
      </c>
      <c r="E4273" s="9">
        <v>0.0</v>
      </c>
      <c r="F4273" s="7" t="s">
        <v>2081</v>
      </c>
      <c r="G4273" s="7" t="s">
        <v>404</v>
      </c>
      <c r="H4273" s="7" t="s">
        <v>667</v>
      </c>
      <c r="I4273" s="7" t="s">
        <v>2120</v>
      </c>
      <c r="J4273" s="14"/>
      <c r="O4273" s="22"/>
      <c r="P4273" s="22"/>
      <c r="Q4273" s="23"/>
      <c r="R4273" s="23"/>
      <c r="S4273" s="14"/>
    </row>
    <row r="4274" ht="18.75" customHeight="1">
      <c r="A4274" s="7" t="s">
        <v>2082</v>
      </c>
      <c r="B4274" s="7" t="s">
        <v>3884</v>
      </c>
      <c r="C4274" s="9">
        <v>0.0</v>
      </c>
      <c r="D4274" s="9">
        <v>0.0</v>
      </c>
      <c r="E4274" s="9">
        <v>0.0</v>
      </c>
      <c r="F4274" s="7" t="s">
        <v>2083</v>
      </c>
      <c r="G4274" s="7" t="s">
        <v>404</v>
      </c>
      <c r="H4274" s="7" t="s">
        <v>667</v>
      </c>
      <c r="I4274" s="7" t="s">
        <v>2120</v>
      </c>
      <c r="J4274" s="14"/>
      <c r="O4274" s="22"/>
      <c r="P4274" s="22"/>
      <c r="Q4274" s="23"/>
      <c r="R4274" s="23"/>
      <c r="S4274" s="14"/>
    </row>
    <row r="4275" ht="18.75" customHeight="1">
      <c r="A4275" s="7" t="s">
        <v>2090</v>
      </c>
      <c r="B4275" s="7" t="s">
        <v>3884</v>
      </c>
      <c r="C4275" s="9">
        <v>0.0</v>
      </c>
      <c r="D4275" s="9">
        <v>0.0</v>
      </c>
      <c r="E4275" s="9">
        <v>0.0</v>
      </c>
      <c r="F4275" s="7" t="s">
        <v>2091</v>
      </c>
      <c r="G4275" s="7" t="s">
        <v>404</v>
      </c>
      <c r="H4275" s="7" t="s">
        <v>667</v>
      </c>
      <c r="I4275" s="7" t="s">
        <v>2120</v>
      </c>
      <c r="J4275" s="14"/>
      <c r="O4275" s="22"/>
      <c r="P4275" s="22"/>
      <c r="Q4275" s="23"/>
      <c r="R4275" s="23"/>
      <c r="S4275" s="14"/>
    </row>
    <row r="4276" ht="18.75" customHeight="1">
      <c r="A4276" s="7" t="s">
        <v>2084</v>
      </c>
      <c r="B4276" s="7" t="s">
        <v>3884</v>
      </c>
      <c r="C4276" s="9">
        <v>0.0</v>
      </c>
      <c r="D4276" s="9">
        <v>0.0</v>
      </c>
      <c r="E4276" s="9">
        <v>0.0</v>
      </c>
      <c r="F4276" s="7" t="s">
        <v>2085</v>
      </c>
      <c r="G4276" s="7" t="s">
        <v>404</v>
      </c>
      <c r="H4276" s="7" t="s">
        <v>667</v>
      </c>
      <c r="I4276" s="7" t="s">
        <v>2120</v>
      </c>
      <c r="J4276" s="14"/>
      <c r="O4276" s="22"/>
      <c r="P4276" s="22"/>
      <c r="Q4276" s="23"/>
      <c r="R4276" s="23"/>
      <c r="S4276" s="14"/>
    </row>
    <row r="4277" ht="18.75" customHeight="1">
      <c r="A4277" s="7" t="s">
        <v>2092</v>
      </c>
      <c r="B4277" s="7" t="s">
        <v>3884</v>
      </c>
      <c r="C4277" s="9">
        <v>0.0</v>
      </c>
      <c r="D4277" s="9">
        <v>0.0</v>
      </c>
      <c r="E4277" s="9">
        <v>0.0</v>
      </c>
      <c r="F4277" s="7" t="s">
        <v>2093</v>
      </c>
      <c r="G4277" s="7" t="s">
        <v>404</v>
      </c>
      <c r="H4277" s="7" t="s">
        <v>667</v>
      </c>
      <c r="I4277" s="7" t="s">
        <v>2120</v>
      </c>
      <c r="J4277" s="14"/>
      <c r="O4277" s="22"/>
      <c r="P4277" s="22"/>
      <c r="Q4277" s="23"/>
      <c r="R4277" s="23"/>
      <c r="S4277" s="14"/>
    </row>
    <row r="4278" ht="18.75" customHeight="1">
      <c r="A4278" s="7" t="s">
        <v>390</v>
      </c>
      <c r="B4278" s="7" t="s">
        <v>3884</v>
      </c>
      <c r="C4278" s="9">
        <v>156226.0</v>
      </c>
      <c r="D4278" s="9">
        <v>0.0</v>
      </c>
      <c r="E4278" s="9">
        <v>313.0</v>
      </c>
      <c r="F4278" s="7" t="s">
        <v>391</v>
      </c>
      <c r="G4278" s="7" t="s">
        <v>364</v>
      </c>
      <c r="H4278" s="7" t="s">
        <v>365</v>
      </c>
      <c r="I4278" s="7" t="s">
        <v>355</v>
      </c>
      <c r="J4278" s="14"/>
      <c r="O4278" s="22"/>
      <c r="P4278" s="22"/>
      <c r="Q4278" s="23"/>
      <c r="R4278" s="23"/>
      <c r="S4278" s="14"/>
    </row>
    <row r="4279" ht="18.75" customHeight="1">
      <c r="A4279" s="7" t="s">
        <v>390</v>
      </c>
      <c r="B4279" s="7" t="s">
        <v>3884</v>
      </c>
      <c r="C4279" s="9">
        <v>0.0</v>
      </c>
      <c r="D4279" s="9">
        <v>0.0</v>
      </c>
      <c r="E4279" s="9">
        <v>0.0</v>
      </c>
      <c r="F4279" s="7" t="s">
        <v>391</v>
      </c>
      <c r="G4279" s="7" t="s">
        <v>364</v>
      </c>
      <c r="H4279" s="7" t="s">
        <v>365</v>
      </c>
      <c r="I4279" s="7" t="s">
        <v>355</v>
      </c>
      <c r="J4279" s="14"/>
      <c r="O4279" s="22"/>
      <c r="P4279" s="22"/>
      <c r="Q4279" s="23"/>
      <c r="R4279" s="23"/>
      <c r="S4279" s="14"/>
    </row>
    <row r="4280" ht="18.75" customHeight="1">
      <c r="A4280" s="7" t="s">
        <v>394</v>
      </c>
      <c r="B4280" s="7" t="s">
        <v>3884</v>
      </c>
      <c r="C4280" s="9">
        <v>135382.0</v>
      </c>
      <c r="D4280" s="9">
        <v>0.0</v>
      </c>
      <c r="E4280" s="9">
        <v>275.0</v>
      </c>
      <c r="F4280" s="7" t="s">
        <v>395</v>
      </c>
      <c r="G4280" s="7" t="s">
        <v>353</v>
      </c>
      <c r="H4280" s="7" t="s">
        <v>378</v>
      </c>
      <c r="I4280" s="7" t="s">
        <v>355</v>
      </c>
      <c r="J4280" s="14"/>
      <c r="O4280" s="22"/>
      <c r="P4280" s="22"/>
      <c r="Q4280" s="23"/>
      <c r="R4280" s="23"/>
      <c r="S4280" s="14"/>
    </row>
    <row r="4281" ht="18.75" customHeight="1">
      <c r="A4281" s="7" t="s">
        <v>394</v>
      </c>
      <c r="B4281" s="7" t="s">
        <v>3884</v>
      </c>
      <c r="C4281" s="9">
        <v>81500.0</v>
      </c>
      <c r="D4281" s="9">
        <v>0.0</v>
      </c>
      <c r="E4281" s="9">
        <v>108.0</v>
      </c>
      <c r="F4281" s="7" t="s">
        <v>395</v>
      </c>
      <c r="G4281" s="7" t="s">
        <v>353</v>
      </c>
      <c r="H4281" s="7" t="s">
        <v>378</v>
      </c>
      <c r="I4281" s="7" t="s">
        <v>355</v>
      </c>
      <c r="J4281" s="14"/>
      <c r="O4281" s="22"/>
      <c r="P4281" s="22"/>
      <c r="Q4281" s="23"/>
      <c r="R4281" s="23"/>
      <c r="S4281" s="14"/>
    </row>
    <row r="4282" ht="18.75" customHeight="1">
      <c r="A4282" s="7" t="s">
        <v>402</v>
      </c>
      <c r="B4282" s="7" t="s">
        <v>3884</v>
      </c>
      <c r="C4282" s="9">
        <v>30152.0</v>
      </c>
      <c r="D4282" s="9">
        <v>0.0</v>
      </c>
      <c r="E4282" s="9">
        <v>86.0</v>
      </c>
      <c r="F4282" s="7" t="s">
        <v>403</v>
      </c>
      <c r="G4282" s="7" t="s">
        <v>404</v>
      </c>
      <c r="H4282" s="7" t="s">
        <v>405</v>
      </c>
      <c r="I4282" s="7" t="s">
        <v>355</v>
      </c>
      <c r="J4282" s="14"/>
      <c r="O4282" s="22"/>
      <c r="P4282" s="22"/>
      <c r="Q4282" s="23"/>
      <c r="R4282" s="23"/>
      <c r="S4282" s="14"/>
    </row>
    <row r="4283" ht="18.75" customHeight="1">
      <c r="A4283" s="7" t="s">
        <v>402</v>
      </c>
      <c r="B4283" s="7" t="s">
        <v>3884</v>
      </c>
      <c r="C4283" s="9">
        <v>18055.0</v>
      </c>
      <c r="D4283" s="9">
        <v>0.0</v>
      </c>
      <c r="E4283" s="9">
        <v>30.0</v>
      </c>
      <c r="F4283" s="7" t="s">
        <v>403</v>
      </c>
      <c r="G4283" s="7" t="s">
        <v>404</v>
      </c>
      <c r="H4283" s="7" t="s">
        <v>405</v>
      </c>
      <c r="I4283" s="7" t="s">
        <v>355</v>
      </c>
      <c r="J4283" s="14"/>
      <c r="O4283" s="22"/>
      <c r="P4283" s="22"/>
      <c r="Q4283" s="23"/>
      <c r="R4283" s="23"/>
      <c r="S4283" s="14"/>
    </row>
    <row r="4284" ht="18.75" customHeight="1">
      <c r="A4284" s="7" t="s">
        <v>388</v>
      </c>
      <c r="B4284" s="7" t="s">
        <v>3884</v>
      </c>
      <c r="C4284" s="9">
        <v>137517.0</v>
      </c>
      <c r="D4284" s="9">
        <v>0.0</v>
      </c>
      <c r="E4284" s="9">
        <v>285.0</v>
      </c>
      <c r="F4284" s="7" t="s">
        <v>389</v>
      </c>
      <c r="G4284" s="7" t="s">
        <v>353</v>
      </c>
      <c r="H4284" s="7" t="s">
        <v>378</v>
      </c>
      <c r="I4284" s="7" t="s">
        <v>355</v>
      </c>
      <c r="J4284" s="14"/>
      <c r="O4284" s="22"/>
      <c r="P4284" s="22"/>
      <c r="Q4284" s="23"/>
      <c r="R4284" s="23"/>
      <c r="S4284" s="14"/>
    </row>
    <row r="4285" ht="18.75" customHeight="1">
      <c r="A4285" s="7" t="s">
        <v>388</v>
      </c>
      <c r="B4285" s="7" t="s">
        <v>3884</v>
      </c>
      <c r="C4285" s="9">
        <v>81429.0</v>
      </c>
      <c r="D4285" s="9">
        <v>0.0</v>
      </c>
      <c r="E4285" s="9">
        <v>74.0</v>
      </c>
      <c r="F4285" s="7" t="s">
        <v>389</v>
      </c>
      <c r="G4285" s="7" t="s">
        <v>353</v>
      </c>
      <c r="H4285" s="7" t="s">
        <v>378</v>
      </c>
      <c r="I4285" s="7" t="s">
        <v>355</v>
      </c>
      <c r="J4285" s="14"/>
      <c r="O4285" s="22"/>
      <c r="P4285" s="22"/>
      <c r="Q4285" s="23"/>
      <c r="R4285" s="23"/>
      <c r="S4285" s="14"/>
    </row>
    <row r="4286" ht="18.75" customHeight="1">
      <c r="A4286" s="7" t="s">
        <v>351</v>
      </c>
      <c r="B4286" s="7" t="s">
        <v>3884</v>
      </c>
      <c r="C4286" s="9">
        <v>137623.0</v>
      </c>
      <c r="D4286" s="9">
        <v>0.0</v>
      </c>
      <c r="E4286" s="9">
        <v>546.0</v>
      </c>
      <c r="F4286" s="7" t="s">
        <v>352</v>
      </c>
      <c r="G4286" s="7" t="s">
        <v>353</v>
      </c>
      <c r="H4286" s="7" t="s">
        <v>354</v>
      </c>
      <c r="I4286" s="7" t="s">
        <v>410</v>
      </c>
      <c r="J4286" s="14"/>
      <c r="O4286" s="22"/>
      <c r="P4286" s="22"/>
      <c r="Q4286" s="23"/>
      <c r="R4286" s="23"/>
      <c r="S4286" s="14"/>
    </row>
    <row r="4287" ht="18.75" customHeight="1">
      <c r="A4287" s="7" t="s">
        <v>351</v>
      </c>
      <c r="B4287" s="7" t="s">
        <v>3884</v>
      </c>
      <c r="C4287" s="9">
        <v>82334.0</v>
      </c>
      <c r="D4287" s="9">
        <v>0.0</v>
      </c>
      <c r="E4287" s="9">
        <v>248.0</v>
      </c>
      <c r="F4287" s="7" t="s">
        <v>352</v>
      </c>
      <c r="G4287" s="7" t="s">
        <v>353</v>
      </c>
      <c r="H4287" s="7" t="s">
        <v>354</v>
      </c>
      <c r="I4287" s="7" t="s">
        <v>410</v>
      </c>
      <c r="J4287" s="14"/>
      <c r="O4287" s="22"/>
      <c r="P4287" s="22"/>
      <c r="Q4287" s="23"/>
      <c r="R4287" s="23"/>
      <c r="S4287" s="14"/>
    </row>
    <row r="4288" ht="18.75" customHeight="1">
      <c r="A4288" s="7" t="s">
        <v>392</v>
      </c>
      <c r="B4288" s="7" t="s">
        <v>3884</v>
      </c>
      <c r="C4288" s="9">
        <v>134483.0</v>
      </c>
      <c r="D4288" s="9">
        <v>0.0</v>
      </c>
      <c r="E4288" s="9">
        <v>301.0</v>
      </c>
      <c r="F4288" s="7" t="s">
        <v>393</v>
      </c>
      <c r="G4288" s="7" t="s">
        <v>353</v>
      </c>
      <c r="H4288" s="7" t="s">
        <v>378</v>
      </c>
      <c r="I4288" s="7" t="s">
        <v>355</v>
      </c>
      <c r="J4288" s="14"/>
      <c r="O4288" s="22"/>
      <c r="P4288" s="22"/>
      <c r="Q4288" s="23"/>
      <c r="R4288" s="23"/>
      <c r="S4288" s="14"/>
    </row>
    <row r="4289" ht="18.75" customHeight="1">
      <c r="A4289" s="7" t="s">
        <v>392</v>
      </c>
      <c r="B4289" s="7" t="s">
        <v>3884</v>
      </c>
      <c r="C4289" s="9">
        <v>81339.0</v>
      </c>
      <c r="D4289" s="9">
        <v>0.0</v>
      </c>
      <c r="E4289" s="9">
        <v>72.0</v>
      </c>
      <c r="F4289" s="7" t="s">
        <v>393</v>
      </c>
      <c r="G4289" s="7" t="s">
        <v>353</v>
      </c>
      <c r="H4289" s="7" t="s">
        <v>378</v>
      </c>
      <c r="I4289" s="7" t="s">
        <v>355</v>
      </c>
      <c r="J4289" s="14"/>
      <c r="O4289" s="22"/>
      <c r="P4289" s="22"/>
      <c r="Q4289" s="23"/>
      <c r="R4289" s="23"/>
      <c r="S4289" s="14"/>
    </row>
    <row r="4290" ht="18.75" customHeight="1">
      <c r="A4290" s="7" t="s">
        <v>433</v>
      </c>
      <c r="B4290" s="7" t="s">
        <v>3884</v>
      </c>
      <c r="C4290" s="9">
        <v>140574.0</v>
      </c>
      <c r="D4290" s="9">
        <v>0.0</v>
      </c>
      <c r="E4290" s="9">
        <v>232.0</v>
      </c>
      <c r="F4290" s="7" t="s">
        <v>434</v>
      </c>
      <c r="G4290" s="7" t="s">
        <v>404</v>
      </c>
      <c r="H4290" s="7" t="s">
        <v>405</v>
      </c>
      <c r="I4290" s="7" t="s">
        <v>355</v>
      </c>
      <c r="J4290" s="14"/>
      <c r="O4290" s="22"/>
      <c r="P4290" s="22"/>
      <c r="Q4290" s="23"/>
      <c r="R4290" s="23"/>
      <c r="S4290" s="14"/>
    </row>
    <row r="4291" ht="18.75" customHeight="1">
      <c r="A4291" s="7" t="s">
        <v>433</v>
      </c>
      <c r="B4291" s="7" t="s">
        <v>3884</v>
      </c>
      <c r="C4291" s="9">
        <v>65840.0</v>
      </c>
      <c r="D4291" s="9">
        <v>0.0</v>
      </c>
      <c r="E4291" s="9">
        <v>137.0</v>
      </c>
      <c r="F4291" s="7" t="s">
        <v>434</v>
      </c>
      <c r="G4291" s="7" t="s">
        <v>404</v>
      </c>
      <c r="H4291" s="7" t="s">
        <v>405</v>
      </c>
      <c r="I4291" s="7" t="s">
        <v>355</v>
      </c>
      <c r="J4291" s="14"/>
      <c r="O4291" s="22"/>
      <c r="P4291" s="22"/>
      <c r="Q4291" s="23"/>
      <c r="R4291" s="23"/>
      <c r="S4291" s="14"/>
    </row>
    <row r="4292" ht="18.75" customHeight="1">
      <c r="A4292" s="7" t="s">
        <v>422</v>
      </c>
      <c r="B4292" s="7" t="s">
        <v>3884</v>
      </c>
      <c r="C4292" s="9">
        <v>133939.0</v>
      </c>
      <c r="D4292" s="9">
        <v>0.0</v>
      </c>
      <c r="E4292" s="9">
        <v>284.0</v>
      </c>
      <c r="F4292" s="7" t="s">
        <v>423</v>
      </c>
      <c r="G4292" s="7" t="s">
        <v>404</v>
      </c>
      <c r="H4292" s="7" t="s">
        <v>405</v>
      </c>
      <c r="I4292" s="7" t="s">
        <v>355</v>
      </c>
      <c r="J4292" s="14"/>
      <c r="O4292" s="22"/>
      <c r="P4292" s="22"/>
      <c r="Q4292" s="23"/>
      <c r="R4292" s="23"/>
      <c r="S4292" s="14"/>
    </row>
    <row r="4293" ht="18.75" customHeight="1">
      <c r="A4293" s="7" t="s">
        <v>422</v>
      </c>
      <c r="B4293" s="7" t="s">
        <v>3884</v>
      </c>
      <c r="C4293" s="9">
        <v>63124.0</v>
      </c>
      <c r="D4293" s="9">
        <v>0.0</v>
      </c>
      <c r="E4293" s="9">
        <v>96.0</v>
      </c>
      <c r="F4293" s="7" t="s">
        <v>423</v>
      </c>
      <c r="G4293" s="7" t="s">
        <v>404</v>
      </c>
      <c r="H4293" s="7" t="s">
        <v>405</v>
      </c>
      <c r="I4293" s="7" t="s">
        <v>355</v>
      </c>
      <c r="J4293" s="14"/>
      <c r="O4293" s="22"/>
      <c r="P4293" s="22"/>
      <c r="Q4293" s="23"/>
      <c r="R4293" s="23"/>
      <c r="S4293" s="14"/>
    </row>
    <row r="4294" ht="18.75" customHeight="1">
      <c r="A4294" s="7" t="s">
        <v>443</v>
      </c>
      <c r="B4294" s="7" t="s">
        <v>3884</v>
      </c>
      <c r="C4294" s="9">
        <v>105788.0</v>
      </c>
      <c r="D4294" s="9">
        <v>0.0</v>
      </c>
      <c r="E4294" s="9">
        <v>233.0</v>
      </c>
      <c r="F4294" s="7" t="s">
        <v>444</v>
      </c>
      <c r="G4294" s="7" t="s">
        <v>353</v>
      </c>
      <c r="H4294" s="7" t="s">
        <v>445</v>
      </c>
      <c r="I4294" s="7" t="s">
        <v>355</v>
      </c>
      <c r="J4294" s="14"/>
      <c r="O4294" s="22"/>
      <c r="P4294" s="22"/>
      <c r="Q4294" s="23"/>
      <c r="R4294" s="23"/>
      <c r="S4294" s="14"/>
    </row>
    <row r="4295" ht="18.75" customHeight="1">
      <c r="A4295" s="7" t="s">
        <v>443</v>
      </c>
      <c r="B4295" s="7" t="s">
        <v>3884</v>
      </c>
      <c r="C4295" s="9">
        <v>65771.0</v>
      </c>
      <c r="D4295" s="9">
        <v>0.0</v>
      </c>
      <c r="E4295" s="9">
        <v>44.0</v>
      </c>
      <c r="F4295" s="7" t="s">
        <v>444</v>
      </c>
      <c r="G4295" s="7" t="s">
        <v>353</v>
      </c>
      <c r="H4295" s="7" t="s">
        <v>445</v>
      </c>
      <c r="I4295" s="7" t="s">
        <v>355</v>
      </c>
      <c r="J4295" s="14"/>
      <c r="O4295" s="22"/>
      <c r="P4295" s="22"/>
      <c r="Q4295" s="23"/>
      <c r="R4295" s="23"/>
      <c r="S4295" s="14"/>
    </row>
    <row r="4296" ht="18.75" customHeight="1">
      <c r="A4296" s="7" t="s">
        <v>431</v>
      </c>
      <c r="B4296" s="7" t="s">
        <v>3884</v>
      </c>
      <c r="C4296" s="9">
        <v>133589.0</v>
      </c>
      <c r="D4296" s="9">
        <v>0.0</v>
      </c>
      <c r="E4296" s="9">
        <v>514.0</v>
      </c>
      <c r="F4296" s="7" t="s">
        <v>432</v>
      </c>
      <c r="G4296" s="7" t="s">
        <v>404</v>
      </c>
      <c r="H4296" s="7" t="s">
        <v>405</v>
      </c>
      <c r="I4296" s="7" t="s">
        <v>355</v>
      </c>
      <c r="J4296" s="14"/>
      <c r="O4296" s="22"/>
      <c r="P4296" s="22"/>
      <c r="Q4296" s="23"/>
      <c r="R4296" s="23"/>
      <c r="S4296" s="14"/>
    </row>
    <row r="4297" ht="18.75" customHeight="1">
      <c r="A4297" s="7" t="s">
        <v>431</v>
      </c>
      <c r="B4297" s="7" t="s">
        <v>3884</v>
      </c>
      <c r="C4297" s="9">
        <v>26483.0</v>
      </c>
      <c r="D4297" s="9">
        <v>0.0</v>
      </c>
      <c r="E4297" s="9">
        <v>16.0</v>
      </c>
      <c r="F4297" s="7" t="s">
        <v>432</v>
      </c>
      <c r="G4297" s="7" t="s">
        <v>404</v>
      </c>
      <c r="H4297" s="7" t="s">
        <v>405</v>
      </c>
      <c r="I4297" s="7" t="s">
        <v>355</v>
      </c>
      <c r="J4297" s="14"/>
      <c r="O4297" s="22"/>
      <c r="P4297" s="22"/>
      <c r="Q4297" s="23"/>
      <c r="R4297" s="23"/>
      <c r="S4297" s="14"/>
    </row>
    <row r="4298" ht="18.75" customHeight="1">
      <c r="A4298" s="7" t="s">
        <v>435</v>
      </c>
      <c r="B4298" s="7" t="s">
        <v>3884</v>
      </c>
      <c r="C4298" s="9">
        <v>130213.0</v>
      </c>
      <c r="D4298" s="9">
        <v>0.0</v>
      </c>
      <c r="E4298" s="9">
        <v>284.0</v>
      </c>
      <c r="F4298" s="7" t="s">
        <v>436</v>
      </c>
      <c r="G4298" s="7" t="s">
        <v>404</v>
      </c>
      <c r="H4298" s="7" t="s">
        <v>405</v>
      </c>
      <c r="I4298" s="7" t="s">
        <v>355</v>
      </c>
      <c r="J4298" s="14"/>
      <c r="O4298" s="22"/>
      <c r="P4298" s="22"/>
      <c r="Q4298" s="23"/>
      <c r="R4298" s="23"/>
      <c r="S4298" s="14"/>
    </row>
    <row r="4299" ht="18.75" customHeight="1">
      <c r="A4299" s="7" t="s">
        <v>435</v>
      </c>
      <c r="B4299" s="7" t="s">
        <v>3884</v>
      </c>
      <c r="C4299" s="9">
        <v>26446.0</v>
      </c>
      <c r="D4299" s="9">
        <v>0.0</v>
      </c>
      <c r="E4299" s="9">
        <v>9.0</v>
      </c>
      <c r="F4299" s="7" t="s">
        <v>436</v>
      </c>
      <c r="G4299" s="7" t="s">
        <v>404</v>
      </c>
      <c r="H4299" s="7" t="s">
        <v>405</v>
      </c>
      <c r="I4299" s="7" t="s">
        <v>355</v>
      </c>
      <c r="J4299" s="14"/>
      <c r="O4299" s="22"/>
      <c r="P4299" s="22"/>
      <c r="Q4299" s="23"/>
      <c r="R4299" s="23"/>
      <c r="S4299" s="14"/>
    </row>
    <row r="4300" ht="18.75" customHeight="1">
      <c r="A4300" s="7" t="s">
        <v>437</v>
      </c>
      <c r="B4300" s="7" t="s">
        <v>3884</v>
      </c>
      <c r="C4300" s="9">
        <v>73460.0</v>
      </c>
      <c r="D4300" s="9">
        <v>0.0</v>
      </c>
      <c r="E4300" s="9">
        <v>148.0</v>
      </c>
      <c r="F4300" s="7" t="s">
        <v>438</v>
      </c>
      <c r="G4300" s="7" t="s">
        <v>404</v>
      </c>
      <c r="H4300" s="7" t="s">
        <v>405</v>
      </c>
      <c r="I4300" s="7" t="s">
        <v>355</v>
      </c>
      <c r="J4300" s="14"/>
      <c r="O4300" s="22"/>
      <c r="P4300" s="22"/>
      <c r="Q4300" s="23"/>
      <c r="R4300" s="23"/>
      <c r="S4300" s="14"/>
    </row>
    <row r="4301" ht="18.75" customHeight="1">
      <c r="A4301" s="7" t="s">
        <v>437</v>
      </c>
      <c r="B4301" s="7" t="s">
        <v>3884</v>
      </c>
      <c r="C4301" s="9">
        <v>23469.0</v>
      </c>
      <c r="D4301" s="9">
        <v>0.0</v>
      </c>
      <c r="E4301" s="9">
        <v>11.0</v>
      </c>
      <c r="F4301" s="7" t="s">
        <v>438</v>
      </c>
      <c r="G4301" s="7" t="s">
        <v>404</v>
      </c>
      <c r="H4301" s="7" t="s">
        <v>405</v>
      </c>
      <c r="I4301" s="7" t="s">
        <v>355</v>
      </c>
      <c r="J4301" s="14"/>
      <c r="O4301" s="22"/>
      <c r="P4301" s="22"/>
      <c r="Q4301" s="23"/>
      <c r="R4301" s="23"/>
      <c r="S4301" s="14"/>
    </row>
    <row r="4302" ht="18.75" customHeight="1">
      <c r="A4302" s="7" t="s">
        <v>497</v>
      </c>
      <c r="B4302" s="7" t="s">
        <v>3884</v>
      </c>
      <c r="C4302" s="9">
        <v>42393.0</v>
      </c>
      <c r="D4302" s="9">
        <v>0.0</v>
      </c>
      <c r="E4302" s="9">
        <v>113.0</v>
      </c>
      <c r="F4302" s="7" t="s">
        <v>498</v>
      </c>
      <c r="G4302" s="7" t="s">
        <v>404</v>
      </c>
      <c r="H4302" s="7" t="s">
        <v>405</v>
      </c>
      <c r="I4302" s="7" t="s">
        <v>355</v>
      </c>
      <c r="J4302" s="14"/>
      <c r="O4302" s="22"/>
      <c r="P4302" s="22"/>
      <c r="Q4302" s="23"/>
      <c r="R4302" s="23"/>
      <c r="S4302" s="14"/>
    </row>
    <row r="4303" ht="18.75" customHeight="1">
      <c r="A4303" s="7" t="s">
        <v>497</v>
      </c>
      <c r="B4303" s="7" t="s">
        <v>3884</v>
      </c>
      <c r="C4303" s="9">
        <v>8560.0</v>
      </c>
      <c r="D4303" s="9">
        <v>0.0</v>
      </c>
      <c r="E4303" s="9">
        <v>6.0</v>
      </c>
      <c r="F4303" s="7" t="s">
        <v>498</v>
      </c>
      <c r="G4303" s="7" t="s">
        <v>404</v>
      </c>
      <c r="H4303" s="7" t="s">
        <v>405</v>
      </c>
      <c r="I4303" s="7" t="s">
        <v>355</v>
      </c>
      <c r="J4303" s="14"/>
      <c r="O4303" s="22"/>
      <c r="P4303" s="22"/>
      <c r="Q4303" s="23"/>
      <c r="R4303" s="23"/>
      <c r="S4303" s="14"/>
    </row>
    <row r="4304" ht="18.75" customHeight="1">
      <c r="A4304" s="7" t="s">
        <v>396</v>
      </c>
      <c r="B4304" s="7" t="s">
        <v>3884</v>
      </c>
      <c r="C4304" s="9">
        <v>46855.0</v>
      </c>
      <c r="D4304" s="9">
        <v>0.0</v>
      </c>
      <c r="E4304" s="9">
        <v>143.0</v>
      </c>
      <c r="F4304" s="7" t="s">
        <v>397</v>
      </c>
      <c r="G4304" s="7" t="s">
        <v>353</v>
      </c>
      <c r="H4304" s="7" t="s">
        <v>378</v>
      </c>
      <c r="I4304" s="7" t="s">
        <v>355</v>
      </c>
      <c r="J4304" s="14"/>
      <c r="O4304" s="22"/>
      <c r="P4304" s="22"/>
      <c r="Q4304" s="23"/>
      <c r="R4304" s="23"/>
      <c r="S4304" s="14"/>
    </row>
    <row r="4305" ht="18.75" customHeight="1">
      <c r="A4305" s="7" t="s">
        <v>396</v>
      </c>
      <c r="B4305" s="7" t="s">
        <v>3884</v>
      </c>
      <c r="C4305" s="9">
        <v>28224.0</v>
      </c>
      <c r="D4305" s="9">
        <v>0.0</v>
      </c>
      <c r="E4305" s="9">
        <v>19.0</v>
      </c>
      <c r="F4305" s="7" t="s">
        <v>397</v>
      </c>
      <c r="G4305" s="7" t="s">
        <v>353</v>
      </c>
      <c r="H4305" s="7" t="s">
        <v>378</v>
      </c>
      <c r="I4305" s="7" t="s">
        <v>355</v>
      </c>
      <c r="J4305" s="14"/>
      <c r="O4305" s="22"/>
      <c r="P4305" s="22"/>
      <c r="Q4305" s="23"/>
      <c r="R4305" s="23"/>
      <c r="S4305" s="14"/>
    </row>
    <row r="4306" ht="18.75" customHeight="1">
      <c r="A4306" s="7" t="s">
        <v>481</v>
      </c>
      <c r="B4306" s="7" t="s">
        <v>3884</v>
      </c>
      <c r="C4306" s="9">
        <v>11747.0</v>
      </c>
      <c r="D4306" s="9">
        <v>0.0</v>
      </c>
      <c r="E4306" s="9">
        <v>20.0</v>
      </c>
      <c r="F4306" s="7" t="s">
        <v>482</v>
      </c>
      <c r="G4306" s="7" t="s">
        <v>404</v>
      </c>
      <c r="H4306" s="7" t="s">
        <v>405</v>
      </c>
      <c r="I4306" s="7" t="s">
        <v>355</v>
      </c>
      <c r="J4306" s="14"/>
      <c r="O4306" s="22"/>
      <c r="P4306" s="22"/>
      <c r="Q4306" s="23"/>
      <c r="R4306" s="23"/>
      <c r="S4306" s="14"/>
    </row>
    <row r="4307" ht="18.75" customHeight="1">
      <c r="A4307" s="7" t="s">
        <v>481</v>
      </c>
      <c r="B4307" s="7" t="s">
        <v>3884</v>
      </c>
      <c r="C4307" s="9">
        <v>48051.0</v>
      </c>
      <c r="D4307" s="9">
        <v>0.0</v>
      </c>
      <c r="E4307" s="9">
        <v>29.0</v>
      </c>
      <c r="F4307" s="7" t="s">
        <v>482</v>
      </c>
      <c r="G4307" s="7" t="s">
        <v>404</v>
      </c>
      <c r="H4307" s="7" t="s">
        <v>405</v>
      </c>
      <c r="I4307" s="7" t="s">
        <v>355</v>
      </c>
      <c r="J4307" s="14"/>
      <c r="O4307" s="22"/>
      <c r="P4307" s="22"/>
      <c r="Q4307" s="23"/>
      <c r="R4307" s="23"/>
      <c r="S4307" s="14"/>
    </row>
    <row r="4308" ht="18.75" customHeight="1">
      <c r="A4308" s="7" t="s">
        <v>396</v>
      </c>
      <c r="B4308" s="7" t="s">
        <v>3884</v>
      </c>
      <c r="C4308" s="9">
        <v>0.0</v>
      </c>
      <c r="D4308" s="9">
        <v>0.0</v>
      </c>
      <c r="E4308" s="9">
        <v>0.0</v>
      </c>
      <c r="F4308" s="7" t="s">
        <v>397</v>
      </c>
      <c r="G4308" s="7" t="s">
        <v>353</v>
      </c>
      <c r="H4308" s="7" t="s">
        <v>378</v>
      </c>
      <c r="I4308" s="7" t="s">
        <v>355</v>
      </c>
      <c r="J4308" s="14"/>
      <c r="O4308" s="22"/>
      <c r="P4308" s="22"/>
      <c r="Q4308" s="23"/>
      <c r="R4308" s="23"/>
      <c r="S4308" s="14"/>
    </row>
    <row r="4309" ht="18.75" customHeight="1">
      <c r="A4309" s="7" t="s">
        <v>396</v>
      </c>
      <c r="B4309" s="7" t="s">
        <v>3884</v>
      </c>
      <c r="C4309" s="9">
        <v>0.0</v>
      </c>
      <c r="D4309" s="9">
        <v>0.0</v>
      </c>
      <c r="E4309" s="9">
        <v>0.0</v>
      </c>
      <c r="F4309" s="7" t="s">
        <v>397</v>
      </c>
      <c r="G4309" s="7" t="s">
        <v>353</v>
      </c>
      <c r="H4309" s="7" t="s">
        <v>378</v>
      </c>
      <c r="I4309" s="7" t="s">
        <v>355</v>
      </c>
      <c r="J4309" s="14"/>
      <c r="O4309" s="22"/>
      <c r="P4309" s="22"/>
      <c r="Q4309" s="23"/>
      <c r="R4309" s="23"/>
      <c r="S4309" s="14"/>
    </row>
    <row r="4310" ht="18.75" customHeight="1">
      <c r="A4310" s="7" t="s">
        <v>422</v>
      </c>
      <c r="B4310" s="7" t="s">
        <v>3884</v>
      </c>
      <c r="C4310" s="9">
        <v>124971.0</v>
      </c>
      <c r="D4310" s="9">
        <v>0.0</v>
      </c>
      <c r="E4310" s="9">
        <v>289.0</v>
      </c>
      <c r="F4310" s="7" t="s">
        <v>423</v>
      </c>
      <c r="G4310" s="7" t="s">
        <v>404</v>
      </c>
      <c r="H4310" s="7" t="s">
        <v>405</v>
      </c>
      <c r="I4310" s="7" t="s">
        <v>355</v>
      </c>
      <c r="J4310" s="14"/>
      <c r="O4310" s="22"/>
      <c r="P4310" s="22"/>
      <c r="Q4310" s="23"/>
      <c r="R4310" s="23"/>
      <c r="S4310" s="14"/>
    </row>
    <row r="4311" ht="18.75" customHeight="1">
      <c r="A4311" s="7" t="s">
        <v>422</v>
      </c>
      <c r="B4311" s="7" t="s">
        <v>3884</v>
      </c>
      <c r="C4311" s="9">
        <v>56433.0</v>
      </c>
      <c r="D4311" s="9">
        <v>0.0</v>
      </c>
      <c r="E4311" s="9">
        <v>70.0</v>
      </c>
      <c r="F4311" s="7" t="s">
        <v>423</v>
      </c>
      <c r="G4311" s="7" t="s">
        <v>404</v>
      </c>
      <c r="H4311" s="7" t="s">
        <v>405</v>
      </c>
      <c r="I4311" s="7" t="s">
        <v>355</v>
      </c>
      <c r="J4311" s="14"/>
      <c r="O4311" s="22"/>
      <c r="P4311" s="22"/>
      <c r="Q4311" s="23"/>
      <c r="R4311" s="23"/>
      <c r="S4311" s="14"/>
    </row>
    <row r="4312" ht="18.75" customHeight="1">
      <c r="A4312" s="7" t="s">
        <v>388</v>
      </c>
      <c r="B4312" s="7" t="s">
        <v>3884</v>
      </c>
      <c r="C4312" s="9">
        <v>124974.0</v>
      </c>
      <c r="D4312" s="9">
        <v>0.0</v>
      </c>
      <c r="E4312" s="9">
        <v>222.0</v>
      </c>
      <c r="F4312" s="7" t="s">
        <v>389</v>
      </c>
      <c r="G4312" s="7" t="s">
        <v>353</v>
      </c>
      <c r="H4312" s="7" t="s">
        <v>378</v>
      </c>
      <c r="I4312" s="7" t="s">
        <v>355</v>
      </c>
      <c r="J4312" s="14"/>
      <c r="O4312" s="22"/>
      <c r="P4312" s="22"/>
      <c r="Q4312" s="23"/>
      <c r="R4312" s="23"/>
      <c r="S4312" s="14"/>
    </row>
    <row r="4313" ht="18.75" customHeight="1">
      <c r="A4313" s="7" t="s">
        <v>388</v>
      </c>
      <c r="B4313" s="7" t="s">
        <v>3884</v>
      </c>
      <c r="C4313" s="9">
        <v>56433.0</v>
      </c>
      <c r="D4313" s="9">
        <v>0.0</v>
      </c>
      <c r="E4313" s="9">
        <v>59.0</v>
      </c>
      <c r="F4313" s="7" t="s">
        <v>389</v>
      </c>
      <c r="G4313" s="7" t="s">
        <v>353</v>
      </c>
      <c r="H4313" s="7" t="s">
        <v>378</v>
      </c>
      <c r="I4313" s="7" t="s">
        <v>355</v>
      </c>
      <c r="J4313" s="14"/>
      <c r="O4313" s="22"/>
      <c r="P4313" s="22"/>
      <c r="Q4313" s="23"/>
      <c r="R4313" s="23"/>
      <c r="S4313" s="14"/>
    </row>
    <row r="4314" ht="18.75" customHeight="1">
      <c r="A4314" s="7" t="s">
        <v>351</v>
      </c>
      <c r="B4314" s="7" t="s">
        <v>3884</v>
      </c>
      <c r="C4314" s="9">
        <v>62486.0</v>
      </c>
      <c r="D4314" s="9">
        <v>0.0</v>
      </c>
      <c r="E4314" s="9">
        <v>196.0</v>
      </c>
      <c r="F4314" s="7" t="s">
        <v>352</v>
      </c>
      <c r="G4314" s="7" t="s">
        <v>353</v>
      </c>
      <c r="H4314" s="7" t="s">
        <v>354</v>
      </c>
      <c r="I4314" s="7" t="s">
        <v>410</v>
      </c>
      <c r="J4314" s="14"/>
      <c r="O4314" s="22"/>
      <c r="P4314" s="22"/>
      <c r="Q4314" s="23"/>
      <c r="R4314" s="23"/>
      <c r="S4314" s="14"/>
    </row>
    <row r="4315" ht="18.75" customHeight="1">
      <c r="A4315" s="7" t="s">
        <v>351</v>
      </c>
      <c r="B4315" s="7" t="s">
        <v>3884</v>
      </c>
      <c r="C4315" s="9">
        <v>37623.0</v>
      </c>
      <c r="D4315" s="9">
        <v>0.0</v>
      </c>
      <c r="E4315" s="9">
        <v>140.0</v>
      </c>
      <c r="F4315" s="7" t="s">
        <v>352</v>
      </c>
      <c r="G4315" s="7" t="s">
        <v>353</v>
      </c>
      <c r="H4315" s="7" t="s">
        <v>354</v>
      </c>
      <c r="I4315" s="7" t="s">
        <v>410</v>
      </c>
      <c r="J4315" s="14"/>
      <c r="O4315" s="22"/>
      <c r="P4315" s="22"/>
      <c r="Q4315" s="23"/>
      <c r="R4315" s="23"/>
      <c r="S4315" s="14"/>
    </row>
    <row r="4316" ht="18.75" customHeight="1">
      <c r="A4316" s="7" t="s">
        <v>497</v>
      </c>
      <c r="B4316" s="7" t="s">
        <v>3884</v>
      </c>
      <c r="C4316" s="9">
        <v>109352.0</v>
      </c>
      <c r="D4316" s="9">
        <v>0.0</v>
      </c>
      <c r="E4316" s="9">
        <v>266.0</v>
      </c>
      <c r="F4316" s="7" t="s">
        <v>498</v>
      </c>
      <c r="G4316" s="7" t="s">
        <v>404</v>
      </c>
      <c r="H4316" s="7" t="s">
        <v>405</v>
      </c>
      <c r="I4316" s="7" t="s">
        <v>355</v>
      </c>
      <c r="J4316" s="14"/>
      <c r="O4316" s="22"/>
      <c r="P4316" s="22"/>
      <c r="Q4316" s="23"/>
      <c r="R4316" s="23"/>
      <c r="S4316" s="14"/>
    </row>
    <row r="4317" ht="18.75" customHeight="1">
      <c r="A4317" s="7" t="s">
        <v>497</v>
      </c>
      <c r="B4317" s="7" t="s">
        <v>3884</v>
      </c>
      <c r="C4317" s="9">
        <v>47024.0</v>
      </c>
      <c r="D4317" s="9">
        <v>0.0</v>
      </c>
      <c r="E4317" s="9">
        <v>44.0</v>
      </c>
      <c r="F4317" s="7" t="s">
        <v>498</v>
      </c>
      <c r="G4317" s="7" t="s">
        <v>404</v>
      </c>
      <c r="H4317" s="7" t="s">
        <v>405</v>
      </c>
      <c r="I4317" s="7" t="s">
        <v>355</v>
      </c>
      <c r="J4317" s="14"/>
      <c r="O4317" s="22"/>
      <c r="P4317" s="22"/>
      <c r="Q4317" s="23"/>
      <c r="R4317" s="23"/>
      <c r="S4317" s="14"/>
    </row>
    <row r="4318" ht="18.75" customHeight="1">
      <c r="A4318" s="7" t="s">
        <v>431</v>
      </c>
      <c r="B4318" s="7" t="s">
        <v>3884</v>
      </c>
      <c r="C4318" s="9">
        <v>124971.0</v>
      </c>
      <c r="D4318" s="9">
        <v>0.0</v>
      </c>
      <c r="E4318" s="9">
        <v>374.0</v>
      </c>
      <c r="F4318" s="7" t="s">
        <v>432</v>
      </c>
      <c r="G4318" s="7" t="s">
        <v>404</v>
      </c>
      <c r="H4318" s="7" t="s">
        <v>405</v>
      </c>
      <c r="I4318" s="7" t="s">
        <v>355</v>
      </c>
      <c r="J4318" s="14"/>
      <c r="O4318" s="22"/>
      <c r="P4318" s="22"/>
      <c r="Q4318" s="23"/>
      <c r="R4318" s="23"/>
      <c r="S4318" s="14"/>
    </row>
    <row r="4319" ht="18.75" customHeight="1">
      <c r="A4319" s="7" t="s">
        <v>431</v>
      </c>
      <c r="B4319" s="7" t="s">
        <v>3884</v>
      </c>
      <c r="C4319" s="9">
        <v>47025.0</v>
      </c>
      <c r="D4319" s="9">
        <v>0.0</v>
      </c>
      <c r="E4319" s="9">
        <v>56.0</v>
      </c>
      <c r="F4319" s="7" t="s">
        <v>432</v>
      </c>
      <c r="G4319" s="7" t="s">
        <v>404</v>
      </c>
      <c r="H4319" s="7" t="s">
        <v>405</v>
      </c>
      <c r="I4319" s="7" t="s">
        <v>355</v>
      </c>
      <c r="J4319" s="14"/>
      <c r="O4319" s="22"/>
      <c r="P4319" s="22"/>
      <c r="Q4319" s="23"/>
      <c r="R4319" s="23"/>
      <c r="S4319" s="14"/>
    </row>
    <row r="4320" ht="18.75" customHeight="1">
      <c r="A4320" s="7" t="s">
        <v>437</v>
      </c>
      <c r="B4320" s="7" t="s">
        <v>3884</v>
      </c>
      <c r="C4320" s="9">
        <v>124979.0</v>
      </c>
      <c r="D4320" s="9">
        <v>0.0</v>
      </c>
      <c r="E4320" s="9">
        <v>267.0</v>
      </c>
      <c r="F4320" s="7" t="s">
        <v>438</v>
      </c>
      <c r="G4320" s="7" t="s">
        <v>404</v>
      </c>
      <c r="H4320" s="7" t="s">
        <v>405</v>
      </c>
      <c r="I4320" s="7" t="s">
        <v>355</v>
      </c>
      <c r="J4320" s="14"/>
      <c r="O4320" s="22"/>
      <c r="P4320" s="22"/>
      <c r="Q4320" s="23"/>
      <c r="R4320" s="23"/>
      <c r="S4320" s="14"/>
    </row>
    <row r="4321" ht="18.75" customHeight="1">
      <c r="A4321" s="7" t="s">
        <v>437</v>
      </c>
      <c r="B4321" s="7" t="s">
        <v>3884</v>
      </c>
      <c r="C4321" s="9">
        <v>65833.0</v>
      </c>
      <c r="D4321" s="9">
        <v>0.0</v>
      </c>
      <c r="E4321" s="9">
        <v>60.0</v>
      </c>
      <c r="F4321" s="7" t="s">
        <v>438</v>
      </c>
      <c r="G4321" s="7" t="s">
        <v>404</v>
      </c>
      <c r="H4321" s="7" t="s">
        <v>405</v>
      </c>
      <c r="I4321" s="7" t="s">
        <v>355</v>
      </c>
      <c r="J4321" s="14"/>
      <c r="O4321" s="22"/>
      <c r="P4321" s="22"/>
      <c r="Q4321" s="23"/>
      <c r="R4321" s="23"/>
      <c r="S4321" s="14"/>
    </row>
    <row r="4322" ht="18.75" customHeight="1">
      <c r="A4322" s="7" t="s">
        <v>394</v>
      </c>
      <c r="B4322" s="7" t="s">
        <v>3884</v>
      </c>
      <c r="C4322" s="9">
        <v>48339.0</v>
      </c>
      <c r="D4322" s="9">
        <v>0.0</v>
      </c>
      <c r="E4322" s="9">
        <v>92.0</v>
      </c>
      <c r="F4322" s="7" t="s">
        <v>395</v>
      </c>
      <c r="G4322" s="7" t="s">
        <v>353</v>
      </c>
      <c r="H4322" s="7" t="s">
        <v>378</v>
      </c>
      <c r="I4322" s="7" t="s">
        <v>355</v>
      </c>
      <c r="J4322" s="14"/>
      <c r="O4322" s="22"/>
      <c r="P4322" s="22"/>
      <c r="Q4322" s="23"/>
      <c r="R4322" s="23"/>
      <c r="S4322" s="14"/>
    </row>
    <row r="4323" ht="18.75" customHeight="1">
      <c r="A4323" s="7" t="s">
        <v>394</v>
      </c>
      <c r="B4323" s="7" t="s">
        <v>3884</v>
      </c>
      <c r="C4323" s="9">
        <v>29017.0</v>
      </c>
      <c r="D4323" s="9">
        <v>0.0</v>
      </c>
      <c r="E4323" s="9">
        <v>42.0</v>
      </c>
      <c r="F4323" s="7" t="s">
        <v>395</v>
      </c>
      <c r="G4323" s="7" t="s">
        <v>353</v>
      </c>
      <c r="H4323" s="7" t="s">
        <v>378</v>
      </c>
      <c r="I4323" s="7" t="s">
        <v>355</v>
      </c>
      <c r="J4323" s="14"/>
      <c r="O4323" s="22"/>
      <c r="P4323" s="22"/>
      <c r="Q4323" s="23"/>
      <c r="R4323" s="23"/>
      <c r="S4323" s="14"/>
    </row>
    <row r="4324" ht="18.75" customHeight="1">
      <c r="A4324" s="7" t="s">
        <v>392</v>
      </c>
      <c r="B4324" s="7" t="s">
        <v>3884</v>
      </c>
      <c r="C4324" s="9">
        <v>51512.0</v>
      </c>
      <c r="D4324" s="9">
        <v>0.0</v>
      </c>
      <c r="E4324" s="9">
        <v>125.0</v>
      </c>
      <c r="F4324" s="7" t="s">
        <v>393</v>
      </c>
      <c r="G4324" s="7" t="s">
        <v>353</v>
      </c>
      <c r="H4324" s="7" t="s">
        <v>378</v>
      </c>
      <c r="I4324" s="7" t="s">
        <v>355</v>
      </c>
      <c r="J4324" s="14"/>
      <c r="O4324" s="22"/>
      <c r="P4324" s="22"/>
      <c r="Q4324" s="23"/>
      <c r="R4324" s="23"/>
      <c r="S4324" s="14"/>
    </row>
    <row r="4325" ht="18.75" customHeight="1">
      <c r="A4325" s="7" t="s">
        <v>392</v>
      </c>
      <c r="B4325" s="7" t="s">
        <v>3884</v>
      </c>
      <c r="C4325" s="9">
        <v>22148.0</v>
      </c>
      <c r="D4325" s="9">
        <v>0.0</v>
      </c>
      <c r="E4325" s="9">
        <v>25.0</v>
      </c>
      <c r="F4325" s="7" t="s">
        <v>393</v>
      </c>
      <c r="G4325" s="7" t="s">
        <v>353</v>
      </c>
      <c r="H4325" s="7" t="s">
        <v>378</v>
      </c>
      <c r="I4325" s="7" t="s">
        <v>355</v>
      </c>
      <c r="J4325" s="14"/>
      <c r="O4325" s="22"/>
      <c r="P4325" s="22"/>
      <c r="Q4325" s="23"/>
      <c r="R4325" s="23"/>
      <c r="S4325" s="14"/>
    </row>
    <row r="4326" ht="18.75" customHeight="1">
      <c r="A4326" s="7" t="s">
        <v>402</v>
      </c>
      <c r="B4326" s="7" t="s">
        <v>3884</v>
      </c>
      <c r="C4326" s="9">
        <v>93716.0</v>
      </c>
      <c r="D4326" s="9">
        <v>0.0</v>
      </c>
      <c r="E4326" s="9">
        <v>193.0</v>
      </c>
      <c r="F4326" s="7" t="s">
        <v>403</v>
      </c>
      <c r="G4326" s="7" t="s">
        <v>404</v>
      </c>
      <c r="H4326" s="7" t="s">
        <v>405</v>
      </c>
      <c r="I4326" s="7" t="s">
        <v>355</v>
      </c>
      <c r="J4326" s="14"/>
      <c r="O4326" s="22"/>
      <c r="P4326" s="22"/>
      <c r="Q4326" s="23"/>
      <c r="R4326" s="23"/>
      <c r="S4326" s="14"/>
    </row>
    <row r="4327" ht="18.75" customHeight="1">
      <c r="A4327" s="7" t="s">
        <v>402</v>
      </c>
      <c r="B4327" s="7" t="s">
        <v>3884</v>
      </c>
      <c r="C4327" s="9">
        <v>47026.0</v>
      </c>
      <c r="D4327" s="9">
        <v>0.0</v>
      </c>
      <c r="E4327" s="9">
        <v>67.0</v>
      </c>
      <c r="F4327" s="7" t="s">
        <v>403</v>
      </c>
      <c r="G4327" s="7" t="s">
        <v>404</v>
      </c>
      <c r="H4327" s="7" t="s">
        <v>405</v>
      </c>
      <c r="I4327" s="7" t="s">
        <v>355</v>
      </c>
      <c r="J4327" s="14"/>
      <c r="O4327" s="22"/>
      <c r="P4327" s="22"/>
      <c r="Q4327" s="23"/>
      <c r="R4327" s="23"/>
      <c r="S4327" s="14"/>
    </row>
    <row r="4328" ht="18.75" customHeight="1">
      <c r="A4328" s="7" t="s">
        <v>649</v>
      </c>
      <c r="B4328" s="7" t="s">
        <v>3884</v>
      </c>
      <c r="C4328" s="9">
        <v>124956.0</v>
      </c>
      <c r="D4328" s="9">
        <v>0.0</v>
      </c>
      <c r="E4328" s="9">
        <v>248.0</v>
      </c>
      <c r="F4328" s="7" t="s">
        <v>650</v>
      </c>
      <c r="G4328" s="7" t="s">
        <v>404</v>
      </c>
      <c r="H4328" s="7" t="s">
        <v>405</v>
      </c>
      <c r="I4328" s="7" t="s">
        <v>355</v>
      </c>
      <c r="J4328" s="14"/>
      <c r="O4328" s="22"/>
      <c r="P4328" s="22"/>
      <c r="Q4328" s="23"/>
      <c r="R4328" s="23"/>
      <c r="S4328" s="14"/>
    </row>
    <row r="4329" ht="18.75" customHeight="1">
      <c r="A4329" s="7" t="s">
        <v>649</v>
      </c>
      <c r="B4329" s="7" t="s">
        <v>3884</v>
      </c>
      <c r="C4329" s="9">
        <v>75244.0</v>
      </c>
      <c r="D4329" s="9">
        <v>0.0</v>
      </c>
      <c r="E4329" s="9">
        <v>87.0</v>
      </c>
      <c r="F4329" s="7" t="s">
        <v>650</v>
      </c>
      <c r="G4329" s="7" t="s">
        <v>404</v>
      </c>
      <c r="H4329" s="7" t="s">
        <v>405</v>
      </c>
      <c r="I4329" s="7" t="s">
        <v>355</v>
      </c>
      <c r="J4329" s="14"/>
      <c r="O4329" s="22"/>
      <c r="P4329" s="22"/>
      <c r="Q4329" s="23"/>
      <c r="R4329" s="23"/>
      <c r="S4329" s="14"/>
    </row>
    <row r="4330" ht="18.75" customHeight="1">
      <c r="A4330" s="7" t="s">
        <v>623</v>
      </c>
      <c r="B4330" s="7" t="s">
        <v>3884</v>
      </c>
      <c r="C4330" s="9">
        <v>81581.0</v>
      </c>
      <c r="D4330" s="9">
        <v>0.0</v>
      </c>
      <c r="E4330" s="9">
        <v>196.0</v>
      </c>
      <c r="F4330" s="7" t="s">
        <v>624</v>
      </c>
      <c r="G4330" s="7" t="s">
        <v>353</v>
      </c>
      <c r="H4330" s="7" t="s">
        <v>354</v>
      </c>
      <c r="I4330" s="7" t="s">
        <v>355</v>
      </c>
      <c r="J4330" s="14"/>
      <c r="O4330" s="22"/>
      <c r="P4330" s="22"/>
      <c r="Q4330" s="23"/>
      <c r="R4330" s="23"/>
      <c r="S4330" s="14"/>
    </row>
    <row r="4331" ht="18.75" customHeight="1">
      <c r="A4331" s="7" t="s">
        <v>623</v>
      </c>
      <c r="B4331" s="7" t="s">
        <v>3884</v>
      </c>
      <c r="C4331" s="9">
        <v>44353.0</v>
      </c>
      <c r="D4331" s="9">
        <v>0.0</v>
      </c>
      <c r="E4331" s="9">
        <v>62.0</v>
      </c>
      <c r="F4331" s="7" t="s">
        <v>624</v>
      </c>
      <c r="G4331" s="7" t="s">
        <v>353</v>
      </c>
      <c r="H4331" s="7" t="s">
        <v>354</v>
      </c>
      <c r="I4331" s="7" t="s">
        <v>355</v>
      </c>
      <c r="J4331" s="14"/>
      <c r="O4331" s="22"/>
      <c r="P4331" s="22"/>
      <c r="Q4331" s="23"/>
      <c r="R4331" s="23"/>
      <c r="S4331" s="14"/>
    </row>
    <row r="4332" ht="18.75" customHeight="1">
      <c r="A4332" s="7" t="s">
        <v>651</v>
      </c>
      <c r="B4332" s="7" t="s">
        <v>3884</v>
      </c>
      <c r="C4332" s="9">
        <v>109350.0</v>
      </c>
      <c r="D4332" s="9">
        <v>0.0</v>
      </c>
      <c r="E4332" s="9">
        <v>324.0</v>
      </c>
      <c r="F4332" s="7" t="s">
        <v>652</v>
      </c>
      <c r="G4332" s="7" t="s">
        <v>353</v>
      </c>
      <c r="H4332" s="7" t="s">
        <v>378</v>
      </c>
      <c r="I4332" s="7" t="s">
        <v>355</v>
      </c>
      <c r="J4332" s="14"/>
      <c r="O4332" s="22"/>
      <c r="P4332" s="22"/>
      <c r="Q4332" s="23"/>
      <c r="R4332" s="23"/>
      <c r="S4332" s="14"/>
    </row>
    <row r="4333" ht="18.75" customHeight="1">
      <c r="A4333" s="7" t="s">
        <v>651</v>
      </c>
      <c r="B4333" s="7" t="s">
        <v>3884</v>
      </c>
      <c r="C4333" s="9">
        <v>47024.0</v>
      </c>
      <c r="D4333" s="9">
        <v>0.0</v>
      </c>
      <c r="E4333" s="9">
        <v>174.0</v>
      </c>
      <c r="F4333" s="7" t="s">
        <v>652</v>
      </c>
      <c r="G4333" s="7" t="s">
        <v>353</v>
      </c>
      <c r="H4333" s="7" t="s">
        <v>378</v>
      </c>
      <c r="I4333" s="7" t="s">
        <v>355</v>
      </c>
      <c r="J4333" s="14"/>
      <c r="O4333" s="22"/>
      <c r="P4333" s="22"/>
      <c r="Q4333" s="23"/>
      <c r="R4333" s="23"/>
      <c r="S4333" s="14"/>
    </row>
    <row r="4334" ht="18.75" customHeight="1">
      <c r="A4334" s="7" t="s">
        <v>481</v>
      </c>
      <c r="B4334" s="7" t="s">
        <v>3884</v>
      </c>
      <c r="C4334" s="9">
        <v>109227.0</v>
      </c>
      <c r="D4334" s="9">
        <v>0.0</v>
      </c>
      <c r="E4334" s="9">
        <v>289.0</v>
      </c>
      <c r="F4334" s="7" t="s">
        <v>482</v>
      </c>
      <c r="G4334" s="7" t="s">
        <v>404</v>
      </c>
      <c r="H4334" s="7" t="s">
        <v>405</v>
      </c>
      <c r="I4334" s="7" t="s">
        <v>355</v>
      </c>
      <c r="J4334" s="14"/>
      <c r="O4334" s="22"/>
      <c r="P4334" s="22"/>
      <c r="Q4334" s="23"/>
      <c r="R4334" s="23"/>
      <c r="S4334" s="14"/>
    </row>
    <row r="4335" ht="18.75" customHeight="1">
      <c r="A4335" s="7" t="s">
        <v>481</v>
      </c>
      <c r="B4335" s="7" t="s">
        <v>3884</v>
      </c>
      <c r="C4335" s="9">
        <v>47011.0</v>
      </c>
      <c r="D4335" s="9">
        <v>0.0</v>
      </c>
      <c r="E4335" s="9">
        <v>47.0</v>
      </c>
      <c r="F4335" s="7" t="s">
        <v>482</v>
      </c>
      <c r="G4335" s="7" t="s">
        <v>404</v>
      </c>
      <c r="H4335" s="7" t="s">
        <v>405</v>
      </c>
      <c r="I4335" s="7" t="s">
        <v>355</v>
      </c>
      <c r="J4335" s="14"/>
      <c r="O4335" s="22"/>
      <c r="P4335" s="22"/>
      <c r="Q4335" s="23"/>
      <c r="R4335" s="23"/>
      <c r="S4335" s="14"/>
    </row>
    <row r="4336" ht="18.75" customHeight="1">
      <c r="A4336" s="7" t="s">
        <v>769</v>
      </c>
      <c r="B4336" s="7" t="s">
        <v>3884</v>
      </c>
      <c r="C4336" s="9">
        <v>62489.0</v>
      </c>
      <c r="D4336" s="9">
        <v>0.0</v>
      </c>
      <c r="E4336" s="9">
        <v>146.0</v>
      </c>
      <c r="F4336" s="7" t="s">
        <v>770</v>
      </c>
      <c r="G4336" s="7" t="s">
        <v>404</v>
      </c>
      <c r="H4336" s="7" t="s">
        <v>405</v>
      </c>
      <c r="I4336" s="7" t="s">
        <v>355</v>
      </c>
      <c r="J4336" s="14"/>
      <c r="O4336" s="22"/>
      <c r="P4336" s="22"/>
      <c r="Q4336" s="23"/>
      <c r="R4336" s="23"/>
      <c r="S4336" s="14"/>
    </row>
    <row r="4337" ht="18.75" customHeight="1">
      <c r="A4337" s="7" t="s">
        <v>769</v>
      </c>
      <c r="B4337" s="7" t="s">
        <v>3884</v>
      </c>
      <c r="C4337" s="9">
        <v>28212.0</v>
      </c>
      <c r="D4337" s="9">
        <v>0.0</v>
      </c>
      <c r="E4337" s="9">
        <v>20.0</v>
      </c>
      <c r="F4337" s="7" t="s">
        <v>770</v>
      </c>
      <c r="G4337" s="7" t="s">
        <v>404</v>
      </c>
      <c r="H4337" s="7" t="s">
        <v>405</v>
      </c>
      <c r="I4337" s="7" t="s">
        <v>355</v>
      </c>
      <c r="J4337" s="14"/>
      <c r="O4337" s="22"/>
      <c r="P4337" s="22"/>
      <c r="Q4337" s="23"/>
      <c r="R4337" s="23"/>
      <c r="S4337" s="14"/>
    </row>
    <row r="4338" ht="18.75" customHeight="1">
      <c r="A4338" s="7" t="s">
        <v>651</v>
      </c>
      <c r="B4338" s="7" t="s">
        <v>3884</v>
      </c>
      <c r="C4338" s="9">
        <v>109350.0</v>
      </c>
      <c r="D4338" s="9">
        <v>0.0</v>
      </c>
      <c r="E4338" s="9">
        <v>315.0</v>
      </c>
      <c r="F4338" s="7" t="s">
        <v>652</v>
      </c>
      <c r="G4338" s="7" t="s">
        <v>353</v>
      </c>
      <c r="H4338" s="7" t="s">
        <v>378</v>
      </c>
      <c r="I4338" s="7" t="s">
        <v>355</v>
      </c>
      <c r="J4338" s="14"/>
      <c r="O4338" s="22"/>
      <c r="P4338" s="22"/>
      <c r="Q4338" s="23"/>
      <c r="R4338" s="23"/>
      <c r="S4338" s="14"/>
    </row>
    <row r="4339" ht="18.75" customHeight="1">
      <c r="A4339" s="7" t="s">
        <v>651</v>
      </c>
      <c r="B4339" s="7" t="s">
        <v>3884</v>
      </c>
      <c r="C4339" s="9">
        <v>47024.0</v>
      </c>
      <c r="D4339" s="9">
        <v>0.0</v>
      </c>
      <c r="E4339" s="9">
        <v>146.0</v>
      </c>
      <c r="F4339" s="7" t="s">
        <v>652</v>
      </c>
      <c r="G4339" s="7" t="s">
        <v>353</v>
      </c>
      <c r="H4339" s="7" t="s">
        <v>378</v>
      </c>
      <c r="I4339" s="7" t="s">
        <v>355</v>
      </c>
      <c r="J4339" s="14"/>
      <c r="O4339" s="22"/>
      <c r="P4339" s="22"/>
      <c r="Q4339" s="23"/>
      <c r="R4339" s="23"/>
      <c r="S4339" s="14"/>
    </row>
    <row r="4340" ht="18.75" customHeight="1">
      <c r="A4340" s="7" t="s">
        <v>535</v>
      </c>
      <c r="B4340" s="7" t="s">
        <v>3884</v>
      </c>
      <c r="C4340" s="9">
        <v>23916.0</v>
      </c>
      <c r="D4340" s="9">
        <v>0.0</v>
      </c>
      <c r="E4340" s="9">
        <v>43.0</v>
      </c>
      <c r="F4340" s="7" t="s">
        <v>536</v>
      </c>
      <c r="G4340" s="7" t="s">
        <v>358</v>
      </c>
      <c r="H4340" s="7" t="s">
        <v>359</v>
      </c>
      <c r="I4340" s="7" t="s">
        <v>355</v>
      </c>
      <c r="J4340" s="14"/>
      <c r="O4340" s="22"/>
      <c r="P4340" s="22"/>
      <c r="Q4340" s="23"/>
      <c r="R4340" s="23"/>
      <c r="S4340" s="14"/>
    </row>
    <row r="4341" ht="18.75" customHeight="1">
      <c r="A4341" s="7" t="s">
        <v>535</v>
      </c>
      <c r="B4341" s="7" t="s">
        <v>3884</v>
      </c>
      <c r="C4341" s="9">
        <v>10624.0</v>
      </c>
      <c r="D4341" s="9">
        <v>0.0</v>
      </c>
      <c r="E4341" s="9">
        <v>15.0</v>
      </c>
      <c r="F4341" s="7" t="s">
        <v>536</v>
      </c>
      <c r="G4341" s="7" t="s">
        <v>358</v>
      </c>
      <c r="H4341" s="7" t="s">
        <v>359</v>
      </c>
      <c r="I4341" s="7" t="s">
        <v>355</v>
      </c>
      <c r="J4341" s="14"/>
      <c r="O4341" s="22"/>
      <c r="P4341" s="22"/>
      <c r="Q4341" s="23"/>
      <c r="R4341" s="23"/>
      <c r="S4341" s="14"/>
    </row>
    <row r="4342" ht="18.75" customHeight="1">
      <c r="A4342" s="7" t="s">
        <v>537</v>
      </c>
      <c r="B4342" s="7" t="s">
        <v>3884</v>
      </c>
      <c r="C4342" s="9">
        <v>8988.0</v>
      </c>
      <c r="D4342" s="9">
        <v>0.0</v>
      </c>
      <c r="E4342" s="9">
        <v>20.0</v>
      </c>
      <c r="F4342" s="7" t="s">
        <v>538</v>
      </c>
      <c r="G4342" s="7" t="s">
        <v>358</v>
      </c>
      <c r="H4342" s="7" t="s">
        <v>359</v>
      </c>
      <c r="I4342" s="7" t="s">
        <v>355</v>
      </c>
      <c r="J4342" s="14"/>
      <c r="O4342" s="22"/>
      <c r="P4342" s="22"/>
      <c r="Q4342" s="23"/>
      <c r="R4342" s="23"/>
      <c r="S4342" s="14"/>
    </row>
    <row r="4343" ht="18.75" customHeight="1">
      <c r="A4343" s="7" t="s">
        <v>537</v>
      </c>
      <c r="B4343" s="7" t="s">
        <v>3884</v>
      </c>
      <c r="C4343" s="9">
        <v>7257.0</v>
      </c>
      <c r="D4343" s="9">
        <v>0.0</v>
      </c>
      <c r="E4343" s="9">
        <v>13.0</v>
      </c>
      <c r="F4343" s="7" t="s">
        <v>538</v>
      </c>
      <c r="G4343" s="7" t="s">
        <v>358</v>
      </c>
      <c r="H4343" s="7" t="s">
        <v>359</v>
      </c>
      <c r="I4343" s="7" t="s">
        <v>355</v>
      </c>
      <c r="J4343" s="14"/>
      <c r="O4343" s="22"/>
      <c r="P4343" s="22"/>
      <c r="Q4343" s="23"/>
      <c r="R4343" s="23"/>
      <c r="S4343" s="14"/>
    </row>
    <row r="4344" ht="18.75" customHeight="1">
      <c r="A4344" s="7" t="s">
        <v>625</v>
      </c>
      <c r="B4344" s="7" t="s">
        <v>3884</v>
      </c>
      <c r="C4344" s="9">
        <v>29949.0</v>
      </c>
      <c r="D4344" s="9">
        <v>0.0</v>
      </c>
      <c r="E4344" s="9">
        <v>64.0</v>
      </c>
      <c r="F4344" s="7" t="s">
        <v>626</v>
      </c>
      <c r="G4344" s="7" t="s">
        <v>353</v>
      </c>
      <c r="H4344" s="7" t="s">
        <v>354</v>
      </c>
      <c r="I4344" s="7" t="s">
        <v>355</v>
      </c>
      <c r="J4344" s="14"/>
      <c r="O4344" s="22"/>
      <c r="P4344" s="22"/>
      <c r="Q4344" s="23"/>
      <c r="R4344" s="23"/>
      <c r="S4344" s="14"/>
    </row>
    <row r="4345" ht="18.75" customHeight="1">
      <c r="A4345" s="7" t="s">
        <v>625</v>
      </c>
      <c r="B4345" s="7" t="s">
        <v>3884</v>
      </c>
      <c r="C4345" s="9">
        <v>14811.0</v>
      </c>
      <c r="D4345" s="9">
        <v>0.0</v>
      </c>
      <c r="E4345" s="9">
        <v>18.0</v>
      </c>
      <c r="F4345" s="7" t="s">
        <v>626</v>
      </c>
      <c r="G4345" s="7" t="s">
        <v>353</v>
      </c>
      <c r="H4345" s="7" t="s">
        <v>354</v>
      </c>
      <c r="I4345" s="7" t="s">
        <v>355</v>
      </c>
      <c r="J4345" s="14"/>
      <c r="O4345" s="22"/>
      <c r="P4345" s="22"/>
      <c r="Q4345" s="23"/>
      <c r="R4345" s="23"/>
      <c r="S4345" s="14"/>
    </row>
    <row r="4346" ht="18.75" customHeight="1">
      <c r="A4346" s="7" t="s">
        <v>777</v>
      </c>
      <c r="B4346" s="7" t="s">
        <v>3884</v>
      </c>
      <c r="C4346" s="9">
        <v>0.0</v>
      </c>
      <c r="D4346" s="9">
        <v>0.0</v>
      </c>
      <c r="E4346" s="9">
        <v>0.0</v>
      </c>
      <c r="F4346" s="7" t="s">
        <v>778</v>
      </c>
      <c r="G4346" s="7" t="s">
        <v>353</v>
      </c>
      <c r="H4346" s="7" t="s">
        <v>725</v>
      </c>
      <c r="I4346" s="7" t="s">
        <v>355</v>
      </c>
      <c r="J4346" s="14"/>
      <c r="O4346" s="22"/>
      <c r="P4346" s="22"/>
      <c r="Q4346" s="23"/>
      <c r="R4346" s="23"/>
      <c r="S4346" s="14"/>
    </row>
    <row r="4347" ht="18.75" customHeight="1">
      <c r="A4347" s="7" t="s">
        <v>777</v>
      </c>
      <c r="B4347" s="7" t="s">
        <v>3884</v>
      </c>
      <c r="C4347" s="9">
        <v>0.0</v>
      </c>
      <c r="D4347" s="9">
        <v>0.0</v>
      </c>
      <c r="E4347" s="9">
        <v>0.0</v>
      </c>
      <c r="F4347" s="7" t="s">
        <v>778</v>
      </c>
      <c r="G4347" s="7" t="s">
        <v>353</v>
      </c>
      <c r="H4347" s="7" t="s">
        <v>725</v>
      </c>
      <c r="I4347" s="7" t="s">
        <v>355</v>
      </c>
      <c r="J4347" s="14"/>
      <c r="O4347" s="22"/>
      <c r="P4347" s="22"/>
      <c r="Q4347" s="23"/>
      <c r="R4347" s="23"/>
      <c r="S4347" s="14"/>
    </row>
    <row r="4348" ht="18.75" customHeight="1">
      <c r="A4348" s="7" t="s">
        <v>815</v>
      </c>
      <c r="B4348" s="7" t="s">
        <v>3884</v>
      </c>
      <c r="C4348" s="9">
        <v>0.0</v>
      </c>
      <c r="D4348" s="9">
        <v>0.0</v>
      </c>
      <c r="E4348" s="9">
        <v>0.0</v>
      </c>
      <c r="F4348" s="7" t="s">
        <v>816</v>
      </c>
      <c r="G4348" s="7" t="s">
        <v>404</v>
      </c>
      <c r="H4348" s="7" t="s">
        <v>783</v>
      </c>
      <c r="I4348" s="7" t="s">
        <v>355</v>
      </c>
      <c r="J4348" s="14"/>
      <c r="O4348" s="22"/>
      <c r="P4348" s="22"/>
      <c r="Q4348" s="23"/>
      <c r="R4348" s="23"/>
      <c r="S4348" s="14"/>
    </row>
    <row r="4349" ht="18.75" customHeight="1">
      <c r="A4349" s="7" t="s">
        <v>815</v>
      </c>
      <c r="B4349" s="7" t="s">
        <v>3884</v>
      </c>
      <c r="C4349" s="9">
        <v>0.0</v>
      </c>
      <c r="D4349" s="9">
        <v>0.0</v>
      </c>
      <c r="E4349" s="9">
        <v>0.0</v>
      </c>
      <c r="F4349" s="7" t="s">
        <v>816</v>
      </c>
      <c r="G4349" s="7" t="s">
        <v>404</v>
      </c>
      <c r="H4349" s="7" t="s">
        <v>783</v>
      </c>
      <c r="I4349" s="7" t="s">
        <v>355</v>
      </c>
      <c r="J4349" s="14"/>
      <c r="O4349" s="22"/>
      <c r="P4349" s="22"/>
      <c r="Q4349" s="23"/>
      <c r="R4349" s="23"/>
      <c r="S4349" s="14"/>
    </row>
    <row r="4350" ht="18.75" customHeight="1">
      <c r="A4350" s="7" t="s">
        <v>709</v>
      </c>
      <c r="B4350" s="7" t="s">
        <v>3884</v>
      </c>
      <c r="C4350" s="9">
        <v>18508.0</v>
      </c>
      <c r="D4350" s="9">
        <v>0.0</v>
      </c>
      <c r="E4350" s="9">
        <v>33.0</v>
      </c>
      <c r="F4350" s="7" t="s">
        <v>710</v>
      </c>
      <c r="G4350" s="7" t="s">
        <v>404</v>
      </c>
      <c r="H4350" s="7" t="s">
        <v>667</v>
      </c>
      <c r="I4350" s="7" t="s">
        <v>410</v>
      </c>
      <c r="J4350" s="14"/>
      <c r="O4350" s="22"/>
      <c r="P4350" s="22"/>
      <c r="Q4350" s="23"/>
      <c r="R4350" s="23"/>
      <c r="S4350" s="14"/>
    </row>
    <row r="4351" ht="18.75" customHeight="1">
      <c r="A4351" s="7" t="s">
        <v>709</v>
      </c>
      <c r="B4351" s="7" t="s">
        <v>3884</v>
      </c>
      <c r="C4351" s="9">
        <v>7889.0</v>
      </c>
      <c r="D4351" s="9">
        <v>0.0</v>
      </c>
      <c r="E4351" s="9">
        <v>12.0</v>
      </c>
      <c r="F4351" s="7" t="s">
        <v>710</v>
      </c>
      <c r="G4351" s="7" t="s">
        <v>404</v>
      </c>
      <c r="H4351" s="7" t="s">
        <v>667</v>
      </c>
      <c r="I4351" s="7" t="s">
        <v>410</v>
      </c>
      <c r="J4351" s="14"/>
      <c r="O4351" s="22"/>
      <c r="P4351" s="22"/>
      <c r="Q4351" s="23"/>
      <c r="R4351" s="23"/>
      <c r="S4351" s="14"/>
    </row>
    <row r="4352" ht="18.75" customHeight="1">
      <c r="A4352" s="7" t="s">
        <v>754</v>
      </c>
      <c r="B4352" s="7" t="s">
        <v>3884</v>
      </c>
      <c r="C4352" s="9">
        <v>109350.0</v>
      </c>
      <c r="D4352" s="9">
        <v>0.0</v>
      </c>
      <c r="E4352" s="9">
        <v>152.0</v>
      </c>
      <c r="F4352" s="7" t="s">
        <v>755</v>
      </c>
      <c r="G4352" s="7" t="s">
        <v>353</v>
      </c>
      <c r="H4352" s="7" t="s">
        <v>378</v>
      </c>
      <c r="I4352" s="7" t="s">
        <v>355</v>
      </c>
      <c r="J4352" s="14"/>
      <c r="O4352" s="22"/>
      <c r="P4352" s="22"/>
      <c r="Q4352" s="23"/>
      <c r="R4352" s="23"/>
      <c r="S4352" s="14"/>
    </row>
    <row r="4353" ht="18.75" customHeight="1">
      <c r="A4353" s="7" t="s">
        <v>754</v>
      </c>
      <c r="B4353" s="7" t="s">
        <v>3884</v>
      </c>
      <c r="C4353" s="9">
        <v>47024.0</v>
      </c>
      <c r="D4353" s="9">
        <v>0.0</v>
      </c>
      <c r="E4353" s="9">
        <v>49.0</v>
      </c>
      <c r="F4353" s="7" t="s">
        <v>755</v>
      </c>
      <c r="G4353" s="7" t="s">
        <v>353</v>
      </c>
      <c r="H4353" s="7" t="s">
        <v>378</v>
      </c>
      <c r="I4353" s="7" t="s">
        <v>355</v>
      </c>
      <c r="J4353" s="14"/>
      <c r="O4353" s="22"/>
      <c r="P4353" s="22"/>
      <c r="Q4353" s="23"/>
      <c r="R4353" s="23"/>
      <c r="S4353" s="14"/>
    </row>
    <row r="4354" ht="18.75" customHeight="1">
      <c r="A4354" s="7" t="s">
        <v>351</v>
      </c>
      <c r="B4354" s="7" t="s">
        <v>3884</v>
      </c>
      <c r="C4354" s="9">
        <v>109351.0</v>
      </c>
      <c r="D4354" s="9">
        <v>0.0</v>
      </c>
      <c r="E4354" s="9">
        <v>403.0</v>
      </c>
      <c r="F4354" s="7" t="s">
        <v>352</v>
      </c>
      <c r="G4354" s="7" t="s">
        <v>353</v>
      </c>
      <c r="H4354" s="7" t="s">
        <v>354</v>
      </c>
      <c r="I4354" s="7" t="s">
        <v>410</v>
      </c>
      <c r="J4354" s="14"/>
      <c r="O4354" s="22"/>
      <c r="P4354" s="22"/>
      <c r="Q4354" s="23"/>
      <c r="R4354" s="23"/>
      <c r="S4354" s="14"/>
    </row>
    <row r="4355" ht="18.75" customHeight="1">
      <c r="A4355" s="7" t="s">
        <v>351</v>
      </c>
      <c r="B4355" s="7" t="s">
        <v>3884</v>
      </c>
      <c r="C4355" s="9">
        <v>47023.0</v>
      </c>
      <c r="D4355" s="9">
        <v>0.0</v>
      </c>
      <c r="E4355" s="9">
        <v>216.0</v>
      </c>
      <c r="F4355" s="7" t="s">
        <v>352</v>
      </c>
      <c r="G4355" s="7" t="s">
        <v>353</v>
      </c>
      <c r="H4355" s="7" t="s">
        <v>354</v>
      </c>
      <c r="I4355" s="7" t="s">
        <v>410</v>
      </c>
      <c r="J4355" s="14"/>
      <c r="O4355" s="22"/>
      <c r="P4355" s="22"/>
      <c r="Q4355" s="23"/>
      <c r="R4355" s="23"/>
      <c r="S4355" s="14"/>
    </row>
    <row r="4356" ht="18.75" customHeight="1">
      <c r="A4356" s="7" t="s">
        <v>834</v>
      </c>
      <c r="B4356" s="7" t="s">
        <v>3884</v>
      </c>
      <c r="C4356" s="9">
        <v>109353.0</v>
      </c>
      <c r="D4356" s="9">
        <v>0.0</v>
      </c>
      <c r="E4356" s="9">
        <v>143.0</v>
      </c>
      <c r="F4356" s="7" t="s">
        <v>835</v>
      </c>
      <c r="G4356" s="7" t="s">
        <v>404</v>
      </c>
      <c r="H4356" s="7" t="s">
        <v>405</v>
      </c>
      <c r="I4356" s="7" t="s">
        <v>355</v>
      </c>
      <c r="J4356" s="14"/>
      <c r="O4356" s="22"/>
      <c r="P4356" s="22"/>
      <c r="Q4356" s="23"/>
      <c r="R4356" s="23"/>
      <c r="S4356" s="14"/>
    </row>
    <row r="4357" ht="18.75" customHeight="1">
      <c r="A4357" s="7" t="s">
        <v>834</v>
      </c>
      <c r="B4357" s="7" t="s">
        <v>3884</v>
      </c>
      <c r="C4357" s="9">
        <v>47025.0</v>
      </c>
      <c r="D4357" s="9">
        <v>0.0</v>
      </c>
      <c r="E4357" s="9">
        <v>54.0</v>
      </c>
      <c r="F4357" s="7" t="s">
        <v>835</v>
      </c>
      <c r="G4357" s="7" t="s">
        <v>404</v>
      </c>
      <c r="H4357" s="7" t="s">
        <v>405</v>
      </c>
      <c r="I4357" s="7" t="s">
        <v>355</v>
      </c>
      <c r="J4357" s="14"/>
      <c r="O4357" s="22"/>
      <c r="P4357" s="22"/>
      <c r="Q4357" s="23"/>
      <c r="R4357" s="23"/>
      <c r="S4357" s="14"/>
    </row>
    <row r="4358" ht="18.75" customHeight="1">
      <c r="A4358" s="7" t="s">
        <v>870</v>
      </c>
      <c r="B4358" s="7" t="s">
        <v>3884</v>
      </c>
      <c r="C4358" s="9">
        <v>109352.0</v>
      </c>
      <c r="D4358" s="9">
        <v>0.0</v>
      </c>
      <c r="E4358" s="9">
        <v>123.0</v>
      </c>
      <c r="F4358" s="7" t="s">
        <v>871</v>
      </c>
      <c r="G4358" s="7" t="s">
        <v>353</v>
      </c>
      <c r="H4358" s="7" t="s">
        <v>378</v>
      </c>
      <c r="I4358" s="7" t="s">
        <v>355</v>
      </c>
      <c r="J4358" s="14"/>
      <c r="O4358" s="22"/>
      <c r="P4358" s="22"/>
      <c r="Q4358" s="23"/>
      <c r="R4358" s="23"/>
      <c r="S4358" s="14"/>
    </row>
    <row r="4359" ht="18.75" customHeight="1">
      <c r="A4359" s="7" t="s">
        <v>870</v>
      </c>
      <c r="B4359" s="7" t="s">
        <v>3884</v>
      </c>
      <c r="C4359" s="9">
        <v>47026.0</v>
      </c>
      <c r="D4359" s="9">
        <v>0.0</v>
      </c>
      <c r="E4359" s="9">
        <v>50.0</v>
      </c>
      <c r="F4359" s="7" t="s">
        <v>871</v>
      </c>
      <c r="G4359" s="7" t="s">
        <v>353</v>
      </c>
      <c r="H4359" s="7" t="s">
        <v>378</v>
      </c>
      <c r="I4359" s="7" t="s">
        <v>355</v>
      </c>
      <c r="J4359" s="14"/>
      <c r="O4359" s="22"/>
      <c r="P4359" s="22"/>
      <c r="Q4359" s="23"/>
      <c r="R4359" s="23"/>
      <c r="S4359" s="14"/>
    </row>
    <row r="4360" ht="18.75" customHeight="1">
      <c r="A4360" s="7" t="s">
        <v>941</v>
      </c>
      <c r="B4360" s="7" t="s">
        <v>3884</v>
      </c>
      <c r="C4360" s="9">
        <v>109353.0</v>
      </c>
      <c r="D4360" s="9">
        <v>0.0</v>
      </c>
      <c r="E4360" s="9">
        <v>128.0</v>
      </c>
      <c r="F4360" s="7" t="s">
        <v>942</v>
      </c>
      <c r="G4360" s="7" t="s">
        <v>404</v>
      </c>
      <c r="H4360" s="7" t="s">
        <v>405</v>
      </c>
      <c r="I4360" s="7" t="s">
        <v>355</v>
      </c>
      <c r="J4360" s="14"/>
      <c r="O4360" s="22"/>
      <c r="P4360" s="22"/>
      <c r="Q4360" s="23"/>
      <c r="R4360" s="23"/>
      <c r="S4360" s="14"/>
    </row>
    <row r="4361" ht="18.75" customHeight="1">
      <c r="A4361" s="7" t="s">
        <v>941</v>
      </c>
      <c r="B4361" s="7" t="s">
        <v>3884</v>
      </c>
      <c r="C4361" s="9">
        <v>47025.0</v>
      </c>
      <c r="D4361" s="9">
        <v>0.0</v>
      </c>
      <c r="E4361" s="9">
        <v>43.0</v>
      </c>
      <c r="F4361" s="7" t="s">
        <v>942</v>
      </c>
      <c r="G4361" s="7" t="s">
        <v>404</v>
      </c>
      <c r="H4361" s="7" t="s">
        <v>405</v>
      </c>
      <c r="I4361" s="7" t="s">
        <v>355</v>
      </c>
      <c r="J4361" s="14"/>
      <c r="O4361" s="22"/>
      <c r="P4361" s="22"/>
      <c r="Q4361" s="23"/>
      <c r="R4361" s="23"/>
      <c r="S4361" s="14"/>
    </row>
    <row r="4362" ht="18.75" customHeight="1">
      <c r="A4362" s="7" t="s">
        <v>884</v>
      </c>
      <c r="B4362" s="7" t="s">
        <v>3884</v>
      </c>
      <c r="C4362" s="9">
        <v>85887.0</v>
      </c>
      <c r="D4362" s="9">
        <v>0.0</v>
      </c>
      <c r="E4362" s="9">
        <v>114.0</v>
      </c>
      <c r="F4362" s="7" t="s">
        <v>885</v>
      </c>
      <c r="G4362" s="7" t="s">
        <v>364</v>
      </c>
      <c r="H4362" s="7" t="s">
        <v>365</v>
      </c>
      <c r="I4362" s="7" t="s">
        <v>355</v>
      </c>
      <c r="J4362" s="14"/>
      <c r="O4362" s="22"/>
      <c r="P4362" s="22"/>
      <c r="Q4362" s="23"/>
      <c r="R4362" s="23"/>
      <c r="S4362" s="14"/>
    </row>
    <row r="4363" ht="18.75" customHeight="1">
      <c r="A4363" s="7" t="s">
        <v>884</v>
      </c>
      <c r="B4363" s="7" t="s">
        <v>3884</v>
      </c>
      <c r="C4363" s="9">
        <v>36383.0</v>
      </c>
      <c r="D4363" s="9">
        <v>0.0</v>
      </c>
      <c r="E4363" s="9">
        <v>38.0</v>
      </c>
      <c r="F4363" s="7" t="s">
        <v>885</v>
      </c>
      <c r="G4363" s="7" t="s">
        <v>364</v>
      </c>
      <c r="H4363" s="7" t="s">
        <v>365</v>
      </c>
      <c r="I4363" s="7" t="s">
        <v>355</v>
      </c>
      <c r="J4363" s="14"/>
      <c r="O4363" s="22"/>
      <c r="P4363" s="22"/>
      <c r="Q4363" s="23"/>
      <c r="R4363" s="23"/>
      <c r="S4363" s="14"/>
    </row>
    <row r="4364" ht="18.75" customHeight="1">
      <c r="A4364" s="7" t="s">
        <v>872</v>
      </c>
      <c r="B4364" s="7" t="s">
        <v>3884</v>
      </c>
      <c r="C4364" s="9">
        <v>109343.0</v>
      </c>
      <c r="D4364" s="9">
        <v>0.0</v>
      </c>
      <c r="E4364" s="9">
        <v>288.0</v>
      </c>
      <c r="F4364" s="7" t="s">
        <v>873</v>
      </c>
      <c r="G4364" s="7" t="s">
        <v>353</v>
      </c>
      <c r="H4364" s="7" t="s">
        <v>378</v>
      </c>
      <c r="I4364" s="7" t="s">
        <v>355</v>
      </c>
      <c r="J4364" s="14"/>
      <c r="O4364" s="22"/>
      <c r="P4364" s="22"/>
      <c r="Q4364" s="23"/>
      <c r="R4364" s="23"/>
      <c r="S4364" s="14"/>
    </row>
    <row r="4365" ht="18.75" customHeight="1">
      <c r="A4365" s="7" t="s">
        <v>872</v>
      </c>
      <c r="B4365" s="7" t="s">
        <v>3884</v>
      </c>
      <c r="C4365" s="9">
        <v>47023.0</v>
      </c>
      <c r="D4365" s="9">
        <v>0.0</v>
      </c>
      <c r="E4365" s="9">
        <v>56.0</v>
      </c>
      <c r="F4365" s="7" t="s">
        <v>873</v>
      </c>
      <c r="G4365" s="7" t="s">
        <v>353</v>
      </c>
      <c r="H4365" s="7" t="s">
        <v>378</v>
      </c>
      <c r="I4365" s="7" t="s">
        <v>355</v>
      </c>
      <c r="J4365" s="14"/>
      <c r="O4365" s="22"/>
      <c r="P4365" s="22"/>
      <c r="Q4365" s="23"/>
      <c r="R4365" s="23"/>
      <c r="S4365" s="14"/>
    </row>
    <row r="4366" ht="18.75" customHeight="1">
      <c r="A4366" s="7" t="s">
        <v>713</v>
      </c>
      <c r="B4366" s="7" t="s">
        <v>3884</v>
      </c>
      <c r="C4366" s="9">
        <v>109344.0</v>
      </c>
      <c r="D4366" s="9">
        <v>0.0</v>
      </c>
      <c r="E4366" s="9">
        <v>87.0</v>
      </c>
      <c r="F4366" s="7" t="s">
        <v>714</v>
      </c>
      <c r="G4366" s="7" t="s">
        <v>353</v>
      </c>
      <c r="H4366" s="7" t="s">
        <v>378</v>
      </c>
      <c r="I4366" s="7" t="s">
        <v>355</v>
      </c>
      <c r="J4366" s="14"/>
      <c r="O4366" s="22"/>
      <c r="P4366" s="22"/>
      <c r="Q4366" s="23"/>
      <c r="R4366" s="23"/>
      <c r="S4366" s="14"/>
    </row>
    <row r="4367" ht="18.75" customHeight="1">
      <c r="A4367" s="7" t="s">
        <v>713</v>
      </c>
      <c r="B4367" s="7" t="s">
        <v>3884</v>
      </c>
      <c r="C4367" s="9">
        <v>47036.0</v>
      </c>
      <c r="D4367" s="9">
        <v>0.0</v>
      </c>
      <c r="E4367" s="9">
        <v>48.0</v>
      </c>
      <c r="F4367" s="7" t="s">
        <v>714</v>
      </c>
      <c r="G4367" s="7" t="s">
        <v>353</v>
      </c>
      <c r="H4367" s="7" t="s">
        <v>378</v>
      </c>
      <c r="I4367" s="7" t="s">
        <v>355</v>
      </c>
      <c r="J4367" s="14"/>
      <c r="O4367" s="22"/>
      <c r="P4367" s="22"/>
      <c r="Q4367" s="23"/>
      <c r="R4367" s="23"/>
      <c r="S4367" s="14"/>
    </row>
    <row r="4368" ht="18.75" customHeight="1">
      <c r="A4368" s="7" t="s">
        <v>939</v>
      </c>
      <c r="B4368" s="7" t="s">
        <v>3884</v>
      </c>
      <c r="C4368" s="9">
        <v>109351.0</v>
      </c>
      <c r="D4368" s="9">
        <v>0.0</v>
      </c>
      <c r="E4368" s="9">
        <v>137.0</v>
      </c>
      <c r="F4368" s="7" t="s">
        <v>940</v>
      </c>
      <c r="G4368" s="7" t="s">
        <v>404</v>
      </c>
      <c r="H4368" s="7" t="s">
        <v>405</v>
      </c>
      <c r="I4368" s="7" t="s">
        <v>355</v>
      </c>
      <c r="J4368" s="14"/>
      <c r="O4368" s="22"/>
      <c r="P4368" s="22"/>
      <c r="Q4368" s="23"/>
      <c r="R4368" s="23"/>
      <c r="S4368" s="14"/>
    </row>
    <row r="4369" ht="18.75" customHeight="1">
      <c r="A4369" s="7" t="s">
        <v>939</v>
      </c>
      <c r="B4369" s="7" t="s">
        <v>3884</v>
      </c>
      <c r="C4369" s="9">
        <v>47023.0</v>
      </c>
      <c r="D4369" s="9">
        <v>0.0</v>
      </c>
      <c r="E4369" s="9">
        <v>61.0</v>
      </c>
      <c r="F4369" s="7" t="s">
        <v>940</v>
      </c>
      <c r="G4369" s="7" t="s">
        <v>404</v>
      </c>
      <c r="H4369" s="7" t="s">
        <v>405</v>
      </c>
      <c r="I4369" s="7" t="s">
        <v>355</v>
      </c>
      <c r="J4369" s="14"/>
      <c r="O4369" s="22"/>
      <c r="P4369" s="22"/>
      <c r="Q4369" s="23"/>
      <c r="R4369" s="23"/>
      <c r="S4369" s="14"/>
    </row>
    <row r="4370" ht="18.75" customHeight="1">
      <c r="A4370" s="7" t="s">
        <v>834</v>
      </c>
      <c r="B4370" s="7" t="s">
        <v>3884</v>
      </c>
      <c r="C4370" s="9">
        <v>37564.0</v>
      </c>
      <c r="D4370" s="9">
        <v>0.0</v>
      </c>
      <c r="E4370" s="9">
        <v>53.0</v>
      </c>
      <c r="F4370" s="7" t="s">
        <v>835</v>
      </c>
      <c r="G4370" s="7" t="s">
        <v>404</v>
      </c>
      <c r="H4370" s="7" t="s">
        <v>405</v>
      </c>
      <c r="I4370" s="7" t="s">
        <v>355</v>
      </c>
      <c r="J4370" s="14"/>
      <c r="O4370" s="22"/>
      <c r="P4370" s="22"/>
      <c r="Q4370" s="23"/>
      <c r="R4370" s="23"/>
      <c r="S4370" s="14"/>
    </row>
    <row r="4371" ht="18.75" customHeight="1">
      <c r="A4371" s="7" t="s">
        <v>834</v>
      </c>
      <c r="B4371" s="7" t="s">
        <v>3884</v>
      </c>
      <c r="C4371" s="9">
        <v>11512.0</v>
      </c>
      <c r="D4371" s="9">
        <v>0.0</v>
      </c>
      <c r="E4371" s="9">
        <v>21.0</v>
      </c>
      <c r="F4371" s="7" t="s">
        <v>835</v>
      </c>
      <c r="G4371" s="7" t="s">
        <v>404</v>
      </c>
      <c r="H4371" s="7" t="s">
        <v>405</v>
      </c>
      <c r="I4371" s="7" t="s">
        <v>355</v>
      </c>
      <c r="J4371" s="14"/>
      <c r="O4371" s="22"/>
      <c r="P4371" s="22"/>
      <c r="Q4371" s="23"/>
      <c r="R4371" s="23"/>
      <c r="S4371" s="14"/>
    </row>
    <row r="4372" ht="18.75" customHeight="1">
      <c r="A4372" s="7" t="s">
        <v>870</v>
      </c>
      <c r="B4372" s="7" t="s">
        <v>3884</v>
      </c>
      <c r="C4372" s="9">
        <v>109355.0</v>
      </c>
      <c r="D4372" s="9">
        <v>0.0</v>
      </c>
      <c r="E4372" s="9">
        <v>131.0</v>
      </c>
      <c r="F4372" s="7" t="s">
        <v>871</v>
      </c>
      <c r="G4372" s="7" t="s">
        <v>353</v>
      </c>
      <c r="H4372" s="7" t="s">
        <v>378</v>
      </c>
      <c r="I4372" s="7" t="s">
        <v>355</v>
      </c>
      <c r="J4372" s="14"/>
      <c r="O4372" s="22"/>
      <c r="P4372" s="22"/>
      <c r="Q4372" s="23"/>
      <c r="R4372" s="23"/>
      <c r="S4372" s="14"/>
    </row>
    <row r="4373" ht="18.75" customHeight="1">
      <c r="A4373" s="7" t="s">
        <v>870</v>
      </c>
      <c r="B4373" s="7" t="s">
        <v>3884</v>
      </c>
      <c r="C4373" s="9">
        <v>37620.0</v>
      </c>
      <c r="D4373" s="9">
        <v>0.0</v>
      </c>
      <c r="E4373" s="9">
        <v>49.0</v>
      </c>
      <c r="F4373" s="7" t="s">
        <v>871</v>
      </c>
      <c r="G4373" s="7" t="s">
        <v>353</v>
      </c>
      <c r="H4373" s="7" t="s">
        <v>378</v>
      </c>
      <c r="I4373" s="7" t="s">
        <v>355</v>
      </c>
      <c r="J4373" s="14"/>
      <c r="O4373" s="22"/>
      <c r="P4373" s="22"/>
      <c r="Q4373" s="23"/>
      <c r="R4373" s="23"/>
      <c r="S4373" s="14"/>
    </row>
    <row r="4374" ht="18.75" customHeight="1">
      <c r="A4374" s="7" t="s">
        <v>941</v>
      </c>
      <c r="B4374" s="7" t="s">
        <v>3884</v>
      </c>
      <c r="C4374" s="9">
        <v>38444.0</v>
      </c>
      <c r="D4374" s="9">
        <v>0.0</v>
      </c>
      <c r="E4374" s="9">
        <v>66.0</v>
      </c>
      <c r="F4374" s="7" t="s">
        <v>942</v>
      </c>
      <c r="G4374" s="7" t="s">
        <v>404</v>
      </c>
      <c r="H4374" s="7" t="s">
        <v>405</v>
      </c>
      <c r="I4374" s="7" t="s">
        <v>355</v>
      </c>
      <c r="J4374" s="14"/>
      <c r="O4374" s="22"/>
      <c r="P4374" s="22"/>
      <c r="Q4374" s="23"/>
      <c r="R4374" s="23"/>
      <c r="S4374" s="14"/>
    </row>
    <row r="4375" ht="18.75" customHeight="1">
      <c r="A4375" s="7" t="s">
        <v>941</v>
      </c>
      <c r="B4375" s="7" t="s">
        <v>3884</v>
      </c>
      <c r="C4375" s="9">
        <v>11672.0</v>
      </c>
      <c r="D4375" s="9">
        <v>0.0</v>
      </c>
      <c r="E4375" s="9">
        <v>22.0</v>
      </c>
      <c r="F4375" s="7" t="s">
        <v>942</v>
      </c>
      <c r="G4375" s="7" t="s">
        <v>404</v>
      </c>
      <c r="H4375" s="7" t="s">
        <v>405</v>
      </c>
      <c r="I4375" s="7" t="s">
        <v>355</v>
      </c>
      <c r="J4375" s="14"/>
      <c r="O4375" s="22"/>
      <c r="P4375" s="22"/>
      <c r="Q4375" s="23"/>
      <c r="R4375" s="23"/>
      <c r="S4375" s="14"/>
    </row>
    <row r="4376" ht="18.75" customHeight="1">
      <c r="A4376" s="7" t="s">
        <v>939</v>
      </c>
      <c r="B4376" s="7" t="s">
        <v>3884</v>
      </c>
      <c r="C4376" s="9">
        <v>26172.0</v>
      </c>
      <c r="D4376" s="9">
        <v>0.0</v>
      </c>
      <c r="E4376" s="9">
        <v>27.0</v>
      </c>
      <c r="F4376" s="7" t="s">
        <v>940</v>
      </c>
      <c r="G4376" s="7" t="s">
        <v>404</v>
      </c>
      <c r="H4376" s="7" t="s">
        <v>405</v>
      </c>
      <c r="I4376" s="7" t="s">
        <v>355</v>
      </c>
      <c r="J4376" s="14"/>
      <c r="O4376" s="22"/>
      <c r="P4376" s="22"/>
      <c r="Q4376" s="23"/>
      <c r="R4376" s="23"/>
      <c r="S4376" s="14"/>
    </row>
    <row r="4377" ht="18.75" customHeight="1">
      <c r="A4377" s="7" t="s">
        <v>939</v>
      </c>
      <c r="B4377" s="7" t="s">
        <v>3884</v>
      </c>
      <c r="C4377" s="9">
        <v>7819.0</v>
      </c>
      <c r="D4377" s="9">
        <v>0.0</v>
      </c>
      <c r="E4377" s="9">
        <v>19.0</v>
      </c>
      <c r="F4377" s="7" t="s">
        <v>940</v>
      </c>
      <c r="G4377" s="7" t="s">
        <v>404</v>
      </c>
      <c r="H4377" s="7" t="s">
        <v>405</v>
      </c>
      <c r="I4377" s="7" t="s">
        <v>355</v>
      </c>
      <c r="J4377" s="14"/>
      <c r="O4377" s="22"/>
      <c r="P4377" s="22"/>
      <c r="Q4377" s="23"/>
      <c r="R4377" s="23"/>
      <c r="S4377" s="14"/>
    </row>
    <row r="4378" ht="18.75" customHeight="1">
      <c r="A4378" s="7" t="s">
        <v>713</v>
      </c>
      <c r="B4378" s="7" t="s">
        <v>3884</v>
      </c>
      <c r="C4378" s="9">
        <v>31246.0</v>
      </c>
      <c r="D4378" s="9">
        <v>0.0</v>
      </c>
      <c r="E4378" s="9">
        <v>36.0</v>
      </c>
      <c r="F4378" s="7" t="s">
        <v>714</v>
      </c>
      <c r="G4378" s="7" t="s">
        <v>353</v>
      </c>
      <c r="H4378" s="7" t="s">
        <v>378</v>
      </c>
      <c r="I4378" s="7" t="s">
        <v>355</v>
      </c>
      <c r="J4378" s="14"/>
      <c r="O4378" s="22"/>
      <c r="P4378" s="22"/>
      <c r="Q4378" s="23"/>
      <c r="R4378" s="23"/>
      <c r="S4378" s="14"/>
    </row>
    <row r="4379" ht="18.75" customHeight="1">
      <c r="A4379" s="7" t="s">
        <v>713</v>
      </c>
      <c r="B4379" s="7" t="s">
        <v>3884</v>
      </c>
      <c r="C4379" s="9">
        <v>9411.0</v>
      </c>
      <c r="D4379" s="9">
        <v>0.0</v>
      </c>
      <c r="E4379" s="9">
        <v>9.0</v>
      </c>
      <c r="F4379" s="7" t="s">
        <v>714</v>
      </c>
      <c r="G4379" s="7" t="s">
        <v>353</v>
      </c>
      <c r="H4379" s="7" t="s">
        <v>378</v>
      </c>
      <c r="I4379" s="7" t="s">
        <v>355</v>
      </c>
      <c r="J4379" s="14"/>
      <c r="O4379" s="22"/>
      <c r="P4379" s="22"/>
      <c r="Q4379" s="23"/>
      <c r="R4379" s="23"/>
      <c r="S4379" s="14"/>
    </row>
    <row r="4380" ht="18.75" customHeight="1">
      <c r="A4380" s="7" t="s">
        <v>991</v>
      </c>
      <c r="B4380" s="7" t="s">
        <v>3884</v>
      </c>
      <c r="C4380" s="9">
        <v>203082.0</v>
      </c>
      <c r="D4380" s="9">
        <v>0.0</v>
      </c>
      <c r="E4380" s="9">
        <v>255.0</v>
      </c>
      <c r="F4380" s="7" t="s">
        <v>992</v>
      </c>
      <c r="G4380" s="7" t="s">
        <v>404</v>
      </c>
      <c r="H4380" s="7" t="s">
        <v>667</v>
      </c>
      <c r="I4380" s="7" t="s">
        <v>355</v>
      </c>
      <c r="J4380" s="14"/>
      <c r="O4380" s="22"/>
      <c r="P4380" s="22"/>
      <c r="Q4380" s="23"/>
      <c r="R4380" s="23"/>
      <c r="S4380" s="14"/>
    </row>
    <row r="4381" ht="18.75" customHeight="1">
      <c r="A4381" s="7" t="s">
        <v>991</v>
      </c>
      <c r="B4381" s="7" t="s">
        <v>3884</v>
      </c>
      <c r="C4381" s="9">
        <v>94053.0</v>
      </c>
      <c r="D4381" s="9">
        <v>0.0</v>
      </c>
      <c r="E4381" s="9">
        <v>109.0</v>
      </c>
      <c r="F4381" s="7" t="s">
        <v>992</v>
      </c>
      <c r="G4381" s="7" t="s">
        <v>404</v>
      </c>
      <c r="H4381" s="7" t="s">
        <v>667</v>
      </c>
      <c r="I4381" s="7" t="s">
        <v>355</v>
      </c>
      <c r="J4381" s="14"/>
      <c r="O4381" s="22"/>
      <c r="P4381" s="22"/>
      <c r="Q4381" s="23"/>
      <c r="R4381" s="23"/>
      <c r="S4381" s="14"/>
    </row>
    <row r="4382" ht="18.75" customHeight="1">
      <c r="A4382" s="7" t="s">
        <v>926</v>
      </c>
      <c r="B4382" s="7" t="s">
        <v>3884</v>
      </c>
      <c r="C4382" s="9">
        <v>156214.0</v>
      </c>
      <c r="D4382" s="9">
        <v>0.0</v>
      </c>
      <c r="E4382" s="9">
        <v>316.0</v>
      </c>
      <c r="F4382" s="7" t="s">
        <v>927</v>
      </c>
      <c r="G4382" s="7" t="s">
        <v>503</v>
      </c>
      <c r="H4382" s="7" t="s">
        <v>928</v>
      </c>
      <c r="I4382" s="7" t="s">
        <v>355</v>
      </c>
      <c r="J4382" s="14"/>
      <c r="O4382" s="22"/>
      <c r="P4382" s="22"/>
      <c r="Q4382" s="23"/>
      <c r="R4382" s="23"/>
      <c r="S4382" s="14"/>
    </row>
    <row r="4383" ht="18.75" customHeight="1">
      <c r="A4383" s="7" t="s">
        <v>926</v>
      </c>
      <c r="B4383" s="7" t="s">
        <v>3884</v>
      </c>
      <c r="C4383" s="9">
        <v>75238.0</v>
      </c>
      <c r="D4383" s="9">
        <v>0.0</v>
      </c>
      <c r="E4383" s="9">
        <v>105.0</v>
      </c>
      <c r="F4383" s="7" t="s">
        <v>927</v>
      </c>
      <c r="G4383" s="7" t="s">
        <v>503</v>
      </c>
      <c r="H4383" s="7" t="s">
        <v>928</v>
      </c>
      <c r="I4383" s="7" t="s">
        <v>355</v>
      </c>
      <c r="J4383" s="14"/>
      <c r="O4383" s="22"/>
      <c r="P4383" s="22"/>
      <c r="Q4383" s="23"/>
      <c r="R4383" s="23"/>
      <c r="S4383" s="14"/>
    </row>
    <row r="4384" ht="18.75" customHeight="1">
      <c r="A4384" s="7" t="s">
        <v>1039</v>
      </c>
      <c r="B4384" s="7" t="s">
        <v>3884</v>
      </c>
      <c r="C4384" s="9">
        <v>140598.0</v>
      </c>
      <c r="D4384" s="9">
        <v>0.0</v>
      </c>
      <c r="E4384" s="9">
        <v>253.0</v>
      </c>
      <c r="F4384" s="7" t="s">
        <v>1040</v>
      </c>
      <c r="G4384" s="7" t="s">
        <v>353</v>
      </c>
      <c r="H4384" s="7" t="s">
        <v>354</v>
      </c>
      <c r="I4384" s="7" t="s">
        <v>355</v>
      </c>
      <c r="J4384" s="14"/>
      <c r="O4384" s="22"/>
      <c r="P4384" s="22"/>
      <c r="Q4384" s="23"/>
      <c r="R4384" s="23"/>
      <c r="S4384" s="14"/>
    </row>
    <row r="4385" ht="18.75" customHeight="1">
      <c r="A4385" s="7" t="s">
        <v>1039</v>
      </c>
      <c r="B4385" s="7" t="s">
        <v>3884</v>
      </c>
      <c r="C4385" s="9">
        <v>65835.0</v>
      </c>
      <c r="D4385" s="9">
        <v>0.0</v>
      </c>
      <c r="E4385" s="9">
        <v>74.0</v>
      </c>
      <c r="F4385" s="7" t="s">
        <v>1040</v>
      </c>
      <c r="G4385" s="7" t="s">
        <v>353</v>
      </c>
      <c r="H4385" s="7" t="s">
        <v>354</v>
      </c>
      <c r="I4385" s="7" t="s">
        <v>355</v>
      </c>
      <c r="J4385" s="14"/>
      <c r="O4385" s="22"/>
      <c r="P4385" s="22"/>
      <c r="Q4385" s="23"/>
      <c r="R4385" s="23"/>
      <c r="S4385" s="14"/>
    </row>
    <row r="4386" ht="18.75" customHeight="1">
      <c r="A4386" s="7" t="s">
        <v>943</v>
      </c>
      <c r="B4386" s="7" t="s">
        <v>3884</v>
      </c>
      <c r="C4386" s="9">
        <v>124971.0</v>
      </c>
      <c r="D4386" s="9">
        <v>0.0</v>
      </c>
      <c r="E4386" s="9">
        <v>122.0</v>
      </c>
      <c r="F4386" s="7" t="s">
        <v>944</v>
      </c>
      <c r="G4386" s="7" t="s">
        <v>353</v>
      </c>
      <c r="H4386" s="7" t="s">
        <v>378</v>
      </c>
      <c r="I4386" s="7" t="s">
        <v>355</v>
      </c>
      <c r="J4386" s="14"/>
      <c r="O4386" s="22"/>
      <c r="P4386" s="22"/>
      <c r="Q4386" s="23"/>
      <c r="R4386" s="23"/>
      <c r="S4386" s="14"/>
    </row>
    <row r="4387" ht="18.75" customHeight="1">
      <c r="A4387" s="7" t="s">
        <v>943</v>
      </c>
      <c r="B4387" s="7" t="s">
        <v>3884</v>
      </c>
      <c r="C4387" s="9">
        <v>65833.0</v>
      </c>
      <c r="D4387" s="9">
        <v>0.0</v>
      </c>
      <c r="E4387" s="9">
        <v>91.0</v>
      </c>
      <c r="F4387" s="7" t="s">
        <v>944</v>
      </c>
      <c r="G4387" s="7" t="s">
        <v>353</v>
      </c>
      <c r="H4387" s="7" t="s">
        <v>378</v>
      </c>
      <c r="I4387" s="7" t="s">
        <v>355</v>
      </c>
      <c r="J4387" s="14"/>
      <c r="O4387" s="22"/>
      <c r="P4387" s="22"/>
      <c r="Q4387" s="23"/>
      <c r="R4387" s="23"/>
      <c r="S4387" s="14"/>
    </row>
    <row r="4388" ht="18.75" customHeight="1">
      <c r="A4388" s="7" t="s">
        <v>831</v>
      </c>
      <c r="B4388" s="7" t="s">
        <v>3884</v>
      </c>
      <c r="C4388" s="9">
        <v>46869.0</v>
      </c>
      <c r="D4388" s="9">
        <v>0.0</v>
      </c>
      <c r="E4388" s="9">
        <v>52.0</v>
      </c>
      <c r="F4388" s="7" t="s">
        <v>832</v>
      </c>
      <c r="G4388" s="7" t="s">
        <v>353</v>
      </c>
      <c r="H4388" s="7" t="s">
        <v>833</v>
      </c>
      <c r="I4388" s="7" t="s">
        <v>355</v>
      </c>
      <c r="J4388" s="14"/>
      <c r="O4388" s="22"/>
      <c r="P4388" s="22"/>
      <c r="Q4388" s="23"/>
      <c r="R4388" s="23"/>
      <c r="S4388" s="14"/>
    </row>
    <row r="4389" ht="18.75" customHeight="1">
      <c r="A4389" s="7" t="s">
        <v>831</v>
      </c>
      <c r="B4389" s="7" t="s">
        <v>3884</v>
      </c>
      <c r="C4389" s="9">
        <v>18810.0</v>
      </c>
      <c r="D4389" s="9">
        <v>0.0</v>
      </c>
      <c r="E4389" s="9">
        <v>27.0</v>
      </c>
      <c r="F4389" s="7" t="s">
        <v>832</v>
      </c>
      <c r="G4389" s="7" t="s">
        <v>353</v>
      </c>
      <c r="H4389" s="7" t="s">
        <v>833</v>
      </c>
      <c r="I4389" s="7" t="s">
        <v>355</v>
      </c>
      <c r="J4389" s="14"/>
      <c r="O4389" s="22"/>
      <c r="P4389" s="22"/>
      <c r="Q4389" s="23"/>
      <c r="R4389" s="23"/>
      <c r="S4389" s="14"/>
    </row>
    <row r="4390" ht="18.75" customHeight="1">
      <c r="A4390" s="7" t="s">
        <v>1001</v>
      </c>
      <c r="B4390" s="7" t="s">
        <v>3884</v>
      </c>
      <c r="C4390" s="9">
        <v>78106.0</v>
      </c>
      <c r="D4390" s="9">
        <v>0.0</v>
      </c>
      <c r="E4390" s="9">
        <v>150.0</v>
      </c>
      <c r="F4390" s="7" t="s">
        <v>1002</v>
      </c>
      <c r="G4390" s="7" t="s">
        <v>353</v>
      </c>
      <c r="H4390" s="7" t="s">
        <v>378</v>
      </c>
      <c r="I4390" s="7" t="s">
        <v>355</v>
      </c>
      <c r="J4390" s="14"/>
      <c r="O4390" s="22"/>
      <c r="P4390" s="22"/>
      <c r="Q4390" s="23"/>
      <c r="R4390" s="23"/>
      <c r="S4390" s="14"/>
    </row>
    <row r="4391" ht="18.75" customHeight="1">
      <c r="A4391" s="7" t="s">
        <v>1001</v>
      </c>
      <c r="B4391" s="7" t="s">
        <v>3884</v>
      </c>
      <c r="C4391" s="9">
        <v>37624.0</v>
      </c>
      <c r="D4391" s="9">
        <v>0.0</v>
      </c>
      <c r="E4391" s="9">
        <v>82.0</v>
      </c>
      <c r="F4391" s="7" t="s">
        <v>1002</v>
      </c>
      <c r="G4391" s="7" t="s">
        <v>353</v>
      </c>
      <c r="H4391" s="7" t="s">
        <v>378</v>
      </c>
      <c r="I4391" s="7" t="s">
        <v>355</v>
      </c>
      <c r="J4391" s="14"/>
      <c r="O4391" s="22"/>
      <c r="P4391" s="22"/>
      <c r="Q4391" s="23"/>
      <c r="R4391" s="23"/>
      <c r="S4391" s="14"/>
    </row>
    <row r="4392" ht="18.75" customHeight="1">
      <c r="A4392" s="7" t="s">
        <v>1145</v>
      </c>
      <c r="B4392" s="7" t="s">
        <v>3884</v>
      </c>
      <c r="C4392" s="9">
        <v>46868.0</v>
      </c>
      <c r="D4392" s="9">
        <v>0.0</v>
      </c>
      <c r="E4392" s="9">
        <v>91.0</v>
      </c>
      <c r="F4392" s="7" t="s">
        <v>1146</v>
      </c>
      <c r="G4392" s="7" t="s">
        <v>353</v>
      </c>
      <c r="H4392" s="7" t="s">
        <v>378</v>
      </c>
      <c r="I4392" s="7" t="s">
        <v>355</v>
      </c>
      <c r="J4392" s="14"/>
      <c r="O4392" s="22"/>
      <c r="P4392" s="22"/>
      <c r="Q4392" s="23"/>
      <c r="R4392" s="23"/>
      <c r="S4392" s="14"/>
    </row>
    <row r="4393" ht="18.75" customHeight="1">
      <c r="A4393" s="7" t="s">
        <v>1145</v>
      </c>
      <c r="B4393" s="7" t="s">
        <v>3884</v>
      </c>
      <c r="C4393" s="9">
        <v>9405.0</v>
      </c>
      <c r="D4393" s="9">
        <v>0.0</v>
      </c>
      <c r="E4393" s="9">
        <v>15.0</v>
      </c>
      <c r="F4393" s="7" t="s">
        <v>1146</v>
      </c>
      <c r="G4393" s="7" t="s">
        <v>353</v>
      </c>
      <c r="H4393" s="7" t="s">
        <v>378</v>
      </c>
      <c r="I4393" s="7" t="s">
        <v>355</v>
      </c>
      <c r="J4393" s="14"/>
      <c r="O4393" s="22"/>
      <c r="P4393" s="22"/>
      <c r="Q4393" s="23"/>
      <c r="R4393" s="23"/>
      <c r="S4393" s="14"/>
    </row>
    <row r="4394" ht="18.75" customHeight="1">
      <c r="A4394" s="7" t="s">
        <v>1193</v>
      </c>
      <c r="B4394" s="7" t="s">
        <v>3884</v>
      </c>
      <c r="C4394" s="9">
        <v>15623.0</v>
      </c>
      <c r="D4394" s="9">
        <v>0.0</v>
      </c>
      <c r="E4394" s="9">
        <v>17.0</v>
      </c>
      <c r="F4394" s="7" t="s">
        <v>1194</v>
      </c>
      <c r="G4394" s="7" t="s">
        <v>353</v>
      </c>
      <c r="H4394" s="7" t="s">
        <v>378</v>
      </c>
      <c r="I4394" s="7" t="s">
        <v>355</v>
      </c>
      <c r="J4394" s="14"/>
      <c r="O4394" s="22"/>
      <c r="P4394" s="22"/>
      <c r="Q4394" s="23"/>
      <c r="R4394" s="23"/>
      <c r="S4394" s="14"/>
    </row>
    <row r="4395" ht="18.75" customHeight="1">
      <c r="A4395" s="7" t="s">
        <v>1193</v>
      </c>
      <c r="B4395" s="7" t="s">
        <v>3884</v>
      </c>
      <c r="C4395" s="9">
        <v>28219.0</v>
      </c>
      <c r="D4395" s="9">
        <v>0.0</v>
      </c>
      <c r="E4395" s="9">
        <v>28.0</v>
      </c>
      <c r="F4395" s="7" t="s">
        <v>1194</v>
      </c>
      <c r="G4395" s="7" t="s">
        <v>353</v>
      </c>
      <c r="H4395" s="7" t="s">
        <v>378</v>
      </c>
      <c r="I4395" s="7" t="s">
        <v>355</v>
      </c>
      <c r="J4395" s="14"/>
      <c r="O4395" s="22"/>
      <c r="P4395" s="22"/>
      <c r="Q4395" s="23"/>
      <c r="R4395" s="23"/>
      <c r="S4395" s="14"/>
    </row>
    <row r="4396" ht="18.75" customHeight="1">
      <c r="A4396" s="7" t="s">
        <v>1201</v>
      </c>
      <c r="B4396" s="7" t="s">
        <v>3884</v>
      </c>
      <c r="C4396" s="9">
        <v>31246.0</v>
      </c>
      <c r="D4396" s="9">
        <v>0.0</v>
      </c>
      <c r="E4396" s="9">
        <v>37.0</v>
      </c>
      <c r="F4396" s="7" t="s">
        <v>1202</v>
      </c>
      <c r="G4396" s="7" t="s">
        <v>364</v>
      </c>
      <c r="H4396" s="7" t="s">
        <v>365</v>
      </c>
      <c r="I4396" s="7" t="s">
        <v>355</v>
      </c>
      <c r="J4396" s="14"/>
      <c r="O4396" s="22"/>
      <c r="P4396" s="22"/>
      <c r="Q4396" s="23"/>
      <c r="R4396" s="23"/>
      <c r="S4396" s="14"/>
    </row>
    <row r="4397" ht="18.75" customHeight="1">
      <c r="A4397" s="7" t="s">
        <v>1201</v>
      </c>
      <c r="B4397" s="7" t="s">
        <v>3884</v>
      </c>
      <c r="C4397" s="9">
        <v>47019.0</v>
      </c>
      <c r="D4397" s="9">
        <v>0.0</v>
      </c>
      <c r="E4397" s="9">
        <v>68.0</v>
      </c>
      <c r="F4397" s="7" t="s">
        <v>1202</v>
      </c>
      <c r="G4397" s="7" t="s">
        <v>364</v>
      </c>
      <c r="H4397" s="7" t="s">
        <v>365</v>
      </c>
      <c r="I4397" s="7" t="s">
        <v>355</v>
      </c>
      <c r="J4397" s="14"/>
      <c r="O4397" s="22"/>
      <c r="P4397" s="22"/>
      <c r="Q4397" s="23"/>
      <c r="R4397" s="23"/>
      <c r="S4397" s="14"/>
    </row>
    <row r="4398" ht="18.75" customHeight="1">
      <c r="A4398" s="7" t="s">
        <v>1223</v>
      </c>
      <c r="B4398" s="7" t="s">
        <v>3884</v>
      </c>
      <c r="C4398" s="9">
        <v>78102.0</v>
      </c>
      <c r="D4398" s="9">
        <v>0.0</v>
      </c>
      <c r="E4398" s="9">
        <v>117.0</v>
      </c>
      <c r="F4398" s="7" t="s">
        <v>1224</v>
      </c>
      <c r="G4398" s="7" t="s">
        <v>353</v>
      </c>
      <c r="H4398" s="7" t="s">
        <v>378</v>
      </c>
      <c r="I4398" s="7" t="s">
        <v>355</v>
      </c>
      <c r="J4398" s="14"/>
      <c r="O4398" s="22"/>
      <c r="P4398" s="22"/>
      <c r="Q4398" s="23"/>
      <c r="R4398" s="23"/>
      <c r="S4398" s="14"/>
    </row>
    <row r="4399" ht="18.75" customHeight="1">
      <c r="A4399" s="7" t="s">
        <v>1223</v>
      </c>
      <c r="B4399" s="7" t="s">
        <v>3884</v>
      </c>
      <c r="C4399" s="9">
        <v>28212.0</v>
      </c>
      <c r="D4399" s="9">
        <v>0.0</v>
      </c>
      <c r="E4399" s="9">
        <v>44.0</v>
      </c>
      <c r="F4399" s="7" t="s">
        <v>1224</v>
      </c>
      <c r="G4399" s="7" t="s">
        <v>353</v>
      </c>
      <c r="H4399" s="7" t="s">
        <v>378</v>
      </c>
      <c r="I4399" s="7" t="s">
        <v>355</v>
      </c>
      <c r="J4399" s="14"/>
      <c r="O4399" s="22"/>
      <c r="P4399" s="22"/>
      <c r="Q4399" s="23"/>
      <c r="R4399" s="23"/>
      <c r="S4399" s="14"/>
    </row>
    <row r="4400" ht="18.75" customHeight="1">
      <c r="A4400" s="7" t="s">
        <v>1077</v>
      </c>
      <c r="B4400" s="7" t="s">
        <v>3884</v>
      </c>
      <c r="C4400" s="9">
        <v>78107.0</v>
      </c>
      <c r="D4400" s="9">
        <v>0.0</v>
      </c>
      <c r="E4400" s="9">
        <v>175.0</v>
      </c>
      <c r="F4400" s="7" t="s">
        <v>1078</v>
      </c>
      <c r="G4400" s="7" t="s">
        <v>353</v>
      </c>
      <c r="H4400" s="7" t="s">
        <v>378</v>
      </c>
      <c r="I4400" s="7" t="s">
        <v>355</v>
      </c>
      <c r="J4400" s="14"/>
      <c r="O4400" s="22"/>
      <c r="P4400" s="22"/>
      <c r="Q4400" s="23"/>
      <c r="R4400" s="23"/>
      <c r="S4400" s="14"/>
    </row>
    <row r="4401" ht="18.75" customHeight="1">
      <c r="A4401" s="7" t="s">
        <v>1077</v>
      </c>
      <c r="B4401" s="7" t="s">
        <v>3884</v>
      </c>
      <c r="C4401" s="9">
        <v>28216.0</v>
      </c>
      <c r="D4401" s="9">
        <v>0.0</v>
      </c>
      <c r="E4401" s="9">
        <v>35.0</v>
      </c>
      <c r="F4401" s="7" t="s">
        <v>1078</v>
      </c>
      <c r="G4401" s="7" t="s">
        <v>353</v>
      </c>
      <c r="H4401" s="7" t="s">
        <v>378</v>
      </c>
      <c r="I4401" s="7" t="s">
        <v>355</v>
      </c>
      <c r="J4401" s="14"/>
      <c r="O4401" s="22"/>
      <c r="P4401" s="22"/>
      <c r="Q4401" s="23"/>
      <c r="R4401" s="23"/>
      <c r="S4401" s="14"/>
    </row>
    <row r="4402" ht="18.75" customHeight="1">
      <c r="A4402" s="7" t="s">
        <v>1135</v>
      </c>
      <c r="B4402" s="7" t="s">
        <v>3884</v>
      </c>
      <c r="C4402" s="9">
        <v>78109.0</v>
      </c>
      <c r="D4402" s="9">
        <v>0.0</v>
      </c>
      <c r="E4402" s="9">
        <v>168.0</v>
      </c>
      <c r="F4402" s="7" t="s">
        <v>1136</v>
      </c>
      <c r="G4402" s="7" t="s">
        <v>404</v>
      </c>
      <c r="H4402" s="7" t="s">
        <v>667</v>
      </c>
      <c r="I4402" s="7" t="s">
        <v>355</v>
      </c>
      <c r="J4402" s="14"/>
      <c r="O4402" s="22"/>
      <c r="P4402" s="22"/>
      <c r="Q4402" s="23"/>
      <c r="R4402" s="23"/>
      <c r="S4402" s="14"/>
    </row>
    <row r="4403" ht="18.75" customHeight="1">
      <c r="A4403" s="7" t="s">
        <v>1135</v>
      </c>
      <c r="B4403" s="7" t="s">
        <v>3884</v>
      </c>
      <c r="C4403" s="9">
        <v>28216.0</v>
      </c>
      <c r="D4403" s="9">
        <v>0.0</v>
      </c>
      <c r="E4403" s="9">
        <v>49.0</v>
      </c>
      <c r="F4403" s="7" t="s">
        <v>1136</v>
      </c>
      <c r="G4403" s="7" t="s">
        <v>404</v>
      </c>
      <c r="H4403" s="7" t="s">
        <v>667</v>
      </c>
      <c r="I4403" s="7" t="s">
        <v>355</v>
      </c>
      <c r="J4403" s="14"/>
      <c r="O4403" s="22"/>
      <c r="P4403" s="22"/>
      <c r="Q4403" s="23"/>
      <c r="R4403" s="23"/>
      <c r="S4403" s="14"/>
    </row>
    <row r="4404" ht="18.75" customHeight="1">
      <c r="A4404" s="7" t="s">
        <v>1283</v>
      </c>
      <c r="B4404" s="7" t="s">
        <v>3884</v>
      </c>
      <c r="C4404" s="9">
        <v>46861.0</v>
      </c>
      <c r="D4404" s="9">
        <v>0.0</v>
      </c>
      <c r="E4404" s="9">
        <v>76.0</v>
      </c>
      <c r="F4404" s="7" t="s">
        <v>1284</v>
      </c>
      <c r="G4404" s="7" t="s">
        <v>503</v>
      </c>
      <c r="H4404" s="7" t="s">
        <v>928</v>
      </c>
      <c r="I4404" s="7" t="s">
        <v>355</v>
      </c>
      <c r="J4404" s="14"/>
      <c r="O4404" s="22"/>
      <c r="P4404" s="22"/>
      <c r="Q4404" s="23"/>
      <c r="R4404" s="23"/>
      <c r="S4404" s="14"/>
    </row>
    <row r="4405" ht="18.75" customHeight="1">
      <c r="A4405" s="7" t="s">
        <v>1283</v>
      </c>
      <c r="B4405" s="7" t="s">
        <v>3884</v>
      </c>
      <c r="C4405" s="9">
        <v>9407.0</v>
      </c>
      <c r="D4405" s="9">
        <v>0.0</v>
      </c>
      <c r="E4405" s="9">
        <v>17.0</v>
      </c>
      <c r="F4405" s="7" t="s">
        <v>1284</v>
      </c>
      <c r="G4405" s="7" t="s">
        <v>503</v>
      </c>
      <c r="H4405" s="7" t="s">
        <v>928</v>
      </c>
      <c r="I4405" s="7" t="s">
        <v>355</v>
      </c>
      <c r="J4405" s="14"/>
      <c r="O4405" s="22"/>
      <c r="P4405" s="22"/>
      <c r="Q4405" s="23"/>
      <c r="R4405" s="23"/>
      <c r="S4405" s="14"/>
    </row>
    <row r="4406" ht="18.75" customHeight="1">
      <c r="A4406" s="7" t="s">
        <v>1307</v>
      </c>
      <c r="B4406" s="7" t="s">
        <v>3884</v>
      </c>
      <c r="C4406" s="9">
        <v>71484.0</v>
      </c>
      <c r="D4406" s="9">
        <v>0.0</v>
      </c>
      <c r="E4406" s="9">
        <v>107.0</v>
      </c>
      <c r="F4406" s="7" t="s">
        <v>1308</v>
      </c>
      <c r="G4406" s="7" t="s">
        <v>416</v>
      </c>
      <c r="H4406" s="7" t="s">
        <v>417</v>
      </c>
      <c r="I4406" s="7" t="s">
        <v>355</v>
      </c>
      <c r="J4406" s="14"/>
      <c r="O4406" s="22"/>
      <c r="P4406" s="22"/>
      <c r="Q4406" s="23"/>
      <c r="R4406" s="23"/>
      <c r="S4406" s="14"/>
    </row>
    <row r="4407" ht="18.75" customHeight="1">
      <c r="A4407" s="7" t="s">
        <v>1307</v>
      </c>
      <c r="B4407" s="7" t="s">
        <v>3884</v>
      </c>
      <c r="C4407" s="9">
        <v>25950.0</v>
      </c>
      <c r="D4407" s="9">
        <v>0.0</v>
      </c>
      <c r="E4407" s="9">
        <v>47.0</v>
      </c>
      <c r="F4407" s="7" t="s">
        <v>1308</v>
      </c>
      <c r="G4407" s="7" t="s">
        <v>416</v>
      </c>
      <c r="H4407" s="7" t="s">
        <v>417</v>
      </c>
      <c r="I4407" s="7" t="s">
        <v>355</v>
      </c>
      <c r="J4407" s="14"/>
      <c r="O4407" s="22"/>
      <c r="P4407" s="22"/>
      <c r="Q4407" s="23"/>
      <c r="R4407" s="23"/>
      <c r="S4407" s="14"/>
    </row>
    <row r="4408" ht="18.75" customHeight="1">
      <c r="A4408" s="7" t="s">
        <v>1305</v>
      </c>
      <c r="B4408" s="7" t="s">
        <v>3884</v>
      </c>
      <c r="C4408" s="9">
        <v>15622.0</v>
      </c>
      <c r="D4408" s="9">
        <v>0.0</v>
      </c>
      <c r="E4408" s="9">
        <v>22.0</v>
      </c>
      <c r="F4408" s="7" t="s">
        <v>1306</v>
      </c>
      <c r="G4408" s="7" t="s">
        <v>353</v>
      </c>
      <c r="H4408" s="7" t="s">
        <v>378</v>
      </c>
      <c r="I4408" s="7" t="s">
        <v>355</v>
      </c>
      <c r="J4408" s="14"/>
      <c r="O4408" s="22"/>
      <c r="P4408" s="22"/>
      <c r="Q4408" s="23"/>
      <c r="R4408" s="23"/>
      <c r="S4408" s="14"/>
    </row>
    <row r="4409" ht="18.75" customHeight="1">
      <c r="A4409" s="7" t="s">
        <v>1305</v>
      </c>
      <c r="B4409" s="7" t="s">
        <v>3884</v>
      </c>
      <c r="C4409" s="9">
        <v>47018.0</v>
      </c>
      <c r="D4409" s="9">
        <v>0.0</v>
      </c>
      <c r="E4409" s="9">
        <v>72.0</v>
      </c>
      <c r="F4409" s="7" t="s">
        <v>1306</v>
      </c>
      <c r="G4409" s="7" t="s">
        <v>353</v>
      </c>
      <c r="H4409" s="7" t="s">
        <v>378</v>
      </c>
      <c r="I4409" s="7" t="s">
        <v>355</v>
      </c>
      <c r="J4409" s="14"/>
      <c r="O4409" s="22"/>
      <c r="P4409" s="22"/>
      <c r="Q4409" s="23"/>
      <c r="R4409" s="23"/>
      <c r="S4409" s="14"/>
    </row>
    <row r="4410" ht="18.75" customHeight="1">
      <c r="A4410" s="7" t="s">
        <v>1149</v>
      </c>
      <c r="B4410" s="7" t="s">
        <v>3884</v>
      </c>
      <c r="C4410" s="9">
        <v>15627.0</v>
      </c>
      <c r="D4410" s="9">
        <v>0.0</v>
      </c>
      <c r="E4410" s="9">
        <v>28.0</v>
      </c>
      <c r="F4410" s="7" t="s">
        <v>1150</v>
      </c>
      <c r="G4410" s="7" t="s">
        <v>404</v>
      </c>
      <c r="H4410" s="7" t="s">
        <v>667</v>
      </c>
      <c r="I4410" s="7" t="s">
        <v>355</v>
      </c>
      <c r="J4410" s="14"/>
      <c r="O4410" s="22"/>
      <c r="P4410" s="22"/>
      <c r="Q4410" s="23"/>
      <c r="R4410" s="23"/>
      <c r="S4410" s="14"/>
    </row>
    <row r="4411" ht="18.75" customHeight="1">
      <c r="A4411" s="7" t="s">
        <v>1149</v>
      </c>
      <c r="B4411" s="7" t="s">
        <v>3884</v>
      </c>
      <c r="C4411" s="9">
        <v>26325.0</v>
      </c>
      <c r="D4411" s="9">
        <v>0.0</v>
      </c>
      <c r="E4411" s="9">
        <v>19.0</v>
      </c>
      <c r="F4411" s="7" t="s">
        <v>1150</v>
      </c>
      <c r="G4411" s="7" t="s">
        <v>404</v>
      </c>
      <c r="H4411" s="7" t="s">
        <v>667</v>
      </c>
      <c r="I4411" s="7" t="s">
        <v>355</v>
      </c>
      <c r="J4411" s="14"/>
      <c r="O4411" s="22"/>
      <c r="P4411" s="22"/>
      <c r="Q4411" s="23"/>
      <c r="R4411" s="23"/>
      <c r="S4411" s="14"/>
    </row>
    <row r="4412" ht="18.75" customHeight="1">
      <c r="A4412" s="7" t="s">
        <v>1077</v>
      </c>
      <c r="B4412" s="7" t="s">
        <v>3884</v>
      </c>
      <c r="C4412" s="9">
        <v>0.0</v>
      </c>
      <c r="D4412" s="9">
        <v>0.0</v>
      </c>
      <c r="E4412" s="9">
        <v>0.0</v>
      </c>
      <c r="F4412" s="7" t="s">
        <v>1078</v>
      </c>
      <c r="G4412" s="7" t="s">
        <v>353</v>
      </c>
      <c r="H4412" s="7" t="s">
        <v>378</v>
      </c>
      <c r="I4412" s="7" t="s">
        <v>355</v>
      </c>
      <c r="J4412" s="14"/>
      <c r="O4412" s="22"/>
      <c r="P4412" s="22"/>
      <c r="Q4412" s="23"/>
      <c r="R4412" s="23"/>
      <c r="S4412" s="14"/>
    </row>
    <row r="4413" ht="18.75" customHeight="1">
      <c r="A4413" s="7" t="s">
        <v>1077</v>
      </c>
      <c r="B4413" s="7" t="s">
        <v>3884</v>
      </c>
      <c r="C4413" s="9">
        <v>8702.0</v>
      </c>
      <c r="D4413" s="9">
        <v>0.0</v>
      </c>
      <c r="E4413" s="9">
        <v>11.0</v>
      </c>
      <c r="F4413" s="7" t="s">
        <v>1078</v>
      </c>
      <c r="G4413" s="7" t="s">
        <v>353</v>
      </c>
      <c r="H4413" s="7" t="s">
        <v>378</v>
      </c>
      <c r="I4413" s="7" t="s">
        <v>355</v>
      </c>
      <c r="J4413" s="14"/>
      <c r="O4413" s="22"/>
      <c r="P4413" s="22"/>
      <c r="Q4413" s="23"/>
      <c r="R4413" s="23"/>
      <c r="S4413" s="14"/>
    </row>
    <row r="4414" ht="18.75" customHeight="1">
      <c r="A4414" s="7" t="s">
        <v>1135</v>
      </c>
      <c r="B4414" s="7" t="s">
        <v>3884</v>
      </c>
      <c r="C4414" s="9">
        <v>78110.0</v>
      </c>
      <c r="D4414" s="9">
        <v>0.0</v>
      </c>
      <c r="E4414" s="9">
        <v>139.0</v>
      </c>
      <c r="F4414" s="7" t="s">
        <v>1136</v>
      </c>
      <c r="G4414" s="7" t="s">
        <v>404</v>
      </c>
      <c r="H4414" s="7" t="s">
        <v>667</v>
      </c>
      <c r="I4414" s="7" t="s">
        <v>355</v>
      </c>
      <c r="J4414" s="14"/>
      <c r="O4414" s="22"/>
      <c r="P4414" s="22"/>
      <c r="Q4414" s="23"/>
      <c r="R4414" s="23"/>
      <c r="S4414" s="14"/>
    </row>
    <row r="4415" ht="18.75" customHeight="1">
      <c r="A4415" s="7" t="s">
        <v>1135</v>
      </c>
      <c r="B4415" s="7" t="s">
        <v>3884</v>
      </c>
      <c r="C4415" s="9">
        <v>28215.0</v>
      </c>
      <c r="D4415" s="9">
        <v>0.0</v>
      </c>
      <c r="E4415" s="9">
        <v>35.0</v>
      </c>
      <c r="F4415" s="7" t="s">
        <v>1136</v>
      </c>
      <c r="G4415" s="7" t="s">
        <v>404</v>
      </c>
      <c r="H4415" s="7" t="s">
        <v>667</v>
      </c>
      <c r="I4415" s="7" t="s">
        <v>355</v>
      </c>
      <c r="J4415" s="14"/>
      <c r="O4415" s="22"/>
      <c r="P4415" s="22"/>
      <c r="Q4415" s="23"/>
      <c r="R4415" s="23"/>
      <c r="S4415" s="14"/>
    </row>
    <row r="4416" ht="18.75" customHeight="1">
      <c r="A4416" s="7" t="s">
        <v>1149</v>
      </c>
      <c r="B4416" s="7" t="s">
        <v>3884</v>
      </c>
      <c r="C4416" s="9">
        <v>10126.0</v>
      </c>
      <c r="D4416" s="9">
        <v>0.0</v>
      </c>
      <c r="E4416" s="9">
        <v>7.0</v>
      </c>
      <c r="F4416" s="7" t="s">
        <v>1150</v>
      </c>
      <c r="G4416" s="7" t="s">
        <v>404</v>
      </c>
      <c r="H4416" s="7" t="s">
        <v>667</v>
      </c>
      <c r="I4416" s="7" t="s">
        <v>355</v>
      </c>
      <c r="J4416" s="14"/>
      <c r="O4416" s="22"/>
      <c r="P4416" s="22"/>
      <c r="Q4416" s="23"/>
      <c r="R4416" s="23"/>
      <c r="S4416" s="14"/>
    </row>
    <row r="4417" ht="18.75" customHeight="1">
      <c r="A4417" s="7" t="s">
        <v>1149</v>
      </c>
      <c r="B4417" s="7" t="s">
        <v>3884</v>
      </c>
      <c r="C4417" s="9">
        <v>17103.0</v>
      </c>
      <c r="D4417" s="9">
        <v>0.0</v>
      </c>
      <c r="E4417" s="9">
        <v>23.0</v>
      </c>
      <c r="F4417" s="7" t="s">
        <v>1150</v>
      </c>
      <c r="G4417" s="7" t="s">
        <v>404</v>
      </c>
      <c r="H4417" s="7" t="s">
        <v>667</v>
      </c>
      <c r="I4417" s="7" t="s">
        <v>355</v>
      </c>
      <c r="J4417" s="14"/>
      <c r="O4417" s="22"/>
      <c r="P4417" s="22"/>
      <c r="Q4417" s="23"/>
      <c r="R4417" s="23"/>
      <c r="S4417" s="14"/>
    </row>
    <row r="4418" ht="18.75" customHeight="1">
      <c r="A4418" s="7" t="s">
        <v>1193</v>
      </c>
      <c r="B4418" s="7" t="s">
        <v>3884</v>
      </c>
      <c r="C4418" s="9">
        <v>15623.0</v>
      </c>
      <c r="D4418" s="9">
        <v>0.0</v>
      </c>
      <c r="E4418" s="9">
        <v>27.0</v>
      </c>
      <c r="F4418" s="7" t="s">
        <v>1194</v>
      </c>
      <c r="G4418" s="7" t="s">
        <v>353</v>
      </c>
      <c r="H4418" s="7" t="s">
        <v>378</v>
      </c>
      <c r="I4418" s="7" t="s">
        <v>355</v>
      </c>
      <c r="J4418" s="14"/>
      <c r="O4418" s="22"/>
      <c r="P4418" s="22"/>
      <c r="Q4418" s="23"/>
      <c r="R4418" s="23"/>
      <c r="S4418" s="14"/>
    </row>
    <row r="4419" ht="18.75" customHeight="1">
      <c r="A4419" s="7" t="s">
        <v>1193</v>
      </c>
      <c r="B4419" s="7" t="s">
        <v>3884</v>
      </c>
      <c r="C4419" s="9">
        <v>28214.0</v>
      </c>
      <c r="D4419" s="9">
        <v>0.0</v>
      </c>
      <c r="E4419" s="9">
        <v>58.0</v>
      </c>
      <c r="F4419" s="7" t="s">
        <v>1194</v>
      </c>
      <c r="G4419" s="7" t="s">
        <v>353</v>
      </c>
      <c r="H4419" s="7" t="s">
        <v>378</v>
      </c>
      <c r="I4419" s="7" t="s">
        <v>355</v>
      </c>
      <c r="J4419" s="14"/>
      <c r="O4419" s="22"/>
      <c r="P4419" s="22"/>
      <c r="Q4419" s="23"/>
      <c r="R4419" s="23"/>
      <c r="S4419" s="14"/>
    </row>
    <row r="4420" ht="18.75" customHeight="1">
      <c r="A4420" s="7" t="s">
        <v>351</v>
      </c>
      <c r="B4420" s="7" t="s">
        <v>3884</v>
      </c>
      <c r="C4420" s="9">
        <v>8258.0</v>
      </c>
      <c r="D4420" s="9">
        <v>0.0</v>
      </c>
      <c r="E4420" s="9">
        <v>27.0</v>
      </c>
      <c r="F4420" s="7" t="s">
        <v>352</v>
      </c>
      <c r="G4420" s="7" t="s">
        <v>353</v>
      </c>
      <c r="H4420" s="7" t="s">
        <v>354</v>
      </c>
      <c r="I4420" s="7" t="s">
        <v>410</v>
      </c>
      <c r="J4420" s="14"/>
      <c r="O4420" s="22"/>
      <c r="P4420" s="22"/>
      <c r="Q4420" s="23"/>
      <c r="R4420" s="23"/>
      <c r="S4420" s="14"/>
    </row>
    <row r="4421" ht="18.75" customHeight="1">
      <c r="A4421" s="7" t="s">
        <v>351</v>
      </c>
      <c r="B4421" s="7" t="s">
        <v>3884</v>
      </c>
      <c r="C4421" s="9">
        <v>4344.0</v>
      </c>
      <c r="D4421" s="9">
        <v>0.0</v>
      </c>
      <c r="E4421" s="9">
        <v>17.0</v>
      </c>
      <c r="F4421" s="7" t="s">
        <v>352</v>
      </c>
      <c r="G4421" s="7" t="s">
        <v>353</v>
      </c>
      <c r="H4421" s="7" t="s">
        <v>354</v>
      </c>
      <c r="I4421" s="7" t="s">
        <v>410</v>
      </c>
      <c r="J4421" s="14"/>
      <c r="O4421" s="22"/>
      <c r="P4421" s="22"/>
      <c r="Q4421" s="23"/>
      <c r="R4421" s="23"/>
      <c r="S4421" s="14"/>
    </row>
    <row r="4422" ht="18.75" customHeight="1">
      <c r="A4422" s="7" t="s">
        <v>1001</v>
      </c>
      <c r="B4422" s="7" t="s">
        <v>3884</v>
      </c>
      <c r="C4422" s="9">
        <v>78100.0</v>
      </c>
      <c r="D4422" s="9">
        <v>0.0</v>
      </c>
      <c r="E4422" s="9">
        <v>105.0</v>
      </c>
      <c r="F4422" s="7" t="s">
        <v>1002</v>
      </c>
      <c r="G4422" s="7" t="s">
        <v>353</v>
      </c>
      <c r="H4422" s="7" t="s">
        <v>378</v>
      </c>
      <c r="I4422" s="7" t="s">
        <v>355</v>
      </c>
      <c r="J4422" s="14"/>
      <c r="O4422" s="22"/>
      <c r="P4422" s="22"/>
      <c r="Q4422" s="23"/>
      <c r="R4422" s="23"/>
      <c r="S4422" s="14"/>
    </row>
    <row r="4423" ht="18.75" customHeight="1">
      <c r="A4423" s="7" t="s">
        <v>1001</v>
      </c>
      <c r="B4423" s="7" t="s">
        <v>3884</v>
      </c>
      <c r="C4423" s="9">
        <v>37627.0</v>
      </c>
      <c r="D4423" s="9">
        <v>0.0</v>
      </c>
      <c r="E4423" s="9">
        <v>60.0</v>
      </c>
      <c r="F4423" s="7" t="s">
        <v>1002</v>
      </c>
      <c r="G4423" s="7" t="s">
        <v>353</v>
      </c>
      <c r="H4423" s="7" t="s">
        <v>378</v>
      </c>
      <c r="I4423" s="7" t="s">
        <v>355</v>
      </c>
      <c r="J4423" s="14"/>
      <c r="O4423" s="22"/>
      <c r="P4423" s="22"/>
      <c r="Q4423" s="23"/>
      <c r="R4423" s="23"/>
      <c r="S4423" s="14"/>
    </row>
    <row r="4424" ht="18.75" customHeight="1">
      <c r="A4424" s="7" t="s">
        <v>1223</v>
      </c>
      <c r="B4424" s="7" t="s">
        <v>3884</v>
      </c>
      <c r="C4424" s="9">
        <v>78044.0</v>
      </c>
      <c r="D4424" s="9">
        <v>0.0</v>
      </c>
      <c r="E4424" s="9">
        <v>123.0</v>
      </c>
      <c r="F4424" s="7" t="s">
        <v>1224</v>
      </c>
      <c r="G4424" s="7" t="s">
        <v>353</v>
      </c>
      <c r="H4424" s="7" t="s">
        <v>378</v>
      </c>
      <c r="I4424" s="7" t="s">
        <v>355</v>
      </c>
      <c r="J4424" s="14"/>
      <c r="O4424" s="22"/>
      <c r="P4424" s="22"/>
      <c r="Q4424" s="23"/>
      <c r="R4424" s="23"/>
      <c r="S4424" s="14"/>
    </row>
    <row r="4425" ht="18.75" customHeight="1">
      <c r="A4425" s="7" t="s">
        <v>1223</v>
      </c>
      <c r="B4425" s="7" t="s">
        <v>3884</v>
      </c>
      <c r="C4425" s="9">
        <v>28196.0</v>
      </c>
      <c r="D4425" s="9">
        <v>0.0</v>
      </c>
      <c r="E4425" s="9">
        <v>29.0</v>
      </c>
      <c r="F4425" s="7" t="s">
        <v>1224</v>
      </c>
      <c r="G4425" s="7" t="s">
        <v>353</v>
      </c>
      <c r="H4425" s="7" t="s">
        <v>378</v>
      </c>
      <c r="I4425" s="7" t="s">
        <v>355</v>
      </c>
      <c r="J4425" s="14"/>
      <c r="O4425" s="22"/>
      <c r="P4425" s="22"/>
      <c r="Q4425" s="23"/>
      <c r="R4425" s="23"/>
      <c r="S4425" s="14"/>
    </row>
    <row r="4426" ht="18.75" customHeight="1">
      <c r="A4426" s="7" t="s">
        <v>1305</v>
      </c>
      <c r="B4426" s="7" t="s">
        <v>3884</v>
      </c>
      <c r="C4426" s="9">
        <v>15613.0</v>
      </c>
      <c r="D4426" s="9">
        <v>0.0</v>
      </c>
      <c r="E4426" s="9">
        <v>25.0</v>
      </c>
      <c r="F4426" s="7" t="s">
        <v>1306</v>
      </c>
      <c r="G4426" s="7" t="s">
        <v>353</v>
      </c>
      <c r="H4426" s="7" t="s">
        <v>378</v>
      </c>
      <c r="I4426" s="7" t="s">
        <v>355</v>
      </c>
      <c r="J4426" s="14"/>
      <c r="O4426" s="22"/>
      <c r="P4426" s="22"/>
      <c r="Q4426" s="23"/>
      <c r="R4426" s="23"/>
      <c r="S4426" s="14"/>
    </row>
    <row r="4427" ht="18.75" customHeight="1">
      <c r="A4427" s="7" t="s">
        <v>1305</v>
      </c>
      <c r="B4427" s="7" t="s">
        <v>3884</v>
      </c>
      <c r="C4427" s="9">
        <v>47001.0</v>
      </c>
      <c r="D4427" s="9">
        <v>0.0</v>
      </c>
      <c r="E4427" s="9">
        <v>57.0</v>
      </c>
      <c r="F4427" s="7" t="s">
        <v>1306</v>
      </c>
      <c r="G4427" s="7" t="s">
        <v>353</v>
      </c>
      <c r="H4427" s="7" t="s">
        <v>378</v>
      </c>
      <c r="I4427" s="7" t="s">
        <v>355</v>
      </c>
      <c r="J4427" s="14"/>
      <c r="O4427" s="22"/>
      <c r="P4427" s="22"/>
      <c r="Q4427" s="23"/>
      <c r="R4427" s="23"/>
      <c r="S4427" s="14"/>
    </row>
    <row r="4428" ht="18.75" customHeight="1">
      <c r="A4428" s="7" t="s">
        <v>1283</v>
      </c>
      <c r="B4428" s="7" t="s">
        <v>3884</v>
      </c>
      <c r="C4428" s="9">
        <v>78108.0</v>
      </c>
      <c r="D4428" s="9">
        <v>0.0</v>
      </c>
      <c r="E4428" s="9">
        <v>69.0</v>
      </c>
      <c r="F4428" s="7" t="s">
        <v>1284</v>
      </c>
      <c r="G4428" s="7" t="s">
        <v>503</v>
      </c>
      <c r="H4428" s="7" t="s">
        <v>928</v>
      </c>
      <c r="I4428" s="7" t="s">
        <v>355</v>
      </c>
      <c r="J4428" s="14"/>
      <c r="O4428" s="22"/>
      <c r="P4428" s="22"/>
      <c r="Q4428" s="23"/>
      <c r="R4428" s="23"/>
      <c r="S4428" s="14"/>
    </row>
    <row r="4429" ht="18.75" customHeight="1">
      <c r="A4429" s="7" t="s">
        <v>1283</v>
      </c>
      <c r="B4429" s="7" t="s">
        <v>3884</v>
      </c>
      <c r="C4429" s="9">
        <v>47023.0</v>
      </c>
      <c r="D4429" s="9">
        <v>0.0</v>
      </c>
      <c r="E4429" s="9">
        <v>67.0</v>
      </c>
      <c r="F4429" s="7" t="s">
        <v>1284</v>
      </c>
      <c r="G4429" s="7" t="s">
        <v>503</v>
      </c>
      <c r="H4429" s="7" t="s">
        <v>928</v>
      </c>
      <c r="I4429" s="7" t="s">
        <v>355</v>
      </c>
      <c r="J4429" s="14"/>
      <c r="O4429" s="22"/>
      <c r="P4429" s="22"/>
      <c r="Q4429" s="23"/>
      <c r="R4429" s="23"/>
      <c r="S4429" s="14"/>
    </row>
    <row r="4430" ht="18.75" customHeight="1">
      <c r="A4430" s="7" t="s">
        <v>1275</v>
      </c>
      <c r="B4430" s="7" t="s">
        <v>3884</v>
      </c>
      <c r="C4430" s="9">
        <v>218603.0</v>
      </c>
      <c r="D4430" s="9">
        <v>0.0</v>
      </c>
      <c r="E4430" s="9">
        <v>329.0</v>
      </c>
      <c r="F4430" s="7" t="s">
        <v>1276</v>
      </c>
      <c r="G4430" s="7" t="s">
        <v>353</v>
      </c>
      <c r="H4430" s="7" t="s">
        <v>378</v>
      </c>
      <c r="I4430" s="7" t="s">
        <v>355</v>
      </c>
      <c r="J4430" s="14"/>
      <c r="O4430" s="22"/>
      <c r="P4430" s="22"/>
      <c r="Q4430" s="23"/>
      <c r="R4430" s="23"/>
      <c r="S4430" s="14"/>
    </row>
    <row r="4431" ht="18.75" customHeight="1">
      <c r="A4431" s="7" t="s">
        <v>1275</v>
      </c>
      <c r="B4431" s="7" t="s">
        <v>3884</v>
      </c>
      <c r="C4431" s="9">
        <v>65812.0</v>
      </c>
      <c r="D4431" s="9">
        <v>0.0</v>
      </c>
      <c r="E4431" s="9">
        <v>94.0</v>
      </c>
      <c r="F4431" s="7" t="s">
        <v>1276</v>
      </c>
      <c r="G4431" s="7" t="s">
        <v>353</v>
      </c>
      <c r="H4431" s="7" t="s">
        <v>378</v>
      </c>
      <c r="I4431" s="7" t="s">
        <v>355</v>
      </c>
      <c r="J4431" s="14"/>
      <c r="O4431" s="22"/>
      <c r="P4431" s="22"/>
      <c r="Q4431" s="23"/>
      <c r="R4431" s="23"/>
      <c r="S4431" s="14"/>
    </row>
    <row r="4432" ht="18.75" customHeight="1">
      <c r="A4432" s="7" t="s">
        <v>1373</v>
      </c>
      <c r="B4432" s="7" t="s">
        <v>3884</v>
      </c>
      <c r="C4432" s="9">
        <v>0.0</v>
      </c>
      <c r="D4432" s="9">
        <v>0.0</v>
      </c>
      <c r="E4432" s="9">
        <v>0.0</v>
      </c>
      <c r="F4432" s="7" t="s">
        <v>1374</v>
      </c>
      <c r="G4432" s="7" t="s">
        <v>364</v>
      </c>
      <c r="H4432" s="7" t="s">
        <v>365</v>
      </c>
      <c r="I4432" s="7" t="s">
        <v>355</v>
      </c>
      <c r="J4432" s="14"/>
      <c r="O4432" s="22"/>
      <c r="P4432" s="22"/>
      <c r="Q4432" s="23"/>
      <c r="R4432" s="23"/>
      <c r="S4432" s="14"/>
    </row>
    <row r="4433" ht="18.75" customHeight="1">
      <c r="A4433" s="7" t="s">
        <v>1373</v>
      </c>
      <c r="B4433" s="7" t="s">
        <v>3884</v>
      </c>
      <c r="C4433" s="9">
        <v>0.0</v>
      </c>
      <c r="D4433" s="9">
        <v>0.0</v>
      </c>
      <c r="E4433" s="9">
        <v>0.0</v>
      </c>
      <c r="F4433" s="7" t="s">
        <v>1374</v>
      </c>
      <c r="G4433" s="7" t="s">
        <v>364</v>
      </c>
      <c r="H4433" s="7" t="s">
        <v>365</v>
      </c>
      <c r="I4433" s="7" t="s">
        <v>355</v>
      </c>
      <c r="J4433" s="14"/>
      <c r="O4433" s="22"/>
      <c r="P4433" s="22"/>
      <c r="Q4433" s="23"/>
      <c r="R4433" s="23"/>
      <c r="S4433" s="14"/>
    </row>
    <row r="4434" ht="18.75" customHeight="1">
      <c r="A4434" s="7" t="s">
        <v>1369</v>
      </c>
      <c r="B4434" s="7" t="s">
        <v>3884</v>
      </c>
      <c r="C4434" s="9">
        <v>165555.0</v>
      </c>
      <c r="D4434" s="9">
        <v>0.0</v>
      </c>
      <c r="E4434" s="9">
        <v>258.0</v>
      </c>
      <c r="F4434" s="7" t="s">
        <v>1370</v>
      </c>
      <c r="G4434" s="7" t="s">
        <v>353</v>
      </c>
      <c r="H4434" s="7" t="s">
        <v>378</v>
      </c>
      <c r="I4434" s="7" t="s">
        <v>355</v>
      </c>
      <c r="J4434" s="14"/>
      <c r="O4434" s="22"/>
      <c r="P4434" s="22"/>
      <c r="Q4434" s="23"/>
      <c r="R4434" s="23"/>
      <c r="S4434" s="14"/>
    </row>
    <row r="4435" ht="18.75" customHeight="1">
      <c r="A4435" s="7" t="s">
        <v>1369</v>
      </c>
      <c r="B4435" s="7" t="s">
        <v>3884</v>
      </c>
      <c r="C4435" s="9">
        <v>46079.0</v>
      </c>
      <c r="D4435" s="9">
        <v>0.0</v>
      </c>
      <c r="E4435" s="9">
        <v>70.0</v>
      </c>
      <c r="F4435" s="7" t="s">
        <v>1370</v>
      </c>
      <c r="G4435" s="7" t="s">
        <v>353</v>
      </c>
      <c r="H4435" s="7" t="s">
        <v>378</v>
      </c>
      <c r="I4435" s="7" t="s">
        <v>355</v>
      </c>
      <c r="J4435" s="14"/>
      <c r="O4435" s="22"/>
      <c r="P4435" s="22"/>
      <c r="Q4435" s="23"/>
      <c r="R4435" s="23"/>
      <c r="S4435" s="14"/>
    </row>
    <row r="4436" ht="18.75" customHeight="1">
      <c r="A4436" s="7" t="s">
        <v>1391</v>
      </c>
      <c r="B4436" s="7" t="s">
        <v>3884</v>
      </c>
      <c r="C4436" s="9">
        <v>78110.0</v>
      </c>
      <c r="D4436" s="9">
        <v>0.0</v>
      </c>
      <c r="E4436" s="9">
        <v>74.0</v>
      </c>
      <c r="F4436" s="7" t="s">
        <v>1392</v>
      </c>
      <c r="G4436" s="7" t="s">
        <v>353</v>
      </c>
      <c r="H4436" s="7" t="s">
        <v>378</v>
      </c>
      <c r="I4436" s="7" t="s">
        <v>355</v>
      </c>
      <c r="J4436" s="14"/>
      <c r="O4436" s="22"/>
      <c r="P4436" s="22"/>
      <c r="Q4436" s="23"/>
      <c r="R4436" s="23"/>
      <c r="S4436" s="14"/>
    </row>
    <row r="4437" ht="18.75" customHeight="1">
      <c r="A4437" s="7" t="s">
        <v>1391</v>
      </c>
      <c r="B4437" s="7" t="s">
        <v>3884</v>
      </c>
      <c r="C4437" s="9">
        <v>47025.0</v>
      </c>
      <c r="D4437" s="9">
        <v>0.0</v>
      </c>
      <c r="E4437" s="9">
        <v>45.0</v>
      </c>
      <c r="F4437" s="7" t="s">
        <v>1392</v>
      </c>
      <c r="G4437" s="7" t="s">
        <v>353</v>
      </c>
      <c r="H4437" s="7" t="s">
        <v>378</v>
      </c>
      <c r="I4437" s="7" t="s">
        <v>355</v>
      </c>
      <c r="J4437" s="14"/>
      <c r="O4437" s="22"/>
      <c r="P4437" s="22"/>
      <c r="Q4437" s="23"/>
      <c r="R4437" s="23"/>
      <c r="S4437" s="14"/>
    </row>
    <row r="4438" ht="18.75" customHeight="1">
      <c r="A4438" s="7" t="s">
        <v>1427</v>
      </c>
      <c r="B4438" s="7" t="s">
        <v>3884</v>
      </c>
      <c r="C4438" s="9">
        <v>78105.0</v>
      </c>
      <c r="D4438" s="9">
        <v>0.0</v>
      </c>
      <c r="E4438" s="9">
        <v>85.0</v>
      </c>
      <c r="F4438" s="7" t="s">
        <v>1428</v>
      </c>
      <c r="G4438" s="7" t="s">
        <v>358</v>
      </c>
      <c r="H4438" s="7" t="s">
        <v>466</v>
      </c>
      <c r="I4438" s="7" t="s">
        <v>355</v>
      </c>
      <c r="J4438" s="14"/>
      <c r="O4438" s="22"/>
      <c r="P4438" s="22"/>
      <c r="Q4438" s="23"/>
      <c r="R4438" s="23"/>
      <c r="S4438" s="14"/>
    </row>
    <row r="4439" ht="18.75" customHeight="1">
      <c r="A4439" s="7" t="s">
        <v>1427</v>
      </c>
      <c r="B4439" s="7" t="s">
        <v>3884</v>
      </c>
      <c r="C4439" s="9">
        <v>47024.0</v>
      </c>
      <c r="D4439" s="9">
        <v>0.0</v>
      </c>
      <c r="E4439" s="9">
        <v>77.0</v>
      </c>
      <c r="F4439" s="7" t="s">
        <v>1428</v>
      </c>
      <c r="G4439" s="7" t="s">
        <v>358</v>
      </c>
      <c r="H4439" s="7" t="s">
        <v>466</v>
      </c>
      <c r="I4439" s="7" t="s">
        <v>355</v>
      </c>
      <c r="J4439" s="14"/>
      <c r="O4439" s="22"/>
      <c r="P4439" s="22"/>
      <c r="Q4439" s="23"/>
      <c r="R4439" s="23"/>
      <c r="S4439" s="14"/>
    </row>
    <row r="4440" ht="18.75" customHeight="1">
      <c r="A4440" s="7" t="s">
        <v>1361</v>
      </c>
      <c r="B4440" s="7" t="s">
        <v>3884</v>
      </c>
      <c r="C4440" s="9">
        <v>78072.0</v>
      </c>
      <c r="D4440" s="9">
        <v>0.0</v>
      </c>
      <c r="E4440" s="9">
        <v>136.0</v>
      </c>
      <c r="F4440" s="7" t="s">
        <v>1362</v>
      </c>
      <c r="G4440" s="7" t="s">
        <v>353</v>
      </c>
      <c r="H4440" s="7" t="s">
        <v>378</v>
      </c>
      <c r="I4440" s="7" t="s">
        <v>355</v>
      </c>
      <c r="J4440" s="14"/>
      <c r="O4440" s="22"/>
      <c r="P4440" s="22"/>
      <c r="Q4440" s="23"/>
      <c r="R4440" s="23"/>
      <c r="S4440" s="14"/>
    </row>
    <row r="4441" ht="18.75" customHeight="1">
      <c r="A4441" s="7" t="s">
        <v>1361</v>
      </c>
      <c r="B4441" s="7" t="s">
        <v>3884</v>
      </c>
      <c r="C4441" s="9">
        <v>28217.0</v>
      </c>
      <c r="D4441" s="9">
        <v>0.0</v>
      </c>
      <c r="E4441" s="9">
        <v>52.0</v>
      </c>
      <c r="F4441" s="7" t="s">
        <v>1362</v>
      </c>
      <c r="G4441" s="7" t="s">
        <v>353</v>
      </c>
      <c r="H4441" s="7" t="s">
        <v>378</v>
      </c>
      <c r="I4441" s="7" t="s">
        <v>355</v>
      </c>
      <c r="J4441" s="14"/>
      <c r="O4441" s="22"/>
      <c r="P4441" s="22"/>
      <c r="Q4441" s="23"/>
      <c r="R4441" s="23"/>
      <c r="S4441" s="14"/>
    </row>
    <row r="4442" ht="18.75" customHeight="1">
      <c r="A4442" s="7" t="s">
        <v>1471</v>
      </c>
      <c r="B4442" s="7" t="s">
        <v>3884</v>
      </c>
      <c r="C4442" s="9">
        <v>78104.0</v>
      </c>
      <c r="D4442" s="9">
        <v>0.0</v>
      </c>
      <c r="E4442" s="9">
        <v>111.0</v>
      </c>
      <c r="F4442" s="7" t="s">
        <v>1472</v>
      </c>
      <c r="G4442" s="7" t="s">
        <v>404</v>
      </c>
      <c r="H4442" s="7" t="s">
        <v>405</v>
      </c>
      <c r="I4442" s="7" t="s">
        <v>355</v>
      </c>
      <c r="J4442" s="14"/>
      <c r="O4442" s="22"/>
      <c r="P4442" s="22"/>
      <c r="Q4442" s="23"/>
      <c r="R4442" s="23"/>
      <c r="S4442" s="14"/>
    </row>
    <row r="4443" ht="18.75" customHeight="1">
      <c r="A4443" s="7" t="s">
        <v>1471</v>
      </c>
      <c r="B4443" s="7" t="s">
        <v>3884</v>
      </c>
      <c r="C4443" s="9">
        <v>47018.0</v>
      </c>
      <c r="D4443" s="9">
        <v>0.0</v>
      </c>
      <c r="E4443" s="9">
        <v>68.0</v>
      </c>
      <c r="F4443" s="7" t="s">
        <v>1472</v>
      </c>
      <c r="G4443" s="7" t="s">
        <v>404</v>
      </c>
      <c r="H4443" s="7" t="s">
        <v>405</v>
      </c>
      <c r="I4443" s="7" t="s">
        <v>355</v>
      </c>
      <c r="J4443" s="14"/>
      <c r="O4443" s="22"/>
      <c r="P4443" s="22"/>
      <c r="Q4443" s="23"/>
      <c r="R4443" s="23"/>
      <c r="S4443" s="14"/>
    </row>
    <row r="4444" ht="18.75" customHeight="1">
      <c r="A4444" s="7" t="s">
        <v>1401</v>
      </c>
      <c r="B4444" s="7" t="s">
        <v>3884</v>
      </c>
      <c r="C4444" s="9">
        <v>90244.0</v>
      </c>
      <c r="D4444" s="9">
        <v>0.0</v>
      </c>
      <c r="E4444" s="9">
        <v>142.0</v>
      </c>
      <c r="F4444" s="7" t="s">
        <v>1402</v>
      </c>
      <c r="G4444" s="7" t="s">
        <v>358</v>
      </c>
      <c r="H4444" s="7" t="s">
        <v>466</v>
      </c>
      <c r="I4444" s="7" t="s">
        <v>410</v>
      </c>
      <c r="J4444" s="14"/>
      <c r="O4444" s="22"/>
      <c r="P4444" s="22"/>
      <c r="Q4444" s="23"/>
      <c r="R4444" s="23"/>
      <c r="S4444" s="14"/>
    </row>
    <row r="4445" ht="18.75" customHeight="1">
      <c r="A4445" s="7" t="s">
        <v>1401</v>
      </c>
      <c r="B4445" s="7" t="s">
        <v>3884</v>
      </c>
      <c r="C4445" s="9">
        <v>39604.0</v>
      </c>
      <c r="D4445" s="9">
        <v>0.0</v>
      </c>
      <c r="E4445" s="9">
        <v>46.0</v>
      </c>
      <c r="F4445" s="7" t="s">
        <v>1402</v>
      </c>
      <c r="G4445" s="7" t="s">
        <v>358</v>
      </c>
      <c r="H4445" s="7" t="s">
        <v>466</v>
      </c>
      <c r="I4445" s="7" t="s">
        <v>410</v>
      </c>
      <c r="J4445" s="14"/>
      <c r="O4445" s="22"/>
      <c r="P4445" s="22"/>
      <c r="Q4445" s="23"/>
      <c r="R4445" s="23"/>
      <c r="S4445" s="14"/>
    </row>
    <row r="4446" ht="18.75" customHeight="1">
      <c r="A4446" s="7" t="s">
        <v>1509</v>
      </c>
      <c r="B4446" s="7" t="s">
        <v>3884</v>
      </c>
      <c r="C4446" s="9">
        <v>78113.0</v>
      </c>
      <c r="D4446" s="9">
        <v>0.0</v>
      </c>
      <c r="E4446" s="9">
        <v>133.0</v>
      </c>
      <c r="F4446" s="7" t="s">
        <v>1510</v>
      </c>
      <c r="G4446" s="7" t="s">
        <v>353</v>
      </c>
      <c r="H4446" s="7" t="s">
        <v>725</v>
      </c>
      <c r="I4446" s="7" t="s">
        <v>355</v>
      </c>
      <c r="J4446" s="14"/>
      <c r="O4446" s="22"/>
      <c r="P4446" s="22"/>
      <c r="Q4446" s="23"/>
      <c r="R4446" s="23"/>
      <c r="S4446" s="14"/>
    </row>
    <row r="4447" ht="18.75" customHeight="1">
      <c r="A4447" s="7" t="s">
        <v>1509</v>
      </c>
      <c r="B4447" s="7" t="s">
        <v>3884</v>
      </c>
      <c r="C4447" s="9">
        <v>38361.0</v>
      </c>
      <c r="D4447" s="9">
        <v>0.0</v>
      </c>
      <c r="E4447" s="9">
        <v>55.0</v>
      </c>
      <c r="F4447" s="7" t="s">
        <v>1510</v>
      </c>
      <c r="G4447" s="7" t="s">
        <v>353</v>
      </c>
      <c r="H4447" s="7" t="s">
        <v>725</v>
      </c>
      <c r="I4447" s="7" t="s">
        <v>355</v>
      </c>
      <c r="J4447" s="14"/>
      <c r="O4447" s="22"/>
      <c r="P4447" s="22"/>
      <c r="Q4447" s="23"/>
      <c r="R4447" s="23"/>
      <c r="S4447" s="14"/>
    </row>
    <row r="4448" ht="18.75" customHeight="1">
      <c r="A4448" s="7" t="s">
        <v>1577</v>
      </c>
      <c r="B4448" s="7" t="s">
        <v>3884</v>
      </c>
      <c r="C4448" s="9">
        <v>12260.0</v>
      </c>
      <c r="D4448" s="9">
        <v>0.0</v>
      </c>
      <c r="E4448" s="9">
        <v>17.0</v>
      </c>
      <c r="F4448" s="7" t="s">
        <v>1578</v>
      </c>
      <c r="G4448" s="7" t="s">
        <v>404</v>
      </c>
      <c r="H4448" s="7" t="s">
        <v>405</v>
      </c>
      <c r="I4448" s="7" t="s">
        <v>355</v>
      </c>
      <c r="J4448" s="14"/>
      <c r="O4448" s="22"/>
      <c r="P4448" s="22"/>
      <c r="Q4448" s="23"/>
      <c r="R4448" s="23"/>
      <c r="S4448" s="14"/>
    </row>
    <row r="4449" ht="18.75" customHeight="1">
      <c r="A4449" s="7" t="s">
        <v>1577</v>
      </c>
      <c r="B4449" s="7" t="s">
        <v>3884</v>
      </c>
      <c r="C4449" s="9">
        <v>7339.0</v>
      </c>
      <c r="D4449" s="9">
        <v>0.0</v>
      </c>
      <c r="E4449" s="9">
        <v>8.0</v>
      </c>
      <c r="F4449" s="7" t="s">
        <v>1578</v>
      </c>
      <c r="G4449" s="7" t="s">
        <v>404</v>
      </c>
      <c r="H4449" s="7" t="s">
        <v>405</v>
      </c>
      <c r="I4449" s="7" t="s">
        <v>355</v>
      </c>
      <c r="J4449" s="14"/>
      <c r="O4449" s="22"/>
      <c r="P4449" s="22"/>
      <c r="Q4449" s="23"/>
      <c r="R4449" s="23"/>
      <c r="S4449" s="14"/>
    </row>
    <row r="4450" ht="18.75" customHeight="1">
      <c r="A4450" s="7" t="s">
        <v>1221</v>
      </c>
      <c r="B4450" s="7" t="s">
        <v>3884</v>
      </c>
      <c r="C4450" s="9">
        <v>265448.0</v>
      </c>
      <c r="D4450" s="9">
        <v>0.0</v>
      </c>
      <c r="E4450" s="9">
        <v>416.0</v>
      </c>
      <c r="F4450" s="7" t="s">
        <v>1222</v>
      </c>
      <c r="G4450" s="7" t="s">
        <v>353</v>
      </c>
      <c r="H4450" s="7" t="s">
        <v>378</v>
      </c>
      <c r="I4450" s="7" t="s">
        <v>355</v>
      </c>
      <c r="J4450" s="14"/>
      <c r="O4450" s="22"/>
      <c r="P4450" s="22"/>
      <c r="Q4450" s="23"/>
      <c r="R4450" s="23"/>
      <c r="S4450" s="14"/>
    </row>
    <row r="4451" ht="18.75" customHeight="1">
      <c r="A4451" s="7" t="s">
        <v>1221</v>
      </c>
      <c r="B4451" s="7" t="s">
        <v>3884</v>
      </c>
      <c r="C4451" s="9">
        <v>112772.0</v>
      </c>
      <c r="D4451" s="9">
        <v>0.0</v>
      </c>
      <c r="E4451" s="9">
        <v>148.0</v>
      </c>
      <c r="F4451" s="7" t="s">
        <v>1222</v>
      </c>
      <c r="G4451" s="7" t="s">
        <v>353</v>
      </c>
      <c r="H4451" s="7" t="s">
        <v>378</v>
      </c>
      <c r="I4451" s="7" t="s">
        <v>355</v>
      </c>
      <c r="J4451" s="14"/>
      <c r="O4451" s="22"/>
      <c r="P4451" s="22"/>
      <c r="Q4451" s="23"/>
      <c r="R4451" s="23"/>
      <c r="S4451" s="14"/>
    </row>
    <row r="4452" ht="18.75" customHeight="1">
      <c r="A4452" s="7" t="s">
        <v>709</v>
      </c>
      <c r="B4452" s="7" t="s">
        <v>3884</v>
      </c>
      <c r="C4452" s="9">
        <v>156188.0</v>
      </c>
      <c r="D4452" s="9">
        <v>0.0</v>
      </c>
      <c r="E4452" s="9">
        <v>260.0</v>
      </c>
      <c r="F4452" s="7" t="s">
        <v>710</v>
      </c>
      <c r="G4452" s="7" t="s">
        <v>404</v>
      </c>
      <c r="H4452" s="7" t="s">
        <v>667</v>
      </c>
      <c r="I4452" s="7" t="s">
        <v>410</v>
      </c>
      <c r="J4452" s="14"/>
      <c r="O4452" s="22"/>
      <c r="P4452" s="22"/>
      <c r="Q4452" s="23"/>
      <c r="R4452" s="23"/>
      <c r="S4452" s="14"/>
    </row>
    <row r="4453" ht="18.75" customHeight="1">
      <c r="A4453" s="7" t="s">
        <v>709</v>
      </c>
      <c r="B4453" s="7" t="s">
        <v>3884</v>
      </c>
      <c r="C4453" s="9">
        <v>14745.0</v>
      </c>
      <c r="D4453" s="9">
        <v>0.0</v>
      </c>
      <c r="E4453" s="9">
        <v>22.0</v>
      </c>
      <c r="F4453" s="7" t="s">
        <v>710</v>
      </c>
      <c r="G4453" s="7" t="s">
        <v>404</v>
      </c>
      <c r="H4453" s="7" t="s">
        <v>667</v>
      </c>
      <c r="I4453" s="7" t="s">
        <v>410</v>
      </c>
      <c r="J4453" s="14"/>
      <c r="O4453" s="22"/>
      <c r="P4453" s="22"/>
      <c r="Q4453" s="23"/>
      <c r="R4453" s="23"/>
      <c r="S4453" s="14"/>
    </row>
    <row r="4454" ht="18.75" customHeight="1">
      <c r="A4454" s="7" t="s">
        <v>1221</v>
      </c>
      <c r="B4454" s="7" t="s">
        <v>3884</v>
      </c>
      <c r="C4454" s="9">
        <v>156174.0</v>
      </c>
      <c r="D4454" s="9">
        <v>0.0</v>
      </c>
      <c r="E4454" s="9">
        <v>251.0</v>
      </c>
      <c r="F4454" s="7" t="s">
        <v>1222</v>
      </c>
      <c r="G4454" s="7" t="s">
        <v>353</v>
      </c>
      <c r="H4454" s="7" t="s">
        <v>378</v>
      </c>
      <c r="I4454" s="7" t="s">
        <v>355</v>
      </c>
      <c r="J4454" s="14"/>
      <c r="O4454" s="22"/>
      <c r="P4454" s="22"/>
      <c r="Q4454" s="23"/>
      <c r="R4454" s="23"/>
      <c r="S4454" s="14"/>
    </row>
    <row r="4455" ht="18.75" customHeight="1">
      <c r="A4455" s="7" t="s">
        <v>1221</v>
      </c>
      <c r="B4455" s="7" t="s">
        <v>3884</v>
      </c>
      <c r="C4455" s="9">
        <v>85799.0</v>
      </c>
      <c r="D4455" s="9">
        <v>0.0</v>
      </c>
      <c r="E4455" s="9">
        <v>88.0</v>
      </c>
      <c r="F4455" s="7" t="s">
        <v>1222</v>
      </c>
      <c r="G4455" s="7" t="s">
        <v>353</v>
      </c>
      <c r="H4455" s="7" t="s">
        <v>378</v>
      </c>
      <c r="I4455" s="7" t="s">
        <v>355</v>
      </c>
      <c r="J4455" s="14"/>
      <c r="O4455" s="22"/>
      <c r="P4455" s="22"/>
      <c r="Q4455" s="23"/>
      <c r="R4455" s="23"/>
      <c r="S4455" s="14"/>
    </row>
    <row r="4456" ht="18.75" customHeight="1">
      <c r="A4456" s="7" t="s">
        <v>1423</v>
      </c>
      <c r="B4456" s="7" t="s">
        <v>3884</v>
      </c>
      <c r="C4456" s="9">
        <v>156053.0</v>
      </c>
      <c r="D4456" s="9">
        <v>0.0</v>
      </c>
      <c r="E4456" s="9">
        <v>268.0</v>
      </c>
      <c r="F4456" s="7" t="s">
        <v>1424</v>
      </c>
      <c r="G4456" s="7" t="s">
        <v>358</v>
      </c>
      <c r="H4456" s="7" t="s">
        <v>466</v>
      </c>
      <c r="I4456" s="7" t="s">
        <v>355</v>
      </c>
      <c r="J4456" s="14"/>
      <c r="O4456" s="22"/>
      <c r="P4456" s="22"/>
      <c r="Q4456" s="23"/>
      <c r="R4456" s="23"/>
      <c r="S4456" s="14"/>
    </row>
    <row r="4457" ht="18.75" customHeight="1">
      <c r="A4457" s="7" t="s">
        <v>1423</v>
      </c>
      <c r="B4457" s="7" t="s">
        <v>3884</v>
      </c>
      <c r="C4457" s="9">
        <v>93936.0</v>
      </c>
      <c r="D4457" s="9">
        <v>0.0</v>
      </c>
      <c r="E4457" s="9">
        <v>111.0</v>
      </c>
      <c r="F4457" s="7" t="s">
        <v>1424</v>
      </c>
      <c r="G4457" s="7" t="s">
        <v>358</v>
      </c>
      <c r="H4457" s="7" t="s">
        <v>466</v>
      </c>
      <c r="I4457" s="7" t="s">
        <v>355</v>
      </c>
      <c r="J4457" s="14"/>
      <c r="O4457" s="22"/>
      <c r="P4457" s="22"/>
      <c r="Q4457" s="23"/>
      <c r="R4457" s="23"/>
      <c r="S4457" s="14"/>
    </row>
    <row r="4458" ht="18.75" customHeight="1">
      <c r="A4458" s="7" t="s">
        <v>1579</v>
      </c>
      <c r="B4458" s="7" t="s">
        <v>3884</v>
      </c>
      <c r="C4458" s="9">
        <v>156206.0</v>
      </c>
      <c r="D4458" s="9">
        <v>0.0</v>
      </c>
      <c r="E4458" s="9">
        <v>269.0</v>
      </c>
      <c r="F4458" s="7" t="s">
        <v>1580</v>
      </c>
      <c r="G4458" s="7" t="s">
        <v>353</v>
      </c>
      <c r="H4458" s="7" t="s">
        <v>378</v>
      </c>
      <c r="I4458" s="7" t="s">
        <v>355</v>
      </c>
      <c r="J4458" s="14"/>
      <c r="O4458" s="22"/>
      <c r="P4458" s="22"/>
      <c r="Q4458" s="23"/>
      <c r="R4458" s="23"/>
      <c r="S4458" s="14"/>
    </row>
    <row r="4459" ht="18.75" customHeight="1">
      <c r="A4459" s="7" t="s">
        <v>1579</v>
      </c>
      <c r="B4459" s="7" t="s">
        <v>3884</v>
      </c>
      <c r="C4459" s="9">
        <v>22296.0</v>
      </c>
      <c r="D4459" s="9">
        <v>0.0</v>
      </c>
      <c r="E4459" s="9">
        <v>27.0</v>
      </c>
      <c r="F4459" s="7" t="s">
        <v>1580</v>
      </c>
      <c r="G4459" s="7" t="s">
        <v>353</v>
      </c>
      <c r="H4459" s="7" t="s">
        <v>378</v>
      </c>
      <c r="I4459" s="7" t="s">
        <v>355</v>
      </c>
      <c r="J4459" s="14"/>
      <c r="O4459" s="22"/>
      <c r="P4459" s="22"/>
      <c r="Q4459" s="23"/>
      <c r="R4459" s="23"/>
      <c r="S4459" s="14"/>
    </row>
    <row r="4460" ht="18.75" customHeight="1">
      <c r="A4460" s="7" t="s">
        <v>1361</v>
      </c>
      <c r="B4460" s="7" t="s">
        <v>3884</v>
      </c>
      <c r="C4460" s="9">
        <v>78097.0</v>
      </c>
      <c r="D4460" s="9">
        <v>0.0</v>
      </c>
      <c r="E4460" s="9">
        <v>144.0</v>
      </c>
      <c r="F4460" s="7" t="s">
        <v>1362</v>
      </c>
      <c r="G4460" s="7" t="s">
        <v>353</v>
      </c>
      <c r="H4460" s="7" t="s">
        <v>378</v>
      </c>
      <c r="I4460" s="7" t="s">
        <v>355</v>
      </c>
      <c r="J4460" s="14"/>
      <c r="O4460" s="22"/>
      <c r="P4460" s="22"/>
      <c r="Q4460" s="23"/>
      <c r="R4460" s="23"/>
      <c r="S4460" s="14"/>
    </row>
    <row r="4461" ht="18.75" customHeight="1">
      <c r="A4461" s="7" t="s">
        <v>1741</v>
      </c>
      <c r="B4461" s="7" t="s">
        <v>3884</v>
      </c>
      <c r="C4461" s="9">
        <v>78091.0</v>
      </c>
      <c r="D4461" s="9">
        <v>0.0</v>
      </c>
      <c r="E4461" s="9">
        <v>123.0</v>
      </c>
      <c r="F4461" s="7" t="s">
        <v>1742</v>
      </c>
      <c r="G4461" s="7" t="s">
        <v>358</v>
      </c>
      <c r="H4461" s="7" t="s">
        <v>466</v>
      </c>
      <c r="I4461" s="7" t="s">
        <v>355</v>
      </c>
      <c r="J4461" s="14"/>
      <c r="O4461" s="22"/>
      <c r="P4461" s="22"/>
      <c r="Q4461" s="23"/>
      <c r="R4461" s="23"/>
      <c r="S4461" s="14"/>
    </row>
    <row r="4462" ht="18.75" customHeight="1">
      <c r="A4462" s="7" t="s">
        <v>1375</v>
      </c>
      <c r="B4462" s="7" t="s">
        <v>3884</v>
      </c>
      <c r="C4462" s="9">
        <v>78103.0</v>
      </c>
      <c r="D4462" s="9">
        <v>0.0</v>
      </c>
      <c r="E4462" s="9">
        <v>102.0</v>
      </c>
      <c r="F4462" s="7" t="s">
        <v>1376</v>
      </c>
      <c r="G4462" s="7" t="s">
        <v>353</v>
      </c>
      <c r="H4462" s="7" t="s">
        <v>378</v>
      </c>
      <c r="I4462" s="7" t="s">
        <v>355</v>
      </c>
      <c r="J4462" s="14"/>
      <c r="O4462" s="22"/>
      <c r="P4462" s="22"/>
      <c r="Q4462" s="23"/>
      <c r="R4462" s="23"/>
      <c r="S4462" s="14"/>
    </row>
    <row r="4463" ht="18.75" customHeight="1">
      <c r="A4463" s="7" t="s">
        <v>1797</v>
      </c>
      <c r="B4463" s="7" t="s">
        <v>3884</v>
      </c>
      <c r="C4463" s="9">
        <v>156217.0</v>
      </c>
      <c r="D4463" s="9">
        <v>0.0</v>
      </c>
      <c r="E4463" s="9">
        <v>265.0</v>
      </c>
      <c r="F4463" s="7" t="s">
        <v>1798</v>
      </c>
      <c r="G4463" s="7" t="s">
        <v>353</v>
      </c>
      <c r="H4463" s="7" t="s">
        <v>725</v>
      </c>
      <c r="I4463" s="7" t="s">
        <v>355</v>
      </c>
      <c r="J4463" s="14"/>
      <c r="O4463" s="22"/>
      <c r="P4463" s="22"/>
      <c r="Q4463" s="23"/>
      <c r="R4463" s="23"/>
      <c r="S4463" s="14"/>
    </row>
    <row r="4464" ht="18.75" customHeight="1">
      <c r="A4464" s="7" t="s">
        <v>1733</v>
      </c>
      <c r="B4464" s="7" t="s">
        <v>3884</v>
      </c>
      <c r="C4464" s="9">
        <v>78112.0</v>
      </c>
      <c r="D4464" s="9">
        <v>0.0</v>
      </c>
      <c r="E4464" s="9">
        <v>112.0</v>
      </c>
      <c r="F4464" s="7" t="s">
        <v>1734</v>
      </c>
      <c r="G4464" s="7" t="s">
        <v>353</v>
      </c>
      <c r="H4464" s="7" t="s">
        <v>378</v>
      </c>
      <c r="I4464" s="7" t="s">
        <v>410</v>
      </c>
      <c r="J4464" s="14"/>
      <c r="O4464" s="22"/>
      <c r="P4464" s="22"/>
      <c r="Q4464" s="23"/>
      <c r="R4464" s="23"/>
      <c r="S4464" s="14"/>
    </row>
    <row r="4465" ht="18.75" customHeight="1">
      <c r="A4465" s="7" t="s">
        <v>2166</v>
      </c>
      <c r="B4465" s="7" t="s">
        <v>3884</v>
      </c>
      <c r="C4465" s="9">
        <v>0.0</v>
      </c>
      <c r="D4465" s="9">
        <v>0.0</v>
      </c>
      <c r="E4465" s="9">
        <v>0.0</v>
      </c>
      <c r="F4465" s="7" t="s">
        <v>2167</v>
      </c>
      <c r="G4465" s="7" t="s">
        <v>364</v>
      </c>
      <c r="H4465" s="7" t="s">
        <v>365</v>
      </c>
      <c r="I4465" s="7" t="s">
        <v>410</v>
      </c>
      <c r="J4465" s="14"/>
      <c r="O4465" s="22"/>
      <c r="P4465" s="22"/>
      <c r="Q4465" s="23"/>
      <c r="R4465" s="23"/>
      <c r="S4465" s="14"/>
    </row>
    <row r="4466" ht="18.75" customHeight="1">
      <c r="A4466" s="7" t="s">
        <v>1867</v>
      </c>
      <c r="B4466" s="7" t="s">
        <v>3884</v>
      </c>
      <c r="C4466" s="9">
        <v>832554.0</v>
      </c>
      <c r="D4466" s="9">
        <v>0.0</v>
      </c>
      <c r="E4466" s="9">
        <v>1886.0</v>
      </c>
      <c r="F4466" s="7" t="s">
        <v>1868</v>
      </c>
      <c r="G4466" s="7" t="s">
        <v>358</v>
      </c>
      <c r="H4466" s="7" t="s">
        <v>466</v>
      </c>
      <c r="I4466" s="7" t="s">
        <v>355</v>
      </c>
      <c r="J4466" s="14"/>
      <c r="O4466" s="22"/>
      <c r="P4466" s="22"/>
      <c r="Q4466" s="23"/>
      <c r="R4466" s="23"/>
      <c r="S4466" s="14"/>
    </row>
    <row r="4467" ht="18.75" customHeight="1">
      <c r="A4467" s="7" t="s">
        <v>1733</v>
      </c>
      <c r="B4467" s="7" t="s">
        <v>3884</v>
      </c>
      <c r="C4467" s="9">
        <v>0.0</v>
      </c>
      <c r="D4467" s="9">
        <v>0.0</v>
      </c>
      <c r="E4467" s="9">
        <v>0.0</v>
      </c>
      <c r="F4467" s="7" t="s">
        <v>1734</v>
      </c>
      <c r="G4467" s="7" t="s">
        <v>353</v>
      </c>
      <c r="H4467" s="7" t="s">
        <v>378</v>
      </c>
      <c r="I4467" s="7" t="s">
        <v>410</v>
      </c>
      <c r="J4467" s="14"/>
      <c r="O4467" s="22"/>
      <c r="P4467" s="22"/>
      <c r="Q4467" s="23"/>
      <c r="R4467" s="23"/>
      <c r="S4467" s="14"/>
    </row>
    <row r="4468" ht="18.75" customHeight="1">
      <c r="A4468" s="7" t="s">
        <v>1972</v>
      </c>
      <c r="B4468" s="7" t="s">
        <v>3884</v>
      </c>
      <c r="C4468" s="9">
        <v>1983437.0</v>
      </c>
      <c r="D4468" s="9">
        <v>0.0</v>
      </c>
      <c r="E4468" s="9">
        <v>2144.0</v>
      </c>
      <c r="F4468" s="7" t="s">
        <v>1973</v>
      </c>
      <c r="G4468" s="7" t="s">
        <v>358</v>
      </c>
      <c r="H4468" s="7" t="s">
        <v>466</v>
      </c>
      <c r="I4468" s="7" t="s">
        <v>410</v>
      </c>
      <c r="J4468" s="14"/>
      <c r="O4468" s="22"/>
      <c r="P4468" s="22"/>
      <c r="Q4468" s="23"/>
      <c r="R4468" s="23"/>
      <c r="S4468" s="14"/>
    </row>
    <row r="4469" ht="18.75" customHeight="1">
      <c r="A4469" s="7" t="s">
        <v>2008</v>
      </c>
      <c r="B4469" s="7" t="s">
        <v>3884</v>
      </c>
      <c r="C4469" s="9">
        <v>66443.0</v>
      </c>
      <c r="D4469" s="9">
        <v>0.0</v>
      </c>
      <c r="E4469" s="9">
        <v>99.0</v>
      </c>
      <c r="F4469" s="7" t="s">
        <v>2009</v>
      </c>
      <c r="G4469" s="7" t="s">
        <v>358</v>
      </c>
      <c r="H4469" s="7" t="s">
        <v>466</v>
      </c>
      <c r="I4469" s="7" t="s">
        <v>410</v>
      </c>
      <c r="J4469" s="14"/>
      <c r="O4469" s="22"/>
      <c r="P4469" s="22"/>
      <c r="Q4469" s="23"/>
      <c r="R4469" s="23"/>
      <c r="S4469" s="14"/>
    </row>
    <row r="4470" ht="18.75" customHeight="1">
      <c r="A4470" s="7" t="s">
        <v>1401</v>
      </c>
      <c r="B4470" s="7" t="s">
        <v>3884</v>
      </c>
      <c r="C4470" s="9">
        <v>0.0</v>
      </c>
      <c r="D4470" s="9">
        <v>0.0</v>
      </c>
      <c r="E4470" s="9">
        <v>0.0</v>
      </c>
      <c r="F4470" s="7" t="s">
        <v>1402</v>
      </c>
      <c r="G4470" s="7" t="s">
        <v>358</v>
      </c>
      <c r="H4470" s="7" t="s">
        <v>466</v>
      </c>
      <c r="I4470" s="7" t="s">
        <v>410</v>
      </c>
      <c r="J4470" s="14"/>
      <c r="O4470" s="22"/>
      <c r="P4470" s="22"/>
      <c r="Q4470" s="23"/>
      <c r="R4470" s="23"/>
      <c r="S4470" s="14"/>
    </row>
    <row r="4471" ht="18.75" customHeight="1">
      <c r="A4471" s="7" t="s">
        <v>501</v>
      </c>
      <c r="B4471" s="7" t="s">
        <v>3884</v>
      </c>
      <c r="C4471" s="9">
        <v>0.0</v>
      </c>
      <c r="D4471" s="9">
        <v>0.0</v>
      </c>
      <c r="E4471" s="9">
        <v>0.0</v>
      </c>
      <c r="F4471" s="7" t="s">
        <v>502</v>
      </c>
      <c r="G4471" s="7" t="s">
        <v>503</v>
      </c>
      <c r="H4471" s="7" t="s">
        <v>504</v>
      </c>
      <c r="I4471" s="7" t="s">
        <v>410</v>
      </c>
      <c r="J4471" s="14"/>
      <c r="O4471" s="22"/>
      <c r="P4471" s="22"/>
      <c r="Q4471" s="23"/>
      <c r="R4471" s="23"/>
      <c r="S4471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26" width="15.13"/>
  </cols>
  <sheetData>
    <row r="1" ht="30.0" customHeight="1">
      <c r="A1" s="7" t="s">
        <v>3788</v>
      </c>
      <c r="B1" s="7" t="s">
        <v>3917</v>
      </c>
      <c r="C1" s="7" t="s">
        <v>3918</v>
      </c>
      <c r="D1" s="7" t="s">
        <v>4</v>
      </c>
      <c r="E1" s="7" t="s">
        <v>5</v>
      </c>
      <c r="F1" s="7" t="s">
        <v>1</v>
      </c>
      <c r="G1" s="14"/>
      <c r="H1" s="14"/>
      <c r="I1" s="14"/>
      <c r="J1" s="14"/>
      <c r="K1" s="14"/>
      <c r="L1" s="14"/>
    </row>
    <row r="2" ht="18.75" customHeight="1">
      <c r="A2" s="7" t="s">
        <v>446</v>
      </c>
      <c r="B2" s="9">
        <v>140179.0</v>
      </c>
      <c r="C2" s="24">
        <v>1.1381590680487093</v>
      </c>
      <c r="D2" s="7" t="s">
        <v>365</v>
      </c>
      <c r="E2" s="7" t="s">
        <v>3919</v>
      </c>
      <c r="F2" s="7" t="s">
        <v>447</v>
      </c>
      <c r="G2" s="15"/>
      <c r="H2" s="15"/>
      <c r="I2" s="14"/>
      <c r="L2" s="25"/>
    </row>
    <row r="3" ht="18.75" customHeight="1">
      <c r="A3" s="7" t="s">
        <v>392</v>
      </c>
      <c r="B3" s="9">
        <v>3270088.0</v>
      </c>
      <c r="C3" s="24">
        <v>3.1020116278216365</v>
      </c>
      <c r="D3" s="7" t="s">
        <v>378</v>
      </c>
      <c r="E3" s="7" t="s">
        <v>808</v>
      </c>
      <c r="F3" s="7" t="s">
        <v>393</v>
      </c>
      <c r="G3" s="15"/>
      <c r="H3" s="15"/>
      <c r="I3" s="14"/>
      <c r="L3" s="25"/>
    </row>
    <row r="4" ht="18.75" customHeight="1">
      <c r="A4" s="7" t="s">
        <v>394</v>
      </c>
      <c r="B4" s="9">
        <v>1979868.0</v>
      </c>
      <c r="C4" s="24">
        <v>3.427690633921049</v>
      </c>
      <c r="D4" s="7" t="s">
        <v>378</v>
      </c>
      <c r="E4" s="7" t="s">
        <v>808</v>
      </c>
      <c r="F4" s="7" t="s">
        <v>395</v>
      </c>
      <c r="G4" s="15"/>
      <c r="H4" s="15"/>
      <c r="I4" s="14"/>
      <c r="L4" s="25"/>
    </row>
    <row r="5" ht="18.75" customHeight="1">
      <c r="A5" s="7" t="s">
        <v>411</v>
      </c>
      <c r="B5" s="9">
        <v>345688.0</v>
      </c>
      <c r="C5" s="24">
        <v>1.5532705792506538</v>
      </c>
      <c r="D5" s="7" t="s">
        <v>413</v>
      </c>
      <c r="E5" s="7" t="s">
        <v>3920</v>
      </c>
      <c r="F5" s="7" t="s">
        <v>412</v>
      </c>
      <c r="I5" s="14"/>
      <c r="L5" s="25"/>
    </row>
    <row r="6" ht="18.75" customHeight="1">
      <c r="A6" s="7" t="s">
        <v>385</v>
      </c>
      <c r="B6" s="9">
        <v>1084144.0</v>
      </c>
      <c r="C6" s="24">
        <v>1.9502769004855443</v>
      </c>
      <c r="D6" s="7" t="s">
        <v>387</v>
      </c>
      <c r="E6" s="7" t="s">
        <v>3921</v>
      </c>
      <c r="F6" s="7" t="s">
        <v>386</v>
      </c>
      <c r="G6" s="15"/>
      <c r="H6" s="15"/>
      <c r="I6" s="14"/>
      <c r="L6" s="25"/>
    </row>
    <row r="7" ht="18.75" customHeight="1">
      <c r="A7" s="7" t="s">
        <v>379</v>
      </c>
      <c r="B7" s="9">
        <v>1745904.0</v>
      </c>
      <c r="C7" s="24">
        <v>1.3171445852692931</v>
      </c>
      <c r="D7" s="7" t="s">
        <v>354</v>
      </c>
      <c r="E7" s="14"/>
      <c r="F7" s="7" t="s">
        <v>380</v>
      </c>
      <c r="G7" s="15"/>
      <c r="H7" s="15"/>
      <c r="I7" s="14"/>
      <c r="L7" s="25"/>
    </row>
    <row r="8" ht="18.75" customHeight="1">
      <c r="A8" s="7" t="s">
        <v>396</v>
      </c>
      <c r="B8" s="9">
        <v>2394484.0</v>
      </c>
      <c r="C8" s="24">
        <v>1.3164297610675202</v>
      </c>
      <c r="D8" s="7" t="s">
        <v>378</v>
      </c>
      <c r="E8" s="7" t="s">
        <v>808</v>
      </c>
      <c r="F8" s="7" t="s">
        <v>397</v>
      </c>
      <c r="G8" s="15"/>
      <c r="H8" s="15"/>
      <c r="I8" s="14"/>
      <c r="L8" s="25"/>
    </row>
    <row r="9" ht="18.75" customHeight="1">
      <c r="A9" s="7" t="s">
        <v>388</v>
      </c>
      <c r="B9" s="9">
        <v>2510514.0</v>
      </c>
      <c r="C9" s="24">
        <v>2.9775759067665026</v>
      </c>
      <c r="D9" s="7" t="s">
        <v>378</v>
      </c>
      <c r="E9" s="7" t="s">
        <v>3922</v>
      </c>
      <c r="F9" s="7" t="s">
        <v>389</v>
      </c>
      <c r="G9" s="15"/>
      <c r="H9" s="15"/>
      <c r="I9" s="14"/>
      <c r="L9" s="25"/>
    </row>
    <row r="10" ht="18.75" customHeight="1">
      <c r="A10" s="7" t="s">
        <v>390</v>
      </c>
      <c r="B10" s="9">
        <v>2996348.0</v>
      </c>
      <c r="C10" s="24">
        <v>1.9993094927558481</v>
      </c>
      <c r="D10" s="7" t="s">
        <v>365</v>
      </c>
      <c r="E10" s="7" t="s">
        <v>3923</v>
      </c>
      <c r="F10" s="7" t="s">
        <v>391</v>
      </c>
      <c r="G10" s="15"/>
      <c r="H10" s="15"/>
      <c r="I10" s="14"/>
      <c r="L10" s="25"/>
    </row>
    <row r="11" ht="18.75" customHeight="1">
      <c r="A11" s="7" t="s">
        <v>398</v>
      </c>
      <c r="B11" s="9">
        <v>1566896.0</v>
      </c>
      <c r="C11" s="24">
        <v>3.622640558148084</v>
      </c>
      <c r="D11" s="7" t="s">
        <v>378</v>
      </c>
      <c r="E11" s="7" t="s">
        <v>3922</v>
      </c>
      <c r="F11" s="7" t="s">
        <v>399</v>
      </c>
      <c r="G11" s="15"/>
      <c r="H11" s="15"/>
      <c r="I11" s="14"/>
      <c r="L11" s="25"/>
    </row>
    <row r="12" ht="18.75" customHeight="1">
      <c r="A12" s="7" t="s">
        <v>362</v>
      </c>
      <c r="B12" s="9">
        <v>6681997.0</v>
      </c>
      <c r="C12" s="24">
        <v>0.9273354956609529</v>
      </c>
      <c r="D12" s="7" t="s">
        <v>365</v>
      </c>
      <c r="E12" s="7" t="s">
        <v>364</v>
      </c>
      <c r="F12" s="7" t="s">
        <v>363</v>
      </c>
      <c r="G12" s="15"/>
      <c r="H12" s="15"/>
      <c r="I12" s="14"/>
      <c r="L12" s="25"/>
    </row>
    <row r="13" ht="18.75" customHeight="1">
      <c r="A13" s="7" t="s">
        <v>3878</v>
      </c>
      <c r="B13" s="9">
        <v>1608283.0</v>
      </c>
      <c r="C13" s="24">
        <v>1.84389749813932</v>
      </c>
      <c r="D13" s="7" t="s">
        <v>365</v>
      </c>
      <c r="E13" s="7" t="s">
        <v>3924</v>
      </c>
      <c r="F13" s="7" t="s">
        <v>3879</v>
      </c>
      <c r="G13" s="15"/>
      <c r="H13" s="15"/>
      <c r="I13" s="14"/>
      <c r="L13" s="25"/>
    </row>
    <row r="14" ht="18.75" customHeight="1">
      <c r="A14" s="7" t="s">
        <v>402</v>
      </c>
      <c r="B14" s="9">
        <v>7843297.0</v>
      </c>
      <c r="C14" s="24">
        <v>1.9541975778808325</v>
      </c>
      <c r="D14" s="7" t="s">
        <v>405</v>
      </c>
      <c r="E14" s="7" t="s">
        <v>3925</v>
      </c>
      <c r="F14" s="7" t="s">
        <v>403</v>
      </c>
      <c r="G14" s="15"/>
      <c r="H14" s="15"/>
      <c r="I14" s="14"/>
      <c r="L14" s="25"/>
    </row>
    <row r="15" ht="18.75" customHeight="1">
      <c r="A15" s="7" t="s">
        <v>452</v>
      </c>
      <c r="B15" s="9">
        <v>79990.0</v>
      </c>
      <c r="C15" s="24">
        <v>4.04008001000125</v>
      </c>
      <c r="D15" s="7" t="s">
        <v>417</v>
      </c>
      <c r="E15" s="7" t="s">
        <v>3926</v>
      </c>
      <c r="F15" s="7" t="s">
        <v>453</v>
      </c>
      <c r="G15" s="15"/>
      <c r="H15" s="15"/>
      <c r="I15" s="14"/>
      <c r="L15" s="25"/>
    </row>
    <row r="16" ht="18.75" customHeight="1">
      <c r="A16" s="7" t="s">
        <v>443</v>
      </c>
      <c r="B16" s="9">
        <v>682062.0</v>
      </c>
      <c r="C16" s="24">
        <v>1.5975703088575526</v>
      </c>
      <c r="D16" s="7" t="s">
        <v>445</v>
      </c>
      <c r="E16" s="14"/>
      <c r="F16" s="7" t="s">
        <v>444</v>
      </c>
      <c r="G16" s="15"/>
      <c r="H16" s="15"/>
      <c r="I16" s="14"/>
      <c r="L16" s="25"/>
    </row>
    <row r="17" ht="18.75" customHeight="1">
      <c r="A17" s="7" t="s">
        <v>3720</v>
      </c>
      <c r="B17" s="9">
        <v>583776.0</v>
      </c>
      <c r="C17" s="24">
        <v>1.492281285972702</v>
      </c>
      <c r="D17" s="7" t="s">
        <v>417</v>
      </c>
      <c r="E17" s="7" t="s">
        <v>3926</v>
      </c>
      <c r="F17" s="7" t="s">
        <v>3880</v>
      </c>
      <c r="G17" s="15"/>
      <c r="H17" s="15"/>
      <c r="I17" s="14"/>
      <c r="L17" s="25"/>
    </row>
    <row r="18" ht="18.75" customHeight="1">
      <c r="A18" s="7" t="s">
        <v>454</v>
      </c>
      <c r="B18" s="9">
        <v>655062.0</v>
      </c>
      <c r="C18" s="24">
        <v>3.806564874775212</v>
      </c>
      <c r="D18" s="7" t="s">
        <v>430</v>
      </c>
      <c r="E18" s="7" t="s">
        <v>3927</v>
      </c>
      <c r="F18" s="7" t="s">
        <v>455</v>
      </c>
      <c r="G18" s="15"/>
      <c r="H18" s="15"/>
      <c r="I18" s="14"/>
      <c r="L18" s="25"/>
    </row>
    <row r="19" ht="18.75" customHeight="1">
      <c r="A19" s="7" t="s">
        <v>3571</v>
      </c>
      <c r="B19" s="9">
        <v>843069.0</v>
      </c>
      <c r="C19" s="24">
        <v>0.5388882760485797</v>
      </c>
      <c r="D19" s="7" t="s">
        <v>413</v>
      </c>
      <c r="E19" s="7" t="s">
        <v>3928</v>
      </c>
      <c r="F19" s="7" t="s">
        <v>3876</v>
      </c>
      <c r="G19" s="15"/>
      <c r="H19" s="15"/>
      <c r="I19" s="14"/>
      <c r="L19" s="25"/>
    </row>
    <row r="20" ht="18.75" customHeight="1">
      <c r="A20" s="7" t="s">
        <v>439</v>
      </c>
      <c r="B20" s="9">
        <v>355350.0</v>
      </c>
      <c r="C20" s="24">
        <v>1.871850288448009</v>
      </c>
      <c r="D20" s="7" t="s">
        <v>365</v>
      </c>
      <c r="E20" s="14"/>
      <c r="F20" s="7" t="s">
        <v>440</v>
      </c>
      <c r="G20" s="15"/>
      <c r="H20" s="15"/>
      <c r="I20" s="14"/>
      <c r="L20" s="25"/>
    </row>
    <row r="21" ht="18.75" customHeight="1">
      <c r="A21" s="7" t="s">
        <v>422</v>
      </c>
      <c r="B21" s="9">
        <v>3975434.0</v>
      </c>
      <c r="C21" s="24">
        <v>2.6766624725753214</v>
      </c>
      <c r="D21" s="7" t="s">
        <v>405</v>
      </c>
      <c r="E21" s="7" t="s">
        <v>3929</v>
      </c>
      <c r="F21" s="7" t="s">
        <v>423</v>
      </c>
      <c r="G21" s="15"/>
      <c r="H21" s="15"/>
      <c r="I21" s="14"/>
      <c r="L21" s="25"/>
    </row>
    <row r="22" ht="18.75" customHeight="1">
      <c r="A22" s="7" t="s">
        <v>400</v>
      </c>
      <c r="B22" s="9">
        <v>1318610.0</v>
      </c>
      <c r="C22" s="24">
        <v>2.642122386452401</v>
      </c>
      <c r="D22" s="7" t="s">
        <v>378</v>
      </c>
      <c r="E22" s="7" t="s">
        <v>3922</v>
      </c>
      <c r="F22" s="7" t="s">
        <v>401</v>
      </c>
      <c r="G22" s="15"/>
      <c r="H22" s="15"/>
      <c r="I22" s="14"/>
      <c r="L22" s="25"/>
    </row>
    <row r="23" ht="18.75" customHeight="1">
      <c r="A23" s="7" t="s">
        <v>351</v>
      </c>
      <c r="B23" s="9">
        <v>9405671.0</v>
      </c>
      <c r="C23" s="24">
        <v>1.2114669968787979</v>
      </c>
      <c r="D23" s="7" t="s">
        <v>354</v>
      </c>
      <c r="E23" s="7" t="s">
        <v>3930</v>
      </c>
      <c r="F23" s="7" t="s">
        <v>352</v>
      </c>
      <c r="G23" s="15"/>
      <c r="H23" s="15"/>
      <c r="I23" s="14"/>
      <c r="L23" s="25"/>
    </row>
    <row r="24" ht="18.75" customHeight="1">
      <c r="A24" s="7" t="s">
        <v>408</v>
      </c>
      <c r="B24" s="9">
        <v>845956.0</v>
      </c>
      <c r="C24" s="24">
        <v>2.745192421355248</v>
      </c>
      <c r="D24" s="7" t="s">
        <v>354</v>
      </c>
      <c r="E24" s="7" t="s">
        <v>3930</v>
      </c>
      <c r="F24" s="7" t="s">
        <v>409</v>
      </c>
      <c r="G24" s="15"/>
      <c r="H24" s="15"/>
      <c r="I24" s="14"/>
      <c r="L24" s="25"/>
    </row>
    <row r="25" ht="18.75" customHeight="1">
      <c r="A25" s="7" t="s">
        <v>464</v>
      </c>
      <c r="B25" s="9">
        <v>208110.0</v>
      </c>
      <c r="C25" s="24">
        <v>1.7622507327855461</v>
      </c>
      <c r="D25" s="7" t="s">
        <v>466</v>
      </c>
      <c r="E25" s="7" t="s">
        <v>3931</v>
      </c>
      <c r="F25" s="7" t="s">
        <v>465</v>
      </c>
      <c r="G25" s="15"/>
      <c r="H25" s="15"/>
      <c r="I25" s="14"/>
      <c r="L25" s="25"/>
    </row>
    <row r="26" ht="18.75" customHeight="1">
      <c r="A26" s="7" t="s">
        <v>467</v>
      </c>
      <c r="B26" s="9">
        <v>550772.0</v>
      </c>
      <c r="C26" s="24">
        <v>1.8618212254798718</v>
      </c>
      <c r="D26" s="7" t="s">
        <v>466</v>
      </c>
      <c r="E26" s="7" t="s">
        <v>3931</v>
      </c>
      <c r="F26" s="7" t="s">
        <v>468</v>
      </c>
      <c r="G26" s="15"/>
      <c r="H26" s="15"/>
      <c r="I26" s="14"/>
      <c r="L26" s="25"/>
    </row>
    <row r="27" ht="18.75" customHeight="1">
      <c r="A27" s="7" t="s">
        <v>477</v>
      </c>
      <c r="B27" s="9">
        <v>31114.0</v>
      </c>
      <c r="C27" s="24">
        <v>2.890949411840329</v>
      </c>
      <c r="D27" s="7" t="s">
        <v>417</v>
      </c>
      <c r="E27" s="7" t="s">
        <v>3926</v>
      </c>
      <c r="F27" s="7" t="s">
        <v>478</v>
      </c>
      <c r="G27" s="15"/>
      <c r="H27" s="15"/>
      <c r="I27" s="14"/>
      <c r="L27" s="25"/>
    </row>
    <row r="28" ht="18.75" customHeight="1">
      <c r="A28" s="7" t="s">
        <v>483</v>
      </c>
      <c r="B28" s="9">
        <v>138774.0</v>
      </c>
      <c r="C28" s="24">
        <v>1.987829132258204</v>
      </c>
      <c r="D28" s="7" t="s">
        <v>365</v>
      </c>
      <c r="E28" s="7" t="s">
        <v>3932</v>
      </c>
      <c r="F28" s="7" t="s">
        <v>484</v>
      </c>
      <c r="G28" s="15"/>
      <c r="H28" s="15"/>
      <c r="I28" s="14"/>
      <c r="L28" s="25"/>
    </row>
    <row r="29" ht="18.75" customHeight="1">
      <c r="A29" s="7" t="s">
        <v>3010</v>
      </c>
      <c r="B29" s="9">
        <v>378593.0</v>
      </c>
      <c r="C29" s="24">
        <v>1.7210434424302614</v>
      </c>
      <c r="D29" s="7" t="s">
        <v>365</v>
      </c>
      <c r="E29" s="7" t="s">
        <v>3932</v>
      </c>
      <c r="F29" s="7" t="s">
        <v>3877</v>
      </c>
      <c r="G29" s="15"/>
      <c r="H29" s="15"/>
      <c r="I29" s="14"/>
      <c r="L29" s="25"/>
    </row>
    <row r="30" ht="18.75" customHeight="1">
      <c r="A30" s="7" t="s">
        <v>433</v>
      </c>
      <c r="B30" s="9">
        <v>29161.0</v>
      </c>
      <c r="C30" s="24">
        <v>137.44429203388086</v>
      </c>
      <c r="D30" s="7" t="s">
        <v>405</v>
      </c>
      <c r="E30" s="7" t="s">
        <v>3929</v>
      </c>
      <c r="F30" s="7" t="s">
        <v>434</v>
      </c>
      <c r="G30" s="15"/>
      <c r="H30" s="15"/>
      <c r="I30" s="14"/>
      <c r="L30" s="25"/>
    </row>
    <row r="31" ht="18.75" customHeight="1">
      <c r="A31" s="7" t="s">
        <v>3749</v>
      </c>
      <c r="B31" s="9">
        <v>1548468.0</v>
      </c>
      <c r="C31" s="24">
        <v>0.8822713804870362</v>
      </c>
      <c r="D31" s="7" t="s">
        <v>413</v>
      </c>
      <c r="E31" s="7" t="s">
        <v>3933</v>
      </c>
      <c r="F31" s="7" t="s">
        <v>3885</v>
      </c>
      <c r="G31" s="15"/>
      <c r="H31" s="15"/>
      <c r="I31" s="14"/>
      <c r="L31" s="25"/>
    </row>
    <row r="32" ht="18.75" customHeight="1">
      <c r="A32" s="7" t="s">
        <v>487</v>
      </c>
      <c r="B32" s="9">
        <v>270165.0</v>
      </c>
      <c r="C32" s="24">
        <v>1.0009253604278867</v>
      </c>
      <c r="D32" s="7" t="s">
        <v>365</v>
      </c>
      <c r="E32" s="7" t="s">
        <v>3934</v>
      </c>
      <c r="F32" s="7" t="s">
        <v>488</v>
      </c>
      <c r="G32" s="15"/>
      <c r="H32" s="15"/>
      <c r="I32" s="14"/>
      <c r="L32" s="25"/>
    </row>
    <row r="33" ht="18.75" customHeight="1">
      <c r="A33" s="7" t="s">
        <v>441</v>
      </c>
      <c r="B33" s="9">
        <v>469739.0</v>
      </c>
      <c r="C33" s="24">
        <v>2.068197445815655</v>
      </c>
      <c r="D33" s="7" t="s">
        <v>365</v>
      </c>
      <c r="E33" s="7" t="s">
        <v>3935</v>
      </c>
      <c r="F33" s="7" t="s">
        <v>442</v>
      </c>
      <c r="G33" s="15"/>
      <c r="H33" s="15"/>
      <c r="I33" s="14"/>
      <c r="L33" s="25"/>
    </row>
    <row r="34" ht="18.75" customHeight="1">
      <c r="A34" s="7" t="s">
        <v>491</v>
      </c>
      <c r="B34" s="9">
        <v>427850.0</v>
      </c>
      <c r="C34" s="24">
        <v>1.0022507888278602</v>
      </c>
      <c r="D34" s="7" t="s">
        <v>365</v>
      </c>
      <c r="E34" s="7" t="s">
        <v>3934</v>
      </c>
      <c r="F34" s="7" t="s">
        <v>492</v>
      </c>
      <c r="G34" s="15"/>
      <c r="H34" s="15"/>
      <c r="I34" s="14"/>
      <c r="L34" s="25"/>
    </row>
    <row r="35" ht="18.75" customHeight="1">
      <c r="A35" s="7" t="s">
        <v>489</v>
      </c>
      <c r="B35" s="9">
        <v>24740.0</v>
      </c>
      <c r="C35" s="24">
        <v>1.1219482619240098</v>
      </c>
      <c r="D35" s="7" t="s">
        <v>365</v>
      </c>
      <c r="E35" s="7" t="s">
        <v>3936</v>
      </c>
      <c r="F35" s="7" t="s">
        <v>490</v>
      </c>
      <c r="G35" s="15"/>
      <c r="H35" s="15"/>
      <c r="I35" s="14"/>
      <c r="L35" s="25"/>
    </row>
    <row r="36" ht="18.75" customHeight="1">
      <c r="A36" s="7" t="s">
        <v>431</v>
      </c>
      <c r="B36" s="9">
        <v>103786.0</v>
      </c>
      <c r="C36" s="24">
        <v>81.18254870599118</v>
      </c>
      <c r="D36" s="7" t="s">
        <v>405</v>
      </c>
      <c r="E36" s="7" t="s">
        <v>3929</v>
      </c>
      <c r="F36" s="7" t="s">
        <v>432</v>
      </c>
      <c r="G36" s="15"/>
      <c r="H36" s="15"/>
      <c r="I36" s="14"/>
      <c r="L36" s="25"/>
    </row>
    <row r="37" ht="18.75" customHeight="1">
      <c r="A37" s="7" t="s">
        <v>435</v>
      </c>
      <c r="B37" s="9">
        <v>2036212.0</v>
      </c>
      <c r="C37" s="24">
        <v>2.9967616338573784</v>
      </c>
      <c r="D37" s="7" t="s">
        <v>405</v>
      </c>
      <c r="E37" s="7" t="s">
        <v>3929</v>
      </c>
      <c r="F37" s="7" t="s">
        <v>436</v>
      </c>
      <c r="G37" s="15"/>
      <c r="H37" s="15"/>
      <c r="I37" s="14"/>
      <c r="L37" s="25"/>
    </row>
    <row r="38" ht="18.75" customHeight="1">
      <c r="A38" s="7" t="s">
        <v>437</v>
      </c>
      <c r="B38" s="9">
        <v>1292752.0</v>
      </c>
      <c r="C38" s="24">
        <v>5.52835423963761</v>
      </c>
      <c r="D38" s="7" t="s">
        <v>405</v>
      </c>
      <c r="E38" s="7" t="s">
        <v>3929</v>
      </c>
      <c r="F38" s="7" t="s">
        <v>438</v>
      </c>
      <c r="G38" s="15"/>
      <c r="H38" s="15"/>
      <c r="I38" s="14"/>
      <c r="L38" s="25"/>
    </row>
    <row r="39" ht="18.75" customHeight="1">
      <c r="A39" s="7" t="s">
        <v>479</v>
      </c>
      <c r="B39" s="12"/>
      <c r="C39" s="24">
        <v>0.0</v>
      </c>
      <c r="D39" s="7" t="s">
        <v>405</v>
      </c>
      <c r="E39" s="7" t="s">
        <v>3929</v>
      </c>
      <c r="F39" s="7" t="s">
        <v>480</v>
      </c>
      <c r="G39" s="15"/>
      <c r="H39" s="15"/>
      <c r="I39" s="14"/>
      <c r="L39" s="25"/>
    </row>
    <row r="40" ht="18.75" customHeight="1">
      <c r="A40" s="7" t="s">
        <v>493</v>
      </c>
      <c r="B40" s="9">
        <v>1236622.0</v>
      </c>
      <c r="C40" s="24">
        <v>0.48297296991319905</v>
      </c>
      <c r="D40" s="7" t="s">
        <v>365</v>
      </c>
      <c r="E40" s="7" t="s">
        <v>3937</v>
      </c>
      <c r="F40" s="7" t="s">
        <v>494</v>
      </c>
      <c r="G40" s="15"/>
      <c r="H40" s="15"/>
      <c r="I40" s="14"/>
      <c r="L40" s="25"/>
    </row>
    <row r="41" ht="18.75" customHeight="1">
      <c r="A41" s="7" t="s">
        <v>406</v>
      </c>
      <c r="B41" s="9">
        <v>293307.0</v>
      </c>
      <c r="C41" s="24">
        <v>2.237082647192191</v>
      </c>
      <c r="D41" s="7" t="s">
        <v>365</v>
      </c>
      <c r="E41" s="7" t="s">
        <v>3938</v>
      </c>
      <c r="F41" s="7" t="s">
        <v>407</v>
      </c>
      <c r="G41" s="15"/>
      <c r="H41" s="15"/>
      <c r="I41" s="14"/>
      <c r="L41" s="25"/>
    </row>
    <row r="42" ht="18.75" customHeight="1">
      <c r="A42" s="7" t="s">
        <v>495</v>
      </c>
      <c r="B42" s="9">
        <v>324234.0</v>
      </c>
      <c r="C42" s="24">
        <v>2.4565375623777888</v>
      </c>
      <c r="D42" s="7" t="s">
        <v>466</v>
      </c>
      <c r="E42" s="14"/>
      <c r="F42" s="7" t="s">
        <v>496</v>
      </c>
      <c r="I42" s="14"/>
      <c r="L42" s="25"/>
    </row>
    <row r="43" ht="18.75" customHeight="1">
      <c r="A43" s="7" t="s">
        <v>475</v>
      </c>
      <c r="B43" s="9">
        <v>484653.0</v>
      </c>
      <c r="C43" s="24">
        <v>1.4793739025653405</v>
      </c>
      <c r="D43" s="7" t="s">
        <v>365</v>
      </c>
      <c r="E43" s="7" t="s">
        <v>3936</v>
      </c>
      <c r="F43" s="7" t="s">
        <v>476</v>
      </c>
      <c r="I43" s="14"/>
      <c r="L43" s="25"/>
    </row>
    <row r="44" ht="18.75" customHeight="1">
      <c r="A44" s="7" t="s">
        <v>452</v>
      </c>
      <c r="B44" s="9">
        <v>81521.0</v>
      </c>
      <c r="C44" s="24">
        <v>3.9642055421302484</v>
      </c>
      <c r="D44" s="7" t="s">
        <v>417</v>
      </c>
      <c r="E44" s="7" t="s">
        <v>3926</v>
      </c>
      <c r="F44" s="7" t="s">
        <v>453</v>
      </c>
      <c r="I44" s="14"/>
      <c r="L44" s="25"/>
    </row>
    <row r="45" ht="18.75" customHeight="1">
      <c r="A45" s="7" t="s">
        <v>511</v>
      </c>
      <c r="B45" s="9">
        <v>355943.0</v>
      </c>
      <c r="C45" s="24">
        <v>2.8286888631044858</v>
      </c>
      <c r="D45" s="7" t="s">
        <v>466</v>
      </c>
      <c r="E45" s="7" t="s">
        <v>3931</v>
      </c>
      <c r="F45" s="7" t="s">
        <v>512</v>
      </c>
      <c r="I45" s="14"/>
      <c r="L45" s="25"/>
    </row>
    <row r="46" ht="18.75" customHeight="1">
      <c r="A46" s="7" t="s">
        <v>497</v>
      </c>
      <c r="B46" s="9">
        <v>467329.0</v>
      </c>
      <c r="C46" s="24">
        <v>6.596147467843853</v>
      </c>
      <c r="D46" s="7" t="s">
        <v>405</v>
      </c>
      <c r="E46" s="7" t="s">
        <v>3929</v>
      </c>
      <c r="F46" s="7" t="s">
        <v>498</v>
      </c>
      <c r="G46" s="15"/>
      <c r="H46" s="15"/>
      <c r="I46" s="14"/>
      <c r="L46" s="25"/>
    </row>
    <row r="47" ht="18.75" customHeight="1">
      <c r="A47" s="7" t="s">
        <v>477</v>
      </c>
      <c r="B47" s="9">
        <v>31927.0</v>
      </c>
      <c r="C47" s="24">
        <v>2.8173332915713973</v>
      </c>
      <c r="D47" s="7" t="s">
        <v>417</v>
      </c>
      <c r="E47" s="7" t="s">
        <v>3926</v>
      </c>
      <c r="F47" s="7" t="s">
        <v>478</v>
      </c>
      <c r="G47" s="15"/>
      <c r="H47" s="15"/>
      <c r="I47" s="14"/>
      <c r="J47" s="12"/>
      <c r="L47" s="25"/>
    </row>
    <row r="48" ht="18.75" customHeight="1">
      <c r="A48" s="7" t="s">
        <v>539</v>
      </c>
      <c r="B48" s="9">
        <v>75466.0</v>
      </c>
      <c r="C48" s="24">
        <v>3.4477778072244454</v>
      </c>
      <c r="D48" s="7" t="s">
        <v>417</v>
      </c>
      <c r="E48" s="7" t="s">
        <v>3926</v>
      </c>
      <c r="F48" s="7" t="s">
        <v>540</v>
      </c>
      <c r="G48" s="15"/>
      <c r="H48" s="15"/>
      <c r="I48" s="14"/>
      <c r="J48" s="12"/>
      <c r="L48" s="25"/>
    </row>
    <row r="49" ht="18.75" customHeight="1">
      <c r="A49" s="7" t="s">
        <v>555</v>
      </c>
      <c r="B49" s="9">
        <v>137491.0</v>
      </c>
      <c r="C49" s="24">
        <v>1.4147471470859911</v>
      </c>
      <c r="D49" s="7" t="s">
        <v>365</v>
      </c>
      <c r="E49" s="7" t="s">
        <v>3938</v>
      </c>
      <c r="F49" s="7" t="s">
        <v>556</v>
      </c>
      <c r="G49" s="15"/>
      <c r="H49" s="15"/>
      <c r="I49" s="14"/>
      <c r="L49" s="25"/>
    </row>
    <row r="50" ht="18.75" customHeight="1">
      <c r="A50" s="7" t="s">
        <v>541</v>
      </c>
      <c r="B50" s="9">
        <v>17945.0</v>
      </c>
      <c r="C50" s="24">
        <v>2.4849261632766786</v>
      </c>
      <c r="D50" s="7" t="s">
        <v>417</v>
      </c>
      <c r="E50" s="7" t="s">
        <v>3926</v>
      </c>
      <c r="F50" s="7" t="s">
        <v>542</v>
      </c>
      <c r="G50" s="15"/>
      <c r="H50" s="15"/>
      <c r="I50" s="14"/>
      <c r="L50" s="25"/>
    </row>
    <row r="51" ht="18.75" customHeight="1">
      <c r="A51" s="7" t="s">
        <v>567</v>
      </c>
      <c r="B51" s="9">
        <v>1034589.0</v>
      </c>
      <c r="C51" s="24">
        <v>1.4523545098585042</v>
      </c>
      <c r="D51" s="7" t="s">
        <v>378</v>
      </c>
      <c r="E51" s="7" t="s">
        <v>808</v>
      </c>
      <c r="F51" s="7" t="s">
        <v>568</v>
      </c>
      <c r="G51" s="15"/>
      <c r="H51" s="15"/>
      <c r="I51" s="14"/>
      <c r="L51" s="25"/>
    </row>
    <row r="52" ht="18.75" customHeight="1">
      <c r="A52" s="7" t="s">
        <v>529</v>
      </c>
      <c r="B52" s="9">
        <v>1977609.0</v>
      </c>
      <c r="C52" s="24">
        <v>3.955656047277293</v>
      </c>
      <c r="D52" s="7" t="s">
        <v>387</v>
      </c>
      <c r="E52" s="7" t="s">
        <v>3939</v>
      </c>
      <c r="F52" s="7" t="s">
        <v>530</v>
      </c>
      <c r="G52" s="15"/>
      <c r="H52" s="15"/>
      <c r="I52" s="14"/>
      <c r="L52" s="25"/>
    </row>
    <row r="53" ht="18.75" customHeight="1">
      <c r="A53" s="7" t="s">
        <v>553</v>
      </c>
      <c r="B53" s="9">
        <v>810555.0</v>
      </c>
      <c r="C53" s="24">
        <v>0.5683537822849776</v>
      </c>
      <c r="D53" s="7" t="s">
        <v>365</v>
      </c>
      <c r="E53" s="7" t="s">
        <v>3919</v>
      </c>
      <c r="F53" s="7" t="s">
        <v>554</v>
      </c>
      <c r="G53" s="15"/>
      <c r="H53" s="15"/>
      <c r="I53" s="14"/>
      <c r="L53" s="25"/>
    </row>
    <row r="54" ht="18.75" customHeight="1">
      <c r="A54" s="7" t="s">
        <v>481</v>
      </c>
      <c r="B54" s="9">
        <v>176068.0</v>
      </c>
      <c r="C54" s="24">
        <v>40.10844105686439</v>
      </c>
      <c r="D54" s="7" t="s">
        <v>405</v>
      </c>
      <c r="E54" s="7" t="s">
        <v>3929</v>
      </c>
      <c r="F54" s="7" t="s">
        <v>482</v>
      </c>
      <c r="G54" s="15"/>
      <c r="H54" s="15"/>
      <c r="I54" s="14"/>
      <c r="L54" s="25"/>
    </row>
    <row r="55" ht="18.75" customHeight="1">
      <c r="A55" s="7" t="s">
        <v>571</v>
      </c>
      <c r="B55" s="9">
        <v>23011.0</v>
      </c>
      <c r="C55" s="24">
        <v>1.1554908522011211</v>
      </c>
      <c r="D55" s="7" t="s">
        <v>365</v>
      </c>
      <c r="E55" s="7" t="s">
        <v>3934</v>
      </c>
      <c r="F55" s="7" t="s">
        <v>572</v>
      </c>
      <c r="G55" s="15"/>
      <c r="H55" s="15"/>
      <c r="I55" s="14"/>
      <c r="L55" s="25"/>
    </row>
    <row r="56" ht="18.75" customHeight="1">
      <c r="A56" s="7" t="s">
        <v>383</v>
      </c>
      <c r="B56" s="9">
        <v>1208470.0</v>
      </c>
      <c r="C56" s="24">
        <v>1.0665105463933735</v>
      </c>
      <c r="D56" s="7" t="s">
        <v>378</v>
      </c>
      <c r="E56" s="7" t="s">
        <v>3940</v>
      </c>
      <c r="F56" s="7" t="s">
        <v>384</v>
      </c>
      <c r="G56" s="15"/>
      <c r="H56" s="15"/>
      <c r="I56" s="14"/>
      <c r="L56" s="25"/>
    </row>
    <row r="57" ht="18.75" customHeight="1">
      <c r="A57" s="7" t="s">
        <v>603</v>
      </c>
      <c r="B57" s="9">
        <v>114439.0</v>
      </c>
      <c r="C57" s="24">
        <v>1.4823093525808508</v>
      </c>
      <c r="D57" s="7" t="s">
        <v>359</v>
      </c>
      <c r="E57" s="7" t="s">
        <v>3941</v>
      </c>
      <c r="F57" s="7" t="s">
        <v>604</v>
      </c>
      <c r="G57" s="15"/>
      <c r="H57" s="15"/>
      <c r="I57" s="14"/>
      <c r="L57" s="25"/>
    </row>
    <row r="58" ht="18.75" customHeight="1">
      <c r="A58" s="7" t="s">
        <v>592</v>
      </c>
      <c r="B58" s="9">
        <v>17955.0</v>
      </c>
      <c r="C58" s="24">
        <v>1.1303815093288778</v>
      </c>
      <c r="D58" s="7" t="s">
        <v>594</v>
      </c>
      <c r="E58" s="7" t="s">
        <v>3942</v>
      </c>
      <c r="F58" s="7" t="s">
        <v>593</v>
      </c>
      <c r="G58" s="15"/>
      <c r="H58" s="15"/>
      <c r="I58" s="14"/>
      <c r="L58" s="25"/>
    </row>
    <row r="59" ht="18.75" customHeight="1">
      <c r="A59" s="7" t="s">
        <v>557</v>
      </c>
      <c r="B59" s="9">
        <v>635853.0</v>
      </c>
      <c r="C59" s="24">
        <v>1.6334545877742181</v>
      </c>
      <c r="D59" s="7" t="s">
        <v>365</v>
      </c>
      <c r="E59" s="7" t="s">
        <v>3934</v>
      </c>
      <c r="F59" s="7" t="s">
        <v>558</v>
      </c>
      <c r="G59" s="15"/>
      <c r="H59" s="15"/>
      <c r="I59" s="14"/>
      <c r="L59" s="25"/>
    </row>
    <row r="60" ht="18.75" customHeight="1">
      <c r="A60" s="7" t="s">
        <v>597</v>
      </c>
      <c r="B60" s="9">
        <v>457936.0</v>
      </c>
      <c r="C60" s="24">
        <v>0.26342327312113484</v>
      </c>
      <c r="D60" s="7" t="s">
        <v>417</v>
      </c>
      <c r="E60" s="7" t="s">
        <v>3926</v>
      </c>
      <c r="F60" s="7" t="s">
        <v>598</v>
      </c>
      <c r="G60" s="15"/>
      <c r="H60" s="15"/>
      <c r="I60" s="14"/>
      <c r="L60" s="25"/>
    </row>
    <row r="61" ht="18.75" customHeight="1">
      <c r="A61" s="7" t="s">
        <v>601</v>
      </c>
      <c r="B61" s="9">
        <v>21711.0</v>
      </c>
      <c r="C61" s="24">
        <v>2.8504444751508453</v>
      </c>
      <c r="D61" s="7" t="s">
        <v>417</v>
      </c>
      <c r="E61" s="7" t="s">
        <v>3926</v>
      </c>
      <c r="F61" s="7" t="s">
        <v>602</v>
      </c>
      <c r="G61" s="15"/>
      <c r="H61" s="15"/>
      <c r="I61" s="14"/>
      <c r="L61" s="25"/>
    </row>
    <row r="62" ht="18.75" customHeight="1">
      <c r="A62" s="7" t="s">
        <v>599</v>
      </c>
      <c r="B62" s="9">
        <v>39417.0</v>
      </c>
      <c r="C62" s="24">
        <v>1.2497906994444021</v>
      </c>
      <c r="D62" s="7" t="s">
        <v>417</v>
      </c>
      <c r="E62" s="7" t="s">
        <v>3926</v>
      </c>
      <c r="F62" s="7" t="s">
        <v>600</v>
      </c>
      <c r="G62" s="15"/>
      <c r="H62" s="15"/>
      <c r="I62" s="14"/>
      <c r="L62" s="25"/>
    </row>
    <row r="63" ht="18.75" customHeight="1">
      <c r="A63" s="7" t="s">
        <v>590</v>
      </c>
      <c r="B63" s="9">
        <v>26089.0</v>
      </c>
      <c r="C63" s="24">
        <v>72.77703246579019</v>
      </c>
      <c r="D63" s="7" t="s">
        <v>466</v>
      </c>
      <c r="E63" s="14"/>
      <c r="F63" s="7" t="s">
        <v>591</v>
      </c>
      <c r="G63" s="15"/>
      <c r="H63" s="15"/>
      <c r="I63" s="14"/>
      <c r="L63" s="25"/>
    </row>
    <row r="64" ht="18.75" customHeight="1">
      <c r="A64" s="7" t="s">
        <v>617</v>
      </c>
      <c r="B64" s="9">
        <v>90763.0</v>
      </c>
      <c r="C64" s="24">
        <v>1.2654055066491852</v>
      </c>
      <c r="D64" s="7" t="s">
        <v>466</v>
      </c>
      <c r="E64" s="7" t="s">
        <v>3943</v>
      </c>
      <c r="F64" s="7" t="s">
        <v>618</v>
      </c>
      <c r="G64" s="15"/>
      <c r="H64" s="15"/>
      <c r="I64" s="14"/>
      <c r="L64" s="25"/>
    </row>
    <row r="65" ht="18.75" customHeight="1">
      <c r="A65" s="7" t="s">
        <v>609</v>
      </c>
      <c r="B65" s="9">
        <v>21071.0</v>
      </c>
      <c r="C65" s="24">
        <v>0.0</v>
      </c>
      <c r="D65" s="7" t="s">
        <v>365</v>
      </c>
      <c r="E65" s="7" t="s">
        <v>3924</v>
      </c>
      <c r="F65" s="7" t="s">
        <v>610</v>
      </c>
      <c r="G65" s="15"/>
      <c r="H65" s="15"/>
      <c r="I65" s="14"/>
      <c r="L65" s="25"/>
    </row>
    <row r="66" ht="18.75" customHeight="1">
      <c r="A66" s="7" t="s">
        <v>619</v>
      </c>
      <c r="B66" s="9">
        <v>100262.0</v>
      </c>
      <c r="C66" s="24">
        <v>1.333127206718398</v>
      </c>
      <c r="D66" s="7" t="s">
        <v>466</v>
      </c>
      <c r="E66" s="7" t="s">
        <v>3944</v>
      </c>
      <c r="F66" s="7" t="s">
        <v>620</v>
      </c>
      <c r="G66" s="15"/>
      <c r="H66" s="15"/>
      <c r="I66" s="14"/>
      <c r="L66" s="25"/>
    </row>
    <row r="67" ht="18.75" customHeight="1">
      <c r="A67" s="7" t="s">
        <v>613</v>
      </c>
      <c r="B67" s="9">
        <v>82374.0</v>
      </c>
      <c r="C67" s="24">
        <v>1.5052079539660572</v>
      </c>
      <c r="D67" s="7" t="s">
        <v>466</v>
      </c>
      <c r="E67" s="7" t="s">
        <v>3945</v>
      </c>
      <c r="F67" s="7" t="s">
        <v>614</v>
      </c>
      <c r="G67" s="15"/>
      <c r="H67" s="15"/>
      <c r="I67" s="14"/>
      <c r="L67" s="25"/>
    </row>
    <row r="68" ht="18.75" customHeight="1">
      <c r="A68" s="7" t="s">
        <v>615</v>
      </c>
      <c r="B68" s="9">
        <v>89771.0</v>
      </c>
      <c r="C68" s="24">
        <v>1.5582315001503826</v>
      </c>
      <c r="D68" s="7" t="s">
        <v>466</v>
      </c>
      <c r="E68" s="7" t="s">
        <v>3946</v>
      </c>
      <c r="F68" s="7" t="s">
        <v>616</v>
      </c>
      <c r="G68" s="15"/>
      <c r="H68" s="15"/>
      <c r="I68" s="14"/>
      <c r="L68" s="25"/>
    </row>
    <row r="69" ht="18.75" customHeight="1">
      <c r="A69" s="7" t="s">
        <v>595</v>
      </c>
      <c r="B69" s="9">
        <v>20763.0</v>
      </c>
      <c r="C69" s="24">
        <v>1.5483311660164716</v>
      </c>
      <c r="D69" s="7" t="s">
        <v>594</v>
      </c>
      <c r="E69" s="7" t="s">
        <v>3942</v>
      </c>
      <c r="F69" s="7" t="s">
        <v>596</v>
      </c>
      <c r="G69" s="15"/>
      <c r="H69" s="15"/>
      <c r="I69" s="14"/>
      <c r="L69" s="25"/>
    </row>
    <row r="70" ht="18.75" customHeight="1">
      <c r="A70" s="7" t="s">
        <v>631</v>
      </c>
      <c r="B70" s="9">
        <v>117960.0</v>
      </c>
      <c r="C70" s="24">
        <v>1.593786029162428</v>
      </c>
      <c r="D70" s="7" t="s">
        <v>413</v>
      </c>
      <c r="E70" s="7" t="s">
        <v>3947</v>
      </c>
      <c r="F70" s="7" t="s">
        <v>632</v>
      </c>
      <c r="G70" s="15"/>
      <c r="H70" s="15"/>
      <c r="I70" s="14"/>
      <c r="L70" s="25"/>
    </row>
    <row r="71" ht="18.75" customHeight="1">
      <c r="A71" s="7" t="s">
        <v>3887</v>
      </c>
      <c r="B71" s="9">
        <v>156710.0</v>
      </c>
      <c r="C71" s="24">
        <v>2.6982834535128584</v>
      </c>
      <c r="D71" s="14"/>
      <c r="E71" s="14"/>
      <c r="F71" s="14"/>
      <c r="G71" s="15"/>
      <c r="H71" s="15"/>
      <c r="I71" s="14"/>
      <c r="L71" s="25"/>
    </row>
    <row r="72" ht="18.75" customHeight="1">
      <c r="A72" s="7" t="s">
        <v>573</v>
      </c>
      <c r="B72" s="9">
        <v>134621.0</v>
      </c>
      <c r="C72" s="24">
        <v>3.12758782062234</v>
      </c>
      <c r="D72" s="7" t="s">
        <v>365</v>
      </c>
      <c r="E72" s="7" t="s">
        <v>3934</v>
      </c>
      <c r="F72" s="7" t="s">
        <v>574</v>
      </c>
      <c r="G72" s="15"/>
      <c r="H72" s="15"/>
      <c r="I72" s="14"/>
      <c r="L72" s="25"/>
    </row>
    <row r="73" ht="18.75" customHeight="1">
      <c r="A73" s="7" t="s">
        <v>469</v>
      </c>
      <c r="B73" s="9">
        <v>297850.0</v>
      </c>
      <c r="C73" s="24">
        <v>8.686657713614235</v>
      </c>
      <c r="D73" s="7" t="s">
        <v>405</v>
      </c>
      <c r="E73" s="7" t="s">
        <v>3929</v>
      </c>
      <c r="F73" s="7" t="s">
        <v>470</v>
      </c>
      <c r="G73" s="15"/>
      <c r="H73" s="15"/>
      <c r="I73" s="14"/>
      <c r="L73" s="25"/>
    </row>
    <row r="74" ht="18.75" customHeight="1">
      <c r="A74" s="7" t="s">
        <v>539</v>
      </c>
      <c r="B74" s="9">
        <v>63796.0</v>
      </c>
      <c r="C74" s="24">
        <v>4.0784688695216005</v>
      </c>
      <c r="D74" s="7" t="s">
        <v>417</v>
      </c>
      <c r="E74" s="7" t="s">
        <v>3926</v>
      </c>
      <c r="F74" s="7" t="s">
        <v>540</v>
      </c>
      <c r="G74" s="15"/>
      <c r="H74" s="15"/>
      <c r="I74" s="14"/>
      <c r="L74" s="25"/>
    </row>
    <row r="75" ht="18.75" customHeight="1">
      <c r="A75" s="7" t="s">
        <v>672</v>
      </c>
      <c r="B75" s="9">
        <v>274739.0</v>
      </c>
      <c r="C75" s="24">
        <v>1.5542642289591213</v>
      </c>
      <c r="D75" s="7" t="s">
        <v>387</v>
      </c>
      <c r="E75" s="7" t="s">
        <v>3948</v>
      </c>
      <c r="F75" s="7" t="s">
        <v>673</v>
      </c>
      <c r="G75" s="15"/>
      <c r="H75" s="15"/>
      <c r="I75" s="14"/>
      <c r="L75" s="25"/>
    </row>
    <row r="76" ht="18.75" customHeight="1">
      <c r="A76" s="7" t="s">
        <v>639</v>
      </c>
      <c r="B76" s="9">
        <v>205020.0</v>
      </c>
      <c r="C76" s="24">
        <v>1.3852550970637012</v>
      </c>
      <c r="D76" s="7" t="s">
        <v>365</v>
      </c>
      <c r="E76" s="7" t="s">
        <v>3934</v>
      </c>
      <c r="F76" s="7" t="s">
        <v>640</v>
      </c>
      <c r="G76" s="15"/>
      <c r="H76" s="15"/>
      <c r="I76" s="14"/>
      <c r="L76" s="25"/>
    </row>
    <row r="77" ht="18.75" customHeight="1">
      <c r="A77" s="7" t="s">
        <v>674</v>
      </c>
      <c r="B77" s="9">
        <v>24074.0</v>
      </c>
      <c r="C77" s="24">
        <v>1.6656558943258286</v>
      </c>
      <c r="D77" s="7" t="s">
        <v>594</v>
      </c>
      <c r="E77" s="7" t="s">
        <v>3942</v>
      </c>
      <c r="F77" s="7" t="s">
        <v>675</v>
      </c>
      <c r="G77" s="15"/>
      <c r="H77" s="15"/>
      <c r="I77" s="14"/>
      <c r="L77" s="25"/>
    </row>
    <row r="78" ht="18.75" customHeight="1">
      <c r="A78" s="7" t="s">
        <v>678</v>
      </c>
      <c r="B78" s="9">
        <v>143474.0</v>
      </c>
      <c r="C78" s="24">
        <v>1.5561356064513432</v>
      </c>
      <c r="D78" s="7" t="s">
        <v>354</v>
      </c>
      <c r="E78" s="7" t="s">
        <v>3949</v>
      </c>
      <c r="F78" s="7" t="s">
        <v>679</v>
      </c>
      <c r="G78" s="15"/>
      <c r="H78" s="15"/>
      <c r="I78" s="14"/>
      <c r="L78" s="25"/>
    </row>
    <row r="79" ht="18.75" customHeight="1">
      <c r="A79" s="7" t="s">
        <v>676</v>
      </c>
      <c r="B79" s="9">
        <v>37372.0</v>
      </c>
      <c r="C79" s="24">
        <v>1.5763940918334582</v>
      </c>
      <c r="D79" s="7" t="s">
        <v>594</v>
      </c>
      <c r="E79" s="7" t="s">
        <v>3942</v>
      </c>
      <c r="F79" s="7" t="s">
        <v>677</v>
      </c>
      <c r="G79" s="15"/>
      <c r="H79" s="15"/>
      <c r="I79" s="14"/>
      <c r="L79" s="25"/>
    </row>
    <row r="80" ht="18.75" customHeight="1">
      <c r="A80" s="7" t="s">
        <v>645</v>
      </c>
      <c r="B80" s="9">
        <v>849495.0</v>
      </c>
      <c r="C80" s="24">
        <v>1.33726037233886</v>
      </c>
      <c r="D80" s="7" t="s">
        <v>365</v>
      </c>
      <c r="E80" s="7" t="s">
        <v>3932</v>
      </c>
      <c r="F80" s="7" t="s">
        <v>646</v>
      </c>
      <c r="G80" s="15"/>
      <c r="H80" s="15"/>
      <c r="I80" s="14"/>
      <c r="L80" s="25"/>
    </row>
    <row r="81" ht="18.75" customHeight="1">
      <c r="A81" s="7" t="s">
        <v>670</v>
      </c>
      <c r="B81" s="9">
        <v>42089.0</v>
      </c>
      <c r="C81" s="24">
        <v>5.173893416332058</v>
      </c>
      <c r="D81" s="7" t="s">
        <v>417</v>
      </c>
      <c r="E81" s="7" t="s">
        <v>3926</v>
      </c>
      <c r="F81" s="7" t="s">
        <v>671</v>
      </c>
      <c r="G81" s="15"/>
      <c r="H81" s="15"/>
      <c r="I81" s="14"/>
      <c r="L81" s="25"/>
    </row>
    <row r="82" ht="18.75" customHeight="1">
      <c r="A82" s="7" t="s">
        <v>655</v>
      </c>
      <c r="B82" s="9">
        <v>176920.0</v>
      </c>
      <c r="C82" s="24">
        <v>1.5348575627402217</v>
      </c>
      <c r="D82" s="7" t="s">
        <v>430</v>
      </c>
      <c r="E82" s="7" t="s">
        <v>3943</v>
      </c>
      <c r="F82" s="7" t="s">
        <v>656</v>
      </c>
      <c r="G82" s="15"/>
      <c r="H82" s="15"/>
      <c r="I82" s="14"/>
      <c r="L82" s="25"/>
    </row>
    <row r="83" ht="18.75" customHeight="1">
      <c r="A83" s="7" t="s">
        <v>643</v>
      </c>
      <c r="B83" s="9">
        <v>557979.0</v>
      </c>
      <c r="C83" s="24">
        <v>2.7565894056944797</v>
      </c>
      <c r="D83" s="7" t="s">
        <v>378</v>
      </c>
      <c r="E83" s="7" t="s">
        <v>3940</v>
      </c>
      <c r="F83" s="7" t="s">
        <v>644</v>
      </c>
      <c r="I83" s="14"/>
      <c r="L83" s="25"/>
    </row>
    <row r="84" ht="18.75" customHeight="1">
      <c r="A84" s="7" t="s">
        <v>647</v>
      </c>
      <c r="B84" s="9">
        <v>42089.0</v>
      </c>
      <c r="C84" s="24">
        <v>24.26607902302264</v>
      </c>
      <c r="D84" s="7" t="s">
        <v>378</v>
      </c>
      <c r="E84" s="7" t="s">
        <v>3950</v>
      </c>
      <c r="F84" s="7" t="s">
        <v>648</v>
      </c>
      <c r="G84" s="15"/>
      <c r="H84" s="15"/>
      <c r="I84" s="14"/>
      <c r="L84" s="25"/>
    </row>
    <row r="85" ht="18.75" customHeight="1">
      <c r="A85" s="7" t="s">
        <v>627</v>
      </c>
      <c r="B85" s="9">
        <v>795820.0</v>
      </c>
      <c r="C85" s="24">
        <v>0.9919416450956247</v>
      </c>
      <c r="D85" s="7" t="s">
        <v>405</v>
      </c>
      <c r="E85" s="7" t="s">
        <v>3929</v>
      </c>
      <c r="F85" s="7" t="s">
        <v>628</v>
      </c>
      <c r="G85" s="15"/>
      <c r="H85" s="15"/>
      <c r="I85" s="14"/>
      <c r="L85" s="25"/>
    </row>
    <row r="86" ht="18.75" customHeight="1">
      <c r="A86" s="7" t="s">
        <v>684</v>
      </c>
      <c r="B86" s="9">
        <v>274514.0</v>
      </c>
      <c r="C86" s="24">
        <v>1.9863613513336296</v>
      </c>
      <c r="D86" s="7" t="s">
        <v>365</v>
      </c>
      <c r="E86" s="7" t="s">
        <v>3924</v>
      </c>
      <c r="F86" s="7" t="s">
        <v>685</v>
      </c>
      <c r="G86" s="15"/>
      <c r="H86" s="15"/>
      <c r="I86" s="14"/>
      <c r="L86" s="25"/>
    </row>
    <row r="87" ht="18.75" customHeight="1">
      <c r="A87" s="7" t="s">
        <v>668</v>
      </c>
      <c r="B87" s="9">
        <v>25626.0</v>
      </c>
      <c r="C87" s="24">
        <v>4.684539139936002</v>
      </c>
      <c r="D87" s="7" t="s">
        <v>417</v>
      </c>
      <c r="E87" s="7" t="s">
        <v>3926</v>
      </c>
      <c r="F87" s="7" t="s">
        <v>669</v>
      </c>
      <c r="G87" s="15"/>
      <c r="H87" s="15"/>
      <c r="I87" s="14"/>
      <c r="L87" s="25"/>
    </row>
    <row r="88" ht="18.75" customHeight="1">
      <c r="A88" s="7" t="s">
        <v>663</v>
      </c>
      <c r="B88" s="9">
        <v>113695.0</v>
      </c>
      <c r="C88" s="24">
        <v>1.5625313338317428</v>
      </c>
      <c r="D88" s="7" t="s">
        <v>466</v>
      </c>
      <c r="E88" s="7" t="s">
        <v>3943</v>
      </c>
      <c r="F88" s="7" t="s">
        <v>664</v>
      </c>
      <c r="G88" s="15"/>
      <c r="H88" s="15"/>
      <c r="I88" s="14"/>
      <c r="L88" s="25"/>
    </row>
    <row r="89" ht="18.75" customHeight="1">
      <c r="A89" s="7" t="s">
        <v>657</v>
      </c>
      <c r="B89" s="9">
        <v>99126.0</v>
      </c>
      <c r="C89" s="24">
        <v>1.5459919698161935</v>
      </c>
      <c r="D89" s="7" t="s">
        <v>466</v>
      </c>
      <c r="E89" s="7" t="s">
        <v>3945</v>
      </c>
      <c r="F89" s="7" t="s">
        <v>658</v>
      </c>
      <c r="G89" s="15"/>
      <c r="H89" s="15"/>
      <c r="I89" s="14"/>
      <c r="L89" s="25"/>
    </row>
    <row r="90" ht="18.75" customHeight="1">
      <c r="A90" s="7" t="s">
        <v>665</v>
      </c>
      <c r="B90" s="9">
        <v>80174.0</v>
      </c>
      <c r="C90" s="24">
        <v>1.5394392196971587</v>
      </c>
      <c r="D90" s="7" t="s">
        <v>667</v>
      </c>
      <c r="E90" s="7" t="s">
        <v>3951</v>
      </c>
      <c r="F90" s="7" t="s">
        <v>666</v>
      </c>
      <c r="G90" s="15"/>
      <c r="H90" s="15"/>
      <c r="I90" s="14"/>
      <c r="L90" s="25"/>
    </row>
    <row r="91" ht="18.75" customHeight="1">
      <c r="A91" s="7" t="s">
        <v>659</v>
      </c>
      <c r="B91" s="9">
        <v>230400.0</v>
      </c>
      <c r="C91" s="24">
        <v>1.4481987847222222</v>
      </c>
      <c r="D91" s="7" t="s">
        <v>466</v>
      </c>
      <c r="E91" s="7" t="s">
        <v>3946</v>
      </c>
      <c r="F91" s="7" t="s">
        <v>660</v>
      </c>
      <c r="G91" s="15"/>
      <c r="H91" s="15"/>
      <c r="I91" s="14"/>
      <c r="L91" s="25"/>
    </row>
    <row r="92" ht="18.75" customHeight="1">
      <c r="A92" s="7" t="s">
        <v>661</v>
      </c>
      <c r="B92" s="9">
        <v>69021.0</v>
      </c>
      <c r="C92" s="24">
        <v>2.4447342113269874</v>
      </c>
      <c r="D92" s="7" t="s">
        <v>466</v>
      </c>
      <c r="E92" s="7" t="s">
        <v>3944</v>
      </c>
      <c r="F92" s="7" t="s">
        <v>662</v>
      </c>
      <c r="G92" s="15"/>
      <c r="H92" s="15"/>
      <c r="I92" s="14"/>
      <c r="L92" s="25"/>
    </row>
    <row r="93" ht="18.75" customHeight="1">
      <c r="A93" s="7" t="s">
        <v>691</v>
      </c>
      <c r="B93" s="9">
        <v>212778.0</v>
      </c>
      <c r="C93" s="24">
        <v>1.3665369540084031</v>
      </c>
      <c r="D93" s="7" t="s">
        <v>378</v>
      </c>
      <c r="E93" s="7" t="s">
        <v>3952</v>
      </c>
      <c r="F93" s="7" t="s">
        <v>692</v>
      </c>
      <c r="G93" s="15"/>
      <c r="H93" s="15"/>
      <c r="I93" s="14"/>
      <c r="L93" s="25"/>
    </row>
    <row r="94" ht="18.75" customHeight="1">
      <c r="A94" s="7" t="s">
        <v>680</v>
      </c>
      <c r="B94" s="9">
        <v>469329.0</v>
      </c>
      <c r="C94" s="24">
        <v>4.490297850761406</v>
      </c>
      <c r="D94" s="7" t="s">
        <v>466</v>
      </c>
      <c r="E94" s="7" t="s">
        <v>3931</v>
      </c>
      <c r="F94" s="7" t="s">
        <v>681</v>
      </c>
      <c r="G94" s="15"/>
      <c r="H94" s="15"/>
      <c r="I94" s="14"/>
      <c r="L94" s="25"/>
    </row>
    <row r="95" ht="18.75" customHeight="1">
      <c r="A95" s="7" t="s">
        <v>585</v>
      </c>
      <c r="B95" s="9">
        <v>698997.0</v>
      </c>
      <c r="C95" s="24">
        <v>0.8593856625994103</v>
      </c>
      <c r="D95" s="7" t="s">
        <v>466</v>
      </c>
      <c r="E95" s="7" t="s">
        <v>3931</v>
      </c>
      <c r="F95" s="7" t="s">
        <v>586</v>
      </c>
      <c r="G95" s="15"/>
      <c r="H95" s="15"/>
      <c r="I95" s="14"/>
      <c r="L95" s="25"/>
    </row>
    <row r="96" ht="18.75" customHeight="1">
      <c r="A96" s="7" t="s">
        <v>533</v>
      </c>
      <c r="B96" s="9">
        <v>25626.0</v>
      </c>
      <c r="C96" s="24">
        <v>169.10965425739482</v>
      </c>
      <c r="D96" s="7" t="s">
        <v>359</v>
      </c>
      <c r="E96" s="7" t="s">
        <v>3953</v>
      </c>
      <c r="F96" s="7" t="s">
        <v>534</v>
      </c>
      <c r="H96" s="15"/>
      <c r="I96" s="14"/>
      <c r="L96" s="25"/>
    </row>
    <row r="97" ht="18.75" customHeight="1">
      <c r="A97" s="7" t="s">
        <v>535</v>
      </c>
      <c r="B97" s="9">
        <v>421569.0</v>
      </c>
      <c r="C97" s="24">
        <v>6.548614817503185</v>
      </c>
      <c r="D97" s="7" t="s">
        <v>359</v>
      </c>
      <c r="E97" s="7" t="s">
        <v>3953</v>
      </c>
      <c r="F97" s="7" t="s">
        <v>536</v>
      </c>
      <c r="G97" s="15"/>
      <c r="H97" s="15"/>
      <c r="I97" s="14"/>
      <c r="L97" s="25"/>
    </row>
    <row r="98" ht="18.75" customHeight="1">
      <c r="A98" s="7" t="s">
        <v>541</v>
      </c>
      <c r="B98" s="9">
        <v>11012.0</v>
      </c>
      <c r="C98" s="24">
        <v>4.049400653832183</v>
      </c>
      <c r="D98" s="7" t="s">
        <v>417</v>
      </c>
      <c r="E98" s="7" t="s">
        <v>3926</v>
      </c>
      <c r="F98" s="7" t="s">
        <v>542</v>
      </c>
      <c r="G98" s="15"/>
      <c r="H98" s="15"/>
      <c r="I98" s="14"/>
      <c r="L98" s="25"/>
    </row>
    <row r="99" ht="18.75" customHeight="1">
      <c r="A99" s="7" t="s">
        <v>693</v>
      </c>
      <c r="B99" s="9">
        <v>247881.0</v>
      </c>
      <c r="C99" s="24">
        <v>2.003598500893574</v>
      </c>
      <c r="D99" s="7" t="s">
        <v>365</v>
      </c>
      <c r="E99" s="7" t="s">
        <v>3924</v>
      </c>
      <c r="F99" s="7" t="s">
        <v>694</v>
      </c>
      <c r="G99" s="15"/>
      <c r="H99" s="15"/>
      <c r="I99" s="14"/>
      <c r="L99" s="25"/>
    </row>
    <row r="100" ht="18.75" customHeight="1">
      <c r="A100" s="7" t="s">
        <v>537</v>
      </c>
      <c r="B100" s="9">
        <v>317029.0</v>
      </c>
      <c r="C100" s="24">
        <v>17.05584347173287</v>
      </c>
      <c r="D100" s="7" t="s">
        <v>359</v>
      </c>
      <c r="E100" s="7" t="s">
        <v>3953</v>
      </c>
      <c r="F100" s="7" t="s">
        <v>538</v>
      </c>
      <c r="G100" s="15"/>
      <c r="H100" s="15"/>
      <c r="I100" s="14"/>
      <c r="L100" s="25"/>
    </row>
    <row r="101" ht="18.75" customHeight="1">
      <c r="A101" s="7" t="s">
        <v>717</v>
      </c>
      <c r="B101" s="9">
        <v>40497.0</v>
      </c>
      <c r="C101" s="24">
        <v>1.3819295256438748</v>
      </c>
      <c r="D101" s="7" t="s">
        <v>365</v>
      </c>
      <c r="E101" s="7" t="s">
        <v>3924</v>
      </c>
      <c r="F101" s="7" t="s">
        <v>718</v>
      </c>
      <c r="G101" s="15"/>
      <c r="H101" s="15"/>
      <c r="I101" s="14"/>
      <c r="L101" s="25"/>
    </row>
    <row r="102" ht="18.75" customHeight="1">
      <c r="A102" s="7" t="s">
        <v>629</v>
      </c>
      <c r="B102" s="9">
        <v>1282165.0</v>
      </c>
      <c r="C102" s="24">
        <v>0.5958499881060549</v>
      </c>
      <c r="D102" s="7" t="s">
        <v>405</v>
      </c>
      <c r="E102" s="7" t="s">
        <v>3929</v>
      </c>
      <c r="F102" s="7" t="s">
        <v>630</v>
      </c>
      <c r="G102" s="15"/>
      <c r="H102" s="15"/>
      <c r="I102" s="14"/>
      <c r="L102" s="25"/>
    </row>
    <row r="103" ht="18.75" customHeight="1">
      <c r="A103" s="7" t="s">
        <v>695</v>
      </c>
      <c r="B103" s="12"/>
      <c r="C103" s="24">
        <v>0.0</v>
      </c>
      <c r="D103" s="7" t="s">
        <v>466</v>
      </c>
      <c r="E103" s="7" t="s">
        <v>3931</v>
      </c>
      <c r="F103" s="7" t="s">
        <v>696</v>
      </c>
      <c r="G103" s="15"/>
      <c r="H103" s="15"/>
      <c r="I103" s="14"/>
      <c r="L103" s="25"/>
    </row>
    <row r="104" ht="18.75" customHeight="1">
      <c r="A104" s="7" t="s">
        <v>715</v>
      </c>
      <c r="B104" s="9">
        <v>1907063.0</v>
      </c>
      <c r="C104" s="24">
        <v>0.13515966698530674</v>
      </c>
      <c r="D104" s="7" t="s">
        <v>365</v>
      </c>
      <c r="E104" s="7" t="s">
        <v>3934</v>
      </c>
      <c r="F104" s="7" t="s">
        <v>716</v>
      </c>
      <c r="G104" s="15"/>
      <c r="H104" s="15"/>
      <c r="I104" s="14"/>
      <c r="L104" s="25"/>
    </row>
    <row r="105" ht="18.75" customHeight="1">
      <c r="A105" s="7" t="s">
        <v>649</v>
      </c>
      <c r="B105" s="9">
        <v>677074.0</v>
      </c>
      <c r="C105" s="24">
        <v>3.8506588644668085</v>
      </c>
      <c r="D105" s="7" t="s">
        <v>405</v>
      </c>
      <c r="E105" s="7" t="s">
        <v>3929</v>
      </c>
      <c r="F105" s="7" t="s">
        <v>650</v>
      </c>
      <c r="G105" s="15"/>
      <c r="H105" s="15"/>
      <c r="I105" s="14"/>
      <c r="L105" s="25"/>
    </row>
    <row r="106" ht="18.75" customHeight="1">
      <c r="A106" s="7" t="s">
        <v>601</v>
      </c>
      <c r="B106" s="9">
        <v>22208.0</v>
      </c>
      <c r="C106" s="24">
        <v>2.7866534582132565</v>
      </c>
      <c r="D106" s="7" t="s">
        <v>417</v>
      </c>
      <c r="E106" s="7" t="s">
        <v>3926</v>
      </c>
      <c r="F106" s="7" t="s">
        <v>602</v>
      </c>
      <c r="G106" s="15"/>
      <c r="H106" s="15"/>
      <c r="I106" s="14"/>
      <c r="L106" s="25"/>
    </row>
    <row r="107" ht="18.75" customHeight="1">
      <c r="A107" s="7" t="s">
        <v>597</v>
      </c>
      <c r="B107" s="9">
        <v>42874.0</v>
      </c>
      <c r="C107" s="24">
        <v>2.8136166441199797</v>
      </c>
      <c r="D107" s="7" t="s">
        <v>417</v>
      </c>
      <c r="E107" s="7" t="s">
        <v>3926</v>
      </c>
      <c r="F107" s="7" t="s">
        <v>598</v>
      </c>
      <c r="G107" s="15"/>
      <c r="H107" s="15"/>
      <c r="I107" s="14"/>
      <c r="L107" s="25"/>
    </row>
    <row r="108" ht="18.75" customHeight="1">
      <c r="A108" s="7" t="s">
        <v>744</v>
      </c>
      <c r="B108" s="9">
        <v>233746.0</v>
      </c>
      <c r="C108" s="24">
        <v>1.591744885473976</v>
      </c>
      <c r="D108" s="7" t="s">
        <v>365</v>
      </c>
      <c r="E108" s="7" t="s">
        <v>3954</v>
      </c>
      <c r="F108" s="7" t="s">
        <v>745</v>
      </c>
      <c r="G108" s="15"/>
      <c r="H108" s="15"/>
      <c r="I108" s="14"/>
      <c r="L108" s="25"/>
    </row>
    <row r="109" ht="18.75" customHeight="1">
      <c r="A109" s="7" t="s">
        <v>726</v>
      </c>
      <c r="B109" s="9">
        <v>84069.0</v>
      </c>
      <c r="C109" s="24">
        <v>4.132652939847031</v>
      </c>
      <c r="D109" s="7" t="s">
        <v>417</v>
      </c>
      <c r="E109" s="7" t="s">
        <v>3926</v>
      </c>
      <c r="F109" s="7" t="s">
        <v>727</v>
      </c>
      <c r="G109" s="15"/>
      <c r="H109" s="15"/>
      <c r="I109" s="14"/>
      <c r="L109" s="25"/>
    </row>
    <row r="110" ht="18.75" customHeight="1">
      <c r="A110" s="7" t="s">
        <v>730</v>
      </c>
      <c r="B110" s="9">
        <v>30612.0</v>
      </c>
      <c r="C110" s="24">
        <v>5.037632301058409</v>
      </c>
      <c r="D110" s="7" t="s">
        <v>417</v>
      </c>
      <c r="E110" s="7" t="s">
        <v>3926</v>
      </c>
      <c r="F110" s="7" t="s">
        <v>731</v>
      </c>
      <c r="G110" s="15"/>
      <c r="H110" s="15"/>
      <c r="I110" s="14"/>
      <c r="L110" s="25"/>
    </row>
    <row r="111" ht="18.75" customHeight="1">
      <c r="A111" s="7" t="s">
        <v>732</v>
      </c>
      <c r="B111" s="9">
        <v>135581.0</v>
      </c>
      <c r="C111" s="24">
        <v>1.640856757215244</v>
      </c>
      <c r="D111" s="7" t="s">
        <v>359</v>
      </c>
      <c r="E111" s="7" t="s">
        <v>3941</v>
      </c>
      <c r="F111" s="7" t="s">
        <v>733</v>
      </c>
      <c r="G111" s="15"/>
      <c r="H111" s="15"/>
      <c r="I111" s="14"/>
      <c r="L111" s="25"/>
    </row>
    <row r="112" ht="18.75" customHeight="1">
      <c r="A112" s="7" t="s">
        <v>728</v>
      </c>
      <c r="B112" s="9">
        <v>30128.0</v>
      </c>
      <c r="C112" s="24">
        <v>2.5816848114710567</v>
      </c>
      <c r="D112" s="7" t="s">
        <v>417</v>
      </c>
      <c r="E112" s="7" t="s">
        <v>3926</v>
      </c>
      <c r="F112" s="7" t="s">
        <v>729</v>
      </c>
      <c r="G112" s="15"/>
      <c r="H112" s="15"/>
      <c r="I112" s="14"/>
      <c r="L112" s="25"/>
    </row>
    <row r="113" ht="18.75" customHeight="1">
      <c r="A113" s="7" t="s">
        <v>697</v>
      </c>
      <c r="B113" s="9">
        <v>318767.0</v>
      </c>
      <c r="C113" s="24">
        <v>3.883322301241973</v>
      </c>
      <c r="D113" s="7" t="s">
        <v>405</v>
      </c>
      <c r="E113" s="7" t="s">
        <v>3929</v>
      </c>
      <c r="F113" s="7" t="s">
        <v>698</v>
      </c>
      <c r="G113" s="15"/>
      <c r="H113" s="15"/>
      <c r="I113" s="14"/>
      <c r="L113" s="25"/>
    </row>
    <row r="114" ht="18.75" customHeight="1">
      <c r="A114" s="7" t="s">
        <v>721</v>
      </c>
      <c r="B114" s="9">
        <v>156446.0</v>
      </c>
      <c r="C114" s="24">
        <v>13.380322922925481</v>
      </c>
      <c r="D114" s="7" t="s">
        <v>466</v>
      </c>
      <c r="E114" s="7" t="s">
        <v>3955</v>
      </c>
      <c r="F114" s="7" t="s">
        <v>722</v>
      </c>
      <c r="G114" s="15"/>
      <c r="H114" s="15"/>
      <c r="I114" s="14"/>
      <c r="L114" s="25"/>
    </row>
    <row r="115" ht="18.75" customHeight="1">
      <c r="A115" s="7" t="s">
        <v>734</v>
      </c>
      <c r="B115" s="9">
        <v>287774.0</v>
      </c>
      <c r="C115" s="24">
        <v>1.393159215217497</v>
      </c>
      <c r="D115" s="7" t="s">
        <v>413</v>
      </c>
      <c r="E115" s="7" t="s">
        <v>3947</v>
      </c>
      <c r="F115" s="7" t="s">
        <v>735</v>
      </c>
      <c r="G115" s="15"/>
      <c r="H115" s="15"/>
      <c r="I115" s="14"/>
      <c r="L115" s="25"/>
    </row>
    <row r="116" ht="18.75" customHeight="1">
      <c r="A116" s="7" t="s">
        <v>623</v>
      </c>
      <c r="B116" s="9">
        <v>993671.0</v>
      </c>
      <c r="C116" s="24">
        <v>0.6052627076768871</v>
      </c>
      <c r="D116" s="7" t="s">
        <v>354</v>
      </c>
      <c r="E116" s="14"/>
      <c r="F116" s="7" t="s">
        <v>624</v>
      </c>
      <c r="G116" s="15"/>
      <c r="H116" s="15"/>
      <c r="I116" s="14"/>
      <c r="L116" s="25"/>
    </row>
    <row r="117" ht="18.75" customHeight="1">
      <c r="A117" s="7" t="s">
        <v>748</v>
      </c>
      <c r="B117" s="9">
        <v>343375.0</v>
      </c>
      <c r="C117" s="24">
        <v>1.3759708773207135</v>
      </c>
      <c r="D117" s="7" t="s">
        <v>725</v>
      </c>
      <c r="E117" s="7" t="s">
        <v>3956</v>
      </c>
      <c r="F117" s="7" t="s">
        <v>749</v>
      </c>
      <c r="G117" s="15"/>
      <c r="H117" s="15"/>
      <c r="I117" s="14"/>
      <c r="L117" s="25"/>
    </row>
    <row r="118" ht="18.75" customHeight="1">
      <c r="A118" s="7" t="s">
        <v>763</v>
      </c>
      <c r="B118" s="9">
        <v>71769.0</v>
      </c>
      <c r="C118" s="24">
        <v>1.3987236829271692</v>
      </c>
      <c r="D118" s="7" t="s">
        <v>365</v>
      </c>
      <c r="E118" s="14"/>
      <c r="F118" s="7" t="s">
        <v>764</v>
      </c>
      <c r="G118" s="15"/>
      <c r="H118" s="15"/>
      <c r="I118" s="14"/>
      <c r="L118" s="25"/>
    </row>
    <row r="119" ht="18.75" customHeight="1">
      <c r="A119" s="7" t="s">
        <v>736</v>
      </c>
      <c r="B119" s="9">
        <v>103246.0</v>
      </c>
      <c r="C119" s="24">
        <v>1.577949751079945</v>
      </c>
      <c r="D119" s="7" t="s">
        <v>466</v>
      </c>
      <c r="E119" s="7" t="s">
        <v>3946</v>
      </c>
      <c r="F119" s="7" t="s">
        <v>737</v>
      </c>
      <c r="G119" s="15"/>
      <c r="H119" s="15"/>
      <c r="I119" s="14"/>
      <c r="L119" s="25"/>
    </row>
    <row r="120" ht="18.75" customHeight="1">
      <c r="A120" s="7" t="s">
        <v>738</v>
      </c>
      <c r="B120" s="9">
        <v>107726.0</v>
      </c>
      <c r="C120" s="24">
        <v>1.557042868017006</v>
      </c>
      <c r="D120" s="7" t="s">
        <v>466</v>
      </c>
      <c r="E120" s="7" t="s">
        <v>3945</v>
      </c>
      <c r="F120" s="7" t="s">
        <v>739</v>
      </c>
      <c r="G120" s="15"/>
      <c r="H120" s="15"/>
      <c r="I120" s="14"/>
      <c r="L120" s="25"/>
    </row>
    <row r="121" ht="18.75" customHeight="1">
      <c r="A121" s="7" t="s">
        <v>742</v>
      </c>
      <c r="B121" s="9">
        <v>100677.0</v>
      </c>
      <c r="C121" s="24">
        <v>1.5730901794848873</v>
      </c>
      <c r="D121" s="7" t="s">
        <v>466</v>
      </c>
      <c r="E121" s="7" t="s">
        <v>3944</v>
      </c>
      <c r="F121" s="7" t="s">
        <v>743</v>
      </c>
      <c r="G121" s="15"/>
      <c r="H121" s="15"/>
      <c r="I121" s="14"/>
      <c r="L121" s="25"/>
    </row>
    <row r="122" ht="18.75" customHeight="1">
      <c r="A122" s="7" t="s">
        <v>740</v>
      </c>
      <c r="B122" s="9">
        <v>140853.0</v>
      </c>
      <c r="C122" s="24">
        <v>1.5240853939923182</v>
      </c>
      <c r="D122" s="7" t="s">
        <v>466</v>
      </c>
      <c r="E122" s="7" t="s">
        <v>3943</v>
      </c>
      <c r="F122" s="7" t="s">
        <v>741</v>
      </c>
      <c r="G122" s="15"/>
      <c r="H122" s="15"/>
      <c r="I122" s="14"/>
      <c r="L122" s="25"/>
    </row>
    <row r="123" ht="18.75" customHeight="1">
      <c r="A123" s="7" t="s">
        <v>756</v>
      </c>
      <c r="B123" s="9">
        <v>41428.0</v>
      </c>
      <c r="C123" s="24">
        <v>1.4847687554311093</v>
      </c>
      <c r="D123" s="7" t="s">
        <v>365</v>
      </c>
      <c r="E123" s="7" t="s">
        <v>3924</v>
      </c>
      <c r="F123" s="7" t="s">
        <v>757</v>
      </c>
      <c r="G123" s="15"/>
      <c r="H123" s="15"/>
      <c r="I123" s="14"/>
      <c r="L123" s="25"/>
    </row>
    <row r="124" ht="18.75" customHeight="1">
      <c r="A124" s="7" t="s">
        <v>668</v>
      </c>
      <c r="B124" s="9">
        <v>41399.0</v>
      </c>
      <c r="C124" s="24">
        <v>2.899731877581584</v>
      </c>
      <c r="D124" s="7" t="s">
        <v>417</v>
      </c>
      <c r="E124" s="7" t="s">
        <v>3926</v>
      </c>
      <c r="F124" s="7" t="s">
        <v>669</v>
      </c>
      <c r="H124" s="15"/>
      <c r="I124" s="14"/>
      <c r="L124" s="25"/>
    </row>
    <row r="125" ht="18.75" customHeight="1">
      <c r="A125" s="7" t="s">
        <v>625</v>
      </c>
      <c r="B125" s="9">
        <v>82633.0</v>
      </c>
      <c r="C125" s="24">
        <v>29.55497198455823</v>
      </c>
      <c r="D125" s="7" t="s">
        <v>354</v>
      </c>
      <c r="E125" s="14"/>
      <c r="F125" s="7" t="s">
        <v>626</v>
      </c>
      <c r="G125" s="15"/>
      <c r="H125" s="15"/>
      <c r="I125" s="14"/>
      <c r="L125" s="25"/>
    </row>
    <row r="126" ht="18.75" customHeight="1">
      <c r="A126" s="7" t="s">
        <v>670</v>
      </c>
      <c r="B126" s="9">
        <v>106495.0</v>
      </c>
      <c r="C126" s="24">
        <v>2.0448283956993287</v>
      </c>
      <c r="D126" s="7" t="s">
        <v>417</v>
      </c>
      <c r="E126" s="7" t="s">
        <v>3926</v>
      </c>
      <c r="F126" s="7" t="s">
        <v>671</v>
      </c>
      <c r="G126" s="15"/>
      <c r="H126" s="15"/>
      <c r="I126" s="14"/>
      <c r="L126" s="25"/>
    </row>
    <row r="127" ht="18.75" customHeight="1">
      <c r="A127" s="7" t="s">
        <v>746</v>
      </c>
      <c r="B127" s="9">
        <v>33864.0</v>
      </c>
      <c r="C127" s="24">
        <v>1.091660760689818</v>
      </c>
      <c r="D127" s="7" t="s">
        <v>417</v>
      </c>
      <c r="E127" s="7" t="s">
        <v>3942</v>
      </c>
      <c r="F127" s="7" t="s">
        <v>747</v>
      </c>
      <c r="I127" s="14"/>
      <c r="L127" s="25"/>
    </row>
    <row r="128" ht="18.75" customHeight="1">
      <c r="A128" s="7" t="s">
        <v>686</v>
      </c>
      <c r="B128" s="9">
        <v>194008.0</v>
      </c>
      <c r="C128" s="24">
        <v>1.4523524803100902</v>
      </c>
      <c r="D128" s="7" t="s">
        <v>688</v>
      </c>
      <c r="E128" s="14"/>
      <c r="F128" s="7" t="s">
        <v>687</v>
      </c>
      <c r="G128" s="15"/>
      <c r="H128" s="15"/>
      <c r="I128" s="14"/>
      <c r="L128" s="25"/>
    </row>
    <row r="129" ht="18.75" customHeight="1">
      <c r="A129" s="7" t="s">
        <v>775</v>
      </c>
      <c r="B129" s="9">
        <v>499106.0</v>
      </c>
      <c r="C129" s="24">
        <v>1.055100519729276</v>
      </c>
      <c r="D129" s="7" t="s">
        <v>359</v>
      </c>
      <c r="E129" s="14"/>
      <c r="F129" s="7" t="s">
        <v>776</v>
      </c>
      <c r="G129" s="15"/>
      <c r="H129" s="15"/>
      <c r="I129" s="14"/>
      <c r="L129" s="25"/>
    </row>
    <row r="130" ht="18.75" customHeight="1">
      <c r="A130" s="7" t="s">
        <v>719</v>
      </c>
      <c r="B130" s="9">
        <v>31632.0</v>
      </c>
      <c r="C130" s="24">
        <v>58.04685128983308</v>
      </c>
      <c r="D130" s="7" t="s">
        <v>466</v>
      </c>
      <c r="E130" s="7" t="s">
        <v>3957</v>
      </c>
      <c r="F130" s="7" t="s">
        <v>720</v>
      </c>
      <c r="I130" s="14"/>
      <c r="L130" s="25"/>
    </row>
    <row r="131" ht="18.75" customHeight="1">
      <c r="A131" s="7" t="s">
        <v>779</v>
      </c>
      <c r="B131" s="9">
        <v>136515.0</v>
      </c>
      <c r="C131" s="24">
        <v>1.580815295022525</v>
      </c>
      <c r="D131" s="7" t="s">
        <v>354</v>
      </c>
      <c r="E131" s="7" t="s">
        <v>3949</v>
      </c>
      <c r="F131" s="7" t="s">
        <v>780</v>
      </c>
      <c r="G131" s="15"/>
      <c r="H131" s="15"/>
      <c r="I131" s="14"/>
      <c r="L131" s="25"/>
    </row>
    <row r="132" ht="18.75" customHeight="1">
      <c r="A132" s="7" t="s">
        <v>790</v>
      </c>
      <c r="B132" s="9">
        <v>28267.0</v>
      </c>
      <c r="C132" s="24">
        <v>7.354087805568331</v>
      </c>
      <c r="D132" s="7" t="s">
        <v>405</v>
      </c>
      <c r="E132" s="7" t="s">
        <v>3929</v>
      </c>
      <c r="F132" s="7" t="s">
        <v>791</v>
      </c>
      <c r="G132" s="15"/>
      <c r="H132" s="15"/>
      <c r="I132" s="14"/>
      <c r="L132" s="25"/>
    </row>
    <row r="133" ht="18.75" customHeight="1">
      <c r="A133" s="7" t="s">
        <v>651</v>
      </c>
      <c r="B133" s="9">
        <v>605267.0</v>
      </c>
      <c r="C133" s="24">
        <v>9.208993716822492</v>
      </c>
      <c r="D133" s="7" t="s">
        <v>378</v>
      </c>
      <c r="E133" s="14"/>
      <c r="F133" s="7" t="s">
        <v>652</v>
      </c>
      <c r="G133" s="15"/>
      <c r="H133" s="15"/>
      <c r="I133" s="14"/>
      <c r="L133" s="25"/>
    </row>
    <row r="134" ht="18.75" customHeight="1">
      <c r="A134" s="7" t="s">
        <v>786</v>
      </c>
      <c r="B134" s="9">
        <v>123461.0</v>
      </c>
      <c r="C134" s="24">
        <v>1.276241080179166</v>
      </c>
      <c r="D134" s="7" t="s">
        <v>667</v>
      </c>
      <c r="E134" s="7" t="s">
        <v>3951</v>
      </c>
      <c r="F134" s="7" t="s">
        <v>787</v>
      </c>
      <c r="G134" s="15"/>
      <c r="H134" s="15"/>
      <c r="I134" s="14"/>
      <c r="L134" s="25"/>
    </row>
    <row r="135" ht="18.75" customHeight="1">
      <c r="A135" s="7" t="s">
        <v>621</v>
      </c>
      <c r="B135" s="9">
        <v>64556.0</v>
      </c>
      <c r="C135" s="24">
        <v>1.3925429084825578</v>
      </c>
      <c r="D135" s="7" t="s">
        <v>354</v>
      </c>
      <c r="E135" s="14"/>
      <c r="F135" s="7" t="s">
        <v>622</v>
      </c>
      <c r="G135" s="15"/>
      <c r="H135" s="15"/>
      <c r="I135" s="14"/>
      <c r="L135" s="25"/>
    </row>
    <row r="136" ht="18.75" customHeight="1">
      <c r="A136" s="7" t="s">
        <v>788</v>
      </c>
      <c r="B136" s="9">
        <v>60563.0</v>
      </c>
      <c r="C136" s="24">
        <v>1.7469246899922395</v>
      </c>
      <c r="D136" s="7" t="s">
        <v>594</v>
      </c>
      <c r="E136" s="7" t="s">
        <v>3942</v>
      </c>
      <c r="F136" s="7" t="s">
        <v>789</v>
      </c>
      <c r="G136" s="15"/>
      <c r="H136" s="15"/>
      <c r="I136" s="14"/>
      <c r="L136" s="25"/>
    </row>
    <row r="137" ht="18.75" customHeight="1">
      <c r="A137" s="7" t="s">
        <v>689</v>
      </c>
      <c r="B137" s="9">
        <v>299697.0</v>
      </c>
      <c r="C137" s="24">
        <v>4.819517712890019</v>
      </c>
      <c r="D137" s="7" t="s">
        <v>378</v>
      </c>
      <c r="E137" s="7" t="s">
        <v>3940</v>
      </c>
      <c r="F137" s="7" t="s">
        <v>690</v>
      </c>
      <c r="G137" s="15"/>
      <c r="H137" s="15"/>
      <c r="I137" s="14"/>
      <c r="L137" s="25"/>
    </row>
    <row r="138" ht="18.75" customHeight="1">
      <c r="A138" s="7" t="s">
        <v>705</v>
      </c>
      <c r="B138" s="9">
        <v>83599.0</v>
      </c>
      <c r="C138" s="24">
        <v>1.4784506991710427</v>
      </c>
      <c r="D138" s="7" t="s">
        <v>359</v>
      </c>
      <c r="E138" s="7" t="s">
        <v>3958</v>
      </c>
      <c r="F138" s="7" t="s">
        <v>706</v>
      </c>
      <c r="G138" s="15"/>
      <c r="H138" s="15"/>
      <c r="I138" s="14"/>
      <c r="L138" s="25"/>
    </row>
    <row r="139" ht="18.75" customHeight="1">
      <c r="A139" s="7" t="s">
        <v>802</v>
      </c>
      <c r="B139" s="9">
        <v>12394.0</v>
      </c>
      <c r="C139" s="24">
        <v>4.493706632241407</v>
      </c>
      <c r="D139" s="7" t="s">
        <v>417</v>
      </c>
      <c r="E139" s="7" t="s">
        <v>3926</v>
      </c>
      <c r="F139" s="7" t="s">
        <v>803</v>
      </c>
      <c r="G139" s="15"/>
      <c r="H139" s="15"/>
      <c r="I139" s="14"/>
      <c r="L139" s="25"/>
    </row>
    <row r="140" ht="18.75" customHeight="1">
      <c r="A140" s="7" t="s">
        <v>781</v>
      </c>
      <c r="B140" s="9">
        <v>456612.0</v>
      </c>
      <c r="C140" s="24">
        <v>1.3630587895193294</v>
      </c>
      <c r="D140" s="7" t="s">
        <v>783</v>
      </c>
      <c r="E140" s="7" t="s">
        <v>3959</v>
      </c>
      <c r="F140" s="7" t="s">
        <v>782</v>
      </c>
      <c r="G140" s="15"/>
      <c r="H140" s="15"/>
      <c r="I140" s="14"/>
      <c r="L140" s="25"/>
    </row>
    <row r="141" ht="18.75" customHeight="1">
      <c r="A141" s="7" t="s">
        <v>798</v>
      </c>
      <c r="B141" s="9">
        <v>82800.0</v>
      </c>
      <c r="C141" s="24">
        <v>1.3520048309178745</v>
      </c>
      <c r="D141" s="7" t="s">
        <v>466</v>
      </c>
      <c r="E141" s="7" t="s">
        <v>3943</v>
      </c>
      <c r="F141" s="7" t="s">
        <v>799</v>
      </c>
      <c r="G141" s="15"/>
      <c r="H141" s="15"/>
      <c r="I141" s="14"/>
      <c r="L141" s="25"/>
    </row>
    <row r="142" ht="18.75" customHeight="1">
      <c r="A142" s="7" t="s">
        <v>800</v>
      </c>
      <c r="B142" s="9">
        <v>54685.0</v>
      </c>
      <c r="C142" s="24">
        <v>1.4445277498399927</v>
      </c>
      <c r="D142" s="7" t="s">
        <v>466</v>
      </c>
      <c r="E142" s="7" t="s">
        <v>3944</v>
      </c>
      <c r="F142" s="7" t="s">
        <v>801</v>
      </c>
      <c r="G142" s="15"/>
      <c r="H142" s="15"/>
      <c r="I142" s="14"/>
      <c r="L142" s="25"/>
    </row>
    <row r="143" ht="18.75" customHeight="1">
      <c r="A143" s="7" t="s">
        <v>796</v>
      </c>
      <c r="B143" s="9">
        <v>52233.0</v>
      </c>
      <c r="C143" s="24">
        <v>1.4413493385407692</v>
      </c>
      <c r="D143" s="7" t="s">
        <v>466</v>
      </c>
      <c r="E143" s="7" t="s">
        <v>3946</v>
      </c>
      <c r="F143" s="7" t="s">
        <v>797</v>
      </c>
      <c r="G143" s="15"/>
      <c r="H143" s="15"/>
      <c r="I143" s="14"/>
      <c r="L143" s="25"/>
    </row>
    <row r="144" ht="18.75" customHeight="1">
      <c r="A144" s="7" t="s">
        <v>806</v>
      </c>
      <c r="B144" s="9">
        <v>373732.0</v>
      </c>
      <c r="C144" s="24">
        <v>1.170234285530808</v>
      </c>
      <c r="D144" s="7" t="s">
        <v>808</v>
      </c>
      <c r="E144" s="7" t="s">
        <v>808</v>
      </c>
      <c r="F144" s="7" t="s">
        <v>807</v>
      </c>
      <c r="G144" s="15"/>
      <c r="H144" s="15"/>
      <c r="I144" s="14"/>
      <c r="L144" s="25"/>
    </row>
    <row r="145" ht="18.75" customHeight="1">
      <c r="A145" s="7" t="s">
        <v>794</v>
      </c>
      <c r="B145" s="9">
        <v>48683.0</v>
      </c>
      <c r="C145" s="24">
        <v>1.4548404987367254</v>
      </c>
      <c r="D145" s="7" t="s">
        <v>466</v>
      </c>
      <c r="E145" s="7" t="s">
        <v>3945</v>
      </c>
      <c r="F145" s="7" t="s">
        <v>795</v>
      </c>
      <c r="G145" s="15"/>
      <c r="H145" s="15"/>
      <c r="I145" s="14"/>
      <c r="L145" s="25"/>
    </row>
    <row r="146" ht="18.75" customHeight="1">
      <c r="A146" s="7" t="s">
        <v>767</v>
      </c>
      <c r="B146" s="9">
        <v>391761.0</v>
      </c>
      <c r="C146" s="24">
        <v>0.9022516279057895</v>
      </c>
      <c r="D146" s="7" t="s">
        <v>466</v>
      </c>
      <c r="E146" s="7" t="s">
        <v>3931</v>
      </c>
      <c r="F146" s="7" t="s">
        <v>768</v>
      </c>
      <c r="G146" s="15"/>
      <c r="H146" s="15"/>
      <c r="I146" s="14"/>
      <c r="L146" s="25"/>
    </row>
    <row r="147" ht="18.75" customHeight="1">
      <c r="A147" s="7" t="s">
        <v>792</v>
      </c>
      <c r="B147" s="9">
        <v>1404372.0</v>
      </c>
      <c r="C147" s="24">
        <v>0.7088449499135556</v>
      </c>
      <c r="D147" s="7" t="s">
        <v>365</v>
      </c>
      <c r="E147" s="7" t="s">
        <v>3932</v>
      </c>
      <c r="F147" s="7" t="s">
        <v>793</v>
      </c>
      <c r="G147" s="15"/>
      <c r="H147" s="15"/>
      <c r="I147" s="14"/>
      <c r="L147" s="25"/>
    </row>
    <row r="148" ht="18.75" customHeight="1">
      <c r="A148" s="7" t="s">
        <v>804</v>
      </c>
      <c r="B148" s="9">
        <v>0.0</v>
      </c>
      <c r="C148" s="24">
        <v>0.0</v>
      </c>
      <c r="D148" s="7" t="s">
        <v>594</v>
      </c>
      <c r="E148" s="7" t="s">
        <v>3942</v>
      </c>
      <c r="F148" s="7" t="s">
        <v>805</v>
      </c>
      <c r="G148" s="15"/>
      <c r="H148" s="15"/>
      <c r="I148" s="14"/>
      <c r="L148" s="25"/>
    </row>
    <row r="149" ht="18.75" customHeight="1">
      <c r="A149" s="7" t="s">
        <v>701</v>
      </c>
      <c r="B149" s="9">
        <v>149810.0</v>
      </c>
      <c r="C149" s="24">
        <v>2.021246912756158</v>
      </c>
      <c r="D149" s="7" t="s">
        <v>378</v>
      </c>
      <c r="E149" s="7" t="s">
        <v>3940</v>
      </c>
      <c r="F149" s="7" t="s">
        <v>702</v>
      </c>
      <c r="G149" s="15"/>
      <c r="H149" s="15"/>
      <c r="I149" s="14"/>
      <c r="L149" s="25"/>
    </row>
    <row r="150" ht="18.75" customHeight="1">
      <c r="A150" s="7" t="s">
        <v>784</v>
      </c>
      <c r="B150" s="9">
        <v>41738.0</v>
      </c>
      <c r="C150" s="24">
        <v>1.5106138291245388</v>
      </c>
      <c r="D150" s="7" t="s">
        <v>378</v>
      </c>
      <c r="E150" s="7" t="s">
        <v>3952</v>
      </c>
      <c r="F150" s="7" t="s">
        <v>785</v>
      </c>
      <c r="I150" s="14"/>
      <c r="L150" s="25"/>
    </row>
    <row r="151" ht="18.75" customHeight="1">
      <c r="A151" s="7" t="s">
        <v>769</v>
      </c>
      <c r="B151" s="9">
        <v>148104.0</v>
      </c>
      <c r="C151" s="24">
        <v>4.349511154323989</v>
      </c>
      <c r="D151" s="7" t="s">
        <v>405</v>
      </c>
      <c r="E151" s="7" t="s">
        <v>3929</v>
      </c>
      <c r="F151" s="7" t="s">
        <v>770</v>
      </c>
      <c r="H151" s="15"/>
      <c r="I151" s="14"/>
      <c r="L151" s="25"/>
    </row>
    <row r="152" ht="18.75" customHeight="1">
      <c r="A152" s="7" t="s">
        <v>726</v>
      </c>
      <c r="B152" s="9">
        <v>151139.0</v>
      </c>
      <c r="C152" s="24">
        <v>2.298731631147487</v>
      </c>
      <c r="D152" s="7" t="s">
        <v>417</v>
      </c>
      <c r="E152" s="7" t="s">
        <v>3926</v>
      </c>
      <c r="F152" s="7" t="s">
        <v>727</v>
      </c>
      <c r="G152" s="15"/>
      <c r="H152" s="15"/>
      <c r="I152" s="14"/>
      <c r="L152" s="25"/>
    </row>
    <row r="153" ht="18.75" customHeight="1">
      <c r="A153" s="7" t="s">
        <v>821</v>
      </c>
      <c r="B153" s="9">
        <v>153794.0</v>
      </c>
      <c r="C153" s="24">
        <v>1.0410159043915888</v>
      </c>
      <c r="D153" s="7" t="s">
        <v>725</v>
      </c>
      <c r="E153" s="7" t="s">
        <v>3956</v>
      </c>
      <c r="F153" s="7" t="s">
        <v>822</v>
      </c>
      <c r="G153" s="15"/>
      <c r="H153" s="15"/>
      <c r="I153" s="14"/>
      <c r="L153" s="25"/>
    </row>
    <row r="154" ht="18.75" customHeight="1">
      <c r="A154" s="7" t="s">
        <v>817</v>
      </c>
      <c r="B154" s="9">
        <v>1202451.0</v>
      </c>
      <c r="C154" s="24">
        <v>0.7993282054736534</v>
      </c>
      <c r="D154" s="7" t="s">
        <v>365</v>
      </c>
      <c r="E154" s="7" t="s">
        <v>3932</v>
      </c>
      <c r="F154" s="7" t="s">
        <v>818</v>
      </c>
      <c r="G154" s="15"/>
      <c r="H154" s="15"/>
      <c r="I154" s="14"/>
      <c r="L154" s="25"/>
    </row>
    <row r="155" ht="18.75" customHeight="1">
      <c r="A155" s="7" t="s">
        <v>758</v>
      </c>
      <c r="B155" s="9">
        <v>380647.0</v>
      </c>
      <c r="C155" s="24">
        <v>1.9026368262458393</v>
      </c>
      <c r="D155" s="7" t="s">
        <v>760</v>
      </c>
      <c r="E155" s="14"/>
      <c r="F155" s="7" t="s">
        <v>759</v>
      </c>
      <c r="I155" s="14"/>
      <c r="L155" s="25"/>
    </row>
    <row r="156" ht="18.75" customHeight="1">
      <c r="A156" s="7" t="s">
        <v>777</v>
      </c>
      <c r="B156" s="9">
        <v>157499.0</v>
      </c>
      <c r="C156" s="24">
        <v>15.7773890627877</v>
      </c>
      <c r="D156" s="7" t="s">
        <v>725</v>
      </c>
      <c r="E156" s="14"/>
      <c r="F156" s="7" t="s">
        <v>778</v>
      </c>
      <c r="G156" s="15"/>
      <c r="H156" s="15"/>
      <c r="I156" s="14"/>
      <c r="L156" s="25"/>
    </row>
    <row r="157" ht="18.75" customHeight="1">
      <c r="A157" s="7" t="s">
        <v>713</v>
      </c>
      <c r="B157" s="9">
        <v>508095.0</v>
      </c>
      <c r="C157" s="24">
        <v>3.51186490715319</v>
      </c>
      <c r="D157" s="7" t="s">
        <v>378</v>
      </c>
      <c r="E157" s="7" t="s">
        <v>3940</v>
      </c>
      <c r="F157" s="7" t="s">
        <v>714</v>
      </c>
      <c r="G157" s="15"/>
      <c r="H157" s="15"/>
      <c r="I157" s="14"/>
      <c r="L157" s="25"/>
    </row>
    <row r="158" ht="18.75" customHeight="1">
      <c r="A158" s="7" t="s">
        <v>844</v>
      </c>
      <c r="B158" s="9">
        <v>53768.0</v>
      </c>
      <c r="C158" s="24">
        <v>1.2649531319744085</v>
      </c>
      <c r="D158" s="7" t="s">
        <v>359</v>
      </c>
      <c r="E158" s="7" t="s">
        <v>3941</v>
      </c>
      <c r="F158" s="7" t="s">
        <v>845</v>
      </c>
      <c r="G158" s="15"/>
      <c r="H158" s="15"/>
      <c r="I158" s="14"/>
      <c r="L158" s="25"/>
    </row>
    <row r="159" ht="18.75" customHeight="1">
      <c r="A159" s="7" t="s">
        <v>728</v>
      </c>
      <c r="B159" s="9">
        <v>22025.0</v>
      </c>
      <c r="C159" s="24">
        <v>3.5314869466515324</v>
      </c>
      <c r="D159" s="7" t="s">
        <v>417</v>
      </c>
      <c r="E159" s="7" t="s">
        <v>3926</v>
      </c>
      <c r="F159" s="7" t="s">
        <v>729</v>
      </c>
      <c r="G159" s="15"/>
      <c r="H159" s="15"/>
      <c r="I159" s="14"/>
      <c r="L159" s="25"/>
    </row>
    <row r="160" ht="18.75" customHeight="1">
      <c r="A160" s="7" t="e">
        <v>#N/A</v>
      </c>
      <c r="B160" s="12"/>
      <c r="C160" s="24">
        <v>0.0</v>
      </c>
      <c r="D160" s="7" t="e">
        <v>#N/A</v>
      </c>
      <c r="E160" s="7" t="e">
        <v>#N/A</v>
      </c>
      <c r="F160" s="7" t="e">
        <v>#N/A</v>
      </c>
      <c r="G160" s="15"/>
      <c r="H160" s="15"/>
      <c r="I160" s="14"/>
      <c r="L160" s="25"/>
    </row>
    <row r="161" ht="18.75" customHeight="1">
      <c r="A161" s="7" t="s">
        <v>730</v>
      </c>
      <c r="B161" s="9">
        <v>79573.0</v>
      </c>
      <c r="C161" s="24">
        <v>1.93799404320561</v>
      </c>
      <c r="D161" s="7" t="s">
        <v>417</v>
      </c>
      <c r="E161" s="7" t="s">
        <v>3926</v>
      </c>
      <c r="F161" s="7" t="s">
        <v>731</v>
      </c>
      <c r="G161" s="15"/>
      <c r="H161" s="15"/>
      <c r="I161" s="14"/>
      <c r="L161" s="25"/>
    </row>
    <row r="162" ht="18.75" customHeight="1">
      <c r="A162" s="7" t="s">
        <v>842</v>
      </c>
      <c r="B162" s="9">
        <v>110066.0</v>
      </c>
      <c r="C162" s="24">
        <v>1.1042828848145658</v>
      </c>
      <c r="D162" s="7" t="s">
        <v>594</v>
      </c>
      <c r="E162" s="7" t="s">
        <v>3942</v>
      </c>
      <c r="F162" s="7" t="s">
        <v>843</v>
      </c>
      <c r="G162" s="15"/>
      <c r="H162" s="15"/>
      <c r="I162" s="14"/>
      <c r="L162" s="25"/>
    </row>
    <row r="163" ht="18.75" customHeight="1">
      <c r="A163" s="7" t="s">
        <v>819</v>
      </c>
      <c r="B163" s="9">
        <v>121849.0</v>
      </c>
      <c r="C163" s="24">
        <v>1.6205795697954024</v>
      </c>
      <c r="D163" s="7" t="s">
        <v>365</v>
      </c>
      <c r="E163" s="7" t="s">
        <v>3938</v>
      </c>
      <c r="F163" s="7" t="s">
        <v>820</v>
      </c>
      <c r="G163" s="15"/>
      <c r="H163" s="15"/>
      <c r="I163" s="14"/>
      <c r="L163" s="25"/>
    </row>
    <row r="164" ht="18.75" customHeight="1">
      <c r="A164" s="7" t="s">
        <v>829</v>
      </c>
      <c r="B164" s="9">
        <v>97932.0</v>
      </c>
      <c r="C164" s="24">
        <v>16.915778295143568</v>
      </c>
      <c r="D164" s="7" t="s">
        <v>365</v>
      </c>
      <c r="E164" s="7" t="s">
        <v>3932</v>
      </c>
      <c r="F164" s="7" t="s">
        <v>830</v>
      </c>
      <c r="G164" s="15"/>
      <c r="H164" s="15"/>
      <c r="I164" s="14"/>
      <c r="L164" s="25"/>
    </row>
    <row r="165" ht="18.75" customHeight="1">
      <c r="A165" s="7" t="s">
        <v>836</v>
      </c>
      <c r="B165" s="9">
        <v>32724.0</v>
      </c>
      <c r="C165" s="24">
        <v>2.5839445055616674</v>
      </c>
      <c r="D165" s="7" t="s">
        <v>417</v>
      </c>
      <c r="E165" s="7" t="s">
        <v>3926</v>
      </c>
      <c r="F165" s="7" t="s">
        <v>837</v>
      </c>
      <c r="G165" s="15"/>
      <c r="H165" s="15"/>
      <c r="I165" s="14"/>
      <c r="L165" s="25"/>
    </row>
    <row r="166" ht="18.75" customHeight="1">
      <c r="A166" s="7" t="s">
        <v>838</v>
      </c>
      <c r="B166" s="9">
        <v>134518.0</v>
      </c>
      <c r="C166" s="24">
        <v>1.1874321652120905</v>
      </c>
      <c r="D166" s="7" t="s">
        <v>365</v>
      </c>
      <c r="E166" s="7" t="s">
        <v>3954</v>
      </c>
      <c r="F166" s="7" t="s">
        <v>839</v>
      </c>
      <c r="G166" s="15"/>
      <c r="H166" s="15"/>
      <c r="I166" s="14"/>
      <c r="L166" s="25"/>
    </row>
    <row r="167" ht="18.75" customHeight="1">
      <c r="A167" s="7" t="s">
        <v>840</v>
      </c>
      <c r="B167" s="9">
        <v>48035.0</v>
      </c>
      <c r="C167" s="24">
        <v>1.1222233787863016</v>
      </c>
      <c r="D167" s="7" t="s">
        <v>387</v>
      </c>
      <c r="E167" s="7" t="s">
        <v>3948</v>
      </c>
      <c r="F167" s="7" t="s">
        <v>841</v>
      </c>
      <c r="G167" s="15"/>
      <c r="H167" s="15"/>
      <c r="I167" s="14"/>
      <c r="L167" s="25"/>
    </row>
    <row r="168" ht="18.75" customHeight="1">
      <c r="A168" s="7" t="s">
        <v>2905</v>
      </c>
      <c r="B168" s="9">
        <v>7733.0</v>
      </c>
      <c r="C168" s="24">
        <v>1.0298719772403984</v>
      </c>
      <c r="D168" s="7" t="s">
        <v>3960</v>
      </c>
      <c r="E168" s="7" t="s">
        <v>3961</v>
      </c>
      <c r="F168" s="7" t="s">
        <v>3962</v>
      </c>
      <c r="G168" s="15"/>
      <c r="H168" s="15"/>
      <c r="I168" s="14"/>
      <c r="L168" s="25"/>
    </row>
    <row r="169" ht="18.75" customHeight="1">
      <c r="A169" s="7" t="s">
        <v>848</v>
      </c>
      <c r="B169" s="9">
        <v>75606.0</v>
      </c>
      <c r="C169" s="24">
        <v>1.296140517948311</v>
      </c>
      <c r="D169" s="7" t="s">
        <v>466</v>
      </c>
      <c r="E169" s="7" t="s">
        <v>3944</v>
      </c>
      <c r="F169" s="7" t="s">
        <v>849</v>
      </c>
      <c r="G169" s="15"/>
      <c r="H169" s="15"/>
      <c r="I169" s="14"/>
      <c r="L169" s="25"/>
    </row>
    <row r="170" ht="18.75" customHeight="1">
      <c r="A170" s="7" t="s">
        <v>852</v>
      </c>
      <c r="B170" s="9">
        <v>334058.0</v>
      </c>
      <c r="C170" s="24">
        <v>1.19294254291171</v>
      </c>
      <c r="D170" s="7" t="s">
        <v>466</v>
      </c>
      <c r="E170" s="7" t="s">
        <v>3946</v>
      </c>
      <c r="F170" s="7" t="s">
        <v>853</v>
      </c>
      <c r="G170" s="15"/>
      <c r="H170" s="15"/>
      <c r="I170" s="14"/>
      <c r="L170" s="25"/>
    </row>
    <row r="171" ht="18.75" customHeight="1">
      <c r="A171" s="7" t="s">
        <v>723</v>
      </c>
      <c r="B171" s="9">
        <v>339823.0</v>
      </c>
      <c r="C171" s="24">
        <v>0.09205086177215786</v>
      </c>
      <c r="D171" s="7" t="s">
        <v>725</v>
      </c>
      <c r="E171" s="7" t="s">
        <v>3956</v>
      </c>
      <c r="F171" s="7" t="s">
        <v>724</v>
      </c>
      <c r="G171" s="15"/>
      <c r="H171" s="15"/>
      <c r="I171" s="14"/>
      <c r="L171" s="25"/>
    </row>
    <row r="172" ht="18.75" customHeight="1">
      <c r="A172" s="7" t="s">
        <v>815</v>
      </c>
      <c r="B172" s="9">
        <v>715086.0</v>
      </c>
      <c r="C172" s="24">
        <v>1.3153662636382197</v>
      </c>
      <c r="D172" s="7" t="s">
        <v>783</v>
      </c>
      <c r="E172" s="14"/>
      <c r="F172" s="7" t="s">
        <v>816</v>
      </c>
      <c r="G172" s="15"/>
      <c r="H172" s="15"/>
      <c r="I172" s="14"/>
      <c r="L172" s="25"/>
    </row>
    <row r="173" ht="18.75" customHeight="1">
      <c r="A173" s="7" t="s">
        <v>854</v>
      </c>
      <c r="B173" s="9">
        <v>379797.0</v>
      </c>
      <c r="C173" s="24">
        <v>1.2966005524003612</v>
      </c>
      <c r="D173" s="7" t="s">
        <v>466</v>
      </c>
      <c r="E173" s="7" t="s">
        <v>3943</v>
      </c>
      <c r="F173" s="7" t="s">
        <v>855</v>
      </c>
      <c r="G173" s="15"/>
      <c r="H173" s="15"/>
      <c r="I173" s="14"/>
      <c r="L173" s="25"/>
    </row>
    <row r="174" ht="18.75" customHeight="1">
      <c r="A174" s="7" t="s">
        <v>3888</v>
      </c>
      <c r="B174" s="9">
        <v>36149.0</v>
      </c>
      <c r="C174" s="24">
        <v>1.3093308251957176</v>
      </c>
      <c r="D174" s="14"/>
      <c r="E174" s="14"/>
      <c r="F174" s="14"/>
      <c r="G174" s="15"/>
      <c r="H174" s="15"/>
      <c r="I174" s="14"/>
      <c r="L174" s="25"/>
    </row>
    <row r="175" ht="18.75" customHeight="1">
      <c r="A175" s="7" t="s">
        <v>505</v>
      </c>
      <c r="B175" s="9">
        <v>78939.0</v>
      </c>
      <c r="C175" s="24">
        <v>1.8810220550044972</v>
      </c>
      <c r="D175" s="7" t="s">
        <v>365</v>
      </c>
      <c r="E175" s="7" t="s">
        <v>3963</v>
      </c>
      <c r="F175" s="7" t="s">
        <v>506</v>
      </c>
      <c r="G175" s="15"/>
      <c r="H175" s="15"/>
      <c r="I175" s="14"/>
      <c r="L175" s="25"/>
    </row>
    <row r="176" ht="18.75" customHeight="1">
      <c r="A176" s="7" t="s">
        <v>761</v>
      </c>
      <c r="B176" s="9">
        <v>269942.0</v>
      </c>
      <c r="C176" s="24">
        <v>11.019578279778619</v>
      </c>
      <c r="D176" s="7" t="s">
        <v>760</v>
      </c>
      <c r="E176" s="14"/>
      <c r="F176" s="7" t="s">
        <v>762</v>
      </c>
      <c r="G176" s="15"/>
      <c r="H176" s="15"/>
      <c r="I176" s="14"/>
      <c r="L176" s="25"/>
    </row>
    <row r="177" ht="18.75" customHeight="1">
      <c r="A177" s="7" t="s">
        <v>876</v>
      </c>
      <c r="B177" s="9">
        <v>201228.0</v>
      </c>
      <c r="C177" s="24">
        <v>1.1208380543463137</v>
      </c>
      <c r="D177" s="7" t="s">
        <v>725</v>
      </c>
      <c r="E177" s="7" t="s">
        <v>3956</v>
      </c>
      <c r="F177" s="7" t="s">
        <v>877</v>
      </c>
      <c r="I177" s="14"/>
      <c r="L177" s="25"/>
    </row>
    <row r="178" ht="18.75" customHeight="1">
      <c r="A178" s="7" t="s">
        <v>709</v>
      </c>
      <c r="B178" s="9">
        <v>402275.0</v>
      </c>
      <c r="C178" s="24">
        <v>3.576396743521223</v>
      </c>
      <c r="D178" s="7" t="s">
        <v>667</v>
      </c>
      <c r="E178" s="7" t="s">
        <v>3964</v>
      </c>
      <c r="F178" s="7" t="s">
        <v>710</v>
      </c>
      <c r="G178" s="15"/>
      <c r="H178" s="15"/>
      <c r="I178" s="14"/>
      <c r="L178" s="25"/>
    </row>
    <row r="179" ht="18.75" customHeight="1">
      <c r="A179" s="7" t="s">
        <v>858</v>
      </c>
      <c r="B179" s="9">
        <v>152380.0</v>
      </c>
      <c r="C179" s="24">
        <v>1.3198123113269458</v>
      </c>
      <c r="D179" s="7" t="s">
        <v>725</v>
      </c>
      <c r="E179" s="7" t="s">
        <v>3956</v>
      </c>
      <c r="F179" s="7" t="s">
        <v>859</v>
      </c>
      <c r="G179" s="15"/>
      <c r="H179" s="15"/>
      <c r="I179" s="14"/>
      <c r="L179" s="25"/>
    </row>
    <row r="180" ht="18.75" customHeight="1">
      <c r="A180" s="7" t="s">
        <v>699</v>
      </c>
      <c r="B180" s="9">
        <v>594706.0</v>
      </c>
      <c r="C180" s="24">
        <v>1.2957360443647785</v>
      </c>
      <c r="D180" s="7" t="s">
        <v>378</v>
      </c>
      <c r="E180" s="7" t="s">
        <v>3940</v>
      </c>
      <c r="F180" s="7" t="s">
        <v>700</v>
      </c>
      <c r="G180" s="15"/>
      <c r="H180" s="15"/>
      <c r="I180" s="14"/>
      <c r="L180" s="25"/>
    </row>
    <row r="181" ht="18.75" customHeight="1">
      <c r="A181" s="7" t="s">
        <v>850</v>
      </c>
      <c r="B181" s="9">
        <v>105044.0</v>
      </c>
      <c r="C181" s="24">
        <v>1.2866608278435703</v>
      </c>
      <c r="D181" s="7" t="s">
        <v>466</v>
      </c>
      <c r="E181" s="7" t="s">
        <v>3945</v>
      </c>
      <c r="F181" s="7" t="s">
        <v>851</v>
      </c>
      <c r="G181" s="15"/>
      <c r="H181" s="15"/>
      <c r="I181" s="14"/>
      <c r="L181" s="25"/>
    </row>
    <row r="182" ht="18.75" customHeight="1">
      <c r="A182" s="7" t="s">
        <v>878</v>
      </c>
      <c r="B182" s="9">
        <v>128190.0</v>
      </c>
      <c r="C182" s="24">
        <v>1.593267805601061</v>
      </c>
      <c r="D182" s="7" t="s">
        <v>354</v>
      </c>
      <c r="E182" s="14"/>
      <c r="F182" s="7" t="s">
        <v>879</v>
      </c>
      <c r="G182" s="15"/>
      <c r="H182" s="15"/>
      <c r="I182" s="14"/>
      <c r="L182" s="25"/>
    </row>
    <row r="183" ht="18.75" customHeight="1">
      <c r="A183" s="7" t="s">
        <v>773</v>
      </c>
      <c r="B183" s="9">
        <v>478817.0</v>
      </c>
      <c r="C183" s="24">
        <v>9.390806926236955</v>
      </c>
      <c r="D183" s="7" t="s">
        <v>405</v>
      </c>
      <c r="E183" s="7" t="s">
        <v>3929</v>
      </c>
      <c r="F183" s="7" t="s">
        <v>774</v>
      </c>
      <c r="G183" s="15"/>
      <c r="H183" s="15"/>
      <c r="I183" s="14"/>
      <c r="L183" s="25"/>
    </row>
    <row r="184" ht="18.75" customHeight="1">
      <c r="A184" s="7" t="s">
        <v>3750</v>
      </c>
      <c r="B184" s="9">
        <v>7327.0</v>
      </c>
      <c r="C184" s="24">
        <v>1.0449024157226696</v>
      </c>
      <c r="D184" s="7" t="s">
        <v>594</v>
      </c>
      <c r="E184" s="7" t="s">
        <v>3942</v>
      </c>
      <c r="F184" s="7" t="s">
        <v>3889</v>
      </c>
      <c r="I184" s="14"/>
      <c r="L184" s="25"/>
    </row>
    <row r="185" ht="18.75" customHeight="1">
      <c r="A185" s="7" t="s">
        <v>888</v>
      </c>
      <c r="B185" s="9">
        <v>77842.0</v>
      </c>
      <c r="C185" s="24">
        <v>1.6358135710798798</v>
      </c>
      <c r="D185" s="7" t="s">
        <v>783</v>
      </c>
      <c r="E185" s="7" t="s">
        <v>3959</v>
      </c>
      <c r="F185" s="7" t="s">
        <v>889</v>
      </c>
      <c r="G185" s="15"/>
      <c r="H185" s="15"/>
      <c r="I185" s="14"/>
      <c r="L185" s="25"/>
    </row>
    <row r="186" ht="18.75" customHeight="1">
      <c r="A186" s="7" t="s">
        <v>802</v>
      </c>
      <c r="B186" s="9">
        <v>14836.0</v>
      </c>
      <c r="C186" s="24">
        <v>3.7540442167700188</v>
      </c>
      <c r="D186" s="7" t="s">
        <v>417</v>
      </c>
      <c r="E186" s="7" t="s">
        <v>3926</v>
      </c>
      <c r="F186" s="7" t="s">
        <v>803</v>
      </c>
      <c r="G186" s="15"/>
      <c r="H186" s="15"/>
      <c r="I186" s="14"/>
      <c r="L186" s="25"/>
    </row>
    <row r="187" ht="18.75" customHeight="1">
      <c r="A187" s="7" t="s">
        <v>902</v>
      </c>
      <c r="B187" s="9">
        <v>12344.0</v>
      </c>
      <c r="C187" s="24">
        <v>14.369572261827608</v>
      </c>
      <c r="D187" s="7" t="s">
        <v>417</v>
      </c>
      <c r="E187" s="7" t="s">
        <v>3926</v>
      </c>
      <c r="F187" s="7" t="s">
        <v>903</v>
      </c>
      <c r="I187" s="14"/>
      <c r="L187" s="25"/>
    </row>
    <row r="188" ht="18.75" customHeight="1">
      <c r="A188" s="7" t="s">
        <v>3751</v>
      </c>
      <c r="B188" s="9">
        <v>5511.0</v>
      </c>
      <c r="C188" s="24">
        <v>2.080021774632553</v>
      </c>
      <c r="D188" s="7" t="s">
        <v>417</v>
      </c>
      <c r="E188" s="7" t="s">
        <v>3926</v>
      </c>
      <c r="F188" s="7" t="s">
        <v>3890</v>
      </c>
      <c r="G188" s="15"/>
      <c r="H188" s="15"/>
      <c r="I188" s="14"/>
      <c r="L188" s="25"/>
    </row>
    <row r="189" ht="18.75" customHeight="1">
      <c r="A189" s="7" t="s">
        <v>3866</v>
      </c>
      <c r="B189" s="9">
        <v>3393.0</v>
      </c>
      <c r="C189" s="24">
        <v>1.0722074860005895</v>
      </c>
      <c r="D189" s="7" t="s">
        <v>354</v>
      </c>
      <c r="E189" s="7" t="s">
        <v>3949</v>
      </c>
      <c r="F189" s="7" t="s">
        <v>3891</v>
      </c>
      <c r="G189" s="15"/>
      <c r="H189" s="15"/>
      <c r="I189" s="14"/>
      <c r="L189" s="25"/>
    </row>
    <row r="190" ht="18.75" customHeight="1">
      <c r="A190" s="7" t="s">
        <v>545</v>
      </c>
      <c r="B190" s="9">
        <v>672600.0</v>
      </c>
      <c r="C190" s="24">
        <v>18.517805530776094</v>
      </c>
      <c r="D190" s="7" t="s">
        <v>405</v>
      </c>
      <c r="E190" s="7" t="s">
        <v>3925</v>
      </c>
      <c r="F190" s="7" t="s">
        <v>546</v>
      </c>
      <c r="G190" s="15"/>
      <c r="H190" s="15"/>
      <c r="I190" s="14"/>
      <c r="L190" s="25"/>
    </row>
    <row r="191" ht="18.75" customHeight="1">
      <c r="A191" s="7" t="s">
        <v>918</v>
      </c>
      <c r="B191" s="9">
        <v>23241.0</v>
      </c>
      <c r="C191" s="24">
        <v>1.3088077105115958</v>
      </c>
      <c r="D191" s="7" t="s">
        <v>594</v>
      </c>
      <c r="E191" s="7" t="s">
        <v>3942</v>
      </c>
      <c r="F191" s="7" t="s">
        <v>919</v>
      </c>
      <c r="G191" s="15"/>
      <c r="H191" s="15"/>
      <c r="I191" s="14"/>
      <c r="L191" s="25"/>
    </row>
    <row r="192" ht="18.75" customHeight="1">
      <c r="A192" s="7" t="s">
        <v>916</v>
      </c>
      <c r="B192" s="9">
        <v>251438.0</v>
      </c>
      <c r="C192" s="24">
        <v>1.1489233926455031</v>
      </c>
      <c r="D192" s="7" t="s">
        <v>365</v>
      </c>
      <c r="E192" s="7" t="s">
        <v>3924</v>
      </c>
      <c r="F192" s="7" t="s">
        <v>917</v>
      </c>
      <c r="G192" s="15"/>
      <c r="H192" s="15"/>
      <c r="I192" s="14"/>
      <c r="L192" s="25"/>
    </row>
    <row r="193" ht="18.75" customHeight="1">
      <c r="A193" s="7" t="s">
        <v>836</v>
      </c>
      <c r="B193" s="9">
        <v>23390.0</v>
      </c>
      <c r="C193" s="24">
        <v>3.615091919623771</v>
      </c>
      <c r="D193" s="7" t="s">
        <v>417</v>
      </c>
      <c r="E193" s="7" t="s">
        <v>3926</v>
      </c>
      <c r="F193" s="7" t="s">
        <v>837</v>
      </c>
      <c r="G193" s="15"/>
      <c r="H193" s="15"/>
      <c r="I193" s="14"/>
      <c r="L193" s="25"/>
    </row>
    <row r="194" ht="18.75" customHeight="1">
      <c r="A194" s="7" t="s">
        <v>1059</v>
      </c>
      <c r="B194" s="9">
        <v>434887.0</v>
      </c>
      <c r="C194" s="24">
        <v>4.7458558200176135</v>
      </c>
      <c r="D194" s="7" t="s">
        <v>466</v>
      </c>
      <c r="E194" s="14"/>
      <c r="F194" s="7" t="s">
        <v>1060</v>
      </c>
      <c r="G194" s="15"/>
      <c r="H194" s="15"/>
      <c r="I194" s="14"/>
      <c r="L194" s="25"/>
    </row>
    <row r="195" ht="18.75" customHeight="1">
      <c r="A195" s="7" t="s">
        <v>908</v>
      </c>
      <c r="B195" s="9">
        <v>48020.0</v>
      </c>
      <c r="C195" s="24">
        <v>1.62076218242399</v>
      </c>
      <c r="D195" s="7" t="s">
        <v>365</v>
      </c>
      <c r="E195" s="7" t="s">
        <v>3924</v>
      </c>
      <c r="F195" s="7" t="s">
        <v>909</v>
      </c>
      <c r="G195" s="15"/>
      <c r="H195" s="15"/>
      <c r="I195" s="14"/>
      <c r="L195" s="25"/>
    </row>
    <row r="196" ht="18.75" customHeight="1">
      <c r="A196" s="7" t="s">
        <v>896</v>
      </c>
      <c r="B196" s="9">
        <v>69821.0</v>
      </c>
      <c r="C196" s="24">
        <v>1.5298978817261282</v>
      </c>
      <c r="D196" s="7" t="s">
        <v>466</v>
      </c>
      <c r="E196" s="7" t="s">
        <v>3945</v>
      </c>
      <c r="F196" s="7" t="s">
        <v>897</v>
      </c>
      <c r="G196" s="15"/>
      <c r="H196" s="15"/>
      <c r="I196" s="14"/>
      <c r="L196" s="25"/>
    </row>
    <row r="197" ht="18.75" customHeight="1">
      <c r="A197" s="7" t="s">
        <v>892</v>
      </c>
      <c r="B197" s="9">
        <v>204168.0</v>
      </c>
      <c r="C197" s="24">
        <v>1.3569217507150975</v>
      </c>
      <c r="D197" s="7" t="s">
        <v>466</v>
      </c>
      <c r="E197" s="7" t="s">
        <v>3943</v>
      </c>
      <c r="F197" s="7" t="s">
        <v>893</v>
      </c>
      <c r="G197" s="15"/>
      <c r="H197" s="15"/>
      <c r="I197" s="14"/>
      <c r="L197" s="25"/>
    </row>
    <row r="198" ht="18.75" customHeight="1">
      <c r="A198" s="7" t="s">
        <v>894</v>
      </c>
      <c r="B198" s="9">
        <v>81434.0</v>
      </c>
      <c r="C198" s="24">
        <v>1.4937249797381928</v>
      </c>
      <c r="D198" s="7" t="s">
        <v>466</v>
      </c>
      <c r="E198" s="7" t="s">
        <v>3944</v>
      </c>
      <c r="F198" s="7" t="s">
        <v>895</v>
      </c>
      <c r="G198" s="15"/>
      <c r="H198" s="15"/>
      <c r="I198" s="14"/>
      <c r="L198" s="25"/>
    </row>
    <row r="199" ht="18.75" customHeight="1">
      <c r="A199" s="7" t="s">
        <v>890</v>
      </c>
      <c r="B199" s="9">
        <v>19341.0</v>
      </c>
      <c r="C199" s="24">
        <v>1.1198490253864846</v>
      </c>
      <c r="D199" s="7" t="s">
        <v>466</v>
      </c>
      <c r="E199" s="7" t="s">
        <v>3946</v>
      </c>
      <c r="F199" s="7" t="s">
        <v>891</v>
      </c>
      <c r="G199" s="15"/>
      <c r="H199" s="15"/>
      <c r="I199" s="14"/>
      <c r="L199" s="25"/>
    </row>
    <row r="200" ht="18.75" customHeight="1">
      <c r="A200" s="7" t="s">
        <v>754</v>
      </c>
      <c r="B200" s="9">
        <v>436900.0</v>
      </c>
      <c r="C200" s="24">
        <v>1.8063813229571986</v>
      </c>
      <c r="D200" s="7" t="s">
        <v>378</v>
      </c>
      <c r="E200" s="14"/>
      <c r="F200" s="7" t="s">
        <v>755</v>
      </c>
      <c r="G200" s="15"/>
      <c r="H200" s="15"/>
      <c r="I200" s="14"/>
      <c r="L200" s="25"/>
    </row>
    <row r="201" ht="18.75" customHeight="1">
      <c r="A201" s="7" t="s">
        <v>898</v>
      </c>
      <c r="B201" s="9">
        <v>111857.0</v>
      </c>
      <c r="C201" s="24">
        <v>1.5053952814754552</v>
      </c>
      <c r="D201" s="7" t="s">
        <v>378</v>
      </c>
      <c r="E201" s="7" t="s">
        <v>3952</v>
      </c>
      <c r="F201" s="7" t="s">
        <v>899</v>
      </c>
      <c r="G201" s="15"/>
      <c r="H201" s="15"/>
      <c r="I201" s="14"/>
      <c r="L201" s="25"/>
    </row>
    <row r="202" ht="18.75" customHeight="1">
      <c r="A202" s="7" t="s">
        <v>906</v>
      </c>
      <c r="B202" s="9">
        <v>228104.0</v>
      </c>
      <c r="C202" s="24">
        <v>3.0385788938378986</v>
      </c>
      <c r="D202" s="7" t="s">
        <v>430</v>
      </c>
      <c r="E202" s="7" t="s">
        <v>3965</v>
      </c>
      <c r="F202" s="7" t="s">
        <v>907</v>
      </c>
      <c r="G202" s="15"/>
      <c r="H202" s="15"/>
      <c r="I202" s="14"/>
      <c r="L202" s="25"/>
    </row>
    <row r="203" ht="18.75" customHeight="1">
      <c r="A203" s="7" t="s">
        <v>922</v>
      </c>
      <c r="B203" s="9">
        <v>0.0</v>
      </c>
      <c r="C203" s="24">
        <v>0.0</v>
      </c>
      <c r="D203" s="7" t="s">
        <v>594</v>
      </c>
      <c r="E203" s="7" t="s">
        <v>3942</v>
      </c>
      <c r="F203" s="7" t="s">
        <v>923</v>
      </c>
      <c r="G203" s="15"/>
      <c r="H203" s="15"/>
      <c r="I203" s="14"/>
      <c r="L203" s="25"/>
    </row>
    <row r="204" ht="18.75" customHeight="1">
      <c r="A204" s="7" t="s">
        <v>910</v>
      </c>
      <c r="B204" s="9">
        <v>261584.0</v>
      </c>
      <c r="C204" s="24">
        <v>1.435332436234632</v>
      </c>
      <c r="D204" s="7" t="s">
        <v>417</v>
      </c>
      <c r="E204" s="7" t="s">
        <v>3966</v>
      </c>
      <c r="F204" s="7" t="s">
        <v>911</v>
      </c>
      <c r="G204" s="15"/>
      <c r="H204" s="15"/>
      <c r="I204" s="14"/>
      <c r="L204" s="25"/>
    </row>
    <row r="205" ht="18.75" customHeight="1">
      <c r="A205" s="7" t="s">
        <v>856</v>
      </c>
      <c r="B205" s="9">
        <v>312654.0</v>
      </c>
      <c r="C205" s="24">
        <v>1.5757770570662777</v>
      </c>
      <c r="D205" s="7" t="s">
        <v>365</v>
      </c>
      <c r="E205" s="7" t="s">
        <v>3936</v>
      </c>
      <c r="F205" s="7" t="s">
        <v>857</v>
      </c>
      <c r="G205" s="15"/>
      <c r="H205" s="15"/>
      <c r="I205" s="14"/>
      <c r="L205" s="25"/>
    </row>
    <row r="206" ht="18.75" customHeight="1">
      <c r="A206" s="7" t="s">
        <v>874</v>
      </c>
      <c r="B206" s="9">
        <v>133034.0</v>
      </c>
      <c r="C206" s="24">
        <v>2.043146864711277</v>
      </c>
      <c r="D206" s="7" t="s">
        <v>365</v>
      </c>
      <c r="E206" s="7" t="s">
        <v>3934</v>
      </c>
      <c r="F206" s="7" t="s">
        <v>875</v>
      </c>
      <c r="G206" s="15"/>
      <c r="H206" s="15"/>
      <c r="I206" s="14"/>
      <c r="L206" s="25"/>
    </row>
    <row r="207" ht="18.75" customHeight="1">
      <c r="A207" s="7" t="s">
        <v>920</v>
      </c>
      <c r="B207" s="9">
        <v>0.0</v>
      </c>
      <c r="C207" s="24">
        <v>0.0</v>
      </c>
      <c r="D207" s="7" t="s">
        <v>594</v>
      </c>
      <c r="E207" s="7" t="s">
        <v>3942</v>
      </c>
      <c r="F207" s="7" t="s">
        <v>921</v>
      </c>
      <c r="G207" s="15"/>
      <c r="H207" s="15"/>
      <c r="I207" s="14"/>
      <c r="L207" s="25"/>
    </row>
    <row r="208" ht="18.75" customHeight="1">
      <c r="A208" s="7" t="s">
        <v>953</v>
      </c>
      <c r="B208" s="9">
        <v>1175.0</v>
      </c>
      <c r="C208" s="24">
        <v>1.127659574468085</v>
      </c>
      <c r="D208" s="7" t="s">
        <v>365</v>
      </c>
      <c r="E208" s="7" t="s">
        <v>3924</v>
      </c>
      <c r="F208" s="7" t="s">
        <v>954</v>
      </c>
      <c r="G208" s="15"/>
      <c r="H208" s="15"/>
      <c r="I208" s="14"/>
      <c r="L208" s="25"/>
    </row>
    <row r="209" ht="18.75" customHeight="1">
      <c r="A209" s="7" t="s">
        <v>959</v>
      </c>
      <c r="B209" s="9">
        <v>1636822.0</v>
      </c>
      <c r="C209" s="24">
        <v>1.0363081630134492</v>
      </c>
      <c r="D209" s="7" t="s">
        <v>365</v>
      </c>
      <c r="E209" s="7" t="s">
        <v>3937</v>
      </c>
      <c r="F209" s="7" t="s">
        <v>960</v>
      </c>
      <c r="G209" s="15"/>
      <c r="H209" s="15"/>
      <c r="I209" s="14"/>
      <c r="L209" s="25"/>
    </row>
    <row r="210" ht="18.75" customHeight="1">
      <c r="A210" s="7" t="s">
        <v>886</v>
      </c>
      <c r="B210" s="9">
        <v>12344.0</v>
      </c>
      <c r="C210" s="24">
        <v>334.9544718081659</v>
      </c>
      <c r="D210" s="7" t="s">
        <v>466</v>
      </c>
      <c r="E210" s="7" t="s">
        <v>3955</v>
      </c>
      <c r="F210" s="7" t="s">
        <v>887</v>
      </c>
      <c r="G210" s="15"/>
      <c r="H210" s="15"/>
      <c r="I210" s="14"/>
      <c r="L210" s="25"/>
    </row>
    <row r="211" ht="18.75" customHeight="1">
      <c r="A211" s="7" t="s">
        <v>975</v>
      </c>
      <c r="B211" s="9">
        <v>241219.0</v>
      </c>
      <c r="C211" s="24">
        <v>1.2575875034719488</v>
      </c>
      <c r="D211" s="7" t="s">
        <v>430</v>
      </c>
      <c r="E211" s="7" t="s">
        <v>3965</v>
      </c>
      <c r="F211" s="7" t="s">
        <v>976</v>
      </c>
      <c r="G211" s="15"/>
      <c r="H211" s="15"/>
      <c r="I211" s="14"/>
      <c r="L211" s="25"/>
    </row>
    <row r="212" ht="18.75" customHeight="1">
      <c r="A212" s="7" t="s">
        <v>945</v>
      </c>
      <c r="B212" s="9">
        <v>110227.0</v>
      </c>
      <c r="C212" s="24">
        <v>1.4447730592323116</v>
      </c>
      <c r="D212" s="7" t="s">
        <v>359</v>
      </c>
      <c r="E212" s="7" t="s">
        <v>3941</v>
      </c>
      <c r="F212" s="7" t="s">
        <v>946</v>
      </c>
      <c r="G212" s="15"/>
      <c r="H212" s="15"/>
      <c r="I212" s="14"/>
      <c r="L212" s="25"/>
    </row>
    <row r="213" ht="18.75" customHeight="1">
      <c r="A213" s="7" t="s">
        <v>957</v>
      </c>
      <c r="B213" s="9">
        <v>221701.0</v>
      </c>
      <c r="C213" s="24">
        <v>3.8147775607687833</v>
      </c>
      <c r="D213" s="7" t="s">
        <v>365</v>
      </c>
      <c r="E213" s="7" t="s">
        <v>3934</v>
      </c>
      <c r="F213" s="7" t="s">
        <v>958</v>
      </c>
      <c r="G213" s="15"/>
      <c r="H213" s="15"/>
      <c r="I213" s="14"/>
      <c r="L213" s="25"/>
    </row>
    <row r="214" ht="18.75" customHeight="1">
      <c r="A214" s="7" t="s">
        <v>963</v>
      </c>
      <c r="B214" s="9">
        <v>12472.0</v>
      </c>
      <c r="C214" s="24">
        <v>13.243665811417575</v>
      </c>
      <c r="D214" s="7" t="s">
        <v>417</v>
      </c>
      <c r="E214" s="7" t="s">
        <v>3926</v>
      </c>
      <c r="F214" s="7" t="s">
        <v>964</v>
      </c>
      <c r="G214" s="15"/>
      <c r="H214" s="15"/>
      <c r="I214" s="14"/>
      <c r="L214" s="25"/>
    </row>
    <row r="215" ht="18.75" customHeight="1">
      <c r="A215" s="7" t="s">
        <v>961</v>
      </c>
      <c r="B215" s="9">
        <v>6467.0</v>
      </c>
      <c r="C215" s="24">
        <v>9.897324880160816</v>
      </c>
      <c r="D215" s="7" t="s">
        <v>417</v>
      </c>
      <c r="E215" s="7" t="s">
        <v>3926</v>
      </c>
      <c r="F215" s="7" t="s">
        <v>962</v>
      </c>
      <c r="G215" s="15"/>
      <c r="H215" s="15"/>
      <c r="I215" s="14"/>
      <c r="L215" s="25"/>
    </row>
    <row r="216" ht="18.75" customHeight="1">
      <c r="A216" s="7" t="s">
        <v>884</v>
      </c>
      <c r="B216" s="9">
        <v>244583.0</v>
      </c>
      <c r="C216" s="24">
        <v>3.942686122911241</v>
      </c>
      <c r="D216" s="7" t="s">
        <v>365</v>
      </c>
      <c r="E216" s="7" t="s">
        <v>3932</v>
      </c>
      <c r="F216" s="7" t="s">
        <v>885</v>
      </c>
      <c r="G216" s="15"/>
      <c r="H216" s="15"/>
      <c r="I216" s="14"/>
      <c r="L216" s="25"/>
    </row>
    <row r="217" ht="18.75" customHeight="1">
      <c r="A217" s="7" t="s">
        <v>947</v>
      </c>
      <c r="B217" s="9">
        <v>256376.0</v>
      </c>
      <c r="C217" s="24">
        <v>1.3863427153867758</v>
      </c>
      <c r="D217" s="7" t="s">
        <v>365</v>
      </c>
      <c r="E217" s="7" t="s">
        <v>3954</v>
      </c>
      <c r="F217" s="7" t="s">
        <v>948</v>
      </c>
      <c r="G217" s="15"/>
      <c r="H217" s="15"/>
      <c r="I217" s="14"/>
      <c r="L217" s="25"/>
    </row>
    <row r="218" ht="18.75" customHeight="1">
      <c r="A218" s="7" t="s">
        <v>985</v>
      </c>
      <c r="B218" s="9">
        <v>99201.0</v>
      </c>
      <c r="C218" s="24">
        <v>64.14874850051915</v>
      </c>
      <c r="D218" s="7" t="s">
        <v>466</v>
      </c>
      <c r="E218" s="7" t="s">
        <v>3931</v>
      </c>
      <c r="F218" s="7" t="s">
        <v>986</v>
      </c>
      <c r="G218" s="15"/>
      <c r="H218" s="15"/>
      <c r="I218" s="14"/>
      <c r="L218" s="25"/>
    </row>
    <row r="219" ht="18.75" customHeight="1">
      <c r="A219" s="7" t="s">
        <v>977</v>
      </c>
      <c r="B219" s="9">
        <v>373071.0</v>
      </c>
      <c r="C219" s="24">
        <v>1.1839623020819094</v>
      </c>
      <c r="D219" s="7" t="s">
        <v>365</v>
      </c>
      <c r="E219" s="7" t="s">
        <v>3924</v>
      </c>
      <c r="F219" s="7" t="s">
        <v>978</v>
      </c>
      <c r="G219" s="15"/>
      <c r="H219" s="15"/>
      <c r="I219" s="14"/>
      <c r="L219" s="25"/>
    </row>
    <row r="220" ht="18.75" customHeight="1">
      <c r="A220" s="7" t="s">
        <v>955</v>
      </c>
      <c r="B220" s="9">
        <v>12987.0</v>
      </c>
      <c r="C220" s="24">
        <v>1.3762993762993763</v>
      </c>
      <c r="D220" s="7" t="s">
        <v>594</v>
      </c>
      <c r="E220" s="7" t="s">
        <v>3942</v>
      </c>
      <c r="F220" s="7" t="s">
        <v>956</v>
      </c>
      <c r="G220" s="15"/>
      <c r="H220" s="15"/>
      <c r="I220" s="14"/>
      <c r="L220" s="25"/>
    </row>
    <row r="221" ht="18.75" customHeight="1">
      <c r="A221" s="7" t="s">
        <v>973</v>
      </c>
      <c r="B221" s="12"/>
      <c r="C221" s="24">
        <v>0.0</v>
      </c>
      <c r="D221" s="7" t="s">
        <v>466</v>
      </c>
      <c r="E221" s="7" t="s">
        <v>3944</v>
      </c>
      <c r="F221" s="7" t="s">
        <v>974</v>
      </c>
      <c r="G221" s="15"/>
      <c r="H221" s="15"/>
      <c r="I221" s="14"/>
      <c r="L221" s="25"/>
    </row>
    <row r="222" ht="18.75" customHeight="1">
      <c r="A222" s="7" t="s">
        <v>967</v>
      </c>
      <c r="B222" s="9">
        <v>0.0</v>
      </c>
      <c r="C222" s="24">
        <v>0.0</v>
      </c>
      <c r="D222" s="7" t="s">
        <v>466</v>
      </c>
      <c r="E222" s="7" t="s">
        <v>3945</v>
      </c>
      <c r="F222" s="7" t="s">
        <v>968</v>
      </c>
      <c r="G222" s="15"/>
      <c r="H222" s="15"/>
      <c r="I222" s="14"/>
      <c r="L222" s="25"/>
    </row>
    <row r="223" ht="18.75" customHeight="1">
      <c r="A223" s="7" t="s">
        <v>969</v>
      </c>
      <c r="B223" s="9">
        <v>0.0</v>
      </c>
      <c r="C223" s="24">
        <v>0.0</v>
      </c>
      <c r="D223" s="7" t="s">
        <v>466</v>
      </c>
      <c r="E223" s="7" t="s">
        <v>3946</v>
      </c>
      <c r="F223" s="7" t="s">
        <v>970</v>
      </c>
      <c r="G223" s="15"/>
      <c r="H223" s="15"/>
      <c r="I223" s="14"/>
      <c r="L223" s="25"/>
    </row>
    <row r="224" ht="18.75" customHeight="1">
      <c r="A224" s="7" t="s">
        <v>971</v>
      </c>
      <c r="B224" s="9">
        <v>0.0</v>
      </c>
      <c r="C224" s="24">
        <v>0.0</v>
      </c>
      <c r="D224" s="7" t="s">
        <v>466</v>
      </c>
      <c r="E224" s="7" t="s">
        <v>3943</v>
      </c>
      <c r="F224" s="7" t="s">
        <v>972</v>
      </c>
      <c r="G224" s="15"/>
      <c r="H224" s="15"/>
      <c r="I224" s="14"/>
      <c r="L224" s="25"/>
    </row>
    <row r="225" ht="18.75" customHeight="1">
      <c r="A225" s="7" t="s">
        <v>872</v>
      </c>
      <c r="B225" s="9">
        <v>98892.0</v>
      </c>
      <c r="C225" s="24">
        <v>1.9366986207175505</v>
      </c>
      <c r="D225" s="7" t="s">
        <v>378</v>
      </c>
      <c r="E225" s="7" t="s">
        <v>3950</v>
      </c>
      <c r="F225" s="7" t="s">
        <v>873</v>
      </c>
      <c r="G225" s="15"/>
      <c r="H225" s="15"/>
      <c r="I225" s="14"/>
      <c r="L225" s="25"/>
    </row>
    <row r="226" ht="18.75" customHeight="1">
      <c r="A226" s="7" t="s">
        <v>902</v>
      </c>
      <c r="B226" s="9">
        <v>72154.0</v>
      </c>
      <c r="C226" s="24">
        <v>2.458325248773457</v>
      </c>
      <c r="D226" s="7" t="s">
        <v>417</v>
      </c>
      <c r="E226" s="7" t="s">
        <v>3926</v>
      </c>
      <c r="F226" s="7" t="s">
        <v>903</v>
      </c>
      <c r="G226" s="15"/>
      <c r="H226" s="15"/>
      <c r="I226" s="14"/>
      <c r="L226" s="25"/>
    </row>
    <row r="227" ht="18.75" customHeight="1">
      <c r="A227" s="7" t="s">
        <v>951</v>
      </c>
      <c r="B227" s="9">
        <v>126117.0</v>
      </c>
      <c r="C227" s="24">
        <v>1.5362322288034127</v>
      </c>
      <c r="D227" s="7" t="s">
        <v>413</v>
      </c>
      <c r="E227" s="7" t="s">
        <v>3947</v>
      </c>
      <c r="F227" s="7" t="s">
        <v>952</v>
      </c>
      <c r="I227" s="14"/>
      <c r="L227" s="25"/>
    </row>
    <row r="228" ht="18.75" customHeight="1">
      <c r="A228" s="7" t="s">
        <v>987</v>
      </c>
      <c r="B228" s="9">
        <v>21218.0</v>
      </c>
      <c r="C228" s="24">
        <v>1.3389574889244982</v>
      </c>
      <c r="D228" s="7" t="s">
        <v>594</v>
      </c>
      <c r="E228" s="7" t="s">
        <v>3942</v>
      </c>
      <c r="F228" s="7" t="s">
        <v>988</v>
      </c>
      <c r="G228" s="15"/>
      <c r="H228" s="15"/>
      <c r="I228" s="14"/>
      <c r="L228" s="25"/>
    </row>
    <row r="229" ht="18.75" customHeight="1">
      <c r="A229" s="7" t="s">
        <v>834</v>
      </c>
      <c r="B229" s="9">
        <v>247941.0</v>
      </c>
      <c r="C229" s="24">
        <v>30.804526076768262</v>
      </c>
      <c r="D229" s="7" t="s">
        <v>405</v>
      </c>
      <c r="E229" s="7" t="s">
        <v>3967</v>
      </c>
      <c r="F229" s="7" t="s">
        <v>835</v>
      </c>
      <c r="G229" s="15"/>
      <c r="H229" s="15"/>
      <c r="I229" s="14"/>
      <c r="L229" s="25"/>
    </row>
    <row r="230" ht="18.75" customHeight="1">
      <c r="A230" s="7" t="s">
        <v>929</v>
      </c>
      <c r="B230" s="9">
        <v>49852.0</v>
      </c>
      <c r="C230" s="24">
        <v>2.0999959881248493</v>
      </c>
      <c r="D230" s="7" t="s">
        <v>365</v>
      </c>
      <c r="E230" s="7" t="s">
        <v>3938</v>
      </c>
      <c r="F230" s="7" t="s">
        <v>930</v>
      </c>
      <c r="G230" s="15"/>
      <c r="H230" s="15"/>
      <c r="I230" s="14"/>
      <c r="L230" s="25"/>
    </row>
    <row r="231" ht="18.75" customHeight="1">
      <c r="A231" s="7" t="s">
        <v>997</v>
      </c>
      <c r="B231" s="9">
        <v>142123.0</v>
      </c>
      <c r="C231" s="24">
        <v>1.0</v>
      </c>
      <c r="D231" s="7" t="s">
        <v>808</v>
      </c>
      <c r="E231" s="7" t="s">
        <v>808</v>
      </c>
      <c r="F231" s="7" t="s">
        <v>998</v>
      </c>
      <c r="G231" s="15"/>
      <c r="H231" s="15"/>
      <c r="I231" s="14"/>
      <c r="L231" s="25"/>
    </row>
    <row r="232" ht="18.75" customHeight="1">
      <c r="A232" s="7" t="s">
        <v>995</v>
      </c>
      <c r="B232" s="9">
        <v>442206.0</v>
      </c>
      <c r="C232" s="24">
        <v>1.222896116289693</v>
      </c>
      <c r="D232" s="7" t="s">
        <v>725</v>
      </c>
      <c r="E232" s="7" t="s">
        <v>3956</v>
      </c>
      <c r="F232" s="7" t="s">
        <v>996</v>
      </c>
      <c r="G232" s="15"/>
      <c r="H232" s="15"/>
      <c r="I232" s="14"/>
      <c r="L232" s="25"/>
    </row>
    <row r="233" ht="18.75" customHeight="1">
      <c r="A233" s="7" t="s">
        <v>949</v>
      </c>
      <c r="B233" s="9">
        <v>72010.0</v>
      </c>
      <c r="C233" s="24">
        <v>1.670545757533676</v>
      </c>
      <c r="D233" s="7" t="s">
        <v>365</v>
      </c>
      <c r="E233" s="7" t="s">
        <v>3934</v>
      </c>
      <c r="F233" s="7" t="s">
        <v>950</v>
      </c>
      <c r="G233" s="15"/>
      <c r="H233" s="15"/>
      <c r="I233" s="14"/>
      <c r="L233" s="25"/>
    </row>
    <row r="234" ht="18.75" customHeight="1">
      <c r="A234" s="7" t="s">
        <v>979</v>
      </c>
      <c r="B234" s="9">
        <v>105483.0</v>
      </c>
      <c r="C234" s="24">
        <v>1.5339438582520406</v>
      </c>
      <c r="D234" s="7" t="s">
        <v>365</v>
      </c>
      <c r="E234" s="7" t="s">
        <v>3934</v>
      </c>
      <c r="F234" s="7" t="s">
        <v>980</v>
      </c>
      <c r="G234" s="15"/>
      <c r="H234" s="15"/>
      <c r="I234" s="14"/>
      <c r="L234" s="25"/>
    </row>
    <row r="235" ht="18.75" customHeight="1">
      <c r="A235" s="7" t="s">
        <v>870</v>
      </c>
      <c r="B235" s="9">
        <v>2720154.0</v>
      </c>
      <c r="C235" s="24">
        <v>2.6008534810896737</v>
      </c>
      <c r="D235" s="7" t="s">
        <v>378</v>
      </c>
      <c r="E235" s="7" t="s">
        <v>871</v>
      </c>
      <c r="F235" s="7" t="s">
        <v>871</v>
      </c>
      <c r="G235" s="15"/>
      <c r="H235" s="15"/>
      <c r="I235" s="14"/>
      <c r="L235" s="25"/>
    </row>
    <row r="236" ht="18.75" customHeight="1">
      <c r="A236" s="7" t="s">
        <v>1011</v>
      </c>
      <c r="B236" s="9">
        <v>310356.0</v>
      </c>
      <c r="C236" s="24">
        <v>1.4366018378893914</v>
      </c>
      <c r="D236" s="7" t="s">
        <v>378</v>
      </c>
      <c r="E236" s="7" t="s">
        <v>3952</v>
      </c>
      <c r="F236" s="7" t="s">
        <v>1012</v>
      </c>
      <c r="G236" s="15"/>
      <c r="H236" s="15"/>
      <c r="I236" s="14"/>
      <c r="L236" s="25"/>
    </row>
    <row r="237" ht="18.75" customHeight="1">
      <c r="A237" s="7" t="s">
        <v>1025</v>
      </c>
      <c r="B237" s="9">
        <v>120072.0</v>
      </c>
      <c r="C237" s="24">
        <v>1.5488290359117862</v>
      </c>
      <c r="D237" s="7" t="s">
        <v>594</v>
      </c>
      <c r="E237" s="7" t="s">
        <v>3942</v>
      </c>
      <c r="F237" s="7" t="s">
        <v>1026</v>
      </c>
      <c r="G237" s="15"/>
      <c r="H237" s="15"/>
      <c r="I237" s="14"/>
      <c r="L237" s="25"/>
    </row>
    <row r="238" ht="18.75" customHeight="1">
      <c r="A238" s="7" t="s">
        <v>1015</v>
      </c>
      <c r="B238" s="9">
        <v>159974.0</v>
      </c>
      <c r="C238" s="24">
        <v>1.533005363371548</v>
      </c>
      <c r="D238" s="7" t="s">
        <v>667</v>
      </c>
      <c r="E238" s="7" t="s">
        <v>3951</v>
      </c>
      <c r="F238" s="7" t="s">
        <v>1016</v>
      </c>
      <c r="G238" s="15"/>
      <c r="H238" s="15"/>
      <c r="I238" s="14"/>
      <c r="L238" s="25"/>
    </row>
    <row r="239" ht="18.75" customHeight="1">
      <c r="A239" s="7" t="s">
        <v>1027</v>
      </c>
      <c r="B239" s="9">
        <v>280844.0</v>
      </c>
      <c r="C239" s="24">
        <v>1.5093824329521015</v>
      </c>
      <c r="D239" s="7" t="s">
        <v>365</v>
      </c>
      <c r="E239" s="7" t="s">
        <v>3924</v>
      </c>
      <c r="F239" s="7" t="s">
        <v>1028</v>
      </c>
      <c r="G239" s="15"/>
      <c r="H239" s="15"/>
      <c r="I239" s="14"/>
      <c r="L239" s="25"/>
    </row>
    <row r="240" ht="18.75" customHeight="1">
      <c r="A240" s="7" t="s">
        <v>1013</v>
      </c>
      <c r="B240" s="9">
        <v>55107.0</v>
      </c>
      <c r="C240" s="24">
        <v>1.4816629466310995</v>
      </c>
      <c r="D240" s="7" t="s">
        <v>725</v>
      </c>
      <c r="E240" s="7" t="s">
        <v>3956</v>
      </c>
      <c r="F240" s="7" t="s">
        <v>1014</v>
      </c>
      <c r="G240" s="15"/>
      <c r="H240" s="15"/>
      <c r="I240" s="14"/>
      <c r="L240" s="25"/>
    </row>
    <row r="241" ht="18.75" customHeight="1">
      <c r="A241" s="7" t="s">
        <v>993</v>
      </c>
      <c r="B241" s="9">
        <v>1943674.0</v>
      </c>
      <c r="C241" s="24">
        <v>1.5130371656975399</v>
      </c>
      <c r="D241" s="7" t="s">
        <v>466</v>
      </c>
      <c r="E241" s="14"/>
      <c r="F241" s="7" t="s">
        <v>994</v>
      </c>
      <c r="G241" s="15"/>
      <c r="H241" s="15"/>
      <c r="I241" s="14"/>
      <c r="L241" s="25"/>
    </row>
    <row r="242" ht="18.75" customHeight="1">
      <c r="A242" s="7" t="s">
        <v>1005</v>
      </c>
      <c r="B242" s="9">
        <v>99477.0</v>
      </c>
      <c r="C242" s="24">
        <v>0.012646139308583893</v>
      </c>
      <c r="D242" s="7" t="s">
        <v>783</v>
      </c>
      <c r="E242" s="14"/>
      <c r="F242" s="7" t="s">
        <v>1006</v>
      </c>
      <c r="G242" s="15"/>
      <c r="H242" s="15"/>
      <c r="I242" s="14"/>
      <c r="L242" s="25"/>
    </row>
    <row r="243" ht="18.75" customHeight="1">
      <c r="A243" s="7" t="s">
        <v>1019</v>
      </c>
      <c r="B243" s="9">
        <v>136691.0</v>
      </c>
      <c r="C243" s="24">
        <v>1.5678574302624166</v>
      </c>
      <c r="D243" s="7" t="s">
        <v>466</v>
      </c>
      <c r="E243" s="7" t="s">
        <v>3944</v>
      </c>
      <c r="F243" s="7" t="s">
        <v>1020</v>
      </c>
      <c r="G243" s="15"/>
      <c r="H243" s="15"/>
      <c r="I243" s="14"/>
      <c r="L243" s="25"/>
    </row>
    <row r="244" ht="18.75" customHeight="1">
      <c r="A244" s="7" t="s">
        <v>1023</v>
      </c>
      <c r="B244" s="9">
        <v>135143.0</v>
      </c>
      <c r="C244" s="24">
        <v>1.550365168747179</v>
      </c>
      <c r="D244" s="7" t="s">
        <v>466</v>
      </c>
      <c r="E244" s="7" t="s">
        <v>3943</v>
      </c>
      <c r="F244" s="7" t="s">
        <v>1024</v>
      </c>
      <c r="G244" s="15"/>
      <c r="H244" s="15"/>
      <c r="I244" s="14"/>
      <c r="L244" s="25"/>
    </row>
    <row r="245" ht="18.75" customHeight="1">
      <c r="A245" s="7" t="s">
        <v>1017</v>
      </c>
      <c r="B245" s="9">
        <v>170178.0</v>
      </c>
      <c r="C245" s="24">
        <v>1.5922739719587726</v>
      </c>
      <c r="D245" s="7" t="s">
        <v>466</v>
      </c>
      <c r="E245" s="7" t="s">
        <v>3946</v>
      </c>
      <c r="F245" s="7" t="s">
        <v>1018</v>
      </c>
      <c r="G245" s="15"/>
      <c r="H245" s="15"/>
      <c r="I245" s="14"/>
      <c r="L245" s="25"/>
    </row>
    <row r="246" ht="18.75" customHeight="1">
      <c r="A246" s="7" t="s">
        <v>1021</v>
      </c>
      <c r="B246" s="9">
        <v>346643.0</v>
      </c>
      <c r="C246" s="24">
        <v>1.5969744088298337</v>
      </c>
      <c r="D246" s="7" t="s">
        <v>466</v>
      </c>
      <c r="E246" s="7" t="s">
        <v>3945</v>
      </c>
      <c r="F246" s="7" t="s">
        <v>1022</v>
      </c>
      <c r="G246" s="15"/>
      <c r="H246" s="15"/>
      <c r="I246" s="14"/>
      <c r="L246" s="25"/>
    </row>
    <row r="247" ht="18.75" customHeight="1">
      <c r="A247" s="7" t="s">
        <v>961</v>
      </c>
      <c r="B247" s="9">
        <v>36998.0</v>
      </c>
      <c r="C247" s="24">
        <v>1.7299854046164658</v>
      </c>
      <c r="D247" s="7" t="s">
        <v>417</v>
      </c>
      <c r="E247" s="7" t="s">
        <v>3926</v>
      </c>
      <c r="F247" s="7" t="s">
        <v>962</v>
      </c>
      <c r="G247" s="15"/>
      <c r="H247" s="15"/>
      <c r="I247" s="14"/>
      <c r="J247" s="14"/>
      <c r="L247" s="25"/>
    </row>
    <row r="248" ht="18.75" customHeight="1">
      <c r="A248" s="7" t="s">
        <v>1037</v>
      </c>
      <c r="B248" s="9">
        <v>267596.0</v>
      </c>
      <c r="C248" s="24">
        <v>3.816465866455403</v>
      </c>
      <c r="D248" s="7" t="s">
        <v>417</v>
      </c>
      <c r="E248" s="7" t="s">
        <v>3966</v>
      </c>
      <c r="F248" s="7" t="s">
        <v>1038</v>
      </c>
      <c r="G248" s="15"/>
      <c r="H248" s="15"/>
      <c r="I248" s="14"/>
      <c r="L248" s="25"/>
    </row>
    <row r="249" ht="18.75" customHeight="1">
      <c r="A249" s="7" t="s">
        <v>1035</v>
      </c>
      <c r="B249" s="9">
        <v>18251.0</v>
      </c>
      <c r="C249" s="24">
        <v>7.240918305846255</v>
      </c>
      <c r="D249" s="7" t="s">
        <v>417</v>
      </c>
      <c r="E249" s="7" t="s">
        <v>3926</v>
      </c>
      <c r="F249" s="7" t="s">
        <v>1036</v>
      </c>
      <c r="G249" s="15"/>
      <c r="H249" s="15"/>
      <c r="I249" s="14"/>
      <c r="L249" s="25"/>
    </row>
    <row r="250" ht="18.75" customHeight="1">
      <c r="A250" s="7" t="s">
        <v>1033</v>
      </c>
      <c r="B250" s="9">
        <v>16753.0</v>
      </c>
      <c r="C250" s="24">
        <v>14.991941741777593</v>
      </c>
      <c r="D250" s="7" t="s">
        <v>417</v>
      </c>
      <c r="E250" s="7" t="s">
        <v>3926</v>
      </c>
      <c r="F250" s="7" t="s">
        <v>1034</v>
      </c>
      <c r="G250" s="15"/>
      <c r="H250" s="15"/>
      <c r="I250" s="14"/>
      <c r="L250" s="25"/>
    </row>
    <row r="251" ht="18.75" customHeight="1">
      <c r="A251" s="7" t="s">
        <v>1041</v>
      </c>
      <c r="B251" s="9">
        <v>472552.0</v>
      </c>
      <c r="C251" s="24">
        <v>0.7497926154158696</v>
      </c>
      <c r="D251" s="7" t="s">
        <v>430</v>
      </c>
      <c r="E251" s="7" t="s">
        <v>3965</v>
      </c>
      <c r="F251" s="7" t="s">
        <v>1042</v>
      </c>
      <c r="G251" s="15"/>
      <c r="H251" s="15"/>
      <c r="I251" s="14"/>
      <c r="L251" s="25"/>
    </row>
    <row r="252" ht="18.75" customHeight="1">
      <c r="A252" s="7" t="s">
        <v>941</v>
      </c>
      <c r="B252" s="9">
        <v>2573121.0</v>
      </c>
      <c r="C252" s="24">
        <v>1.3241479899312936</v>
      </c>
      <c r="D252" s="7" t="s">
        <v>405</v>
      </c>
      <c r="E252" s="7" t="s">
        <v>3967</v>
      </c>
      <c r="F252" s="7" t="s">
        <v>942</v>
      </c>
      <c r="G252" s="15"/>
      <c r="H252" s="15"/>
      <c r="I252" s="14"/>
      <c r="L252" s="25"/>
    </row>
    <row r="253" ht="18.75" customHeight="1">
      <c r="A253" s="7" t="s">
        <v>939</v>
      </c>
      <c r="B253" s="9">
        <v>2898666.0</v>
      </c>
      <c r="C253" s="24">
        <v>1.7754156567193322</v>
      </c>
      <c r="D253" s="7" t="s">
        <v>405</v>
      </c>
      <c r="E253" s="7" t="s">
        <v>3967</v>
      </c>
      <c r="F253" s="7" t="s">
        <v>940</v>
      </c>
      <c r="G253" s="15"/>
      <c r="H253" s="15"/>
      <c r="I253" s="14"/>
      <c r="L253" s="25"/>
    </row>
    <row r="254" ht="18.75" customHeight="1">
      <c r="A254" s="7" t="s">
        <v>1045</v>
      </c>
      <c r="B254" s="9">
        <v>976921.0</v>
      </c>
      <c r="C254" s="24">
        <v>2.0800586741404885</v>
      </c>
      <c r="D254" s="7" t="s">
        <v>504</v>
      </c>
      <c r="E254" s="14"/>
      <c r="F254" s="7" t="s">
        <v>1046</v>
      </c>
      <c r="G254" s="15"/>
      <c r="H254" s="15"/>
      <c r="I254" s="14"/>
      <c r="L254" s="25"/>
    </row>
    <row r="255" ht="18.75" customHeight="1">
      <c r="A255" s="7" t="s">
        <v>1029</v>
      </c>
      <c r="B255" s="9">
        <v>1088848.0</v>
      </c>
      <c r="C255" s="24">
        <v>0.5707408196552687</v>
      </c>
      <c r="D255" s="7" t="s">
        <v>667</v>
      </c>
      <c r="E255" s="14"/>
      <c r="F255" s="7" t="s">
        <v>1030</v>
      </c>
      <c r="G255" s="15"/>
      <c r="H255" s="15"/>
      <c r="I255" s="14"/>
      <c r="L255" s="25"/>
    </row>
    <row r="256" ht="18.75" customHeight="1">
      <c r="A256" s="7" t="s">
        <v>3752</v>
      </c>
      <c r="B256" s="9">
        <v>23172.0</v>
      </c>
      <c r="C256" s="24">
        <v>1.0446228206456067</v>
      </c>
      <c r="D256" s="7" t="s">
        <v>594</v>
      </c>
      <c r="E256" s="7" t="s">
        <v>3942</v>
      </c>
      <c r="F256" s="7" t="s">
        <v>3892</v>
      </c>
      <c r="G256" s="15"/>
      <c r="H256" s="15"/>
      <c r="I256" s="14"/>
      <c r="L256" s="25"/>
    </row>
    <row r="257" ht="18.75" customHeight="1">
      <c r="A257" s="7" t="s">
        <v>1053</v>
      </c>
      <c r="B257" s="9">
        <v>618126.0</v>
      </c>
      <c r="C257" s="24">
        <v>1.352177387781779</v>
      </c>
      <c r="D257" s="7" t="s">
        <v>378</v>
      </c>
      <c r="E257" s="7" t="s">
        <v>3940</v>
      </c>
      <c r="F257" s="7" t="s">
        <v>1054</v>
      </c>
      <c r="G257" s="15"/>
      <c r="H257" s="15"/>
      <c r="I257" s="14"/>
      <c r="L257" s="25"/>
    </row>
    <row r="258" ht="18.75" customHeight="1">
      <c r="A258" s="7" t="s">
        <v>1063</v>
      </c>
      <c r="B258" s="9">
        <v>46652.0</v>
      </c>
      <c r="C258" s="24">
        <v>1.5605333104690045</v>
      </c>
      <c r="D258" s="7" t="s">
        <v>594</v>
      </c>
      <c r="E258" s="7" t="s">
        <v>3942</v>
      </c>
      <c r="F258" s="7" t="s">
        <v>1064</v>
      </c>
      <c r="G258" s="15"/>
      <c r="H258" s="15"/>
      <c r="I258" s="14"/>
      <c r="L258" s="25"/>
    </row>
    <row r="259" ht="18.75" customHeight="1">
      <c r="A259" s="7" t="s">
        <v>1073</v>
      </c>
      <c r="B259" s="9">
        <v>273914.0</v>
      </c>
      <c r="C259" s="24">
        <v>1.2503048402053198</v>
      </c>
      <c r="D259" s="7" t="s">
        <v>354</v>
      </c>
      <c r="E259" s="7" t="s">
        <v>3949</v>
      </c>
      <c r="F259" s="7" t="s">
        <v>1074</v>
      </c>
      <c r="G259" s="15"/>
      <c r="H259" s="15"/>
      <c r="I259" s="14"/>
      <c r="L259" s="25"/>
    </row>
    <row r="260" ht="18.75" customHeight="1">
      <c r="A260" s="7" t="s">
        <v>1033</v>
      </c>
      <c r="B260" s="9">
        <v>138536.0</v>
      </c>
      <c r="C260" s="24">
        <v>1.8129583646128082</v>
      </c>
      <c r="D260" s="7" t="s">
        <v>417</v>
      </c>
      <c r="E260" s="7" t="s">
        <v>3926</v>
      </c>
      <c r="F260" s="7" t="s">
        <v>1034</v>
      </c>
      <c r="G260" s="15"/>
      <c r="H260" s="15"/>
      <c r="I260" s="14"/>
      <c r="L260" s="25"/>
    </row>
    <row r="261" ht="18.75" customHeight="1">
      <c r="A261" s="7" t="s">
        <v>1083</v>
      </c>
      <c r="B261" s="9">
        <v>646488.0</v>
      </c>
      <c r="C261" s="24">
        <v>2.0918253703084977</v>
      </c>
      <c r="D261" s="7" t="s">
        <v>405</v>
      </c>
      <c r="E261" s="7" t="s">
        <v>3965</v>
      </c>
      <c r="F261" s="7" t="s">
        <v>1084</v>
      </c>
      <c r="G261" s="15"/>
      <c r="H261" s="15"/>
      <c r="I261" s="14"/>
      <c r="L261" s="25"/>
    </row>
    <row r="262" ht="18.75" customHeight="1">
      <c r="A262" s="7" t="s">
        <v>1061</v>
      </c>
      <c r="B262" s="9">
        <v>68050.0</v>
      </c>
      <c r="C262" s="24">
        <v>1.5189860396767083</v>
      </c>
      <c r="D262" s="7" t="s">
        <v>387</v>
      </c>
      <c r="E262" s="7" t="s">
        <v>3948</v>
      </c>
      <c r="F262" s="7" t="s">
        <v>1062</v>
      </c>
      <c r="G262" s="15"/>
      <c r="H262" s="15"/>
      <c r="I262" s="14"/>
      <c r="L262" s="25"/>
    </row>
    <row r="263" ht="18.75" customHeight="1">
      <c r="A263" s="7" t="s">
        <v>1067</v>
      </c>
      <c r="B263" s="9">
        <v>85978.0</v>
      </c>
      <c r="C263" s="24">
        <v>1.586417455628184</v>
      </c>
      <c r="D263" s="7" t="s">
        <v>365</v>
      </c>
      <c r="E263" s="7" t="s">
        <v>3954</v>
      </c>
      <c r="F263" s="7" t="s">
        <v>1068</v>
      </c>
      <c r="G263" s="15"/>
      <c r="H263" s="15"/>
      <c r="I263" s="14"/>
      <c r="L263" s="25"/>
    </row>
    <row r="264" ht="18.75" customHeight="1">
      <c r="A264" s="7" t="s">
        <v>1081</v>
      </c>
      <c r="B264" s="9">
        <v>59029.0</v>
      </c>
      <c r="C264" s="24">
        <v>1.3549780616307239</v>
      </c>
      <c r="D264" s="7" t="s">
        <v>365</v>
      </c>
      <c r="E264" s="7" t="s">
        <v>3924</v>
      </c>
      <c r="F264" s="7" t="s">
        <v>1082</v>
      </c>
      <c r="G264" s="15"/>
      <c r="H264" s="15"/>
      <c r="I264" s="14"/>
      <c r="L264" s="25"/>
    </row>
    <row r="265" ht="18.75" customHeight="1">
      <c r="A265" s="7" t="s">
        <v>1069</v>
      </c>
      <c r="B265" s="9">
        <v>17667.0</v>
      </c>
      <c r="C265" s="24">
        <v>1.5390275655176318</v>
      </c>
      <c r="D265" s="7" t="s">
        <v>594</v>
      </c>
      <c r="E265" s="7" t="s">
        <v>3942</v>
      </c>
      <c r="F265" s="7" t="s">
        <v>1070</v>
      </c>
      <c r="G265" s="15"/>
      <c r="H265" s="15"/>
      <c r="I265" s="14"/>
      <c r="L265" s="25"/>
    </row>
    <row r="266" ht="18.75" customHeight="1">
      <c r="A266" s="7" t="s">
        <v>1079</v>
      </c>
      <c r="B266" s="9">
        <v>1168828.0</v>
      </c>
      <c r="C266" s="24">
        <v>0.8965938529877792</v>
      </c>
      <c r="D266" s="7" t="s">
        <v>783</v>
      </c>
      <c r="E266" s="14"/>
      <c r="F266" s="7" t="s">
        <v>1080</v>
      </c>
      <c r="G266" s="15"/>
      <c r="H266" s="15"/>
      <c r="I266" s="14"/>
      <c r="L266" s="25"/>
    </row>
    <row r="267" ht="18.75" customHeight="1">
      <c r="A267" s="7" t="s">
        <v>912</v>
      </c>
      <c r="B267" s="9">
        <v>179661.0</v>
      </c>
      <c r="C267" s="24">
        <v>4.216112567557789</v>
      </c>
      <c r="D267" s="7" t="s">
        <v>466</v>
      </c>
      <c r="E267" s="7" t="s">
        <v>3931</v>
      </c>
      <c r="F267" s="7" t="s">
        <v>913</v>
      </c>
      <c r="G267" s="15"/>
      <c r="H267" s="15"/>
      <c r="I267" s="14"/>
      <c r="L267" s="25"/>
    </row>
    <row r="268" ht="18.75" customHeight="1">
      <c r="A268" s="7" t="s">
        <v>1065</v>
      </c>
      <c r="B268" s="9">
        <v>76959.0</v>
      </c>
      <c r="C268" s="24">
        <v>1.5447965799971413</v>
      </c>
      <c r="D268" s="7" t="s">
        <v>413</v>
      </c>
      <c r="E268" s="7" t="s">
        <v>3947</v>
      </c>
      <c r="F268" s="7" t="s">
        <v>1066</v>
      </c>
      <c r="G268" s="15"/>
      <c r="H268" s="15"/>
      <c r="I268" s="14"/>
      <c r="L268" s="25"/>
    </row>
    <row r="269" ht="18.75" customHeight="1">
      <c r="A269" s="7" t="s">
        <v>1075</v>
      </c>
      <c r="B269" s="9">
        <v>299904.0</v>
      </c>
      <c r="C269" s="24">
        <v>2.0693055110968843</v>
      </c>
      <c r="D269" s="7" t="s">
        <v>783</v>
      </c>
      <c r="E269" s="7" t="s">
        <v>3959</v>
      </c>
      <c r="F269" s="7" t="s">
        <v>1076</v>
      </c>
      <c r="G269" s="15"/>
      <c r="H269" s="15"/>
      <c r="I269" s="14"/>
      <c r="L269" s="25"/>
    </row>
    <row r="270" ht="18.75" customHeight="1">
      <c r="A270" s="7" t="s">
        <v>989</v>
      </c>
      <c r="B270" s="9">
        <v>147053.0</v>
      </c>
      <c r="C270" s="24">
        <v>12.937634730335322</v>
      </c>
      <c r="D270" s="7" t="s">
        <v>378</v>
      </c>
      <c r="E270" s="7" t="s">
        <v>3968</v>
      </c>
      <c r="F270" s="7" t="s">
        <v>990</v>
      </c>
      <c r="G270" s="15"/>
      <c r="H270" s="15"/>
      <c r="I270" s="14"/>
      <c r="L270" s="25"/>
    </row>
    <row r="271" ht="18.75" customHeight="1">
      <c r="A271" s="7" t="s">
        <v>1071</v>
      </c>
      <c r="B271" s="9">
        <v>14434.0</v>
      </c>
      <c r="C271" s="24">
        <v>10.908618539559374</v>
      </c>
      <c r="D271" s="7" t="s">
        <v>417</v>
      </c>
      <c r="E271" s="7" t="s">
        <v>3926</v>
      </c>
      <c r="F271" s="7" t="s">
        <v>1072</v>
      </c>
      <c r="G271" s="15"/>
      <c r="H271" s="15"/>
      <c r="I271" s="14"/>
      <c r="L271" s="25"/>
    </row>
    <row r="272" ht="18.75" customHeight="1">
      <c r="A272" s="7" t="s">
        <v>1085</v>
      </c>
      <c r="B272" s="9">
        <v>44806.0</v>
      </c>
      <c r="C272" s="24">
        <v>1.2563942329152347</v>
      </c>
      <c r="D272" s="7" t="s">
        <v>365</v>
      </c>
      <c r="E272" s="7" t="s">
        <v>3934</v>
      </c>
      <c r="F272" s="7" t="s">
        <v>1086</v>
      </c>
      <c r="G272" s="15"/>
      <c r="H272" s="15"/>
      <c r="I272" s="14"/>
      <c r="L272" s="25"/>
    </row>
    <row r="273" ht="18.75" customHeight="1">
      <c r="A273" s="7" t="s">
        <v>1089</v>
      </c>
      <c r="B273" s="9">
        <v>531451.0</v>
      </c>
      <c r="C273" s="24">
        <v>1.5279207302272457</v>
      </c>
      <c r="D273" s="7" t="s">
        <v>365</v>
      </c>
      <c r="E273" s="7" t="s">
        <v>3934</v>
      </c>
      <c r="F273" s="7" t="s">
        <v>1090</v>
      </c>
      <c r="G273" s="15"/>
      <c r="H273" s="15"/>
      <c r="I273" s="14"/>
      <c r="L273" s="25"/>
    </row>
    <row r="274" ht="18.75" customHeight="1">
      <c r="A274" s="7" t="s">
        <v>1087</v>
      </c>
      <c r="B274" s="9">
        <v>602363.0</v>
      </c>
      <c r="C274" s="24">
        <v>1.478671498747433</v>
      </c>
      <c r="D274" s="7" t="s">
        <v>417</v>
      </c>
      <c r="E274" s="7" t="s">
        <v>3969</v>
      </c>
      <c r="F274" s="7" t="s">
        <v>1088</v>
      </c>
      <c r="G274" s="15"/>
      <c r="H274" s="15"/>
      <c r="I274" s="14"/>
      <c r="L274" s="25"/>
    </row>
    <row r="275" ht="18.75" customHeight="1">
      <c r="A275" s="7" t="s">
        <v>1091</v>
      </c>
      <c r="B275" s="9">
        <v>1424069.0</v>
      </c>
      <c r="C275" s="24">
        <v>2.343090117122134</v>
      </c>
      <c r="D275" s="7" t="s">
        <v>466</v>
      </c>
      <c r="E275" s="14"/>
      <c r="F275" s="7" t="s">
        <v>1092</v>
      </c>
      <c r="G275" s="15"/>
      <c r="H275" s="15"/>
      <c r="I275" s="14"/>
      <c r="L275" s="25"/>
    </row>
    <row r="276" ht="18.75" customHeight="1">
      <c r="A276" s="7" t="s">
        <v>1039</v>
      </c>
      <c r="B276" s="9">
        <v>2209627.0</v>
      </c>
      <c r="C276" s="24">
        <v>2.008076476255947</v>
      </c>
      <c r="D276" s="7" t="s">
        <v>354</v>
      </c>
      <c r="E276" s="14"/>
      <c r="F276" s="7" t="s">
        <v>1040</v>
      </c>
      <c r="G276" s="15"/>
      <c r="H276" s="15"/>
      <c r="I276" s="14"/>
      <c r="L276" s="25"/>
    </row>
    <row r="277" ht="18.75" customHeight="1">
      <c r="A277" s="7" t="s">
        <v>1099</v>
      </c>
      <c r="B277" s="9">
        <v>796610.0</v>
      </c>
      <c r="C277" s="24">
        <v>0.4401350723691643</v>
      </c>
      <c r="D277" s="7" t="s">
        <v>430</v>
      </c>
      <c r="E277" s="7" t="s">
        <v>3965</v>
      </c>
      <c r="F277" s="7" t="s">
        <v>1100</v>
      </c>
      <c r="G277" s="15"/>
      <c r="H277" s="15"/>
      <c r="I277" s="14"/>
      <c r="L277" s="25"/>
    </row>
    <row r="278" ht="18.75" customHeight="1">
      <c r="A278" s="7" t="s">
        <v>1123</v>
      </c>
      <c r="B278" s="9">
        <v>472893.0</v>
      </c>
      <c r="C278" s="24">
        <v>3.53632639941805</v>
      </c>
      <c r="D278" s="7" t="s">
        <v>808</v>
      </c>
      <c r="E278" s="7" t="s">
        <v>808</v>
      </c>
      <c r="F278" s="7" t="s">
        <v>1124</v>
      </c>
      <c r="G278" s="15"/>
      <c r="H278" s="15"/>
      <c r="I278" s="14"/>
      <c r="L278" s="25"/>
    </row>
    <row r="279" ht="18.75" customHeight="1">
      <c r="A279" s="7" t="s">
        <v>1029</v>
      </c>
      <c r="B279" s="12"/>
      <c r="C279" s="24">
        <v>0.0</v>
      </c>
      <c r="D279" s="7" t="s">
        <v>667</v>
      </c>
      <c r="E279" s="14"/>
      <c r="F279" s="7" t="s">
        <v>1030</v>
      </c>
      <c r="G279" s="15"/>
      <c r="H279" s="15"/>
      <c r="I279" s="14"/>
      <c r="L279" s="25"/>
    </row>
    <row r="280" ht="18.75" customHeight="1">
      <c r="A280" s="7" t="s">
        <v>1113</v>
      </c>
      <c r="B280" s="9">
        <v>172169.0</v>
      </c>
      <c r="C280" s="24">
        <v>1.6396157264083546</v>
      </c>
      <c r="D280" s="7" t="s">
        <v>378</v>
      </c>
      <c r="E280" s="7" t="s">
        <v>3952</v>
      </c>
      <c r="F280" s="7" t="s">
        <v>1114</v>
      </c>
      <c r="G280" s="15"/>
      <c r="H280" s="15"/>
      <c r="I280" s="14"/>
      <c r="L280" s="25"/>
    </row>
    <row r="281" ht="18.75" customHeight="1">
      <c r="A281" s="7" t="s">
        <v>1109</v>
      </c>
      <c r="B281" s="9">
        <v>131067.0</v>
      </c>
      <c r="C281" s="24">
        <v>1.601196334699047</v>
      </c>
      <c r="D281" s="7" t="s">
        <v>466</v>
      </c>
      <c r="E281" s="7" t="s">
        <v>3951</v>
      </c>
      <c r="F281" s="7" t="s">
        <v>1110</v>
      </c>
      <c r="G281" s="15"/>
      <c r="H281" s="15"/>
      <c r="I281" s="14"/>
      <c r="L281" s="25"/>
    </row>
    <row r="282" ht="18.75" customHeight="1">
      <c r="A282" s="7" t="s">
        <v>1115</v>
      </c>
      <c r="B282" s="9">
        <v>426765.0</v>
      </c>
      <c r="C282" s="24">
        <v>1.3880215106674634</v>
      </c>
      <c r="D282" s="7" t="s">
        <v>725</v>
      </c>
      <c r="E282" s="7" t="s">
        <v>3956</v>
      </c>
      <c r="F282" s="7" t="s">
        <v>1116</v>
      </c>
      <c r="G282" s="15"/>
      <c r="H282" s="15"/>
      <c r="I282" s="14"/>
      <c r="L282" s="25"/>
    </row>
    <row r="283" ht="18.75" customHeight="1">
      <c r="A283" s="7" t="s">
        <v>910</v>
      </c>
      <c r="B283" s="9">
        <v>453723.0</v>
      </c>
      <c r="C283" s="24">
        <v>0.8275092953189501</v>
      </c>
      <c r="D283" s="7" t="s">
        <v>417</v>
      </c>
      <c r="E283" s="7" t="s">
        <v>3966</v>
      </c>
      <c r="F283" s="7" t="s">
        <v>911</v>
      </c>
      <c r="G283" s="15"/>
      <c r="H283" s="15"/>
      <c r="I283" s="14"/>
      <c r="L283" s="25"/>
    </row>
    <row r="284" ht="18.75" customHeight="1">
      <c r="A284" s="7" t="s">
        <v>1111</v>
      </c>
      <c r="B284" s="9">
        <v>0.0</v>
      </c>
      <c r="C284" s="24">
        <v>0.0</v>
      </c>
      <c r="D284" s="7" t="s">
        <v>417</v>
      </c>
      <c r="E284" s="7" t="s">
        <v>3926</v>
      </c>
      <c r="F284" s="7" t="s">
        <v>1112</v>
      </c>
      <c r="G284" s="15"/>
      <c r="H284" s="15"/>
      <c r="I284" s="14"/>
      <c r="L284" s="25"/>
    </row>
    <row r="285" ht="18.75" customHeight="1">
      <c r="A285" s="7" t="s">
        <v>1107</v>
      </c>
      <c r="B285" s="9">
        <v>46177.0</v>
      </c>
      <c r="C285" s="24">
        <v>1.5864607921692617</v>
      </c>
      <c r="D285" s="7" t="s">
        <v>594</v>
      </c>
      <c r="E285" s="7" t="s">
        <v>3942</v>
      </c>
      <c r="F285" s="7" t="s">
        <v>1108</v>
      </c>
      <c r="G285" s="15"/>
      <c r="H285" s="15"/>
      <c r="I285" s="14"/>
      <c r="L285" s="25"/>
    </row>
    <row r="286" ht="18.75" customHeight="1">
      <c r="A286" s="7" t="s">
        <v>1103</v>
      </c>
      <c r="B286" s="9">
        <v>82597.0</v>
      </c>
      <c r="C286" s="24">
        <v>27.26338729009528</v>
      </c>
      <c r="D286" s="7" t="s">
        <v>417</v>
      </c>
      <c r="E286" s="7" t="s">
        <v>3966</v>
      </c>
      <c r="F286" s="7" t="s">
        <v>1104</v>
      </c>
      <c r="G286" s="15"/>
      <c r="H286" s="15"/>
      <c r="I286" s="14"/>
      <c r="L286" s="25"/>
    </row>
    <row r="287" ht="18.75" customHeight="1">
      <c r="A287" s="7" t="s">
        <v>1123</v>
      </c>
      <c r="B287" s="9">
        <v>951170.0</v>
      </c>
      <c r="C287" s="24">
        <v>1.7581546936930308</v>
      </c>
      <c r="D287" s="7" t="s">
        <v>808</v>
      </c>
      <c r="E287" s="7" t="s">
        <v>808</v>
      </c>
      <c r="F287" s="7" t="s">
        <v>1124</v>
      </c>
      <c r="G287" s="15"/>
      <c r="H287" s="15"/>
      <c r="I287" s="14"/>
      <c r="L287" s="25"/>
    </row>
    <row r="288" ht="18.75" customHeight="1">
      <c r="A288" s="7" t="s">
        <v>3868</v>
      </c>
      <c r="B288" s="9">
        <v>64.0</v>
      </c>
      <c r="C288" s="24">
        <v>1.03125</v>
      </c>
      <c r="D288" s="7" t="s">
        <v>417</v>
      </c>
      <c r="E288" s="7" t="s">
        <v>3926</v>
      </c>
      <c r="F288" s="7" t="s">
        <v>3893</v>
      </c>
      <c r="G288" s="15"/>
      <c r="H288" s="15"/>
      <c r="I288" s="14"/>
      <c r="L288" s="25"/>
    </row>
    <row r="289" ht="18.75" customHeight="1">
      <c r="A289" s="7" t="s">
        <v>1117</v>
      </c>
      <c r="B289" s="9">
        <v>107064.0</v>
      </c>
      <c r="C289" s="24">
        <v>1.5311962938055743</v>
      </c>
      <c r="D289" s="7" t="s">
        <v>466</v>
      </c>
      <c r="E289" s="7" t="s">
        <v>3944</v>
      </c>
      <c r="F289" s="7" t="s">
        <v>1118</v>
      </c>
      <c r="G289" s="15"/>
      <c r="H289" s="15"/>
      <c r="I289" s="14"/>
      <c r="L289" s="25"/>
    </row>
    <row r="290" ht="18.75" customHeight="1">
      <c r="A290" s="7" t="s">
        <v>1119</v>
      </c>
      <c r="B290" s="9">
        <v>97185.0</v>
      </c>
      <c r="C290" s="24">
        <v>1.542285332098575</v>
      </c>
      <c r="D290" s="7" t="s">
        <v>466</v>
      </c>
      <c r="E290" s="7" t="s">
        <v>3943</v>
      </c>
      <c r="F290" s="7" t="s">
        <v>1120</v>
      </c>
      <c r="G290" s="15"/>
      <c r="H290" s="15"/>
      <c r="I290" s="14"/>
      <c r="L290" s="25"/>
    </row>
    <row r="291" ht="18.75" customHeight="1">
      <c r="A291" s="7" t="s">
        <v>1121</v>
      </c>
      <c r="B291" s="9">
        <v>242437.0</v>
      </c>
      <c r="C291" s="24">
        <v>1.1663772443975136</v>
      </c>
      <c r="D291" s="7" t="s">
        <v>466</v>
      </c>
      <c r="E291" s="7" t="s">
        <v>3945</v>
      </c>
      <c r="F291" s="7" t="s">
        <v>1122</v>
      </c>
      <c r="G291" s="15"/>
      <c r="H291" s="15"/>
      <c r="I291" s="14"/>
      <c r="L291" s="25"/>
    </row>
    <row r="292" ht="18.75" customHeight="1">
      <c r="A292" s="7" t="s">
        <v>1071</v>
      </c>
      <c r="B292" s="9">
        <v>62793.0</v>
      </c>
      <c r="C292" s="24">
        <v>2.5075247240934497</v>
      </c>
      <c r="D292" s="7" t="s">
        <v>417</v>
      </c>
      <c r="E292" s="7" t="s">
        <v>3926</v>
      </c>
      <c r="F292" s="7" t="s">
        <v>1072</v>
      </c>
      <c r="G292" s="15"/>
      <c r="H292" s="15"/>
      <c r="I292" s="14"/>
      <c r="L292" s="25"/>
    </row>
    <row r="293" ht="18.75" customHeight="1">
      <c r="A293" s="7" t="s">
        <v>1125</v>
      </c>
      <c r="B293" s="9">
        <v>440768.0</v>
      </c>
      <c r="C293" s="24">
        <v>1.213270927109046</v>
      </c>
      <c r="D293" s="7" t="s">
        <v>466</v>
      </c>
      <c r="E293" s="7" t="s">
        <v>3946</v>
      </c>
      <c r="F293" s="7" t="s">
        <v>1126</v>
      </c>
      <c r="G293" s="15"/>
      <c r="H293" s="15"/>
      <c r="I293" s="14"/>
      <c r="L293" s="25"/>
    </row>
    <row r="294" ht="18.75" customHeight="1">
      <c r="A294" s="7" t="s">
        <v>1035</v>
      </c>
      <c r="B294" s="9">
        <v>42322.0</v>
      </c>
      <c r="C294" s="24">
        <v>3.122583998865838</v>
      </c>
      <c r="D294" s="7" t="s">
        <v>417</v>
      </c>
      <c r="E294" s="7" t="s">
        <v>3926</v>
      </c>
      <c r="F294" s="7" t="s">
        <v>1036</v>
      </c>
      <c r="G294" s="15"/>
      <c r="H294" s="15"/>
      <c r="I294" s="14"/>
      <c r="L294" s="25"/>
    </row>
    <row r="295" ht="18.75" customHeight="1">
      <c r="A295" s="7" t="s">
        <v>991</v>
      </c>
      <c r="B295" s="9">
        <v>1495402.0</v>
      </c>
      <c r="C295" s="24">
        <v>3.287041210323378</v>
      </c>
      <c r="D295" s="7" t="s">
        <v>667</v>
      </c>
      <c r="E295" s="14"/>
      <c r="F295" s="7" t="s">
        <v>992</v>
      </c>
      <c r="G295" s="15"/>
      <c r="H295" s="15"/>
      <c r="I295" s="14"/>
      <c r="L295" s="25"/>
    </row>
    <row r="296" ht="18.75" customHeight="1">
      <c r="A296" s="7" t="s">
        <v>1037</v>
      </c>
      <c r="B296" s="9">
        <v>592851.0</v>
      </c>
      <c r="C296" s="24">
        <v>1.722643632211129</v>
      </c>
      <c r="D296" s="7" t="s">
        <v>417</v>
      </c>
      <c r="E296" s="7" t="s">
        <v>3966</v>
      </c>
      <c r="F296" s="7" t="s">
        <v>1038</v>
      </c>
      <c r="G296" s="15"/>
      <c r="H296" s="15"/>
      <c r="I296" s="14"/>
      <c r="L296" s="25"/>
    </row>
    <row r="297" ht="18.75" customHeight="1">
      <c r="A297" s="7" t="s">
        <v>1139</v>
      </c>
      <c r="B297" s="9">
        <v>369694.0</v>
      </c>
      <c r="C297" s="24">
        <v>1.5741072346318847</v>
      </c>
      <c r="D297" s="7" t="s">
        <v>725</v>
      </c>
      <c r="E297" s="7" t="s">
        <v>3956</v>
      </c>
      <c r="F297" s="7" t="s">
        <v>1140</v>
      </c>
      <c r="G297" s="15"/>
      <c r="H297" s="15"/>
      <c r="I297" s="14"/>
      <c r="L297" s="25"/>
    </row>
    <row r="298" ht="18.75" customHeight="1">
      <c r="A298" s="7" t="s">
        <v>1137</v>
      </c>
      <c r="B298" s="9">
        <v>28402.0</v>
      </c>
      <c r="C298" s="24">
        <v>35.12562495598902</v>
      </c>
      <c r="D298" s="7" t="s">
        <v>417</v>
      </c>
      <c r="E298" s="7" t="s">
        <v>3969</v>
      </c>
      <c r="F298" s="7" t="s">
        <v>1138</v>
      </c>
      <c r="G298" s="15"/>
      <c r="H298" s="15"/>
      <c r="I298" s="14"/>
      <c r="L298" s="25"/>
    </row>
    <row r="299" ht="18.75" customHeight="1">
      <c r="A299" s="7" t="s">
        <v>1143</v>
      </c>
      <c r="B299" s="9">
        <v>698692.0</v>
      </c>
      <c r="C299" s="24">
        <v>1.9188755560389985</v>
      </c>
      <c r="D299" s="7" t="s">
        <v>466</v>
      </c>
      <c r="E299" s="7" t="s">
        <v>3931</v>
      </c>
      <c r="F299" s="7" t="s">
        <v>1144</v>
      </c>
      <c r="G299" s="15"/>
      <c r="H299" s="15"/>
      <c r="I299" s="14"/>
      <c r="L299" s="25"/>
    </row>
    <row r="300" ht="18.75" customHeight="1">
      <c r="A300" s="7" t="s">
        <v>1101</v>
      </c>
      <c r="B300" s="9">
        <v>1558449.0</v>
      </c>
      <c r="C300" s="24">
        <v>2.237729306509228</v>
      </c>
      <c r="D300" s="7" t="s">
        <v>378</v>
      </c>
      <c r="E300" s="7" t="s">
        <v>3968</v>
      </c>
      <c r="F300" s="7" t="s">
        <v>1102</v>
      </c>
      <c r="G300" s="15"/>
      <c r="H300" s="15"/>
      <c r="I300" s="14"/>
      <c r="L300" s="25"/>
    </row>
    <row r="301" ht="18.75" customHeight="1">
      <c r="A301" s="7" t="s">
        <v>1087</v>
      </c>
      <c r="B301" s="9">
        <v>320676.0</v>
      </c>
      <c r="C301" s="24">
        <v>2.7775605283837894</v>
      </c>
      <c r="D301" s="7" t="s">
        <v>417</v>
      </c>
      <c r="E301" s="7" t="s">
        <v>3969</v>
      </c>
      <c r="F301" s="7" t="s">
        <v>1088</v>
      </c>
      <c r="G301" s="15"/>
      <c r="H301" s="15"/>
      <c r="I301" s="14"/>
      <c r="L301" s="25"/>
    </row>
    <row r="302" ht="18.75" customHeight="1">
      <c r="A302" s="7" t="s">
        <v>963</v>
      </c>
      <c r="B302" s="9">
        <v>69209.0</v>
      </c>
      <c r="C302" s="24">
        <v>2.3866115678596715</v>
      </c>
      <c r="D302" s="7" t="s">
        <v>417</v>
      </c>
      <c r="E302" s="7" t="s">
        <v>3926</v>
      </c>
      <c r="F302" s="7" t="s">
        <v>964</v>
      </c>
      <c r="G302" s="15"/>
      <c r="H302" s="15"/>
      <c r="I302" s="14"/>
      <c r="L302" s="25"/>
    </row>
    <row r="303" ht="18.75" customHeight="1">
      <c r="A303" s="7" t="s">
        <v>1111</v>
      </c>
      <c r="B303" s="9">
        <v>69151.0</v>
      </c>
      <c r="C303" s="24">
        <v>3.687784703041171</v>
      </c>
      <c r="D303" s="7" t="s">
        <v>417</v>
      </c>
      <c r="E303" s="7" t="s">
        <v>3926</v>
      </c>
      <c r="F303" s="7" t="s">
        <v>1112</v>
      </c>
      <c r="G303" s="15"/>
      <c r="H303" s="15"/>
      <c r="I303" s="14"/>
      <c r="L303" s="25"/>
    </row>
    <row r="304" ht="18.75" customHeight="1">
      <c r="A304" s="7" t="s">
        <v>1161</v>
      </c>
      <c r="B304" s="9">
        <v>83943.0</v>
      </c>
      <c r="C304" s="24">
        <v>1.5533040277331045</v>
      </c>
      <c r="D304" s="7" t="s">
        <v>594</v>
      </c>
      <c r="E304" s="7" t="s">
        <v>3942</v>
      </c>
      <c r="F304" s="7" t="s">
        <v>1162</v>
      </c>
      <c r="G304" s="15"/>
      <c r="H304" s="15"/>
      <c r="I304" s="14"/>
      <c r="L304" s="25"/>
    </row>
    <row r="305" ht="18.75" customHeight="1">
      <c r="A305" s="7" t="s">
        <v>1183</v>
      </c>
      <c r="B305" s="9">
        <v>26598.0</v>
      </c>
      <c r="C305" s="24">
        <v>13.955710955710956</v>
      </c>
      <c r="D305" s="7" t="s">
        <v>417</v>
      </c>
      <c r="E305" s="7" t="s">
        <v>3926</v>
      </c>
      <c r="F305" s="7" t="s">
        <v>1184</v>
      </c>
      <c r="G305" s="15"/>
      <c r="H305" s="15"/>
      <c r="I305" s="14"/>
      <c r="L305" s="25"/>
    </row>
    <row r="306" ht="18.75" customHeight="1">
      <c r="A306" s="7" t="s">
        <v>1157</v>
      </c>
      <c r="B306" s="9">
        <v>277953.0</v>
      </c>
      <c r="C306" s="24">
        <v>1.4270614096627847</v>
      </c>
      <c r="D306" s="7" t="s">
        <v>413</v>
      </c>
      <c r="E306" s="7" t="s">
        <v>3947</v>
      </c>
      <c r="F306" s="7" t="s">
        <v>1158</v>
      </c>
      <c r="G306" s="15"/>
      <c r="H306" s="15"/>
      <c r="I306" s="14"/>
      <c r="L306" s="25"/>
    </row>
    <row r="307" ht="18.75" customHeight="1">
      <c r="A307" s="7" t="s">
        <v>1159</v>
      </c>
      <c r="B307" s="9">
        <v>529081.0</v>
      </c>
      <c r="C307" s="24">
        <v>1.2630164379367241</v>
      </c>
      <c r="D307" s="7" t="s">
        <v>359</v>
      </c>
      <c r="E307" s="7" t="s">
        <v>3941</v>
      </c>
      <c r="F307" s="7" t="s">
        <v>1160</v>
      </c>
      <c r="G307" s="15"/>
      <c r="H307" s="15"/>
      <c r="I307" s="14"/>
      <c r="L307" s="25"/>
    </row>
    <row r="308" ht="18.75" customHeight="1">
      <c r="A308" s="7" t="s">
        <v>1127</v>
      </c>
      <c r="B308" s="9">
        <v>771120.0</v>
      </c>
      <c r="C308" s="24">
        <v>1.7156629318394023</v>
      </c>
      <c r="D308" s="7" t="s">
        <v>365</v>
      </c>
      <c r="E308" s="7" t="s">
        <v>3934</v>
      </c>
      <c r="F308" s="7" t="s">
        <v>1128</v>
      </c>
      <c r="G308" s="15"/>
      <c r="H308" s="15"/>
      <c r="I308" s="14"/>
      <c r="L308" s="25"/>
    </row>
    <row r="309" ht="18.75" customHeight="1">
      <c r="A309" s="7" t="s">
        <v>1191</v>
      </c>
      <c r="B309" s="9">
        <v>496748.0</v>
      </c>
      <c r="C309" s="24">
        <v>1.4206982212308856</v>
      </c>
      <c r="D309" s="7" t="s">
        <v>365</v>
      </c>
      <c r="E309" s="7" t="s">
        <v>3924</v>
      </c>
      <c r="F309" s="7" t="s">
        <v>1192</v>
      </c>
      <c r="G309" s="15"/>
      <c r="H309" s="15"/>
      <c r="I309" s="14"/>
      <c r="L309" s="25"/>
    </row>
    <row r="310" ht="18.75" customHeight="1">
      <c r="A310" s="7" t="s">
        <v>943</v>
      </c>
      <c r="B310" s="9">
        <v>662754.0</v>
      </c>
      <c r="C310" s="24">
        <v>1.7701967849307587</v>
      </c>
      <c r="D310" s="7" t="s">
        <v>378</v>
      </c>
      <c r="E310" s="7" t="s">
        <v>3968</v>
      </c>
      <c r="F310" s="7" t="s">
        <v>944</v>
      </c>
      <c r="G310" s="15"/>
      <c r="H310" s="15"/>
      <c r="I310" s="14"/>
      <c r="L310" s="25"/>
    </row>
    <row r="311" ht="18.75" customHeight="1">
      <c r="A311" s="7" t="s">
        <v>926</v>
      </c>
      <c r="B311" s="9">
        <v>2797543.0</v>
      </c>
      <c r="C311" s="24">
        <v>2.058953874882352</v>
      </c>
      <c r="D311" s="7" t="s">
        <v>928</v>
      </c>
      <c r="E311" s="7" t="s">
        <v>3970</v>
      </c>
      <c r="F311" s="7" t="s">
        <v>927</v>
      </c>
      <c r="G311" s="15"/>
      <c r="H311" s="15"/>
      <c r="I311" s="14"/>
      <c r="L311" s="25"/>
    </row>
    <row r="312" ht="18.75" customHeight="1">
      <c r="A312" s="7" t="s">
        <v>1169</v>
      </c>
      <c r="B312" s="9">
        <v>108149.0</v>
      </c>
      <c r="C312" s="24">
        <v>1.5942357303350008</v>
      </c>
      <c r="D312" s="7" t="s">
        <v>466</v>
      </c>
      <c r="E312" s="7" t="s">
        <v>3943</v>
      </c>
      <c r="F312" s="7" t="s">
        <v>1170</v>
      </c>
      <c r="G312" s="15"/>
      <c r="H312" s="15"/>
      <c r="I312" s="14"/>
      <c r="L312" s="25"/>
    </row>
    <row r="313" ht="18.75" customHeight="1">
      <c r="A313" s="7" t="s">
        <v>1163</v>
      </c>
      <c r="B313" s="9">
        <v>159410.0</v>
      </c>
      <c r="C313" s="24">
        <v>1.5590552662944608</v>
      </c>
      <c r="D313" s="7" t="s">
        <v>466</v>
      </c>
      <c r="E313" s="7" t="s">
        <v>3945</v>
      </c>
      <c r="F313" s="7" t="s">
        <v>1164</v>
      </c>
      <c r="G313" s="15"/>
      <c r="H313" s="15"/>
      <c r="I313" s="14"/>
      <c r="L313" s="25"/>
    </row>
    <row r="314" ht="18.75" customHeight="1">
      <c r="A314" s="7" t="s">
        <v>1167</v>
      </c>
      <c r="B314" s="9">
        <v>375349.0</v>
      </c>
      <c r="C314" s="24">
        <v>1.3846686683593137</v>
      </c>
      <c r="D314" s="7" t="s">
        <v>466</v>
      </c>
      <c r="E314" s="7" t="s">
        <v>3944</v>
      </c>
      <c r="F314" s="7" t="s">
        <v>1168</v>
      </c>
      <c r="G314" s="15"/>
      <c r="H314" s="15"/>
      <c r="I314" s="14"/>
      <c r="L314" s="25"/>
    </row>
    <row r="315" ht="18.75" customHeight="1">
      <c r="A315" s="7" t="s">
        <v>1171</v>
      </c>
      <c r="B315" s="9">
        <v>94044.0</v>
      </c>
      <c r="C315" s="24">
        <v>1.5897133256773426</v>
      </c>
      <c r="D315" s="7" t="s">
        <v>466</v>
      </c>
      <c r="E315" s="7" t="s">
        <v>3946</v>
      </c>
      <c r="F315" s="7" t="s">
        <v>1172</v>
      </c>
      <c r="G315" s="15"/>
      <c r="H315" s="15"/>
      <c r="I315" s="14"/>
      <c r="L315" s="25"/>
    </row>
    <row r="316" ht="18.75" customHeight="1">
      <c r="A316" s="7" t="s">
        <v>1203</v>
      </c>
      <c r="B316" s="9">
        <v>358995.0</v>
      </c>
      <c r="C316" s="24">
        <v>1.2317636735887687</v>
      </c>
      <c r="D316" s="7" t="s">
        <v>365</v>
      </c>
      <c r="E316" s="7" t="s">
        <v>3934</v>
      </c>
      <c r="F316" s="7" t="s">
        <v>1204</v>
      </c>
      <c r="G316" s="15"/>
      <c r="H316" s="15"/>
      <c r="I316" s="14"/>
      <c r="L316" s="25"/>
    </row>
    <row r="317" ht="18.75" customHeight="1">
      <c r="A317" s="7" t="s">
        <v>1187</v>
      </c>
      <c r="B317" s="9">
        <v>36543.0</v>
      </c>
      <c r="C317" s="24">
        <v>13.720575760063486</v>
      </c>
      <c r="D317" s="7" t="s">
        <v>417</v>
      </c>
      <c r="E317" s="7" t="s">
        <v>3969</v>
      </c>
      <c r="F317" s="7" t="s">
        <v>1188</v>
      </c>
      <c r="G317" s="15"/>
      <c r="H317" s="15"/>
      <c r="I317" s="14"/>
      <c r="L317" s="25"/>
    </row>
    <row r="318" ht="18.75" customHeight="1">
      <c r="A318" s="7" t="s">
        <v>1103</v>
      </c>
      <c r="B318" s="9">
        <v>321437.0</v>
      </c>
      <c r="C318" s="24">
        <v>7.0056465186024015</v>
      </c>
      <c r="D318" s="7" t="s">
        <v>417</v>
      </c>
      <c r="E318" s="7" t="s">
        <v>3966</v>
      </c>
      <c r="F318" s="7" t="s">
        <v>1104</v>
      </c>
      <c r="G318" s="15"/>
      <c r="H318" s="15"/>
      <c r="I318" s="14"/>
      <c r="L318" s="25"/>
    </row>
    <row r="319" ht="18.75" customHeight="1">
      <c r="A319" s="7" t="s">
        <v>1185</v>
      </c>
      <c r="B319" s="9">
        <v>424051.0</v>
      </c>
      <c r="C319" s="24">
        <v>1.5211991010515244</v>
      </c>
      <c r="D319" s="7" t="s">
        <v>417</v>
      </c>
      <c r="E319" s="7" t="s">
        <v>3966</v>
      </c>
      <c r="F319" s="7" t="s">
        <v>1186</v>
      </c>
      <c r="G319" s="15"/>
      <c r="H319" s="15"/>
      <c r="I319" s="14"/>
      <c r="L319" s="25"/>
    </row>
    <row r="320" ht="18.75" customHeight="1">
      <c r="A320" s="7" t="s">
        <v>1199</v>
      </c>
      <c r="B320" s="9">
        <v>415956.0</v>
      </c>
      <c r="C320" s="24">
        <v>1.4579715162180615</v>
      </c>
      <c r="D320" s="7" t="s">
        <v>594</v>
      </c>
      <c r="E320" s="7" t="s">
        <v>3942</v>
      </c>
      <c r="F320" s="7" t="s">
        <v>1200</v>
      </c>
      <c r="G320" s="15"/>
      <c r="H320" s="15"/>
      <c r="I320" s="14"/>
      <c r="L320" s="25"/>
    </row>
    <row r="321" ht="18.75" customHeight="1">
      <c r="A321" s="7" t="s">
        <v>831</v>
      </c>
      <c r="B321" s="9">
        <v>420563.0</v>
      </c>
      <c r="C321" s="24">
        <v>1.6520759077712495</v>
      </c>
      <c r="D321" s="7" t="s">
        <v>833</v>
      </c>
      <c r="E321" s="7" t="s">
        <v>3971</v>
      </c>
      <c r="F321" s="7" t="s">
        <v>832</v>
      </c>
      <c r="G321" s="15"/>
      <c r="H321" s="15"/>
      <c r="I321" s="14"/>
      <c r="L321" s="25"/>
    </row>
    <row r="322" ht="18.75" customHeight="1">
      <c r="A322" s="7" t="s">
        <v>1209</v>
      </c>
      <c r="B322" s="9">
        <v>348156.0</v>
      </c>
      <c r="C322" s="24">
        <v>1.5229121428325234</v>
      </c>
      <c r="D322" s="7" t="s">
        <v>430</v>
      </c>
      <c r="E322" s="7" t="s">
        <v>3965</v>
      </c>
      <c r="F322" s="7" t="s">
        <v>1210</v>
      </c>
      <c r="G322" s="15"/>
      <c r="H322" s="15"/>
      <c r="I322" s="14"/>
      <c r="L322" s="25"/>
    </row>
    <row r="323" ht="18.75" customHeight="1">
      <c r="A323" s="7" t="s">
        <v>1001</v>
      </c>
      <c r="B323" s="9">
        <v>1384843.0</v>
      </c>
      <c r="C323" s="24">
        <v>1.8219567127826042</v>
      </c>
      <c r="D323" s="7" t="s">
        <v>378</v>
      </c>
      <c r="E323" s="7" t="s">
        <v>3972</v>
      </c>
      <c r="F323" s="7" t="s">
        <v>1002</v>
      </c>
      <c r="G323" s="15"/>
      <c r="H323" s="15"/>
      <c r="I323" s="14"/>
      <c r="L323" s="25"/>
    </row>
    <row r="324" ht="18.75" customHeight="1">
      <c r="A324" s="7" t="s">
        <v>1229</v>
      </c>
      <c r="B324" s="9">
        <v>245180.0</v>
      </c>
      <c r="C324" s="24">
        <v>4.176266416510319</v>
      </c>
      <c r="D324" s="7" t="s">
        <v>725</v>
      </c>
      <c r="E324" s="7" t="s">
        <v>3956</v>
      </c>
      <c r="F324" s="7" t="s">
        <v>1230</v>
      </c>
      <c r="G324" s="15"/>
      <c r="H324" s="15"/>
      <c r="I324" s="14"/>
      <c r="L324" s="25"/>
    </row>
    <row r="325" ht="18.75" customHeight="1">
      <c r="A325" s="7" t="s">
        <v>1137</v>
      </c>
      <c r="B325" s="9">
        <v>625502.0</v>
      </c>
      <c r="C325" s="24">
        <v>1.5949397443973001</v>
      </c>
      <c r="D325" s="7" t="s">
        <v>417</v>
      </c>
      <c r="E325" s="7" t="s">
        <v>3969</v>
      </c>
      <c r="F325" s="7" t="s">
        <v>1138</v>
      </c>
      <c r="G325" s="15"/>
      <c r="H325" s="15"/>
      <c r="I325" s="14"/>
      <c r="L325" s="25"/>
    </row>
    <row r="326" ht="18.75" customHeight="1">
      <c r="A326" s="7" t="s">
        <v>1227</v>
      </c>
      <c r="B326" s="9">
        <v>349621.0</v>
      </c>
      <c r="C326" s="24">
        <v>1.5144513630474141</v>
      </c>
      <c r="D326" s="7" t="s">
        <v>365</v>
      </c>
      <c r="E326" s="7" t="s">
        <v>3924</v>
      </c>
      <c r="F326" s="7" t="s">
        <v>1228</v>
      </c>
      <c r="G326" s="15"/>
      <c r="H326" s="15"/>
      <c r="I326" s="14"/>
      <c r="L326" s="25"/>
    </row>
    <row r="327" ht="18.75" customHeight="1">
      <c r="A327" s="7" t="s">
        <v>1205</v>
      </c>
      <c r="B327" s="9">
        <v>33010.0</v>
      </c>
      <c r="C327" s="24">
        <v>1.1153589821266283</v>
      </c>
      <c r="D327" s="7" t="s">
        <v>365</v>
      </c>
      <c r="E327" s="7" t="s">
        <v>3934</v>
      </c>
      <c r="F327" s="7" t="s">
        <v>1206</v>
      </c>
      <c r="G327" s="15"/>
      <c r="H327" s="15"/>
      <c r="I327" s="14"/>
      <c r="L327" s="25"/>
    </row>
    <row r="328" ht="18.75" customHeight="1">
      <c r="A328" s="7" t="s">
        <v>1231</v>
      </c>
      <c r="B328" s="9">
        <v>54520.0</v>
      </c>
      <c r="C328" s="24">
        <v>1.4723037417461482</v>
      </c>
      <c r="D328" s="7" t="s">
        <v>365</v>
      </c>
      <c r="E328" s="7" t="s">
        <v>3924</v>
      </c>
      <c r="F328" s="7" t="s">
        <v>1232</v>
      </c>
      <c r="G328" s="15"/>
      <c r="H328" s="15"/>
      <c r="I328" s="14"/>
      <c r="L328" s="25"/>
    </row>
    <row r="329" ht="18.75" customHeight="1">
      <c r="A329" s="7" t="s">
        <v>882</v>
      </c>
      <c r="B329" s="9">
        <v>55082.0</v>
      </c>
      <c r="C329" s="24">
        <v>2.1782251915326243</v>
      </c>
      <c r="D329" s="7" t="s">
        <v>365</v>
      </c>
      <c r="E329" s="7" t="s">
        <v>3973</v>
      </c>
      <c r="F329" s="7" t="s">
        <v>883</v>
      </c>
      <c r="G329" s="15"/>
      <c r="H329" s="15"/>
      <c r="I329" s="14"/>
      <c r="L329" s="25"/>
    </row>
    <row r="330" ht="18.75" customHeight="1">
      <c r="A330" s="7" t="s">
        <v>1239</v>
      </c>
      <c r="B330" s="9">
        <v>118296.0</v>
      </c>
      <c r="C330" s="24">
        <v>1.5533576790424022</v>
      </c>
      <c r="D330" s="7" t="s">
        <v>365</v>
      </c>
      <c r="E330" s="7" t="s">
        <v>3924</v>
      </c>
      <c r="F330" s="7" t="s">
        <v>1240</v>
      </c>
      <c r="G330" s="15"/>
      <c r="H330" s="15"/>
      <c r="I330" s="14"/>
      <c r="L330" s="25"/>
    </row>
    <row r="331" ht="18.75" customHeight="1">
      <c r="A331" s="7" t="s">
        <v>1241</v>
      </c>
      <c r="B331" s="9">
        <v>280559.0</v>
      </c>
      <c r="C331" s="24">
        <v>1.4355768305418826</v>
      </c>
      <c r="D331" s="7" t="s">
        <v>365</v>
      </c>
      <c r="E331" s="7" t="s">
        <v>3924</v>
      </c>
      <c r="F331" s="7" t="s">
        <v>1242</v>
      </c>
      <c r="G331" s="15"/>
      <c r="H331" s="15"/>
      <c r="I331" s="14"/>
      <c r="L331" s="25"/>
    </row>
    <row r="332" ht="18.75" customHeight="1">
      <c r="A332" s="7" t="s">
        <v>1145</v>
      </c>
      <c r="B332" s="9">
        <v>783344.0</v>
      </c>
      <c r="C332" s="24">
        <v>2.120254958230356</v>
      </c>
      <c r="D332" s="7" t="s">
        <v>378</v>
      </c>
      <c r="E332" s="7" t="s">
        <v>3950</v>
      </c>
      <c r="F332" s="7" t="s">
        <v>1146</v>
      </c>
      <c r="G332" s="15"/>
      <c r="H332" s="15"/>
      <c r="I332" s="14"/>
      <c r="L332" s="25"/>
    </row>
    <row r="333" ht="18.75" customHeight="1">
      <c r="A333" s="7" t="s">
        <v>1249</v>
      </c>
      <c r="B333" s="9">
        <v>104370.0</v>
      </c>
      <c r="C333" s="24">
        <v>1.54699626329405</v>
      </c>
      <c r="D333" s="7" t="s">
        <v>387</v>
      </c>
      <c r="E333" s="7" t="s">
        <v>3948</v>
      </c>
      <c r="F333" s="7" t="s">
        <v>1250</v>
      </c>
      <c r="G333" s="15"/>
      <c r="H333" s="15"/>
      <c r="I333" s="14"/>
      <c r="L333" s="25"/>
    </row>
    <row r="334" ht="18.75" customHeight="1">
      <c r="A334" s="7" t="s">
        <v>1265</v>
      </c>
      <c r="B334" s="9">
        <v>153243.0</v>
      </c>
      <c r="C334" s="24">
        <v>13.301821290368892</v>
      </c>
      <c r="D334" s="7" t="s">
        <v>783</v>
      </c>
      <c r="E334" s="14"/>
      <c r="F334" s="7" t="s">
        <v>1266</v>
      </c>
      <c r="G334" s="15"/>
      <c r="H334" s="15"/>
      <c r="I334" s="14"/>
      <c r="L334" s="25"/>
    </row>
    <row r="335" ht="18.75" customHeight="1">
      <c r="A335" s="7" t="s">
        <v>1271</v>
      </c>
      <c r="B335" s="9">
        <v>106845.0</v>
      </c>
      <c r="C335" s="24">
        <v>1.6701389863821423</v>
      </c>
      <c r="D335" s="7" t="s">
        <v>378</v>
      </c>
      <c r="E335" s="7" t="s">
        <v>3952</v>
      </c>
      <c r="F335" s="7" t="s">
        <v>1272</v>
      </c>
      <c r="G335" s="15"/>
      <c r="H335" s="15"/>
      <c r="I335" s="14"/>
      <c r="L335" s="25"/>
    </row>
    <row r="336" ht="18.75" customHeight="1">
      <c r="A336" s="7" t="s">
        <v>1251</v>
      </c>
      <c r="B336" s="9">
        <v>49353.0</v>
      </c>
      <c r="C336" s="24">
        <v>1.6543472534597694</v>
      </c>
      <c r="D336" s="7" t="s">
        <v>594</v>
      </c>
      <c r="E336" s="7" t="s">
        <v>3942</v>
      </c>
      <c r="F336" s="7" t="s">
        <v>1252</v>
      </c>
      <c r="G336" s="15"/>
      <c r="H336" s="15"/>
      <c r="I336" s="14"/>
      <c r="L336" s="25"/>
    </row>
    <row r="337" ht="18.75" customHeight="1">
      <c r="A337" s="7" t="s">
        <v>1289</v>
      </c>
      <c r="B337" s="9">
        <v>745285.0</v>
      </c>
      <c r="C337" s="24">
        <v>2.422332396331605</v>
      </c>
      <c r="D337" s="7" t="s">
        <v>365</v>
      </c>
      <c r="E337" s="7" t="s">
        <v>3932</v>
      </c>
      <c r="F337" s="7" t="s">
        <v>1290</v>
      </c>
      <c r="G337" s="15"/>
      <c r="H337" s="15"/>
      <c r="I337" s="14"/>
      <c r="L337" s="25"/>
    </row>
    <row r="338" ht="18.75" customHeight="1">
      <c r="A338" s="7" t="s">
        <v>1155</v>
      </c>
      <c r="B338" s="9">
        <v>4696959.0</v>
      </c>
      <c r="C338" s="24">
        <v>3.397810583400877</v>
      </c>
      <c r="D338" s="7" t="s">
        <v>359</v>
      </c>
      <c r="E338" s="7" t="s">
        <v>3974</v>
      </c>
      <c r="F338" s="7" t="s">
        <v>1156</v>
      </c>
      <c r="G338" s="15"/>
      <c r="H338" s="15"/>
      <c r="I338" s="14"/>
      <c r="L338" s="25"/>
    </row>
    <row r="339" ht="18.75" customHeight="1">
      <c r="A339" s="7" t="s">
        <v>1245</v>
      </c>
      <c r="B339" s="9">
        <v>97790.0</v>
      </c>
      <c r="C339" s="24">
        <v>5.029225892218018</v>
      </c>
      <c r="D339" s="7" t="s">
        <v>783</v>
      </c>
      <c r="E339" s="7" t="s">
        <v>3959</v>
      </c>
      <c r="F339" s="7" t="s">
        <v>1246</v>
      </c>
      <c r="G339" s="15"/>
      <c r="H339" s="15"/>
      <c r="I339" s="14"/>
      <c r="L339" s="25"/>
    </row>
    <row r="340" ht="18.75" customHeight="1">
      <c r="A340" s="7" t="s">
        <v>1247</v>
      </c>
      <c r="B340" s="9">
        <v>98609.0</v>
      </c>
      <c r="C340" s="24">
        <v>1.5251650457868957</v>
      </c>
      <c r="D340" s="7" t="s">
        <v>365</v>
      </c>
      <c r="E340" s="7" t="s">
        <v>3954</v>
      </c>
      <c r="F340" s="7" t="s">
        <v>1248</v>
      </c>
      <c r="G340" s="15"/>
      <c r="H340" s="15"/>
      <c r="I340" s="14"/>
      <c r="L340" s="25"/>
    </row>
    <row r="341" ht="18.75" customHeight="1">
      <c r="A341" s="7" t="s">
        <v>3753</v>
      </c>
      <c r="B341" s="9">
        <v>228342.0</v>
      </c>
      <c r="C341" s="24">
        <v>0.4736447959639488</v>
      </c>
      <c r="D341" s="7" t="s">
        <v>354</v>
      </c>
      <c r="E341" s="7" t="s">
        <v>3949</v>
      </c>
      <c r="F341" s="7" t="s">
        <v>3894</v>
      </c>
      <c r="G341" s="15"/>
      <c r="H341" s="15"/>
      <c r="I341" s="14"/>
      <c r="L341" s="25"/>
    </row>
    <row r="342" ht="18.75" customHeight="1">
      <c r="A342" s="7" t="s">
        <v>1255</v>
      </c>
      <c r="B342" s="9">
        <v>97096.0</v>
      </c>
      <c r="C342" s="24">
        <v>3.3005376122600314</v>
      </c>
      <c r="D342" s="7" t="s">
        <v>667</v>
      </c>
      <c r="E342" s="7" t="s">
        <v>3951</v>
      </c>
      <c r="F342" s="7" t="s">
        <v>1256</v>
      </c>
      <c r="G342" s="15"/>
      <c r="H342" s="15"/>
      <c r="I342" s="14"/>
      <c r="L342" s="25"/>
    </row>
    <row r="343" ht="18.75" customHeight="1">
      <c r="A343" s="7" t="s">
        <v>1281</v>
      </c>
      <c r="B343" s="9">
        <v>97096.0</v>
      </c>
      <c r="C343" s="24">
        <v>1.5191459998352146</v>
      </c>
      <c r="D343" s="7" t="s">
        <v>725</v>
      </c>
      <c r="E343" s="7" t="s">
        <v>3956</v>
      </c>
      <c r="F343" s="7" t="s">
        <v>1282</v>
      </c>
      <c r="G343" s="15"/>
      <c r="H343" s="15"/>
      <c r="I343" s="14"/>
      <c r="L343" s="25"/>
    </row>
    <row r="344" ht="18.75" customHeight="1">
      <c r="A344" s="7" t="s">
        <v>1243</v>
      </c>
      <c r="B344" s="9">
        <v>835680.0</v>
      </c>
      <c r="C344" s="24">
        <v>1.9084470132107985</v>
      </c>
      <c r="D344" s="7" t="s">
        <v>466</v>
      </c>
      <c r="E344" s="7" t="s">
        <v>3931</v>
      </c>
      <c r="F344" s="7" t="s">
        <v>1244</v>
      </c>
      <c r="G344" s="15"/>
      <c r="H344" s="15"/>
      <c r="I344" s="14"/>
      <c r="L344" s="25"/>
    </row>
    <row r="345" ht="18.75" customHeight="1">
      <c r="A345" s="7" t="s">
        <v>1183</v>
      </c>
      <c r="B345" s="9">
        <v>149953.0</v>
      </c>
      <c r="C345" s="24">
        <v>2.475402292718385</v>
      </c>
      <c r="D345" s="7" t="s">
        <v>417</v>
      </c>
      <c r="E345" s="7" t="s">
        <v>3926</v>
      </c>
      <c r="F345" s="7" t="s">
        <v>1184</v>
      </c>
      <c r="G345" s="15"/>
      <c r="H345" s="15"/>
      <c r="I345" s="14"/>
      <c r="L345" s="25"/>
    </row>
    <row r="346" ht="18.75" customHeight="1">
      <c r="A346" s="7" t="s">
        <v>1295</v>
      </c>
      <c r="B346" s="9">
        <v>14854.0</v>
      </c>
      <c r="C346" s="24">
        <v>2.4525380368924194</v>
      </c>
      <c r="D346" s="7" t="s">
        <v>365</v>
      </c>
      <c r="E346" s="7" t="s">
        <v>3934</v>
      </c>
      <c r="F346" s="7" t="s">
        <v>1296</v>
      </c>
      <c r="G346" s="15"/>
      <c r="H346" s="15"/>
      <c r="I346" s="14"/>
      <c r="L346" s="25"/>
    </row>
    <row r="347" ht="18.75" customHeight="1">
      <c r="A347" s="7" t="s">
        <v>1293</v>
      </c>
      <c r="B347" s="9">
        <v>381381.0</v>
      </c>
      <c r="C347" s="24">
        <v>3.425490519978709</v>
      </c>
      <c r="D347" s="7" t="s">
        <v>365</v>
      </c>
      <c r="E347" s="7" t="s">
        <v>3934</v>
      </c>
      <c r="F347" s="7" t="s">
        <v>1294</v>
      </c>
      <c r="G347" s="15"/>
      <c r="H347" s="15"/>
      <c r="I347" s="14"/>
      <c r="L347" s="25"/>
    </row>
    <row r="348" ht="18.75" customHeight="1">
      <c r="A348" s="7" t="s">
        <v>1267</v>
      </c>
      <c r="B348" s="9">
        <v>364289.0</v>
      </c>
      <c r="C348" s="24">
        <v>0.9161297760843726</v>
      </c>
      <c r="D348" s="7" t="s">
        <v>417</v>
      </c>
      <c r="E348" s="7" t="s">
        <v>3969</v>
      </c>
      <c r="F348" s="7" t="s">
        <v>1268</v>
      </c>
      <c r="G348" s="15"/>
      <c r="H348" s="15"/>
      <c r="I348" s="14"/>
      <c r="L348" s="25"/>
    </row>
    <row r="349" ht="18.75" customHeight="1">
      <c r="A349" s="7" t="s">
        <v>1299</v>
      </c>
      <c r="B349" s="9">
        <v>1616763.0</v>
      </c>
      <c r="C349" s="24">
        <v>2.1508984310007095</v>
      </c>
      <c r="D349" s="7" t="s">
        <v>688</v>
      </c>
      <c r="E349" s="14"/>
      <c r="F349" s="7" t="s">
        <v>1300</v>
      </c>
      <c r="G349" s="15"/>
      <c r="H349" s="15"/>
      <c r="I349" s="14"/>
      <c r="L349" s="25"/>
    </row>
    <row r="350" ht="18.75" customHeight="1">
      <c r="A350" s="7" t="s">
        <v>1135</v>
      </c>
      <c r="B350" s="9">
        <v>1302678.0</v>
      </c>
      <c r="C350" s="24">
        <v>3.423972002290666</v>
      </c>
      <c r="D350" s="7" t="s">
        <v>667</v>
      </c>
      <c r="E350" s="14"/>
      <c r="F350" s="7" t="s">
        <v>1136</v>
      </c>
      <c r="G350" s="15"/>
      <c r="H350" s="15"/>
      <c r="I350" s="14"/>
      <c r="L350" s="25"/>
    </row>
    <row r="351" ht="18.75" customHeight="1">
      <c r="A351" s="7" t="s">
        <v>3754</v>
      </c>
      <c r="B351" s="9">
        <v>52679.0</v>
      </c>
      <c r="C351" s="24">
        <v>0.8433531388219214</v>
      </c>
      <c r="D351" s="7" t="s">
        <v>417</v>
      </c>
      <c r="E351" s="7" t="s">
        <v>3926</v>
      </c>
      <c r="F351" s="7" t="s">
        <v>3895</v>
      </c>
      <c r="G351" s="15"/>
      <c r="H351" s="15"/>
      <c r="I351" s="14"/>
      <c r="L351" s="25"/>
    </row>
    <row r="352" ht="18.75" customHeight="1">
      <c r="A352" s="7" t="s">
        <v>1261</v>
      </c>
      <c r="B352" s="9">
        <v>14933.0</v>
      </c>
      <c r="C352" s="24">
        <v>8.251322574164602</v>
      </c>
      <c r="D352" s="7" t="s">
        <v>466</v>
      </c>
      <c r="E352" s="7" t="s">
        <v>3946</v>
      </c>
      <c r="F352" s="7" t="s">
        <v>1262</v>
      </c>
      <c r="G352" s="15"/>
      <c r="H352" s="15"/>
      <c r="I352" s="14"/>
      <c r="L352" s="25"/>
    </row>
    <row r="353" ht="18.75" customHeight="1">
      <c r="A353" s="7" t="s">
        <v>1259</v>
      </c>
      <c r="B353" s="9">
        <v>81866.0</v>
      </c>
      <c r="C353" s="24">
        <v>1.2999047223511593</v>
      </c>
      <c r="D353" s="7" t="s">
        <v>466</v>
      </c>
      <c r="E353" s="7" t="s">
        <v>3945</v>
      </c>
      <c r="F353" s="7" t="s">
        <v>1260</v>
      </c>
      <c r="G353" s="15"/>
      <c r="H353" s="15"/>
      <c r="I353" s="14"/>
      <c r="L353" s="25"/>
    </row>
    <row r="354" ht="18.75" customHeight="1">
      <c r="A354" s="7" t="s">
        <v>1257</v>
      </c>
      <c r="B354" s="9">
        <v>257363.0</v>
      </c>
      <c r="C354" s="24">
        <v>0.07521671724373745</v>
      </c>
      <c r="D354" s="7" t="s">
        <v>466</v>
      </c>
      <c r="E354" s="7" t="s">
        <v>3944</v>
      </c>
      <c r="F354" s="7" t="s">
        <v>1258</v>
      </c>
      <c r="G354" s="15"/>
      <c r="H354" s="15"/>
      <c r="I354" s="14"/>
      <c r="L354" s="25"/>
    </row>
    <row r="355" ht="18.75" customHeight="1">
      <c r="A355" s="7" t="s">
        <v>1263</v>
      </c>
      <c r="B355" s="9">
        <v>44608.0</v>
      </c>
      <c r="C355" s="24">
        <v>3.015086979913917</v>
      </c>
      <c r="D355" s="7" t="s">
        <v>466</v>
      </c>
      <c r="E355" s="7" t="s">
        <v>3975</v>
      </c>
      <c r="F355" s="7" t="s">
        <v>1264</v>
      </c>
      <c r="G355" s="15"/>
      <c r="H355" s="15"/>
      <c r="I355" s="14"/>
      <c r="L355" s="25"/>
    </row>
    <row r="356" ht="18.75" customHeight="1">
      <c r="A356" s="7" t="s">
        <v>1129</v>
      </c>
      <c r="B356" s="9">
        <v>668949.0</v>
      </c>
      <c r="C356" s="24">
        <v>2.9188667596483437</v>
      </c>
      <c r="D356" s="7" t="s">
        <v>365</v>
      </c>
      <c r="E356" s="7" t="s">
        <v>3958</v>
      </c>
      <c r="F356" s="7" t="s">
        <v>1130</v>
      </c>
      <c r="G356" s="15"/>
      <c r="H356" s="15"/>
      <c r="I356" s="14"/>
      <c r="L356" s="25"/>
    </row>
    <row r="357" ht="18.75" customHeight="1">
      <c r="A357" s="7" t="s">
        <v>1253</v>
      </c>
      <c r="B357" s="9">
        <v>55499.0</v>
      </c>
      <c r="C357" s="24">
        <v>1.7341934088902502</v>
      </c>
      <c r="D357" s="7" t="s">
        <v>594</v>
      </c>
      <c r="E357" s="7" t="s">
        <v>3942</v>
      </c>
      <c r="F357" s="7" t="s">
        <v>1254</v>
      </c>
      <c r="G357" s="15"/>
      <c r="H357" s="15"/>
      <c r="I357" s="14"/>
      <c r="L357" s="25"/>
    </row>
    <row r="358" ht="18.75" customHeight="1">
      <c r="A358" s="7" t="s">
        <v>1201</v>
      </c>
      <c r="B358" s="9">
        <v>605662.0</v>
      </c>
      <c r="C358" s="24">
        <v>4.08729951689226</v>
      </c>
      <c r="D358" s="7" t="s">
        <v>365</v>
      </c>
      <c r="E358" s="7" t="s">
        <v>3924</v>
      </c>
      <c r="F358" s="7" t="s">
        <v>1202</v>
      </c>
      <c r="G358" s="15"/>
      <c r="H358" s="15"/>
      <c r="I358" s="14"/>
      <c r="L358" s="25"/>
    </row>
    <row r="359" ht="18.75" customHeight="1">
      <c r="A359" s="7" t="s">
        <v>1297</v>
      </c>
      <c r="B359" s="9">
        <v>423241.0</v>
      </c>
      <c r="C359" s="24">
        <v>2.3441750681054057</v>
      </c>
      <c r="D359" s="7" t="s">
        <v>405</v>
      </c>
      <c r="E359" s="14"/>
      <c r="F359" s="7" t="s">
        <v>1298</v>
      </c>
      <c r="G359" s="15"/>
      <c r="H359" s="15"/>
      <c r="I359" s="14"/>
      <c r="L359" s="25"/>
    </row>
    <row r="360" ht="18.75" customHeight="1">
      <c r="A360" s="7" t="s">
        <v>1193</v>
      </c>
      <c r="B360" s="9">
        <v>415608.0</v>
      </c>
      <c r="C360" s="24">
        <v>3.3299768050663126</v>
      </c>
      <c r="D360" s="7" t="s">
        <v>378</v>
      </c>
      <c r="E360" s="7" t="s">
        <v>3950</v>
      </c>
      <c r="F360" s="7" t="s">
        <v>1194</v>
      </c>
      <c r="G360" s="15"/>
      <c r="H360" s="15"/>
      <c r="I360" s="14"/>
      <c r="L360" s="25"/>
    </row>
    <row r="361" ht="18.75" customHeight="1">
      <c r="A361" s="7" t="s">
        <v>1313</v>
      </c>
      <c r="B361" s="9">
        <v>1126189.0</v>
      </c>
      <c r="C361" s="24">
        <v>1.7502381927012252</v>
      </c>
      <c r="D361" s="7" t="s">
        <v>430</v>
      </c>
      <c r="E361" s="7" t="s">
        <v>3965</v>
      </c>
      <c r="F361" s="7" t="s">
        <v>1314</v>
      </c>
      <c r="G361" s="15"/>
      <c r="H361" s="15"/>
      <c r="I361" s="14"/>
      <c r="L361" s="25"/>
    </row>
    <row r="362" ht="18.75" customHeight="1">
      <c r="A362" s="7" t="s">
        <v>1195</v>
      </c>
      <c r="B362" s="9">
        <v>55991.0</v>
      </c>
      <c r="C362" s="24">
        <v>2.5555892911360756</v>
      </c>
      <c r="D362" s="7" t="s">
        <v>365</v>
      </c>
      <c r="E362" s="7" t="s">
        <v>3938</v>
      </c>
      <c r="F362" s="7" t="s">
        <v>1196</v>
      </c>
      <c r="G362" s="15"/>
      <c r="H362" s="15"/>
      <c r="I362" s="14"/>
      <c r="L362" s="25"/>
    </row>
    <row r="363" ht="18.75" customHeight="1">
      <c r="A363" s="7" t="s">
        <v>1315</v>
      </c>
      <c r="B363" s="9">
        <v>747158.0</v>
      </c>
      <c r="C363" s="24">
        <v>1.5163646778860695</v>
      </c>
      <c r="D363" s="7" t="s">
        <v>725</v>
      </c>
      <c r="E363" s="7" t="s">
        <v>3956</v>
      </c>
      <c r="F363" s="7" t="s">
        <v>1316</v>
      </c>
      <c r="G363" s="15"/>
      <c r="H363" s="15"/>
      <c r="I363" s="14"/>
      <c r="L363" s="25"/>
    </row>
    <row r="364" ht="18.75" customHeight="1">
      <c r="A364" s="7" t="s">
        <v>1185</v>
      </c>
      <c r="B364" s="9">
        <v>224326.0</v>
      </c>
      <c r="C364" s="24">
        <v>2.8755739414958588</v>
      </c>
      <c r="D364" s="7" t="s">
        <v>417</v>
      </c>
      <c r="E364" s="7" t="s">
        <v>3966</v>
      </c>
      <c r="F364" s="7" t="s">
        <v>1186</v>
      </c>
      <c r="G364" s="15"/>
      <c r="H364" s="15"/>
      <c r="I364" s="14"/>
      <c r="L364" s="25"/>
    </row>
    <row r="365" ht="18.75" customHeight="1">
      <c r="A365" s="7" t="s">
        <v>1131</v>
      </c>
      <c r="B365" s="9">
        <v>892184.0</v>
      </c>
      <c r="C365" s="24">
        <v>8.52846161778288</v>
      </c>
      <c r="D365" s="7" t="s">
        <v>760</v>
      </c>
      <c r="E365" s="14"/>
      <c r="F365" s="7" t="s">
        <v>1132</v>
      </c>
      <c r="G365" s="15"/>
      <c r="H365" s="15"/>
      <c r="I365" s="14"/>
      <c r="L365" s="25"/>
    </row>
    <row r="366" ht="18.75" customHeight="1">
      <c r="A366" s="7" t="s">
        <v>1223</v>
      </c>
      <c r="B366" s="9">
        <v>482780.0</v>
      </c>
      <c r="C366" s="24">
        <v>3.360215833298811</v>
      </c>
      <c r="D366" s="7" t="s">
        <v>378</v>
      </c>
      <c r="E366" s="7" t="s">
        <v>3950</v>
      </c>
      <c r="F366" s="7" t="s">
        <v>1224</v>
      </c>
      <c r="G366" s="15"/>
      <c r="H366" s="15"/>
      <c r="I366" s="14"/>
      <c r="L366" s="25"/>
    </row>
    <row r="367" ht="18.75" customHeight="1">
      <c r="A367" s="7" t="e">
        <v>#N/A</v>
      </c>
      <c r="B367" s="9">
        <v>567746.0</v>
      </c>
      <c r="C367" s="24">
        <v>0.0</v>
      </c>
      <c r="D367" s="7" t="e">
        <v>#N/A</v>
      </c>
      <c r="E367" s="7" t="e">
        <v>#N/A</v>
      </c>
      <c r="F367" s="7" t="e">
        <v>#N/A</v>
      </c>
      <c r="G367" s="15"/>
      <c r="H367" s="15"/>
      <c r="I367" s="14"/>
      <c r="L367" s="25"/>
    </row>
    <row r="368" ht="18.75" customHeight="1">
      <c r="A368" s="7" t="s">
        <v>1233</v>
      </c>
      <c r="B368" s="9">
        <v>419090.0</v>
      </c>
      <c r="C368" s="24">
        <v>1.3413109355985589</v>
      </c>
      <c r="D368" s="7" t="s">
        <v>405</v>
      </c>
      <c r="E368" s="14"/>
      <c r="F368" s="7" t="s">
        <v>1234</v>
      </c>
      <c r="G368" s="15"/>
      <c r="H368" s="15"/>
      <c r="I368" s="14"/>
      <c r="L368" s="25"/>
    </row>
    <row r="369" ht="18.75" customHeight="1">
      <c r="A369" s="7" t="s">
        <v>1265</v>
      </c>
      <c r="B369" s="9">
        <v>191457.0</v>
      </c>
      <c r="C369" s="24">
        <v>10.64683453725902</v>
      </c>
      <c r="D369" s="7" t="s">
        <v>783</v>
      </c>
      <c r="E369" s="14"/>
      <c r="F369" s="7" t="s">
        <v>1266</v>
      </c>
      <c r="G369" s="15"/>
      <c r="H369" s="15"/>
      <c r="I369" s="14"/>
      <c r="L369" s="25"/>
    </row>
    <row r="370" ht="18.75" customHeight="1">
      <c r="A370" s="7" t="s">
        <v>1307</v>
      </c>
      <c r="B370" s="9">
        <v>265810.0</v>
      </c>
      <c r="C370" s="24">
        <v>6.076287573830932</v>
      </c>
      <c r="D370" s="7" t="s">
        <v>417</v>
      </c>
      <c r="E370" s="7" t="s">
        <v>3976</v>
      </c>
      <c r="F370" s="7" t="s">
        <v>1308</v>
      </c>
      <c r="G370" s="15"/>
      <c r="H370" s="15"/>
      <c r="I370" s="14"/>
      <c r="L370" s="25"/>
    </row>
    <row r="371" ht="18.75" customHeight="1">
      <c r="A371" s="7" t="s">
        <v>1077</v>
      </c>
      <c r="B371" s="9">
        <v>678481.0</v>
      </c>
      <c r="C371" s="24">
        <v>1.96719878670147</v>
      </c>
      <c r="D371" s="7" t="s">
        <v>378</v>
      </c>
      <c r="E371" s="14"/>
      <c r="F371" s="7" t="s">
        <v>1078</v>
      </c>
      <c r="G371" s="15"/>
      <c r="H371" s="15"/>
      <c r="I371" s="14"/>
      <c r="L371" s="25"/>
    </row>
    <row r="372" ht="18.75" customHeight="1">
      <c r="A372" s="7" t="s">
        <v>1187</v>
      </c>
      <c r="B372" s="9">
        <v>167481.0</v>
      </c>
      <c r="C372" s="24">
        <v>2.993718690478323</v>
      </c>
      <c r="D372" s="7" t="s">
        <v>417</v>
      </c>
      <c r="E372" s="7" t="s">
        <v>3969</v>
      </c>
      <c r="F372" s="7" t="s">
        <v>1188</v>
      </c>
      <c r="G372" s="15"/>
      <c r="H372" s="15"/>
      <c r="I372" s="14"/>
      <c r="L372" s="25"/>
    </row>
    <row r="373" ht="18.75" customHeight="1">
      <c r="A373" s="7" t="s">
        <v>1333</v>
      </c>
      <c r="B373" s="9">
        <v>24380.0</v>
      </c>
      <c r="C373" s="24">
        <v>4.03273174733388</v>
      </c>
      <c r="D373" s="7" t="s">
        <v>594</v>
      </c>
      <c r="E373" s="7" t="s">
        <v>3942</v>
      </c>
      <c r="F373" s="7" t="s">
        <v>1334</v>
      </c>
      <c r="G373" s="15"/>
      <c r="H373" s="15"/>
      <c r="I373" s="14"/>
      <c r="L373" s="25"/>
    </row>
    <row r="374" ht="18.75" customHeight="1">
      <c r="A374" s="7" t="s">
        <v>1335</v>
      </c>
      <c r="B374" s="12"/>
      <c r="C374" s="24">
        <v>0.0</v>
      </c>
      <c r="D374" s="7" t="s">
        <v>594</v>
      </c>
      <c r="E374" s="7" t="s">
        <v>3942</v>
      </c>
      <c r="F374" s="7" t="s">
        <v>1336</v>
      </c>
      <c r="G374" s="15"/>
      <c r="H374" s="15"/>
      <c r="I374" s="14"/>
      <c r="L374" s="25"/>
    </row>
    <row r="375" ht="18.75" customHeight="1">
      <c r="A375" s="7" t="s">
        <v>1337</v>
      </c>
      <c r="B375" s="9">
        <v>26063.0</v>
      </c>
      <c r="C375" s="24">
        <v>5.386716801596132</v>
      </c>
      <c r="D375" s="7" t="s">
        <v>378</v>
      </c>
      <c r="E375" s="7" t="s">
        <v>3947</v>
      </c>
      <c r="F375" s="7" t="s">
        <v>1338</v>
      </c>
      <c r="G375" s="15"/>
      <c r="H375" s="15"/>
      <c r="I375" s="14"/>
      <c r="L375" s="25"/>
    </row>
    <row r="376" ht="18.75" customHeight="1">
      <c r="A376" s="7" t="s">
        <v>1311</v>
      </c>
      <c r="B376" s="9">
        <v>3741.0</v>
      </c>
      <c r="C376" s="24">
        <v>4.8706228281208235</v>
      </c>
      <c r="D376" s="7" t="s">
        <v>365</v>
      </c>
      <c r="E376" s="7" t="s">
        <v>3924</v>
      </c>
      <c r="F376" s="7" t="s">
        <v>1312</v>
      </c>
      <c r="G376" s="15"/>
      <c r="H376" s="15"/>
      <c r="I376" s="14"/>
      <c r="L376" s="25"/>
    </row>
    <row r="377" ht="18.75" customHeight="1">
      <c r="A377" s="7" t="s">
        <v>1339</v>
      </c>
      <c r="B377" s="9">
        <v>21664.0</v>
      </c>
      <c r="C377" s="24">
        <v>6.579348227474151</v>
      </c>
      <c r="D377" s="7" t="s">
        <v>354</v>
      </c>
      <c r="E377" s="7" t="s">
        <v>3949</v>
      </c>
      <c r="F377" s="7" t="s">
        <v>1340</v>
      </c>
      <c r="G377" s="15"/>
      <c r="H377" s="15"/>
      <c r="I377" s="14"/>
      <c r="L377" s="25"/>
    </row>
    <row r="378" ht="18.75" customHeight="1">
      <c r="A378" s="7" t="s">
        <v>1331</v>
      </c>
      <c r="B378" s="9">
        <v>26323.0</v>
      </c>
      <c r="C378" s="24">
        <v>4.794438323899252</v>
      </c>
      <c r="D378" s="7" t="s">
        <v>359</v>
      </c>
      <c r="E378" s="7" t="s">
        <v>3941</v>
      </c>
      <c r="F378" s="7" t="s">
        <v>1332</v>
      </c>
      <c r="G378" s="15"/>
      <c r="H378" s="15"/>
      <c r="I378" s="14"/>
      <c r="L378" s="25"/>
    </row>
    <row r="379" ht="18.75" customHeight="1">
      <c r="A379" s="7" t="s">
        <v>1345</v>
      </c>
      <c r="B379" s="9">
        <v>8293.0</v>
      </c>
      <c r="C379" s="24">
        <v>26.173158085132037</v>
      </c>
      <c r="D379" s="7" t="s">
        <v>417</v>
      </c>
      <c r="E379" s="7" t="s">
        <v>3969</v>
      </c>
      <c r="F379" s="7" t="s">
        <v>1346</v>
      </c>
      <c r="G379" s="15"/>
      <c r="H379" s="15"/>
      <c r="I379" s="14"/>
      <c r="L379" s="25"/>
    </row>
    <row r="380" ht="18.75" customHeight="1">
      <c r="A380" s="7" t="s">
        <v>1305</v>
      </c>
      <c r="B380" s="9">
        <v>658825.0</v>
      </c>
      <c r="C380" s="24">
        <v>1.8992828141008613</v>
      </c>
      <c r="D380" s="7" t="s">
        <v>378</v>
      </c>
      <c r="E380" s="7" t="s">
        <v>3940</v>
      </c>
      <c r="F380" s="7" t="s">
        <v>1306</v>
      </c>
      <c r="G380" s="15"/>
      <c r="H380" s="15"/>
      <c r="I380" s="14"/>
      <c r="L380" s="25"/>
    </row>
    <row r="381" ht="18.75" customHeight="1">
      <c r="A381" s="7" t="s">
        <v>1349</v>
      </c>
      <c r="B381" s="12"/>
      <c r="C381" s="24">
        <v>0.0</v>
      </c>
      <c r="D381" s="7" t="s">
        <v>365</v>
      </c>
      <c r="E381" s="7" t="s">
        <v>3924</v>
      </c>
      <c r="F381" s="7" t="s">
        <v>1350</v>
      </c>
      <c r="G381" s="15"/>
      <c r="H381" s="15"/>
      <c r="I381" s="14"/>
      <c r="L381" s="25"/>
    </row>
    <row r="382" ht="18.75" customHeight="1">
      <c r="A382" s="7" t="s">
        <v>1359</v>
      </c>
      <c r="B382" s="9">
        <v>49295.0</v>
      </c>
      <c r="C382" s="24">
        <v>1.7178415660817528</v>
      </c>
      <c r="D382" s="7" t="s">
        <v>466</v>
      </c>
      <c r="E382" s="7" t="s">
        <v>3946</v>
      </c>
      <c r="F382" s="7" t="s">
        <v>1360</v>
      </c>
      <c r="G382" s="15"/>
      <c r="H382" s="15"/>
      <c r="I382" s="14"/>
      <c r="L382" s="25"/>
    </row>
    <row r="383" ht="18.75" customHeight="1">
      <c r="A383" s="7" t="s">
        <v>1355</v>
      </c>
      <c r="B383" s="9">
        <v>54447.0</v>
      </c>
      <c r="C383" s="24">
        <v>1.6536999283707092</v>
      </c>
      <c r="D383" s="7" t="s">
        <v>466</v>
      </c>
      <c r="E383" s="7" t="s">
        <v>3945</v>
      </c>
      <c r="F383" s="7" t="s">
        <v>1356</v>
      </c>
      <c r="G383" s="15"/>
      <c r="H383" s="15"/>
      <c r="I383" s="14"/>
      <c r="L383" s="25"/>
    </row>
    <row r="384" ht="18.75" customHeight="1">
      <c r="A384" s="7" t="s">
        <v>1357</v>
      </c>
      <c r="B384" s="9">
        <v>107000.0</v>
      </c>
      <c r="C384" s="24">
        <v>1.5372616822429908</v>
      </c>
      <c r="D384" s="7" t="s">
        <v>466</v>
      </c>
      <c r="E384" s="7" t="s">
        <v>3943</v>
      </c>
      <c r="F384" s="7" t="s">
        <v>1358</v>
      </c>
      <c r="G384" s="15"/>
      <c r="H384" s="15"/>
      <c r="I384" s="14"/>
      <c r="L384" s="25"/>
    </row>
    <row r="385" ht="18.75" customHeight="1">
      <c r="A385" s="7" t="s">
        <v>1353</v>
      </c>
      <c r="B385" s="9">
        <v>66097.0</v>
      </c>
      <c r="C385" s="24">
        <v>1.602372271056175</v>
      </c>
      <c r="D385" s="7" t="s">
        <v>466</v>
      </c>
      <c r="E385" s="7" t="s">
        <v>3944</v>
      </c>
      <c r="F385" s="7" t="s">
        <v>1354</v>
      </c>
      <c r="G385" s="15"/>
      <c r="H385" s="15"/>
      <c r="I385" s="14"/>
      <c r="L385" s="25"/>
    </row>
    <row r="386" ht="18.75" customHeight="1">
      <c r="A386" s="7" t="s">
        <v>1351</v>
      </c>
      <c r="B386" s="12"/>
      <c r="C386" s="24">
        <v>0.0</v>
      </c>
      <c r="D386" s="7" t="s">
        <v>417</v>
      </c>
      <c r="E386" s="7" t="s">
        <v>3926</v>
      </c>
      <c r="F386" s="7" t="s">
        <v>1352</v>
      </c>
      <c r="G386" s="15"/>
      <c r="H386" s="15"/>
      <c r="I386" s="14"/>
      <c r="L386" s="25"/>
    </row>
    <row r="387" ht="18.75" customHeight="1">
      <c r="A387" s="7" t="s">
        <v>1149</v>
      </c>
      <c r="B387" s="9">
        <v>2674999.0</v>
      </c>
      <c r="C387" s="24">
        <v>2.86971733447377</v>
      </c>
      <c r="D387" s="7" t="s">
        <v>667</v>
      </c>
      <c r="E387" s="7" t="s">
        <v>3977</v>
      </c>
      <c r="F387" s="7" t="s">
        <v>1150</v>
      </c>
      <c r="G387" s="15"/>
      <c r="H387" s="15"/>
      <c r="I387" s="14"/>
      <c r="L387" s="25"/>
    </row>
    <row r="388" ht="18.75" customHeight="1">
      <c r="A388" s="7" t="s">
        <v>1365</v>
      </c>
      <c r="B388" s="12"/>
      <c r="C388" s="24">
        <v>0.0</v>
      </c>
      <c r="D388" s="7" t="s">
        <v>725</v>
      </c>
      <c r="E388" s="7" t="s">
        <v>3956</v>
      </c>
      <c r="F388" s="7" t="s">
        <v>1366</v>
      </c>
      <c r="G388" s="15"/>
      <c r="H388" s="15"/>
      <c r="I388" s="14"/>
      <c r="L388" s="25"/>
    </row>
    <row r="389" ht="18.75" customHeight="1">
      <c r="A389" s="7" t="s">
        <v>1267</v>
      </c>
      <c r="B389" s="9">
        <v>141119.0</v>
      </c>
      <c r="C389" s="24">
        <v>2.364926055315018</v>
      </c>
      <c r="D389" s="7" t="s">
        <v>417</v>
      </c>
      <c r="E389" s="7" t="s">
        <v>3969</v>
      </c>
      <c r="F389" s="7" t="s">
        <v>1268</v>
      </c>
      <c r="G389" s="15"/>
      <c r="H389" s="15"/>
      <c r="I389" s="14"/>
      <c r="L389" s="25"/>
    </row>
    <row r="390" ht="18.75" customHeight="1">
      <c r="A390" s="7" t="s">
        <v>1131</v>
      </c>
      <c r="B390" s="9">
        <v>967529.0</v>
      </c>
      <c r="C390" s="24">
        <v>7.864319312392704</v>
      </c>
      <c r="D390" s="7" t="s">
        <v>760</v>
      </c>
      <c r="E390" s="14"/>
      <c r="F390" s="7" t="s">
        <v>1132</v>
      </c>
      <c r="G390" s="15"/>
      <c r="H390" s="15"/>
      <c r="I390" s="14"/>
      <c r="L390" s="25"/>
    </row>
    <row r="391" ht="18.75" customHeight="1">
      <c r="A391" s="7" t="s">
        <v>1279</v>
      </c>
      <c r="B391" s="9">
        <v>297007.0</v>
      </c>
      <c r="C391" s="24">
        <v>2.004885406741255</v>
      </c>
      <c r="D391" s="7" t="s">
        <v>378</v>
      </c>
      <c r="E391" s="14"/>
      <c r="F391" s="7" t="s">
        <v>1280</v>
      </c>
      <c r="G391" s="15"/>
      <c r="H391" s="15"/>
      <c r="I391" s="14"/>
      <c r="L391" s="25"/>
    </row>
    <row r="392" ht="18.75" customHeight="1">
      <c r="A392" s="7" t="s">
        <v>1371</v>
      </c>
      <c r="B392" s="9">
        <v>1551566.0</v>
      </c>
      <c r="C392" s="24">
        <v>2.3010313451055255</v>
      </c>
      <c r="D392" s="7" t="s">
        <v>466</v>
      </c>
      <c r="E392" s="7" t="s">
        <v>3931</v>
      </c>
      <c r="F392" s="7" t="s">
        <v>1372</v>
      </c>
      <c r="G392" s="15"/>
      <c r="H392" s="15"/>
      <c r="I392" s="14"/>
      <c r="L392" s="25"/>
    </row>
    <row r="393" ht="18.75" customHeight="1">
      <c r="A393" s="7" t="s">
        <v>1131</v>
      </c>
      <c r="B393" s="9">
        <v>337227.0</v>
      </c>
      <c r="C393" s="24">
        <v>22.563308987714507</v>
      </c>
      <c r="D393" s="7" t="s">
        <v>760</v>
      </c>
      <c r="E393" s="14"/>
      <c r="F393" s="7" t="s">
        <v>1132</v>
      </c>
      <c r="G393" s="15"/>
      <c r="H393" s="15"/>
      <c r="I393" s="14"/>
      <c r="L393" s="25"/>
    </row>
    <row r="394" ht="18.75" customHeight="1">
      <c r="A394" s="7" t="s">
        <v>1369</v>
      </c>
      <c r="B394" s="9">
        <v>469522.0</v>
      </c>
      <c r="C394" s="24">
        <v>3.015560506216961</v>
      </c>
      <c r="D394" s="7" t="s">
        <v>378</v>
      </c>
      <c r="E394" s="7" t="s">
        <v>3968</v>
      </c>
      <c r="F394" s="7" t="s">
        <v>1370</v>
      </c>
      <c r="G394" s="15"/>
      <c r="H394" s="15"/>
      <c r="I394" s="14"/>
      <c r="L394" s="25"/>
    </row>
    <row r="395" ht="18.75" customHeight="1">
      <c r="A395" s="7" t="s">
        <v>991</v>
      </c>
      <c r="B395" s="9">
        <v>230300.0</v>
      </c>
      <c r="C395" s="24">
        <v>21.343673469387756</v>
      </c>
      <c r="D395" s="7" t="s">
        <v>667</v>
      </c>
      <c r="E395" s="14"/>
      <c r="F395" s="7" t="s">
        <v>992</v>
      </c>
      <c r="G395" s="15"/>
      <c r="H395" s="15"/>
      <c r="I395" s="14"/>
      <c r="L395" s="25"/>
    </row>
    <row r="396" ht="18.75" customHeight="1">
      <c r="A396" s="7" t="s">
        <v>1391</v>
      </c>
      <c r="B396" s="9">
        <v>880457.0</v>
      </c>
      <c r="C396" s="24">
        <v>2.550767385573628</v>
      </c>
      <c r="D396" s="7" t="s">
        <v>378</v>
      </c>
      <c r="E396" s="14"/>
      <c r="F396" s="7" t="s">
        <v>1392</v>
      </c>
      <c r="G396" s="15"/>
      <c r="H396" s="15"/>
      <c r="I396" s="14"/>
      <c r="L396" s="25"/>
    </row>
    <row r="397" ht="18.75" customHeight="1">
      <c r="A397" s="7" t="s">
        <v>1283</v>
      </c>
      <c r="B397" s="9">
        <v>1128627.0</v>
      </c>
      <c r="C397" s="24">
        <v>1.9437599844767137</v>
      </c>
      <c r="D397" s="7" t="s">
        <v>928</v>
      </c>
      <c r="E397" s="14"/>
      <c r="F397" s="7" t="s">
        <v>1284</v>
      </c>
      <c r="G397" s="15"/>
      <c r="H397" s="15"/>
      <c r="I397" s="14"/>
      <c r="L397" s="25"/>
    </row>
    <row r="398" ht="18.75" customHeight="1">
      <c r="A398" s="7" t="s">
        <v>1399</v>
      </c>
      <c r="B398" s="9">
        <v>276182.0</v>
      </c>
      <c r="C398" s="24">
        <v>0.6474679740171336</v>
      </c>
      <c r="D398" s="7" t="s">
        <v>417</v>
      </c>
      <c r="E398" s="7" t="s">
        <v>3969</v>
      </c>
      <c r="F398" s="7" t="s">
        <v>1400</v>
      </c>
      <c r="G398" s="15"/>
      <c r="H398" s="15"/>
      <c r="I398" s="14"/>
      <c r="L398" s="25"/>
    </row>
    <row r="399" ht="18.75" customHeight="1">
      <c r="A399" s="7" t="s">
        <v>1307</v>
      </c>
      <c r="B399" s="9">
        <v>504394.0</v>
      </c>
      <c r="C399" s="24">
        <v>3.202135632065409</v>
      </c>
      <c r="D399" s="7" t="s">
        <v>417</v>
      </c>
      <c r="E399" s="7" t="s">
        <v>3976</v>
      </c>
      <c r="F399" s="7" t="s">
        <v>1308</v>
      </c>
      <c r="G399" s="15"/>
      <c r="H399" s="15"/>
      <c r="I399" s="14"/>
      <c r="L399" s="25"/>
    </row>
    <row r="400" ht="18.75" customHeight="1">
      <c r="A400" s="7" t="s">
        <v>1397</v>
      </c>
      <c r="B400" s="12"/>
      <c r="C400" s="24">
        <v>0.0</v>
      </c>
      <c r="D400" s="7" t="s">
        <v>417</v>
      </c>
      <c r="E400" s="7" t="s">
        <v>3926</v>
      </c>
      <c r="F400" s="7" t="s">
        <v>1398</v>
      </c>
      <c r="G400" s="15"/>
      <c r="H400" s="15"/>
      <c r="I400" s="14"/>
      <c r="L400" s="25"/>
    </row>
    <row r="401" ht="18.75" customHeight="1">
      <c r="A401" s="7" t="s">
        <v>1409</v>
      </c>
      <c r="B401" s="12"/>
      <c r="C401" s="24">
        <v>0.0</v>
      </c>
      <c r="D401" s="7" t="s">
        <v>365</v>
      </c>
      <c r="E401" s="7" t="s">
        <v>3954</v>
      </c>
      <c r="F401" s="7" t="s">
        <v>1410</v>
      </c>
      <c r="G401" s="15"/>
      <c r="H401" s="15"/>
      <c r="I401" s="14"/>
      <c r="L401" s="25"/>
    </row>
    <row r="402" ht="18.75" customHeight="1">
      <c r="A402" s="7" t="s">
        <v>1407</v>
      </c>
      <c r="B402" s="12"/>
      <c r="C402" s="24">
        <v>0.0</v>
      </c>
      <c r="D402" s="7" t="s">
        <v>594</v>
      </c>
      <c r="E402" s="7" t="s">
        <v>3942</v>
      </c>
      <c r="F402" s="7" t="s">
        <v>1408</v>
      </c>
      <c r="G402" s="15"/>
      <c r="H402" s="15"/>
      <c r="I402" s="14"/>
      <c r="L402" s="25"/>
    </row>
    <row r="403" ht="18.75" customHeight="1">
      <c r="A403" s="7" t="s">
        <v>1403</v>
      </c>
      <c r="B403" s="9">
        <v>119329.0</v>
      </c>
      <c r="C403" s="24">
        <v>6.330271769645266</v>
      </c>
      <c r="D403" s="7" t="s">
        <v>928</v>
      </c>
      <c r="E403" s="7" t="s">
        <v>3959</v>
      </c>
      <c r="F403" s="7" t="s">
        <v>1404</v>
      </c>
      <c r="G403" s="15"/>
      <c r="H403" s="15"/>
      <c r="I403" s="14"/>
      <c r="L403" s="25"/>
    </row>
    <row r="404" ht="18.75" customHeight="1">
      <c r="A404" s="7" t="s">
        <v>1405</v>
      </c>
      <c r="B404" s="9">
        <v>34608.0</v>
      </c>
      <c r="C404" s="24">
        <v>6.948046694405917</v>
      </c>
      <c r="D404" s="7" t="s">
        <v>667</v>
      </c>
      <c r="E404" s="7" t="s">
        <v>3951</v>
      </c>
      <c r="F404" s="7" t="s">
        <v>1406</v>
      </c>
      <c r="G404" s="15"/>
      <c r="H404" s="15"/>
      <c r="I404" s="14"/>
      <c r="L404" s="25"/>
    </row>
    <row r="405" ht="18.75" customHeight="1">
      <c r="A405" s="7" t="s">
        <v>1413</v>
      </c>
      <c r="B405" s="9">
        <v>51781.0</v>
      </c>
      <c r="C405" s="24">
        <v>1.5613835190513896</v>
      </c>
      <c r="D405" s="7" t="s">
        <v>725</v>
      </c>
      <c r="E405" s="7" t="s">
        <v>3956</v>
      </c>
      <c r="F405" s="7" t="s">
        <v>1414</v>
      </c>
      <c r="G405" s="15"/>
      <c r="H405" s="15"/>
      <c r="I405" s="14"/>
      <c r="L405" s="25"/>
    </row>
    <row r="406" ht="18.75" customHeight="1">
      <c r="A406" s="7" t="s">
        <v>1411</v>
      </c>
      <c r="B406" s="9">
        <v>20763.0</v>
      </c>
      <c r="C406" s="24">
        <v>6.6366132061840775</v>
      </c>
      <c r="D406" s="7" t="s">
        <v>378</v>
      </c>
      <c r="E406" s="7" t="s">
        <v>3952</v>
      </c>
      <c r="F406" s="7" t="s">
        <v>1412</v>
      </c>
      <c r="G406" s="15"/>
      <c r="H406" s="15"/>
      <c r="I406" s="14"/>
      <c r="L406" s="25"/>
    </row>
    <row r="407" ht="18.75" customHeight="1">
      <c r="A407" s="7" t="s">
        <v>1347</v>
      </c>
      <c r="B407" s="9">
        <v>90035.0</v>
      </c>
      <c r="C407" s="24">
        <v>2.5771977564280557</v>
      </c>
      <c r="D407" s="7" t="s">
        <v>365</v>
      </c>
      <c r="E407" s="7" t="s">
        <v>3934</v>
      </c>
      <c r="F407" s="7" t="s">
        <v>1348</v>
      </c>
      <c r="G407" s="15"/>
      <c r="H407" s="15"/>
      <c r="I407" s="14"/>
      <c r="L407" s="25"/>
    </row>
    <row r="408" ht="18.75" customHeight="1">
      <c r="A408" s="7" t="s">
        <v>1373</v>
      </c>
      <c r="B408" s="9">
        <v>832283.0</v>
      </c>
      <c r="C408" s="24">
        <v>2.2401514869341317</v>
      </c>
      <c r="D408" s="7" t="s">
        <v>365</v>
      </c>
      <c r="E408" s="14"/>
      <c r="F408" s="7" t="s">
        <v>1374</v>
      </c>
      <c r="G408" s="15"/>
      <c r="H408" s="15"/>
      <c r="I408" s="14"/>
      <c r="L408" s="25"/>
    </row>
    <row r="409" ht="18.75" customHeight="1">
      <c r="A409" s="7" t="s">
        <v>1439</v>
      </c>
      <c r="B409" s="9">
        <v>23895.0</v>
      </c>
      <c r="C409" s="24">
        <v>1.3939317848922368</v>
      </c>
      <c r="D409" s="7" t="s">
        <v>365</v>
      </c>
      <c r="E409" s="7" t="s">
        <v>3934</v>
      </c>
      <c r="F409" s="7" t="s">
        <v>1440</v>
      </c>
      <c r="G409" s="15"/>
      <c r="H409" s="15"/>
      <c r="I409" s="14"/>
      <c r="L409" s="25"/>
    </row>
    <row r="410" ht="18.75" customHeight="1">
      <c r="A410" s="7" t="s">
        <v>1437</v>
      </c>
      <c r="B410" s="9">
        <v>412098.0</v>
      </c>
      <c r="C410" s="24">
        <v>2.720115118248572</v>
      </c>
      <c r="D410" s="7" t="s">
        <v>466</v>
      </c>
      <c r="E410" s="14"/>
      <c r="F410" s="7" t="s">
        <v>1438</v>
      </c>
      <c r="G410" s="15"/>
      <c r="H410" s="15"/>
      <c r="I410" s="14"/>
      <c r="L410" s="25"/>
    </row>
    <row r="411" ht="18.75" customHeight="1">
      <c r="A411" s="7" t="s">
        <v>1435</v>
      </c>
      <c r="B411" s="9">
        <v>382977.0</v>
      </c>
      <c r="C411" s="24">
        <v>2.8113437621580406</v>
      </c>
      <c r="D411" s="7" t="s">
        <v>466</v>
      </c>
      <c r="E411" s="14"/>
      <c r="F411" s="7" t="s">
        <v>1436</v>
      </c>
      <c r="G411" s="15"/>
      <c r="H411" s="15"/>
      <c r="I411" s="14"/>
      <c r="L411" s="25"/>
    </row>
    <row r="412" ht="18.75" customHeight="1">
      <c r="A412" s="7" t="s">
        <v>1417</v>
      </c>
      <c r="B412" s="9">
        <v>245739.0</v>
      </c>
      <c r="C412" s="24">
        <v>1.274551454999003</v>
      </c>
      <c r="D412" s="7" t="s">
        <v>466</v>
      </c>
      <c r="E412" s="7" t="s">
        <v>3944</v>
      </c>
      <c r="F412" s="7" t="s">
        <v>1418</v>
      </c>
      <c r="G412" s="15"/>
      <c r="H412" s="15"/>
      <c r="I412" s="14"/>
      <c r="L412" s="25"/>
    </row>
    <row r="413" ht="18.75" customHeight="1">
      <c r="A413" s="7" t="s">
        <v>1415</v>
      </c>
      <c r="B413" s="9">
        <v>154346.0</v>
      </c>
      <c r="C413" s="24">
        <v>1.0399492050328483</v>
      </c>
      <c r="D413" s="7" t="s">
        <v>466</v>
      </c>
      <c r="E413" s="7" t="s">
        <v>3945</v>
      </c>
      <c r="F413" s="7" t="s">
        <v>1416</v>
      </c>
      <c r="G413" s="15"/>
      <c r="H413" s="15"/>
      <c r="I413" s="14"/>
      <c r="L413" s="25"/>
    </row>
    <row r="414" ht="18.75" customHeight="1">
      <c r="A414" s="7" t="s">
        <v>1421</v>
      </c>
      <c r="B414" s="9">
        <v>85443.0</v>
      </c>
      <c r="C414" s="24">
        <v>1.5089006706225203</v>
      </c>
      <c r="D414" s="7" t="s">
        <v>466</v>
      </c>
      <c r="E414" s="7" t="s">
        <v>3946</v>
      </c>
      <c r="F414" s="7" t="s">
        <v>1422</v>
      </c>
      <c r="G414" s="15"/>
      <c r="H414" s="15"/>
      <c r="I414" s="14"/>
      <c r="L414" s="25"/>
    </row>
    <row r="415" ht="18.75" customHeight="1">
      <c r="A415" s="7" t="s">
        <v>1433</v>
      </c>
      <c r="B415" s="9">
        <v>303089.0</v>
      </c>
      <c r="C415" s="24">
        <v>1.5246808693156135</v>
      </c>
      <c r="D415" s="7" t="s">
        <v>354</v>
      </c>
      <c r="E415" s="7" t="s">
        <v>3949</v>
      </c>
      <c r="F415" s="7" t="s">
        <v>1434</v>
      </c>
      <c r="G415" s="15"/>
      <c r="H415" s="15"/>
      <c r="I415" s="14"/>
      <c r="L415" s="25"/>
    </row>
    <row r="416" ht="18.75" customHeight="1">
      <c r="A416" s="7" t="s">
        <v>1419</v>
      </c>
      <c r="B416" s="9">
        <v>105517.0</v>
      </c>
      <c r="C416" s="24">
        <v>1.5117374451510184</v>
      </c>
      <c r="D416" s="7" t="s">
        <v>466</v>
      </c>
      <c r="E416" s="7" t="s">
        <v>3943</v>
      </c>
      <c r="F416" s="7" t="s">
        <v>1420</v>
      </c>
      <c r="G416" s="15"/>
      <c r="H416" s="15"/>
      <c r="I416" s="14"/>
      <c r="L416" s="25"/>
    </row>
    <row r="417" ht="18.75" customHeight="1">
      <c r="A417" s="7" t="s">
        <v>1345</v>
      </c>
      <c r="B417" s="9">
        <v>91469.0</v>
      </c>
      <c r="C417" s="24">
        <v>2.372978823426516</v>
      </c>
      <c r="D417" s="7" t="s">
        <v>417</v>
      </c>
      <c r="E417" s="7" t="s">
        <v>3969</v>
      </c>
      <c r="F417" s="7" t="s">
        <v>1346</v>
      </c>
      <c r="G417" s="15"/>
      <c r="H417" s="15"/>
      <c r="I417" s="14"/>
      <c r="L417" s="25"/>
    </row>
    <row r="418" ht="18.75" customHeight="1">
      <c r="A418" s="7" t="s">
        <v>1351</v>
      </c>
      <c r="B418" s="9">
        <v>396746.0</v>
      </c>
      <c r="C418" s="24">
        <v>1.4648868545618607</v>
      </c>
      <c r="D418" s="7" t="s">
        <v>417</v>
      </c>
      <c r="E418" s="7" t="s">
        <v>3926</v>
      </c>
      <c r="F418" s="7" t="s">
        <v>1352</v>
      </c>
      <c r="G418" s="15"/>
      <c r="H418" s="15"/>
      <c r="I418" s="14"/>
      <c r="L418" s="25"/>
    </row>
    <row r="419" ht="18.75" customHeight="1">
      <c r="A419" s="7" t="s">
        <v>565</v>
      </c>
      <c r="B419" s="9">
        <v>316958.0</v>
      </c>
      <c r="C419" s="24">
        <v>2.681462528158305</v>
      </c>
      <c r="D419" s="7" t="s">
        <v>365</v>
      </c>
      <c r="E419" s="7" t="s">
        <v>3973</v>
      </c>
      <c r="F419" s="7" t="s">
        <v>566</v>
      </c>
      <c r="G419" s="15"/>
      <c r="H419" s="15"/>
      <c r="I419" s="14"/>
      <c r="L419" s="25"/>
    </row>
    <row r="420" ht="18.75" customHeight="1">
      <c r="A420" s="7" t="s">
        <v>1449</v>
      </c>
      <c r="B420" s="9">
        <v>21966.0</v>
      </c>
      <c r="C420" s="24">
        <v>1.4973140307748338</v>
      </c>
      <c r="D420" s="7" t="s">
        <v>594</v>
      </c>
      <c r="E420" s="7" t="s">
        <v>3942</v>
      </c>
      <c r="F420" s="7" t="s">
        <v>1450</v>
      </c>
      <c r="G420" s="15"/>
      <c r="H420" s="15"/>
      <c r="I420" s="14"/>
      <c r="L420" s="25"/>
    </row>
    <row r="421" ht="18.75" customHeight="1">
      <c r="A421" s="7" t="s">
        <v>1447</v>
      </c>
      <c r="B421" s="9">
        <v>285685.0</v>
      </c>
      <c r="C421" s="24">
        <v>1.4549906365402454</v>
      </c>
      <c r="D421" s="7" t="s">
        <v>725</v>
      </c>
      <c r="E421" s="7" t="s">
        <v>3956</v>
      </c>
      <c r="F421" s="7" t="s">
        <v>1448</v>
      </c>
      <c r="G421" s="15"/>
      <c r="H421" s="15"/>
      <c r="I421" s="14"/>
      <c r="L421" s="25"/>
    </row>
    <row r="422" ht="18.75" customHeight="1">
      <c r="A422" s="7" t="s">
        <v>1465</v>
      </c>
      <c r="B422" s="9">
        <v>250676.0</v>
      </c>
      <c r="C422" s="24">
        <v>1.0</v>
      </c>
      <c r="D422" s="7" t="s">
        <v>808</v>
      </c>
      <c r="E422" s="14"/>
      <c r="F422" s="7" t="s">
        <v>1466</v>
      </c>
      <c r="G422" s="15"/>
      <c r="H422" s="15"/>
      <c r="I422" s="14"/>
      <c r="L422" s="25"/>
    </row>
    <row r="423" ht="18.75" customHeight="1">
      <c r="A423" s="7" t="s">
        <v>1277</v>
      </c>
      <c r="B423" s="9">
        <v>770067.0</v>
      </c>
      <c r="C423" s="24">
        <v>1.7249563998976711</v>
      </c>
      <c r="D423" s="7" t="s">
        <v>378</v>
      </c>
      <c r="E423" s="14"/>
      <c r="F423" s="7" t="s">
        <v>1278</v>
      </c>
      <c r="G423" s="15"/>
      <c r="H423" s="15"/>
      <c r="I423" s="14"/>
      <c r="L423" s="25"/>
    </row>
    <row r="424" ht="18.75" customHeight="1">
      <c r="A424" s="7" t="s">
        <v>1275</v>
      </c>
      <c r="B424" s="9">
        <v>1145833.0</v>
      </c>
      <c r="C424" s="24">
        <v>2.6436138599603956</v>
      </c>
      <c r="D424" s="7" t="s">
        <v>378</v>
      </c>
      <c r="E424" s="7" t="s">
        <v>3978</v>
      </c>
      <c r="F424" s="7" t="s">
        <v>1276</v>
      </c>
      <c r="G424" s="15"/>
      <c r="H424" s="15"/>
      <c r="I424" s="14"/>
      <c r="L424" s="25"/>
    </row>
    <row r="425" ht="18.75" customHeight="1">
      <c r="A425" s="7" t="s">
        <v>1453</v>
      </c>
      <c r="B425" s="9">
        <v>572360.0</v>
      </c>
      <c r="C425" s="24">
        <v>2.099543993290936</v>
      </c>
      <c r="D425" s="7" t="s">
        <v>466</v>
      </c>
      <c r="E425" s="14"/>
      <c r="F425" s="7" t="s">
        <v>1454</v>
      </c>
      <c r="G425" s="15"/>
      <c r="H425" s="15"/>
      <c r="I425" s="14"/>
      <c r="L425" s="25"/>
    </row>
    <row r="426" ht="18.75" customHeight="1">
      <c r="A426" s="7" t="s">
        <v>1455</v>
      </c>
      <c r="B426" s="12"/>
      <c r="C426" s="24">
        <v>0.0</v>
      </c>
      <c r="D426" s="7" t="s">
        <v>417</v>
      </c>
      <c r="E426" s="7" t="s">
        <v>3969</v>
      </c>
      <c r="F426" s="7" t="s">
        <v>1456</v>
      </c>
      <c r="G426" s="15"/>
      <c r="H426" s="15"/>
      <c r="I426" s="14"/>
      <c r="L426" s="25"/>
    </row>
    <row r="427" ht="18.75" customHeight="1">
      <c r="A427" s="7" t="s">
        <v>1469</v>
      </c>
      <c r="B427" s="9">
        <v>924873.0</v>
      </c>
      <c r="C427" s="24">
        <v>1.032035749773212</v>
      </c>
      <c r="D427" s="7" t="s">
        <v>808</v>
      </c>
      <c r="E427" s="14"/>
      <c r="F427" s="7" t="s">
        <v>1470</v>
      </c>
      <c r="G427" s="15"/>
      <c r="H427" s="15"/>
      <c r="I427" s="14"/>
      <c r="L427" s="25"/>
    </row>
    <row r="428" ht="18.75" customHeight="1">
      <c r="A428" s="7" t="s">
        <v>1451</v>
      </c>
      <c r="B428" s="9">
        <v>236329.0</v>
      </c>
      <c r="C428" s="24">
        <v>2.7443563845317334</v>
      </c>
      <c r="D428" s="7" t="s">
        <v>365</v>
      </c>
      <c r="E428" s="7" t="s">
        <v>3924</v>
      </c>
      <c r="F428" s="7" t="s">
        <v>1452</v>
      </c>
      <c r="G428" s="15"/>
      <c r="H428" s="15"/>
      <c r="I428" s="14"/>
      <c r="L428" s="25"/>
    </row>
    <row r="429" ht="18.75" customHeight="1">
      <c r="A429" s="7" t="s">
        <v>1443</v>
      </c>
      <c r="B429" s="9">
        <v>667045.0</v>
      </c>
      <c r="C429" s="24">
        <v>2.4780202235231505</v>
      </c>
      <c r="D429" s="7" t="s">
        <v>783</v>
      </c>
      <c r="E429" s="14"/>
      <c r="F429" s="7" t="s">
        <v>1444</v>
      </c>
      <c r="G429" s="15"/>
      <c r="H429" s="15"/>
      <c r="I429" s="14"/>
      <c r="L429" s="25"/>
    </row>
    <row r="430" ht="18.75" customHeight="1">
      <c r="A430" s="7" t="s">
        <v>1397</v>
      </c>
      <c r="B430" s="9">
        <v>43662.0</v>
      </c>
      <c r="C430" s="24">
        <v>3.1784160139251525</v>
      </c>
      <c r="D430" s="7" t="s">
        <v>417</v>
      </c>
      <c r="E430" s="7" t="s">
        <v>3926</v>
      </c>
      <c r="F430" s="7" t="s">
        <v>1398</v>
      </c>
      <c r="G430" s="15"/>
      <c r="H430" s="15"/>
      <c r="I430" s="14"/>
      <c r="L430" s="25"/>
    </row>
    <row r="431" ht="18.75" customHeight="1">
      <c r="A431" s="7" t="s">
        <v>1387</v>
      </c>
      <c r="B431" s="9">
        <v>503692.0</v>
      </c>
      <c r="C431" s="24">
        <v>1.602705621689445</v>
      </c>
      <c r="D431" s="7" t="s">
        <v>725</v>
      </c>
      <c r="E431" s="7" t="s">
        <v>3930</v>
      </c>
      <c r="F431" s="7" t="s">
        <v>1388</v>
      </c>
      <c r="G431" s="15"/>
      <c r="H431" s="15"/>
      <c r="I431" s="14"/>
      <c r="L431" s="25"/>
    </row>
    <row r="432" ht="18.75" customHeight="1">
      <c r="A432" s="7" t="s">
        <v>1487</v>
      </c>
      <c r="B432" s="9">
        <v>23887.0</v>
      </c>
      <c r="C432" s="24">
        <v>7.561518817766986</v>
      </c>
      <c r="D432" s="7" t="s">
        <v>466</v>
      </c>
      <c r="E432" s="7" t="s">
        <v>3941</v>
      </c>
      <c r="F432" s="7" t="s">
        <v>1488</v>
      </c>
      <c r="G432" s="15"/>
      <c r="H432" s="15"/>
      <c r="I432" s="14"/>
      <c r="L432" s="25"/>
    </row>
    <row r="433" ht="18.75" customHeight="1">
      <c r="A433" s="7" t="e">
        <v>#N/A</v>
      </c>
      <c r="B433" s="12"/>
      <c r="C433" s="24">
        <v>0.0</v>
      </c>
      <c r="D433" s="7" t="e">
        <v>#N/A</v>
      </c>
      <c r="E433" s="7" t="e">
        <v>#N/A</v>
      </c>
      <c r="F433" s="7" t="e">
        <v>#N/A</v>
      </c>
      <c r="G433" s="15"/>
      <c r="H433" s="15"/>
      <c r="I433" s="14"/>
      <c r="L433" s="25"/>
    </row>
    <row r="434" ht="18.75" customHeight="1">
      <c r="A434" s="7" t="s">
        <v>1489</v>
      </c>
      <c r="B434" s="9">
        <v>10893.0</v>
      </c>
      <c r="C434" s="24">
        <v>2.2932158266776828</v>
      </c>
      <c r="D434" s="7" t="s">
        <v>594</v>
      </c>
      <c r="E434" s="7" t="s">
        <v>3942</v>
      </c>
      <c r="F434" s="7" t="s">
        <v>1490</v>
      </c>
      <c r="G434" s="15"/>
      <c r="H434" s="15"/>
      <c r="I434" s="14"/>
      <c r="L434" s="25"/>
    </row>
    <row r="435" ht="18.75" customHeight="1">
      <c r="A435" s="7" t="s">
        <v>3755</v>
      </c>
      <c r="B435" s="9">
        <v>112784.0</v>
      </c>
      <c r="C435" s="24">
        <v>1.9137643637395376</v>
      </c>
      <c r="D435" s="7" t="s">
        <v>417</v>
      </c>
      <c r="E435" s="7" t="s">
        <v>3966</v>
      </c>
      <c r="F435" s="7" t="s">
        <v>3896</v>
      </c>
      <c r="G435" s="15"/>
      <c r="H435" s="15"/>
      <c r="I435" s="14"/>
      <c r="L435" s="25"/>
    </row>
    <row r="436" ht="18.75" customHeight="1">
      <c r="A436" s="7" t="s">
        <v>1427</v>
      </c>
      <c r="B436" s="9">
        <v>632648.0</v>
      </c>
      <c r="C436" s="24">
        <v>1.4583386021926885</v>
      </c>
      <c r="D436" s="7" t="s">
        <v>466</v>
      </c>
      <c r="E436" s="14"/>
      <c r="F436" s="7" t="s">
        <v>1428</v>
      </c>
      <c r="G436" s="15"/>
      <c r="H436" s="15"/>
      <c r="I436" s="14"/>
      <c r="L436" s="25"/>
    </row>
    <row r="437" ht="18.75" customHeight="1">
      <c r="A437" s="7" t="s">
        <v>1495</v>
      </c>
      <c r="B437" s="9">
        <v>729072.0</v>
      </c>
      <c r="C437" s="24">
        <v>2.190022384620449</v>
      </c>
      <c r="D437" s="7" t="s">
        <v>504</v>
      </c>
      <c r="E437" s="7" t="s">
        <v>3978</v>
      </c>
      <c r="F437" s="7" t="s">
        <v>1496</v>
      </c>
      <c r="G437" s="15"/>
      <c r="H437" s="15"/>
      <c r="I437" s="14"/>
      <c r="L437" s="25"/>
    </row>
    <row r="438" ht="18.75" customHeight="1">
      <c r="A438" s="7" t="s">
        <v>1477</v>
      </c>
      <c r="B438" s="9">
        <v>70734.0</v>
      </c>
      <c r="C438" s="24">
        <v>1.5839765883450674</v>
      </c>
      <c r="D438" s="7" t="s">
        <v>466</v>
      </c>
      <c r="E438" s="7" t="s">
        <v>3945</v>
      </c>
      <c r="F438" s="7" t="s">
        <v>1478</v>
      </c>
      <c r="G438" s="15"/>
      <c r="H438" s="15"/>
      <c r="I438" s="14"/>
      <c r="L438" s="25"/>
    </row>
    <row r="439" ht="18.75" customHeight="1">
      <c r="A439" s="7" t="s">
        <v>1473</v>
      </c>
      <c r="B439" s="9">
        <v>233106.0</v>
      </c>
      <c r="C439" s="24">
        <v>1.4037905502217876</v>
      </c>
      <c r="D439" s="7" t="s">
        <v>466</v>
      </c>
      <c r="E439" s="7" t="s">
        <v>3943</v>
      </c>
      <c r="F439" s="7" t="s">
        <v>1474</v>
      </c>
      <c r="G439" s="15"/>
      <c r="H439" s="15"/>
      <c r="I439" s="14"/>
      <c r="L439" s="25"/>
    </row>
    <row r="440" ht="18.75" customHeight="1">
      <c r="A440" s="7" t="s">
        <v>1479</v>
      </c>
      <c r="B440" s="9">
        <v>102557.0</v>
      </c>
      <c r="C440" s="24">
        <v>1.4471367142174596</v>
      </c>
      <c r="D440" s="7" t="s">
        <v>466</v>
      </c>
      <c r="E440" s="7" t="s">
        <v>3944</v>
      </c>
      <c r="F440" s="7" t="s">
        <v>1480</v>
      </c>
      <c r="G440" s="15"/>
      <c r="H440" s="15"/>
      <c r="I440" s="14"/>
      <c r="L440" s="25"/>
    </row>
    <row r="441" ht="18.75" customHeight="1">
      <c r="A441" s="7" t="s">
        <v>1475</v>
      </c>
      <c r="B441" s="9">
        <v>69928.0</v>
      </c>
      <c r="C441" s="24">
        <v>1.5207928154673378</v>
      </c>
      <c r="D441" s="7" t="s">
        <v>466</v>
      </c>
      <c r="E441" s="7" t="s">
        <v>3946</v>
      </c>
      <c r="F441" s="7" t="s">
        <v>1476</v>
      </c>
      <c r="G441" s="15"/>
      <c r="H441" s="15"/>
      <c r="I441" s="14"/>
      <c r="L441" s="25"/>
    </row>
    <row r="442" ht="18.75" customHeight="1">
      <c r="A442" s="7" t="s">
        <v>1499</v>
      </c>
      <c r="B442" s="9">
        <v>50522.0</v>
      </c>
      <c r="C442" s="24">
        <v>1.6194727049602153</v>
      </c>
      <c r="D442" s="7" t="s">
        <v>413</v>
      </c>
      <c r="E442" s="7" t="s">
        <v>3947</v>
      </c>
      <c r="F442" s="7" t="s">
        <v>1500</v>
      </c>
      <c r="G442" s="15"/>
      <c r="H442" s="15"/>
      <c r="I442" s="14"/>
      <c r="L442" s="25"/>
    </row>
    <row r="443" ht="18.75" customHeight="1">
      <c r="A443" s="7" t="s">
        <v>1501</v>
      </c>
      <c r="B443" s="9">
        <v>20413.0</v>
      </c>
      <c r="C443" s="24">
        <v>1.5713515896732475</v>
      </c>
      <c r="D443" s="7" t="s">
        <v>594</v>
      </c>
      <c r="E443" s="7" t="s">
        <v>3942</v>
      </c>
      <c r="F443" s="7" t="s">
        <v>1502</v>
      </c>
      <c r="G443" s="15"/>
      <c r="H443" s="15"/>
      <c r="I443" s="14"/>
      <c r="L443" s="25"/>
    </row>
    <row r="444" ht="18.75" customHeight="1">
      <c r="A444" s="7" t="s">
        <v>1443</v>
      </c>
      <c r="B444" s="9">
        <v>181499.0</v>
      </c>
      <c r="C444" s="24">
        <v>9.107218221587997</v>
      </c>
      <c r="D444" s="7" t="s">
        <v>783</v>
      </c>
      <c r="E444" s="14"/>
      <c r="F444" s="7" t="s">
        <v>1444</v>
      </c>
      <c r="G444" s="15"/>
      <c r="H444" s="15"/>
      <c r="I444" s="14"/>
      <c r="L444" s="25"/>
    </row>
    <row r="445" ht="18.75" customHeight="1">
      <c r="A445" s="7" t="s">
        <v>1525</v>
      </c>
      <c r="B445" s="9">
        <v>220397.0</v>
      </c>
      <c r="C445" s="24">
        <v>2.153545647173056</v>
      </c>
      <c r="D445" s="7" t="s">
        <v>688</v>
      </c>
      <c r="E445" s="14"/>
      <c r="F445" s="7" t="s">
        <v>1526</v>
      </c>
      <c r="G445" s="15"/>
      <c r="H445" s="15"/>
      <c r="I445" s="14"/>
      <c r="L445" s="25"/>
    </row>
    <row r="446" ht="18.75" customHeight="1">
      <c r="A446" s="7" t="s">
        <v>1399</v>
      </c>
      <c r="B446" s="9">
        <v>79690.0</v>
      </c>
      <c r="C446" s="24">
        <v>2.2439327393650395</v>
      </c>
      <c r="D446" s="7" t="s">
        <v>417</v>
      </c>
      <c r="E446" s="7" t="s">
        <v>3969</v>
      </c>
      <c r="F446" s="7" t="s">
        <v>1400</v>
      </c>
      <c r="G446" s="15"/>
      <c r="H446" s="15"/>
      <c r="I446" s="14"/>
      <c r="L446" s="25"/>
    </row>
    <row r="447" ht="18.75" customHeight="1">
      <c r="A447" s="7" t="s">
        <v>1361</v>
      </c>
      <c r="B447" s="9">
        <v>398013.0</v>
      </c>
      <c r="C447" s="24">
        <v>1.8898829937715602</v>
      </c>
      <c r="D447" s="7" t="s">
        <v>378</v>
      </c>
      <c r="E447" s="7" t="s">
        <v>3940</v>
      </c>
      <c r="F447" s="7" t="s">
        <v>1362</v>
      </c>
      <c r="G447" s="15"/>
      <c r="H447" s="15"/>
      <c r="I447" s="14"/>
      <c r="L447" s="25"/>
    </row>
    <row r="448" ht="18.75" customHeight="1">
      <c r="A448" s="7" t="s">
        <v>1425</v>
      </c>
      <c r="B448" s="12"/>
      <c r="C448" s="24">
        <v>0.0</v>
      </c>
      <c r="D448" s="7" t="s">
        <v>466</v>
      </c>
      <c r="E448" s="14"/>
      <c r="F448" s="7" t="s">
        <v>1426</v>
      </c>
      <c r="G448" s="15"/>
      <c r="H448" s="15"/>
      <c r="I448" s="14"/>
      <c r="L448" s="25"/>
    </row>
    <row r="449" ht="18.75" customHeight="1">
      <c r="A449" s="7" t="s">
        <v>1531</v>
      </c>
      <c r="B449" s="9">
        <v>38945.0</v>
      </c>
      <c r="C449" s="24">
        <v>4.4038002310951345</v>
      </c>
      <c r="D449" s="7" t="s">
        <v>405</v>
      </c>
      <c r="E449" s="7" t="s">
        <v>3979</v>
      </c>
      <c r="F449" s="7" t="s">
        <v>1532</v>
      </c>
      <c r="G449" s="15"/>
      <c r="H449" s="15"/>
      <c r="I449" s="14"/>
      <c r="L449" s="25"/>
    </row>
    <row r="450" ht="18.75" customHeight="1">
      <c r="A450" s="7" t="s">
        <v>1541</v>
      </c>
      <c r="B450" s="9">
        <v>274952.0</v>
      </c>
      <c r="C450" s="24">
        <v>1.2356156710989554</v>
      </c>
      <c r="D450" s="7" t="s">
        <v>378</v>
      </c>
      <c r="E450" s="7" t="s">
        <v>3952</v>
      </c>
      <c r="F450" s="7" t="s">
        <v>1542</v>
      </c>
      <c r="G450" s="15"/>
      <c r="H450" s="15"/>
      <c r="I450" s="14"/>
      <c r="L450" s="25"/>
    </row>
    <row r="451" ht="18.75" customHeight="1">
      <c r="A451" s="7" t="s">
        <v>1455</v>
      </c>
      <c r="B451" s="9">
        <v>357600.0</v>
      </c>
      <c r="C451" s="24">
        <v>1.9106795302013422</v>
      </c>
      <c r="D451" s="7" t="s">
        <v>417</v>
      </c>
      <c r="E451" s="7" t="s">
        <v>3969</v>
      </c>
      <c r="F451" s="7" t="s">
        <v>1456</v>
      </c>
      <c r="G451" s="15"/>
      <c r="H451" s="15"/>
      <c r="I451" s="14"/>
      <c r="L451" s="25"/>
    </row>
    <row r="452" ht="18.75" customHeight="1">
      <c r="A452" s="7" t="s">
        <v>1543</v>
      </c>
      <c r="B452" s="9">
        <v>162514.0</v>
      </c>
      <c r="C452" s="24">
        <v>1.3677221654749745</v>
      </c>
      <c r="D452" s="7" t="s">
        <v>594</v>
      </c>
      <c r="E452" s="7" t="s">
        <v>3942</v>
      </c>
      <c r="F452" s="7" t="s">
        <v>1544</v>
      </c>
      <c r="G452" s="15"/>
      <c r="H452" s="15"/>
      <c r="I452" s="14"/>
      <c r="L452" s="25"/>
    </row>
    <row r="453" ht="18.75" customHeight="1">
      <c r="A453" s="7" t="s">
        <v>1135</v>
      </c>
      <c r="B453" s="9">
        <v>60300.0</v>
      </c>
      <c r="C453" s="24">
        <v>73.96903814262024</v>
      </c>
      <c r="D453" s="7" t="s">
        <v>667</v>
      </c>
      <c r="E453" s="14"/>
      <c r="F453" s="7" t="s">
        <v>1136</v>
      </c>
      <c r="G453" s="15"/>
      <c r="H453" s="15"/>
      <c r="I453" s="14"/>
      <c r="L453" s="25"/>
    </row>
    <row r="454" ht="18.75" customHeight="1">
      <c r="A454" s="7" t="s">
        <v>1291</v>
      </c>
      <c r="B454" s="9">
        <v>47819.0</v>
      </c>
      <c r="C454" s="24">
        <v>4.851899872435642</v>
      </c>
      <c r="D454" s="7" t="s">
        <v>354</v>
      </c>
      <c r="E454" s="7" t="s">
        <v>3930</v>
      </c>
      <c r="F454" s="7" t="s">
        <v>1292</v>
      </c>
      <c r="G454" s="15"/>
      <c r="H454" s="15"/>
      <c r="I454" s="14"/>
      <c r="L454" s="25"/>
    </row>
    <row r="455" ht="18.75" customHeight="1">
      <c r="A455" s="7" t="s">
        <v>1549</v>
      </c>
      <c r="B455" s="9">
        <v>60184.0</v>
      </c>
      <c r="C455" s="24">
        <v>1.1663232752891133</v>
      </c>
      <c r="D455" s="7" t="s">
        <v>365</v>
      </c>
      <c r="E455" s="7" t="s">
        <v>3924</v>
      </c>
      <c r="F455" s="7" t="s">
        <v>1550</v>
      </c>
      <c r="G455" s="15"/>
      <c r="H455" s="15"/>
      <c r="I455" s="14"/>
      <c r="L455" s="25"/>
    </row>
    <row r="456" ht="18.75" customHeight="1">
      <c r="A456" s="7" t="s">
        <v>1539</v>
      </c>
      <c r="B456" s="9">
        <v>10008.0</v>
      </c>
      <c r="C456" s="24">
        <v>30.264288569144686</v>
      </c>
      <c r="D456" s="7" t="s">
        <v>417</v>
      </c>
      <c r="E456" s="7" t="s">
        <v>3969</v>
      </c>
      <c r="F456" s="7" t="s">
        <v>1540</v>
      </c>
      <c r="G456" s="15"/>
      <c r="H456" s="15"/>
      <c r="I456" s="14"/>
      <c r="L456" s="25"/>
    </row>
    <row r="457" ht="18.75" customHeight="1">
      <c r="A457" s="7" t="s">
        <v>1551</v>
      </c>
      <c r="B457" s="9">
        <v>12092.0</v>
      </c>
      <c r="C457" s="24">
        <v>1.3586668871981475</v>
      </c>
      <c r="D457" s="7" t="s">
        <v>365</v>
      </c>
      <c r="E457" s="7" t="s">
        <v>3924</v>
      </c>
      <c r="F457" s="7" t="s">
        <v>1552</v>
      </c>
      <c r="G457" s="15"/>
      <c r="H457" s="15"/>
      <c r="I457" s="14"/>
      <c r="L457" s="25"/>
    </row>
    <row r="458" ht="18.75" customHeight="1">
      <c r="A458" s="7" t="s">
        <v>1509</v>
      </c>
      <c r="B458" s="9">
        <v>218082.0</v>
      </c>
      <c r="C458" s="24">
        <v>1.5176905934465017</v>
      </c>
      <c r="D458" s="7" t="s">
        <v>725</v>
      </c>
      <c r="E458" s="7" t="s">
        <v>3930</v>
      </c>
      <c r="F458" s="7" t="s">
        <v>1510</v>
      </c>
      <c r="G458" s="15"/>
      <c r="H458" s="15"/>
      <c r="I458" s="14"/>
      <c r="L458" s="25"/>
    </row>
    <row r="459" ht="18.75" customHeight="1">
      <c r="A459" s="7" t="s">
        <v>1393</v>
      </c>
      <c r="B459" s="9">
        <v>186455.0</v>
      </c>
      <c r="C459" s="24">
        <v>2.02094875439114</v>
      </c>
      <c r="D459" s="7" t="s">
        <v>378</v>
      </c>
      <c r="E459" s="7" t="s">
        <v>871</v>
      </c>
      <c r="F459" s="7" t="s">
        <v>1394</v>
      </c>
      <c r="G459" s="15"/>
      <c r="H459" s="15"/>
      <c r="I459" s="14"/>
      <c r="L459" s="25"/>
    </row>
    <row r="460" ht="18.75" customHeight="1">
      <c r="A460" s="7" t="s">
        <v>1471</v>
      </c>
      <c r="B460" s="9">
        <v>836300.0</v>
      </c>
      <c r="C460" s="24">
        <v>2.3574518713380366</v>
      </c>
      <c r="D460" s="7" t="s">
        <v>405</v>
      </c>
      <c r="E460" s="7" t="s">
        <v>3980</v>
      </c>
      <c r="F460" s="7" t="s">
        <v>1472</v>
      </c>
      <c r="G460" s="15"/>
      <c r="H460" s="15"/>
      <c r="I460" s="14"/>
      <c r="L460" s="25"/>
    </row>
    <row r="461" ht="18.75" customHeight="1">
      <c r="A461" s="7" t="s">
        <v>1567</v>
      </c>
      <c r="B461" s="9">
        <v>3508628.0</v>
      </c>
      <c r="C461" s="24">
        <v>2.9436643041097548</v>
      </c>
      <c r="D461" s="7" t="s">
        <v>466</v>
      </c>
      <c r="E461" s="7" t="s">
        <v>3981</v>
      </c>
      <c r="F461" s="7" t="s">
        <v>1568</v>
      </c>
      <c r="G461" s="15"/>
      <c r="H461" s="15"/>
      <c r="I461" s="14"/>
      <c r="L461" s="25"/>
    </row>
    <row r="462" ht="18.75" customHeight="1">
      <c r="A462" s="7" t="s">
        <v>1537</v>
      </c>
      <c r="B462" s="9">
        <v>81450.0</v>
      </c>
      <c r="C462" s="24">
        <v>6.148839779005525</v>
      </c>
      <c r="D462" s="7" t="s">
        <v>417</v>
      </c>
      <c r="E462" s="7" t="s">
        <v>3966</v>
      </c>
      <c r="F462" s="7" t="s">
        <v>1538</v>
      </c>
      <c r="G462" s="15"/>
      <c r="H462" s="15"/>
      <c r="I462" s="14"/>
      <c r="L462" s="25"/>
    </row>
    <row r="463" ht="18.75" customHeight="1">
      <c r="A463" s="7" t="s">
        <v>1533</v>
      </c>
      <c r="B463" s="9">
        <v>398144.0</v>
      </c>
      <c r="C463" s="24">
        <v>1.7784670872850024</v>
      </c>
      <c r="D463" s="7" t="s">
        <v>466</v>
      </c>
      <c r="E463" s="14"/>
      <c r="F463" s="7" t="s">
        <v>1534</v>
      </c>
      <c r="G463" s="15"/>
      <c r="H463" s="15"/>
      <c r="I463" s="14"/>
      <c r="L463" s="25"/>
    </row>
    <row r="464" ht="18.75" customHeight="1">
      <c r="A464" s="7" t="s">
        <v>1563</v>
      </c>
      <c r="B464" s="9">
        <v>109391.0</v>
      </c>
      <c r="C464" s="24">
        <v>1.5535190280736075</v>
      </c>
      <c r="D464" s="7" t="s">
        <v>466</v>
      </c>
      <c r="E464" s="7" t="s">
        <v>3944</v>
      </c>
      <c r="F464" s="7" t="s">
        <v>1564</v>
      </c>
      <c r="G464" s="15"/>
      <c r="H464" s="15"/>
      <c r="I464" s="14"/>
      <c r="L464" s="25"/>
    </row>
    <row r="465" ht="18.75" customHeight="1">
      <c r="A465" s="7" t="s">
        <v>1565</v>
      </c>
      <c r="B465" s="9">
        <v>96521.0</v>
      </c>
      <c r="C465" s="24">
        <v>1.4973114658986126</v>
      </c>
      <c r="D465" s="7" t="s">
        <v>466</v>
      </c>
      <c r="E465" s="7" t="s">
        <v>3946</v>
      </c>
      <c r="F465" s="7" t="s">
        <v>1566</v>
      </c>
      <c r="G465" s="15"/>
      <c r="H465" s="15"/>
      <c r="I465" s="14"/>
      <c r="J465" s="14"/>
      <c r="L465" s="25"/>
    </row>
    <row r="466" ht="18.75" customHeight="1">
      <c r="A466" s="7" t="s">
        <v>1557</v>
      </c>
      <c r="B466" s="9">
        <v>80435.0</v>
      </c>
      <c r="C466" s="24">
        <v>1.461341455833903</v>
      </c>
      <c r="D466" s="7" t="s">
        <v>466</v>
      </c>
      <c r="E466" s="7" t="s">
        <v>3943</v>
      </c>
      <c r="F466" s="7" t="s">
        <v>1558</v>
      </c>
      <c r="G466" s="15"/>
      <c r="H466" s="15"/>
      <c r="I466" s="14"/>
      <c r="L466" s="25"/>
    </row>
    <row r="467" ht="18.75" customHeight="1">
      <c r="A467" s="7" t="s">
        <v>1559</v>
      </c>
      <c r="B467" s="9">
        <v>98176.0</v>
      </c>
      <c r="C467" s="24">
        <v>1.4818794817470664</v>
      </c>
      <c r="D467" s="7" t="s">
        <v>466</v>
      </c>
      <c r="E467" s="7" t="s">
        <v>3945</v>
      </c>
      <c r="F467" s="7" t="s">
        <v>1560</v>
      </c>
      <c r="G467" s="15"/>
      <c r="H467" s="15"/>
      <c r="I467" s="14"/>
      <c r="L467" s="25"/>
    </row>
    <row r="468" ht="18.75" customHeight="1">
      <c r="A468" s="7" t="s">
        <v>1395</v>
      </c>
      <c r="B468" s="9">
        <v>487539.0</v>
      </c>
      <c r="C468" s="24">
        <v>1.9330802253768415</v>
      </c>
      <c r="D468" s="7" t="s">
        <v>466</v>
      </c>
      <c r="E468" s="7" t="s">
        <v>3931</v>
      </c>
      <c r="F468" s="7" t="s">
        <v>1396</v>
      </c>
      <c r="G468" s="15"/>
      <c r="H468" s="15"/>
      <c r="I468" s="14"/>
      <c r="L468" s="25"/>
    </row>
    <row r="469" ht="18.75" customHeight="1">
      <c r="A469" s="7" t="s">
        <v>1561</v>
      </c>
      <c r="B469" s="9">
        <v>400345.0</v>
      </c>
      <c r="C469" s="24">
        <v>1.957953764877793</v>
      </c>
      <c r="D469" s="7" t="s">
        <v>466</v>
      </c>
      <c r="E469" s="7" t="s">
        <v>3931</v>
      </c>
      <c r="F469" s="7" t="s">
        <v>1562</v>
      </c>
      <c r="G469" s="15"/>
      <c r="H469" s="15"/>
      <c r="I469" s="14"/>
      <c r="L469" s="25"/>
    </row>
    <row r="470" ht="18.75" customHeight="1">
      <c r="A470" s="7" t="s">
        <v>1577</v>
      </c>
      <c r="B470" s="9">
        <v>222255.0</v>
      </c>
      <c r="C470" s="24">
        <v>1.6117837618951205</v>
      </c>
      <c r="D470" s="7" t="s">
        <v>405</v>
      </c>
      <c r="E470" s="7" t="s">
        <v>3980</v>
      </c>
      <c r="F470" s="7" t="s">
        <v>1578</v>
      </c>
      <c r="G470" s="15"/>
      <c r="H470" s="15"/>
      <c r="I470" s="14"/>
      <c r="L470" s="25"/>
    </row>
    <row r="471" ht="18.75" customHeight="1">
      <c r="A471" s="7" t="s">
        <v>1571</v>
      </c>
      <c r="B471" s="9">
        <v>60378.0</v>
      </c>
      <c r="C471" s="24">
        <v>1.6025042233926265</v>
      </c>
      <c r="D471" s="7" t="s">
        <v>405</v>
      </c>
      <c r="E471" s="7" t="s">
        <v>3982</v>
      </c>
      <c r="F471" s="7" t="s">
        <v>1572</v>
      </c>
      <c r="G471" s="15"/>
      <c r="H471" s="15"/>
      <c r="I471" s="14"/>
      <c r="L471" s="25"/>
    </row>
    <row r="472" ht="18.75" customHeight="1">
      <c r="A472" s="7" t="s">
        <v>1573</v>
      </c>
      <c r="B472" s="9">
        <v>50861.0</v>
      </c>
      <c r="C472" s="24">
        <v>1.4940130945124948</v>
      </c>
      <c r="D472" s="7" t="s">
        <v>405</v>
      </c>
      <c r="E472" s="7" t="s">
        <v>3982</v>
      </c>
      <c r="F472" s="7" t="s">
        <v>1574</v>
      </c>
      <c r="G472" s="15"/>
      <c r="H472" s="15"/>
      <c r="I472" s="14"/>
      <c r="L472" s="25"/>
    </row>
    <row r="473" ht="18.75" customHeight="1">
      <c r="A473" s="7" t="s">
        <v>1569</v>
      </c>
      <c r="B473" s="9">
        <v>165711.0</v>
      </c>
      <c r="C473" s="24">
        <v>1.2626319314951935</v>
      </c>
      <c r="D473" s="7" t="s">
        <v>405</v>
      </c>
      <c r="E473" s="7" t="s">
        <v>3982</v>
      </c>
      <c r="F473" s="7" t="s">
        <v>1570</v>
      </c>
      <c r="G473" s="15"/>
      <c r="H473" s="15"/>
      <c r="I473" s="14"/>
      <c r="L473" s="25"/>
    </row>
    <row r="474" ht="18.75" customHeight="1">
      <c r="A474" s="7" t="s">
        <v>1545</v>
      </c>
      <c r="B474" s="9">
        <v>33618.0</v>
      </c>
      <c r="C474" s="24">
        <v>1.5770718067701825</v>
      </c>
      <c r="D474" s="7" t="s">
        <v>594</v>
      </c>
      <c r="E474" s="7" t="s">
        <v>3942</v>
      </c>
      <c r="F474" s="7" t="s">
        <v>1546</v>
      </c>
      <c r="G474" s="15"/>
      <c r="H474" s="15"/>
      <c r="I474" s="14"/>
      <c r="L474" s="25"/>
    </row>
    <row r="475" ht="18.75" customHeight="1">
      <c r="A475" s="7" t="s">
        <v>1401</v>
      </c>
      <c r="B475" s="9">
        <v>9116107.0</v>
      </c>
      <c r="C475" s="24">
        <v>9.638462448937908</v>
      </c>
      <c r="D475" s="7" t="s">
        <v>466</v>
      </c>
      <c r="E475" s="7" t="s">
        <v>3983</v>
      </c>
      <c r="F475" s="7" t="s">
        <v>1402</v>
      </c>
      <c r="G475" s="15"/>
      <c r="H475" s="15"/>
      <c r="I475" s="14"/>
      <c r="L475" s="25"/>
    </row>
    <row r="476" ht="18.75" customHeight="1">
      <c r="A476" s="7" t="s">
        <v>3897</v>
      </c>
      <c r="B476" s="9">
        <v>32025.0</v>
      </c>
      <c r="C476" s="24">
        <v>1.3858860265417643</v>
      </c>
      <c r="D476" s="7" t="s">
        <v>417</v>
      </c>
      <c r="E476" s="7" t="s">
        <v>3969</v>
      </c>
      <c r="F476" s="7" t="s">
        <v>3898</v>
      </c>
      <c r="G476" s="15"/>
      <c r="H476" s="15"/>
      <c r="I476" s="14"/>
      <c r="L476" s="25"/>
    </row>
    <row r="477" ht="18.75" customHeight="1">
      <c r="A477" s="7" t="s">
        <v>1523</v>
      </c>
      <c r="B477" s="9">
        <v>1910847.0</v>
      </c>
      <c r="C477" s="24">
        <v>4.649639662411485</v>
      </c>
      <c r="D477" s="7" t="s">
        <v>365</v>
      </c>
      <c r="E477" s="14"/>
      <c r="F477" s="7" t="s">
        <v>1524</v>
      </c>
      <c r="G477" s="15"/>
      <c r="H477" s="15"/>
      <c r="I477" s="14"/>
      <c r="L477" s="25"/>
    </row>
    <row r="478" ht="18.75" customHeight="1">
      <c r="A478" s="7" t="s">
        <v>1599</v>
      </c>
      <c r="B478" s="9">
        <v>57929.0</v>
      </c>
      <c r="C478" s="24">
        <v>2.2999879162422965</v>
      </c>
      <c r="D478" s="7" t="s">
        <v>365</v>
      </c>
      <c r="E478" s="7" t="s">
        <v>3924</v>
      </c>
      <c r="F478" s="7" t="s">
        <v>1600</v>
      </c>
      <c r="G478" s="15"/>
      <c r="H478" s="15"/>
      <c r="I478" s="14"/>
      <c r="L478" s="25"/>
    </row>
    <row r="479" ht="18.75" customHeight="1">
      <c r="A479" s="7" t="s">
        <v>1575</v>
      </c>
      <c r="B479" s="9">
        <v>267324.0</v>
      </c>
      <c r="C479" s="24">
        <v>2.1174978677559815</v>
      </c>
      <c r="D479" s="7" t="s">
        <v>405</v>
      </c>
      <c r="E479" s="14"/>
      <c r="F479" s="7" t="s">
        <v>1576</v>
      </c>
      <c r="G479" s="15"/>
      <c r="H479" s="15"/>
      <c r="I479" s="14"/>
      <c r="L479" s="25"/>
    </row>
    <row r="480" ht="18.75" customHeight="1">
      <c r="A480" s="7" t="s">
        <v>1633</v>
      </c>
      <c r="B480" s="9">
        <v>233008.0</v>
      </c>
      <c r="C480" s="24">
        <v>1.465537663942869</v>
      </c>
      <c r="D480" s="7" t="s">
        <v>365</v>
      </c>
      <c r="E480" s="7" t="s">
        <v>3924</v>
      </c>
      <c r="F480" s="7" t="s">
        <v>1634</v>
      </c>
      <c r="G480" s="15"/>
      <c r="H480" s="15"/>
      <c r="I480" s="14"/>
      <c r="L480" s="25"/>
    </row>
    <row r="481" ht="18.75" customHeight="1">
      <c r="A481" s="7" t="s">
        <v>1631</v>
      </c>
      <c r="B481" s="9">
        <v>3737.0</v>
      </c>
      <c r="C481" s="24">
        <v>38.25234145036125</v>
      </c>
      <c r="D481" s="7" t="s">
        <v>417</v>
      </c>
      <c r="E481" s="7" t="s">
        <v>3969</v>
      </c>
      <c r="F481" s="7" t="s">
        <v>1632</v>
      </c>
      <c r="G481" s="15"/>
      <c r="H481" s="15"/>
      <c r="I481" s="14"/>
      <c r="L481" s="25"/>
    </row>
    <row r="482" ht="18.75" customHeight="1">
      <c r="A482" s="7" t="s">
        <v>1621</v>
      </c>
      <c r="B482" s="9">
        <v>202011.0</v>
      </c>
      <c r="C482" s="24">
        <v>1.1452990183702867</v>
      </c>
      <c r="D482" s="7" t="s">
        <v>365</v>
      </c>
      <c r="E482" s="7" t="s">
        <v>3924</v>
      </c>
      <c r="F482" s="7" t="s">
        <v>1622</v>
      </c>
      <c r="G482" s="15"/>
      <c r="H482" s="15"/>
      <c r="I482" s="14"/>
      <c r="J482" s="14"/>
      <c r="L482" s="25"/>
    </row>
    <row r="483" ht="18.75" customHeight="1">
      <c r="A483" s="7" t="s">
        <v>1619</v>
      </c>
      <c r="B483" s="9">
        <v>11756.0</v>
      </c>
      <c r="C483" s="24">
        <v>1.494045593739367</v>
      </c>
      <c r="D483" s="7" t="s">
        <v>365</v>
      </c>
      <c r="E483" s="7" t="s">
        <v>3924</v>
      </c>
      <c r="F483" s="7" t="s">
        <v>1620</v>
      </c>
      <c r="G483" s="15"/>
      <c r="H483" s="15"/>
      <c r="I483" s="14"/>
      <c r="L483" s="25"/>
    </row>
    <row r="484" ht="18.75" customHeight="1">
      <c r="A484" s="7" t="s">
        <v>1617</v>
      </c>
      <c r="B484" s="9">
        <v>274037.0</v>
      </c>
      <c r="C484" s="24">
        <v>1.5668285669453395</v>
      </c>
      <c r="D484" s="7" t="s">
        <v>413</v>
      </c>
      <c r="E484" s="7" t="s">
        <v>3947</v>
      </c>
      <c r="F484" s="7" t="s">
        <v>1618</v>
      </c>
      <c r="G484" s="15"/>
      <c r="H484" s="15"/>
      <c r="I484" s="14"/>
      <c r="L484" s="25"/>
    </row>
    <row r="485" ht="18.75" customHeight="1">
      <c r="A485" s="7" t="s">
        <v>1309</v>
      </c>
      <c r="B485" s="9">
        <v>101248.0</v>
      </c>
      <c r="C485" s="24">
        <v>1.0799521965865992</v>
      </c>
      <c r="D485" s="7" t="s">
        <v>378</v>
      </c>
      <c r="E485" s="14"/>
      <c r="F485" s="7" t="s">
        <v>1310</v>
      </c>
      <c r="G485" s="15"/>
      <c r="H485" s="15"/>
      <c r="I485" s="14"/>
      <c r="L485" s="25"/>
    </row>
    <row r="486" ht="18.75" customHeight="1">
      <c r="A486" s="7" t="s">
        <v>1603</v>
      </c>
      <c r="B486" s="9">
        <v>207245.0</v>
      </c>
      <c r="C486" s="24">
        <v>1.4195662139014211</v>
      </c>
      <c r="D486" s="7" t="s">
        <v>667</v>
      </c>
      <c r="E486" s="7" t="s">
        <v>3951</v>
      </c>
      <c r="F486" s="7" t="s">
        <v>1604</v>
      </c>
      <c r="G486" s="15"/>
      <c r="H486" s="15"/>
      <c r="I486" s="14"/>
      <c r="L486" s="25"/>
    </row>
    <row r="487" ht="18.75" customHeight="1">
      <c r="A487" s="7" t="s">
        <v>1623</v>
      </c>
      <c r="B487" s="9">
        <v>95664.0</v>
      </c>
      <c r="C487" s="24">
        <v>1.6475581200869711</v>
      </c>
      <c r="D487" s="7" t="s">
        <v>466</v>
      </c>
      <c r="E487" s="7" t="s">
        <v>3943</v>
      </c>
      <c r="F487" s="7" t="s">
        <v>1624</v>
      </c>
      <c r="G487" s="15"/>
      <c r="H487" s="15"/>
      <c r="I487" s="14"/>
      <c r="L487" s="25"/>
    </row>
    <row r="488" ht="18.75" customHeight="1">
      <c r="A488" s="7" t="s">
        <v>1613</v>
      </c>
      <c r="B488" s="9">
        <v>64009.0</v>
      </c>
      <c r="C488" s="24">
        <v>1.6320986111328095</v>
      </c>
      <c r="D488" s="7" t="s">
        <v>365</v>
      </c>
      <c r="E488" s="7" t="s">
        <v>3954</v>
      </c>
      <c r="F488" s="7" t="s">
        <v>1614</v>
      </c>
      <c r="G488" s="15"/>
      <c r="H488" s="15"/>
      <c r="I488" s="14"/>
      <c r="L488" s="25"/>
    </row>
    <row r="489" ht="18.75" customHeight="1">
      <c r="A489" s="7" t="s">
        <v>1605</v>
      </c>
      <c r="B489" s="9">
        <v>12889.0</v>
      </c>
      <c r="C489" s="24">
        <v>6.944293583676003</v>
      </c>
      <c r="D489" s="7" t="s">
        <v>417</v>
      </c>
      <c r="E489" s="7" t="s">
        <v>3926</v>
      </c>
      <c r="F489" s="7" t="s">
        <v>1606</v>
      </c>
      <c r="G489" s="15"/>
      <c r="H489" s="15"/>
      <c r="I489" s="14"/>
      <c r="L489" s="25"/>
    </row>
    <row r="490" ht="18.75" customHeight="1">
      <c r="A490" s="7" t="s">
        <v>1627</v>
      </c>
      <c r="B490" s="9">
        <v>260478.0</v>
      </c>
      <c r="C490" s="24">
        <v>1.5444221776887108</v>
      </c>
      <c r="D490" s="7" t="s">
        <v>466</v>
      </c>
      <c r="E490" s="7" t="s">
        <v>3944</v>
      </c>
      <c r="F490" s="7" t="s">
        <v>1628</v>
      </c>
      <c r="G490" s="15"/>
      <c r="H490" s="15"/>
      <c r="I490" s="14"/>
      <c r="L490" s="25"/>
    </row>
    <row r="491" ht="18.75" customHeight="1">
      <c r="A491" s="7" t="s">
        <v>1625</v>
      </c>
      <c r="B491" s="9">
        <v>95443.0</v>
      </c>
      <c r="C491" s="24">
        <v>1.610070932388965</v>
      </c>
      <c r="D491" s="7" t="s">
        <v>466</v>
      </c>
      <c r="E491" s="7" t="s">
        <v>3945</v>
      </c>
      <c r="F491" s="7" t="s">
        <v>1626</v>
      </c>
      <c r="G491" s="15"/>
      <c r="H491" s="15"/>
      <c r="I491" s="14"/>
      <c r="L491" s="25"/>
    </row>
    <row r="492" ht="18.75" customHeight="1">
      <c r="A492" s="7" t="s">
        <v>1609</v>
      </c>
      <c r="B492" s="9">
        <v>93081.0</v>
      </c>
      <c r="C492" s="24">
        <v>1.5532063471600004</v>
      </c>
      <c r="D492" s="7" t="s">
        <v>359</v>
      </c>
      <c r="E492" s="7" t="s">
        <v>3941</v>
      </c>
      <c r="F492" s="7" t="s">
        <v>1610</v>
      </c>
      <c r="G492" s="15"/>
      <c r="H492" s="15"/>
      <c r="I492" s="14"/>
      <c r="L492" s="25"/>
    </row>
    <row r="493" ht="18.75" customHeight="1">
      <c r="A493" s="7" t="s">
        <v>1423</v>
      </c>
      <c r="B493" s="9">
        <v>1037711.0</v>
      </c>
      <c r="C493" s="24">
        <v>2.5616448124766915</v>
      </c>
      <c r="D493" s="7" t="s">
        <v>466</v>
      </c>
      <c r="E493" s="14"/>
      <c r="F493" s="7" t="s">
        <v>1424</v>
      </c>
      <c r="G493" s="15"/>
      <c r="H493" s="15"/>
      <c r="I493" s="14"/>
      <c r="L493" s="25"/>
    </row>
    <row r="494" ht="18.75" customHeight="1">
      <c r="A494" s="7" t="s">
        <v>1607</v>
      </c>
      <c r="B494" s="9">
        <v>200673.0</v>
      </c>
      <c r="C494" s="24">
        <v>3.725219635925112</v>
      </c>
      <c r="D494" s="7" t="s">
        <v>417</v>
      </c>
      <c r="E494" s="7" t="s">
        <v>3966</v>
      </c>
      <c r="F494" s="7" t="s">
        <v>1608</v>
      </c>
      <c r="G494" s="15"/>
      <c r="H494" s="15"/>
      <c r="I494" s="14"/>
      <c r="L494" s="25"/>
    </row>
    <row r="495" ht="18.75" customHeight="1">
      <c r="A495" s="7" t="s">
        <v>1637</v>
      </c>
      <c r="B495" s="9">
        <v>49869.0</v>
      </c>
      <c r="C495" s="24">
        <v>2.2047564619302573</v>
      </c>
      <c r="D495" s="7" t="s">
        <v>365</v>
      </c>
      <c r="E495" s="7" t="s">
        <v>3934</v>
      </c>
      <c r="F495" s="7" t="s">
        <v>1638</v>
      </c>
      <c r="G495" s="15"/>
      <c r="H495" s="15"/>
      <c r="I495" s="14"/>
      <c r="L495" s="25"/>
    </row>
    <row r="496" ht="18.75" customHeight="1">
      <c r="A496" s="7" t="s">
        <v>1611</v>
      </c>
      <c r="B496" s="9">
        <v>67137.0</v>
      </c>
      <c r="C496" s="24">
        <v>1.5835977180988128</v>
      </c>
      <c r="D496" s="7" t="s">
        <v>354</v>
      </c>
      <c r="E496" s="7" t="s">
        <v>3949</v>
      </c>
      <c r="F496" s="7" t="s">
        <v>1612</v>
      </c>
      <c r="G496" s="15"/>
      <c r="H496" s="15"/>
      <c r="I496" s="14"/>
      <c r="L496" s="25"/>
    </row>
    <row r="497" ht="18.75" customHeight="1">
      <c r="A497" s="7" t="s">
        <v>1653</v>
      </c>
      <c r="B497" s="9">
        <v>519280.0</v>
      </c>
      <c r="C497" s="24">
        <v>1.0302341703897704</v>
      </c>
      <c r="D497" s="7" t="s">
        <v>808</v>
      </c>
      <c r="E497" s="7" t="s">
        <v>808</v>
      </c>
      <c r="F497" s="7" t="s">
        <v>1654</v>
      </c>
      <c r="G497" s="15"/>
      <c r="H497" s="15"/>
      <c r="I497" s="14"/>
      <c r="L497" s="25"/>
    </row>
    <row r="498" ht="18.75" customHeight="1">
      <c r="A498" s="7" t="s">
        <v>1539</v>
      </c>
      <c r="B498" s="9">
        <v>114611.0</v>
      </c>
      <c r="C498" s="24">
        <v>2.6427219027842006</v>
      </c>
      <c r="D498" s="7" t="s">
        <v>417</v>
      </c>
      <c r="E498" s="7" t="s">
        <v>3969</v>
      </c>
      <c r="F498" s="7" t="s">
        <v>1540</v>
      </c>
      <c r="G498" s="15"/>
      <c r="H498" s="15"/>
      <c r="I498" s="14"/>
      <c r="L498" s="25"/>
    </row>
    <row r="499" ht="18.75" customHeight="1">
      <c r="A499" s="7" t="s">
        <v>1601</v>
      </c>
      <c r="B499" s="9">
        <v>210932.0</v>
      </c>
      <c r="C499" s="24">
        <v>1.9570809549997155</v>
      </c>
      <c r="D499" s="7" t="s">
        <v>405</v>
      </c>
      <c r="E499" s="7" t="s">
        <v>3980</v>
      </c>
      <c r="F499" s="7" t="s">
        <v>1602</v>
      </c>
      <c r="G499" s="15"/>
      <c r="H499" s="15"/>
      <c r="I499" s="14"/>
      <c r="L499" s="25"/>
    </row>
    <row r="500" ht="18.75" customHeight="1">
      <c r="A500" s="7" t="s">
        <v>1661</v>
      </c>
      <c r="B500" s="9">
        <v>66212.0</v>
      </c>
      <c r="C500" s="24">
        <v>2.8288678789343322</v>
      </c>
      <c r="D500" s="7" t="s">
        <v>417</v>
      </c>
      <c r="E500" s="7" t="s">
        <v>3976</v>
      </c>
      <c r="F500" s="7" t="s">
        <v>1662</v>
      </c>
      <c r="G500" s="15"/>
      <c r="H500" s="15"/>
      <c r="I500" s="14"/>
      <c r="L500" s="25"/>
    </row>
    <row r="501" ht="18.75" customHeight="1">
      <c r="A501" s="7" t="s">
        <v>1655</v>
      </c>
      <c r="B501" s="9">
        <v>49853.0</v>
      </c>
      <c r="C501" s="24">
        <v>2.4087216416263817</v>
      </c>
      <c r="D501" s="7" t="s">
        <v>365</v>
      </c>
      <c r="E501" s="7" t="s">
        <v>3924</v>
      </c>
      <c r="F501" s="7" t="s">
        <v>1656</v>
      </c>
      <c r="G501" s="15"/>
      <c r="H501" s="15"/>
      <c r="I501" s="14"/>
      <c r="L501" s="25"/>
    </row>
    <row r="502" ht="18.75" customHeight="1">
      <c r="A502" s="7" t="s">
        <v>1529</v>
      </c>
      <c r="B502" s="9">
        <v>42193.0</v>
      </c>
      <c r="C502" s="24">
        <v>2.066361718768516</v>
      </c>
      <c r="D502" s="7" t="s">
        <v>365</v>
      </c>
      <c r="E502" s="7" t="s">
        <v>3938</v>
      </c>
      <c r="F502" s="7" t="s">
        <v>1530</v>
      </c>
      <c r="G502" s="15"/>
      <c r="H502" s="15"/>
      <c r="I502" s="14"/>
      <c r="L502" s="25"/>
    </row>
    <row r="503" ht="18.75" customHeight="1">
      <c r="A503" s="7" t="s">
        <v>1615</v>
      </c>
      <c r="B503" s="9">
        <v>126275.0</v>
      </c>
      <c r="C503" s="24">
        <v>1.1907978618095427</v>
      </c>
      <c r="D503" s="7" t="s">
        <v>783</v>
      </c>
      <c r="E503" s="7" t="s">
        <v>3984</v>
      </c>
      <c r="F503" s="7" t="s">
        <v>1616</v>
      </c>
      <c r="G503" s="15"/>
      <c r="H503" s="15"/>
      <c r="I503" s="14"/>
      <c r="L503" s="25"/>
    </row>
    <row r="504" ht="18.75" customHeight="1">
      <c r="A504" s="7" t="s">
        <v>1678</v>
      </c>
      <c r="B504" s="9">
        <v>11108.0</v>
      </c>
      <c r="C504" s="24">
        <v>19.71453006841916</v>
      </c>
      <c r="D504" s="7" t="s">
        <v>417</v>
      </c>
      <c r="E504" s="7" t="s">
        <v>3969</v>
      </c>
      <c r="F504" s="7" t="s">
        <v>1679</v>
      </c>
      <c r="G504" s="15"/>
      <c r="H504" s="15"/>
      <c r="I504" s="14"/>
      <c r="L504" s="25"/>
    </row>
    <row r="505" ht="18.75" customHeight="1">
      <c r="A505" s="7" t="s">
        <v>1676</v>
      </c>
      <c r="B505" s="9">
        <v>94621.0</v>
      </c>
      <c r="C505" s="24">
        <v>10.931843882436246</v>
      </c>
      <c r="D505" s="7" t="s">
        <v>417</v>
      </c>
      <c r="E505" s="7" t="s">
        <v>3966</v>
      </c>
      <c r="F505" s="7" t="s">
        <v>1677</v>
      </c>
      <c r="G505" s="15"/>
      <c r="H505" s="15"/>
      <c r="I505" s="14"/>
      <c r="L505" s="25"/>
    </row>
    <row r="506" ht="18.75" customHeight="1">
      <c r="A506" s="7" t="s">
        <v>1657</v>
      </c>
      <c r="B506" s="9">
        <v>552347.0</v>
      </c>
      <c r="C506" s="24">
        <v>1.708445958790398</v>
      </c>
      <c r="D506" s="7" t="s">
        <v>466</v>
      </c>
      <c r="E506" s="7" t="s">
        <v>3931</v>
      </c>
      <c r="F506" s="7" t="s">
        <v>1658</v>
      </c>
      <c r="G506" s="15"/>
      <c r="H506" s="15"/>
      <c r="I506" s="14"/>
      <c r="L506" s="25"/>
    </row>
    <row r="507" ht="18.75" customHeight="1">
      <c r="A507" s="7" t="s">
        <v>1680</v>
      </c>
      <c r="B507" s="9">
        <v>66662.0</v>
      </c>
      <c r="C507" s="24">
        <v>1.9075635294470612</v>
      </c>
      <c r="D507" s="7" t="s">
        <v>378</v>
      </c>
      <c r="E507" s="7" t="s">
        <v>3950</v>
      </c>
      <c r="F507" s="7" t="s">
        <v>1681</v>
      </c>
      <c r="G507" s="15"/>
      <c r="H507" s="15"/>
      <c r="I507" s="14"/>
      <c r="L507" s="25"/>
    </row>
    <row r="508" ht="18.75" customHeight="1">
      <c r="A508" s="7" t="s">
        <v>1674</v>
      </c>
      <c r="B508" s="9">
        <v>510562.0</v>
      </c>
      <c r="C508" s="24">
        <v>1.6413755822015739</v>
      </c>
      <c r="D508" s="7" t="s">
        <v>725</v>
      </c>
      <c r="E508" s="7" t="s">
        <v>3956</v>
      </c>
      <c r="F508" s="7" t="s">
        <v>1675</v>
      </c>
      <c r="G508" s="15"/>
      <c r="H508" s="15"/>
      <c r="I508" s="14"/>
      <c r="L508" s="25"/>
    </row>
    <row r="509" ht="18.75" customHeight="1">
      <c r="A509" s="7" t="s">
        <v>1686</v>
      </c>
      <c r="B509" s="9">
        <v>748204.0</v>
      </c>
      <c r="C509" s="24">
        <v>1.8633193620991066</v>
      </c>
      <c r="D509" s="7" t="s">
        <v>365</v>
      </c>
      <c r="E509" s="7" t="s">
        <v>3919</v>
      </c>
      <c r="F509" s="7" t="s">
        <v>1687</v>
      </c>
      <c r="G509" s="15"/>
      <c r="H509" s="15"/>
      <c r="I509" s="14"/>
      <c r="L509" s="25"/>
    </row>
    <row r="510" ht="18.75" customHeight="1">
      <c r="A510" s="7" t="s">
        <v>1672</v>
      </c>
      <c r="B510" s="9">
        <v>75181.0</v>
      </c>
      <c r="C510" s="24">
        <v>1.746292281294476</v>
      </c>
      <c r="D510" s="7" t="s">
        <v>378</v>
      </c>
      <c r="E510" s="7" t="s">
        <v>3952</v>
      </c>
      <c r="F510" s="7" t="s">
        <v>1673</v>
      </c>
      <c r="G510" s="15"/>
      <c r="H510" s="15"/>
      <c r="I510" s="14"/>
      <c r="L510" s="25"/>
    </row>
    <row r="511" ht="18.75" customHeight="1">
      <c r="A511" s="7" t="s">
        <v>1684</v>
      </c>
      <c r="B511" s="9">
        <v>83973.0</v>
      </c>
      <c r="C511" s="24">
        <v>1.6341085825205721</v>
      </c>
      <c r="D511" s="7" t="s">
        <v>466</v>
      </c>
      <c r="E511" s="7" t="s">
        <v>3948</v>
      </c>
      <c r="F511" s="7" t="s">
        <v>1685</v>
      </c>
      <c r="G511" s="15"/>
      <c r="H511" s="15"/>
      <c r="I511" s="14"/>
      <c r="L511" s="25"/>
    </row>
    <row r="512" ht="18.75" customHeight="1">
      <c r="A512" s="7" t="s">
        <v>1682</v>
      </c>
      <c r="B512" s="9">
        <v>196823.0</v>
      </c>
      <c r="C512" s="24">
        <v>1.4544997281821739</v>
      </c>
      <c r="D512" s="7" t="s">
        <v>783</v>
      </c>
      <c r="E512" s="7" t="s">
        <v>3959</v>
      </c>
      <c r="F512" s="7" t="s">
        <v>1683</v>
      </c>
      <c r="G512" s="15"/>
      <c r="H512" s="15"/>
      <c r="I512" s="14"/>
      <c r="L512" s="25"/>
    </row>
    <row r="513" ht="18.75" customHeight="1">
      <c r="A513" s="7" t="s">
        <v>1659</v>
      </c>
      <c r="B513" s="9">
        <v>28687.0</v>
      </c>
      <c r="C513" s="24">
        <v>2.390316171087949</v>
      </c>
      <c r="D513" s="7" t="s">
        <v>365</v>
      </c>
      <c r="E513" s="7" t="s">
        <v>3938</v>
      </c>
      <c r="F513" s="7" t="s">
        <v>1660</v>
      </c>
      <c r="G513" s="15"/>
      <c r="H513" s="15"/>
      <c r="I513" s="14"/>
      <c r="L513" s="25"/>
    </row>
    <row r="514" ht="18.75" customHeight="1">
      <c r="A514" s="7" t="s">
        <v>1699</v>
      </c>
      <c r="B514" s="9">
        <v>219626.0</v>
      </c>
      <c r="C514" s="24">
        <v>1.1719013231584603</v>
      </c>
      <c r="D514" s="7" t="s">
        <v>466</v>
      </c>
      <c r="E514" s="7" t="s">
        <v>3975</v>
      </c>
      <c r="F514" s="7" t="s">
        <v>1700</v>
      </c>
      <c r="G514" s="15"/>
      <c r="H514" s="15"/>
      <c r="I514" s="14"/>
      <c r="L514" s="25"/>
    </row>
    <row r="515" ht="18.75" customHeight="1">
      <c r="A515" s="7" t="s">
        <v>1697</v>
      </c>
      <c r="B515" s="9">
        <v>342292.0</v>
      </c>
      <c r="C515" s="24">
        <v>1.2233151811903287</v>
      </c>
      <c r="D515" s="7" t="s">
        <v>466</v>
      </c>
      <c r="E515" s="7" t="s">
        <v>3944</v>
      </c>
      <c r="F515" s="7" t="s">
        <v>1698</v>
      </c>
      <c r="G515" s="15"/>
      <c r="H515" s="15"/>
      <c r="I515" s="14"/>
      <c r="L515" s="25"/>
    </row>
    <row r="516" ht="18.75" customHeight="1">
      <c r="A516" s="7" t="s">
        <v>1695</v>
      </c>
      <c r="B516" s="9">
        <v>76735.0</v>
      </c>
      <c r="C516" s="24">
        <v>1.593210399426598</v>
      </c>
      <c r="D516" s="7" t="s">
        <v>466</v>
      </c>
      <c r="E516" s="7" t="s">
        <v>3946</v>
      </c>
      <c r="F516" s="7" t="s">
        <v>1696</v>
      </c>
      <c r="G516" s="15"/>
      <c r="H516" s="15"/>
      <c r="I516" s="14"/>
      <c r="L516" s="25"/>
    </row>
    <row r="517" ht="18.75" customHeight="1">
      <c r="A517" s="7" t="s">
        <v>1693</v>
      </c>
      <c r="B517" s="9">
        <v>64685.0</v>
      </c>
      <c r="C517" s="24">
        <v>1.5725902450336244</v>
      </c>
      <c r="D517" s="7" t="s">
        <v>466</v>
      </c>
      <c r="E517" s="7" t="s">
        <v>3945</v>
      </c>
      <c r="F517" s="7" t="s">
        <v>1694</v>
      </c>
      <c r="G517" s="15"/>
      <c r="H517" s="15"/>
      <c r="I517" s="14"/>
      <c r="L517" s="25"/>
    </row>
    <row r="518" ht="18.75" customHeight="1">
      <c r="A518" s="7" t="s">
        <v>1631</v>
      </c>
      <c r="B518" s="9">
        <v>64207.0</v>
      </c>
      <c r="C518" s="24">
        <v>2.2263771862880994</v>
      </c>
      <c r="D518" s="7" t="s">
        <v>417</v>
      </c>
      <c r="E518" s="7" t="s">
        <v>3969</v>
      </c>
      <c r="F518" s="7" t="s">
        <v>1632</v>
      </c>
      <c r="G518" s="15"/>
      <c r="H518" s="15"/>
      <c r="I518" s="14"/>
      <c r="L518" s="25"/>
    </row>
    <row r="519" ht="18.75" customHeight="1">
      <c r="A519" s="7" t="s">
        <v>1579</v>
      </c>
      <c r="B519" s="9">
        <v>371938.0</v>
      </c>
      <c r="C519" s="24">
        <v>1.4570304728207388</v>
      </c>
      <c r="D519" s="7" t="s">
        <v>378</v>
      </c>
      <c r="E519" s="7" t="s">
        <v>3940</v>
      </c>
      <c r="F519" s="7" t="s">
        <v>1580</v>
      </c>
      <c r="G519" s="15"/>
      <c r="H519" s="15"/>
      <c r="I519" s="14"/>
      <c r="L519" s="25"/>
    </row>
    <row r="520" ht="18.75" customHeight="1">
      <c r="A520" s="7" t="s">
        <v>3758</v>
      </c>
      <c r="B520" s="9">
        <v>3850.0</v>
      </c>
      <c r="C520" s="24">
        <v>3.754805194805195</v>
      </c>
      <c r="D520" s="7" t="s">
        <v>417</v>
      </c>
      <c r="E520" s="7" t="s">
        <v>3926</v>
      </c>
      <c r="F520" s="7" t="s">
        <v>3899</v>
      </c>
      <c r="G520" s="15"/>
      <c r="H520" s="15"/>
      <c r="I520" s="14"/>
      <c r="L520" s="25"/>
    </row>
    <row r="521" ht="18.75" customHeight="1">
      <c r="A521" s="7" t="s">
        <v>1691</v>
      </c>
      <c r="B521" s="9">
        <v>1376182.0</v>
      </c>
      <c r="C521" s="24">
        <v>2.8444522599481754</v>
      </c>
      <c r="D521" s="7" t="s">
        <v>365</v>
      </c>
      <c r="E521" s="14"/>
      <c r="F521" s="7" t="s">
        <v>1692</v>
      </c>
      <c r="G521" s="15"/>
      <c r="H521" s="15"/>
      <c r="I521" s="14"/>
      <c r="L521" s="25"/>
    </row>
    <row r="522" ht="18.75" customHeight="1">
      <c r="A522" s="7" t="s">
        <v>1537</v>
      </c>
      <c r="B522" s="9">
        <v>196406.0</v>
      </c>
      <c r="C522" s="24">
        <v>2.5499373746219565</v>
      </c>
      <c r="D522" s="7" t="s">
        <v>417</v>
      </c>
      <c r="E522" s="7" t="s">
        <v>3966</v>
      </c>
      <c r="F522" s="7" t="s">
        <v>1538</v>
      </c>
      <c r="G522" s="15"/>
      <c r="H522" s="15"/>
      <c r="I522" s="14"/>
      <c r="L522" s="25"/>
    </row>
    <row r="523" ht="18.75" customHeight="1">
      <c r="A523" s="7" t="s">
        <v>1497</v>
      </c>
      <c r="B523" s="9">
        <v>2220857.0</v>
      </c>
      <c r="C523" s="24">
        <v>2.612756697076849</v>
      </c>
      <c r="D523" s="7" t="s">
        <v>405</v>
      </c>
      <c r="E523" s="7" t="s">
        <v>3985</v>
      </c>
      <c r="F523" s="7" t="s">
        <v>1498</v>
      </c>
      <c r="G523" s="15"/>
      <c r="H523" s="15"/>
      <c r="I523" s="14"/>
      <c r="L523" s="25"/>
    </row>
    <row r="524" ht="18.75" customHeight="1">
      <c r="A524" s="7" t="s">
        <v>1607</v>
      </c>
      <c r="B524" s="9">
        <v>207154.0</v>
      </c>
      <c r="C524" s="24">
        <v>3.608672774843836</v>
      </c>
      <c r="D524" s="7" t="s">
        <v>417</v>
      </c>
      <c r="E524" s="7" t="s">
        <v>3966</v>
      </c>
      <c r="F524" s="7" t="s">
        <v>1608</v>
      </c>
      <c r="G524" s="15"/>
      <c r="H524" s="15"/>
      <c r="I524" s="14"/>
      <c r="L524" s="25"/>
    </row>
    <row r="525" ht="18.75" customHeight="1">
      <c r="A525" s="7" t="s">
        <v>1729</v>
      </c>
      <c r="B525" s="9">
        <v>56133.0</v>
      </c>
      <c r="C525" s="24">
        <v>4.156200452496749</v>
      </c>
      <c r="D525" s="7" t="s">
        <v>405</v>
      </c>
      <c r="E525" s="7" t="s">
        <v>3982</v>
      </c>
      <c r="F525" s="7" t="s">
        <v>1730</v>
      </c>
      <c r="G525" s="15"/>
      <c r="H525" s="15"/>
      <c r="I525" s="14"/>
      <c r="L525" s="25"/>
    </row>
    <row r="526" ht="18.75" customHeight="1">
      <c r="A526" s="7" t="s">
        <v>1703</v>
      </c>
      <c r="B526" s="9">
        <v>18547.0</v>
      </c>
      <c r="C526" s="24">
        <v>1.4247587210869683</v>
      </c>
      <c r="D526" s="7" t="s">
        <v>725</v>
      </c>
      <c r="E526" s="7" t="s">
        <v>3956</v>
      </c>
      <c r="F526" s="7" t="s">
        <v>1704</v>
      </c>
      <c r="G526" s="15"/>
      <c r="H526" s="15"/>
      <c r="I526" s="14"/>
      <c r="L526" s="25"/>
    </row>
    <row r="527" ht="18.75" customHeight="1">
      <c r="A527" s="7" t="s">
        <v>1505</v>
      </c>
      <c r="B527" s="9">
        <v>3653770.0</v>
      </c>
      <c r="C527" s="24">
        <v>3.455964661158201</v>
      </c>
      <c r="D527" s="7" t="s">
        <v>405</v>
      </c>
      <c r="E527" s="7" t="s">
        <v>3985</v>
      </c>
      <c r="F527" s="7" t="s">
        <v>1506</v>
      </c>
      <c r="G527" s="15"/>
      <c r="H527" s="15"/>
      <c r="I527" s="14"/>
      <c r="L527" s="25"/>
    </row>
    <row r="528" ht="18.75" customHeight="1">
      <c r="A528" s="7" t="s">
        <v>1705</v>
      </c>
      <c r="B528" s="9">
        <v>490780.0</v>
      </c>
      <c r="C528" s="24">
        <v>2.1830372060801175</v>
      </c>
      <c r="D528" s="7" t="s">
        <v>365</v>
      </c>
      <c r="E528" s="14"/>
      <c r="F528" s="7" t="s">
        <v>1706</v>
      </c>
      <c r="G528" s="15"/>
      <c r="H528" s="15"/>
      <c r="I528" s="14"/>
      <c r="L528" s="25"/>
    </row>
    <row r="529" ht="18.75" customHeight="1">
      <c r="A529" s="7" t="s">
        <v>1753</v>
      </c>
      <c r="B529" s="9">
        <v>47269.0</v>
      </c>
      <c r="C529" s="24">
        <v>17.36328248958091</v>
      </c>
      <c r="D529" s="7" t="s">
        <v>417</v>
      </c>
      <c r="E529" s="7" t="s">
        <v>3969</v>
      </c>
      <c r="F529" s="7" t="s">
        <v>1754</v>
      </c>
      <c r="G529" s="15"/>
      <c r="H529" s="15"/>
      <c r="I529" s="14"/>
      <c r="L529" s="25"/>
    </row>
    <row r="530" ht="18.75" customHeight="1">
      <c r="A530" s="7" t="s">
        <v>1759</v>
      </c>
      <c r="B530" s="9">
        <v>353327.0</v>
      </c>
      <c r="C530" s="24">
        <v>1.7201940412139463</v>
      </c>
      <c r="D530" s="7" t="s">
        <v>594</v>
      </c>
      <c r="E530" s="7" t="s">
        <v>3942</v>
      </c>
      <c r="F530" s="7" t="s">
        <v>1760</v>
      </c>
      <c r="G530" s="15"/>
      <c r="H530" s="15"/>
      <c r="I530" s="14"/>
      <c r="L530" s="25"/>
    </row>
    <row r="531" ht="18.75" customHeight="1">
      <c r="A531" s="7" t="s">
        <v>1761</v>
      </c>
      <c r="B531" s="9">
        <v>90360.0</v>
      </c>
      <c r="C531" s="24">
        <v>1.9049579459938026</v>
      </c>
      <c r="D531" s="7" t="s">
        <v>413</v>
      </c>
      <c r="E531" s="7" t="s">
        <v>3947</v>
      </c>
      <c r="F531" s="7" t="s">
        <v>1762</v>
      </c>
      <c r="G531" s="15"/>
      <c r="H531" s="15"/>
      <c r="I531" s="14"/>
      <c r="L531" s="25"/>
    </row>
    <row r="532" ht="18.75" customHeight="1">
      <c r="A532" s="7" t="s">
        <v>1605</v>
      </c>
      <c r="B532" s="9">
        <v>30856.0</v>
      </c>
      <c r="C532" s="24">
        <v>2.9007324345346124</v>
      </c>
      <c r="D532" s="7" t="s">
        <v>417</v>
      </c>
      <c r="E532" s="7" t="s">
        <v>3926</v>
      </c>
      <c r="F532" s="7" t="s">
        <v>1606</v>
      </c>
      <c r="G532" s="15"/>
      <c r="H532" s="15"/>
      <c r="I532" s="14"/>
      <c r="L532" s="25"/>
    </row>
    <row r="533" ht="18.75" customHeight="1">
      <c r="A533" s="7" t="s">
        <v>1429</v>
      </c>
      <c r="B533" s="9">
        <v>29208.0</v>
      </c>
      <c r="C533" s="24">
        <v>2.5155094494659</v>
      </c>
      <c r="D533" s="7" t="s">
        <v>430</v>
      </c>
      <c r="E533" s="14"/>
      <c r="F533" s="7" t="s">
        <v>1430</v>
      </c>
      <c r="G533" s="15"/>
      <c r="H533" s="15"/>
      <c r="I533" s="14"/>
      <c r="L533" s="25"/>
    </row>
    <row r="534" ht="18.75" customHeight="1">
      <c r="A534" s="7" t="s">
        <v>1755</v>
      </c>
      <c r="B534" s="9">
        <v>30230.0</v>
      </c>
      <c r="C534" s="24">
        <v>4.432980482963943</v>
      </c>
      <c r="D534" s="7" t="s">
        <v>359</v>
      </c>
      <c r="E534" s="7" t="s">
        <v>3941</v>
      </c>
      <c r="F534" s="7" t="s">
        <v>1756</v>
      </c>
      <c r="G534" s="15"/>
      <c r="H534" s="15"/>
      <c r="I534" s="14"/>
      <c r="L534" s="25"/>
    </row>
    <row r="535" ht="18.75" customHeight="1">
      <c r="A535" s="7" t="s">
        <v>1431</v>
      </c>
      <c r="B535" s="9">
        <v>75463.0</v>
      </c>
      <c r="C535" s="24">
        <v>3.897539191391808</v>
      </c>
      <c r="D535" s="7" t="s">
        <v>430</v>
      </c>
      <c r="E535" s="7" t="s">
        <v>3926</v>
      </c>
      <c r="F535" s="7" t="s">
        <v>1432</v>
      </c>
      <c r="G535" s="15"/>
      <c r="H535" s="15"/>
      <c r="I535" s="14"/>
      <c r="L535" s="25"/>
    </row>
    <row r="536" ht="18.75" customHeight="1">
      <c r="A536" s="7" t="s">
        <v>1511</v>
      </c>
      <c r="B536" s="9">
        <v>209286.0</v>
      </c>
      <c r="C536" s="24">
        <v>1.5179515113289948</v>
      </c>
      <c r="D536" s="7" t="s">
        <v>354</v>
      </c>
      <c r="E536" s="14"/>
      <c r="F536" s="7" t="s">
        <v>1512</v>
      </c>
      <c r="G536" s="15"/>
      <c r="H536" s="15"/>
      <c r="I536" s="14"/>
      <c r="L536" s="25"/>
    </row>
    <row r="537" ht="18.75" customHeight="1">
      <c r="A537" s="7" t="s">
        <v>1711</v>
      </c>
      <c r="B537" s="9">
        <v>79397.0</v>
      </c>
      <c r="C537" s="24">
        <v>2.242641409625049</v>
      </c>
      <c r="D537" s="7" t="s">
        <v>667</v>
      </c>
      <c r="E537" s="7" t="s">
        <v>3982</v>
      </c>
      <c r="F537" s="7" t="s">
        <v>1712</v>
      </c>
      <c r="G537" s="15"/>
      <c r="H537" s="15"/>
      <c r="I537" s="14"/>
      <c r="L537" s="25"/>
    </row>
    <row r="538" ht="18.75" customHeight="1">
      <c r="A538" s="7" t="s">
        <v>1763</v>
      </c>
      <c r="B538" s="9">
        <v>986849.0</v>
      </c>
      <c r="C538" s="24">
        <v>2.26275347089575</v>
      </c>
      <c r="D538" s="7" t="s">
        <v>466</v>
      </c>
      <c r="E538" s="14"/>
      <c r="F538" s="7" t="s">
        <v>1764</v>
      </c>
      <c r="G538" s="15"/>
      <c r="H538" s="15"/>
      <c r="I538" s="14"/>
      <c r="L538" s="25"/>
    </row>
    <row r="539" ht="18.75" customHeight="1">
      <c r="A539" s="7" t="s">
        <v>1745</v>
      </c>
      <c r="B539" s="12"/>
      <c r="C539" s="24">
        <v>0.0</v>
      </c>
      <c r="D539" s="7" t="s">
        <v>365</v>
      </c>
      <c r="E539" s="7" t="s">
        <v>3924</v>
      </c>
      <c r="F539" s="7" t="s">
        <v>1746</v>
      </c>
      <c r="G539" s="15"/>
      <c r="H539" s="15"/>
      <c r="I539" s="14"/>
      <c r="L539" s="25"/>
    </row>
    <row r="540" ht="18.75" customHeight="1">
      <c r="A540" s="7" t="s">
        <v>1321</v>
      </c>
      <c r="B540" s="9">
        <v>98243.0</v>
      </c>
      <c r="C540" s="24">
        <v>2.756756206549067</v>
      </c>
      <c r="D540" s="7" t="s">
        <v>417</v>
      </c>
      <c r="E540" s="7" t="s">
        <v>3926</v>
      </c>
      <c r="F540" s="7" t="s">
        <v>1322</v>
      </c>
      <c r="G540" s="15"/>
      <c r="H540" s="15"/>
      <c r="I540" s="14"/>
      <c r="L540" s="25"/>
    </row>
    <row r="541" ht="18.75" customHeight="1">
      <c r="A541" s="7" t="s">
        <v>1731</v>
      </c>
      <c r="B541" s="9">
        <v>72912.0</v>
      </c>
      <c r="C541" s="24">
        <v>16.327038073293835</v>
      </c>
      <c r="D541" s="7" t="s">
        <v>417</v>
      </c>
      <c r="E541" s="7" t="s">
        <v>3966</v>
      </c>
      <c r="F541" s="7" t="s">
        <v>1732</v>
      </c>
      <c r="G541" s="15"/>
      <c r="H541" s="15"/>
      <c r="I541" s="14"/>
      <c r="L541" s="25"/>
    </row>
    <row r="542" ht="18.75" customHeight="1">
      <c r="A542" s="7" t="s">
        <v>1779</v>
      </c>
      <c r="B542" s="12"/>
      <c r="C542" s="24">
        <v>0.0</v>
      </c>
      <c r="D542" s="7" t="s">
        <v>808</v>
      </c>
      <c r="E542" s="14"/>
      <c r="F542" s="7" t="s">
        <v>1780</v>
      </c>
      <c r="G542" s="15"/>
      <c r="H542" s="15"/>
      <c r="I542" s="14"/>
      <c r="L542" s="25"/>
    </row>
    <row r="543" ht="18.75" customHeight="1">
      <c r="A543" s="7" t="s">
        <v>1769</v>
      </c>
      <c r="B543" s="9">
        <v>63881.0</v>
      </c>
      <c r="C543" s="24">
        <v>2.7058436780889465</v>
      </c>
      <c r="D543" s="7" t="s">
        <v>466</v>
      </c>
      <c r="E543" s="7" t="s">
        <v>3943</v>
      </c>
      <c r="F543" s="7" t="s">
        <v>1770</v>
      </c>
      <c r="G543" s="15"/>
      <c r="H543" s="15"/>
      <c r="I543" s="14"/>
      <c r="L543" s="25"/>
    </row>
    <row r="544" ht="18.75" customHeight="1">
      <c r="A544" s="7" t="s">
        <v>1741</v>
      </c>
      <c r="B544" s="9">
        <v>606150.0</v>
      </c>
      <c r="C544" s="24">
        <v>1.5923946217932854</v>
      </c>
      <c r="D544" s="7" t="s">
        <v>466</v>
      </c>
      <c r="E544" s="14"/>
      <c r="F544" s="7" t="s">
        <v>1742</v>
      </c>
      <c r="G544" s="15"/>
      <c r="H544" s="15"/>
      <c r="I544" s="14"/>
      <c r="L544" s="25"/>
    </row>
    <row r="545" ht="18.75" customHeight="1">
      <c r="A545" s="7" t="s">
        <v>1773</v>
      </c>
      <c r="B545" s="9">
        <v>55979.0</v>
      </c>
      <c r="C545" s="24">
        <v>2.547098018899945</v>
      </c>
      <c r="D545" s="7" t="s">
        <v>466</v>
      </c>
      <c r="E545" s="7" t="s">
        <v>3945</v>
      </c>
      <c r="F545" s="7" t="s">
        <v>1774</v>
      </c>
      <c r="G545" s="15"/>
      <c r="H545" s="15"/>
      <c r="I545" s="14"/>
      <c r="L545" s="25"/>
    </row>
    <row r="546" ht="18.75" customHeight="1">
      <c r="A546" s="7" t="s">
        <v>1771</v>
      </c>
      <c r="B546" s="12"/>
      <c r="C546" s="24">
        <v>0.0</v>
      </c>
      <c r="D546" s="7" t="s">
        <v>466</v>
      </c>
      <c r="E546" s="7" t="s">
        <v>3946</v>
      </c>
      <c r="F546" s="7" t="s">
        <v>1772</v>
      </c>
      <c r="G546" s="15"/>
      <c r="H546" s="15"/>
      <c r="I546" s="14"/>
      <c r="L546" s="25"/>
    </row>
    <row r="547" ht="18.75" customHeight="1">
      <c r="A547" s="7" t="s">
        <v>1757</v>
      </c>
      <c r="B547" s="12"/>
      <c r="C547" s="24">
        <v>0.0</v>
      </c>
      <c r="D547" s="7" t="s">
        <v>417</v>
      </c>
      <c r="E547" s="7" t="s">
        <v>3926</v>
      </c>
      <c r="F547" s="7" t="s">
        <v>1758</v>
      </c>
      <c r="G547" s="15"/>
      <c r="H547" s="15"/>
      <c r="I547" s="14"/>
      <c r="L547" s="25"/>
    </row>
    <row r="548" ht="18.75" customHeight="1">
      <c r="A548" s="7" t="s">
        <v>1375</v>
      </c>
      <c r="B548" s="9">
        <v>390890.0</v>
      </c>
      <c r="C548" s="24">
        <v>2.4432474609225103</v>
      </c>
      <c r="D548" s="7" t="s">
        <v>378</v>
      </c>
      <c r="E548" s="14"/>
      <c r="F548" s="7" t="s">
        <v>1376</v>
      </c>
      <c r="G548" s="15"/>
      <c r="H548" s="15"/>
      <c r="I548" s="14"/>
      <c r="L548" s="25"/>
    </row>
    <row r="549" ht="18.75" customHeight="1">
      <c r="A549" s="7" t="s">
        <v>1661</v>
      </c>
      <c r="B549" s="9">
        <v>54254.0</v>
      </c>
      <c r="C549" s="24">
        <v>3.4523721753234784</v>
      </c>
      <c r="D549" s="7" t="s">
        <v>417</v>
      </c>
      <c r="E549" s="7" t="s">
        <v>3976</v>
      </c>
      <c r="F549" s="7" t="s">
        <v>1662</v>
      </c>
      <c r="G549" s="15"/>
      <c r="H549" s="15"/>
      <c r="I549" s="14"/>
      <c r="L549" s="25"/>
    </row>
    <row r="550" ht="18.75" customHeight="1">
      <c r="A550" s="7" t="s">
        <v>1785</v>
      </c>
      <c r="B550" s="12"/>
      <c r="C550" s="24">
        <v>0.0</v>
      </c>
      <c r="D550" s="7" t="s">
        <v>667</v>
      </c>
      <c r="E550" s="7" t="s">
        <v>3951</v>
      </c>
      <c r="F550" s="7" t="s">
        <v>1786</v>
      </c>
      <c r="G550" s="15"/>
      <c r="H550" s="15"/>
      <c r="I550" s="14"/>
      <c r="L550" s="25"/>
    </row>
    <row r="551" ht="18.75" customHeight="1">
      <c r="A551" s="7" t="s">
        <v>1676</v>
      </c>
      <c r="B551" s="9">
        <v>373228.0</v>
      </c>
      <c r="C551" s="24">
        <v>2.771448015690141</v>
      </c>
      <c r="D551" s="7" t="s">
        <v>417</v>
      </c>
      <c r="E551" s="7" t="s">
        <v>3966</v>
      </c>
      <c r="F551" s="7" t="s">
        <v>1677</v>
      </c>
      <c r="G551" s="15"/>
      <c r="H551" s="15"/>
      <c r="I551" s="14"/>
      <c r="L551" s="25"/>
    </row>
    <row r="552" ht="18.75" customHeight="1">
      <c r="A552" s="7" t="s">
        <v>3900</v>
      </c>
      <c r="B552" s="12"/>
      <c r="C552" s="24">
        <v>0.0</v>
      </c>
      <c r="D552" s="7" t="s">
        <v>417</v>
      </c>
      <c r="E552" s="7" t="s">
        <v>3969</v>
      </c>
      <c r="F552" s="7" t="s">
        <v>3901</v>
      </c>
      <c r="G552" s="15"/>
      <c r="H552" s="15"/>
      <c r="I552" s="14"/>
      <c r="L552" s="25"/>
    </row>
    <row r="553" ht="18.75" customHeight="1">
      <c r="A553" s="7" t="s">
        <v>1787</v>
      </c>
      <c r="B553" s="12"/>
      <c r="C553" s="24">
        <v>0.0</v>
      </c>
      <c r="D553" s="7" t="s">
        <v>725</v>
      </c>
      <c r="E553" s="7" t="s">
        <v>3956</v>
      </c>
      <c r="F553" s="7" t="s">
        <v>1788</v>
      </c>
      <c r="G553" s="15"/>
      <c r="H553" s="15"/>
      <c r="I553" s="14"/>
      <c r="L553" s="25"/>
    </row>
    <row r="554" ht="18.75" customHeight="1">
      <c r="A554" s="7" t="s">
        <v>1805</v>
      </c>
      <c r="B554" s="9">
        <v>313931.0</v>
      </c>
      <c r="C554" s="24">
        <v>2.2368545954365766</v>
      </c>
      <c r="D554" s="7" t="s">
        <v>466</v>
      </c>
      <c r="E554" s="14"/>
      <c r="F554" s="7" t="s">
        <v>1806</v>
      </c>
      <c r="G554" s="15"/>
      <c r="H554" s="15"/>
      <c r="I554" s="14"/>
      <c r="L554" s="25"/>
    </row>
    <row r="555" ht="18.75" customHeight="1">
      <c r="A555" s="7" t="s">
        <v>1555</v>
      </c>
      <c r="B555" s="9">
        <v>418390.0</v>
      </c>
      <c r="C555" s="24">
        <v>3.762185998709338</v>
      </c>
      <c r="D555" s="7" t="s">
        <v>760</v>
      </c>
      <c r="E555" s="7" t="s">
        <v>3986</v>
      </c>
      <c r="F555" s="7" t="s">
        <v>1556</v>
      </c>
      <c r="G555" s="15"/>
      <c r="H555" s="15"/>
      <c r="I555" s="14"/>
      <c r="L555" s="25"/>
    </row>
    <row r="556" ht="18.75" customHeight="1">
      <c r="A556" s="7" t="s">
        <v>1678</v>
      </c>
      <c r="B556" s="9">
        <v>87775.0</v>
      </c>
      <c r="C556" s="24">
        <v>2.494890344631159</v>
      </c>
      <c r="D556" s="7" t="s">
        <v>417</v>
      </c>
      <c r="E556" s="7" t="s">
        <v>3969</v>
      </c>
      <c r="F556" s="7" t="s">
        <v>1679</v>
      </c>
      <c r="G556" s="15"/>
      <c r="H556" s="15"/>
      <c r="I556" s="14"/>
      <c r="L556" s="25"/>
    </row>
    <row r="557" ht="18.75" customHeight="1">
      <c r="A557" s="7" t="s">
        <v>1813</v>
      </c>
      <c r="B557" s="9">
        <v>522124.0</v>
      </c>
      <c r="C557" s="24">
        <v>2.275518842267354</v>
      </c>
      <c r="D557" s="7" t="s">
        <v>466</v>
      </c>
      <c r="E557" s="14"/>
      <c r="F557" s="7" t="s">
        <v>1814</v>
      </c>
      <c r="G557" s="15"/>
      <c r="H557" s="15"/>
      <c r="I557" s="14"/>
      <c r="L557" s="25"/>
    </row>
    <row r="558" ht="18.75" customHeight="1">
      <c r="A558" s="7" t="s">
        <v>1743</v>
      </c>
      <c r="B558" s="12"/>
      <c r="C558" s="24">
        <v>0.0</v>
      </c>
      <c r="D558" s="7" t="s">
        <v>354</v>
      </c>
      <c r="E558" s="14"/>
      <c r="F558" s="7" t="s">
        <v>1744</v>
      </c>
      <c r="G558" s="15"/>
      <c r="H558" s="15"/>
      <c r="I558" s="14"/>
      <c r="L558" s="25"/>
    </row>
    <row r="559" ht="18.75" customHeight="1">
      <c r="A559" s="7" t="s">
        <v>1801</v>
      </c>
      <c r="B559" s="9">
        <v>104438.0</v>
      </c>
      <c r="C559" s="24">
        <v>9.264415251153794</v>
      </c>
      <c r="D559" s="7" t="s">
        <v>417</v>
      </c>
      <c r="E559" s="7" t="s">
        <v>3966</v>
      </c>
      <c r="F559" s="7" t="s">
        <v>1802</v>
      </c>
      <c r="G559" s="15"/>
      <c r="H559" s="15"/>
      <c r="I559" s="14"/>
      <c r="L559" s="25"/>
    </row>
    <row r="560" ht="18.75" customHeight="1">
      <c r="A560" s="7" t="s">
        <v>1507</v>
      </c>
      <c r="B560" s="9">
        <v>313331.0</v>
      </c>
      <c r="C560" s="24">
        <v>2.3551196657847453</v>
      </c>
      <c r="D560" s="7" t="s">
        <v>405</v>
      </c>
      <c r="E560" s="7" t="s">
        <v>3985</v>
      </c>
      <c r="F560" s="7" t="s">
        <v>1508</v>
      </c>
      <c r="G560" s="15"/>
      <c r="H560" s="15"/>
      <c r="I560" s="14"/>
      <c r="L560" s="25"/>
    </row>
    <row r="561" ht="18.75" customHeight="1">
      <c r="A561" s="7" t="s">
        <v>1817</v>
      </c>
      <c r="B561" s="9">
        <v>89654.0</v>
      </c>
      <c r="C561" s="24">
        <v>1.5866999799228143</v>
      </c>
      <c r="D561" s="7" t="s">
        <v>378</v>
      </c>
      <c r="E561" s="7" t="s">
        <v>3952</v>
      </c>
      <c r="F561" s="7" t="s">
        <v>1818</v>
      </c>
      <c r="G561" s="15"/>
      <c r="H561" s="15"/>
      <c r="I561" s="14"/>
      <c r="L561" s="25"/>
    </row>
    <row r="562" ht="18.75" customHeight="1">
      <c r="A562" s="7" t="s">
        <v>1829</v>
      </c>
      <c r="B562" s="9">
        <v>117566.0</v>
      </c>
      <c r="C562" s="24">
        <v>1.7172992191620027</v>
      </c>
      <c r="D562" s="7" t="s">
        <v>365</v>
      </c>
      <c r="E562" s="7" t="s">
        <v>3954</v>
      </c>
      <c r="F562" s="7" t="s">
        <v>1830</v>
      </c>
      <c r="G562" s="15"/>
      <c r="H562" s="15"/>
      <c r="I562" s="14"/>
      <c r="L562" s="25"/>
    </row>
    <row r="563" ht="18.75" customHeight="1">
      <c r="A563" s="7" t="s">
        <v>1819</v>
      </c>
      <c r="B563" s="9">
        <v>99724.0</v>
      </c>
      <c r="C563" s="24">
        <v>1.662257831615258</v>
      </c>
      <c r="D563" s="7" t="s">
        <v>725</v>
      </c>
      <c r="E563" s="7" t="s">
        <v>3956</v>
      </c>
      <c r="F563" s="7" t="s">
        <v>1820</v>
      </c>
      <c r="G563" s="15"/>
      <c r="H563" s="15"/>
      <c r="I563" s="14"/>
      <c r="L563" s="25"/>
    </row>
    <row r="564" ht="18.75" customHeight="1">
      <c r="A564" s="7" t="s">
        <v>3902</v>
      </c>
      <c r="B564" s="9">
        <v>14369.0</v>
      </c>
      <c r="C564" s="24">
        <v>1.4841673046140997</v>
      </c>
      <c r="D564" s="7" t="s">
        <v>417</v>
      </c>
      <c r="E564" s="7" t="s">
        <v>3969</v>
      </c>
      <c r="F564" s="7" t="s">
        <v>3903</v>
      </c>
      <c r="G564" s="15"/>
      <c r="H564" s="15"/>
      <c r="I564" s="14"/>
      <c r="L564" s="25"/>
    </row>
    <row r="565" ht="18.75" customHeight="1">
      <c r="A565" s="7" t="s">
        <v>1803</v>
      </c>
      <c r="B565" s="9">
        <v>34452.0</v>
      </c>
      <c r="C565" s="24">
        <v>2.298966678277023</v>
      </c>
      <c r="D565" s="7" t="s">
        <v>365</v>
      </c>
      <c r="E565" s="7" t="s">
        <v>3938</v>
      </c>
      <c r="F565" s="7" t="s">
        <v>1804</v>
      </c>
      <c r="G565" s="15"/>
      <c r="H565" s="15"/>
      <c r="I565" s="14"/>
      <c r="L565" s="25"/>
    </row>
    <row r="566" ht="18.75" customHeight="1">
      <c r="A566" s="7" t="s">
        <v>1827</v>
      </c>
      <c r="B566" s="9">
        <v>129756.0</v>
      </c>
      <c r="C566" s="24">
        <v>1.4901738647923795</v>
      </c>
      <c r="D566" s="7" t="s">
        <v>466</v>
      </c>
      <c r="E566" s="7" t="s">
        <v>3943</v>
      </c>
      <c r="F566" s="7" t="s">
        <v>1828</v>
      </c>
      <c r="G566" s="15"/>
      <c r="H566" s="15"/>
      <c r="I566" s="14"/>
      <c r="L566" s="25"/>
    </row>
    <row r="567" ht="18.75" customHeight="1">
      <c r="A567" s="7" t="s">
        <v>1825</v>
      </c>
      <c r="B567" s="9">
        <v>85447.0</v>
      </c>
      <c r="C567" s="24">
        <v>1.672826430418856</v>
      </c>
      <c r="D567" s="7" t="s">
        <v>466</v>
      </c>
      <c r="E567" s="7" t="s">
        <v>3944</v>
      </c>
      <c r="F567" s="7" t="s">
        <v>1826</v>
      </c>
      <c r="G567" s="15"/>
      <c r="H567" s="15"/>
      <c r="I567" s="14"/>
      <c r="L567" s="25"/>
    </row>
    <row r="568" ht="18.75" customHeight="1">
      <c r="A568" s="7" t="s">
        <v>1823</v>
      </c>
      <c r="B568" s="9">
        <v>121792.0</v>
      </c>
      <c r="C568" s="24">
        <v>1.5609399632159748</v>
      </c>
      <c r="D568" s="7" t="s">
        <v>466</v>
      </c>
      <c r="E568" s="7" t="s">
        <v>3946</v>
      </c>
      <c r="F568" s="7" t="s">
        <v>1824</v>
      </c>
      <c r="G568" s="15"/>
      <c r="H568" s="15"/>
      <c r="I568" s="14"/>
      <c r="L568" s="25"/>
    </row>
    <row r="569" ht="18.75" customHeight="1">
      <c r="A569" s="7" t="s">
        <v>1821</v>
      </c>
      <c r="B569" s="9">
        <v>82599.0</v>
      </c>
      <c r="C569" s="24">
        <v>1.658422014794368</v>
      </c>
      <c r="D569" s="7" t="s">
        <v>466</v>
      </c>
      <c r="E569" s="7" t="s">
        <v>3945</v>
      </c>
      <c r="F569" s="7" t="s">
        <v>1822</v>
      </c>
      <c r="G569" s="15"/>
      <c r="H569" s="15"/>
      <c r="I569" s="14"/>
      <c r="L569" s="25"/>
    </row>
    <row r="570" ht="18.75" customHeight="1">
      <c r="A570" s="7" t="s">
        <v>1809</v>
      </c>
      <c r="B570" s="12"/>
      <c r="C570" s="24">
        <v>0.0</v>
      </c>
      <c r="D570" s="7" t="s">
        <v>365</v>
      </c>
      <c r="E570" s="7" t="s">
        <v>3934</v>
      </c>
      <c r="F570" s="7" t="s">
        <v>1810</v>
      </c>
      <c r="G570" s="15"/>
      <c r="H570" s="15"/>
      <c r="I570" s="14"/>
      <c r="L570" s="25"/>
    </row>
    <row r="571" ht="18.75" customHeight="1">
      <c r="A571" s="7" t="s">
        <v>1797</v>
      </c>
      <c r="B571" s="9">
        <v>659654.0</v>
      </c>
      <c r="C571" s="24">
        <v>2.0106010120457087</v>
      </c>
      <c r="D571" s="7" t="s">
        <v>725</v>
      </c>
      <c r="E571" s="14"/>
      <c r="F571" s="7" t="s">
        <v>1798</v>
      </c>
      <c r="G571" s="15"/>
      <c r="H571" s="15"/>
      <c r="I571" s="14"/>
      <c r="L571" s="25"/>
    </row>
    <row r="572" ht="18.75" customHeight="1">
      <c r="A572" s="7" t="s">
        <v>1837</v>
      </c>
      <c r="B572" s="9">
        <v>20876.0</v>
      </c>
      <c r="C572" s="24">
        <v>9.371000191607587</v>
      </c>
      <c r="D572" s="7" t="s">
        <v>417</v>
      </c>
      <c r="E572" s="7" t="s">
        <v>3926</v>
      </c>
      <c r="F572" s="7" t="s">
        <v>1838</v>
      </c>
      <c r="G572" s="15"/>
      <c r="H572" s="15"/>
      <c r="I572" s="14"/>
      <c r="L572" s="25"/>
    </row>
    <row r="573" ht="18.75" customHeight="1">
      <c r="A573" s="7" t="s">
        <v>1839</v>
      </c>
      <c r="B573" s="9">
        <v>15734.0</v>
      </c>
      <c r="C573" s="24">
        <v>29.411974068895386</v>
      </c>
      <c r="D573" s="7" t="s">
        <v>417</v>
      </c>
      <c r="E573" s="7" t="s">
        <v>3969</v>
      </c>
      <c r="F573" s="7" t="s">
        <v>1840</v>
      </c>
      <c r="G573" s="15"/>
      <c r="H573" s="15"/>
      <c r="I573" s="14"/>
      <c r="L573" s="25"/>
    </row>
    <row r="574" ht="18.75" customHeight="1">
      <c r="A574" s="7" t="s">
        <v>1639</v>
      </c>
      <c r="B574" s="9">
        <v>91230.0</v>
      </c>
      <c r="C574" s="24">
        <v>2.2338046695166063</v>
      </c>
      <c r="D574" s="7" t="s">
        <v>667</v>
      </c>
      <c r="E574" s="14"/>
      <c r="F574" s="7" t="s">
        <v>1640</v>
      </c>
      <c r="G574" s="15"/>
      <c r="H574" s="15"/>
      <c r="I574" s="14"/>
      <c r="L574" s="25"/>
    </row>
    <row r="575" ht="18.75" customHeight="1">
      <c r="A575" s="7" t="s">
        <v>1753</v>
      </c>
      <c r="B575" s="9">
        <v>472006.0</v>
      </c>
      <c r="C575" s="24">
        <v>1.7388444214692187</v>
      </c>
      <c r="D575" s="7" t="s">
        <v>417</v>
      </c>
      <c r="E575" s="7" t="s">
        <v>3969</v>
      </c>
      <c r="F575" s="7" t="s">
        <v>1754</v>
      </c>
      <c r="G575" s="15"/>
      <c r="H575" s="15"/>
      <c r="I575" s="14"/>
      <c r="L575" s="25"/>
    </row>
    <row r="576" ht="18.75" customHeight="1">
      <c r="A576" s="7" t="s">
        <v>1731</v>
      </c>
      <c r="B576" s="9">
        <v>472962.0</v>
      </c>
      <c r="C576" s="24">
        <v>2.5169823368473576</v>
      </c>
      <c r="D576" s="7" t="s">
        <v>417</v>
      </c>
      <c r="E576" s="7" t="s">
        <v>3966</v>
      </c>
      <c r="F576" s="7" t="s">
        <v>1732</v>
      </c>
      <c r="G576" s="15"/>
      <c r="H576" s="15"/>
      <c r="I576" s="14"/>
      <c r="L576" s="25"/>
    </row>
    <row r="577" ht="18.75" customHeight="1">
      <c r="A577" s="7" t="s">
        <v>1811</v>
      </c>
      <c r="B577" s="9">
        <v>100428.0</v>
      </c>
      <c r="C577" s="24">
        <v>2.85357669175927</v>
      </c>
      <c r="D577" s="7" t="s">
        <v>405</v>
      </c>
      <c r="E577" s="7" t="s">
        <v>3982</v>
      </c>
      <c r="F577" s="7" t="s">
        <v>1812</v>
      </c>
      <c r="G577" s="15"/>
      <c r="H577" s="15"/>
      <c r="I577" s="14"/>
      <c r="L577" s="25"/>
    </row>
    <row r="578" ht="18.75" customHeight="1">
      <c r="A578" s="7" t="s">
        <v>1757</v>
      </c>
      <c r="B578" s="9">
        <v>258684.0</v>
      </c>
      <c r="C578" s="24">
        <v>1.860308329854185</v>
      </c>
      <c r="D578" s="7" t="s">
        <v>417</v>
      </c>
      <c r="E578" s="7" t="s">
        <v>3926</v>
      </c>
      <c r="F578" s="7" t="s">
        <v>1758</v>
      </c>
      <c r="G578" s="15"/>
      <c r="H578" s="15"/>
      <c r="I578" s="14"/>
      <c r="L578" s="25"/>
    </row>
    <row r="579" ht="18.75" customHeight="1">
      <c r="A579" s="7" t="s">
        <v>1737</v>
      </c>
      <c r="B579" s="9">
        <v>137138.0</v>
      </c>
      <c r="C579" s="24">
        <v>3.376299785617407</v>
      </c>
      <c r="D579" s="7" t="s">
        <v>354</v>
      </c>
      <c r="E579" s="7" t="s">
        <v>3930</v>
      </c>
      <c r="F579" s="7" t="s">
        <v>1738</v>
      </c>
      <c r="G579" s="15"/>
      <c r="H579" s="15"/>
      <c r="I579" s="14"/>
      <c r="L579" s="25"/>
    </row>
    <row r="580" ht="18.75" customHeight="1">
      <c r="A580" s="7" t="s">
        <v>1666</v>
      </c>
      <c r="B580" s="9">
        <v>51384.0</v>
      </c>
      <c r="C580" s="24">
        <v>2.0587342363381596</v>
      </c>
      <c r="D580" s="7" t="s">
        <v>783</v>
      </c>
      <c r="E580" s="14"/>
      <c r="F580" s="7" t="s">
        <v>1667</v>
      </c>
      <c r="G580" s="15"/>
      <c r="H580" s="15"/>
      <c r="I580" s="14"/>
      <c r="L580" s="25"/>
    </row>
    <row r="581" ht="18.75" customHeight="1">
      <c r="A581" s="7" t="s">
        <v>1733</v>
      </c>
      <c r="B581" s="9">
        <v>824428.0</v>
      </c>
      <c r="C581" s="24">
        <v>1.9274090642239226</v>
      </c>
      <c r="D581" s="7" t="s">
        <v>378</v>
      </c>
      <c r="E581" s="7" t="s">
        <v>3930</v>
      </c>
      <c r="F581" s="7" t="s">
        <v>1734</v>
      </c>
      <c r="G581" s="15"/>
      <c r="H581" s="15"/>
      <c r="I581" s="14"/>
      <c r="L581" s="25"/>
    </row>
    <row r="582" ht="18.75" customHeight="1">
      <c r="A582" s="7" t="s">
        <v>1807</v>
      </c>
      <c r="B582" s="9">
        <v>607445.0</v>
      </c>
      <c r="C582" s="24">
        <v>1.887767616821276</v>
      </c>
      <c r="D582" s="7" t="s">
        <v>354</v>
      </c>
      <c r="E582" s="14"/>
      <c r="F582" s="7" t="s">
        <v>1808</v>
      </c>
      <c r="G582" s="15"/>
      <c r="H582" s="15"/>
      <c r="I582" s="14"/>
      <c r="L582" s="25"/>
    </row>
    <row r="583" ht="18.75" customHeight="1">
      <c r="A583" s="7" t="s">
        <v>1861</v>
      </c>
      <c r="B583" s="9">
        <v>25558.0</v>
      </c>
      <c r="C583" s="24">
        <v>9.12755301666797</v>
      </c>
      <c r="D583" s="7" t="s">
        <v>725</v>
      </c>
      <c r="E583" s="7" t="s">
        <v>3956</v>
      </c>
      <c r="F583" s="7" t="s">
        <v>1862</v>
      </c>
      <c r="G583" s="15"/>
      <c r="H583" s="15"/>
      <c r="I583" s="14"/>
      <c r="L583" s="25"/>
    </row>
    <row r="584" ht="18.75" customHeight="1">
      <c r="A584" s="7" t="s">
        <v>1869</v>
      </c>
      <c r="B584" s="9">
        <v>36155.0</v>
      </c>
      <c r="C584" s="24">
        <v>4.238971096667128</v>
      </c>
      <c r="D584" s="7" t="s">
        <v>359</v>
      </c>
      <c r="E584" s="7" t="s">
        <v>3941</v>
      </c>
      <c r="F584" s="7" t="s">
        <v>1870</v>
      </c>
      <c r="G584" s="15"/>
      <c r="H584" s="15"/>
      <c r="I584" s="14"/>
      <c r="L584" s="25"/>
    </row>
    <row r="585" ht="18.75" customHeight="1">
      <c r="A585" s="7" t="s">
        <v>1873</v>
      </c>
      <c r="B585" s="9">
        <v>240551.0</v>
      </c>
      <c r="C585" s="24">
        <v>1.5699913947562056</v>
      </c>
      <c r="D585" s="7" t="s">
        <v>783</v>
      </c>
      <c r="E585" s="7" t="s">
        <v>3959</v>
      </c>
      <c r="F585" s="7" t="s">
        <v>1874</v>
      </c>
      <c r="G585" s="15"/>
      <c r="H585" s="15"/>
      <c r="I585" s="14"/>
      <c r="L585" s="25"/>
    </row>
    <row r="586" ht="18.75" customHeight="1">
      <c r="A586" s="7" t="s">
        <v>1871</v>
      </c>
      <c r="B586" s="9">
        <v>26535.0</v>
      </c>
      <c r="C586" s="24">
        <v>4.9811569625023555</v>
      </c>
      <c r="D586" s="7" t="s">
        <v>354</v>
      </c>
      <c r="E586" s="7" t="s">
        <v>3949</v>
      </c>
      <c r="F586" s="7" t="s">
        <v>1872</v>
      </c>
      <c r="G586" s="15"/>
      <c r="H586" s="15"/>
      <c r="I586" s="14"/>
      <c r="L586" s="25"/>
    </row>
    <row r="587" ht="18.75" customHeight="1">
      <c r="A587" s="7" t="s">
        <v>1884</v>
      </c>
      <c r="B587" s="9">
        <v>106151.0</v>
      </c>
      <c r="C587" s="24">
        <v>1.6616046951983494</v>
      </c>
      <c r="D587" s="7" t="s">
        <v>413</v>
      </c>
      <c r="E587" s="7" t="s">
        <v>3947</v>
      </c>
      <c r="F587" s="7" t="s">
        <v>1885</v>
      </c>
      <c r="G587" s="15"/>
      <c r="H587" s="15"/>
      <c r="I587" s="14"/>
      <c r="L587" s="25"/>
    </row>
    <row r="588" ht="18.75" customHeight="1">
      <c r="A588" s="7" t="s">
        <v>1855</v>
      </c>
      <c r="B588" s="12"/>
      <c r="C588" s="24">
        <v>0.0</v>
      </c>
      <c r="D588" s="7" t="s">
        <v>365</v>
      </c>
      <c r="E588" s="7" t="s">
        <v>3932</v>
      </c>
      <c r="F588" s="7" t="s">
        <v>1856</v>
      </c>
      <c r="G588" s="15"/>
      <c r="H588" s="15"/>
      <c r="I588" s="14"/>
      <c r="L588" s="25"/>
    </row>
    <row r="589" ht="18.75" customHeight="1">
      <c r="A589" s="7" t="s">
        <v>1723</v>
      </c>
      <c r="B589" s="9">
        <v>439429.0</v>
      </c>
      <c r="C589" s="24">
        <v>2.5233359655370946</v>
      </c>
      <c r="D589" s="7" t="s">
        <v>413</v>
      </c>
      <c r="E589" s="14"/>
      <c r="F589" s="7" t="s">
        <v>1724</v>
      </c>
      <c r="G589" s="15"/>
      <c r="H589" s="15"/>
      <c r="I589" s="14"/>
      <c r="L589" s="25"/>
    </row>
    <row r="590" ht="18.75" customHeight="1">
      <c r="A590" s="7" t="s">
        <v>1894</v>
      </c>
      <c r="B590" s="9">
        <v>464972.0</v>
      </c>
      <c r="C590" s="24">
        <v>1.8887911530156654</v>
      </c>
      <c r="D590" s="7" t="s">
        <v>378</v>
      </c>
      <c r="E590" s="7" t="s">
        <v>3978</v>
      </c>
      <c r="F590" s="7" t="s">
        <v>1895</v>
      </c>
      <c r="G590" s="15"/>
      <c r="H590" s="15"/>
      <c r="I590" s="14"/>
      <c r="L590" s="25"/>
    </row>
    <row r="591" ht="18.75" customHeight="1">
      <c r="A591" s="7" t="s">
        <v>1867</v>
      </c>
      <c r="B591" s="9">
        <v>1472466.0</v>
      </c>
      <c r="C591" s="24">
        <v>3.99255466679706</v>
      </c>
      <c r="D591" s="7" t="s">
        <v>466</v>
      </c>
      <c r="E591" s="14"/>
      <c r="F591" s="7" t="s">
        <v>1868</v>
      </c>
      <c r="G591" s="15"/>
      <c r="H591" s="15"/>
      <c r="I591" s="14"/>
      <c r="L591" s="25"/>
    </row>
    <row r="592" ht="18.75" customHeight="1">
      <c r="A592" s="7" t="s">
        <v>1839</v>
      </c>
      <c r="B592" s="9">
        <v>241687.0</v>
      </c>
      <c r="C592" s="24">
        <v>1.9147409666221187</v>
      </c>
      <c r="D592" s="7" t="s">
        <v>417</v>
      </c>
      <c r="E592" s="7" t="s">
        <v>3969</v>
      </c>
      <c r="F592" s="7" t="s">
        <v>1840</v>
      </c>
      <c r="G592" s="15"/>
      <c r="H592" s="15"/>
      <c r="I592" s="14"/>
      <c r="L592" s="25"/>
    </row>
    <row r="593" ht="18.75" customHeight="1">
      <c r="A593" s="7" t="s">
        <v>1863</v>
      </c>
      <c r="B593" s="9">
        <v>929296.0</v>
      </c>
      <c r="C593" s="24">
        <v>2.908451128596271</v>
      </c>
      <c r="D593" s="7" t="s">
        <v>466</v>
      </c>
      <c r="E593" s="7" t="s">
        <v>3931</v>
      </c>
      <c r="F593" s="7" t="s">
        <v>1864</v>
      </c>
      <c r="G593" s="15"/>
      <c r="H593" s="15"/>
      <c r="I593" s="14"/>
      <c r="L593" s="25"/>
    </row>
    <row r="594" ht="18.75" customHeight="1">
      <c r="A594" s="7" t="s">
        <v>1882</v>
      </c>
      <c r="B594" s="9">
        <v>13719.0</v>
      </c>
      <c r="C594" s="24">
        <v>20.340185144689848</v>
      </c>
      <c r="D594" s="7" t="s">
        <v>417</v>
      </c>
      <c r="E594" s="7" t="s">
        <v>3926</v>
      </c>
      <c r="F594" s="7" t="s">
        <v>1883</v>
      </c>
      <c r="G594" s="15"/>
      <c r="H594" s="15"/>
      <c r="I594" s="14"/>
      <c r="L594" s="25"/>
    </row>
    <row r="595" ht="18.75" customHeight="1">
      <c r="A595" s="7" t="s">
        <v>1892</v>
      </c>
      <c r="B595" s="9">
        <v>16292.0</v>
      </c>
      <c r="C595" s="24">
        <v>1.7975693591946968</v>
      </c>
      <c r="D595" s="7" t="s">
        <v>365</v>
      </c>
      <c r="E595" s="7" t="s">
        <v>3934</v>
      </c>
      <c r="F595" s="7" t="s">
        <v>1893</v>
      </c>
      <c r="G595" s="15"/>
      <c r="H595" s="15"/>
      <c r="I595" s="14"/>
      <c r="L595" s="25"/>
    </row>
    <row r="596" ht="18.75" customHeight="1">
      <c r="A596" s="7" t="s">
        <v>1888</v>
      </c>
      <c r="B596" s="9">
        <v>21861.0</v>
      </c>
      <c r="C596" s="24">
        <v>1.0</v>
      </c>
      <c r="D596" s="7" t="s">
        <v>365</v>
      </c>
      <c r="E596" s="7" t="s">
        <v>3924</v>
      </c>
      <c r="F596" s="7" t="s">
        <v>1889</v>
      </c>
      <c r="G596" s="15"/>
      <c r="H596" s="15"/>
      <c r="I596" s="14"/>
      <c r="L596" s="25"/>
    </row>
    <row r="597" ht="18.75" customHeight="1">
      <c r="A597" s="7" t="s">
        <v>1890</v>
      </c>
      <c r="B597" s="12"/>
      <c r="C597" s="24">
        <v>0.0</v>
      </c>
      <c r="D597" s="7" t="s">
        <v>365</v>
      </c>
      <c r="E597" s="7" t="s">
        <v>3924</v>
      </c>
      <c r="F597" s="7" t="s">
        <v>1891</v>
      </c>
      <c r="G597" s="15"/>
      <c r="H597" s="15"/>
      <c r="I597" s="14"/>
      <c r="L597" s="25"/>
    </row>
    <row r="598" ht="18.75" customHeight="1">
      <c r="A598" s="7" t="s">
        <v>1831</v>
      </c>
      <c r="B598" s="9">
        <v>1368524.0</v>
      </c>
      <c r="C598" s="24">
        <v>4.264968681586877</v>
      </c>
      <c r="D598" s="7" t="s">
        <v>1665</v>
      </c>
      <c r="E598" s="14"/>
      <c r="F598" s="7" t="s">
        <v>1832</v>
      </c>
      <c r="G598" s="15"/>
      <c r="H598" s="15"/>
      <c r="I598" s="14"/>
      <c r="L598" s="25"/>
    </row>
    <row r="599" ht="18.75" customHeight="1">
      <c r="A599" s="7" t="s">
        <v>1900</v>
      </c>
      <c r="B599" s="9">
        <v>62089.0</v>
      </c>
      <c r="C599" s="24">
        <v>1.5707452205704715</v>
      </c>
      <c r="D599" s="7" t="s">
        <v>466</v>
      </c>
      <c r="E599" s="7" t="s">
        <v>3944</v>
      </c>
      <c r="F599" s="7" t="s">
        <v>1901</v>
      </c>
      <c r="G599" s="15"/>
      <c r="H599" s="15"/>
      <c r="I599" s="14"/>
      <c r="L599" s="25"/>
    </row>
    <row r="600" ht="18.75" customHeight="1">
      <c r="A600" s="7" t="s">
        <v>1902</v>
      </c>
      <c r="B600" s="9">
        <v>296150.0</v>
      </c>
      <c r="C600" s="24">
        <v>1.4498261016376837</v>
      </c>
      <c r="D600" s="7" t="s">
        <v>466</v>
      </c>
      <c r="E600" s="7" t="s">
        <v>3946</v>
      </c>
      <c r="F600" s="7" t="s">
        <v>1903</v>
      </c>
      <c r="G600" s="15"/>
      <c r="H600" s="15"/>
      <c r="I600" s="14"/>
      <c r="L600" s="25"/>
    </row>
    <row r="601" ht="18.75" customHeight="1">
      <c r="A601" s="7" t="s">
        <v>1898</v>
      </c>
      <c r="B601" s="9">
        <v>64916.0</v>
      </c>
      <c r="C601" s="24">
        <v>1.6032411115903629</v>
      </c>
      <c r="D601" s="7" t="s">
        <v>466</v>
      </c>
      <c r="E601" s="7" t="s">
        <v>3945</v>
      </c>
      <c r="F601" s="7" t="s">
        <v>1899</v>
      </c>
      <c r="G601" s="15"/>
      <c r="H601" s="15"/>
      <c r="I601" s="14"/>
      <c r="L601" s="25"/>
    </row>
    <row r="602" ht="18.75" customHeight="1">
      <c r="A602" s="7" t="s">
        <v>1910</v>
      </c>
      <c r="B602" s="9">
        <v>293244.0</v>
      </c>
      <c r="C602" s="24">
        <v>1.2463613918784358</v>
      </c>
      <c r="D602" s="7" t="s">
        <v>725</v>
      </c>
      <c r="E602" s="7" t="s">
        <v>3956</v>
      </c>
      <c r="F602" s="7" t="s">
        <v>1911</v>
      </c>
      <c r="G602" s="15"/>
      <c r="H602" s="15"/>
      <c r="I602" s="14"/>
      <c r="L602" s="25"/>
    </row>
    <row r="603" ht="18.75" customHeight="1">
      <c r="A603" s="7" t="s">
        <v>1912</v>
      </c>
      <c r="B603" s="9">
        <v>64819.0</v>
      </c>
      <c r="C603" s="24">
        <v>1.634181335719465</v>
      </c>
      <c r="D603" s="7" t="s">
        <v>378</v>
      </c>
      <c r="E603" s="7" t="s">
        <v>3952</v>
      </c>
      <c r="F603" s="7" t="s">
        <v>1913</v>
      </c>
      <c r="G603" s="15"/>
      <c r="H603" s="15"/>
      <c r="I603" s="14"/>
      <c r="L603" s="25"/>
    </row>
    <row r="604" ht="18.75" customHeight="1">
      <c r="A604" s="7" t="s">
        <v>1914</v>
      </c>
      <c r="B604" s="9">
        <v>76388.0</v>
      </c>
      <c r="C604" s="24">
        <v>1.5523511546316175</v>
      </c>
      <c r="D604" s="7" t="s">
        <v>594</v>
      </c>
      <c r="E604" s="7" t="s">
        <v>3942</v>
      </c>
      <c r="F604" s="7" t="s">
        <v>1915</v>
      </c>
      <c r="G604" s="15"/>
      <c r="H604" s="15"/>
      <c r="I604" s="14"/>
      <c r="L604" s="25"/>
    </row>
    <row r="605" ht="18.75" customHeight="1">
      <c r="A605" s="7" t="s">
        <v>1739</v>
      </c>
      <c r="B605" s="9">
        <v>107085.0</v>
      </c>
      <c r="C605" s="24">
        <v>2.263342204790587</v>
      </c>
      <c r="D605" s="7" t="s">
        <v>365</v>
      </c>
      <c r="E605" s="7" t="s">
        <v>364</v>
      </c>
      <c r="F605" s="7" t="s">
        <v>1740</v>
      </c>
      <c r="G605" s="15"/>
      <c r="H605" s="15"/>
      <c r="I605" s="14"/>
      <c r="L605" s="25"/>
    </row>
    <row r="606" ht="18.75" customHeight="1">
      <c r="A606" s="7" t="s">
        <v>1865</v>
      </c>
      <c r="B606" s="9">
        <v>132497.0</v>
      </c>
      <c r="C606" s="24">
        <v>5.4213227469301195</v>
      </c>
      <c r="D606" s="7" t="s">
        <v>417</v>
      </c>
      <c r="E606" s="7" t="s">
        <v>3966</v>
      </c>
      <c r="F606" s="7" t="s">
        <v>1866</v>
      </c>
      <c r="G606" s="15"/>
      <c r="H606" s="15"/>
      <c r="I606" s="14"/>
      <c r="L606" s="25"/>
    </row>
    <row r="607" ht="18.75" customHeight="1">
      <c r="A607" s="7" t="s">
        <v>1879</v>
      </c>
      <c r="B607" s="9">
        <v>85014.0</v>
      </c>
      <c r="C607" s="24">
        <v>2.8100077634272003</v>
      </c>
      <c r="D607" s="7" t="s">
        <v>378</v>
      </c>
      <c r="E607" s="7" t="s">
        <v>3940</v>
      </c>
      <c r="F607" s="7" t="s">
        <v>1880</v>
      </c>
      <c r="G607" s="15"/>
      <c r="H607" s="15"/>
      <c r="I607" s="14"/>
      <c r="L607" s="25"/>
    </row>
    <row r="608" ht="18.75" customHeight="1">
      <c r="A608" s="7" t="s">
        <v>1837</v>
      </c>
      <c r="B608" s="9">
        <v>47999.0</v>
      </c>
      <c r="C608" s="24">
        <v>4.075689076855768</v>
      </c>
      <c r="D608" s="7" t="s">
        <v>417</v>
      </c>
      <c r="E608" s="7" t="s">
        <v>3926</v>
      </c>
      <c r="F608" s="7" t="s">
        <v>1838</v>
      </c>
      <c r="G608" s="15"/>
      <c r="H608" s="15"/>
      <c r="I608" s="14"/>
      <c r="L608" s="25"/>
    </row>
    <row r="609" ht="18.75" customHeight="1">
      <c r="A609" s="7" t="s">
        <v>1833</v>
      </c>
      <c r="B609" s="9">
        <v>88571.0</v>
      </c>
      <c r="C609" s="24">
        <v>2.642670851633153</v>
      </c>
      <c r="D609" s="7" t="s">
        <v>760</v>
      </c>
      <c r="E609" s="7" t="s">
        <v>3987</v>
      </c>
      <c r="F609" s="7" t="s">
        <v>1834</v>
      </c>
      <c r="G609" s="15"/>
      <c r="H609" s="15"/>
      <c r="I609" s="14"/>
      <c r="L609" s="25"/>
    </row>
    <row r="610" ht="18.75" customHeight="1">
      <c r="A610" s="7" t="s">
        <v>1877</v>
      </c>
      <c r="B610" s="9">
        <v>509971.0</v>
      </c>
      <c r="C610" s="24">
        <v>1.644638616705656</v>
      </c>
      <c r="D610" s="7" t="s">
        <v>378</v>
      </c>
      <c r="E610" s="7" t="s">
        <v>3940</v>
      </c>
      <c r="F610" s="7" t="s">
        <v>1878</v>
      </c>
      <c r="G610" s="15"/>
      <c r="H610" s="15"/>
      <c r="I610" s="14"/>
      <c r="L610" s="25"/>
    </row>
    <row r="611" ht="18.75" customHeight="1">
      <c r="A611" s="7" t="s">
        <v>1801</v>
      </c>
      <c r="B611" s="9">
        <v>452030.0</v>
      </c>
      <c r="C611" s="24">
        <v>2.140470765214698</v>
      </c>
      <c r="D611" s="7" t="s">
        <v>417</v>
      </c>
      <c r="E611" s="7" t="s">
        <v>3966</v>
      </c>
      <c r="F611" s="7" t="s">
        <v>1802</v>
      </c>
      <c r="G611" s="15"/>
      <c r="H611" s="15"/>
      <c r="I611" s="14"/>
      <c r="L611" s="25"/>
    </row>
    <row r="612" ht="18.75" customHeight="1">
      <c r="A612" s="7" t="s">
        <v>1904</v>
      </c>
      <c r="B612" s="9">
        <v>63198.0</v>
      </c>
      <c r="C612" s="24">
        <v>1.0985315991012374</v>
      </c>
      <c r="D612" s="7" t="s">
        <v>466</v>
      </c>
      <c r="E612" s="7" t="s">
        <v>3943</v>
      </c>
      <c r="F612" s="7" t="s">
        <v>1905</v>
      </c>
      <c r="G612" s="15"/>
      <c r="H612" s="15"/>
      <c r="I612" s="14"/>
      <c r="L612" s="25"/>
    </row>
    <row r="613" ht="18.75" customHeight="1">
      <c r="A613" s="7" t="s">
        <v>1859</v>
      </c>
      <c r="B613" s="9">
        <v>87028.0</v>
      </c>
      <c r="C613" s="24">
        <v>2.785264512570667</v>
      </c>
      <c r="D613" s="7" t="s">
        <v>365</v>
      </c>
      <c r="E613" s="7" t="s">
        <v>3988</v>
      </c>
      <c r="F613" s="7" t="s">
        <v>1860</v>
      </c>
      <c r="G613" s="15"/>
      <c r="H613" s="15"/>
      <c r="I613" s="14"/>
      <c r="L613" s="25"/>
    </row>
    <row r="614" ht="18.75" customHeight="1">
      <c r="A614" s="7" t="s">
        <v>1932</v>
      </c>
      <c r="B614" s="9">
        <v>568282.0</v>
      </c>
      <c r="C614" s="24">
        <v>1.5861755255313383</v>
      </c>
      <c r="D614" s="7" t="s">
        <v>417</v>
      </c>
      <c r="E614" s="14"/>
      <c r="F614" s="7" t="s">
        <v>1933</v>
      </c>
      <c r="G614" s="15"/>
      <c r="H614" s="15"/>
      <c r="I614" s="14"/>
      <c r="L614" s="25"/>
    </row>
    <row r="615" ht="18.75" customHeight="1">
      <c r="A615" s="7" t="s">
        <v>1725</v>
      </c>
      <c r="B615" s="9">
        <v>442734.0</v>
      </c>
      <c r="C615" s="24">
        <v>2.5194970343366445</v>
      </c>
      <c r="D615" s="7" t="s">
        <v>378</v>
      </c>
      <c r="E615" s="7" t="s">
        <v>3989</v>
      </c>
      <c r="F615" s="7" t="s">
        <v>1726</v>
      </c>
      <c r="G615" s="15"/>
      <c r="H615" s="15"/>
      <c r="I615" s="14"/>
      <c r="L615" s="25"/>
    </row>
    <row r="616" ht="18.75" customHeight="1">
      <c r="A616" s="7" t="s">
        <v>1930</v>
      </c>
      <c r="B616" s="9">
        <v>103279.0</v>
      </c>
      <c r="C616" s="24">
        <v>1.8022734534610134</v>
      </c>
      <c r="D616" s="7" t="s">
        <v>354</v>
      </c>
      <c r="E616" s="14"/>
      <c r="F616" s="7" t="s">
        <v>1931</v>
      </c>
      <c r="G616" s="15"/>
      <c r="H616" s="15"/>
      <c r="I616" s="14"/>
      <c r="L616" s="25"/>
    </row>
    <row r="617" ht="18.75" customHeight="1">
      <c r="A617" s="7" t="s">
        <v>1938</v>
      </c>
      <c r="B617" s="9">
        <v>63111.0</v>
      </c>
      <c r="C617" s="24">
        <v>1.875774429180333</v>
      </c>
      <c r="D617" s="7" t="s">
        <v>365</v>
      </c>
      <c r="E617" s="7" t="s">
        <v>3954</v>
      </c>
      <c r="F617" s="7" t="s">
        <v>1939</v>
      </c>
      <c r="G617" s="15"/>
      <c r="H617" s="15"/>
      <c r="I617" s="14"/>
      <c r="L617" s="25"/>
    </row>
    <row r="618" ht="18.75" customHeight="1">
      <c r="A618" s="7" t="s">
        <v>1936</v>
      </c>
      <c r="B618" s="9">
        <v>17388.0</v>
      </c>
      <c r="C618" s="24">
        <v>24.205774097078447</v>
      </c>
      <c r="D618" s="7" t="s">
        <v>417</v>
      </c>
      <c r="E618" s="7" t="s">
        <v>3926</v>
      </c>
      <c r="F618" s="7" t="s">
        <v>1937</v>
      </c>
      <c r="G618" s="15"/>
      <c r="H618" s="15"/>
      <c r="I618" s="14"/>
      <c r="L618" s="25"/>
    </row>
    <row r="619" ht="18.75" customHeight="1">
      <c r="A619" s="7" t="s">
        <v>1944</v>
      </c>
      <c r="B619" s="9">
        <v>86889.0</v>
      </c>
      <c r="C619" s="24">
        <v>1.339801355752742</v>
      </c>
      <c r="D619" s="7" t="s">
        <v>466</v>
      </c>
      <c r="E619" s="7" t="s">
        <v>3948</v>
      </c>
      <c r="F619" s="7" t="s">
        <v>1945</v>
      </c>
      <c r="G619" s="15"/>
      <c r="H619" s="15"/>
      <c r="I619" s="14"/>
      <c r="L619" s="25"/>
    </row>
    <row r="620" ht="18.75" customHeight="1">
      <c r="A620" s="7" t="s">
        <v>1942</v>
      </c>
      <c r="B620" s="9">
        <v>35839.0</v>
      </c>
      <c r="C620" s="24">
        <v>2.763358352632607</v>
      </c>
      <c r="D620" s="7" t="s">
        <v>667</v>
      </c>
      <c r="E620" s="7" t="s">
        <v>3951</v>
      </c>
      <c r="F620" s="7" t="s">
        <v>1943</v>
      </c>
      <c r="G620" s="15"/>
      <c r="H620" s="15"/>
      <c r="I620" s="14"/>
      <c r="L620" s="25"/>
    </row>
    <row r="621" ht="18.75" customHeight="1">
      <c r="A621" s="7" t="s">
        <v>1928</v>
      </c>
      <c r="B621" s="9">
        <v>386.0</v>
      </c>
      <c r="C621" s="24">
        <v>1.072538860103627</v>
      </c>
      <c r="D621" s="7" t="s">
        <v>365</v>
      </c>
      <c r="E621" s="7" t="s">
        <v>3924</v>
      </c>
      <c r="F621" s="7" t="s">
        <v>1929</v>
      </c>
      <c r="G621" s="15"/>
      <c r="H621" s="15"/>
      <c r="I621" s="14"/>
      <c r="L621" s="25"/>
    </row>
    <row r="622" ht="18.75" customHeight="1">
      <c r="A622" s="7" t="s">
        <v>1882</v>
      </c>
      <c r="B622" s="9">
        <v>126037.0</v>
      </c>
      <c r="C622" s="24">
        <v>2.2140085847806596</v>
      </c>
      <c r="D622" s="7" t="s">
        <v>417</v>
      </c>
      <c r="E622" s="7" t="s">
        <v>3926</v>
      </c>
      <c r="F622" s="7" t="s">
        <v>1883</v>
      </c>
      <c r="G622" s="15"/>
      <c r="H622" s="15"/>
      <c r="I622" s="14"/>
      <c r="L622" s="25"/>
    </row>
    <row r="623" ht="18.75" customHeight="1">
      <c r="A623" s="7" t="s">
        <v>1960</v>
      </c>
      <c r="B623" s="9">
        <v>404134.0</v>
      </c>
      <c r="C623" s="24">
        <v>1.5423151726902462</v>
      </c>
      <c r="D623" s="7" t="s">
        <v>466</v>
      </c>
      <c r="E623" s="7" t="s">
        <v>3943</v>
      </c>
      <c r="F623" s="7" t="s">
        <v>1961</v>
      </c>
      <c r="G623" s="15"/>
      <c r="H623" s="15"/>
      <c r="I623" s="14"/>
      <c r="L623" s="25"/>
    </row>
    <row r="624" ht="18.75" customHeight="1">
      <c r="A624" s="7" t="s">
        <v>1956</v>
      </c>
      <c r="B624" s="9">
        <v>72585.0</v>
      </c>
      <c r="C624" s="24">
        <v>1.7611352207756423</v>
      </c>
      <c r="D624" s="7" t="s">
        <v>466</v>
      </c>
      <c r="E624" s="7" t="s">
        <v>3944</v>
      </c>
      <c r="F624" s="7" t="s">
        <v>1957</v>
      </c>
      <c r="G624" s="15"/>
      <c r="H624" s="15"/>
      <c r="I624" s="14"/>
      <c r="L624" s="25"/>
    </row>
    <row r="625" ht="18.75" customHeight="1">
      <c r="A625" s="7" t="s">
        <v>1958</v>
      </c>
      <c r="B625" s="9">
        <v>97301.0</v>
      </c>
      <c r="C625" s="24">
        <v>1.5294601288784289</v>
      </c>
      <c r="D625" s="7" t="s">
        <v>466</v>
      </c>
      <c r="E625" s="7" t="s">
        <v>3945</v>
      </c>
      <c r="F625" s="7" t="s">
        <v>1959</v>
      </c>
      <c r="G625" s="15"/>
      <c r="H625" s="15"/>
      <c r="I625" s="14"/>
      <c r="L625" s="25"/>
    </row>
    <row r="626" ht="18.75" customHeight="1">
      <c r="A626" s="7" t="s">
        <v>1962</v>
      </c>
      <c r="B626" s="9">
        <v>299018.0</v>
      </c>
      <c r="C626" s="24">
        <v>1.186851627661211</v>
      </c>
      <c r="D626" s="7" t="s">
        <v>466</v>
      </c>
      <c r="E626" s="7" t="s">
        <v>3946</v>
      </c>
      <c r="F626" s="7" t="s">
        <v>1963</v>
      </c>
      <c r="G626" s="15"/>
      <c r="H626" s="15"/>
      <c r="I626" s="14"/>
      <c r="L626" s="25"/>
    </row>
    <row r="627" ht="18.75" customHeight="1">
      <c r="A627" s="7" t="s">
        <v>1940</v>
      </c>
      <c r="B627" s="9">
        <v>91127.0</v>
      </c>
      <c r="C627" s="24">
        <v>1.7590395821216545</v>
      </c>
      <c r="D627" s="7" t="s">
        <v>594</v>
      </c>
      <c r="E627" s="7" t="s">
        <v>3942</v>
      </c>
      <c r="F627" s="7" t="s">
        <v>1941</v>
      </c>
      <c r="G627" s="15"/>
      <c r="H627" s="15"/>
      <c r="I627" s="14"/>
      <c r="L627" s="25"/>
    </row>
    <row r="628" ht="18.75" customHeight="1">
      <c r="A628" s="7" t="s">
        <v>3904</v>
      </c>
      <c r="B628" s="12"/>
      <c r="C628" s="24">
        <v>0.0</v>
      </c>
      <c r="D628" s="7" t="s">
        <v>417</v>
      </c>
      <c r="E628" s="7" t="s">
        <v>3926</v>
      </c>
      <c r="F628" s="7" t="s">
        <v>3905</v>
      </c>
      <c r="G628" s="15"/>
      <c r="H628" s="15"/>
      <c r="I628" s="14"/>
      <c r="L628" s="25"/>
    </row>
    <row r="629" ht="18.75" customHeight="1">
      <c r="A629" s="7" t="s">
        <v>1976</v>
      </c>
      <c r="B629" s="9">
        <v>68577.0</v>
      </c>
      <c r="C629" s="24">
        <v>1.3936888461145864</v>
      </c>
      <c r="D629" s="7" t="s">
        <v>725</v>
      </c>
      <c r="E629" s="7" t="s">
        <v>3956</v>
      </c>
      <c r="F629" s="7" t="s">
        <v>1977</v>
      </c>
      <c r="G629" s="15"/>
      <c r="H629" s="15"/>
      <c r="I629" s="14"/>
      <c r="L629" s="25"/>
    </row>
    <row r="630" ht="18.75" customHeight="1">
      <c r="A630" s="7" t="s">
        <v>1970</v>
      </c>
      <c r="B630" s="9">
        <v>231300.0</v>
      </c>
      <c r="C630" s="24">
        <v>2.6430998702983137</v>
      </c>
      <c r="D630" s="7" t="s">
        <v>365</v>
      </c>
      <c r="E630" s="7" t="s">
        <v>3919</v>
      </c>
      <c r="F630" s="7" t="s">
        <v>1971</v>
      </c>
      <c r="G630" s="15"/>
      <c r="H630" s="15"/>
      <c r="I630" s="14"/>
      <c r="L630" s="25"/>
    </row>
    <row r="631" ht="18.75" customHeight="1">
      <c r="A631" s="7" t="s">
        <v>1946</v>
      </c>
      <c r="B631" s="9">
        <v>403480.0</v>
      </c>
      <c r="C631" s="24">
        <v>1.6630762367403589</v>
      </c>
      <c r="D631" s="7" t="s">
        <v>378</v>
      </c>
      <c r="E631" s="14"/>
      <c r="F631" s="7" t="s">
        <v>1947</v>
      </c>
      <c r="G631" s="15"/>
      <c r="H631" s="15"/>
      <c r="I631" s="14"/>
      <c r="L631" s="25"/>
    </row>
    <row r="632" ht="18.75" customHeight="1">
      <c r="A632" s="7" t="s">
        <v>1950</v>
      </c>
      <c r="B632" s="9">
        <v>74805.0</v>
      </c>
      <c r="C632" s="24">
        <v>5.84787113160885</v>
      </c>
      <c r="D632" s="7" t="s">
        <v>783</v>
      </c>
      <c r="E632" s="14"/>
      <c r="F632" s="7" t="s">
        <v>1951</v>
      </c>
      <c r="G632" s="15"/>
      <c r="H632" s="15"/>
      <c r="I632" s="14"/>
      <c r="L632" s="25"/>
    </row>
    <row r="633" ht="18.75" customHeight="1">
      <c r="A633" s="7" t="s">
        <v>1988</v>
      </c>
      <c r="B633" s="9">
        <v>1958.0</v>
      </c>
      <c r="C633" s="24">
        <v>1.0</v>
      </c>
      <c r="D633" s="7" t="s">
        <v>365</v>
      </c>
      <c r="E633" s="7" t="s">
        <v>3934</v>
      </c>
      <c r="F633" s="7" t="s">
        <v>1989</v>
      </c>
      <c r="G633" s="15"/>
      <c r="H633" s="15"/>
      <c r="I633" s="14"/>
      <c r="L633" s="25"/>
    </row>
    <row r="634" ht="18.75" customHeight="1">
      <c r="A634" s="7" t="s">
        <v>1974</v>
      </c>
      <c r="B634" s="9">
        <v>2422026.0</v>
      </c>
      <c r="C634" s="24">
        <v>1.9329635602590558</v>
      </c>
      <c r="D634" s="7" t="s">
        <v>466</v>
      </c>
      <c r="E634" s="14"/>
      <c r="F634" s="7" t="s">
        <v>1975</v>
      </c>
      <c r="G634" s="15"/>
      <c r="H634" s="15"/>
      <c r="I634" s="14"/>
      <c r="L634" s="25"/>
    </row>
    <row r="635" ht="18.75" customHeight="1">
      <c r="A635" s="7" t="s">
        <v>1948</v>
      </c>
      <c r="B635" s="9">
        <v>573001.0</v>
      </c>
      <c r="C635" s="24">
        <v>1.7415275016972047</v>
      </c>
      <c r="D635" s="7" t="s">
        <v>378</v>
      </c>
      <c r="E635" s="7" t="s">
        <v>3940</v>
      </c>
      <c r="F635" s="7" t="s">
        <v>1949</v>
      </c>
      <c r="G635" s="15"/>
      <c r="H635" s="15"/>
      <c r="I635" s="14"/>
      <c r="L635" s="25"/>
    </row>
    <row r="636" ht="18.75" customHeight="1">
      <c r="A636" s="7" t="s">
        <v>501</v>
      </c>
      <c r="B636" s="9">
        <v>1151860.0</v>
      </c>
      <c r="C636" s="24">
        <v>3.6945210355425138</v>
      </c>
      <c r="D636" s="7" t="s">
        <v>504</v>
      </c>
      <c r="E636" s="14"/>
      <c r="F636" s="7" t="s">
        <v>502</v>
      </c>
      <c r="G636" s="15"/>
      <c r="H636" s="15"/>
      <c r="I636" s="14"/>
      <c r="L636" s="25"/>
    </row>
    <row r="637" ht="18.75" customHeight="1">
      <c r="A637" s="7" t="s">
        <v>1992</v>
      </c>
      <c r="B637" s="12"/>
      <c r="C637" s="24">
        <v>0.0</v>
      </c>
      <c r="D637" s="7" t="s">
        <v>413</v>
      </c>
      <c r="E637" s="14"/>
      <c r="F637" s="7" t="s">
        <v>1993</v>
      </c>
      <c r="G637" s="15"/>
      <c r="H637" s="15"/>
      <c r="I637" s="14"/>
      <c r="L637" s="25"/>
    </row>
    <row r="638" ht="18.75" customHeight="1">
      <c r="A638" s="7" t="s">
        <v>2004</v>
      </c>
      <c r="B638" s="9">
        <v>3334161.0</v>
      </c>
      <c r="C638" s="24">
        <v>1.670452026761755</v>
      </c>
      <c r="D638" s="7" t="s">
        <v>466</v>
      </c>
      <c r="E638" s="14"/>
      <c r="F638" s="7" t="s">
        <v>2005</v>
      </c>
      <c r="G638" s="15"/>
      <c r="H638" s="15"/>
      <c r="I638" s="14"/>
      <c r="L638" s="25"/>
    </row>
    <row r="639" ht="18.75" customHeight="1">
      <c r="A639" s="7" t="s">
        <v>1972</v>
      </c>
      <c r="B639" s="9">
        <v>2634893.0</v>
      </c>
      <c r="C639" s="24">
        <v>2.1016026077719285</v>
      </c>
      <c r="D639" s="7" t="s">
        <v>466</v>
      </c>
      <c r="E639" s="14"/>
      <c r="F639" s="7" t="s">
        <v>1973</v>
      </c>
      <c r="G639" s="15"/>
      <c r="H639" s="15"/>
      <c r="I639" s="14"/>
      <c r="L639" s="25"/>
    </row>
    <row r="640" ht="18.75" customHeight="1">
      <c r="A640" s="7" t="s">
        <v>1998</v>
      </c>
      <c r="B640" s="9">
        <v>112629.0</v>
      </c>
      <c r="C640" s="24">
        <v>1.6245727121789237</v>
      </c>
      <c r="D640" s="7" t="s">
        <v>354</v>
      </c>
      <c r="E640" s="7" t="s">
        <v>3949</v>
      </c>
      <c r="F640" s="7" t="s">
        <v>1999</v>
      </c>
      <c r="G640" s="15"/>
      <c r="H640" s="15"/>
      <c r="I640" s="14"/>
      <c r="L640" s="25"/>
    </row>
    <row r="641" ht="18.75" customHeight="1">
      <c r="A641" s="7" t="s">
        <v>1986</v>
      </c>
      <c r="B641" s="9">
        <v>151781.0</v>
      </c>
      <c r="C641" s="24">
        <v>2.0224270494989494</v>
      </c>
      <c r="D641" s="7" t="s">
        <v>783</v>
      </c>
      <c r="E641" s="14"/>
      <c r="F641" s="7" t="s">
        <v>1987</v>
      </c>
      <c r="G641" s="15"/>
      <c r="H641" s="15"/>
      <c r="I641" s="14"/>
      <c r="L641" s="25"/>
    </row>
    <row r="642" ht="18.75" customHeight="1">
      <c r="A642" s="7" t="s">
        <v>1994</v>
      </c>
      <c r="B642" s="9">
        <v>77784.0</v>
      </c>
      <c r="C642" s="24">
        <v>1.6618584798930371</v>
      </c>
      <c r="D642" s="7" t="s">
        <v>466</v>
      </c>
      <c r="E642" s="7" t="s">
        <v>3948</v>
      </c>
      <c r="F642" s="7" t="s">
        <v>1995</v>
      </c>
      <c r="G642" s="15"/>
      <c r="H642" s="15"/>
      <c r="I642" s="14"/>
      <c r="L642" s="25"/>
    </row>
    <row r="643" ht="18.75" customHeight="1">
      <c r="A643" s="7" t="s">
        <v>1789</v>
      </c>
      <c r="B643" s="9">
        <v>233664.0</v>
      </c>
      <c r="C643" s="24">
        <v>1.4551492741714598</v>
      </c>
      <c r="D643" s="7" t="s">
        <v>833</v>
      </c>
      <c r="E643" s="14"/>
      <c r="F643" s="7" t="s">
        <v>1790</v>
      </c>
      <c r="G643" s="15"/>
      <c r="H643" s="15"/>
      <c r="I643" s="14"/>
      <c r="L643" s="25"/>
    </row>
    <row r="644" ht="18.75" customHeight="1">
      <c r="A644" s="7" t="s">
        <v>1996</v>
      </c>
      <c r="B644" s="9">
        <v>87071.0</v>
      </c>
      <c r="C644" s="24">
        <v>1.4156607825797338</v>
      </c>
      <c r="D644" s="7" t="s">
        <v>359</v>
      </c>
      <c r="E644" s="7" t="s">
        <v>3941</v>
      </c>
      <c r="F644" s="7" t="s">
        <v>1997</v>
      </c>
      <c r="G644" s="15"/>
      <c r="H644" s="15"/>
      <c r="I644" s="14"/>
      <c r="L644" s="25"/>
    </row>
    <row r="645" ht="18.75" customHeight="1">
      <c r="A645" s="7" t="s">
        <v>1865</v>
      </c>
      <c r="B645" s="9">
        <v>304121.0</v>
      </c>
      <c r="C645" s="24">
        <v>2.3619184469339505</v>
      </c>
      <c r="D645" s="7" t="s">
        <v>417</v>
      </c>
      <c r="E645" s="7" t="s">
        <v>3966</v>
      </c>
      <c r="F645" s="7" t="s">
        <v>1866</v>
      </c>
      <c r="G645" s="15"/>
      <c r="H645" s="15"/>
      <c r="I645" s="14"/>
      <c r="L645" s="25"/>
    </row>
    <row r="646" ht="18.75" customHeight="1">
      <c r="A646" s="7" t="s">
        <v>1936</v>
      </c>
      <c r="B646" s="9">
        <v>205056.0</v>
      </c>
      <c r="C646" s="24">
        <v>2.052561251560549</v>
      </c>
      <c r="D646" s="7" t="s">
        <v>417</v>
      </c>
      <c r="E646" s="7" t="s">
        <v>3926</v>
      </c>
      <c r="F646" s="7" t="s">
        <v>1937</v>
      </c>
      <c r="G646" s="15"/>
      <c r="H646" s="15"/>
      <c r="I646" s="14"/>
      <c r="L646" s="25"/>
    </row>
    <row r="647" ht="18.75" customHeight="1">
      <c r="A647" s="7" t="s">
        <v>2010</v>
      </c>
      <c r="B647" s="9">
        <v>483212.0</v>
      </c>
      <c r="C647" s="24">
        <v>1.1515318328187214</v>
      </c>
      <c r="D647" s="7" t="s">
        <v>667</v>
      </c>
      <c r="E647" s="14"/>
      <c r="F647" s="7" t="s">
        <v>2011</v>
      </c>
      <c r="G647" s="15"/>
      <c r="H647" s="15"/>
      <c r="I647" s="14"/>
      <c r="L647" s="25"/>
    </row>
    <row r="648" ht="18.75" customHeight="1">
      <c r="A648" s="7" t="s">
        <v>2016</v>
      </c>
      <c r="B648" s="12"/>
      <c r="C648" s="24">
        <v>0.0</v>
      </c>
      <c r="D648" s="7" t="s">
        <v>417</v>
      </c>
      <c r="E648" s="7" t="s">
        <v>3926</v>
      </c>
      <c r="F648" s="7" t="s">
        <v>2017</v>
      </c>
      <c r="G648" s="15"/>
      <c r="H648" s="15"/>
      <c r="I648" s="14"/>
      <c r="L648" s="25"/>
    </row>
    <row r="649" ht="18.75" customHeight="1">
      <c r="A649" s="7" t="s">
        <v>2014</v>
      </c>
      <c r="B649" s="12"/>
      <c r="C649" s="24">
        <v>0.0</v>
      </c>
      <c r="D649" s="7" t="s">
        <v>417</v>
      </c>
      <c r="E649" s="7" t="s">
        <v>3926</v>
      </c>
      <c r="F649" s="7" t="s">
        <v>2015</v>
      </c>
      <c r="G649" s="15"/>
      <c r="H649" s="15"/>
      <c r="I649" s="14"/>
      <c r="L649" s="25"/>
    </row>
    <row r="650" ht="18.75" customHeight="1">
      <c r="A650" s="7" t="s">
        <v>2028</v>
      </c>
      <c r="B650" s="9">
        <v>49145.0</v>
      </c>
      <c r="C650" s="24">
        <v>1.9714925221283957</v>
      </c>
      <c r="D650" s="7" t="s">
        <v>783</v>
      </c>
      <c r="E650" s="7" t="s">
        <v>3939</v>
      </c>
      <c r="F650" s="7" t="s">
        <v>2029</v>
      </c>
      <c r="G650" s="15"/>
      <c r="H650" s="15"/>
      <c r="I650" s="14"/>
      <c r="L650" s="25"/>
    </row>
    <row r="651" ht="18.75" customHeight="1">
      <c r="A651" s="7" t="s">
        <v>2018</v>
      </c>
      <c r="B651" s="12"/>
      <c r="C651" s="24">
        <v>0.0</v>
      </c>
      <c r="D651" s="7" t="s">
        <v>365</v>
      </c>
      <c r="E651" s="7" t="s">
        <v>3924</v>
      </c>
      <c r="F651" s="7" t="s">
        <v>2019</v>
      </c>
      <c r="G651" s="15"/>
      <c r="H651" s="15"/>
      <c r="I651" s="14"/>
      <c r="L651" s="25"/>
    </row>
    <row r="652" ht="18.75" customHeight="1">
      <c r="A652" s="7" t="s">
        <v>2042</v>
      </c>
      <c r="B652" s="9">
        <v>423383.0</v>
      </c>
      <c r="C652" s="24">
        <v>1.5751293745851864</v>
      </c>
      <c r="D652" s="7" t="s">
        <v>378</v>
      </c>
      <c r="E652" s="7" t="s">
        <v>3952</v>
      </c>
      <c r="F652" s="7" t="s">
        <v>2043</v>
      </c>
      <c r="G652" s="15"/>
      <c r="H652" s="15"/>
      <c r="I652" s="14"/>
      <c r="L652" s="25"/>
    </row>
    <row r="653" ht="18.75" customHeight="1">
      <c r="A653" s="7" t="s">
        <v>2048</v>
      </c>
      <c r="B653" s="9">
        <v>108209.0</v>
      </c>
      <c r="C653" s="24">
        <v>1.6284227744457485</v>
      </c>
      <c r="D653" s="7" t="s">
        <v>365</v>
      </c>
      <c r="E653" s="7" t="s">
        <v>3954</v>
      </c>
      <c r="F653" s="7" t="s">
        <v>2049</v>
      </c>
      <c r="G653" s="15"/>
      <c r="H653" s="15"/>
      <c r="I653" s="14"/>
      <c r="L653" s="25"/>
    </row>
    <row r="654" ht="18.75" customHeight="1">
      <c r="A654" s="7" t="s">
        <v>2006</v>
      </c>
      <c r="B654" s="9">
        <v>93709.0</v>
      </c>
      <c r="C654" s="24">
        <v>1.9779210107887182</v>
      </c>
      <c r="D654" s="7" t="s">
        <v>760</v>
      </c>
      <c r="E654" s="7" t="s">
        <v>3987</v>
      </c>
      <c r="F654" s="7" t="s">
        <v>2007</v>
      </c>
      <c r="G654" s="15"/>
      <c r="H654" s="15"/>
      <c r="I654" s="14"/>
      <c r="L654" s="25"/>
    </row>
    <row r="655" ht="18.75" customHeight="1">
      <c r="A655" s="7" t="s">
        <v>2054</v>
      </c>
      <c r="B655" s="9">
        <v>377396.0</v>
      </c>
      <c r="C655" s="24">
        <v>2.0119688602952865</v>
      </c>
      <c r="D655" s="7" t="s">
        <v>365</v>
      </c>
      <c r="E655" s="7" t="s">
        <v>3934</v>
      </c>
      <c r="F655" s="7" t="s">
        <v>2055</v>
      </c>
      <c r="G655" s="15"/>
      <c r="H655" s="15"/>
      <c r="I655" s="14"/>
      <c r="L655" s="25"/>
    </row>
    <row r="656" ht="18.75" customHeight="1">
      <c r="A656" s="7" t="s">
        <v>2012</v>
      </c>
      <c r="B656" s="9">
        <v>103318.0</v>
      </c>
      <c r="C656" s="24">
        <v>3.012814804777483</v>
      </c>
      <c r="D656" s="7" t="s">
        <v>405</v>
      </c>
      <c r="E656" s="7" t="s">
        <v>3982</v>
      </c>
      <c r="F656" s="7" t="s">
        <v>2013</v>
      </c>
      <c r="G656" s="15"/>
      <c r="H656" s="15"/>
      <c r="I656" s="14"/>
      <c r="L656" s="25"/>
    </row>
    <row r="657" ht="18.75" customHeight="1">
      <c r="A657" s="7" t="s">
        <v>2026</v>
      </c>
      <c r="B657" s="9">
        <v>70460.0</v>
      </c>
      <c r="C657" s="24">
        <v>2.937851263128016</v>
      </c>
      <c r="D657" s="7" t="s">
        <v>466</v>
      </c>
      <c r="E657" s="7" t="s">
        <v>3943</v>
      </c>
      <c r="F657" s="7" t="s">
        <v>2027</v>
      </c>
      <c r="G657" s="15"/>
      <c r="H657" s="15"/>
      <c r="I657" s="14"/>
      <c r="L657" s="25"/>
    </row>
    <row r="658" ht="18.75" customHeight="1">
      <c r="A658" s="7" t="s">
        <v>2020</v>
      </c>
      <c r="B658" s="9">
        <v>89039.0</v>
      </c>
      <c r="C658" s="24">
        <v>2.1785958961803256</v>
      </c>
      <c r="D658" s="7" t="s">
        <v>466</v>
      </c>
      <c r="E658" s="7" t="s">
        <v>3945</v>
      </c>
      <c r="F658" s="7" t="s">
        <v>2021</v>
      </c>
      <c r="G658" s="15"/>
      <c r="H658" s="15"/>
      <c r="I658" s="14"/>
      <c r="L658" s="25"/>
    </row>
    <row r="659" ht="18.75" customHeight="1">
      <c r="A659" s="7" t="s">
        <v>2022</v>
      </c>
      <c r="B659" s="9">
        <v>287717.0</v>
      </c>
      <c r="C659" s="24">
        <v>2.1506584595279388</v>
      </c>
      <c r="D659" s="7" t="s">
        <v>466</v>
      </c>
      <c r="E659" s="7" t="s">
        <v>3944</v>
      </c>
      <c r="F659" s="7" t="s">
        <v>2023</v>
      </c>
      <c r="G659" s="15"/>
      <c r="H659" s="15"/>
      <c r="I659" s="14"/>
      <c r="L659" s="25"/>
    </row>
    <row r="660" ht="18.75" customHeight="1">
      <c r="A660" s="7" t="s">
        <v>2002</v>
      </c>
      <c r="B660" s="9">
        <v>284206.0</v>
      </c>
      <c r="C660" s="24">
        <v>1.4334848666108386</v>
      </c>
      <c r="D660" s="7" t="s">
        <v>378</v>
      </c>
      <c r="E660" s="7" t="s">
        <v>3940</v>
      </c>
      <c r="F660" s="7" t="s">
        <v>2003</v>
      </c>
      <c r="G660" s="15"/>
      <c r="H660" s="15"/>
      <c r="I660" s="14"/>
      <c r="L660" s="25"/>
    </row>
    <row r="661" ht="18.75" customHeight="1">
      <c r="A661" s="7" t="s">
        <v>1875</v>
      </c>
      <c r="B661" s="9">
        <v>274053.0</v>
      </c>
      <c r="C661" s="24">
        <v>2.152539837184778</v>
      </c>
      <c r="D661" s="7" t="s">
        <v>405</v>
      </c>
      <c r="E661" s="7" t="s">
        <v>3990</v>
      </c>
      <c r="F661" s="7" t="s">
        <v>1876</v>
      </c>
      <c r="G661" s="15"/>
      <c r="H661" s="15"/>
      <c r="I661" s="14"/>
      <c r="L661" s="25"/>
    </row>
    <row r="662" ht="18.75" customHeight="1">
      <c r="A662" s="7" t="s">
        <v>2008</v>
      </c>
      <c r="B662" s="9">
        <v>2528174.0</v>
      </c>
      <c r="C662" s="24">
        <v>1.5513382385864265</v>
      </c>
      <c r="D662" s="7" t="s">
        <v>466</v>
      </c>
      <c r="E662" s="14"/>
      <c r="F662" s="7" t="s">
        <v>2009</v>
      </c>
      <c r="G662" s="15"/>
      <c r="H662" s="15"/>
      <c r="I662" s="14"/>
      <c r="L662" s="25"/>
    </row>
    <row r="663" ht="18.75" customHeight="1">
      <c r="A663" s="7" t="s">
        <v>1908</v>
      </c>
      <c r="B663" s="9">
        <v>413526.0</v>
      </c>
      <c r="C663" s="24">
        <v>1.7507266774035974</v>
      </c>
      <c r="D663" s="7" t="s">
        <v>405</v>
      </c>
      <c r="E663" s="7" t="s">
        <v>3990</v>
      </c>
      <c r="F663" s="7" t="s">
        <v>1909</v>
      </c>
      <c r="G663" s="15"/>
      <c r="H663" s="15"/>
      <c r="I663" s="14"/>
      <c r="L663" s="25"/>
    </row>
    <row r="664" ht="18.75" customHeight="1">
      <c r="A664" s="7" t="s">
        <v>2064</v>
      </c>
      <c r="B664" s="9">
        <v>42944.0</v>
      </c>
      <c r="C664" s="24">
        <v>1.5079405737704918</v>
      </c>
      <c r="D664" s="7" t="s">
        <v>725</v>
      </c>
      <c r="E664" s="7" t="s">
        <v>3956</v>
      </c>
      <c r="F664" s="7" t="s">
        <v>2065</v>
      </c>
      <c r="G664" s="15"/>
      <c r="H664" s="15"/>
      <c r="I664" s="14"/>
      <c r="L664" s="25"/>
    </row>
    <row r="665" ht="18.75" customHeight="1">
      <c r="A665" s="7" t="s">
        <v>2024</v>
      </c>
      <c r="B665" s="12"/>
      <c r="C665" s="24">
        <v>0.0</v>
      </c>
      <c r="D665" s="7" t="s">
        <v>466</v>
      </c>
      <c r="E665" s="7" t="s">
        <v>3946</v>
      </c>
      <c r="F665" s="7" t="s">
        <v>2025</v>
      </c>
      <c r="G665" s="15"/>
      <c r="H665" s="15"/>
      <c r="I665" s="14"/>
      <c r="L665" s="25"/>
    </row>
    <row r="666" ht="18.75" customHeight="1">
      <c r="A666" s="7" t="s">
        <v>3763</v>
      </c>
      <c r="B666" s="12"/>
      <c r="C666" s="24">
        <v>0.0</v>
      </c>
      <c r="D666" s="7" t="s">
        <v>417</v>
      </c>
      <c r="E666" s="7" t="s">
        <v>3926</v>
      </c>
      <c r="F666" s="7" t="s">
        <v>3906</v>
      </c>
      <c r="G666" s="15"/>
      <c r="H666" s="15"/>
      <c r="I666" s="14"/>
      <c r="L666" s="25"/>
    </row>
    <row r="667" ht="18.75" customHeight="1">
      <c r="A667" s="7" t="s">
        <v>2060</v>
      </c>
      <c r="B667" s="9">
        <v>40016.0</v>
      </c>
      <c r="C667" s="24">
        <v>1.555252898840464</v>
      </c>
      <c r="D667" s="7" t="s">
        <v>365</v>
      </c>
      <c r="E667" s="7" t="s">
        <v>3938</v>
      </c>
      <c r="F667" s="7" t="s">
        <v>2061</v>
      </c>
      <c r="G667" s="15"/>
      <c r="H667" s="15"/>
      <c r="I667" s="14"/>
      <c r="L667" s="25"/>
    </row>
    <row r="668" ht="18.75" customHeight="1">
      <c r="A668" s="7" t="s">
        <v>2076</v>
      </c>
      <c r="B668" s="9">
        <v>270152.0</v>
      </c>
      <c r="C668" s="24">
        <v>1.5425871361307708</v>
      </c>
      <c r="D668" s="7" t="s">
        <v>365</v>
      </c>
      <c r="E668" s="7" t="s">
        <v>3924</v>
      </c>
      <c r="F668" s="7" t="s">
        <v>2077</v>
      </c>
      <c r="G668" s="15"/>
      <c r="H668" s="15"/>
      <c r="I668" s="14"/>
      <c r="L668" s="25"/>
    </row>
    <row r="669" ht="18.75" customHeight="1">
      <c r="A669" s="7" t="s">
        <v>2056</v>
      </c>
      <c r="B669" s="9">
        <v>230968.0</v>
      </c>
      <c r="C669" s="24">
        <v>2.007446919053722</v>
      </c>
      <c r="D669" s="7" t="s">
        <v>405</v>
      </c>
      <c r="E669" s="7" t="s">
        <v>3987</v>
      </c>
      <c r="F669" s="7" t="s">
        <v>2057</v>
      </c>
      <c r="G669" s="15"/>
      <c r="H669" s="15"/>
      <c r="I669" s="14"/>
      <c r="L669" s="25"/>
    </row>
    <row r="670" ht="18.75" customHeight="1">
      <c r="A670" s="7" t="s">
        <v>3761</v>
      </c>
      <c r="B670" s="9">
        <v>172110.0</v>
      </c>
      <c r="C670" s="24">
        <v>2.2280866887455697</v>
      </c>
      <c r="D670" s="7" t="s">
        <v>405</v>
      </c>
      <c r="E670" s="7" t="s">
        <v>3990</v>
      </c>
      <c r="F670" s="7" t="s">
        <v>3907</v>
      </c>
      <c r="G670" s="15"/>
      <c r="H670" s="15"/>
      <c r="I670" s="14"/>
      <c r="L670" s="25"/>
    </row>
    <row r="671" ht="18.75" customHeight="1">
      <c r="A671" s="7" t="s">
        <v>2072</v>
      </c>
      <c r="B671" s="9">
        <v>14962.0</v>
      </c>
      <c r="C671" s="24">
        <v>5.014102392728245</v>
      </c>
      <c r="D671" s="7" t="s">
        <v>417</v>
      </c>
      <c r="E671" s="7" t="s">
        <v>3926</v>
      </c>
      <c r="F671" s="7" t="s">
        <v>2073</v>
      </c>
      <c r="G671" s="15"/>
      <c r="H671" s="15"/>
      <c r="I671" s="14"/>
      <c r="L671" s="25"/>
    </row>
    <row r="672" ht="18.75" customHeight="1">
      <c r="A672" s="7" t="s">
        <v>2074</v>
      </c>
      <c r="B672" s="9">
        <v>224810.0</v>
      </c>
      <c r="C672" s="24">
        <v>1.4856767937369335</v>
      </c>
      <c r="D672" s="7" t="s">
        <v>466</v>
      </c>
      <c r="E672" s="14"/>
      <c r="F672" s="7" t="s">
        <v>2075</v>
      </c>
      <c r="G672" s="15"/>
      <c r="H672" s="15"/>
      <c r="I672" s="14"/>
      <c r="L672" s="25"/>
    </row>
    <row r="673" ht="18.75" customHeight="1">
      <c r="A673" s="7" t="s">
        <v>2014</v>
      </c>
      <c r="B673" s="9">
        <v>121551.0</v>
      </c>
      <c r="C673" s="24">
        <v>1.6521706937828566</v>
      </c>
      <c r="D673" s="7" t="s">
        <v>417</v>
      </c>
      <c r="E673" s="7" t="s">
        <v>3926</v>
      </c>
      <c r="F673" s="7" t="s">
        <v>2015</v>
      </c>
      <c r="G673" s="15"/>
      <c r="H673" s="15"/>
      <c r="I673" s="14"/>
      <c r="L673" s="25"/>
    </row>
    <row r="674" ht="18.75" customHeight="1">
      <c r="A674" s="7" t="s">
        <v>2016</v>
      </c>
      <c r="B674" s="9">
        <v>343914.0</v>
      </c>
      <c r="C674" s="24">
        <v>1.7730537285484163</v>
      </c>
      <c r="D674" s="7" t="s">
        <v>417</v>
      </c>
      <c r="E674" s="7" t="s">
        <v>3926</v>
      </c>
      <c r="F674" s="7" t="s">
        <v>2017</v>
      </c>
      <c r="G674" s="15"/>
      <c r="H674" s="15"/>
      <c r="I674" s="14"/>
      <c r="L674" s="25"/>
    </row>
    <row r="675" ht="18.75" customHeight="1">
      <c r="A675" s="7" t="s">
        <v>2078</v>
      </c>
      <c r="B675" s="9">
        <v>243343.0</v>
      </c>
      <c r="C675" s="24">
        <v>1.439133239912387</v>
      </c>
      <c r="D675" s="7" t="s">
        <v>430</v>
      </c>
      <c r="E675" s="14"/>
      <c r="F675" s="7" t="s">
        <v>2079</v>
      </c>
      <c r="G675" s="15"/>
      <c r="H675" s="15"/>
      <c r="I675" s="14"/>
      <c r="L675" s="25"/>
    </row>
    <row r="676" ht="18.75" customHeight="1">
      <c r="A676" s="7" t="s">
        <v>3762</v>
      </c>
      <c r="B676" s="9">
        <v>49603.0</v>
      </c>
      <c r="C676" s="24">
        <v>1.0933411285607726</v>
      </c>
      <c r="D676" s="7" t="s">
        <v>667</v>
      </c>
      <c r="E676" s="7" t="s">
        <v>3951</v>
      </c>
      <c r="F676" s="7" t="s">
        <v>3908</v>
      </c>
      <c r="G676" s="15"/>
      <c r="H676" s="15"/>
      <c r="I676" s="14"/>
      <c r="L676" s="25"/>
    </row>
    <row r="677" ht="18.75" customHeight="1">
      <c r="A677" s="7" t="s">
        <v>2086</v>
      </c>
      <c r="B677" s="9">
        <v>656525.0</v>
      </c>
      <c r="C677" s="24">
        <v>1.2552789307337877</v>
      </c>
      <c r="D677" s="7" t="s">
        <v>413</v>
      </c>
      <c r="E677" s="7" t="s">
        <v>3947</v>
      </c>
      <c r="F677" s="7" t="s">
        <v>2087</v>
      </c>
      <c r="G677" s="15"/>
      <c r="H677" s="15"/>
      <c r="I677" s="14"/>
      <c r="L677" s="25"/>
    </row>
    <row r="678" ht="18.75" customHeight="1">
      <c r="A678" s="7" t="s">
        <v>2096</v>
      </c>
      <c r="B678" s="9">
        <v>201222.0</v>
      </c>
      <c r="C678" s="24">
        <v>1.0155152021150768</v>
      </c>
      <c r="D678" s="7" t="s">
        <v>808</v>
      </c>
      <c r="E678" s="7" t="s">
        <v>808</v>
      </c>
      <c r="F678" s="7" t="s">
        <v>2097</v>
      </c>
      <c r="G678" s="15"/>
      <c r="H678" s="15"/>
      <c r="I678" s="14"/>
      <c r="L678" s="25"/>
    </row>
    <row r="679" ht="18.75" customHeight="1">
      <c r="A679" s="7" t="s">
        <v>2192</v>
      </c>
      <c r="B679" s="9">
        <v>1412.0</v>
      </c>
      <c r="C679" s="24">
        <v>17.775495750708217</v>
      </c>
      <c r="D679" s="7" t="s">
        <v>417</v>
      </c>
      <c r="E679" s="7" t="s">
        <v>3926</v>
      </c>
      <c r="F679" s="7" t="s">
        <v>2193</v>
      </c>
      <c r="G679" s="15"/>
      <c r="H679" s="15"/>
      <c r="I679" s="14"/>
      <c r="L679" s="25"/>
    </row>
    <row r="680" ht="18.75" customHeight="1">
      <c r="A680" s="7" t="s">
        <v>2000</v>
      </c>
      <c r="B680" s="9">
        <v>185549.0</v>
      </c>
      <c r="C680" s="24">
        <v>1.4411449266770502</v>
      </c>
      <c r="D680" s="7" t="s">
        <v>378</v>
      </c>
      <c r="E680" s="7" t="s">
        <v>3940</v>
      </c>
      <c r="F680" s="7" t="s">
        <v>2001</v>
      </c>
      <c r="G680" s="15"/>
      <c r="H680" s="15"/>
      <c r="I680" s="14"/>
      <c r="L680" s="25"/>
    </row>
    <row r="681" ht="18.75" customHeight="1">
      <c r="A681" s="7" t="s">
        <v>1984</v>
      </c>
      <c r="B681" s="9">
        <v>139749.0</v>
      </c>
      <c r="C681" s="24">
        <v>1.5639467903169253</v>
      </c>
      <c r="D681" s="7" t="s">
        <v>417</v>
      </c>
      <c r="E681" s="7" t="s">
        <v>3926</v>
      </c>
      <c r="F681" s="7" t="s">
        <v>1985</v>
      </c>
      <c r="G681" s="15"/>
      <c r="H681" s="15"/>
      <c r="I681" s="14"/>
      <c r="L681" s="25"/>
    </row>
    <row r="682" ht="18.75" customHeight="1">
      <c r="A682" s="7" t="s">
        <v>3764</v>
      </c>
      <c r="B682" s="9">
        <v>84958.0</v>
      </c>
      <c r="C682" s="24">
        <v>1.672744179476918</v>
      </c>
      <c r="D682" s="7" t="s">
        <v>359</v>
      </c>
      <c r="E682" s="14"/>
      <c r="F682" s="7" t="s">
        <v>3909</v>
      </c>
      <c r="G682" s="15"/>
      <c r="H682" s="15"/>
      <c r="I682" s="14"/>
      <c r="J682" s="14"/>
      <c r="L682" s="25"/>
    </row>
    <row r="683" ht="18.75" customHeight="1">
      <c r="A683" s="7" t="s">
        <v>2094</v>
      </c>
      <c r="B683" s="9">
        <v>8789.0</v>
      </c>
      <c r="C683" s="24">
        <v>1.4486289680282172</v>
      </c>
      <c r="D683" s="7" t="s">
        <v>365</v>
      </c>
      <c r="E683" s="7" t="s">
        <v>3934</v>
      </c>
      <c r="F683" s="7" t="s">
        <v>2095</v>
      </c>
      <c r="G683" s="15"/>
      <c r="H683" s="15"/>
      <c r="I683" s="14"/>
      <c r="J683" s="14"/>
      <c r="L683" s="25"/>
    </row>
    <row r="684" ht="18.75" customHeight="1">
      <c r="A684" s="7" t="s">
        <v>2108</v>
      </c>
      <c r="B684" s="12"/>
      <c r="C684" s="24">
        <v>0.0</v>
      </c>
      <c r="D684" s="7" t="s">
        <v>808</v>
      </c>
      <c r="E684" s="7" t="s">
        <v>808</v>
      </c>
      <c r="F684" s="7" t="s">
        <v>2109</v>
      </c>
      <c r="G684" s="15"/>
      <c r="H684" s="15"/>
      <c r="I684" s="14"/>
      <c r="L684" s="25"/>
    </row>
    <row r="685" ht="18.75" customHeight="1">
      <c r="A685" s="7" t="s">
        <v>1735</v>
      </c>
      <c r="B685" s="9">
        <v>212976.0</v>
      </c>
      <c r="C685" s="24">
        <v>1.3528660506348134</v>
      </c>
      <c r="D685" s="7" t="s">
        <v>359</v>
      </c>
      <c r="E685" s="7" t="s">
        <v>3974</v>
      </c>
      <c r="F685" s="7" t="s">
        <v>1736</v>
      </c>
      <c r="G685" s="15"/>
      <c r="H685" s="15"/>
      <c r="I685" s="14"/>
      <c r="L685" s="25"/>
    </row>
    <row r="686" ht="18.75" customHeight="1">
      <c r="A686" s="7" t="s">
        <v>2106</v>
      </c>
      <c r="B686" s="9">
        <v>75693.0</v>
      </c>
      <c r="C686" s="24">
        <v>1.5749673021283341</v>
      </c>
      <c r="D686" s="7" t="s">
        <v>466</v>
      </c>
      <c r="E686" s="14"/>
      <c r="F686" s="7" t="s">
        <v>2107</v>
      </c>
      <c r="G686" s="15"/>
      <c r="H686" s="15"/>
      <c r="I686" s="14"/>
      <c r="L686" s="25"/>
    </row>
    <row r="687" ht="18.75" customHeight="1">
      <c r="A687" s="7" t="s">
        <v>2104</v>
      </c>
      <c r="B687" s="9">
        <v>60420.0</v>
      </c>
      <c r="C687" s="24">
        <v>1.6058093346573983</v>
      </c>
      <c r="D687" s="7" t="s">
        <v>466</v>
      </c>
      <c r="E687" s="14"/>
      <c r="F687" s="7" t="s">
        <v>2105</v>
      </c>
      <c r="G687" s="15"/>
      <c r="H687" s="15"/>
      <c r="I687" s="14"/>
      <c r="L687" s="25"/>
    </row>
    <row r="688" ht="18.75" customHeight="1">
      <c r="A688" s="7" t="s">
        <v>2100</v>
      </c>
      <c r="B688" s="9">
        <v>71000.0</v>
      </c>
      <c r="C688" s="24">
        <v>1.5950140845070422</v>
      </c>
      <c r="D688" s="7" t="s">
        <v>466</v>
      </c>
      <c r="E688" s="7" t="s">
        <v>3943</v>
      </c>
      <c r="F688" s="7" t="s">
        <v>2101</v>
      </c>
      <c r="G688" s="15"/>
      <c r="H688" s="15"/>
      <c r="I688" s="14"/>
      <c r="L688" s="25"/>
    </row>
    <row r="689" ht="18.75" customHeight="1">
      <c r="A689" s="7" t="s">
        <v>2102</v>
      </c>
      <c r="B689" s="9">
        <v>63475.0</v>
      </c>
      <c r="C689" s="24">
        <v>1.574068530917684</v>
      </c>
      <c r="D689" s="7" t="s">
        <v>466</v>
      </c>
      <c r="E689" s="14"/>
      <c r="F689" s="7" t="s">
        <v>2103</v>
      </c>
      <c r="G689" s="15"/>
      <c r="H689" s="15"/>
      <c r="I689" s="14"/>
      <c r="L689" s="25"/>
    </row>
    <row r="690" ht="18.75" customHeight="1">
      <c r="A690" s="7" t="s">
        <v>3767</v>
      </c>
      <c r="B690" s="9">
        <v>354538.0</v>
      </c>
      <c r="C690" s="24">
        <v>0.09894849071185599</v>
      </c>
      <c r="D690" s="7" t="s">
        <v>354</v>
      </c>
      <c r="E690" s="14"/>
      <c r="F690" s="7" t="s">
        <v>3911</v>
      </c>
      <c r="G690" s="15"/>
      <c r="H690" s="15"/>
      <c r="I690" s="14"/>
      <c r="J690" s="14"/>
      <c r="L690" s="25"/>
    </row>
    <row r="691" ht="18.75" customHeight="1">
      <c r="A691" s="7" t="s">
        <v>1906</v>
      </c>
      <c r="B691" s="9">
        <v>67498.0</v>
      </c>
      <c r="C691" s="24">
        <v>1.147634003970488</v>
      </c>
      <c r="D691" s="7" t="s">
        <v>405</v>
      </c>
      <c r="E691" s="7" t="s">
        <v>3990</v>
      </c>
      <c r="F691" s="7" t="s">
        <v>1907</v>
      </c>
      <c r="G691" s="15"/>
      <c r="H691" s="15"/>
      <c r="I691" s="14"/>
      <c r="J691" s="14"/>
      <c r="L691" s="25"/>
    </row>
    <row r="692" ht="18.75" customHeight="1">
      <c r="A692" s="7" t="s">
        <v>2088</v>
      </c>
      <c r="B692" s="9">
        <v>128395.0</v>
      </c>
      <c r="C692" s="24">
        <v>1.235421940106702</v>
      </c>
      <c r="D692" s="7" t="s">
        <v>667</v>
      </c>
      <c r="E692" s="7" t="s">
        <v>3990</v>
      </c>
      <c r="F692" s="7" t="s">
        <v>2089</v>
      </c>
      <c r="G692" s="15"/>
      <c r="H692" s="15"/>
      <c r="I692" s="14"/>
      <c r="L692" s="25"/>
    </row>
    <row r="693" ht="18.75" customHeight="1">
      <c r="A693" s="7" t="s">
        <v>3912</v>
      </c>
      <c r="B693" s="12"/>
      <c r="C693" s="24">
        <v>0.0</v>
      </c>
      <c r="D693" s="7" t="s">
        <v>417</v>
      </c>
      <c r="E693" s="7" t="s">
        <v>3926</v>
      </c>
      <c r="F693" s="7" t="s">
        <v>3913</v>
      </c>
      <c r="G693" s="15"/>
      <c r="H693" s="15"/>
      <c r="I693" s="14"/>
      <c r="L693" s="25"/>
    </row>
    <row r="694" ht="18.75" customHeight="1">
      <c r="A694" s="7" t="s">
        <v>2112</v>
      </c>
      <c r="B694" s="12"/>
      <c r="C694" s="24">
        <v>0.0</v>
      </c>
      <c r="D694" s="7" t="s">
        <v>417</v>
      </c>
      <c r="E694" s="7" t="s">
        <v>3926</v>
      </c>
      <c r="F694" s="7" t="s">
        <v>2113</v>
      </c>
      <c r="G694" s="15"/>
      <c r="H694" s="15"/>
      <c r="I694" s="14"/>
      <c r="J694" s="14"/>
      <c r="L694" s="25"/>
    </row>
    <row r="695" ht="18.75" customHeight="1">
      <c r="A695" s="7" t="s">
        <v>2050</v>
      </c>
      <c r="B695" s="12"/>
      <c r="C695" s="24">
        <v>0.0</v>
      </c>
      <c r="D695" s="7" t="s">
        <v>378</v>
      </c>
      <c r="E695" s="7" t="s">
        <v>871</v>
      </c>
      <c r="F695" s="7" t="s">
        <v>2051</v>
      </c>
      <c r="G695" s="15"/>
      <c r="H695" s="15"/>
      <c r="I695" s="14"/>
      <c r="L695" s="25"/>
    </row>
    <row r="696" ht="18.75" customHeight="1">
      <c r="A696" s="7" t="s">
        <v>2110</v>
      </c>
      <c r="B696" s="12"/>
      <c r="C696" s="24">
        <v>0.0</v>
      </c>
      <c r="D696" s="7" t="s">
        <v>594</v>
      </c>
      <c r="E696" s="7" t="s">
        <v>3942</v>
      </c>
      <c r="F696" s="7" t="s">
        <v>2111</v>
      </c>
      <c r="G696" s="15"/>
      <c r="H696" s="15"/>
      <c r="I696" s="14"/>
      <c r="L696" s="25"/>
    </row>
    <row r="697" ht="18.75" customHeight="1">
      <c r="A697" s="7" t="s">
        <v>2176</v>
      </c>
      <c r="B697" s="12"/>
      <c r="C697" s="24">
        <v>0.0</v>
      </c>
      <c r="D697" s="7" t="s">
        <v>783</v>
      </c>
      <c r="E697" s="14"/>
      <c r="F697" s="7" t="s">
        <v>2177</v>
      </c>
      <c r="G697" s="15"/>
      <c r="H697" s="15"/>
      <c r="I697" s="14"/>
      <c r="J697" s="14"/>
      <c r="L697" s="25"/>
    </row>
    <row r="698" ht="18.75" customHeight="1">
      <c r="A698" s="7" t="s">
        <v>2114</v>
      </c>
      <c r="B698" s="12"/>
      <c r="C698" s="24">
        <v>0.0</v>
      </c>
      <c r="D698" s="7" t="s">
        <v>725</v>
      </c>
      <c r="E698" s="14"/>
      <c r="F698" s="7" t="s">
        <v>2115</v>
      </c>
      <c r="G698" s="15"/>
      <c r="H698" s="15"/>
      <c r="I698" s="14"/>
      <c r="L698" s="25"/>
    </row>
    <row r="699" ht="18.75" customHeight="1">
      <c r="A699" s="7" t="s">
        <v>2204</v>
      </c>
      <c r="B699" s="12"/>
      <c r="C699" s="24">
        <v>0.0</v>
      </c>
      <c r="D699" s="7" t="s">
        <v>405</v>
      </c>
      <c r="E699" s="7" t="s">
        <v>3990</v>
      </c>
      <c r="F699" s="7" t="s">
        <v>2205</v>
      </c>
      <c r="G699" s="15"/>
      <c r="H699" s="15"/>
      <c r="I699" s="14"/>
      <c r="L699" s="25"/>
    </row>
    <row r="700" ht="18.75" customHeight="1">
      <c r="A700" s="14"/>
      <c r="B700" s="12"/>
      <c r="C700" s="26"/>
      <c r="D700" s="14"/>
      <c r="E700" s="14"/>
      <c r="F700" s="14"/>
      <c r="G700" s="15"/>
      <c r="H700" s="15"/>
      <c r="I700" s="14"/>
      <c r="L700" s="25"/>
    </row>
    <row r="701" ht="18.75" customHeight="1">
      <c r="A701" s="14"/>
      <c r="B701" s="12"/>
      <c r="C701" s="26"/>
      <c r="D701" s="14"/>
      <c r="E701" s="14"/>
      <c r="F701" s="14"/>
      <c r="G701" s="15"/>
      <c r="H701" s="15"/>
      <c r="I701" s="14"/>
      <c r="L701" s="25"/>
    </row>
    <row r="702" ht="18.75" customHeight="1">
      <c r="A702" s="14"/>
      <c r="B702" s="12"/>
      <c r="C702" s="26"/>
      <c r="D702" s="14"/>
      <c r="E702" s="14"/>
      <c r="F702" s="14"/>
      <c r="G702" s="15"/>
      <c r="H702" s="15"/>
      <c r="I702" s="14"/>
      <c r="L702" s="25"/>
    </row>
    <row r="703" ht="18.75" customHeight="1">
      <c r="A703" s="14"/>
      <c r="B703" s="12"/>
      <c r="C703" s="26"/>
      <c r="D703" s="14"/>
      <c r="E703" s="14"/>
      <c r="F703" s="14"/>
      <c r="G703" s="15"/>
      <c r="H703" s="15"/>
      <c r="I703" s="14"/>
      <c r="L703" s="25"/>
    </row>
    <row r="704" ht="18.75" customHeight="1">
      <c r="A704" s="14"/>
      <c r="B704" s="12"/>
      <c r="C704" s="26"/>
      <c r="D704" s="14"/>
      <c r="E704" s="14"/>
      <c r="F704" s="14"/>
      <c r="G704" s="15"/>
      <c r="H704" s="15"/>
      <c r="I704" s="14"/>
      <c r="L704" s="25"/>
    </row>
    <row r="705" ht="18.75" customHeight="1">
      <c r="A705" s="14"/>
      <c r="B705" s="12"/>
      <c r="C705" s="26"/>
      <c r="D705" s="14"/>
      <c r="E705" s="14"/>
      <c r="F705" s="14"/>
      <c r="G705" s="15"/>
      <c r="H705" s="15"/>
      <c r="I705" s="14"/>
      <c r="L705" s="25"/>
    </row>
    <row r="706" ht="18.75" customHeight="1">
      <c r="A706" s="14"/>
      <c r="B706" s="12"/>
      <c r="C706" s="26"/>
      <c r="D706" s="14"/>
      <c r="E706" s="14"/>
      <c r="F706" s="14"/>
      <c r="G706" s="15"/>
      <c r="H706" s="15"/>
      <c r="I706" s="14"/>
      <c r="L706" s="25"/>
    </row>
    <row r="707" ht="18.75" customHeight="1">
      <c r="A707" s="14"/>
      <c r="B707" s="12"/>
      <c r="C707" s="26"/>
      <c r="D707" s="14"/>
      <c r="E707" s="14"/>
      <c r="F707" s="14"/>
      <c r="G707" s="15"/>
      <c r="H707" s="15"/>
      <c r="I707" s="14"/>
      <c r="L707" s="25"/>
    </row>
    <row r="708" ht="18.75" customHeight="1">
      <c r="A708" s="14"/>
      <c r="B708" s="12"/>
      <c r="C708" s="26"/>
      <c r="D708" s="14"/>
      <c r="E708" s="14"/>
      <c r="F708" s="14"/>
      <c r="G708" s="15"/>
      <c r="H708" s="15"/>
      <c r="I708" s="14"/>
      <c r="L708" s="25"/>
    </row>
    <row r="709" ht="18.75" customHeight="1">
      <c r="A709" s="14"/>
      <c r="B709" s="12"/>
      <c r="C709" s="26"/>
      <c r="D709" s="14"/>
      <c r="E709" s="14"/>
      <c r="F709" s="14"/>
      <c r="G709" s="15"/>
      <c r="H709" s="15"/>
      <c r="I709" s="14"/>
      <c r="L709" s="25"/>
    </row>
    <row r="710" ht="18.75" customHeight="1">
      <c r="A710" s="14"/>
      <c r="B710" s="12"/>
      <c r="C710" s="26"/>
      <c r="D710" s="14"/>
      <c r="E710" s="14"/>
      <c r="F710" s="14"/>
      <c r="G710" s="15"/>
      <c r="H710" s="15"/>
      <c r="I710" s="14"/>
      <c r="L710" s="25"/>
    </row>
    <row r="711" ht="18.75" customHeight="1">
      <c r="A711" s="14"/>
      <c r="B711" s="12"/>
      <c r="C711" s="26"/>
      <c r="D711" s="14"/>
      <c r="E711" s="14"/>
      <c r="F711" s="14"/>
      <c r="G711" s="15"/>
      <c r="H711" s="15"/>
      <c r="I711" s="14"/>
      <c r="L711" s="25"/>
    </row>
    <row r="712" ht="18.75" customHeight="1">
      <c r="A712" s="14"/>
      <c r="B712" s="12"/>
      <c r="C712" s="26"/>
      <c r="D712" s="14"/>
      <c r="E712" s="14"/>
      <c r="F712" s="14"/>
      <c r="G712" s="15"/>
      <c r="H712" s="15"/>
      <c r="I712" s="14"/>
      <c r="L712" s="25"/>
    </row>
    <row r="713" ht="18.75" customHeight="1">
      <c r="A713" s="14"/>
      <c r="B713" s="12"/>
      <c r="C713" s="26"/>
      <c r="D713" s="14"/>
      <c r="E713" s="14"/>
      <c r="F713" s="14"/>
      <c r="G713" s="15"/>
      <c r="H713" s="15"/>
      <c r="I713" s="14"/>
      <c r="L713" s="25"/>
    </row>
    <row r="714" ht="18.75" customHeight="1">
      <c r="A714" s="14"/>
      <c r="B714" s="12"/>
      <c r="C714" s="26"/>
      <c r="D714" s="14"/>
      <c r="E714" s="14"/>
      <c r="F714" s="14"/>
      <c r="G714" s="15"/>
      <c r="H714" s="15"/>
      <c r="I714" s="14"/>
      <c r="L714" s="25"/>
    </row>
    <row r="715" ht="18.75" customHeight="1">
      <c r="A715" s="14"/>
      <c r="B715" s="12"/>
      <c r="C715" s="26"/>
      <c r="D715" s="14"/>
      <c r="E715" s="14"/>
      <c r="F715" s="14"/>
      <c r="G715" s="15"/>
      <c r="H715" s="15"/>
      <c r="I715" s="14"/>
      <c r="L715" s="25"/>
    </row>
    <row r="716" ht="18.75" customHeight="1">
      <c r="A716" s="14"/>
      <c r="B716" s="12"/>
      <c r="C716" s="26"/>
      <c r="D716" s="14"/>
      <c r="E716" s="14"/>
      <c r="F716" s="14"/>
      <c r="G716" s="15"/>
      <c r="H716" s="15"/>
      <c r="I716" s="14"/>
      <c r="L716" s="25"/>
    </row>
    <row r="717" ht="18.75" customHeight="1">
      <c r="A717" s="14"/>
      <c r="B717" s="12"/>
      <c r="C717" s="26"/>
      <c r="D717" s="14"/>
      <c r="E717" s="14"/>
      <c r="F717" s="14"/>
      <c r="G717" s="15"/>
      <c r="H717" s="15"/>
      <c r="I717" s="14"/>
      <c r="L717" s="25"/>
    </row>
    <row r="718" ht="18.75" customHeight="1">
      <c r="A718" s="14"/>
      <c r="B718" s="12"/>
      <c r="C718" s="26"/>
      <c r="D718" s="14"/>
      <c r="E718" s="14"/>
      <c r="F718" s="14"/>
      <c r="G718" s="15"/>
      <c r="H718" s="15"/>
      <c r="I718" s="14"/>
      <c r="L718" s="25"/>
    </row>
    <row r="719" ht="18.75" customHeight="1">
      <c r="A719" s="14"/>
      <c r="B719" s="12"/>
      <c r="C719" s="26"/>
      <c r="D719" s="14"/>
      <c r="E719" s="14"/>
      <c r="F719" s="14"/>
      <c r="G719" s="15"/>
      <c r="H719" s="15"/>
      <c r="I719" s="14"/>
      <c r="L719" s="25"/>
    </row>
    <row r="720" ht="18.75" customHeight="1">
      <c r="A720" s="14"/>
      <c r="B720" s="12"/>
      <c r="C720" s="26"/>
      <c r="D720" s="14"/>
      <c r="E720" s="14"/>
      <c r="F720" s="14"/>
      <c r="G720" s="15"/>
      <c r="H720" s="15"/>
      <c r="I720" s="14"/>
      <c r="L720" s="25"/>
    </row>
    <row r="721" ht="18.75" customHeight="1">
      <c r="A721" s="14"/>
      <c r="B721" s="12"/>
      <c r="C721" s="26"/>
      <c r="D721" s="14"/>
      <c r="E721" s="14"/>
      <c r="F721" s="14"/>
      <c r="G721" s="15"/>
      <c r="H721" s="15"/>
      <c r="I721" s="14"/>
      <c r="L721" s="25"/>
    </row>
    <row r="722" ht="18.75" customHeight="1">
      <c r="A722" s="14"/>
      <c r="B722" s="12"/>
      <c r="C722" s="26"/>
      <c r="D722" s="14"/>
      <c r="E722" s="14"/>
      <c r="F722" s="14"/>
      <c r="G722" s="15"/>
      <c r="H722" s="15"/>
      <c r="I722" s="14"/>
      <c r="L722" s="25"/>
    </row>
    <row r="723" ht="18.75" customHeight="1">
      <c r="A723" s="14"/>
      <c r="B723" s="12"/>
      <c r="C723" s="26"/>
      <c r="D723" s="14"/>
      <c r="E723" s="14"/>
      <c r="F723" s="14"/>
      <c r="G723" s="15"/>
      <c r="H723" s="15"/>
      <c r="I723" s="14"/>
      <c r="L723" s="25"/>
    </row>
    <row r="724" ht="18.75" customHeight="1">
      <c r="A724" s="14"/>
      <c r="B724" s="12"/>
      <c r="C724" s="26"/>
      <c r="D724" s="14"/>
      <c r="E724" s="14"/>
      <c r="F724" s="14"/>
      <c r="G724" s="15"/>
      <c r="H724" s="15"/>
      <c r="I724" s="14"/>
      <c r="L724" s="25"/>
    </row>
    <row r="725" ht="18.75" customHeight="1">
      <c r="A725" s="14"/>
      <c r="B725" s="12"/>
      <c r="C725" s="26"/>
      <c r="D725" s="14"/>
      <c r="E725" s="14"/>
      <c r="F725" s="14"/>
      <c r="G725" s="15"/>
      <c r="H725" s="15"/>
      <c r="I725" s="14"/>
      <c r="L725" s="25"/>
    </row>
    <row r="726" ht="18.75" customHeight="1">
      <c r="A726" s="14"/>
      <c r="B726" s="12"/>
      <c r="C726" s="26"/>
      <c r="D726" s="14"/>
      <c r="E726" s="14"/>
      <c r="F726" s="14"/>
      <c r="G726" s="15"/>
      <c r="H726" s="15"/>
      <c r="I726" s="14"/>
      <c r="L726" s="25"/>
    </row>
    <row r="727" ht="18.75" customHeight="1">
      <c r="A727" s="14"/>
      <c r="B727" s="12"/>
      <c r="C727" s="26"/>
      <c r="D727" s="14"/>
      <c r="E727" s="14"/>
      <c r="F727" s="14"/>
      <c r="G727" s="15"/>
      <c r="H727" s="15"/>
      <c r="I727" s="14"/>
      <c r="L727" s="25"/>
    </row>
    <row r="728" ht="18.75" customHeight="1">
      <c r="A728" s="14"/>
      <c r="B728" s="12"/>
      <c r="C728" s="26"/>
      <c r="D728" s="14"/>
      <c r="E728" s="14"/>
      <c r="F728" s="14"/>
      <c r="G728" s="15"/>
      <c r="H728" s="15"/>
      <c r="I728" s="14"/>
      <c r="L728" s="25"/>
    </row>
    <row r="729" ht="18.75" customHeight="1">
      <c r="A729" s="14"/>
      <c r="B729" s="12"/>
      <c r="C729" s="26"/>
      <c r="D729" s="14"/>
      <c r="E729" s="14"/>
      <c r="F729" s="14"/>
      <c r="G729" s="15"/>
      <c r="H729" s="15"/>
      <c r="I729" s="14"/>
      <c r="L729" s="25"/>
    </row>
    <row r="730" ht="18.75" customHeight="1">
      <c r="A730" s="14"/>
      <c r="B730" s="12"/>
      <c r="C730" s="26"/>
      <c r="D730" s="14"/>
      <c r="E730" s="14"/>
      <c r="F730" s="14"/>
      <c r="G730" s="15"/>
      <c r="H730" s="15"/>
      <c r="I730" s="14"/>
      <c r="L730" s="25"/>
    </row>
    <row r="731" ht="18.75" customHeight="1">
      <c r="A731" s="14"/>
      <c r="B731" s="12"/>
      <c r="C731" s="26"/>
      <c r="D731" s="14"/>
      <c r="E731" s="14"/>
      <c r="F731" s="14"/>
      <c r="G731" s="15"/>
      <c r="H731" s="15"/>
      <c r="I731" s="14"/>
      <c r="L731" s="25"/>
    </row>
    <row r="732" ht="18.75" customHeight="1">
      <c r="A732" s="14"/>
      <c r="B732" s="12"/>
      <c r="C732" s="26"/>
      <c r="D732" s="14"/>
      <c r="E732" s="14"/>
      <c r="F732" s="14"/>
      <c r="G732" s="15"/>
      <c r="H732" s="15"/>
      <c r="I732" s="14"/>
      <c r="L732" s="25"/>
    </row>
    <row r="733" ht="18.75" customHeight="1">
      <c r="A733" s="14"/>
      <c r="B733" s="12"/>
      <c r="C733" s="26"/>
      <c r="D733" s="14"/>
      <c r="E733" s="14"/>
      <c r="F733" s="14"/>
      <c r="G733" s="15"/>
      <c r="H733" s="15"/>
      <c r="I733" s="14"/>
      <c r="L733" s="25"/>
    </row>
    <row r="734" ht="18.75" customHeight="1">
      <c r="A734" s="14"/>
      <c r="B734" s="12"/>
      <c r="C734" s="26"/>
      <c r="D734" s="14"/>
      <c r="E734" s="14"/>
      <c r="F734" s="14"/>
      <c r="G734" s="15"/>
      <c r="H734" s="15"/>
      <c r="I734" s="14"/>
      <c r="L734" s="25"/>
    </row>
    <row r="735" ht="18.75" customHeight="1">
      <c r="A735" s="14"/>
      <c r="B735" s="12"/>
      <c r="C735" s="26"/>
      <c r="D735" s="14"/>
      <c r="E735" s="14"/>
      <c r="F735" s="14"/>
      <c r="G735" s="15"/>
      <c r="H735" s="15"/>
      <c r="I735" s="14"/>
      <c r="L735" s="25"/>
    </row>
    <row r="736" ht="18.75" customHeight="1">
      <c r="A736" s="14"/>
      <c r="B736" s="12"/>
      <c r="C736" s="26"/>
      <c r="D736" s="14"/>
      <c r="E736" s="14"/>
      <c r="F736" s="14"/>
      <c r="G736" s="15"/>
      <c r="H736" s="15"/>
      <c r="I736" s="14"/>
      <c r="L736" s="25"/>
    </row>
    <row r="737" ht="18.75" customHeight="1">
      <c r="A737" s="14"/>
      <c r="B737" s="12"/>
      <c r="C737" s="26"/>
      <c r="D737" s="14"/>
      <c r="E737" s="14"/>
      <c r="F737" s="14"/>
      <c r="G737" s="15"/>
      <c r="H737" s="15"/>
      <c r="I737" s="14"/>
      <c r="L737" s="25"/>
    </row>
    <row r="738" ht="18.75" customHeight="1">
      <c r="A738" s="14"/>
      <c r="B738" s="12"/>
      <c r="C738" s="26"/>
      <c r="D738" s="14"/>
      <c r="E738" s="14"/>
      <c r="F738" s="14"/>
      <c r="G738" s="15"/>
      <c r="H738" s="15"/>
      <c r="I738" s="14"/>
      <c r="L738" s="25"/>
    </row>
    <row r="739" ht="18.75" customHeight="1">
      <c r="A739" s="14"/>
      <c r="B739" s="12"/>
      <c r="C739" s="26"/>
      <c r="D739" s="14"/>
      <c r="E739" s="14"/>
      <c r="F739" s="14"/>
      <c r="G739" s="15"/>
      <c r="H739" s="15"/>
      <c r="I739" s="14"/>
      <c r="L739" s="25"/>
    </row>
    <row r="740" ht="18.75" customHeight="1">
      <c r="A740" s="14"/>
      <c r="B740" s="12"/>
      <c r="C740" s="26"/>
      <c r="D740" s="14"/>
      <c r="E740" s="14"/>
      <c r="F740" s="14"/>
      <c r="G740" s="15"/>
      <c r="H740" s="15"/>
      <c r="I740" s="14"/>
      <c r="L740" s="25"/>
    </row>
    <row r="741" ht="18.75" customHeight="1">
      <c r="A741" s="14"/>
      <c r="B741" s="12"/>
      <c r="C741" s="26"/>
      <c r="D741" s="14"/>
      <c r="E741" s="14"/>
      <c r="F741" s="14"/>
      <c r="G741" s="15"/>
      <c r="H741" s="15"/>
      <c r="I741" s="14"/>
      <c r="L741" s="25"/>
    </row>
    <row r="742" ht="18.75" customHeight="1">
      <c r="A742" s="14"/>
      <c r="B742" s="12"/>
      <c r="C742" s="26"/>
      <c r="D742" s="14"/>
      <c r="E742" s="14"/>
      <c r="F742" s="14"/>
      <c r="G742" s="15"/>
      <c r="H742" s="15"/>
      <c r="I742" s="14"/>
      <c r="L742" s="25"/>
    </row>
    <row r="743" ht="18.75" customHeight="1">
      <c r="A743" s="14"/>
      <c r="B743" s="12"/>
      <c r="C743" s="26"/>
      <c r="D743" s="14"/>
      <c r="E743" s="14"/>
      <c r="F743" s="14"/>
      <c r="G743" s="15"/>
      <c r="H743" s="15"/>
      <c r="I743" s="14"/>
      <c r="L743" s="25"/>
    </row>
    <row r="744" ht="18.75" customHeight="1">
      <c r="A744" s="14"/>
      <c r="B744" s="12"/>
      <c r="C744" s="26"/>
      <c r="D744" s="14"/>
      <c r="E744" s="14"/>
      <c r="F744" s="14"/>
      <c r="G744" s="15"/>
      <c r="H744" s="15"/>
      <c r="I744" s="14"/>
      <c r="L744" s="25"/>
    </row>
    <row r="745" ht="18.75" customHeight="1">
      <c r="A745" s="14"/>
      <c r="B745" s="12"/>
      <c r="C745" s="26"/>
      <c r="D745" s="14"/>
      <c r="E745" s="14"/>
      <c r="F745" s="14"/>
      <c r="G745" s="15"/>
      <c r="H745" s="15"/>
      <c r="I745" s="14"/>
      <c r="L745" s="25"/>
    </row>
    <row r="746" ht="18.75" customHeight="1">
      <c r="A746" s="14"/>
      <c r="B746" s="12"/>
      <c r="C746" s="26"/>
      <c r="D746" s="14"/>
      <c r="E746" s="14"/>
      <c r="F746" s="14"/>
      <c r="G746" s="15"/>
      <c r="H746" s="15"/>
      <c r="I746" s="14"/>
      <c r="L746" s="25"/>
    </row>
    <row r="747" ht="18.75" customHeight="1">
      <c r="A747" s="14"/>
      <c r="B747" s="12"/>
      <c r="C747" s="26"/>
      <c r="D747" s="14"/>
      <c r="E747" s="14"/>
      <c r="F747" s="14"/>
      <c r="G747" s="15"/>
      <c r="H747" s="15"/>
      <c r="I747" s="14"/>
      <c r="L747" s="25"/>
    </row>
    <row r="748" ht="18.75" customHeight="1">
      <c r="A748" s="14"/>
      <c r="B748" s="12"/>
      <c r="C748" s="26"/>
      <c r="D748" s="14"/>
      <c r="E748" s="14"/>
      <c r="F748" s="14"/>
      <c r="G748" s="15"/>
      <c r="H748" s="15"/>
      <c r="I748" s="14"/>
      <c r="L748" s="25"/>
    </row>
    <row r="749" ht="18.75" customHeight="1">
      <c r="A749" s="14"/>
      <c r="B749" s="12"/>
      <c r="C749" s="26"/>
      <c r="D749" s="14"/>
      <c r="E749" s="14"/>
      <c r="F749" s="14"/>
      <c r="G749" s="15"/>
      <c r="H749" s="15"/>
      <c r="I749" s="14"/>
      <c r="L749" s="25"/>
    </row>
    <row r="750" ht="18.75" customHeight="1">
      <c r="A750" s="14"/>
      <c r="B750" s="12"/>
      <c r="C750" s="26"/>
      <c r="D750" s="14"/>
      <c r="E750" s="14"/>
      <c r="F750" s="14"/>
      <c r="G750" s="15"/>
      <c r="H750" s="15"/>
      <c r="I750" s="14"/>
      <c r="L750" s="25"/>
    </row>
    <row r="751" ht="18.75" customHeight="1">
      <c r="A751" s="14"/>
      <c r="B751" s="12"/>
      <c r="C751" s="26"/>
      <c r="D751" s="14"/>
      <c r="E751" s="14"/>
      <c r="F751" s="14"/>
      <c r="G751" s="15"/>
      <c r="H751" s="15"/>
      <c r="I751" s="14"/>
      <c r="L751" s="25"/>
    </row>
    <row r="752" ht="18.75" customHeight="1">
      <c r="A752" s="14"/>
      <c r="B752" s="12"/>
      <c r="C752" s="26"/>
      <c r="D752" s="14"/>
      <c r="E752" s="14"/>
      <c r="F752" s="14"/>
      <c r="G752" s="15"/>
      <c r="H752" s="15"/>
      <c r="I752" s="14"/>
      <c r="L752" s="25"/>
    </row>
    <row r="753" ht="18.75" customHeight="1">
      <c r="A753" s="14"/>
      <c r="B753" s="12"/>
      <c r="C753" s="26"/>
      <c r="D753" s="14"/>
      <c r="E753" s="14"/>
      <c r="F753" s="14"/>
      <c r="G753" s="15"/>
      <c r="H753" s="15"/>
      <c r="I753" s="14"/>
      <c r="L753" s="25"/>
    </row>
    <row r="754" ht="18.75" customHeight="1">
      <c r="A754" s="14"/>
      <c r="B754" s="12"/>
      <c r="C754" s="26"/>
      <c r="D754" s="14"/>
      <c r="E754" s="14"/>
      <c r="F754" s="14"/>
      <c r="G754" s="15"/>
      <c r="H754" s="15"/>
      <c r="I754" s="14"/>
      <c r="L754" s="25"/>
    </row>
    <row r="755" ht="18.75" customHeight="1">
      <c r="A755" s="14"/>
      <c r="B755" s="12"/>
      <c r="C755" s="26"/>
      <c r="D755" s="14"/>
      <c r="E755" s="14"/>
      <c r="F755" s="14"/>
      <c r="G755" s="15"/>
      <c r="H755" s="15"/>
      <c r="I755" s="14"/>
      <c r="L755" s="25"/>
    </row>
    <row r="756" ht="18.75" customHeight="1">
      <c r="A756" s="14"/>
      <c r="B756" s="12"/>
      <c r="C756" s="26"/>
      <c r="D756" s="14"/>
      <c r="E756" s="14"/>
      <c r="F756" s="14"/>
      <c r="G756" s="15"/>
      <c r="H756" s="15"/>
      <c r="I756" s="14"/>
      <c r="L756" s="25"/>
    </row>
    <row r="757" ht="18.75" customHeight="1">
      <c r="A757" s="14"/>
      <c r="B757" s="12"/>
      <c r="C757" s="26"/>
      <c r="D757" s="14"/>
      <c r="E757" s="14"/>
      <c r="F757" s="14"/>
      <c r="G757" s="15"/>
      <c r="H757" s="15"/>
      <c r="I757" s="14"/>
      <c r="L757" s="25"/>
    </row>
    <row r="758" ht="18.75" customHeight="1">
      <c r="A758" s="14"/>
      <c r="B758" s="12"/>
      <c r="C758" s="26"/>
      <c r="D758" s="14"/>
      <c r="E758" s="14"/>
      <c r="F758" s="14"/>
      <c r="G758" s="15"/>
      <c r="H758" s="15"/>
      <c r="I758" s="14"/>
      <c r="L758" s="25"/>
    </row>
    <row r="759" ht="18.75" customHeight="1">
      <c r="A759" s="14"/>
      <c r="B759" s="12"/>
      <c r="C759" s="26"/>
      <c r="D759" s="14"/>
      <c r="E759" s="14"/>
      <c r="F759" s="14"/>
      <c r="G759" s="15"/>
      <c r="H759" s="15"/>
      <c r="I759" s="14"/>
      <c r="L759" s="25"/>
    </row>
    <row r="760" ht="18.75" customHeight="1">
      <c r="A760" s="14"/>
      <c r="B760" s="12"/>
      <c r="C760" s="26"/>
      <c r="D760" s="14"/>
      <c r="E760" s="14"/>
      <c r="F760" s="14"/>
      <c r="G760" s="15"/>
      <c r="H760" s="15"/>
      <c r="I760" s="14"/>
      <c r="L760" s="25"/>
    </row>
    <row r="761" ht="18.75" customHeight="1">
      <c r="A761" s="14"/>
      <c r="B761" s="12"/>
      <c r="C761" s="26"/>
      <c r="D761" s="14"/>
      <c r="E761" s="14"/>
      <c r="F761" s="14"/>
      <c r="G761" s="15"/>
      <c r="H761" s="15"/>
      <c r="I761" s="14"/>
      <c r="L761" s="25"/>
    </row>
    <row r="762" ht="18.75" customHeight="1">
      <c r="A762" s="14"/>
      <c r="B762" s="12"/>
      <c r="C762" s="26"/>
      <c r="D762" s="14"/>
      <c r="E762" s="14"/>
      <c r="F762" s="14"/>
      <c r="G762" s="15"/>
      <c r="H762" s="15"/>
      <c r="I762" s="14"/>
      <c r="L762" s="25"/>
    </row>
    <row r="763" ht="18.75" customHeight="1">
      <c r="A763" s="14"/>
      <c r="B763" s="12"/>
      <c r="C763" s="26"/>
      <c r="D763" s="14"/>
      <c r="E763" s="14"/>
      <c r="F763" s="14"/>
      <c r="G763" s="15"/>
      <c r="H763" s="15"/>
      <c r="I763" s="14"/>
      <c r="L763" s="25"/>
    </row>
    <row r="764" ht="18.75" customHeight="1">
      <c r="A764" s="14"/>
      <c r="B764" s="12"/>
      <c r="C764" s="26"/>
      <c r="D764" s="14"/>
      <c r="E764" s="14"/>
      <c r="F764" s="14"/>
      <c r="G764" s="15"/>
      <c r="H764" s="15"/>
      <c r="I764" s="14"/>
      <c r="L764" s="25"/>
    </row>
    <row r="765" ht="18.75" customHeight="1">
      <c r="A765" s="14"/>
      <c r="B765" s="12"/>
      <c r="C765" s="26"/>
      <c r="D765" s="14"/>
      <c r="E765" s="14"/>
      <c r="F765" s="14"/>
      <c r="G765" s="15"/>
      <c r="H765" s="15"/>
      <c r="I765" s="14"/>
      <c r="L765" s="25"/>
    </row>
    <row r="766" ht="18.75" customHeight="1">
      <c r="A766" s="14"/>
      <c r="B766" s="12"/>
      <c r="C766" s="26"/>
      <c r="D766" s="14"/>
      <c r="E766" s="14"/>
      <c r="F766" s="14"/>
      <c r="G766" s="15"/>
      <c r="H766" s="15"/>
      <c r="I766" s="14"/>
      <c r="L766" s="25"/>
    </row>
    <row r="767" ht="18.75" customHeight="1">
      <c r="A767" s="14"/>
      <c r="B767" s="12"/>
      <c r="C767" s="26"/>
      <c r="D767" s="14"/>
      <c r="E767" s="14"/>
      <c r="F767" s="14"/>
      <c r="G767" s="15"/>
      <c r="H767" s="15"/>
      <c r="I767" s="14"/>
      <c r="L767" s="25"/>
    </row>
    <row r="768" ht="18.75" customHeight="1">
      <c r="A768" s="14"/>
      <c r="B768" s="12"/>
      <c r="C768" s="26"/>
      <c r="D768" s="14"/>
      <c r="E768" s="14"/>
      <c r="F768" s="14"/>
      <c r="G768" s="15"/>
      <c r="H768" s="15"/>
      <c r="I768" s="14"/>
      <c r="L768" s="25"/>
    </row>
    <row r="769" ht="18.75" customHeight="1">
      <c r="A769" s="14"/>
      <c r="B769" s="12"/>
      <c r="C769" s="26"/>
      <c r="D769" s="14"/>
      <c r="E769" s="14"/>
      <c r="F769" s="14"/>
      <c r="G769" s="15"/>
      <c r="H769" s="15"/>
      <c r="I769" s="14"/>
      <c r="L769" s="25"/>
    </row>
    <row r="770" ht="18.75" customHeight="1">
      <c r="A770" s="14"/>
      <c r="B770" s="12"/>
      <c r="C770" s="26"/>
      <c r="D770" s="14"/>
      <c r="E770" s="14"/>
      <c r="F770" s="14"/>
      <c r="G770" s="15"/>
      <c r="H770" s="15"/>
      <c r="I770" s="14"/>
      <c r="L770" s="25"/>
    </row>
    <row r="771" ht="18.75" customHeight="1">
      <c r="A771" s="14"/>
      <c r="B771" s="12"/>
      <c r="C771" s="26"/>
      <c r="D771" s="14"/>
      <c r="E771" s="14"/>
      <c r="F771" s="14"/>
      <c r="G771" s="15"/>
      <c r="H771" s="15"/>
      <c r="I771" s="14"/>
      <c r="L771" s="25"/>
    </row>
    <row r="772" ht="18.75" customHeight="1">
      <c r="A772" s="14"/>
      <c r="B772" s="12"/>
      <c r="C772" s="26"/>
      <c r="D772" s="14"/>
      <c r="E772" s="14"/>
      <c r="F772" s="14"/>
      <c r="G772" s="15"/>
      <c r="H772" s="15"/>
      <c r="I772" s="14"/>
      <c r="L772" s="25"/>
    </row>
    <row r="773" ht="18.75" customHeight="1">
      <c r="A773" s="14"/>
      <c r="B773" s="12"/>
      <c r="C773" s="26"/>
      <c r="D773" s="14"/>
      <c r="E773" s="14"/>
      <c r="F773" s="14"/>
      <c r="G773" s="15"/>
      <c r="H773" s="15"/>
      <c r="I773" s="14"/>
      <c r="L773" s="25"/>
    </row>
    <row r="774" ht="18.75" customHeight="1">
      <c r="A774" s="14"/>
      <c r="B774" s="12"/>
      <c r="C774" s="26"/>
      <c r="D774" s="14"/>
      <c r="E774" s="14"/>
      <c r="F774" s="14"/>
      <c r="G774" s="15"/>
      <c r="H774" s="15"/>
      <c r="I774" s="14"/>
      <c r="L774" s="25"/>
    </row>
    <row r="775" ht="18.75" customHeight="1">
      <c r="A775" s="14"/>
      <c r="B775" s="12"/>
      <c r="C775" s="26"/>
      <c r="D775" s="14"/>
      <c r="E775" s="14"/>
      <c r="F775" s="14"/>
      <c r="G775" s="15"/>
      <c r="H775" s="15"/>
      <c r="I775" s="14"/>
      <c r="L775" s="25"/>
    </row>
    <row r="776" ht="18.75" customHeight="1">
      <c r="A776" s="14"/>
      <c r="B776" s="12"/>
      <c r="C776" s="26"/>
      <c r="D776" s="14"/>
      <c r="E776" s="14"/>
      <c r="F776" s="14"/>
      <c r="G776" s="15"/>
      <c r="H776" s="15"/>
      <c r="I776" s="14"/>
      <c r="L776" s="25"/>
    </row>
    <row r="777" ht="18.75" customHeight="1">
      <c r="A777" s="14"/>
      <c r="B777" s="12"/>
      <c r="C777" s="26"/>
      <c r="D777" s="14"/>
      <c r="E777" s="14"/>
      <c r="F777" s="14"/>
      <c r="G777" s="15"/>
      <c r="H777" s="15"/>
      <c r="I777" s="14"/>
      <c r="L777" s="25"/>
    </row>
    <row r="778" ht="18.75" customHeight="1">
      <c r="A778" s="14"/>
      <c r="B778" s="12"/>
      <c r="C778" s="26"/>
      <c r="D778" s="14"/>
      <c r="E778" s="14"/>
      <c r="F778" s="14"/>
      <c r="G778" s="15"/>
      <c r="H778" s="15"/>
      <c r="I778" s="14"/>
      <c r="L778" s="25"/>
    </row>
    <row r="779" ht="18.75" customHeight="1">
      <c r="A779" s="14"/>
      <c r="B779" s="12"/>
      <c r="C779" s="26"/>
      <c r="D779" s="14"/>
      <c r="E779" s="14"/>
      <c r="F779" s="14"/>
      <c r="G779" s="15"/>
      <c r="H779" s="15"/>
      <c r="I779" s="14"/>
      <c r="L779" s="25"/>
    </row>
    <row r="780" ht="18.75" customHeight="1">
      <c r="A780" s="14"/>
      <c r="B780" s="12"/>
      <c r="C780" s="26"/>
      <c r="D780" s="14"/>
      <c r="E780" s="14"/>
      <c r="F780" s="14"/>
      <c r="G780" s="15"/>
      <c r="H780" s="15"/>
      <c r="I780" s="14"/>
      <c r="L780" s="25"/>
    </row>
    <row r="781" ht="18.75" customHeight="1">
      <c r="A781" s="14"/>
      <c r="B781" s="12"/>
      <c r="C781" s="26"/>
      <c r="D781" s="14"/>
      <c r="E781" s="14"/>
      <c r="F781" s="14"/>
      <c r="G781" s="15"/>
      <c r="H781" s="15"/>
      <c r="I781" s="14"/>
      <c r="L781" s="25"/>
    </row>
    <row r="782" ht="18.75" customHeight="1">
      <c r="A782" s="14"/>
      <c r="B782" s="12"/>
      <c r="C782" s="26"/>
      <c r="D782" s="14"/>
      <c r="E782" s="14"/>
      <c r="F782" s="14"/>
      <c r="G782" s="15"/>
      <c r="H782" s="15"/>
      <c r="I782" s="14"/>
      <c r="L782" s="25"/>
    </row>
    <row r="783" ht="18.75" customHeight="1">
      <c r="A783" s="14"/>
      <c r="B783" s="12"/>
      <c r="C783" s="26"/>
      <c r="D783" s="14"/>
      <c r="E783" s="14"/>
      <c r="F783" s="14"/>
      <c r="G783" s="15"/>
      <c r="H783" s="15"/>
      <c r="I783" s="14"/>
      <c r="L783" s="25"/>
    </row>
    <row r="784" ht="18.75" customHeight="1">
      <c r="A784" s="14"/>
      <c r="B784" s="12"/>
      <c r="C784" s="26"/>
      <c r="D784" s="14"/>
      <c r="E784" s="14"/>
      <c r="F784" s="14"/>
      <c r="G784" s="15"/>
      <c r="H784" s="15"/>
      <c r="I784" s="14"/>
      <c r="L784" s="25"/>
    </row>
    <row r="785" ht="18.75" customHeight="1">
      <c r="A785" s="14"/>
      <c r="B785" s="12"/>
      <c r="C785" s="26"/>
      <c r="D785" s="14"/>
      <c r="E785" s="14"/>
      <c r="F785" s="14"/>
      <c r="G785" s="15"/>
      <c r="H785" s="15"/>
      <c r="I785" s="14"/>
      <c r="L785" s="25"/>
    </row>
    <row r="786" ht="18.75" customHeight="1">
      <c r="A786" s="14"/>
      <c r="B786" s="12"/>
      <c r="C786" s="26"/>
      <c r="D786" s="14"/>
      <c r="E786" s="14"/>
      <c r="F786" s="14"/>
      <c r="G786" s="15"/>
      <c r="H786" s="15"/>
      <c r="I786" s="14"/>
      <c r="L786" s="25"/>
    </row>
    <row r="787" ht="18.75" customHeight="1">
      <c r="A787" s="14"/>
      <c r="B787" s="12"/>
      <c r="C787" s="26"/>
      <c r="D787" s="14"/>
      <c r="E787" s="14"/>
      <c r="F787" s="14"/>
      <c r="G787" s="15"/>
      <c r="H787" s="15"/>
      <c r="I787" s="14"/>
      <c r="L787" s="25"/>
    </row>
    <row r="788" ht="18.75" customHeight="1">
      <c r="A788" s="14"/>
      <c r="B788" s="12"/>
      <c r="C788" s="26"/>
      <c r="D788" s="14"/>
      <c r="E788" s="14"/>
      <c r="F788" s="14"/>
      <c r="G788" s="15"/>
      <c r="H788" s="15"/>
      <c r="I788" s="14"/>
      <c r="L788" s="25"/>
    </row>
    <row r="789" ht="18.75" customHeight="1">
      <c r="A789" s="14"/>
      <c r="B789" s="12"/>
      <c r="C789" s="26"/>
      <c r="D789" s="14"/>
      <c r="E789" s="14"/>
      <c r="F789" s="14"/>
      <c r="G789" s="15"/>
      <c r="H789" s="15"/>
      <c r="I789" s="14"/>
      <c r="L789" s="25"/>
    </row>
    <row r="790" ht="18.75" customHeight="1">
      <c r="A790" s="14"/>
      <c r="B790" s="12"/>
      <c r="C790" s="26"/>
      <c r="D790" s="14"/>
      <c r="E790" s="14"/>
      <c r="F790" s="14"/>
      <c r="G790" s="15"/>
      <c r="H790" s="15"/>
      <c r="I790" s="14"/>
      <c r="L790" s="25"/>
    </row>
    <row r="791" ht="18.75" customHeight="1">
      <c r="A791" s="14"/>
      <c r="B791" s="12"/>
      <c r="C791" s="26"/>
      <c r="D791" s="14"/>
      <c r="E791" s="14"/>
      <c r="F791" s="14"/>
      <c r="G791" s="15"/>
      <c r="H791" s="15"/>
      <c r="I791" s="14"/>
      <c r="L791" s="25"/>
    </row>
    <row r="792" ht="18.75" customHeight="1">
      <c r="A792" s="14"/>
      <c r="B792" s="12"/>
      <c r="C792" s="26"/>
      <c r="D792" s="14"/>
      <c r="E792" s="14"/>
      <c r="F792" s="14"/>
      <c r="G792" s="15"/>
      <c r="H792" s="15"/>
      <c r="I792" s="14"/>
      <c r="L792" s="25"/>
    </row>
    <row r="793" ht="18.75" customHeight="1">
      <c r="A793" s="14"/>
      <c r="B793" s="12"/>
      <c r="C793" s="26"/>
      <c r="D793" s="14"/>
      <c r="E793" s="14"/>
      <c r="F793" s="14"/>
      <c r="G793" s="15"/>
      <c r="H793" s="15"/>
      <c r="I793" s="14"/>
      <c r="L793" s="25"/>
    </row>
    <row r="794" ht="18.75" customHeight="1">
      <c r="A794" s="14"/>
      <c r="B794" s="12"/>
      <c r="C794" s="26"/>
      <c r="D794" s="14"/>
      <c r="E794" s="14"/>
      <c r="F794" s="14"/>
      <c r="G794" s="15"/>
      <c r="H794" s="15"/>
      <c r="I794" s="14"/>
      <c r="L794" s="25"/>
    </row>
    <row r="795" ht="18.75" customHeight="1">
      <c r="A795" s="14"/>
      <c r="B795" s="12"/>
      <c r="C795" s="26"/>
      <c r="D795" s="14"/>
      <c r="E795" s="14"/>
      <c r="F795" s="14"/>
      <c r="G795" s="15"/>
      <c r="H795" s="15"/>
      <c r="I795" s="14"/>
      <c r="L795" s="25"/>
    </row>
    <row r="796" ht="18.75" customHeight="1">
      <c r="A796" s="14"/>
      <c r="B796" s="12"/>
      <c r="C796" s="26"/>
      <c r="D796" s="14"/>
      <c r="E796" s="14"/>
      <c r="F796" s="14"/>
      <c r="G796" s="15"/>
      <c r="H796" s="15"/>
      <c r="I796" s="14"/>
      <c r="L796" s="25"/>
    </row>
    <row r="797" ht="18.75" customHeight="1">
      <c r="A797" s="14"/>
      <c r="B797" s="12"/>
      <c r="C797" s="26"/>
      <c r="D797" s="14"/>
      <c r="E797" s="14"/>
      <c r="F797" s="14"/>
      <c r="G797" s="15"/>
      <c r="H797" s="15"/>
      <c r="I797" s="14"/>
      <c r="L797" s="25"/>
    </row>
    <row r="798" ht="18.75" customHeight="1">
      <c r="A798" s="14"/>
      <c r="B798" s="12"/>
      <c r="C798" s="26"/>
      <c r="D798" s="14"/>
      <c r="E798" s="14"/>
      <c r="F798" s="14"/>
      <c r="G798" s="15"/>
      <c r="H798" s="15"/>
      <c r="I798" s="14"/>
      <c r="L798" s="25"/>
    </row>
    <row r="799" ht="18.75" customHeight="1">
      <c r="A799" s="14"/>
      <c r="B799" s="12"/>
      <c r="C799" s="26"/>
      <c r="D799" s="14"/>
      <c r="E799" s="14"/>
      <c r="F799" s="14"/>
      <c r="G799" s="15"/>
      <c r="H799" s="15"/>
      <c r="I799" s="14"/>
      <c r="L799" s="25"/>
    </row>
    <row r="800" ht="18.75" customHeight="1">
      <c r="A800" s="14"/>
      <c r="B800" s="12"/>
      <c r="C800" s="26"/>
      <c r="D800" s="14"/>
      <c r="E800" s="14"/>
      <c r="F800" s="14"/>
      <c r="G800" s="15"/>
      <c r="H800" s="15"/>
      <c r="I800" s="14"/>
      <c r="L800" s="25"/>
    </row>
    <row r="801" ht="18.75" customHeight="1">
      <c r="A801" s="14"/>
      <c r="B801" s="12"/>
      <c r="C801" s="26"/>
      <c r="D801" s="14"/>
      <c r="E801" s="14"/>
      <c r="F801" s="14"/>
      <c r="G801" s="15"/>
      <c r="H801" s="15"/>
      <c r="I801" s="14"/>
      <c r="L801" s="25"/>
    </row>
    <row r="802" ht="18.75" customHeight="1">
      <c r="A802" s="14"/>
      <c r="B802" s="12"/>
      <c r="C802" s="26"/>
      <c r="D802" s="14"/>
      <c r="E802" s="14"/>
      <c r="F802" s="14"/>
      <c r="G802" s="15"/>
      <c r="H802" s="15"/>
      <c r="I802" s="14"/>
      <c r="L802" s="25"/>
    </row>
    <row r="803" ht="18.75" customHeight="1">
      <c r="A803" s="14"/>
      <c r="B803" s="12"/>
      <c r="C803" s="26"/>
      <c r="D803" s="14"/>
      <c r="E803" s="14"/>
      <c r="F803" s="14"/>
      <c r="G803" s="15"/>
      <c r="H803" s="15"/>
      <c r="I803" s="14"/>
      <c r="L803" s="25"/>
    </row>
    <row r="804" ht="18.75" customHeight="1">
      <c r="A804" s="14"/>
      <c r="B804" s="12"/>
      <c r="C804" s="26"/>
      <c r="D804" s="14"/>
      <c r="E804" s="14"/>
      <c r="F804" s="14"/>
      <c r="G804" s="15"/>
      <c r="H804" s="15"/>
      <c r="I804" s="14"/>
      <c r="L804" s="25"/>
    </row>
    <row r="805" ht="18.75" customHeight="1">
      <c r="A805" s="14"/>
      <c r="B805" s="12"/>
      <c r="C805" s="26"/>
      <c r="D805" s="14"/>
      <c r="E805" s="14"/>
      <c r="F805" s="14"/>
      <c r="G805" s="15"/>
      <c r="H805" s="15"/>
      <c r="I805" s="14"/>
      <c r="L805" s="25"/>
    </row>
    <row r="806" ht="18.75" customHeight="1">
      <c r="A806" s="14"/>
      <c r="B806" s="12"/>
      <c r="C806" s="26"/>
      <c r="D806" s="14"/>
      <c r="E806" s="14"/>
      <c r="F806" s="14"/>
      <c r="G806" s="15"/>
      <c r="H806" s="15"/>
      <c r="I806" s="14"/>
      <c r="L806" s="25"/>
    </row>
    <row r="807" ht="18.75" customHeight="1">
      <c r="A807" s="14"/>
      <c r="B807" s="12"/>
      <c r="C807" s="26"/>
      <c r="D807" s="14"/>
      <c r="E807" s="14"/>
      <c r="F807" s="14"/>
      <c r="G807" s="15"/>
      <c r="H807" s="15"/>
      <c r="I807" s="14"/>
      <c r="L807" s="25"/>
    </row>
    <row r="808" ht="18.75" customHeight="1">
      <c r="A808" s="14"/>
      <c r="B808" s="12"/>
      <c r="C808" s="26"/>
      <c r="D808" s="14"/>
      <c r="E808" s="14"/>
      <c r="F808" s="14"/>
      <c r="G808" s="15"/>
      <c r="H808" s="15"/>
      <c r="I808" s="14"/>
      <c r="L808" s="25"/>
    </row>
    <row r="809" ht="18.75" customHeight="1">
      <c r="A809" s="14"/>
      <c r="B809" s="12"/>
      <c r="C809" s="26"/>
      <c r="D809" s="14"/>
      <c r="E809" s="14"/>
      <c r="F809" s="14"/>
      <c r="G809" s="15"/>
      <c r="H809" s="15"/>
      <c r="I809" s="14"/>
      <c r="L809" s="25"/>
    </row>
    <row r="810" ht="18.75" customHeight="1">
      <c r="A810" s="14"/>
      <c r="B810" s="12"/>
      <c r="C810" s="26"/>
      <c r="D810" s="14"/>
      <c r="E810" s="14"/>
      <c r="F810" s="14"/>
      <c r="G810" s="15"/>
      <c r="H810" s="15"/>
      <c r="I810" s="14"/>
      <c r="L810" s="25"/>
    </row>
    <row r="811" ht="18.75" customHeight="1">
      <c r="A811" s="14"/>
      <c r="B811" s="12"/>
      <c r="C811" s="26"/>
      <c r="D811" s="14"/>
      <c r="E811" s="14"/>
      <c r="F811" s="14"/>
      <c r="G811" s="15"/>
      <c r="H811" s="15"/>
      <c r="I811" s="14"/>
      <c r="L811" s="25"/>
    </row>
    <row r="812" ht="18.75" customHeight="1">
      <c r="A812" s="14"/>
      <c r="B812" s="12"/>
      <c r="C812" s="26"/>
      <c r="D812" s="14"/>
      <c r="E812" s="14"/>
      <c r="F812" s="14"/>
      <c r="G812" s="15"/>
      <c r="H812" s="15"/>
      <c r="I812" s="14"/>
      <c r="L812" s="25"/>
    </row>
    <row r="813" ht="18.75" customHeight="1">
      <c r="A813" s="14"/>
      <c r="B813" s="12"/>
      <c r="C813" s="26"/>
      <c r="D813" s="14"/>
      <c r="E813" s="14"/>
      <c r="F813" s="14"/>
      <c r="G813" s="15"/>
      <c r="H813" s="15"/>
      <c r="I813" s="14"/>
      <c r="L813" s="25"/>
    </row>
    <row r="814" ht="18.75" customHeight="1">
      <c r="A814" s="14"/>
      <c r="B814" s="12"/>
      <c r="C814" s="26"/>
      <c r="D814" s="14"/>
      <c r="E814" s="14"/>
      <c r="F814" s="14"/>
      <c r="G814" s="15"/>
      <c r="H814" s="15"/>
      <c r="I814" s="14"/>
      <c r="L814" s="25"/>
    </row>
    <row r="815" ht="18.75" customHeight="1">
      <c r="A815" s="14"/>
      <c r="B815" s="12"/>
      <c r="C815" s="26"/>
      <c r="D815" s="14"/>
      <c r="E815" s="14"/>
      <c r="F815" s="14"/>
      <c r="G815" s="15"/>
      <c r="H815" s="15"/>
      <c r="I815" s="14"/>
      <c r="L815" s="25"/>
    </row>
    <row r="816" ht="18.75" customHeight="1">
      <c r="A816" s="14"/>
      <c r="B816" s="12"/>
      <c r="C816" s="26"/>
      <c r="D816" s="14"/>
      <c r="E816" s="14"/>
      <c r="F816" s="14"/>
      <c r="G816" s="15"/>
      <c r="H816" s="15"/>
      <c r="I816" s="14"/>
      <c r="L816" s="25"/>
    </row>
    <row r="817" ht="18.75" customHeight="1">
      <c r="A817" s="14"/>
      <c r="B817" s="12"/>
      <c r="C817" s="26"/>
      <c r="D817" s="14"/>
      <c r="E817" s="14"/>
      <c r="F817" s="14"/>
      <c r="G817" s="15"/>
      <c r="H817" s="15"/>
      <c r="I817" s="14"/>
      <c r="L817" s="25"/>
    </row>
    <row r="818" ht="18.75" customHeight="1">
      <c r="A818" s="14"/>
      <c r="B818" s="12"/>
      <c r="C818" s="26"/>
      <c r="D818" s="14"/>
      <c r="E818" s="14"/>
      <c r="F818" s="14"/>
      <c r="G818" s="15"/>
      <c r="H818" s="15"/>
      <c r="I818" s="14"/>
      <c r="L818" s="25"/>
    </row>
    <row r="819" ht="18.75" customHeight="1">
      <c r="A819" s="14"/>
      <c r="B819" s="12"/>
      <c r="C819" s="26"/>
      <c r="D819" s="14"/>
      <c r="E819" s="14"/>
      <c r="F819" s="14"/>
      <c r="G819" s="15"/>
      <c r="H819" s="15"/>
      <c r="I819" s="14"/>
      <c r="L819" s="25"/>
    </row>
    <row r="820" ht="18.75" customHeight="1">
      <c r="A820" s="14"/>
      <c r="B820" s="12"/>
      <c r="C820" s="26"/>
      <c r="D820" s="14"/>
      <c r="E820" s="14"/>
      <c r="F820" s="14"/>
      <c r="G820" s="15"/>
      <c r="H820" s="15"/>
      <c r="I820" s="14"/>
      <c r="L820" s="25"/>
    </row>
    <row r="821" ht="18.75" customHeight="1">
      <c r="A821" s="14"/>
      <c r="B821" s="12"/>
      <c r="C821" s="26"/>
      <c r="D821" s="14"/>
      <c r="E821" s="14"/>
      <c r="F821" s="14"/>
      <c r="G821" s="15"/>
      <c r="H821" s="15"/>
      <c r="I821" s="14"/>
      <c r="L821" s="25"/>
    </row>
    <row r="822" ht="18.75" customHeight="1">
      <c r="A822" s="14"/>
      <c r="B822" s="12"/>
      <c r="C822" s="26"/>
      <c r="D822" s="14"/>
      <c r="E822" s="14"/>
      <c r="F822" s="14"/>
      <c r="G822" s="15"/>
      <c r="H822" s="15"/>
      <c r="I822" s="14"/>
      <c r="L822" s="25"/>
    </row>
    <row r="823" ht="18.75" customHeight="1">
      <c r="A823" s="14"/>
      <c r="B823" s="12"/>
      <c r="C823" s="26"/>
      <c r="D823" s="14"/>
      <c r="E823" s="14"/>
      <c r="F823" s="14"/>
      <c r="G823" s="15"/>
      <c r="H823" s="15"/>
      <c r="I823" s="14"/>
      <c r="L823" s="25"/>
    </row>
    <row r="824" ht="18.75" customHeight="1">
      <c r="A824" s="14"/>
      <c r="B824" s="12"/>
      <c r="C824" s="26"/>
      <c r="D824" s="14"/>
      <c r="E824" s="14"/>
      <c r="F824" s="14"/>
      <c r="G824" s="15"/>
      <c r="H824" s="15"/>
      <c r="I824" s="14"/>
      <c r="L824" s="25"/>
    </row>
    <row r="825" ht="18.75" customHeight="1">
      <c r="A825" s="14"/>
      <c r="B825" s="12"/>
      <c r="C825" s="26"/>
      <c r="D825" s="14"/>
      <c r="E825" s="14"/>
      <c r="F825" s="14"/>
      <c r="G825" s="15"/>
      <c r="H825" s="15"/>
      <c r="I825" s="14"/>
      <c r="L825" s="25"/>
    </row>
    <row r="826" ht="18.75" customHeight="1">
      <c r="A826" s="14"/>
      <c r="B826" s="12"/>
      <c r="C826" s="26"/>
      <c r="D826" s="14"/>
      <c r="E826" s="14"/>
      <c r="F826" s="14"/>
      <c r="G826" s="15"/>
      <c r="H826" s="15"/>
      <c r="I826" s="14"/>
      <c r="L826" s="25"/>
    </row>
    <row r="827" ht="18.75" customHeight="1">
      <c r="A827" s="14"/>
      <c r="B827" s="12"/>
      <c r="C827" s="26"/>
      <c r="D827" s="14"/>
      <c r="E827" s="14"/>
      <c r="F827" s="14"/>
      <c r="G827" s="15"/>
      <c r="H827" s="15"/>
      <c r="I827" s="14"/>
      <c r="L827" s="25"/>
    </row>
    <row r="828" ht="18.75" customHeight="1">
      <c r="A828" s="14"/>
      <c r="B828" s="12"/>
      <c r="C828" s="26"/>
      <c r="D828" s="14"/>
      <c r="E828" s="14"/>
      <c r="F828" s="14"/>
      <c r="G828" s="15"/>
      <c r="H828" s="15"/>
      <c r="I828" s="14"/>
      <c r="L828" s="25"/>
    </row>
    <row r="829" ht="18.75" customHeight="1">
      <c r="A829" s="14"/>
      <c r="B829" s="12"/>
      <c r="C829" s="26"/>
      <c r="D829" s="14"/>
      <c r="E829" s="14"/>
      <c r="F829" s="14"/>
      <c r="G829" s="15"/>
      <c r="H829" s="15"/>
      <c r="I829" s="14"/>
      <c r="L829" s="25"/>
    </row>
    <row r="830" ht="18.75" customHeight="1">
      <c r="A830" s="14"/>
      <c r="B830" s="12"/>
      <c r="C830" s="26"/>
      <c r="D830" s="14"/>
      <c r="E830" s="14"/>
      <c r="F830" s="14"/>
      <c r="G830" s="15"/>
      <c r="H830" s="15"/>
      <c r="I830" s="14"/>
      <c r="L830" s="25"/>
    </row>
    <row r="831" ht="18.75" customHeight="1">
      <c r="A831" s="14"/>
      <c r="B831" s="12"/>
      <c r="C831" s="26"/>
      <c r="D831" s="14"/>
      <c r="E831" s="14"/>
      <c r="F831" s="14"/>
      <c r="G831" s="15"/>
      <c r="H831" s="15"/>
      <c r="I831" s="14"/>
      <c r="L831" s="25"/>
    </row>
    <row r="832" ht="18.75" customHeight="1">
      <c r="A832" s="14"/>
      <c r="B832" s="12"/>
      <c r="C832" s="26"/>
      <c r="D832" s="14"/>
      <c r="E832" s="14"/>
      <c r="F832" s="14"/>
      <c r="G832" s="15"/>
      <c r="H832" s="15"/>
      <c r="I832" s="14"/>
      <c r="L832" s="25"/>
    </row>
    <row r="833" ht="18.75" customHeight="1">
      <c r="A833" s="14"/>
      <c r="B833" s="12"/>
      <c r="C833" s="26"/>
      <c r="D833" s="14"/>
      <c r="E833" s="14"/>
      <c r="F833" s="14"/>
      <c r="G833" s="15"/>
      <c r="H833" s="15"/>
      <c r="I833" s="14"/>
      <c r="L833" s="25"/>
    </row>
    <row r="834" ht="18.75" customHeight="1">
      <c r="A834" s="14"/>
      <c r="B834" s="12"/>
      <c r="C834" s="26"/>
      <c r="D834" s="14"/>
      <c r="E834" s="14"/>
      <c r="F834" s="14"/>
      <c r="G834" s="15"/>
      <c r="H834" s="15"/>
      <c r="I834" s="14"/>
      <c r="L834" s="25"/>
    </row>
    <row r="835" ht="18.75" customHeight="1">
      <c r="A835" s="14"/>
      <c r="B835" s="12"/>
      <c r="C835" s="26"/>
      <c r="D835" s="14"/>
      <c r="E835" s="14"/>
      <c r="F835" s="14"/>
      <c r="G835" s="15"/>
      <c r="H835" s="15"/>
      <c r="I835" s="14"/>
      <c r="L835" s="25"/>
    </row>
    <row r="836" ht="18.75" customHeight="1">
      <c r="A836" s="14"/>
      <c r="B836" s="12"/>
      <c r="C836" s="26"/>
      <c r="D836" s="14"/>
      <c r="E836" s="14"/>
      <c r="F836" s="14"/>
      <c r="G836" s="15"/>
      <c r="H836" s="15"/>
      <c r="I836" s="14"/>
      <c r="L836" s="25"/>
    </row>
    <row r="837" ht="18.75" customHeight="1">
      <c r="A837" s="14"/>
      <c r="B837" s="12"/>
      <c r="C837" s="26"/>
      <c r="D837" s="14"/>
      <c r="E837" s="14"/>
      <c r="F837" s="14"/>
      <c r="G837" s="15"/>
      <c r="H837" s="15"/>
      <c r="I837" s="14"/>
      <c r="L837" s="25"/>
    </row>
    <row r="838" ht="18.75" customHeight="1">
      <c r="A838" s="14"/>
      <c r="B838" s="12"/>
      <c r="C838" s="26"/>
      <c r="D838" s="14"/>
      <c r="E838" s="14"/>
      <c r="F838" s="14"/>
      <c r="G838" s="15"/>
      <c r="H838" s="15"/>
      <c r="I838" s="14"/>
      <c r="L838" s="25"/>
    </row>
    <row r="839" ht="18.75" customHeight="1">
      <c r="A839" s="14"/>
      <c r="B839" s="12"/>
      <c r="C839" s="26"/>
      <c r="D839" s="14"/>
      <c r="E839" s="14"/>
      <c r="F839" s="14"/>
      <c r="G839" s="15"/>
      <c r="H839" s="15"/>
      <c r="I839" s="14"/>
      <c r="L839" s="25"/>
    </row>
    <row r="840" ht="18.75" customHeight="1">
      <c r="A840" s="14"/>
      <c r="B840" s="12"/>
      <c r="C840" s="26"/>
      <c r="D840" s="14"/>
      <c r="E840" s="14"/>
      <c r="F840" s="14"/>
      <c r="G840" s="15"/>
      <c r="H840" s="15"/>
      <c r="I840" s="14"/>
      <c r="L840" s="25"/>
    </row>
    <row r="841" ht="18.75" customHeight="1">
      <c r="A841" s="14"/>
      <c r="B841" s="12"/>
      <c r="C841" s="26"/>
      <c r="D841" s="14"/>
      <c r="E841" s="14"/>
      <c r="F841" s="14"/>
      <c r="G841" s="15"/>
      <c r="H841" s="15"/>
      <c r="I841" s="14"/>
      <c r="L841" s="25"/>
    </row>
    <row r="842" ht="18.75" customHeight="1">
      <c r="A842" s="14"/>
      <c r="B842" s="12"/>
      <c r="C842" s="26"/>
      <c r="D842" s="14"/>
      <c r="E842" s="14"/>
      <c r="F842" s="14"/>
      <c r="G842" s="15"/>
      <c r="H842" s="15"/>
      <c r="I842" s="14"/>
      <c r="L842" s="25"/>
    </row>
    <row r="843" ht="18.75" customHeight="1">
      <c r="A843" s="14"/>
      <c r="B843" s="12"/>
      <c r="C843" s="26"/>
      <c r="D843" s="14"/>
      <c r="E843" s="14"/>
      <c r="F843" s="14"/>
      <c r="G843" s="15"/>
      <c r="H843" s="15"/>
      <c r="I843" s="14"/>
      <c r="L843" s="25"/>
    </row>
    <row r="844" ht="18.75" customHeight="1">
      <c r="A844" s="14"/>
      <c r="B844" s="12"/>
      <c r="C844" s="26"/>
      <c r="D844" s="14"/>
      <c r="E844" s="14"/>
      <c r="F844" s="14"/>
      <c r="G844" s="15"/>
      <c r="H844" s="15"/>
      <c r="I844" s="14"/>
      <c r="L844" s="25"/>
    </row>
    <row r="845" ht="18.75" customHeight="1">
      <c r="A845" s="14"/>
      <c r="B845" s="12"/>
      <c r="C845" s="26"/>
      <c r="D845" s="14"/>
      <c r="E845" s="14"/>
      <c r="F845" s="14"/>
      <c r="G845" s="15"/>
      <c r="H845" s="15"/>
      <c r="I845" s="14"/>
      <c r="L845" s="25"/>
    </row>
    <row r="846" ht="18.75" customHeight="1">
      <c r="A846" s="14"/>
      <c r="B846" s="12"/>
      <c r="C846" s="26"/>
      <c r="D846" s="14"/>
      <c r="E846" s="14"/>
      <c r="F846" s="14"/>
      <c r="G846" s="15"/>
      <c r="H846" s="15"/>
      <c r="I846" s="14"/>
      <c r="L846" s="25"/>
    </row>
    <row r="847" ht="18.75" customHeight="1">
      <c r="A847" s="14"/>
      <c r="B847" s="12"/>
      <c r="C847" s="26"/>
      <c r="D847" s="14"/>
      <c r="E847" s="14"/>
      <c r="F847" s="14"/>
      <c r="G847" s="15"/>
      <c r="H847" s="15"/>
      <c r="I847" s="14"/>
      <c r="L847" s="25"/>
    </row>
    <row r="848" ht="18.75" customHeight="1">
      <c r="A848" s="14"/>
      <c r="B848" s="12"/>
      <c r="C848" s="26"/>
      <c r="D848" s="14"/>
      <c r="E848" s="14"/>
      <c r="F848" s="14"/>
      <c r="G848" s="15"/>
      <c r="H848" s="15"/>
      <c r="I848" s="14"/>
      <c r="L848" s="25"/>
    </row>
    <row r="849" ht="18.75" customHeight="1">
      <c r="A849" s="14"/>
      <c r="B849" s="12"/>
      <c r="C849" s="26"/>
      <c r="D849" s="14"/>
      <c r="E849" s="14"/>
      <c r="F849" s="14"/>
      <c r="G849" s="15"/>
      <c r="H849" s="15"/>
      <c r="I849" s="14"/>
      <c r="L849" s="25"/>
    </row>
    <row r="850" ht="18.75" customHeight="1">
      <c r="A850" s="14"/>
      <c r="B850" s="12"/>
      <c r="C850" s="26"/>
      <c r="D850" s="14"/>
      <c r="E850" s="14"/>
      <c r="F850" s="14"/>
      <c r="G850" s="15"/>
      <c r="H850" s="15"/>
      <c r="I850" s="14"/>
      <c r="L850" s="25"/>
    </row>
    <row r="851" ht="18.75" customHeight="1">
      <c r="A851" s="14"/>
      <c r="B851" s="12"/>
      <c r="C851" s="26"/>
      <c r="D851" s="14"/>
      <c r="E851" s="14"/>
      <c r="F851" s="14"/>
      <c r="G851" s="15"/>
      <c r="H851" s="15"/>
      <c r="I851" s="14"/>
      <c r="L851" s="25"/>
    </row>
    <row r="852" ht="18.75" customHeight="1">
      <c r="A852" s="14"/>
      <c r="B852" s="12"/>
      <c r="C852" s="26"/>
      <c r="D852" s="14"/>
      <c r="E852" s="14"/>
      <c r="F852" s="14"/>
      <c r="G852" s="15"/>
      <c r="H852" s="15"/>
      <c r="I852" s="14"/>
      <c r="L852" s="25"/>
    </row>
    <row r="853" ht="18.75" customHeight="1">
      <c r="A853" s="14"/>
      <c r="B853" s="12"/>
      <c r="C853" s="26"/>
      <c r="D853" s="14"/>
      <c r="E853" s="14"/>
      <c r="F853" s="14"/>
      <c r="G853" s="15"/>
      <c r="H853" s="15"/>
      <c r="I853" s="14"/>
      <c r="L853" s="25"/>
    </row>
    <row r="854" ht="18.75" customHeight="1">
      <c r="A854" s="14"/>
      <c r="B854" s="12"/>
      <c r="C854" s="26"/>
      <c r="D854" s="14"/>
      <c r="E854" s="14"/>
      <c r="F854" s="14"/>
      <c r="G854" s="15"/>
      <c r="H854" s="15"/>
      <c r="I854" s="14"/>
      <c r="L854" s="25"/>
    </row>
    <row r="855" ht="18.75" customHeight="1">
      <c r="A855" s="14"/>
      <c r="B855" s="12"/>
      <c r="C855" s="26"/>
      <c r="D855" s="14"/>
      <c r="E855" s="14"/>
      <c r="F855" s="14"/>
      <c r="G855" s="15"/>
      <c r="H855" s="15"/>
      <c r="I855" s="14"/>
      <c r="L855" s="25"/>
    </row>
    <row r="856" ht="18.75" customHeight="1">
      <c r="A856" s="14"/>
      <c r="B856" s="12"/>
      <c r="C856" s="26"/>
      <c r="D856" s="14"/>
      <c r="E856" s="14"/>
      <c r="F856" s="14"/>
      <c r="G856" s="15"/>
      <c r="H856" s="15"/>
      <c r="I856" s="14"/>
      <c r="L856" s="25"/>
    </row>
    <row r="857" ht="18.75" customHeight="1">
      <c r="A857" s="14"/>
      <c r="B857" s="12"/>
      <c r="C857" s="26"/>
      <c r="D857" s="14"/>
      <c r="E857" s="14"/>
      <c r="F857" s="14"/>
      <c r="G857" s="15"/>
      <c r="H857" s="15"/>
      <c r="I857" s="14"/>
      <c r="L857" s="25"/>
    </row>
    <row r="858" ht="18.75" customHeight="1">
      <c r="A858" s="14"/>
      <c r="B858" s="12"/>
      <c r="C858" s="26"/>
      <c r="D858" s="14"/>
      <c r="E858" s="14"/>
      <c r="F858" s="14"/>
      <c r="G858" s="15"/>
      <c r="H858" s="15"/>
      <c r="I858" s="14"/>
      <c r="L858" s="25"/>
    </row>
    <row r="859" ht="18.75" customHeight="1">
      <c r="A859" s="14"/>
      <c r="B859" s="12"/>
      <c r="C859" s="26"/>
      <c r="D859" s="14"/>
      <c r="E859" s="14"/>
      <c r="F859" s="14"/>
      <c r="G859" s="15"/>
      <c r="H859" s="15"/>
      <c r="I859" s="14"/>
      <c r="L859" s="25"/>
    </row>
    <row r="860" ht="18.75" customHeight="1">
      <c r="A860" s="14"/>
      <c r="B860" s="12"/>
      <c r="C860" s="26"/>
      <c r="D860" s="14"/>
      <c r="E860" s="14"/>
      <c r="F860" s="14"/>
      <c r="G860" s="15"/>
      <c r="H860" s="15"/>
      <c r="I860" s="14"/>
      <c r="L860" s="25"/>
    </row>
    <row r="861" ht="18.75" customHeight="1">
      <c r="A861" s="14"/>
      <c r="B861" s="12"/>
      <c r="C861" s="26"/>
      <c r="D861" s="14"/>
      <c r="E861" s="14"/>
      <c r="F861" s="14"/>
      <c r="G861" s="15"/>
      <c r="H861" s="15"/>
      <c r="I861" s="14"/>
      <c r="L861" s="25"/>
    </row>
    <row r="862" ht="18.75" customHeight="1">
      <c r="A862" s="14"/>
      <c r="B862" s="12"/>
      <c r="C862" s="26"/>
      <c r="D862" s="14"/>
      <c r="E862" s="14"/>
      <c r="F862" s="14"/>
      <c r="G862" s="15"/>
      <c r="H862" s="15"/>
      <c r="I862" s="14"/>
      <c r="L862" s="25"/>
    </row>
    <row r="863" ht="18.75" customHeight="1">
      <c r="A863" s="14"/>
      <c r="B863" s="12"/>
      <c r="C863" s="26"/>
      <c r="D863" s="14"/>
      <c r="E863" s="14"/>
      <c r="F863" s="14"/>
      <c r="G863" s="15"/>
      <c r="H863" s="15"/>
      <c r="I863" s="14"/>
      <c r="L863" s="25"/>
    </row>
    <row r="864" ht="18.75" customHeight="1">
      <c r="A864" s="14"/>
      <c r="B864" s="12"/>
      <c r="C864" s="26"/>
      <c r="D864" s="14"/>
      <c r="E864" s="14"/>
      <c r="F864" s="14"/>
      <c r="G864" s="15"/>
      <c r="H864" s="15"/>
      <c r="I864" s="14"/>
      <c r="L864" s="25"/>
    </row>
    <row r="865" ht="18.75" customHeight="1">
      <c r="A865" s="14"/>
      <c r="B865" s="12"/>
      <c r="C865" s="26"/>
      <c r="D865" s="14"/>
      <c r="E865" s="14"/>
      <c r="F865" s="14"/>
      <c r="G865" s="15"/>
      <c r="H865" s="15"/>
      <c r="I865" s="14"/>
      <c r="L865" s="25"/>
    </row>
    <row r="866" ht="18.75" customHeight="1">
      <c r="A866" s="14"/>
      <c r="B866" s="12"/>
      <c r="C866" s="26"/>
      <c r="D866" s="14"/>
      <c r="E866" s="14"/>
      <c r="F866" s="14"/>
      <c r="G866" s="15"/>
      <c r="H866" s="15"/>
      <c r="I866" s="14"/>
      <c r="L866" s="25"/>
    </row>
    <row r="867" ht="18.75" customHeight="1">
      <c r="A867" s="14"/>
      <c r="B867" s="12"/>
      <c r="C867" s="26"/>
      <c r="D867" s="14"/>
      <c r="E867" s="14"/>
      <c r="F867" s="14"/>
      <c r="G867" s="15"/>
      <c r="H867" s="15"/>
      <c r="I867" s="14"/>
      <c r="L867" s="25"/>
    </row>
    <row r="868" ht="18.75" customHeight="1">
      <c r="A868" s="14"/>
      <c r="B868" s="12"/>
      <c r="C868" s="26"/>
      <c r="D868" s="14"/>
      <c r="E868" s="14"/>
      <c r="F868" s="14"/>
      <c r="G868" s="15"/>
      <c r="H868" s="15"/>
      <c r="I868" s="14"/>
      <c r="L868" s="25"/>
    </row>
    <row r="869" ht="18.75" customHeight="1">
      <c r="A869" s="14"/>
      <c r="B869" s="12"/>
      <c r="C869" s="26"/>
      <c r="D869" s="14"/>
      <c r="E869" s="14"/>
      <c r="F869" s="14"/>
      <c r="G869" s="15"/>
      <c r="H869" s="15"/>
      <c r="I869" s="14"/>
      <c r="L869" s="25"/>
    </row>
    <row r="870" ht="18.75" customHeight="1">
      <c r="A870" s="14"/>
      <c r="B870" s="12"/>
      <c r="C870" s="26"/>
      <c r="D870" s="14"/>
      <c r="E870" s="14"/>
      <c r="F870" s="14"/>
      <c r="G870" s="15"/>
      <c r="H870" s="15"/>
      <c r="I870" s="14"/>
      <c r="L870" s="25"/>
    </row>
    <row r="871" ht="18.75" customHeight="1">
      <c r="A871" s="14"/>
      <c r="B871" s="12"/>
      <c r="C871" s="26"/>
      <c r="D871" s="14"/>
      <c r="E871" s="14"/>
      <c r="F871" s="14"/>
      <c r="G871" s="15"/>
      <c r="H871" s="15"/>
      <c r="I871" s="14"/>
      <c r="L871" s="25"/>
    </row>
    <row r="872" ht="18.75" customHeight="1">
      <c r="A872" s="14"/>
      <c r="B872" s="12"/>
      <c r="C872" s="26"/>
      <c r="D872" s="14"/>
      <c r="E872" s="14"/>
      <c r="F872" s="14"/>
      <c r="G872" s="15"/>
      <c r="H872" s="15"/>
      <c r="I872" s="14"/>
      <c r="L872" s="25"/>
    </row>
    <row r="873" ht="18.75" customHeight="1">
      <c r="A873" s="14"/>
      <c r="B873" s="12"/>
      <c r="C873" s="26"/>
      <c r="D873" s="14"/>
      <c r="E873" s="14"/>
      <c r="F873" s="14"/>
      <c r="G873" s="15"/>
      <c r="H873" s="15"/>
      <c r="I873" s="14"/>
      <c r="L873" s="25"/>
    </row>
    <row r="874" ht="18.75" customHeight="1">
      <c r="A874" s="14"/>
      <c r="B874" s="12"/>
      <c r="C874" s="26"/>
      <c r="D874" s="14"/>
      <c r="E874" s="14"/>
      <c r="F874" s="14"/>
      <c r="G874" s="15"/>
      <c r="H874" s="15"/>
      <c r="I874" s="14"/>
      <c r="L874" s="25"/>
    </row>
    <row r="875" ht="18.75" customHeight="1">
      <c r="A875" s="14"/>
      <c r="B875" s="12"/>
      <c r="C875" s="26"/>
      <c r="D875" s="14"/>
      <c r="E875" s="14"/>
      <c r="F875" s="14"/>
      <c r="G875" s="15"/>
      <c r="H875" s="15"/>
      <c r="I875" s="14"/>
      <c r="L875" s="25"/>
    </row>
    <row r="876" ht="18.75" customHeight="1">
      <c r="A876" s="14"/>
      <c r="B876" s="12"/>
      <c r="C876" s="26"/>
      <c r="D876" s="14"/>
      <c r="E876" s="14"/>
      <c r="F876" s="14"/>
      <c r="G876" s="15"/>
      <c r="H876" s="15"/>
      <c r="I876" s="14"/>
      <c r="L876" s="25"/>
    </row>
    <row r="877" ht="18.75" customHeight="1">
      <c r="A877" s="14"/>
      <c r="B877" s="12"/>
      <c r="C877" s="26"/>
      <c r="D877" s="14"/>
      <c r="E877" s="14"/>
      <c r="F877" s="14"/>
      <c r="G877" s="15"/>
      <c r="H877" s="15"/>
      <c r="I877" s="14"/>
      <c r="L877" s="25"/>
    </row>
    <row r="878" ht="18.75" customHeight="1">
      <c r="A878" s="14"/>
      <c r="B878" s="12"/>
      <c r="C878" s="26"/>
      <c r="D878" s="14"/>
      <c r="E878" s="14"/>
      <c r="F878" s="14"/>
      <c r="G878" s="15"/>
      <c r="H878" s="15"/>
      <c r="I878" s="14"/>
      <c r="L878" s="25"/>
    </row>
    <row r="879" ht="18.75" customHeight="1">
      <c r="A879" s="14"/>
      <c r="B879" s="12"/>
      <c r="C879" s="26"/>
      <c r="D879" s="14"/>
      <c r="E879" s="14"/>
      <c r="F879" s="14"/>
      <c r="G879" s="15"/>
      <c r="H879" s="15"/>
      <c r="I879" s="14"/>
      <c r="L879" s="25"/>
    </row>
    <row r="880" ht="18.75" customHeight="1">
      <c r="A880" s="14"/>
      <c r="B880" s="12"/>
      <c r="C880" s="26"/>
      <c r="D880" s="14"/>
      <c r="E880" s="14"/>
      <c r="F880" s="14"/>
      <c r="G880" s="15"/>
      <c r="H880" s="15"/>
      <c r="I880" s="14"/>
      <c r="L880" s="25"/>
    </row>
    <row r="881" ht="18.75" customHeight="1">
      <c r="A881" s="14"/>
      <c r="B881" s="12"/>
      <c r="C881" s="26"/>
      <c r="D881" s="14"/>
      <c r="E881" s="14"/>
      <c r="F881" s="14"/>
      <c r="G881" s="15"/>
      <c r="H881" s="15"/>
      <c r="I881" s="14"/>
      <c r="L881" s="25"/>
    </row>
    <row r="882" ht="18.75" customHeight="1">
      <c r="A882" s="14"/>
      <c r="B882" s="12"/>
      <c r="C882" s="26"/>
      <c r="D882" s="14"/>
      <c r="E882" s="14"/>
      <c r="F882" s="14"/>
      <c r="G882" s="15"/>
      <c r="H882" s="15"/>
      <c r="I882" s="14"/>
      <c r="L882" s="25"/>
    </row>
    <row r="883" ht="18.75" customHeight="1">
      <c r="A883" s="14"/>
      <c r="B883" s="12"/>
      <c r="C883" s="26"/>
      <c r="D883" s="14"/>
      <c r="E883" s="14"/>
      <c r="F883" s="14"/>
      <c r="G883" s="15"/>
      <c r="H883" s="15"/>
      <c r="I883" s="14"/>
      <c r="L883" s="25"/>
    </row>
    <row r="884" ht="18.75" customHeight="1">
      <c r="A884" s="14"/>
      <c r="B884" s="12"/>
      <c r="C884" s="26"/>
      <c r="D884" s="14"/>
      <c r="E884" s="14"/>
      <c r="F884" s="14"/>
      <c r="G884" s="15"/>
      <c r="H884" s="15"/>
      <c r="I884" s="14"/>
      <c r="L884" s="25"/>
    </row>
    <row r="885" ht="18.75" customHeight="1">
      <c r="A885" s="14"/>
      <c r="B885" s="12"/>
      <c r="C885" s="26"/>
      <c r="D885" s="14"/>
      <c r="E885" s="14"/>
      <c r="F885" s="14"/>
      <c r="G885" s="15"/>
      <c r="H885" s="15"/>
      <c r="I885" s="14"/>
      <c r="L885" s="25"/>
    </row>
    <row r="886" ht="18.75" customHeight="1">
      <c r="A886" s="14"/>
      <c r="B886" s="12"/>
      <c r="C886" s="26"/>
      <c r="D886" s="14"/>
      <c r="E886" s="14"/>
      <c r="F886" s="14"/>
      <c r="G886" s="15"/>
      <c r="H886" s="15"/>
      <c r="I886" s="14"/>
      <c r="L886" s="25"/>
    </row>
    <row r="887" ht="18.75" customHeight="1">
      <c r="A887" s="14"/>
      <c r="B887" s="12"/>
      <c r="C887" s="26"/>
      <c r="D887" s="14"/>
      <c r="E887" s="14"/>
      <c r="F887" s="14"/>
      <c r="G887" s="15"/>
      <c r="H887" s="15"/>
      <c r="I887" s="14"/>
      <c r="L887" s="25"/>
    </row>
    <row r="888" ht="18.75" customHeight="1">
      <c r="A888" s="14"/>
      <c r="B888" s="12"/>
      <c r="C888" s="26"/>
      <c r="D888" s="14"/>
      <c r="E888" s="14"/>
      <c r="F888" s="14"/>
      <c r="G888" s="15"/>
      <c r="H888" s="15"/>
      <c r="I888" s="14"/>
      <c r="L888" s="25"/>
    </row>
    <row r="889" ht="18.75" customHeight="1">
      <c r="A889" s="14"/>
      <c r="B889" s="12"/>
      <c r="C889" s="26"/>
      <c r="D889" s="14"/>
      <c r="E889" s="14"/>
      <c r="F889" s="14"/>
      <c r="G889" s="15"/>
      <c r="H889" s="15"/>
      <c r="I889" s="14"/>
      <c r="L889" s="25"/>
    </row>
    <row r="890" ht="18.75" customHeight="1">
      <c r="A890" s="14"/>
      <c r="B890" s="12"/>
      <c r="C890" s="26"/>
      <c r="D890" s="14"/>
      <c r="E890" s="14"/>
      <c r="F890" s="14"/>
      <c r="G890" s="15"/>
      <c r="H890" s="15"/>
      <c r="I890" s="14"/>
      <c r="L890" s="25"/>
    </row>
    <row r="891" ht="18.75" customHeight="1">
      <c r="A891" s="14"/>
      <c r="B891" s="12"/>
      <c r="C891" s="26"/>
      <c r="D891" s="14"/>
      <c r="E891" s="14"/>
      <c r="F891" s="14"/>
      <c r="G891" s="15"/>
      <c r="H891" s="15"/>
      <c r="I891" s="14"/>
      <c r="L891" s="25"/>
    </row>
    <row r="892" ht="18.75" customHeight="1">
      <c r="A892" s="14"/>
      <c r="B892" s="12"/>
      <c r="C892" s="26"/>
      <c r="D892" s="14"/>
      <c r="E892" s="14"/>
      <c r="F892" s="14"/>
      <c r="G892" s="15"/>
      <c r="H892" s="15"/>
      <c r="I892" s="14"/>
      <c r="L892" s="25"/>
    </row>
    <row r="893" ht="18.75" customHeight="1">
      <c r="A893" s="14"/>
      <c r="B893" s="12"/>
      <c r="C893" s="26"/>
      <c r="D893" s="14"/>
      <c r="E893" s="14"/>
      <c r="F893" s="14"/>
      <c r="G893" s="15"/>
      <c r="H893" s="15"/>
      <c r="I893" s="14"/>
      <c r="L893" s="25"/>
    </row>
    <row r="894" ht="18.75" customHeight="1">
      <c r="A894" s="14"/>
      <c r="B894" s="12"/>
      <c r="C894" s="26"/>
      <c r="D894" s="14"/>
      <c r="E894" s="14"/>
      <c r="F894" s="14"/>
      <c r="G894" s="15"/>
      <c r="H894" s="15"/>
      <c r="I894" s="14"/>
      <c r="L894" s="25"/>
    </row>
    <row r="895" ht="18.75" customHeight="1">
      <c r="A895" s="14"/>
      <c r="B895" s="12"/>
      <c r="C895" s="26"/>
      <c r="D895" s="14"/>
      <c r="E895" s="14"/>
      <c r="F895" s="14"/>
      <c r="G895" s="15"/>
      <c r="H895" s="15"/>
      <c r="I895" s="14"/>
      <c r="L895" s="25"/>
    </row>
    <row r="896" ht="18.75" customHeight="1">
      <c r="A896" s="14"/>
      <c r="B896" s="12"/>
      <c r="C896" s="26"/>
      <c r="D896" s="14"/>
      <c r="E896" s="14"/>
      <c r="F896" s="14"/>
      <c r="G896" s="15"/>
      <c r="H896" s="15"/>
      <c r="I896" s="14"/>
      <c r="L896" s="25"/>
    </row>
    <row r="897" ht="18.75" customHeight="1">
      <c r="A897" s="14"/>
      <c r="B897" s="12"/>
      <c r="C897" s="26"/>
      <c r="D897" s="14"/>
      <c r="E897" s="14"/>
      <c r="F897" s="14"/>
      <c r="G897" s="15"/>
      <c r="H897" s="15"/>
      <c r="I897" s="14"/>
      <c r="L897" s="25"/>
    </row>
    <row r="898" ht="18.75" customHeight="1">
      <c r="A898" s="14"/>
      <c r="B898" s="12"/>
      <c r="C898" s="26"/>
      <c r="D898" s="14"/>
      <c r="E898" s="14"/>
      <c r="F898" s="14"/>
      <c r="G898" s="15"/>
      <c r="H898" s="15"/>
      <c r="I898" s="14"/>
      <c r="L898" s="25"/>
    </row>
    <row r="899" ht="18.75" customHeight="1">
      <c r="A899" s="14"/>
      <c r="B899" s="12"/>
      <c r="C899" s="26"/>
      <c r="D899" s="14"/>
      <c r="E899" s="14"/>
      <c r="F899" s="14"/>
      <c r="G899" s="15"/>
      <c r="H899" s="15"/>
      <c r="I899" s="14"/>
      <c r="L899" s="25"/>
    </row>
    <row r="900" ht="18.75" customHeight="1">
      <c r="A900" s="14"/>
      <c r="B900" s="12"/>
      <c r="C900" s="26"/>
      <c r="D900" s="14"/>
      <c r="E900" s="14"/>
      <c r="F900" s="14"/>
      <c r="G900" s="15"/>
      <c r="H900" s="15"/>
      <c r="I900" s="14"/>
      <c r="L900" s="25"/>
    </row>
    <row r="901" ht="18.75" customHeight="1">
      <c r="A901" s="14"/>
      <c r="B901" s="12"/>
      <c r="C901" s="26"/>
      <c r="D901" s="14"/>
      <c r="E901" s="14"/>
      <c r="F901" s="14"/>
      <c r="G901" s="15"/>
      <c r="H901" s="15"/>
      <c r="I901" s="14"/>
      <c r="L901" s="25"/>
    </row>
    <row r="902" ht="18.75" customHeight="1">
      <c r="A902" s="14"/>
      <c r="B902" s="12"/>
      <c r="C902" s="26"/>
      <c r="D902" s="14"/>
      <c r="E902" s="14"/>
      <c r="F902" s="14"/>
      <c r="G902" s="15"/>
      <c r="H902" s="15"/>
      <c r="I902" s="14"/>
      <c r="L902" s="25"/>
    </row>
    <row r="903" ht="18.75" customHeight="1">
      <c r="A903" s="14"/>
      <c r="B903" s="12"/>
      <c r="C903" s="26"/>
      <c r="D903" s="14"/>
      <c r="E903" s="14"/>
      <c r="F903" s="14"/>
      <c r="G903" s="15"/>
      <c r="H903" s="15"/>
      <c r="I903" s="14"/>
      <c r="L903" s="25"/>
    </row>
    <row r="904" ht="18.75" customHeight="1">
      <c r="A904" s="14"/>
      <c r="B904" s="12"/>
      <c r="C904" s="26"/>
      <c r="D904" s="14"/>
      <c r="E904" s="14"/>
      <c r="F904" s="14"/>
      <c r="G904" s="15"/>
      <c r="H904" s="15"/>
      <c r="I904" s="14"/>
      <c r="L904" s="25"/>
    </row>
    <row r="905" ht="18.75" customHeight="1">
      <c r="A905" s="14"/>
      <c r="B905" s="12"/>
      <c r="C905" s="26"/>
      <c r="D905" s="14"/>
      <c r="E905" s="14"/>
      <c r="F905" s="14"/>
      <c r="G905" s="15"/>
      <c r="H905" s="15"/>
      <c r="I905" s="14"/>
      <c r="L905" s="25"/>
    </row>
    <row r="906" ht="18.75" customHeight="1">
      <c r="A906" s="14"/>
      <c r="B906" s="12"/>
      <c r="C906" s="26"/>
      <c r="D906" s="14"/>
      <c r="E906" s="14"/>
      <c r="F906" s="14"/>
      <c r="G906" s="15"/>
      <c r="H906" s="15"/>
      <c r="I906" s="14"/>
      <c r="L906" s="25"/>
    </row>
    <row r="907" ht="18.75" customHeight="1">
      <c r="A907" s="14"/>
      <c r="B907" s="12"/>
      <c r="C907" s="26"/>
      <c r="D907" s="14"/>
      <c r="E907" s="14"/>
      <c r="F907" s="14"/>
      <c r="G907" s="15"/>
      <c r="H907" s="15"/>
      <c r="I907" s="14"/>
      <c r="L907" s="25"/>
    </row>
    <row r="908" ht="18.75" customHeight="1">
      <c r="A908" s="14"/>
      <c r="B908" s="12"/>
      <c r="C908" s="26"/>
      <c r="D908" s="14"/>
      <c r="E908" s="14"/>
      <c r="F908" s="14"/>
      <c r="G908" s="15"/>
      <c r="H908" s="15"/>
      <c r="I908" s="14"/>
      <c r="L908" s="25"/>
    </row>
    <row r="909" ht="18.75" customHeight="1">
      <c r="A909" s="14"/>
      <c r="B909" s="12"/>
      <c r="C909" s="26"/>
      <c r="D909" s="14"/>
      <c r="E909" s="14"/>
      <c r="F909" s="14"/>
      <c r="G909" s="15"/>
      <c r="H909" s="15"/>
      <c r="I909" s="14"/>
      <c r="L909" s="25"/>
    </row>
    <row r="910" ht="18.75" customHeight="1">
      <c r="A910" s="14"/>
      <c r="B910" s="12"/>
      <c r="C910" s="26"/>
      <c r="D910" s="14"/>
      <c r="E910" s="14"/>
      <c r="F910" s="14"/>
      <c r="G910" s="15"/>
      <c r="H910" s="15"/>
      <c r="I910" s="14"/>
      <c r="L910" s="25"/>
    </row>
    <row r="911" ht="18.75" customHeight="1">
      <c r="A911" s="14"/>
      <c r="B911" s="12"/>
      <c r="C911" s="26"/>
      <c r="D911" s="14"/>
      <c r="E911" s="14"/>
      <c r="F911" s="14"/>
      <c r="G911" s="15"/>
      <c r="H911" s="15"/>
      <c r="I911" s="14"/>
      <c r="L911" s="25"/>
    </row>
    <row r="912" ht="18.75" customHeight="1">
      <c r="A912" s="14"/>
      <c r="B912" s="12"/>
      <c r="C912" s="26"/>
      <c r="D912" s="14"/>
      <c r="E912" s="14"/>
      <c r="F912" s="14"/>
      <c r="G912" s="15"/>
      <c r="H912" s="15"/>
      <c r="I912" s="14"/>
      <c r="L912" s="25"/>
    </row>
    <row r="913" ht="18.75" customHeight="1">
      <c r="A913" s="14"/>
      <c r="B913" s="12"/>
      <c r="C913" s="26"/>
      <c r="D913" s="14"/>
      <c r="E913" s="14"/>
      <c r="F913" s="14"/>
      <c r="G913" s="15"/>
      <c r="H913" s="15"/>
      <c r="I913" s="14"/>
      <c r="L913" s="25"/>
    </row>
    <row r="914" ht="18.75" customHeight="1">
      <c r="A914" s="14"/>
      <c r="B914" s="12"/>
      <c r="C914" s="26"/>
      <c r="D914" s="14"/>
      <c r="E914" s="14"/>
      <c r="F914" s="14"/>
      <c r="G914" s="15"/>
      <c r="H914" s="15"/>
      <c r="I914" s="14"/>
      <c r="L914" s="25"/>
    </row>
    <row r="915" ht="18.75" customHeight="1">
      <c r="A915" s="14"/>
      <c r="B915" s="12"/>
      <c r="C915" s="26"/>
      <c r="D915" s="14"/>
      <c r="E915" s="14"/>
      <c r="F915" s="14"/>
      <c r="G915" s="15"/>
      <c r="H915" s="15"/>
      <c r="I915" s="14"/>
      <c r="L915" s="25"/>
    </row>
    <row r="916" ht="18.75" customHeight="1">
      <c r="A916" s="14"/>
      <c r="B916" s="12"/>
      <c r="C916" s="26"/>
      <c r="D916" s="14"/>
      <c r="E916" s="14"/>
      <c r="F916" s="14"/>
      <c r="G916" s="15"/>
      <c r="H916" s="15"/>
      <c r="I916" s="14"/>
      <c r="L916" s="25"/>
    </row>
    <row r="917" ht="18.75" customHeight="1">
      <c r="A917" s="14"/>
      <c r="B917" s="12"/>
      <c r="C917" s="26"/>
      <c r="D917" s="14"/>
      <c r="E917" s="14"/>
      <c r="F917" s="14"/>
      <c r="G917" s="15"/>
      <c r="H917" s="15"/>
      <c r="I917" s="14"/>
      <c r="L917" s="25"/>
    </row>
    <row r="918" ht="18.75" customHeight="1">
      <c r="A918" s="14"/>
      <c r="B918" s="12"/>
      <c r="C918" s="26"/>
      <c r="D918" s="14"/>
      <c r="E918" s="14"/>
      <c r="F918" s="14"/>
      <c r="G918" s="15"/>
      <c r="H918" s="15"/>
      <c r="I918" s="14"/>
      <c r="L918" s="25"/>
    </row>
    <row r="919" ht="18.75" customHeight="1">
      <c r="A919" s="14"/>
      <c r="B919" s="12"/>
      <c r="C919" s="26"/>
      <c r="D919" s="14"/>
      <c r="E919" s="14"/>
      <c r="F919" s="14"/>
      <c r="G919" s="15"/>
      <c r="H919" s="15"/>
      <c r="I919" s="14"/>
      <c r="L919" s="25"/>
    </row>
    <row r="920" ht="18.75" customHeight="1">
      <c r="A920" s="14"/>
      <c r="B920" s="12"/>
      <c r="C920" s="26"/>
      <c r="D920" s="14"/>
      <c r="E920" s="14"/>
      <c r="F920" s="14"/>
      <c r="G920" s="15"/>
      <c r="H920" s="15"/>
      <c r="I920" s="14"/>
      <c r="L920" s="25"/>
    </row>
    <row r="921" ht="18.75" customHeight="1">
      <c r="A921" s="14"/>
      <c r="B921" s="12"/>
      <c r="C921" s="26"/>
      <c r="D921" s="14"/>
      <c r="E921" s="14"/>
      <c r="F921" s="14"/>
      <c r="G921" s="15"/>
      <c r="H921" s="15"/>
      <c r="I921" s="14"/>
      <c r="L921" s="25"/>
    </row>
    <row r="922" ht="18.75" customHeight="1">
      <c r="A922" s="14"/>
      <c r="B922" s="12"/>
      <c r="C922" s="26"/>
      <c r="D922" s="14"/>
      <c r="E922" s="14"/>
      <c r="F922" s="14"/>
      <c r="G922" s="15"/>
      <c r="H922" s="15"/>
      <c r="I922" s="14"/>
      <c r="L922" s="25"/>
    </row>
    <row r="923" ht="18.75" customHeight="1">
      <c r="A923" s="14"/>
      <c r="B923" s="12"/>
      <c r="C923" s="26"/>
      <c r="D923" s="14"/>
      <c r="E923" s="14"/>
      <c r="F923" s="14"/>
      <c r="G923" s="15"/>
      <c r="H923" s="15"/>
      <c r="I923" s="14"/>
      <c r="L923" s="25"/>
    </row>
    <row r="924" ht="18.75" customHeight="1">
      <c r="A924" s="14"/>
      <c r="B924" s="12"/>
      <c r="C924" s="26"/>
      <c r="D924" s="14"/>
      <c r="E924" s="14"/>
      <c r="F924" s="14"/>
      <c r="G924" s="15"/>
      <c r="H924" s="15"/>
      <c r="I924" s="14"/>
      <c r="L924" s="25"/>
    </row>
    <row r="925" ht="18.75" customHeight="1">
      <c r="A925" s="14"/>
      <c r="B925" s="12"/>
      <c r="C925" s="26"/>
      <c r="D925" s="14"/>
      <c r="E925" s="14"/>
      <c r="F925" s="14"/>
      <c r="G925" s="15"/>
      <c r="H925" s="15"/>
      <c r="I925" s="14"/>
      <c r="L925" s="25"/>
    </row>
    <row r="926" ht="18.75" customHeight="1">
      <c r="A926" s="14"/>
      <c r="B926" s="12"/>
      <c r="C926" s="26"/>
      <c r="D926" s="14"/>
      <c r="E926" s="14"/>
      <c r="F926" s="14"/>
      <c r="G926" s="15"/>
      <c r="H926" s="15"/>
      <c r="I926" s="14"/>
      <c r="L926" s="25"/>
    </row>
    <row r="927" ht="18.75" customHeight="1">
      <c r="A927" s="14"/>
      <c r="B927" s="12"/>
      <c r="C927" s="26"/>
      <c r="D927" s="14"/>
      <c r="E927" s="14"/>
      <c r="F927" s="14"/>
      <c r="G927" s="15"/>
      <c r="H927" s="15"/>
      <c r="I927" s="14"/>
      <c r="L927" s="25"/>
    </row>
    <row r="928" ht="18.75" customHeight="1">
      <c r="A928" s="14"/>
      <c r="B928" s="12"/>
      <c r="C928" s="26"/>
      <c r="D928" s="14"/>
      <c r="E928" s="14"/>
      <c r="F928" s="14"/>
      <c r="G928" s="15"/>
      <c r="H928" s="15"/>
      <c r="I928" s="14"/>
      <c r="L928" s="25"/>
    </row>
    <row r="929" ht="18.75" customHeight="1">
      <c r="A929" s="14"/>
      <c r="B929" s="12"/>
      <c r="C929" s="26"/>
      <c r="D929" s="14"/>
      <c r="E929" s="14"/>
      <c r="F929" s="14"/>
      <c r="G929" s="15"/>
      <c r="H929" s="15"/>
      <c r="I929" s="14"/>
      <c r="L929" s="25"/>
    </row>
    <row r="930" ht="18.75" customHeight="1">
      <c r="A930" s="14"/>
      <c r="B930" s="12"/>
      <c r="C930" s="26"/>
      <c r="D930" s="14"/>
      <c r="E930" s="14"/>
      <c r="F930" s="14"/>
      <c r="G930" s="15"/>
      <c r="H930" s="15"/>
      <c r="I930" s="14"/>
      <c r="L930" s="25"/>
    </row>
    <row r="931" ht="18.75" customHeight="1">
      <c r="A931" s="14"/>
      <c r="B931" s="12"/>
      <c r="C931" s="26"/>
      <c r="D931" s="14"/>
      <c r="E931" s="14"/>
      <c r="F931" s="14"/>
      <c r="G931" s="15"/>
      <c r="H931" s="15"/>
      <c r="I931" s="14"/>
      <c r="L931" s="25"/>
    </row>
    <row r="932" ht="18.75" customHeight="1">
      <c r="A932" s="14"/>
      <c r="B932" s="12"/>
      <c r="C932" s="26"/>
      <c r="D932" s="14"/>
      <c r="E932" s="14"/>
      <c r="F932" s="14"/>
      <c r="G932" s="15"/>
      <c r="H932" s="15"/>
      <c r="I932" s="14"/>
      <c r="L932" s="25"/>
    </row>
    <row r="933" ht="18.75" customHeight="1">
      <c r="A933" s="14"/>
      <c r="B933" s="12"/>
      <c r="C933" s="26"/>
      <c r="D933" s="14"/>
      <c r="E933" s="14"/>
      <c r="F933" s="14"/>
      <c r="G933" s="15"/>
      <c r="H933" s="15"/>
      <c r="I933" s="14"/>
      <c r="L933" s="25"/>
    </row>
    <row r="934" ht="18.75" customHeight="1">
      <c r="A934" s="14"/>
      <c r="B934" s="12"/>
      <c r="C934" s="26"/>
      <c r="D934" s="14"/>
      <c r="E934" s="14"/>
      <c r="F934" s="14"/>
      <c r="G934" s="15"/>
      <c r="H934" s="15"/>
      <c r="I934" s="14"/>
      <c r="L934" s="25"/>
    </row>
    <row r="935" ht="18.75" customHeight="1">
      <c r="A935" s="14"/>
      <c r="B935" s="12"/>
      <c r="C935" s="26"/>
      <c r="D935" s="14"/>
      <c r="E935" s="14"/>
      <c r="F935" s="14"/>
      <c r="G935" s="15"/>
      <c r="H935" s="15"/>
      <c r="I935" s="14"/>
      <c r="L935" s="25"/>
    </row>
    <row r="936" ht="18.75" customHeight="1">
      <c r="A936" s="14"/>
      <c r="B936" s="12"/>
      <c r="C936" s="26"/>
      <c r="D936" s="14"/>
      <c r="E936" s="14"/>
      <c r="F936" s="14"/>
      <c r="G936" s="15"/>
      <c r="H936" s="15"/>
      <c r="I936" s="14"/>
      <c r="L936" s="25"/>
    </row>
    <row r="937" ht="18.75" customHeight="1">
      <c r="A937" s="14"/>
      <c r="B937" s="12"/>
      <c r="C937" s="26"/>
      <c r="D937" s="14"/>
      <c r="E937" s="14"/>
      <c r="F937" s="14"/>
      <c r="G937" s="15"/>
      <c r="H937" s="15"/>
      <c r="I937" s="14"/>
      <c r="L937" s="25"/>
    </row>
    <row r="938" ht="18.75" customHeight="1">
      <c r="A938" s="14"/>
      <c r="B938" s="12"/>
      <c r="C938" s="26"/>
      <c r="D938" s="14"/>
      <c r="E938" s="14"/>
      <c r="F938" s="14"/>
      <c r="G938" s="15"/>
      <c r="H938" s="15"/>
      <c r="I938" s="14"/>
      <c r="L938" s="25"/>
    </row>
    <row r="939" ht="18.75" customHeight="1">
      <c r="A939" s="14"/>
      <c r="B939" s="12"/>
      <c r="C939" s="26"/>
      <c r="D939" s="14"/>
      <c r="E939" s="14"/>
      <c r="F939" s="14"/>
      <c r="G939" s="15"/>
      <c r="H939" s="15"/>
      <c r="I939" s="14"/>
      <c r="L939" s="25"/>
    </row>
    <row r="940" ht="18.75" customHeight="1">
      <c r="A940" s="14"/>
      <c r="B940" s="12"/>
      <c r="C940" s="26"/>
      <c r="D940" s="14"/>
      <c r="E940" s="14"/>
      <c r="F940" s="14"/>
      <c r="G940" s="15"/>
      <c r="H940" s="15"/>
      <c r="I940" s="14"/>
      <c r="L940" s="25"/>
    </row>
    <row r="941" ht="18.75" customHeight="1">
      <c r="A941" s="14"/>
      <c r="B941" s="12"/>
      <c r="C941" s="26"/>
      <c r="D941" s="14"/>
      <c r="E941" s="14"/>
      <c r="F941" s="14"/>
      <c r="G941" s="15"/>
      <c r="H941" s="15"/>
      <c r="I941" s="14"/>
      <c r="L941" s="25"/>
    </row>
    <row r="942" ht="18.75" customHeight="1">
      <c r="A942" s="14"/>
      <c r="B942" s="12"/>
      <c r="C942" s="26"/>
      <c r="D942" s="14"/>
      <c r="E942" s="14"/>
      <c r="F942" s="14"/>
      <c r="G942" s="15"/>
      <c r="H942" s="15"/>
      <c r="I942" s="14"/>
      <c r="L942" s="25"/>
    </row>
    <row r="943" ht="18.75" customHeight="1">
      <c r="A943" s="14"/>
      <c r="B943" s="12"/>
      <c r="C943" s="26"/>
      <c r="D943" s="14"/>
      <c r="E943" s="14"/>
      <c r="F943" s="14"/>
      <c r="G943" s="15"/>
      <c r="H943" s="15"/>
      <c r="I943" s="14"/>
      <c r="L943" s="25"/>
    </row>
    <row r="944" ht="18.75" customHeight="1">
      <c r="A944" s="14"/>
      <c r="B944" s="12"/>
      <c r="C944" s="26"/>
      <c r="D944" s="14"/>
      <c r="E944" s="14"/>
      <c r="F944" s="14"/>
      <c r="G944" s="15"/>
      <c r="H944" s="15"/>
      <c r="I944" s="14"/>
      <c r="L944" s="25"/>
    </row>
    <row r="945" ht="18.75" customHeight="1">
      <c r="A945" s="14"/>
      <c r="B945" s="12"/>
      <c r="C945" s="26"/>
      <c r="D945" s="14"/>
      <c r="E945" s="14"/>
      <c r="F945" s="14"/>
      <c r="G945" s="15"/>
      <c r="H945" s="15"/>
      <c r="I945" s="14"/>
      <c r="L945" s="25"/>
    </row>
    <row r="946" ht="18.75" customHeight="1">
      <c r="A946" s="14"/>
      <c r="B946" s="12"/>
      <c r="C946" s="26"/>
      <c r="D946" s="14"/>
      <c r="E946" s="14"/>
      <c r="F946" s="14"/>
      <c r="G946" s="15"/>
      <c r="H946" s="15"/>
      <c r="I946" s="14"/>
      <c r="L946" s="25"/>
    </row>
    <row r="947" ht="18.75" customHeight="1">
      <c r="A947" s="14"/>
      <c r="B947" s="12"/>
      <c r="C947" s="26"/>
      <c r="D947" s="14"/>
      <c r="E947" s="14"/>
      <c r="F947" s="14"/>
      <c r="G947" s="15"/>
      <c r="H947" s="15"/>
      <c r="I947" s="14"/>
      <c r="L947" s="25"/>
    </row>
    <row r="948" ht="18.75" customHeight="1">
      <c r="A948" s="14"/>
      <c r="B948" s="12"/>
      <c r="C948" s="26"/>
      <c r="D948" s="14"/>
      <c r="E948" s="14"/>
      <c r="F948" s="14"/>
      <c r="G948" s="15"/>
      <c r="H948" s="15"/>
      <c r="I948" s="14"/>
      <c r="L948" s="25"/>
    </row>
    <row r="949" ht="18.75" customHeight="1">
      <c r="A949" s="14"/>
      <c r="B949" s="12"/>
      <c r="C949" s="26"/>
      <c r="D949" s="14"/>
      <c r="E949" s="14"/>
      <c r="F949" s="14"/>
      <c r="G949" s="15"/>
      <c r="H949" s="15"/>
      <c r="I949" s="14"/>
      <c r="L949" s="25"/>
    </row>
    <row r="950" ht="18.75" customHeight="1">
      <c r="A950" s="14"/>
      <c r="B950" s="12"/>
      <c r="C950" s="26"/>
      <c r="D950" s="14"/>
      <c r="E950" s="14"/>
      <c r="F950" s="14"/>
      <c r="G950" s="15"/>
      <c r="H950" s="15"/>
      <c r="I950" s="14"/>
      <c r="L950" s="25"/>
    </row>
    <row r="951" ht="18.75" customHeight="1">
      <c r="A951" s="14"/>
      <c r="B951" s="12"/>
      <c r="C951" s="26"/>
      <c r="D951" s="14"/>
      <c r="E951" s="14"/>
      <c r="F951" s="14"/>
      <c r="G951" s="15"/>
      <c r="H951" s="15"/>
      <c r="I951" s="14"/>
      <c r="L951" s="25"/>
    </row>
    <row r="952" ht="18.75" customHeight="1">
      <c r="A952" s="14"/>
      <c r="B952" s="12"/>
      <c r="C952" s="26"/>
      <c r="D952" s="14"/>
      <c r="E952" s="14"/>
      <c r="F952" s="14"/>
      <c r="G952" s="15"/>
      <c r="H952" s="15"/>
      <c r="I952" s="14"/>
      <c r="L952" s="25"/>
    </row>
    <row r="953" ht="18.75" customHeight="1">
      <c r="A953" s="14"/>
      <c r="B953" s="12"/>
      <c r="C953" s="26"/>
      <c r="D953" s="14"/>
      <c r="E953" s="14"/>
      <c r="F953" s="14"/>
      <c r="I953" s="14"/>
      <c r="L953" s="25"/>
    </row>
    <row r="954" ht="18.75" customHeight="1">
      <c r="A954" s="14"/>
      <c r="B954" s="12"/>
      <c r="C954" s="26"/>
      <c r="D954" s="14"/>
      <c r="E954" s="14"/>
      <c r="F954" s="14"/>
      <c r="G954" s="15"/>
      <c r="H954" s="15"/>
      <c r="I954" s="14"/>
      <c r="L954" s="25"/>
    </row>
    <row r="955" ht="18.75" customHeight="1">
      <c r="A955" s="14"/>
      <c r="B955" s="12"/>
      <c r="C955" s="26"/>
      <c r="D955" s="14"/>
      <c r="E955" s="14"/>
      <c r="F955" s="14"/>
      <c r="I955" s="14"/>
      <c r="L955" s="25"/>
    </row>
    <row r="956" ht="18.75" customHeight="1">
      <c r="A956" s="14"/>
      <c r="B956" s="12"/>
      <c r="C956" s="26"/>
      <c r="D956" s="14"/>
      <c r="E956" s="14"/>
      <c r="F956" s="14"/>
      <c r="I956" s="14"/>
      <c r="L956" s="25"/>
    </row>
    <row r="957" ht="18.75" customHeight="1">
      <c r="A957" s="14"/>
      <c r="B957" s="12"/>
      <c r="C957" s="26"/>
      <c r="D957" s="14"/>
      <c r="E957" s="14"/>
      <c r="F957" s="14"/>
      <c r="I957" s="14"/>
      <c r="L957" s="25"/>
    </row>
    <row r="958" ht="18.75" customHeight="1">
      <c r="A958" s="14"/>
      <c r="B958" s="12"/>
      <c r="C958" s="26"/>
      <c r="D958" s="14"/>
      <c r="E958" s="14"/>
      <c r="F958" s="14"/>
      <c r="G958" s="15"/>
      <c r="H958" s="15"/>
      <c r="I958" s="14"/>
      <c r="L958" s="25"/>
    </row>
    <row r="959" ht="18.75" customHeight="1">
      <c r="A959" s="14"/>
      <c r="B959" s="12"/>
      <c r="C959" s="26"/>
      <c r="D959" s="14"/>
      <c r="E959" s="14"/>
      <c r="F959" s="14"/>
      <c r="I959" s="14"/>
      <c r="L959" s="25"/>
    </row>
    <row r="960" ht="18.75" customHeight="1">
      <c r="A960" s="14"/>
      <c r="B960" s="12"/>
      <c r="C960" s="26"/>
      <c r="D960" s="14"/>
      <c r="E960" s="14"/>
      <c r="F960" s="14"/>
      <c r="G960" s="15"/>
      <c r="H960" s="15"/>
      <c r="I960" s="14"/>
      <c r="L960" s="25"/>
    </row>
    <row r="961" ht="18.75" customHeight="1">
      <c r="A961" s="14"/>
      <c r="B961" s="12"/>
      <c r="C961" s="26"/>
      <c r="D961" s="14"/>
      <c r="E961" s="14"/>
      <c r="F961" s="14"/>
      <c r="G961" s="15"/>
      <c r="H961" s="15"/>
      <c r="I961" s="14"/>
      <c r="L961" s="25"/>
    </row>
    <row r="962" ht="18.75" customHeight="1">
      <c r="A962" s="14"/>
      <c r="B962" s="12"/>
      <c r="C962" s="26"/>
      <c r="D962" s="14"/>
      <c r="E962" s="14"/>
      <c r="F962" s="14"/>
      <c r="G962" s="15"/>
      <c r="H962" s="15"/>
      <c r="I962" s="14"/>
      <c r="L962" s="25"/>
    </row>
    <row r="963" ht="18.75" customHeight="1">
      <c r="A963" s="14"/>
      <c r="B963" s="12"/>
      <c r="C963" s="26"/>
      <c r="D963" s="14"/>
      <c r="E963" s="14"/>
      <c r="F963" s="14"/>
      <c r="G963" s="15"/>
      <c r="H963" s="15"/>
      <c r="I963" s="14"/>
      <c r="L963" s="25"/>
    </row>
    <row r="964" ht="18.75" customHeight="1">
      <c r="B964" s="12"/>
      <c r="C964" s="26"/>
      <c r="L964" s="25"/>
    </row>
    <row r="965" ht="18.75" customHeight="1">
      <c r="B965" s="12"/>
      <c r="C965" s="26"/>
      <c r="L965" s="25"/>
    </row>
    <row r="966" ht="18.75" customHeight="1">
      <c r="B966" s="12"/>
      <c r="C966" s="26"/>
      <c r="L966" s="25"/>
    </row>
    <row r="967" ht="18.75" customHeight="1">
      <c r="B967" s="12"/>
      <c r="C967" s="26"/>
      <c r="L967" s="25"/>
    </row>
    <row r="968" ht="18.75" customHeight="1">
      <c r="B968" s="12"/>
      <c r="C968" s="26"/>
      <c r="L968" s="25"/>
    </row>
    <row r="969" ht="18.75" customHeight="1">
      <c r="B969" s="12"/>
      <c r="C969" s="26"/>
      <c r="L969" s="25"/>
    </row>
    <row r="970" ht="18.75" customHeight="1">
      <c r="B970" s="12"/>
      <c r="C970" s="26"/>
      <c r="L970" s="25"/>
    </row>
    <row r="971" ht="18.75" customHeight="1">
      <c r="B971" s="12"/>
      <c r="C971" s="26"/>
      <c r="L971" s="25"/>
    </row>
    <row r="972" ht="18.75" customHeight="1">
      <c r="B972" s="12"/>
      <c r="C972" s="26"/>
      <c r="L972" s="25"/>
    </row>
    <row r="973" ht="18.75" customHeight="1">
      <c r="B973" s="12"/>
      <c r="C973" s="26"/>
      <c r="L973" s="25"/>
    </row>
    <row r="974" ht="18.75" customHeight="1">
      <c r="B974" s="12"/>
      <c r="C974" s="26"/>
      <c r="L974" s="25"/>
    </row>
    <row r="975" ht="18.75" customHeight="1">
      <c r="B975" s="12"/>
      <c r="C975" s="26"/>
      <c r="L975" s="25"/>
    </row>
    <row r="976" ht="18.75" customHeight="1">
      <c r="B976" s="12"/>
      <c r="C976" s="26"/>
      <c r="L976" s="25"/>
    </row>
    <row r="977" ht="18.75" customHeight="1">
      <c r="B977" s="12"/>
      <c r="C977" s="26"/>
      <c r="L977" s="25"/>
    </row>
    <row r="978" ht="18.75" customHeight="1">
      <c r="B978" s="12"/>
      <c r="C978" s="26"/>
      <c r="L978" s="25"/>
    </row>
    <row r="979" ht="18.75" customHeight="1">
      <c r="B979" s="12"/>
      <c r="C979" s="26"/>
      <c r="L979" s="25"/>
    </row>
    <row r="980" ht="18.75" customHeight="1">
      <c r="B980" s="12"/>
      <c r="C980" s="26"/>
      <c r="L980" s="25"/>
    </row>
    <row r="981" ht="18.75" customHeight="1">
      <c r="B981" s="12"/>
      <c r="C981" s="26"/>
      <c r="L981" s="25"/>
    </row>
    <row r="982" ht="18.75" customHeight="1">
      <c r="B982" s="12"/>
      <c r="C982" s="26"/>
      <c r="L982" s="25"/>
    </row>
    <row r="983" ht="18.75" customHeight="1">
      <c r="B983" s="12"/>
      <c r="C983" s="26"/>
      <c r="L983" s="25"/>
    </row>
    <row r="984" ht="18.75" customHeight="1">
      <c r="B984" s="12"/>
      <c r="C984" s="26"/>
      <c r="L984" s="25"/>
    </row>
    <row r="985" ht="18.75" customHeight="1">
      <c r="B985" s="12"/>
      <c r="C985" s="26"/>
      <c r="L985" s="25"/>
    </row>
    <row r="986" ht="18.75" customHeight="1">
      <c r="B986" s="12"/>
      <c r="C986" s="26"/>
      <c r="L986" s="25"/>
    </row>
    <row r="987" ht="18.75" customHeight="1">
      <c r="B987" s="12"/>
      <c r="C987" s="26"/>
      <c r="L987" s="25"/>
    </row>
    <row r="988" ht="18.75" customHeight="1">
      <c r="B988" s="12"/>
      <c r="C988" s="26"/>
      <c r="L988" s="25"/>
    </row>
    <row r="989" ht="18.75" customHeight="1">
      <c r="B989" s="12"/>
      <c r="C989" s="26"/>
      <c r="L989" s="25"/>
    </row>
    <row r="990" ht="18.75" customHeight="1">
      <c r="B990" s="12"/>
      <c r="C990" s="26"/>
      <c r="L990" s="25"/>
    </row>
    <row r="991" ht="18.75" customHeight="1">
      <c r="B991" s="12"/>
      <c r="C991" s="26"/>
      <c r="L991" s="25"/>
    </row>
    <row r="992" ht="18.75" customHeight="1">
      <c r="B992" s="12"/>
      <c r="C992" s="26"/>
      <c r="L992" s="25"/>
    </row>
    <row r="993" ht="18.75" customHeight="1">
      <c r="B993" s="12"/>
      <c r="C993" s="26"/>
      <c r="L993" s="25"/>
    </row>
    <row r="994" ht="18.75" customHeight="1">
      <c r="B994" s="12"/>
      <c r="C994" s="26"/>
      <c r="L994" s="25"/>
    </row>
    <row r="995" ht="18.75" customHeight="1">
      <c r="B995" s="12"/>
      <c r="C995" s="26"/>
      <c r="L995" s="25"/>
    </row>
    <row r="996" ht="18.75" customHeight="1">
      <c r="B996" s="12"/>
      <c r="C996" s="26"/>
      <c r="L996" s="25"/>
    </row>
    <row r="997" ht="18.75" customHeight="1">
      <c r="B997" s="12"/>
      <c r="C997" s="26"/>
      <c r="L997" s="25"/>
    </row>
    <row r="998" ht="18.75" customHeight="1">
      <c r="B998" s="12"/>
      <c r="C998" s="26"/>
      <c r="L998" s="25"/>
    </row>
    <row r="999" ht="18.75" customHeight="1">
      <c r="B999" s="12"/>
      <c r="C999" s="26"/>
      <c r="L999" s="25"/>
    </row>
    <row r="1000" ht="18.75" customHeight="1">
      <c r="B1000" s="12"/>
      <c r="C1000" s="26"/>
      <c r="L1000" s="25"/>
    </row>
    <row r="1001" ht="18.75" customHeight="1">
      <c r="B1001" s="12"/>
      <c r="C1001" s="26"/>
      <c r="L1001" s="25"/>
    </row>
    <row r="1002" ht="18.75" customHeight="1">
      <c r="B1002" s="12"/>
      <c r="C1002" s="26"/>
      <c r="L1002" s="25"/>
    </row>
    <row r="1003" ht="18.75" customHeight="1">
      <c r="B1003" s="12"/>
      <c r="C1003" s="26"/>
      <c r="L1003" s="25"/>
    </row>
    <row r="1004" ht="18.75" customHeight="1">
      <c r="B1004" s="12"/>
      <c r="C1004" s="26"/>
      <c r="L1004" s="25"/>
    </row>
    <row r="1005" ht="18.75" customHeight="1">
      <c r="B1005" s="12"/>
      <c r="C1005" s="26"/>
      <c r="L1005" s="25"/>
    </row>
    <row r="1006" ht="18.75" customHeight="1">
      <c r="B1006" s="12"/>
      <c r="C1006" s="26"/>
      <c r="L1006" s="25"/>
    </row>
    <row r="1007" ht="18.75" customHeight="1">
      <c r="B1007" s="12"/>
      <c r="C1007" s="26"/>
      <c r="L1007" s="25"/>
    </row>
    <row r="1008" ht="18.75" customHeight="1">
      <c r="B1008" s="12"/>
      <c r="C1008" s="26"/>
      <c r="L1008" s="25"/>
    </row>
    <row r="1009" ht="18.75" customHeight="1">
      <c r="B1009" s="12"/>
      <c r="C1009" s="26"/>
      <c r="L1009" s="25"/>
    </row>
    <row r="1010" ht="18.75" customHeight="1">
      <c r="B1010" s="12"/>
      <c r="C1010" s="26"/>
      <c r="L1010" s="25"/>
    </row>
    <row r="1011" ht="18.75" customHeight="1">
      <c r="B1011" s="12"/>
      <c r="C1011" s="26"/>
      <c r="L1011" s="25"/>
    </row>
    <row r="1012" ht="18.75" customHeight="1">
      <c r="B1012" s="12"/>
      <c r="C1012" s="26"/>
      <c r="L1012" s="25"/>
    </row>
    <row r="1013" ht="18.75" customHeight="1">
      <c r="B1013" s="12"/>
      <c r="C1013" s="26"/>
      <c r="L1013" s="25"/>
    </row>
    <row r="1014" ht="18.75" customHeight="1">
      <c r="B1014" s="12"/>
      <c r="C1014" s="26"/>
      <c r="L1014" s="25"/>
    </row>
    <row r="1015" ht="18.75" customHeight="1">
      <c r="B1015" s="12"/>
      <c r="C1015" s="26"/>
      <c r="L1015" s="25"/>
    </row>
    <row r="1016" ht="18.75" customHeight="1">
      <c r="B1016" s="12"/>
      <c r="C1016" s="26"/>
      <c r="L1016" s="25"/>
    </row>
    <row r="1017" ht="18.75" customHeight="1">
      <c r="B1017" s="12"/>
      <c r="C1017" s="26"/>
      <c r="L1017" s="25"/>
    </row>
    <row r="1018" ht="18.75" customHeight="1">
      <c r="B1018" s="12"/>
      <c r="C1018" s="26"/>
      <c r="L1018" s="25"/>
    </row>
    <row r="1019" ht="18.75" customHeight="1">
      <c r="B1019" s="12"/>
      <c r="C1019" s="26"/>
      <c r="L1019" s="25"/>
    </row>
    <row r="1020" ht="18.75" customHeight="1">
      <c r="B1020" s="12"/>
      <c r="C1020" s="26"/>
      <c r="L1020" s="25"/>
    </row>
    <row r="1021" ht="18.75" customHeight="1">
      <c r="B1021" s="12"/>
      <c r="C1021" s="26"/>
      <c r="L1021" s="25"/>
    </row>
    <row r="1022" ht="18.75" customHeight="1">
      <c r="B1022" s="12"/>
      <c r="C1022" s="26"/>
      <c r="L1022" s="25"/>
    </row>
    <row r="1023" ht="18.75" customHeight="1">
      <c r="B1023" s="12"/>
      <c r="C1023" s="26"/>
      <c r="L1023" s="25"/>
    </row>
    <row r="1024" ht="18.75" customHeight="1">
      <c r="B1024" s="12"/>
      <c r="C1024" s="26"/>
      <c r="L1024" s="25"/>
    </row>
    <row r="1025" ht="18.75" customHeight="1">
      <c r="B1025" s="12"/>
      <c r="C1025" s="26"/>
      <c r="L1025" s="25"/>
    </row>
    <row r="1026" ht="18.75" customHeight="1">
      <c r="B1026" s="12"/>
      <c r="C1026" s="26"/>
      <c r="L1026" s="25"/>
    </row>
    <row r="1027" ht="18.75" customHeight="1">
      <c r="B1027" s="12"/>
      <c r="C1027" s="26"/>
      <c r="L1027" s="25"/>
    </row>
    <row r="1028" ht="18.75" customHeight="1">
      <c r="B1028" s="12"/>
      <c r="C1028" s="26"/>
      <c r="L1028" s="25"/>
    </row>
    <row r="1029" ht="18.75" customHeight="1">
      <c r="B1029" s="12"/>
      <c r="C1029" s="26"/>
      <c r="L1029" s="25"/>
    </row>
    <row r="1030" ht="18.75" customHeight="1">
      <c r="B1030" s="12"/>
      <c r="C1030" s="26"/>
      <c r="L1030" s="25"/>
    </row>
    <row r="1031" ht="18.75" customHeight="1">
      <c r="B1031" s="12"/>
      <c r="C1031" s="26"/>
      <c r="L1031" s="25"/>
    </row>
    <row r="1032" ht="18.75" customHeight="1">
      <c r="B1032" s="12"/>
      <c r="C1032" s="26"/>
      <c r="L1032" s="25"/>
    </row>
    <row r="1033" ht="18.75" customHeight="1">
      <c r="B1033" s="12"/>
      <c r="C1033" s="26"/>
      <c r="L1033" s="25"/>
    </row>
    <row r="1034" ht="18.75" customHeight="1">
      <c r="B1034" s="12"/>
      <c r="C1034" s="26"/>
      <c r="L1034" s="25"/>
    </row>
    <row r="1035" ht="18.75" customHeight="1">
      <c r="B1035" s="12"/>
      <c r="C1035" s="26"/>
      <c r="L1035" s="25"/>
    </row>
    <row r="1036" ht="18.75" customHeight="1">
      <c r="B1036" s="12"/>
      <c r="C1036" s="26"/>
      <c r="L1036" s="25"/>
    </row>
    <row r="1037" ht="18.75" customHeight="1">
      <c r="B1037" s="12"/>
      <c r="C1037" s="26"/>
      <c r="L1037" s="25"/>
    </row>
    <row r="1038" ht="18.75" customHeight="1">
      <c r="B1038" s="12"/>
      <c r="C1038" s="26"/>
      <c r="L1038" s="25"/>
    </row>
    <row r="1039" ht="18.75" customHeight="1">
      <c r="B1039" s="12"/>
      <c r="C1039" s="26"/>
      <c r="L1039" s="25"/>
    </row>
    <row r="1040" ht="18.75" customHeight="1">
      <c r="B1040" s="12"/>
      <c r="C1040" s="26"/>
      <c r="L1040" s="25"/>
    </row>
    <row r="1041" ht="18.75" customHeight="1">
      <c r="B1041" s="12"/>
      <c r="C1041" s="26"/>
      <c r="L1041" s="25"/>
    </row>
    <row r="1042" ht="18.75" customHeight="1">
      <c r="B1042" s="12"/>
      <c r="C1042" s="26"/>
      <c r="L1042" s="25"/>
    </row>
    <row r="1043" ht="18.75" customHeight="1">
      <c r="B1043" s="12"/>
      <c r="C1043" s="26"/>
      <c r="L1043" s="25"/>
    </row>
    <row r="1044" ht="18.75" customHeight="1">
      <c r="B1044" s="12"/>
      <c r="C1044" s="26"/>
      <c r="L1044" s="25"/>
    </row>
    <row r="1045" ht="18.75" customHeight="1">
      <c r="B1045" s="12"/>
      <c r="C1045" s="26"/>
      <c r="L1045" s="25"/>
    </row>
    <row r="1046" ht="18.75" customHeight="1">
      <c r="B1046" s="12"/>
      <c r="C1046" s="26"/>
      <c r="L1046" s="25"/>
    </row>
    <row r="1047" ht="18.75" customHeight="1">
      <c r="B1047" s="12"/>
      <c r="C1047" s="26"/>
      <c r="L1047" s="25"/>
    </row>
    <row r="1048" ht="18.75" customHeight="1">
      <c r="B1048" s="12"/>
      <c r="C1048" s="26"/>
      <c r="L1048" s="25"/>
    </row>
    <row r="1049" ht="18.75" customHeight="1">
      <c r="B1049" s="12"/>
      <c r="C1049" s="26"/>
      <c r="L1049" s="25"/>
    </row>
    <row r="1050" ht="18.75" customHeight="1">
      <c r="B1050" s="12"/>
      <c r="C1050" s="26"/>
      <c r="L1050" s="25"/>
    </row>
    <row r="1051" ht="18.75" customHeight="1">
      <c r="B1051" s="12"/>
      <c r="C1051" s="26"/>
      <c r="L1051" s="25"/>
    </row>
    <row r="1052" ht="18.75" customHeight="1">
      <c r="B1052" s="12"/>
      <c r="C1052" s="26"/>
      <c r="L1052" s="25"/>
    </row>
    <row r="1053" ht="18.75" customHeight="1">
      <c r="B1053" s="12"/>
      <c r="C1053" s="26"/>
      <c r="L1053" s="25"/>
    </row>
    <row r="1054" ht="18.75" customHeight="1">
      <c r="B1054" s="12"/>
      <c r="C1054" s="26"/>
      <c r="L1054" s="25"/>
    </row>
    <row r="1055" ht="18.75" customHeight="1">
      <c r="B1055" s="12"/>
      <c r="C1055" s="26"/>
      <c r="L1055" s="25"/>
    </row>
    <row r="1056" ht="18.75" customHeight="1">
      <c r="B1056" s="12"/>
      <c r="C1056" s="26"/>
      <c r="L1056" s="25"/>
    </row>
    <row r="1057" ht="18.75" customHeight="1">
      <c r="B1057" s="12"/>
      <c r="C1057" s="26"/>
      <c r="L1057" s="25"/>
    </row>
    <row r="1058" ht="18.75" customHeight="1">
      <c r="B1058" s="12"/>
      <c r="C1058" s="26"/>
      <c r="L1058" s="25"/>
    </row>
    <row r="1059" ht="18.75" customHeight="1">
      <c r="B1059" s="12"/>
      <c r="C1059" s="26"/>
      <c r="L1059" s="25"/>
    </row>
    <row r="1060" ht="18.75" customHeight="1">
      <c r="B1060" s="12"/>
      <c r="C1060" s="26"/>
      <c r="L1060" s="25"/>
    </row>
    <row r="1061" ht="18.75" customHeight="1">
      <c r="B1061" s="12"/>
      <c r="C1061" s="26"/>
      <c r="L1061" s="25"/>
    </row>
    <row r="1062" ht="18.75" customHeight="1">
      <c r="B1062" s="12"/>
      <c r="C1062" s="26"/>
      <c r="L1062" s="25"/>
    </row>
    <row r="1063" ht="18.75" customHeight="1">
      <c r="B1063" s="12"/>
      <c r="C1063" s="26"/>
      <c r="L1063" s="25"/>
    </row>
    <row r="1064" ht="18.75" customHeight="1">
      <c r="B1064" s="12"/>
      <c r="C1064" s="26"/>
      <c r="L1064" s="25"/>
    </row>
    <row r="1065" ht="18.75" customHeight="1">
      <c r="B1065" s="12"/>
      <c r="C1065" s="26"/>
      <c r="L1065" s="25"/>
    </row>
    <row r="1066" ht="18.75" customHeight="1">
      <c r="B1066" s="12"/>
      <c r="C1066" s="26"/>
      <c r="L1066" s="25"/>
    </row>
    <row r="1067" ht="18.75" customHeight="1">
      <c r="B1067" s="12"/>
      <c r="C1067" s="26"/>
      <c r="L1067" s="25"/>
    </row>
    <row r="1068" ht="18.75" customHeight="1">
      <c r="B1068" s="12"/>
      <c r="C1068" s="26"/>
      <c r="L1068" s="25"/>
    </row>
    <row r="1069" ht="18.75" customHeight="1">
      <c r="B1069" s="12"/>
      <c r="C1069" s="26"/>
      <c r="L1069" s="25"/>
    </row>
    <row r="1070" ht="18.75" customHeight="1">
      <c r="B1070" s="12"/>
      <c r="C1070" s="26"/>
      <c r="L1070" s="25"/>
    </row>
    <row r="1071" ht="18.75" customHeight="1">
      <c r="B1071" s="12"/>
      <c r="C1071" s="26"/>
      <c r="L1071" s="25"/>
    </row>
    <row r="1072" ht="18.75" customHeight="1">
      <c r="B1072" s="12"/>
      <c r="C1072" s="26"/>
      <c r="L1072" s="25"/>
    </row>
    <row r="1073" ht="18.75" customHeight="1">
      <c r="B1073" s="12"/>
      <c r="C1073" s="26"/>
      <c r="L1073" s="25"/>
    </row>
    <row r="1074" ht="18.75" customHeight="1">
      <c r="B1074" s="12"/>
      <c r="C1074" s="26"/>
      <c r="L1074" s="25"/>
    </row>
    <row r="1075" ht="18.75" customHeight="1">
      <c r="B1075" s="12"/>
      <c r="C1075" s="26"/>
      <c r="L1075" s="25"/>
    </row>
    <row r="1076" ht="18.75" customHeight="1">
      <c r="B1076" s="12"/>
      <c r="C1076" s="26"/>
      <c r="L1076" s="25"/>
    </row>
    <row r="1077" ht="18.75" customHeight="1">
      <c r="B1077" s="12"/>
      <c r="C1077" s="26"/>
      <c r="L1077" s="25"/>
    </row>
    <row r="1078" ht="18.75" customHeight="1">
      <c r="B1078" s="12"/>
      <c r="C1078" s="26"/>
      <c r="L1078" s="25"/>
    </row>
    <row r="1079" ht="18.75" customHeight="1">
      <c r="B1079" s="12"/>
      <c r="C1079" s="26"/>
      <c r="L1079" s="25"/>
    </row>
    <row r="1080" ht="18.75" customHeight="1">
      <c r="B1080" s="12"/>
      <c r="C1080" s="26"/>
      <c r="L1080" s="25"/>
    </row>
    <row r="1081" ht="18.75" customHeight="1">
      <c r="B1081" s="12"/>
      <c r="C1081" s="26"/>
      <c r="L1081" s="25"/>
    </row>
    <row r="1082" ht="18.75" customHeight="1">
      <c r="B1082" s="12"/>
      <c r="C1082" s="26"/>
      <c r="L1082" s="25"/>
    </row>
    <row r="1083" ht="18.75" customHeight="1">
      <c r="B1083" s="12"/>
      <c r="C1083" s="26"/>
      <c r="L1083" s="25"/>
    </row>
    <row r="1084" ht="18.75" customHeight="1">
      <c r="B1084" s="12"/>
      <c r="C1084" s="26"/>
      <c r="L1084" s="25"/>
    </row>
    <row r="1085" ht="18.75" customHeight="1">
      <c r="B1085" s="12"/>
      <c r="C1085" s="26"/>
      <c r="L1085" s="25"/>
    </row>
    <row r="1086" ht="18.75" customHeight="1">
      <c r="B1086" s="12"/>
      <c r="C1086" s="26"/>
      <c r="L1086" s="25"/>
    </row>
    <row r="1087" ht="18.75" customHeight="1">
      <c r="B1087" s="12"/>
      <c r="C1087" s="26"/>
      <c r="L1087" s="25"/>
    </row>
    <row r="1088" ht="18.75" customHeight="1">
      <c r="B1088" s="12"/>
      <c r="C1088" s="26"/>
      <c r="L1088" s="25"/>
    </row>
    <row r="1089" ht="18.75" customHeight="1">
      <c r="B1089" s="12"/>
      <c r="C1089" s="26"/>
      <c r="L1089" s="25"/>
    </row>
    <row r="1090" ht="18.75" customHeight="1">
      <c r="B1090" s="12"/>
      <c r="C1090" s="26"/>
      <c r="L1090" s="25"/>
    </row>
    <row r="1091" ht="18.75" customHeight="1">
      <c r="B1091" s="12"/>
      <c r="C1091" s="26"/>
      <c r="L1091" s="25"/>
    </row>
    <row r="1092" ht="18.75" customHeight="1">
      <c r="B1092" s="12"/>
      <c r="C1092" s="26"/>
      <c r="L1092" s="25"/>
    </row>
    <row r="1093" ht="18.75" customHeight="1">
      <c r="B1093" s="12"/>
      <c r="C1093" s="26"/>
      <c r="L1093" s="25"/>
    </row>
    <row r="1094" ht="18.75" customHeight="1">
      <c r="B1094" s="12"/>
      <c r="C1094" s="26"/>
      <c r="L1094" s="25"/>
    </row>
    <row r="1095" ht="18.75" customHeight="1">
      <c r="B1095" s="12"/>
      <c r="C1095" s="26"/>
      <c r="L1095" s="25"/>
    </row>
    <row r="1096" ht="18.75" customHeight="1">
      <c r="B1096" s="12"/>
      <c r="C1096" s="26"/>
      <c r="L1096" s="25"/>
    </row>
    <row r="1097" ht="18.75" customHeight="1">
      <c r="B1097" s="12"/>
      <c r="C1097" s="26"/>
      <c r="L1097" s="25"/>
    </row>
    <row r="1098" ht="18.75" customHeight="1">
      <c r="B1098" s="12"/>
      <c r="C1098" s="26"/>
      <c r="L1098" s="25"/>
    </row>
    <row r="1099" ht="18.75" customHeight="1">
      <c r="B1099" s="12"/>
      <c r="C1099" s="26"/>
      <c r="L1099" s="25"/>
    </row>
    <row r="1100" ht="18.75" customHeight="1">
      <c r="B1100" s="12"/>
      <c r="C1100" s="26"/>
      <c r="L1100" s="25"/>
    </row>
    <row r="1101" ht="18.75" customHeight="1">
      <c r="B1101" s="12"/>
      <c r="C1101" s="26"/>
      <c r="L1101" s="25"/>
    </row>
    <row r="1102" ht="18.75" customHeight="1">
      <c r="B1102" s="12"/>
      <c r="C1102" s="26"/>
      <c r="L1102" s="25"/>
    </row>
    <row r="1103" ht="18.75" customHeight="1">
      <c r="B1103" s="12"/>
      <c r="C1103" s="26"/>
      <c r="L1103" s="25"/>
    </row>
    <row r="1104" ht="18.75" customHeight="1">
      <c r="B1104" s="12"/>
      <c r="C1104" s="26"/>
      <c r="L1104" s="25"/>
    </row>
    <row r="1105" ht="18.75" customHeight="1">
      <c r="B1105" s="12"/>
      <c r="C1105" s="26"/>
      <c r="L1105" s="25"/>
    </row>
    <row r="1106" ht="18.75" customHeight="1">
      <c r="B1106" s="12"/>
      <c r="C1106" s="26"/>
      <c r="L1106" s="25"/>
    </row>
    <row r="1107" ht="18.75" customHeight="1">
      <c r="B1107" s="12"/>
      <c r="C1107" s="26"/>
      <c r="L1107" s="25"/>
    </row>
    <row r="1108" ht="18.75" customHeight="1">
      <c r="B1108" s="12"/>
      <c r="C1108" s="26"/>
      <c r="L1108" s="25"/>
    </row>
    <row r="1109" ht="18.75" customHeight="1">
      <c r="B1109" s="12"/>
      <c r="C1109" s="26"/>
      <c r="L1109" s="25"/>
    </row>
    <row r="1110" ht="18.75" customHeight="1">
      <c r="B1110" s="12"/>
      <c r="C1110" s="26"/>
      <c r="L1110" s="25"/>
    </row>
    <row r="1111" ht="18.75" customHeight="1">
      <c r="B1111" s="12"/>
      <c r="C1111" s="26"/>
      <c r="L1111" s="25"/>
    </row>
    <row r="1112" ht="18.75" customHeight="1">
      <c r="B1112" s="12"/>
      <c r="C1112" s="26"/>
      <c r="L1112" s="25"/>
    </row>
    <row r="1113" ht="18.75" customHeight="1">
      <c r="B1113" s="12"/>
      <c r="C1113" s="26"/>
      <c r="L1113" s="25"/>
    </row>
    <row r="1114" ht="18.75" customHeight="1">
      <c r="B1114" s="12"/>
      <c r="C1114" s="26"/>
      <c r="L1114" s="25"/>
    </row>
    <row r="1115" ht="18.75" customHeight="1">
      <c r="B1115" s="12"/>
      <c r="C1115" s="26"/>
      <c r="L1115" s="25"/>
    </row>
    <row r="1116" ht="18.75" customHeight="1">
      <c r="B1116" s="12"/>
      <c r="C1116" s="26"/>
      <c r="L1116" s="25"/>
    </row>
    <row r="1117" ht="18.75" customHeight="1">
      <c r="B1117" s="12"/>
      <c r="C1117" s="26"/>
      <c r="L1117" s="25"/>
    </row>
    <row r="1118" ht="18.75" customHeight="1">
      <c r="B1118" s="12"/>
      <c r="C1118" s="26"/>
      <c r="L1118" s="25"/>
    </row>
    <row r="1119" ht="18.75" customHeight="1">
      <c r="B1119" s="12"/>
      <c r="C1119" s="26"/>
      <c r="L1119" s="25"/>
    </row>
    <row r="1120" ht="18.75" customHeight="1">
      <c r="B1120" s="12"/>
      <c r="C1120" s="26"/>
      <c r="L1120" s="25"/>
    </row>
    <row r="1121" ht="18.75" customHeight="1">
      <c r="B1121" s="12"/>
      <c r="C1121" s="26"/>
      <c r="L1121" s="25"/>
    </row>
    <row r="1122" ht="18.75" customHeight="1">
      <c r="B1122" s="12"/>
      <c r="C1122" s="26"/>
      <c r="L1122" s="25"/>
    </row>
    <row r="1123" ht="18.75" customHeight="1">
      <c r="B1123" s="12"/>
      <c r="C1123" s="26"/>
      <c r="L1123" s="25"/>
    </row>
    <row r="1124" ht="18.75" customHeight="1">
      <c r="B1124" s="12"/>
      <c r="C1124" s="26"/>
      <c r="L1124" s="25"/>
    </row>
    <row r="1125" ht="18.75" customHeight="1">
      <c r="B1125" s="12"/>
      <c r="C1125" s="26"/>
      <c r="L1125" s="25"/>
    </row>
    <row r="1126" ht="18.75" customHeight="1">
      <c r="B1126" s="12"/>
      <c r="C1126" s="26"/>
      <c r="L1126" s="25"/>
    </row>
    <row r="1127" ht="18.75" customHeight="1">
      <c r="B1127" s="12"/>
      <c r="C1127" s="26"/>
      <c r="L1127" s="25"/>
    </row>
    <row r="1128" ht="18.75" customHeight="1">
      <c r="B1128" s="12"/>
      <c r="C1128" s="26"/>
      <c r="L1128" s="25"/>
    </row>
    <row r="1129" ht="18.75" customHeight="1">
      <c r="B1129" s="12"/>
      <c r="C1129" s="26"/>
      <c r="L1129" s="25"/>
    </row>
    <row r="1130" ht="18.75" customHeight="1">
      <c r="B1130" s="12"/>
      <c r="C1130" s="26"/>
      <c r="L1130" s="25"/>
    </row>
    <row r="1131" ht="18.75" customHeight="1">
      <c r="B1131" s="12"/>
      <c r="C1131" s="26"/>
      <c r="L1131" s="25"/>
    </row>
    <row r="1132" ht="18.75" customHeight="1">
      <c r="B1132" s="12"/>
      <c r="C1132" s="26"/>
      <c r="L1132" s="25"/>
    </row>
    <row r="1133" ht="18.75" customHeight="1">
      <c r="B1133" s="12"/>
      <c r="C1133" s="26"/>
      <c r="L1133" s="25"/>
    </row>
    <row r="1134" ht="18.75" customHeight="1">
      <c r="B1134" s="12"/>
      <c r="C1134" s="26"/>
      <c r="L1134" s="25"/>
    </row>
    <row r="1135" ht="18.75" customHeight="1">
      <c r="B1135" s="12"/>
      <c r="C1135" s="26"/>
      <c r="L1135" s="25"/>
    </row>
    <row r="1136" ht="18.75" customHeight="1">
      <c r="B1136" s="12"/>
      <c r="C1136" s="26"/>
      <c r="L1136" s="25"/>
    </row>
    <row r="1137" ht="18.75" customHeight="1">
      <c r="B1137" s="12"/>
      <c r="C1137" s="26"/>
      <c r="L1137" s="25"/>
    </row>
    <row r="1138" ht="18.75" customHeight="1">
      <c r="B1138" s="12"/>
      <c r="C1138" s="26"/>
      <c r="L1138" s="25"/>
    </row>
    <row r="1139" ht="18.75" customHeight="1">
      <c r="B1139" s="12"/>
      <c r="C1139" s="26"/>
      <c r="L1139" s="25"/>
    </row>
    <row r="1140" ht="18.75" customHeight="1">
      <c r="B1140" s="12"/>
      <c r="C1140" s="26"/>
      <c r="L1140" s="25"/>
    </row>
    <row r="1141" ht="18.75" customHeight="1">
      <c r="B1141" s="12"/>
      <c r="C1141" s="26"/>
      <c r="L1141" s="25"/>
    </row>
    <row r="1142" ht="18.75" customHeight="1">
      <c r="B1142" s="12"/>
      <c r="C1142" s="26"/>
      <c r="L1142" s="25"/>
    </row>
    <row r="1143" ht="18.75" customHeight="1">
      <c r="B1143" s="12"/>
      <c r="C1143" s="26"/>
      <c r="L1143" s="25"/>
    </row>
    <row r="1144" ht="18.75" customHeight="1">
      <c r="B1144" s="12"/>
      <c r="C1144" s="26"/>
      <c r="L1144" s="25"/>
    </row>
    <row r="1145" ht="18.75" customHeight="1">
      <c r="B1145" s="12"/>
      <c r="C1145" s="26"/>
      <c r="L1145" s="25"/>
    </row>
    <row r="1146" ht="18.75" customHeight="1">
      <c r="B1146" s="12"/>
      <c r="C1146" s="26"/>
      <c r="L1146" s="25"/>
    </row>
    <row r="1147" ht="18.75" customHeight="1">
      <c r="B1147" s="12"/>
      <c r="C1147" s="26"/>
      <c r="L1147" s="25"/>
    </row>
    <row r="1148" ht="18.75" customHeight="1">
      <c r="B1148" s="12"/>
      <c r="C1148" s="26"/>
      <c r="L1148" s="25"/>
    </row>
    <row r="1149" ht="18.75" customHeight="1">
      <c r="B1149" s="12"/>
      <c r="C1149" s="26"/>
      <c r="L1149" s="25"/>
    </row>
    <row r="1150" ht="18.75" customHeight="1">
      <c r="B1150" s="12"/>
      <c r="C1150" s="26"/>
      <c r="L1150" s="25"/>
    </row>
    <row r="1151" ht="18.75" customHeight="1">
      <c r="B1151" s="12"/>
      <c r="C1151" s="26"/>
      <c r="L1151" s="25"/>
    </row>
    <row r="1152" ht="18.75" customHeight="1">
      <c r="B1152" s="12"/>
      <c r="C1152" s="26"/>
      <c r="L1152" s="25"/>
    </row>
    <row r="1153" ht="18.75" customHeight="1">
      <c r="B1153" s="12"/>
      <c r="C1153" s="26"/>
      <c r="L1153" s="25"/>
    </row>
    <row r="1154" ht="18.75" customHeight="1">
      <c r="B1154" s="12"/>
      <c r="C1154" s="26"/>
      <c r="L1154" s="25"/>
    </row>
    <row r="1155" ht="18.75" customHeight="1">
      <c r="B1155" s="12"/>
      <c r="C1155" s="26"/>
      <c r="L1155" s="25"/>
    </row>
    <row r="1156" ht="18.75" customHeight="1">
      <c r="B1156" s="12"/>
      <c r="C1156" s="26"/>
      <c r="L1156" s="25"/>
    </row>
    <row r="1157" ht="18.75" customHeight="1">
      <c r="B1157" s="12"/>
      <c r="C1157" s="26"/>
      <c r="L1157" s="25"/>
    </row>
    <row r="1158" ht="18.75" customHeight="1">
      <c r="B1158" s="12"/>
      <c r="C1158" s="26"/>
      <c r="L1158" s="25"/>
    </row>
    <row r="1159" ht="18.75" customHeight="1">
      <c r="B1159" s="12"/>
      <c r="C1159" s="26"/>
      <c r="L1159" s="25"/>
    </row>
    <row r="1160" ht="18.75" customHeight="1">
      <c r="B1160" s="12"/>
      <c r="C1160" s="26"/>
      <c r="L1160" s="25"/>
    </row>
    <row r="1161" ht="18.75" customHeight="1">
      <c r="B1161" s="12"/>
      <c r="C1161" s="26"/>
      <c r="L1161" s="25"/>
    </row>
    <row r="1162" ht="18.75" customHeight="1">
      <c r="B1162" s="12"/>
      <c r="C1162" s="26"/>
      <c r="L1162" s="25"/>
    </row>
    <row r="1163" ht="18.75" customHeight="1">
      <c r="B1163" s="12"/>
      <c r="C1163" s="26"/>
      <c r="L1163" s="25"/>
    </row>
    <row r="1164" ht="18.75" customHeight="1">
      <c r="B1164" s="12"/>
      <c r="C1164" s="26"/>
      <c r="L1164" s="25"/>
    </row>
    <row r="1165" ht="18.75" customHeight="1">
      <c r="B1165" s="12"/>
      <c r="C1165" s="26"/>
      <c r="L1165" s="25"/>
    </row>
    <row r="1166" ht="18.75" customHeight="1">
      <c r="B1166" s="12"/>
      <c r="C1166" s="26"/>
      <c r="L1166" s="25"/>
    </row>
    <row r="1167" ht="18.75" customHeight="1">
      <c r="B1167" s="12"/>
      <c r="C1167" s="26"/>
      <c r="L1167" s="25"/>
    </row>
    <row r="1168" ht="18.75" customHeight="1">
      <c r="B1168" s="12"/>
      <c r="C1168" s="26"/>
      <c r="L1168" s="25"/>
    </row>
    <row r="1169" ht="18.75" customHeight="1">
      <c r="B1169" s="12"/>
      <c r="C1169" s="26"/>
      <c r="L1169" s="25"/>
    </row>
    <row r="1170" ht="18.75" customHeight="1">
      <c r="B1170" s="12"/>
      <c r="C1170" s="26"/>
      <c r="L1170" s="25"/>
    </row>
    <row r="1171" ht="18.75" customHeight="1">
      <c r="B1171" s="12"/>
      <c r="C1171" s="26"/>
      <c r="L1171" s="25"/>
    </row>
    <row r="1172" ht="18.75" customHeight="1">
      <c r="B1172" s="12"/>
      <c r="C1172" s="26"/>
      <c r="L1172" s="25"/>
    </row>
    <row r="1173" ht="18.75" customHeight="1">
      <c r="B1173" s="12"/>
      <c r="C1173" s="26"/>
      <c r="L1173" s="25"/>
    </row>
    <row r="1174" ht="18.75" customHeight="1">
      <c r="B1174" s="12"/>
      <c r="C1174" s="26"/>
      <c r="L1174" s="25"/>
    </row>
    <row r="1175" ht="18.75" customHeight="1">
      <c r="B1175" s="12"/>
      <c r="C1175" s="26"/>
      <c r="L1175" s="25"/>
    </row>
    <row r="1176" ht="18.75" customHeight="1">
      <c r="B1176" s="12"/>
      <c r="C1176" s="26"/>
      <c r="L1176" s="25"/>
    </row>
    <row r="1177" ht="18.75" customHeight="1">
      <c r="B1177" s="12"/>
      <c r="C1177" s="26"/>
      <c r="L1177" s="25"/>
    </row>
    <row r="1178" ht="18.75" customHeight="1">
      <c r="B1178" s="12"/>
      <c r="C1178" s="26"/>
      <c r="L1178" s="25"/>
    </row>
    <row r="1179" ht="18.75" customHeight="1">
      <c r="B1179" s="12"/>
      <c r="C1179" s="26"/>
      <c r="L1179" s="25"/>
    </row>
    <row r="1180" ht="18.75" customHeight="1">
      <c r="B1180" s="12"/>
      <c r="C1180" s="26"/>
      <c r="L1180" s="25"/>
    </row>
    <row r="1181" ht="18.75" customHeight="1">
      <c r="B1181" s="12"/>
      <c r="C1181" s="26"/>
      <c r="L1181" s="25"/>
    </row>
    <row r="1182" ht="18.75" customHeight="1">
      <c r="B1182" s="12"/>
      <c r="C1182" s="26"/>
      <c r="L1182" s="25"/>
    </row>
    <row r="1183" ht="18.75" customHeight="1">
      <c r="B1183" s="12"/>
      <c r="C1183" s="26"/>
      <c r="L1183" s="25"/>
    </row>
    <row r="1184" ht="18.75" customHeight="1">
      <c r="B1184" s="12"/>
      <c r="C1184" s="26"/>
      <c r="L1184" s="25"/>
    </row>
    <row r="1185" ht="18.75" customHeight="1">
      <c r="B1185" s="12"/>
      <c r="C1185" s="26"/>
      <c r="L1185" s="25"/>
    </row>
    <row r="1186" ht="18.75" customHeight="1">
      <c r="B1186" s="12"/>
      <c r="C1186" s="26"/>
      <c r="L1186" s="25"/>
    </row>
    <row r="1187" ht="18.75" customHeight="1">
      <c r="B1187" s="12"/>
      <c r="C1187" s="26"/>
      <c r="L1187" s="25"/>
    </row>
    <row r="1188" ht="18.75" customHeight="1">
      <c r="B1188" s="12"/>
      <c r="C1188" s="26"/>
      <c r="L1188" s="25"/>
    </row>
    <row r="1189" ht="18.75" customHeight="1">
      <c r="B1189" s="12"/>
      <c r="C1189" s="26"/>
      <c r="L1189" s="25"/>
    </row>
    <row r="1190" ht="18.75" customHeight="1">
      <c r="B1190" s="12"/>
      <c r="C1190" s="26"/>
      <c r="L1190" s="25"/>
    </row>
    <row r="1191" ht="18.75" customHeight="1">
      <c r="B1191" s="12"/>
      <c r="C1191" s="26"/>
      <c r="L1191" s="25"/>
    </row>
    <row r="1192" ht="18.75" customHeight="1">
      <c r="B1192" s="12"/>
      <c r="C1192" s="26"/>
      <c r="L1192" s="25"/>
    </row>
    <row r="1193" ht="18.75" customHeight="1">
      <c r="B1193" s="12"/>
      <c r="C1193" s="26"/>
      <c r="L1193" s="25"/>
    </row>
    <row r="1194" ht="18.75" customHeight="1">
      <c r="B1194" s="12"/>
      <c r="C1194" s="26"/>
      <c r="L1194" s="25"/>
    </row>
    <row r="1195" ht="18.75" customHeight="1">
      <c r="B1195" s="12"/>
      <c r="C1195" s="26"/>
      <c r="L1195" s="25"/>
    </row>
    <row r="1196" ht="18.75" customHeight="1">
      <c r="B1196" s="12"/>
      <c r="C1196" s="26"/>
      <c r="L1196" s="25"/>
    </row>
    <row r="1197" ht="18.75" customHeight="1">
      <c r="B1197" s="12"/>
      <c r="C1197" s="26"/>
      <c r="L1197" s="25"/>
    </row>
    <row r="1198" ht="18.75" customHeight="1">
      <c r="B1198" s="12"/>
      <c r="C1198" s="26"/>
      <c r="L1198" s="25"/>
    </row>
    <row r="1199" ht="18.75" customHeight="1">
      <c r="B1199" s="12"/>
      <c r="C1199" s="26"/>
      <c r="L1199" s="25"/>
    </row>
    <row r="1200" ht="18.75" customHeight="1">
      <c r="B1200" s="12"/>
      <c r="C1200" s="26"/>
      <c r="L1200" s="25"/>
    </row>
    <row r="1201" ht="18.75" customHeight="1">
      <c r="B1201" s="12"/>
      <c r="C1201" s="26"/>
      <c r="L1201" s="25"/>
    </row>
    <row r="1202" ht="18.75" customHeight="1">
      <c r="B1202" s="12"/>
      <c r="C1202" s="26"/>
      <c r="L1202" s="25"/>
    </row>
    <row r="1203" ht="18.75" customHeight="1">
      <c r="B1203" s="12"/>
      <c r="C1203" s="26"/>
      <c r="L1203" s="25"/>
    </row>
    <row r="1204" ht="18.75" customHeight="1">
      <c r="B1204" s="12"/>
      <c r="C1204" s="26"/>
      <c r="L1204" s="25"/>
    </row>
    <row r="1205" ht="18.75" customHeight="1">
      <c r="B1205" s="12"/>
      <c r="C1205" s="26"/>
      <c r="L1205" s="25"/>
    </row>
    <row r="1206" ht="18.75" customHeight="1">
      <c r="B1206" s="12"/>
      <c r="C1206" s="26"/>
      <c r="L1206" s="25"/>
    </row>
    <row r="1207" ht="18.75" customHeight="1">
      <c r="B1207" s="12"/>
      <c r="C1207" s="26"/>
      <c r="L1207" s="25"/>
    </row>
    <row r="1208" ht="18.75" customHeight="1">
      <c r="B1208" s="12"/>
      <c r="C1208" s="26"/>
      <c r="L1208" s="25"/>
    </row>
    <row r="1209" ht="18.75" customHeight="1">
      <c r="B1209" s="12"/>
      <c r="C1209" s="26"/>
      <c r="L1209" s="25"/>
    </row>
    <row r="1210" ht="18.75" customHeight="1">
      <c r="B1210" s="12"/>
      <c r="C1210" s="26"/>
      <c r="L1210" s="25"/>
    </row>
    <row r="1211" ht="18.75" customHeight="1">
      <c r="B1211" s="12"/>
      <c r="C1211" s="26"/>
      <c r="L1211" s="25"/>
    </row>
    <row r="1212" ht="18.75" customHeight="1">
      <c r="B1212" s="12"/>
      <c r="C1212" s="26"/>
      <c r="L1212" s="25"/>
    </row>
    <row r="1213" ht="18.75" customHeight="1">
      <c r="B1213" s="12"/>
      <c r="C1213" s="26"/>
      <c r="L1213" s="25"/>
    </row>
    <row r="1214" ht="18.75" customHeight="1">
      <c r="B1214" s="12"/>
      <c r="C1214" s="26"/>
      <c r="L1214" s="25"/>
    </row>
    <row r="1215" ht="18.75" customHeight="1">
      <c r="B1215" s="12"/>
      <c r="C1215" s="26"/>
      <c r="L1215" s="25"/>
    </row>
    <row r="1216" ht="18.75" customHeight="1">
      <c r="B1216" s="12"/>
      <c r="C1216" s="26"/>
      <c r="L1216" s="25"/>
    </row>
    <row r="1217" ht="18.75" customHeight="1">
      <c r="B1217" s="12"/>
      <c r="C1217" s="26"/>
      <c r="L1217" s="25"/>
    </row>
    <row r="1218" ht="18.75" customHeight="1">
      <c r="B1218" s="12"/>
      <c r="C1218" s="26"/>
      <c r="L1218" s="25"/>
    </row>
    <row r="1219" ht="18.75" customHeight="1">
      <c r="B1219" s="12"/>
      <c r="C1219" s="26"/>
      <c r="L1219" s="25"/>
    </row>
    <row r="1220" ht="18.75" customHeight="1">
      <c r="B1220" s="12"/>
      <c r="C1220" s="26"/>
      <c r="L1220" s="25"/>
    </row>
    <row r="1221" ht="18.75" customHeight="1">
      <c r="B1221" s="12"/>
      <c r="C1221" s="26"/>
      <c r="L1221" s="25"/>
    </row>
    <row r="1222" ht="18.75" customHeight="1">
      <c r="B1222" s="12"/>
      <c r="C1222" s="26"/>
      <c r="L1222" s="25"/>
    </row>
    <row r="1223" ht="18.75" customHeight="1">
      <c r="B1223" s="12"/>
      <c r="C1223" s="26"/>
      <c r="L1223" s="25"/>
    </row>
    <row r="1224" ht="18.75" customHeight="1">
      <c r="B1224" s="12"/>
      <c r="C1224" s="26"/>
      <c r="L1224" s="25"/>
    </row>
    <row r="1225" ht="18.75" customHeight="1">
      <c r="B1225" s="12"/>
      <c r="C1225" s="26"/>
      <c r="L1225" s="25"/>
    </row>
    <row r="1226" ht="18.75" customHeight="1">
      <c r="B1226" s="12"/>
      <c r="C1226" s="26"/>
      <c r="L1226" s="25"/>
    </row>
    <row r="1227" ht="18.75" customHeight="1">
      <c r="B1227" s="12"/>
      <c r="C1227" s="26"/>
      <c r="L1227" s="25"/>
    </row>
    <row r="1228" ht="18.75" customHeight="1">
      <c r="B1228" s="12"/>
      <c r="C1228" s="26"/>
      <c r="L1228" s="25"/>
    </row>
    <row r="1229" ht="18.75" customHeight="1">
      <c r="B1229" s="12"/>
      <c r="C1229" s="26"/>
      <c r="L1229" s="25"/>
    </row>
    <row r="1230" ht="18.75" customHeight="1">
      <c r="B1230" s="12"/>
      <c r="C1230" s="26"/>
      <c r="L1230" s="25"/>
    </row>
    <row r="1231" ht="18.75" customHeight="1">
      <c r="B1231" s="12"/>
      <c r="C1231" s="26"/>
      <c r="L1231" s="25"/>
    </row>
    <row r="1232" ht="18.75" customHeight="1">
      <c r="B1232" s="12"/>
      <c r="C1232" s="26"/>
      <c r="L1232" s="25"/>
    </row>
    <row r="1233" ht="18.75" customHeight="1">
      <c r="B1233" s="12"/>
      <c r="C1233" s="26"/>
      <c r="L1233" s="25"/>
    </row>
    <row r="1234" ht="18.75" customHeight="1">
      <c r="B1234" s="12"/>
      <c r="C1234" s="26"/>
      <c r="L1234" s="25"/>
    </row>
    <row r="1235" ht="18.75" customHeight="1">
      <c r="B1235" s="12"/>
      <c r="C1235" s="26"/>
      <c r="L1235" s="25"/>
    </row>
    <row r="1236" ht="18.75" customHeight="1">
      <c r="B1236" s="12"/>
      <c r="C1236" s="26"/>
      <c r="L1236" s="25"/>
    </row>
    <row r="1237" ht="18.75" customHeight="1">
      <c r="B1237" s="12"/>
      <c r="C1237" s="26"/>
      <c r="L1237" s="25"/>
    </row>
    <row r="1238" ht="18.75" customHeight="1">
      <c r="B1238" s="12"/>
      <c r="C1238" s="26"/>
      <c r="L1238" s="25"/>
    </row>
    <row r="1239" ht="18.75" customHeight="1">
      <c r="B1239" s="12"/>
      <c r="C1239" s="26"/>
      <c r="L1239" s="25"/>
    </row>
    <row r="1240" ht="18.75" customHeight="1">
      <c r="B1240" s="12"/>
      <c r="C1240" s="26"/>
      <c r="L1240" s="25"/>
    </row>
    <row r="1241" ht="18.75" customHeight="1">
      <c r="B1241" s="12"/>
      <c r="C1241" s="26"/>
      <c r="L1241" s="25"/>
    </row>
    <row r="1242" ht="18.75" customHeight="1">
      <c r="B1242" s="12"/>
      <c r="C1242" s="26"/>
      <c r="L1242" s="25"/>
    </row>
    <row r="1243" ht="18.75" customHeight="1">
      <c r="B1243" s="12"/>
      <c r="C1243" s="26"/>
      <c r="L1243" s="25"/>
    </row>
    <row r="1244" ht="18.75" customHeight="1">
      <c r="B1244" s="12"/>
      <c r="C1244" s="26"/>
      <c r="L1244" s="25"/>
    </row>
    <row r="1245" ht="18.75" customHeight="1">
      <c r="B1245" s="12"/>
      <c r="C1245" s="26"/>
      <c r="L1245" s="25"/>
    </row>
    <row r="1246" ht="18.75" customHeight="1">
      <c r="B1246" s="12"/>
      <c r="C1246" s="26"/>
      <c r="L1246" s="25"/>
    </row>
    <row r="1247" ht="18.75" customHeight="1">
      <c r="B1247" s="12"/>
      <c r="C1247" s="26"/>
      <c r="L1247" s="25"/>
    </row>
    <row r="1248" ht="18.75" customHeight="1">
      <c r="B1248" s="12"/>
      <c r="C1248" s="26"/>
      <c r="L1248" s="25"/>
    </row>
    <row r="1249" ht="18.75" customHeight="1">
      <c r="B1249" s="12"/>
      <c r="C1249" s="26"/>
      <c r="L1249" s="25"/>
    </row>
    <row r="1250" ht="18.75" customHeight="1">
      <c r="B1250" s="12"/>
      <c r="C1250" s="26"/>
      <c r="L1250" s="25"/>
    </row>
    <row r="1251" ht="18.75" customHeight="1">
      <c r="B1251" s="12"/>
      <c r="C1251" s="26"/>
      <c r="L1251" s="25"/>
    </row>
    <row r="1252" ht="18.75" customHeight="1">
      <c r="B1252" s="12"/>
      <c r="C1252" s="26"/>
      <c r="L1252" s="25"/>
    </row>
    <row r="1253" ht="18.75" customHeight="1">
      <c r="B1253" s="12"/>
      <c r="C1253" s="26"/>
      <c r="L1253" s="25"/>
    </row>
    <row r="1254" ht="18.75" customHeight="1">
      <c r="B1254" s="12"/>
      <c r="C1254" s="26"/>
      <c r="L1254" s="25"/>
    </row>
    <row r="1255" ht="18.75" customHeight="1">
      <c r="B1255" s="12"/>
      <c r="C1255" s="26"/>
      <c r="L1255" s="25"/>
    </row>
    <row r="1256" ht="18.75" customHeight="1">
      <c r="B1256" s="12"/>
      <c r="C1256" s="26"/>
      <c r="L1256" s="25"/>
    </row>
    <row r="1257" ht="18.75" customHeight="1">
      <c r="B1257" s="12"/>
      <c r="C1257" s="26"/>
      <c r="L1257" s="25"/>
    </row>
    <row r="1258" ht="18.75" customHeight="1">
      <c r="B1258" s="12"/>
      <c r="C1258" s="26"/>
      <c r="L1258" s="25"/>
    </row>
    <row r="1259" ht="18.75" customHeight="1">
      <c r="B1259" s="12"/>
      <c r="C1259" s="26"/>
      <c r="L1259" s="25"/>
    </row>
    <row r="1260" ht="18.75" customHeight="1">
      <c r="B1260" s="12"/>
      <c r="C1260" s="26"/>
      <c r="L1260" s="25"/>
    </row>
    <row r="1261" ht="18.75" customHeight="1">
      <c r="B1261" s="12"/>
      <c r="C1261" s="26"/>
      <c r="L1261" s="25"/>
    </row>
    <row r="1262" ht="18.75" customHeight="1">
      <c r="B1262" s="12"/>
      <c r="C1262" s="26"/>
      <c r="L1262" s="25"/>
    </row>
    <row r="1263" ht="18.75" customHeight="1">
      <c r="B1263" s="12"/>
      <c r="C1263" s="26"/>
      <c r="L1263" s="25"/>
    </row>
    <row r="1264" ht="18.75" customHeight="1">
      <c r="B1264" s="12"/>
      <c r="C1264" s="26"/>
      <c r="L1264" s="25"/>
    </row>
    <row r="1265" ht="18.75" customHeight="1">
      <c r="B1265" s="12"/>
      <c r="C1265" s="26"/>
      <c r="L1265" s="25"/>
    </row>
    <row r="1266" ht="18.75" customHeight="1">
      <c r="B1266" s="12"/>
      <c r="C1266" s="26"/>
      <c r="L1266" s="25"/>
    </row>
    <row r="1267" ht="18.75" customHeight="1">
      <c r="B1267" s="12"/>
      <c r="C1267" s="26"/>
      <c r="L1267" s="25"/>
    </row>
    <row r="1268" ht="18.75" customHeight="1">
      <c r="B1268" s="12"/>
      <c r="C1268" s="26"/>
      <c r="L1268" s="25"/>
    </row>
    <row r="1269" ht="18.75" customHeight="1">
      <c r="B1269" s="12"/>
      <c r="C1269" s="26"/>
      <c r="L1269" s="25"/>
    </row>
    <row r="1270" ht="18.75" customHeight="1">
      <c r="B1270" s="12"/>
      <c r="C1270" s="26"/>
      <c r="L1270" s="25"/>
    </row>
    <row r="1271" ht="18.75" customHeight="1">
      <c r="B1271" s="12"/>
      <c r="C1271" s="26"/>
      <c r="L1271" s="25"/>
    </row>
    <row r="1272" ht="18.75" customHeight="1">
      <c r="B1272" s="12"/>
      <c r="C1272" s="26"/>
      <c r="L1272" s="25"/>
    </row>
    <row r="1273" ht="18.75" customHeight="1">
      <c r="B1273" s="12"/>
      <c r="C1273" s="26"/>
      <c r="L1273" s="25"/>
    </row>
    <row r="1274" ht="18.75" customHeight="1">
      <c r="B1274" s="12"/>
      <c r="C1274" s="26"/>
      <c r="L1274" s="25"/>
    </row>
    <row r="1275" ht="18.75" customHeight="1">
      <c r="B1275" s="12"/>
      <c r="C1275" s="26"/>
      <c r="L1275" s="25"/>
    </row>
    <row r="1276" ht="18.75" customHeight="1">
      <c r="B1276" s="12"/>
      <c r="C1276" s="26"/>
      <c r="L1276" s="25"/>
    </row>
    <row r="1277" ht="18.75" customHeight="1">
      <c r="B1277" s="12"/>
      <c r="C1277" s="26"/>
      <c r="L1277" s="25"/>
    </row>
    <row r="1278" ht="18.75" customHeight="1">
      <c r="B1278" s="12"/>
      <c r="C1278" s="26"/>
      <c r="L1278" s="25"/>
    </row>
    <row r="1279" ht="18.75" customHeight="1">
      <c r="B1279" s="12"/>
      <c r="C1279" s="26"/>
      <c r="L1279" s="25"/>
    </row>
    <row r="1280" ht="18.75" customHeight="1">
      <c r="B1280" s="12"/>
      <c r="C1280" s="26"/>
      <c r="L1280" s="25"/>
    </row>
    <row r="1281" ht="18.75" customHeight="1">
      <c r="B1281" s="12"/>
      <c r="C1281" s="26"/>
      <c r="L1281" s="25"/>
    </row>
    <row r="1282" ht="18.75" customHeight="1">
      <c r="B1282" s="12"/>
      <c r="C1282" s="26"/>
      <c r="L1282" s="25"/>
    </row>
    <row r="1283" ht="18.75" customHeight="1">
      <c r="B1283" s="12"/>
      <c r="C1283" s="26"/>
      <c r="L1283" s="25"/>
    </row>
    <row r="1284" ht="18.75" customHeight="1">
      <c r="B1284" s="12"/>
      <c r="C1284" s="26"/>
      <c r="L1284" s="25"/>
    </row>
    <row r="1285" ht="18.75" customHeight="1">
      <c r="B1285" s="12"/>
      <c r="C1285" s="26"/>
      <c r="L1285" s="25"/>
    </row>
    <row r="1286" ht="18.75" customHeight="1">
      <c r="B1286" s="12"/>
      <c r="C1286" s="26"/>
      <c r="L1286" s="25"/>
    </row>
    <row r="1287" ht="18.75" customHeight="1">
      <c r="B1287" s="12"/>
      <c r="C1287" s="26"/>
      <c r="L1287" s="25"/>
    </row>
    <row r="1288" ht="18.75" customHeight="1">
      <c r="B1288" s="12"/>
      <c r="C1288" s="26"/>
      <c r="L1288" s="25"/>
    </row>
    <row r="1289" ht="18.75" customHeight="1">
      <c r="B1289" s="12"/>
      <c r="C1289" s="26"/>
      <c r="L1289" s="25"/>
    </row>
    <row r="1290" ht="18.75" customHeight="1">
      <c r="B1290" s="12"/>
      <c r="C1290" s="26"/>
      <c r="L1290" s="25"/>
    </row>
    <row r="1291" ht="18.75" customHeight="1">
      <c r="B1291" s="12"/>
      <c r="C1291" s="26"/>
      <c r="L1291" s="25"/>
    </row>
    <row r="1292" ht="18.75" customHeight="1">
      <c r="B1292" s="12"/>
      <c r="C1292" s="26"/>
      <c r="L1292" s="25"/>
    </row>
    <row r="1293" ht="18.75" customHeight="1">
      <c r="B1293" s="12"/>
      <c r="C1293" s="26"/>
      <c r="L1293" s="25"/>
    </row>
    <row r="1294" ht="18.75" customHeight="1">
      <c r="B1294" s="12"/>
      <c r="C1294" s="26"/>
      <c r="L1294" s="25"/>
    </row>
    <row r="1295" ht="18.75" customHeight="1">
      <c r="B1295" s="12"/>
      <c r="C1295" s="26"/>
      <c r="L1295" s="25"/>
    </row>
    <row r="1296" ht="18.75" customHeight="1">
      <c r="B1296" s="12"/>
      <c r="C1296" s="26"/>
      <c r="L1296" s="25"/>
    </row>
    <row r="1297" ht="18.75" customHeight="1">
      <c r="B1297" s="12"/>
      <c r="C1297" s="26"/>
      <c r="L1297" s="25"/>
    </row>
    <row r="1298" ht="18.75" customHeight="1">
      <c r="B1298" s="12"/>
      <c r="C1298" s="26"/>
      <c r="L1298" s="25"/>
    </row>
    <row r="1299" ht="18.75" customHeight="1">
      <c r="B1299" s="12"/>
      <c r="C1299" s="26"/>
      <c r="L1299" s="25"/>
    </row>
    <row r="1300" ht="18.75" customHeight="1">
      <c r="B1300" s="12"/>
      <c r="C1300" s="26"/>
      <c r="L1300" s="25"/>
    </row>
    <row r="1301" ht="18.75" customHeight="1">
      <c r="B1301" s="12"/>
      <c r="C1301" s="26"/>
      <c r="L1301" s="25"/>
    </row>
    <row r="1302" ht="18.75" customHeight="1">
      <c r="B1302" s="12"/>
      <c r="C1302" s="26"/>
      <c r="L1302" s="25"/>
    </row>
    <row r="1303" ht="18.75" customHeight="1">
      <c r="B1303" s="12"/>
      <c r="C1303" s="26"/>
      <c r="L1303" s="25"/>
    </row>
    <row r="1304" ht="18.75" customHeight="1">
      <c r="B1304" s="12"/>
      <c r="C1304" s="26"/>
      <c r="L1304" s="25"/>
    </row>
    <row r="1305" ht="18.75" customHeight="1">
      <c r="B1305" s="12"/>
      <c r="C1305" s="26"/>
      <c r="L1305" s="25"/>
    </row>
    <row r="1306" ht="18.75" customHeight="1">
      <c r="B1306" s="12"/>
      <c r="C1306" s="26"/>
      <c r="L1306" s="25"/>
    </row>
    <row r="1307" ht="18.75" customHeight="1">
      <c r="B1307" s="12"/>
      <c r="C1307" s="26"/>
      <c r="L1307" s="25"/>
    </row>
    <row r="1308" ht="18.75" customHeight="1">
      <c r="B1308" s="12"/>
      <c r="C1308" s="26"/>
      <c r="L1308" s="25"/>
    </row>
    <row r="1309" ht="18.75" customHeight="1">
      <c r="B1309" s="12"/>
      <c r="C1309" s="26"/>
      <c r="L1309" s="25"/>
    </row>
    <row r="1310" ht="18.75" customHeight="1">
      <c r="B1310" s="12"/>
      <c r="C1310" s="26"/>
      <c r="L1310" s="25"/>
    </row>
    <row r="1311" ht="18.75" customHeight="1">
      <c r="B1311" s="12"/>
      <c r="C1311" s="26"/>
      <c r="L1311" s="25"/>
    </row>
    <row r="1312" ht="18.75" customHeight="1">
      <c r="B1312" s="12"/>
      <c r="C1312" s="26"/>
      <c r="L1312" s="25"/>
    </row>
    <row r="1313" ht="18.75" customHeight="1">
      <c r="B1313" s="12"/>
      <c r="C1313" s="26"/>
      <c r="L1313" s="25"/>
    </row>
    <row r="1314" ht="18.75" customHeight="1">
      <c r="B1314" s="12"/>
      <c r="C1314" s="26"/>
      <c r="L1314" s="25"/>
    </row>
    <row r="1315" ht="18.75" customHeight="1">
      <c r="B1315" s="12"/>
      <c r="C1315" s="26"/>
      <c r="L1315" s="25"/>
    </row>
    <row r="1316" ht="18.75" customHeight="1">
      <c r="B1316" s="12"/>
      <c r="C1316" s="26"/>
      <c r="L1316" s="25"/>
    </row>
    <row r="1317" ht="18.75" customHeight="1">
      <c r="B1317" s="12"/>
      <c r="C1317" s="26"/>
      <c r="L1317" s="25"/>
    </row>
    <row r="1318" ht="18.75" customHeight="1">
      <c r="B1318" s="12"/>
      <c r="C1318" s="26"/>
      <c r="L1318" s="25"/>
    </row>
    <row r="1319" ht="18.75" customHeight="1">
      <c r="B1319" s="12"/>
      <c r="C1319" s="26"/>
      <c r="L1319" s="25"/>
    </row>
    <row r="1320" ht="18.75" customHeight="1">
      <c r="B1320" s="12"/>
      <c r="C1320" s="26"/>
      <c r="L1320" s="25"/>
    </row>
    <row r="1321" ht="18.75" customHeight="1">
      <c r="B1321" s="12"/>
      <c r="C1321" s="26"/>
      <c r="L1321" s="25"/>
    </row>
    <row r="1322" ht="18.75" customHeight="1">
      <c r="B1322" s="12"/>
      <c r="C1322" s="26"/>
      <c r="L1322" s="25"/>
    </row>
    <row r="1323" ht="18.75" customHeight="1">
      <c r="B1323" s="12"/>
      <c r="C1323" s="26"/>
      <c r="L1323" s="25"/>
    </row>
    <row r="1324" ht="18.75" customHeight="1">
      <c r="B1324" s="12"/>
      <c r="C1324" s="26"/>
      <c r="L1324" s="25"/>
    </row>
    <row r="1325" ht="18.75" customHeight="1">
      <c r="B1325" s="12"/>
      <c r="C1325" s="26"/>
      <c r="L1325" s="25"/>
    </row>
    <row r="1326" ht="18.75" customHeight="1">
      <c r="B1326" s="12"/>
      <c r="C1326" s="26"/>
      <c r="L1326" s="25"/>
    </row>
    <row r="1327" ht="18.75" customHeight="1">
      <c r="B1327" s="12"/>
      <c r="C1327" s="26"/>
      <c r="L1327" s="25"/>
    </row>
    <row r="1328" ht="18.75" customHeight="1">
      <c r="B1328" s="12"/>
      <c r="C1328" s="26"/>
      <c r="L1328" s="25"/>
    </row>
    <row r="1329" ht="18.75" customHeight="1">
      <c r="B1329" s="12"/>
      <c r="C1329" s="26"/>
      <c r="L1329" s="25"/>
    </row>
    <row r="1330" ht="18.75" customHeight="1">
      <c r="B1330" s="12"/>
      <c r="C1330" s="26"/>
      <c r="L1330" s="25"/>
    </row>
    <row r="1331" ht="18.75" customHeight="1">
      <c r="B1331" s="12"/>
      <c r="C1331" s="26"/>
      <c r="L1331" s="25"/>
    </row>
    <row r="1332" ht="18.75" customHeight="1">
      <c r="B1332" s="12"/>
      <c r="C1332" s="26"/>
      <c r="L1332" s="25"/>
    </row>
    <row r="1333" ht="18.75" customHeight="1">
      <c r="B1333" s="12"/>
      <c r="C1333" s="26"/>
      <c r="L1333" s="25"/>
    </row>
    <row r="1334" ht="18.75" customHeight="1">
      <c r="B1334" s="12"/>
      <c r="C1334" s="26"/>
      <c r="L1334" s="25"/>
    </row>
    <row r="1335" ht="18.75" customHeight="1">
      <c r="B1335" s="12"/>
      <c r="C1335" s="26"/>
      <c r="L1335" s="25"/>
    </row>
    <row r="1336" ht="18.75" customHeight="1">
      <c r="B1336" s="12"/>
      <c r="C1336" s="26"/>
      <c r="L1336" s="25"/>
    </row>
    <row r="1337" ht="18.75" customHeight="1">
      <c r="B1337" s="12"/>
      <c r="C1337" s="26"/>
      <c r="L1337" s="25"/>
    </row>
    <row r="1338" ht="18.75" customHeight="1">
      <c r="B1338" s="12"/>
      <c r="C1338" s="26"/>
      <c r="L1338" s="25"/>
    </row>
    <row r="1339" ht="18.75" customHeight="1">
      <c r="B1339" s="12"/>
      <c r="C1339" s="26"/>
      <c r="L1339" s="25"/>
    </row>
    <row r="1340" ht="18.75" customHeight="1">
      <c r="B1340" s="12"/>
      <c r="C1340" s="26"/>
      <c r="L1340" s="25"/>
    </row>
    <row r="1341" ht="18.75" customHeight="1">
      <c r="B1341" s="12"/>
      <c r="C1341" s="26"/>
      <c r="L1341" s="25"/>
    </row>
    <row r="1342" ht="18.75" customHeight="1">
      <c r="B1342" s="12"/>
      <c r="C1342" s="26"/>
      <c r="L1342" s="25"/>
    </row>
    <row r="1343" ht="18.75" customHeight="1">
      <c r="B1343" s="12"/>
      <c r="C1343" s="26"/>
      <c r="L1343" s="25"/>
    </row>
    <row r="1344" ht="18.75" customHeight="1">
      <c r="B1344" s="12"/>
      <c r="C1344" s="26"/>
      <c r="L1344" s="25"/>
    </row>
    <row r="1345" ht="18.75" customHeight="1">
      <c r="B1345" s="12"/>
      <c r="C1345" s="26"/>
      <c r="L1345" s="25"/>
    </row>
    <row r="1346" ht="18.75" customHeight="1">
      <c r="B1346" s="12"/>
      <c r="C1346" s="26"/>
      <c r="L1346" s="25"/>
    </row>
    <row r="1347" ht="18.75" customHeight="1">
      <c r="B1347" s="12"/>
      <c r="C1347" s="26"/>
      <c r="L1347" s="25"/>
    </row>
    <row r="1348" ht="18.75" customHeight="1">
      <c r="B1348" s="12"/>
      <c r="C1348" s="26"/>
      <c r="L1348" s="25"/>
    </row>
    <row r="1349" ht="18.75" customHeight="1">
      <c r="B1349" s="12"/>
      <c r="C1349" s="26"/>
      <c r="L1349" s="25"/>
    </row>
    <row r="1350" ht="18.75" customHeight="1">
      <c r="B1350" s="12"/>
      <c r="C1350" s="26"/>
      <c r="L1350" s="25"/>
    </row>
    <row r="1351" ht="18.75" customHeight="1">
      <c r="B1351" s="12"/>
      <c r="C1351" s="26"/>
      <c r="L1351" s="25"/>
    </row>
    <row r="1352" ht="18.75" customHeight="1">
      <c r="B1352" s="12"/>
      <c r="C1352" s="26"/>
      <c r="L1352" s="25"/>
    </row>
    <row r="1353" ht="18.75" customHeight="1">
      <c r="B1353" s="12"/>
      <c r="C1353" s="26"/>
      <c r="L1353" s="25"/>
    </row>
    <row r="1354" ht="18.75" customHeight="1">
      <c r="B1354" s="12"/>
      <c r="C1354" s="26"/>
      <c r="L1354" s="25"/>
    </row>
    <row r="1355" ht="18.75" customHeight="1">
      <c r="B1355" s="12"/>
      <c r="C1355" s="26"/>
      <c r="L1355" s="25"/>
    </row>
    <row r="1356" ht="18.75" customHeight="1">
      <c r="B1356" s="12"/>
      <c r="C1356" s="26"/>
      <c r="L1356" s="25"/>
    </row>
    <row r="1357" ht="18.75" customHeight="1">
      <c r="B1357" s="12"/>
      <c r="C1357" s="26"/>
      <c r="L1357" s="25"/>
    </row>
    <row r="1358" ht="18.75" customHeight="1">
      <c r="B1358" s="12"/>
      <c r="C1358" s="26"/>
      <c r="L1358" s="25"/>
    </row>
    <row r="1359" ht="18.75" customHeight="1">
      <c r="B1359" s="12"/>
      <c r="C1359" s="26"/>
      <c r="L1359" s="25"/>
    </row>
    <row r="1360" ht="18.75" customHeight="1">
      <c r="B1360" s="12"/>
      <c r="C1360" s="26"/>
      <c r="L1360" s="25"/>
    </row>
    <row r="1361" ht="18.75" customHeight="1">
      <c r="B1361" s="12"/>
      <c r="C1361" s="26"/>
      <c r="L1361" s="25"/>
    </row>
    <row r="1362" ht="18.75" customHeight="1">
      <c r="B1362" s="12"/>
      <c r="C1362" s="26"/>
      <c r="L1362" s="25"/>
    </row>
    <row r="1363" ht="18.75" customHeight="1">
      <c r="B1363" s="12"/>
      <c r="C1363" s="26"/>
      <c r="L1363" s="25"/>
    </row>
    <row r="1364" ht="18.75" customHeight="1">
      <c r="B1364" s="12"/>
      <c r="C1364" s="26"/>
      <c r="L1364" s="25"/>
    </row>
    <row r="1365" ht="18.75" customHeight="1">
      <c r="B1365" s="12"/>
      <c r="C1365" s="26"/>
      <c r="L1365" s="25"/>
    </row>
    <row r="1366" ht="18.75" customHeight="1">
      <c r="B1366" s="12"/>
      <c r="C1366" s="26"/>
      <c r="L1366" s="25"/>
    </row>
    <row r="1367" ht="18.75" customHeight="1">
      <c r="B1367" s="12"/>
      <c r="C1367" s="26"/>
      <c r="L1367" s="25"/>
    </row>
    <row r="1368" ht="18.75" customHeight="1">
      <c r="B1368" s="12"/>
      <c r="C1368" s="26"/>
      <c r="L1368" s="25"/>
    </row>
    <row r="1369" ht="18.75" customHeight="1">
      <c r="B1369" s="12"/>
      <c r="C1369" s="26"/>
      <c r="L1369" s="25"/>
    </row>
    <row r="1370" ht="18.75" customHeight="1">
      <c r="B1370" s="12"/>
      <c r="C1370" s="26"/>
      <c r="L1370" s="25"/>
    </row>
    <row r="1371" ht="18.75" customHeight="1">
      <c r="B1371" s="12"/>
      <c r="C1371" s="26"/>
      <c r="L1371" s="25"/>
    </row>
    <row r="1372" ht="18.75" customHeight="1">
      <c r="B1372" s="12"/>
      <c r="C1372" s="26"/>
      <c r="L1372" s="25"/>
    </row>
    <row r="1373" ht="18.75" customHeight="1">
      <c r="B1373" s="12"/>
      <c r="C1373" s="26"/>
      <c r="L1373" s="25"/>
    </row>
    <row r="1374" ht="18.75" customHeight="1">
      <c r="B1374" s="12"/>
      <c r="C1374" s="26"/>
      <c r="L1374" s="25"/>
    </row>
    <row r="1375" ht="18.75" customHeight="1">
      <c r="B1375" s="12"/>
      <c r="C1375" s="26"/>
      <c r="L1375" s="25"/>
    </row>
    <row r="1376" ht="18.75" customHeight="1">
      <c r="B1376" s="12"/>
      <c r="C1376" s="26"/>
      <c r="L1376" s="25"/>
    </row>
    <row r="1377" ht="18.75" customHeight="1">
      <c r="B1377" s="12"/>
      <c r="C1377" s="26"/>
      <c r="L1377" s="25"/>
    </row>
    <row r="1378" ht="18.75" customHeight="1">
      <c r="B1378" s="12"/>
      <c r="C1378" s="26"/>
      <c r="L1378" s="25"/>
    </row>
    <row r="1379" ht="18.75" customHeight="1">
      <c r="B1379" s="12"/>
      <c r="C1379" s="26"/>
      <c r="L1379" s="25"/>
    </row>
    <row r="1380" ht="18.75" customHeight="1">
      <c r="B1380" s="12"/>
      <c r="C1380" s="26"/>
      <c r="L1380" s="25"/>
    </row>
    <row r="1381" ht="18.75" customHeight="1">
      <c r="B1381" s="12"/>
      <c r="C1381" s="26"/>
      <c r="L1381" s="25"/>
    </row>
    <row r="1382" ht="18.75" customHeight="1">
      <c r="B1382" s="12"/>
      <c r="C1382" s="26"/>
      <c r="L1382" s="25"/>
    </row>
    <row r="1383" ht="18.75" customHeight="1">
      <c r="B1383" s="12"/>
      <c r="C1383" s="26"/>
      <c r="L1383" s="25"/>
    </row>
    <row r="1384" ht="18.75" customHeight="1">
      <c r="B1384" s="12"/>
      <c r="C1384" s="26"/>
      <c r="L1384" s="25"/>
    </row>
    <row r="1385" ht="18.75" customHeight="1">
      <c r="B1385" s="12"/>
      <c r="C1385" s="26"/>
      <c r="L1385" s="25"/>
    </row>
    <row r="1386" ht="18.75" customHeight="1">
      <c r="B1386" s="12"/>
      <c r="C1386" s="26"/>
      <c r="L1386" s="25"/>
    </row>
    <row r="1387" ht="18.75" customHeight="1">
      <c r="B1387" s="12"/>
      <c r="C1387" s="26"/>
      <c r="L1387" s="25"/>
    </row>
    <row r="1388" ht="18.75" customHeight="1">
      <c r="B1388" s="12"/>
      <c r="C1388" s="26"/>
      <c r="L1388" s="25"/>
    </row>
    <row r="1389" ht="18.75" customHeight="1">
      <c r="B1389" s="12"/>
      <c r="C1389" s="26"/>
      <c r="L1389" s="25"/>
    </row>
    <row r="1390" ht="18.75" customHeight="1">
      <c r="B1390" s="12"/>
      <c r="C1390" s="26"/>
      <c r="L1390" s="25"/>
    </row>
    <row r="1391" ht="18.75" customHeight="1">
      <c r="B1391" s="12"/>
      <c r="C1391" s="26"/>
      <c r="L1391" s="25"/>
    </row>
    <row r="1392" ht="18.75" customHeight="1">
      <c r="B1392" s="12"/>
      <c r="C1392" s="26"/>
      <c r="L1392" s="25"/>
    </row>
    <row r="1393" ht="18.75" customHeight="1">
      <c r="B1393" s="12"/>
      <c r="C1393" s="26"/>
      <c r="L1393" s="25"/>
    </row>
    <row r="1394" ht="18.75" customHeight="1">
      <c r="B1394" s="12"/>
      <c r="C1394" s="26"/>
      <c r="L1394" s="25"/>
    </row>
    <row r="1395" ht="18.75" customHeight="1">
      <c r="B1395" s="12"/>
      <c r="C1395" s="26"/>
      <c r="L1395" s="25"/>
    </row>
    <row r="1396" ht="18.75" customHeight="1">
      <c r="B1396" s="12"/>
      <c r="C1396" s="26"/>
      <c r="L1396" s="25"/>
    </row>
    <row r="1397" ht="18.75" customHeight="1">
      <c r="B1397" s="12"/>
      <c r="C1397" s="26"/>
      <c r="L1397" s="25"/>
    </row>
    <row r="1398" ht="18.75" customHeight="1">
      <c r="B1398" s="12"/>
      <c r="C1398" s="26"/>
      <c r="L1398" s="25"/>
    </row>
    <row r="1399" ht="18.75" customHeight="1">
      <c r="B1399" s="12"/>
      <c r="C1399" s="26"/>
      <c r="L1399" s="25"/>
    </row>
    <row r="1400" ht="18.75" customHeight="1">
      <c r="B1400" s="12"/>
      <c r="C1400" s="26"/>
      <c r="L1400" s="25"/>
    </row>
    <row r="1401" ht="18.75" customHeight="1">
      <c r="B1401" s="12"/>
      <c r="C1401" s="26"/>
      <c r="L1401" s="25"/>
    </row>
    <row r="1402" ht="18.75" customHeight="1">
      <c r="B1402" s="12"/>
      <c r="C1402" s="26"/>
      <c r="L1402" s="25"/>
    </row>
    <row r="1403" ht="18.75" customHeight="1">
      <c r="B1403" s="12"/>
      <c r="C1403" s="26"/>
      <c r="L1403" s="25"/>
    </row>
    <row r="1404" ht="18.75" customHeight="1">
      <c r="B1404" s="12"/>
      <c r="C1404" s="26"/>
      <c r="L1404" s="25"/>
    </row>
    <row r="1405" ht="18.75" customHeight="1">
      <c r="B1405" s="12"/>
      <c r="C1405" s="26"/>
      <c r="L1405" s="25"/>
    </row>
    <row r="1406" ht="18.75" customHeight="1">
      <c r="B1406" s="12"/>
      <c r="C1406" s="26"/>
      <c r="L1406" s="25"/>
    </row>
    <row r="1407" ht="18.75" customHeight="1">
      <c r="B1407" s="12"/>
      <c r="C1407" s="26"/>
      <c r="L1407" s="25"/>
    </row>
    <row r="1408" ht="18.75" customHeight="1">
      <c r="B1408" s="12"/>
      <c r="C1408" s="26"/>
      <c r="L1408" s="25"/>
    </row>
    <row r="1409" ht="18.75" customHeight="1">
      <c r="B1409" s="12"/>
      <c r="C1409" s="26"/>
      <c r="L1409" s="25"/>
    </row>
    <row r="1410" ht="18.75" customHeight="1">
      <c r="B1410" s="12"/>
      <c r="C1410" s="26"/>
      <c r="L1410" s="25"/>
    </row>
    <row r="1411" ht="18.75" customHeight="1">
      <c r="B1411" s="12"/>
      <c r="C1411" s="26"/>
      <c r="L1411" s="25"/>
    </row>
    <row r="1412" ht="18.75" customHeight="1">
      <c r="B1412" s="12"/>
      <c r="C1412" s="26"/>
      <c r="L1412" s="25"/>
    </row>
    <row r="1413" ht="18.75" customHeight="1">
      <c r="B1413" s="12"/>
      <c r="C1413" s="26"/>
      <c r="L1413" s="25"/>
    </row>
    <row r="1414" ht="18.75" customHeight="1">
      <c r="B1414" s="12"/>
      <c r="C1414" s="26"/>
      <c r="L1414" s="25"/>
    </row>
    <row r="1415" ht="18.75" customHeight="1">
      <c r="B1415" s="12"/>
      <c r="C1415" s="26"/>
      <c r="L1415" s="25"/>
    </row>
    <row r="1416" ht="18.75" customHeight="1">
      <c r="B1416" s="12"/>
      <c r="C1416" s="26"/>
      <c r="L1416" s="25"/>
    </row>
    <row r="1417" ht="18.75" customHeight="1">
      <c r="B1417" s="12"/>
      <c r="C1417" s="26"/>
      <c r="L1417" s="25"/>
    </row>
    <row r="1418" ht="18.75" customHeight="1">
      <c r="B1418" s="12"/>
      <c r="C1418" s="26"/>
      <c r="L1418" s="25"/>
    </row>
    <row r="1419" ht="18.75" customHeight="1">
      <c r="B1419" s="12"/>
      <c r="C1419" s="26"/>
      <c r="L1419" s="25"/>
    </row>
    <row r="1420" ht="18.75" customHeight="1">
      <c r="B1420" s="12"/>
      <c r="C1420" s="26"/>
      <c r="L1420" s="25"/>
    </row>
    <row r="1421" ht="18.75" customHeight="1">
      <c r="B1421" s="12"/>
      <c r="C1421" s="26"/>
      <c r="L1421" s="25"/>
    </row>
    <row r="1422" ht="18.75" customHeight="1">
      <c r="B1422" s="12"/>
      <c r="C1422" s="26"/>
      <c r="L1422" s="25"/>
    </row>
    <row r="1423" ht="18.75" customHeight="1">
      <c r="B1423" s="12"/>
      <c r="C1423" s="26"/>
      <c r="L1423" s="25"/>
    </row>
    <row r="1424" ht="18.75" customHeight="1">
      <c r="B1424" s="12"/>
      <c r="C1424" s="26"/>
      <c r="L1424" s="25"/>
    </row>
    <row r="1425" ht="18.75" customHeight="1">
      <c r="B1425" s="12"/>
      <c r="C1425" s="26"/>
      <c r="L1425" s="25"/>
    </row>
    <row r="1426" ht="18.75" customHeight="1">
      <c r="B1426" s="12"/>
      <c r="C1426" s="26"/>
      <c r="L1426" s="25"/>
    </row>
    <row r="1427" ht="18.75" customHeight="1">
      <c r="B1427" s="12"/>
      <c r="C1427" s="26"/>
      <c r="L1427" s="25"/>
    </row>
    <row r="1428" ht="18.75" customHeight="1">
      <c r="B1428" s="12"/>
      <c r="C1428" s="26"/>
      <c r="L1428" s="25"/>
    </row>
    <row r="1429" ht="18.75" customHeight="1">
      <c r="B1429" s="12"/>
      <c r="C1429" s="26"/>
      <c r="L1429" s="25"/>
    </row>
    <row r="1430" ht="18.75" customHeight="1">
      <c r="B1430" s="12"/>
      <c r="C1430" s="26"/>
      <c r="L1430" s="25"/>
    </row>
    <row r="1431" ht="18.75" customHeight="1">
      <c r="B1431" s="12"/>
      <c r="C1431" s="26"/>
      <c r="L1431" s="25"/>
    </row>
    <row r="1432" ht="18.75" customHeight="1">
      <c r="B1432" s="12"/>
      <c r="C1432" s="26"/>
      <c r="L1432" s="25"/>
    </row>
    <row r="1433" ht="18.75" customHeight="1">
      <c r="B1433" s="12"/>
      <c r="C1433" s="26"/>
      <c r="L1433" s="25"/>
    </row>
    <row r="1434" ht="18.75" customHeight="1">
      <c r="B1434" s="12"/>
      <c r="C1434" s="26"/>
      <c r="L1434" s="25"/>
    </row>
    <row r="1435" ht="18.75" customHeight="1">
      <c r="B1435" s="12"/>
      <c r="C1435" s="26"/>
      <c r="L1435" s="25"/>
    </row>
    <row r="1436" ht="18.75" customHeight="1">
      <c r="B1436" s="12"/>
      <c r="C1436" s="26"/>
      <c r="L1436" s="25"/>
    </row>
    <row r="1437" ht="18.75" customHeight="1">
      <c r="B1437" s="12"/>
      <c r="C1437" s="26"/>
      <c r="L1437" s="25"/>
    </row>
    <row r="1438" ht="18.75" customHeight="1">
      <c r="B1438" s="12"/>
      <c r="C1438" s="26"/>
      <c r="L1438" s="25"/>
    </row>
    <row r="1439" ht="18.75" customHeight="1">
      <c r="B1439" s="12"/>
      <c r="C1439" s="26"/>
      <c r="L1439" s="25"/>
    </row>
    <row r="1440" ht="18.75" customHeight="1">
      <c r="B1440" s="12"/>
      <c r="C1440" s="26"/>
      <c r="L1440" s="25"/>
    </row>
    <row r="1441" ht="18.75" customHeight="1">
      <c r="B1441" s="12"/>
      <c r="C1441" s="26"/>
      <c r="L1441" s="25"/>
    </row>
    <row r="1442" ht="18.75" customHeight="1">
      <c r="B1442" s="12"/>
      <c r="C1442" s="26"/>
      <c r="L1442" s="25"/>
    </row>
    <row r="1443" ht="18.75" customHeight="1">
      <c r="B1443" s="12"/>
      <c r="C1443" s="26"/>
      <c r="L1443" s="25"/>
    </row>
    <row r="1444" ht="18.75" customHeight="1">
      <c r="B1444" s="12"/>
      <c r="C1444" s="26"/>
      <c r="L1444" s="25"/>
    </row>
    <row r="1445" ht="18.75" customHeight="1">
      <c r="B1445" s="12"/>
      <c r="C1445" s="26"/>
      <c r="L1445" s="25"/>
    </row>
    <row r="1446" ht="18.75" customHeight="1">
      <c r="B1446" s="12"/>
      <c r="C1446" s="26"/>
      <c r="L1446" s="25"/>
    </row>
    <row r="1447" ht="18.75" customHeight="1">
      <c r="B1447" s="12"/>
      <c r="C1447" s="26"/>
      <c r="L1447" s="25"/>
    </row>
    <row r="1448" ht="18.75" customHeight="1">
      <c r="B1448" s="12"/>
      <c r="C1448" s="26"/>
      <c r="L1448" s="25"/>
    </row>
    <row r="1449" ht="18.75" customHeight="1">
      <c r="B1449" s="12"/>
      <c r="C1449" s="26"/>
      <c r="L1449" s="25"/>
    </row>
    <row r="1450" ht="18.75" customHeight="1">
      <c r="B1450" s="12"/>
      <c r="C1450" s="26"/>
      <c r="L1450" s="25"/>
    </row>
    <row r="1451" ht="18.75" customHeight="1">
      <c r="B1451" s="12"/>
      <c r="C1451" s="26"/>
      <c r="L1451" s="25"/>
    </row>
    <row r="1452" ht="18.75" customHeight="1">
      <c r="B1452" s="12"/>
      <c r="C1452" s="26"/>
      <c r="L1452" s="25"/>
    </row>
    <row r="1453" ht="18.75" customHeight="1">
      <c r="B1453" s="12"/>
      <c r="C1453" s="26"/>
      <c r="L1453" s="25"/>
    </row>
    <row r="1454" ht="18.75" customHeight="1">
      <c r="B1454" s="12"/>
      <c r="C1454" s="26"/>
      <c r="L1454" s="25"/>
    </row>
    <row r="1455" ht="18.75" customHeight="1">
      <c r="B1455" s="12"/>
      <c r="C1455" s="26"/>
      <c r="L1455" s="25"/>
    </row>
    <row r="1456" ht="18.75" customHeight="1">
      <c r="B1456" s="12"/>
      <c r="C1456" s="26"/>
      <c r="L1456" s="25"/>
    </row>
    <row r="1457" ht="18.75" customHeight="1">
      <c r="B1457" s="12"/>
      <c r="C1457" s="26"/>
      <c r="L1457" s="25"/>
    </row>
    <row r="1458" ht="18.75" customHeight="1">
      <c r="B1458" s="12"/>
      <c r="C1458" s="26"/>
      <c r="L1458" s="25"/>
    </row>
    <row r="1459" ht="18.75" customHeight="1">
      <c r="B1459" s="12"/>
      <c r="C1459" s="26"/>
      <c r="L1459" s="25"/>
    </row>
    <row r="1460" ht="18.75" customHeight="1">
      <c r="B1460" s="12"/>
      <c r="C1460" s="26"/>
      <c r="L1460" s="25"/>
    </row>
    <row r="1461" ht="18.75" customHeight="1">
      <c r="B1461" s="12"/>
      <c r="C1461" s="26"/>
      <c r="L1461" s="25"/>
    </row>
    <row r="1462" ht="18.75" customHeight="1">
      <c r="B1462" s="12"/>
      <c r="C1462" s="26"/>
      <c r="L1462" s="25"/>
    </row>
    <row r="1463" ht="18.75" customHeight="1">
      <c r="B1463" s="12"/>
      <c r="C1463" s="26"/>
      <c r="L1463" s="25"/>
    </row>
    <row r="1464" ht="18.75" customHeight="1">
      <c r="B1464" s="12"/>
      <c r="C1464" s="26"/>
      <c r="L1464" s="25"/>
    </row>
    <row r="1465" ht="18.75" customHeight="1">
      <c r="B1465" s="12"/>
      <c r="C1465" s="26"/>
      <c r="L1465" s="25"/>
    </row>
    <row r="1466" ht="18.75" customHeight="1">
      <c r="B1466" s="12"/>
      <c r="C1466" s="26"/>
      <c r="L1466" s="25"/>
    </row>
    <row r="1467" ht="18.75" customHeight="1">
      <c r="B1467" s="12"/>
      <c r="C1467" s="26"/>
      <c r="L1467" s="25"/>
    </row>
    <row r="1468" ht="18.75" customHeight="1">
      <c r="B1468" s="12"/>
      <c r="C1468" s="26"/>
      <c r="L1468" s="25"/>
    </row>
    <row r="1469" ht="18.75" customHeight="1">
      <c r="B1469" s="12"/>
      <c r="C1469" s="26"/>
      <c r="L1469" s="25"/>
    </row>
    <row r="1470" ht="18.75" customHeight="1">
      <c r="B1470" s="12"/>
      <c r="C1470" s="26"/>
      <c r="L1470" s="25"/>
    </row>
    <row r="1471" ht="18.75" customHeight="1">
      <c r="B1471" s="12"/>
      <c r="C1471" s="26"/>
      <c r="L1471" s="25"/>
    </row>
    <row r="1472" ht="18.75" customHeight="1">
      <c r="B1472" s="12"/>
      <c r="C1472" s="26"/>
      <c r="L1472" s="25"/>
    </row>
    <row r="1473" ht="18.75" customHeight="1">
      <c r="B1473" s="12"/>
      <c r="C1473" s="26"/>
      <c r="L1473" s="25"/>
    </row>
    <row r="1474" ht="18.75" customHeight="1">
      <c r="B1474" s="12"/>
      <c r="C1474" s="26"/>
      <c r="L1474" s="25"/>
    </row>
    <row r="1475" ht="18.75" customHeight="1">
      <c r="B1475" s="12"/>
      <c r="C1475" s="26"/>
      <c r="L1475" s="25"/>
    </row>
    <row r="1476" ht="18.75" customHeight="1">
      <c r="B1476" s="12"/>
      <c r="C1476" s="26"/>
      <c r="L1476" s="25"/>
    </row>
    <row r="1477" ht="18.75" customHeight="1">
      <c r="B1477" s="12"/>
      <c r="C1477" s="26"/>
      <c r="L1477" s="25"/>
    </row>
    <row r="1478" ht="18.75" customHeight="1">
      <c r="B1478" s="12"/>
      <c r="C1478" s="26"/>
      <c r="L1478" s="25"/>
    </row>
    <row r="1479" ht="18.75" customHeight="1">
      <c r="B1479" s="12"/>
      <c r="C1479" s="26"/>
      <c r="L1479" s="25"/>
    </row>
    <row r="1480" ht="18.75" customHeight="1">
      <c r="B1480" s="12"/>
      <c r="C1480" s="26"/>
      <c r="L1480" s="25"/>
    </row>
    <row r="1481" ht="18.75" customHeight="1">
      <c r="B1481" s="12"/>
      <c r="C1481" s="26"/>
      <c r="L1481" s="25"/>
    </row>
    <row r="1482" ht="18.75" customHeight="1">
      <c r="B1482" s="12"/>
      <c r="C1482" s="26"/>
      <c r="L1482" s="25"/>
    </row>
    <row r="1483" ht="18.75" customHeight="1">
      <c r="B1483" s="12"/>
      <c r="C1483" s="26"/>
      <c r="L1483" s="25"/>
    </row>
    <row r="1484" ht="18.75" customHeight="1">
      <c r="B1484" s="12"/>
      <c r="C1484" s="26"/>
      <c r="L1484" s="25"/>
    </row>
    <row r="1485" ht="18.75" customHeight="1">
      <c r="B1485" s="12"/>
      <c r="C1485" s="26"/>
      <c r="L1485" s="25"/>
    </row>
    <row r="1486" ht="18.75" customHeight="1">
      <c r="B1486" s="12"/>
      <c r="C1486" s="26"/>
      <c r="L1486" s="25"/>
    </row>
    <row r="1487" ht="18.75" customHeight="1">
      <c r="B1487" s="12"/>
      <c r="C1487" s="26"/>
      <c r="L1487" s="25"/>
    </row>
    <row r="1488" ht="18.75" customHeight="1">
      <c r="B1488" s="12"/>
      <c r="C1488" s="26"/>
      <c r="L1488" s="25"/>
    </row>
    <row r="1489" ht="18.75" customHeight="1">
      <c r="B1489" s="12"/>
      <c r="C1489" s="26"/>
      <c r="L1489" s="25"/>
    </row>
    <row r="1490" ht="18.75" customHeight="1">
      <c r="B1490" s="12"/>
      <c r="C1490" s="26"/>
      <c r="L1490" s="25"/>
    </row>
    <row r="1491" ht="18.75" customHeight="1">
      <c r="B1491" s="12"/>
      <c r="C1491" s="26"/>
      <c r="L1491" s="25"/>
    </row>
    <row r="1492" ht="18.75" customHeight="1">
      <c r="B1492" s="12"/>
      <c r="C1492" s="26"/>
      <c r="L1492" s="25"/>
    </row>
    <row r="1493" ht="18.75" customHeight="1">
      <c r="B1493" s="12"/>
      <c r="C1493" s="26"/>
      <c r="L1493" s="25"/>
    </row>
    <row r="1494" ht="18.75" customHeight="1">
      <c r="B1494" s="12"/>
      <c r="C1494" s="26"/>
      <c r="L1494" s="25"/>
    </row>
    <row r="1495" ht="18.75" customHeight="1">
      <c r="B1495" s="12"/>
      <c r="C1495" s="26"/>
      <c r="L1495" s="25"/>
    </row>
    <row r="1496" ht="18.75" customHeight="1">
      <c r="B1496" s="12"/>
      <c r="C1496" s="26"/>
      <c r="L1496" s="25"/>
    </row>
    <row r="1497" ht="18.75" customHeight="1">
      <c r="B1497" s="12"/>
      <c r="C1497" s="26"/>
      <c r="L1497" s="25"/>
    </row>
    <row r="1498" ht="18.75" customHeight="1">
      <c r="B1498" s="12"/>
      <c r="C1498" s="26"/>
      <c r="L1498" s="25"/>
    </row>
    <row r="1499" ht="18.75" customHeight="1">
      <c r="B1499" s="12"/>
      <c r="C1499" s="26"/>
      <c r="L1499" s="25"/>
    </row>
    <row r="1500" ht="18.75" customHeight="1">
      <c r="B1500" s="12"/>
      <c r="C1500" s="26"/>
      <c r="L1500" s="25"/>
    </row>
    <row r="1501" ht="18.75" customHeight="1">
      <c r="B1501" s="12"/>
      <c r="C1501" s="26"/>
      <c r="L1501" s="25"/>
    </row>
    <row r="1502" ht="18.75" customHeight="1">
      <c r="B1502" s="12"/>
      <c r="C1502" s="26"/>
      <c r="L1502" s="25"/>
    </row>
    <row r="1503" ht="18.75" customHeight="1">
      <c r="B1503" s="12"/>
      <c r="C1503" s="26"/>
      <c r="L1503" s="25"/>
    </row>
    <row r="1504" ht="18.75" customHeight="1">
      <c r="B1504" s="12"/>
      <c r="C1504" s="26"/>
      <c r="L1504" s="25"/>
    </row>
    <row r="1505" ht="18.75" customHeight="1">
      <c r="B1505" s="12"/>
      <c r="C1505" s="26"/>
      <c r="L1505" s="25"/>
    </row>
    <row r="1506" ht="18.75" customHeight="1">
      <c r="B1506" s="12"/>
      <c r="C1506" s="26"/>
      <c r="L1506" s="25"/>
    </row>
    <row r="1507" ht="18.75" customHeight="1">
      <c r="B1507" s="12"/>
      <c r="C1507" s="26"/>
      <c r="L1507" s="25"/>
    </row>
    <row r="1508" ht="18.75" customHeight="1">
      <c r="B1508" s="12"/>
      <c r="C1508" s="26"/>
      <c r="L1508" s="25"/>
    </row>
    <row r="1509" ht="18.75" customHeight="1">
      <c r="B1509" s="12"/>
      <c r="C1509" s="26"/>
      <c r="L1509" s="25"/>
    </row>
    <row r="1510" ht="18.75" customHeight="1">
      <c r="B1510" s="12"/>
      <c r="C1510" s="26"/>
      <c r="L1510" s="25"/>
    </row>
    <row r="1511" ht="18.75" customHeight="1">
      <c r="B1511" s="12"/>
      <c r="C1511" s="26"/>
      <c r="L1511" s="25"/>
    </row>
    <row r="1512" ht="18.75" customHeight="1">
      <c r="B1512" s="12"/>
      <c r="C1512" s="26"/>
      <c r="L1512" s="25"/>
    </row>
    <row r="1513" ht="18.75" customHeight="1">
      <c r="B1513" s="12"/>
      <c r="C1513" s="26"/>
      <c r="L1513" s="25"/>
    </row>
    <row r="1514" ht="18.75" customHeight="1">
      <c r="B1514" s="12"/>
      <c r="C1514" s="26"/>
      <c r="L1514" s="25"/>
    </row>
    <row r="1515" ht="18.75" customHeight="1">
      <c r="B1515" s="12"/>
      <c r="C1515" s="26"/>
      <c r="L1515" s="25"/>
    </row>
    <row r="1516" ht="18.75" customHeight="1">
      <c r="B1516" s="12"/>
      <c r="C1516" s="26"/>
      <c r="L1516" s="25"/>
    </row>
    <row r="1517" ht="18.75" customHeight="1">
      <c r="B1517" s="12"/>
      <c r="C1517" s="26"/>
      <c r="L1517" s="25"/>
    </row>
    <row r="1518" ht="18.75" customHeight="1">
      <c r="B1518" s="12"/>
      <c r="C1518" s="26"/>
      <c r="L1518" s="25"/>
    </row>
    <row r="1519" ht="18.75" customHeight="1">
      <c r="B1519" s="12"/>
      <c r="C1519" s="26"/>
      <c r="L1519" s="25"/>
    </row>
    <row r="1520" ht="18.75" customHeight="1">
      <c r="B1520" s="12"/>
      <c r="C1520" s="26"/>
      <c r="L1520" s="25"/>
    </row>
    <row r="1521" ht="18.75" customHeight="1">
      <c r="B1521" s="12"/>
      <c r="C1521" s="26"/>
      <c r="L1521" s="25"/>
    </row>
    <row r="1522" ht="18.75" customHeight="1">
      <c r="B1522" s="12"/>
      <c r="C1522" s="26"/>
      <c r="L1522" s="25"/>
    </row>
    <row r="1523" ht="18.75" customHeight="1">
      <c r="B1523" s="12"/>
      <c r="C1523" s="26"/>
      <c r="L1523" s="25"/>
    </row>
    <row r="1524" ht="18.75" customHeight="1">
      <c r="B1524" s="12"/>
      <c r="C1524" s="26"/>
      <c r="L1524" s="25"/>
    </row>
    <row r="1525" ht="18.75" customHeight="1">
      <c r="B1525" s="12"/>
      <c r="C1525" s="26"/>
      <c r="L1525" s="25"/>
    </row>
    <row r="1526" ht="18.75" customHeight="1">
      <c r="B1526" s="12"/>
      <c r="C1526" s="26"/>
      <c r="L1526" s="25"/>
    </row>
    <row r="1527" ht="18.75" customHeight="1">
      <c r="B1527" s="12"/>
      <c r="C1527" s="26"/>
      <c r="L1527" s="25"/>
    </row>
    <row r="1528" ht="18.75" customHeight="1">
      <c r="B1528" s="12"/>
      <c r="C1528" s="26"/>
      <c r="L1528" s="25"/>
    </row>
    <row r="1529" ht="18.75" customHeight="1">
      <c r="B1529" s="12"/>
      <c r="C1529" s="26"/>
      <c r="L1529" s="25"/>
    </row>
    <row r="1530" ht="18.75" customHeight="1">
      <c r="B1530" s="12"/>
      <c r="C1530" s="26"/>
      <c r="L1530" s="25"/>
    </row>
    <row r="1531" ht="18.75" customHeight="1">
      <c r="B1531" s="12"/>
      <c r="C1531" s="26"/>
      <c r="L1531" s="25"/>
    </row>
    <row r="1532" ht="18.75" customHeight="1">
      <c r="B1532" s="12"/>
      <c r="C1532" s="26"/>
      <c r="L1532" s="25"/>
    </row>
    <row r="1533" ht="18.75" customHeight="1">
      <c r="B1533" s="12"/>
      <c r="C1533" s="26"/>
      <c r="L1533" s="25"/>
    </row>
    <row r="1534" ht="18.75" customHeight="1">
      <c r="B1534" s="12"/>
      <c r="C1534" s="26"/>
      <c r="L1534" s="25"/>
    </row>
    <row r="1535" ht="18.75" customHeight="1">
      <c r="B1535" s="12"/>
      <c r="C1535" s="26"/>
      <c r="L1535" s="25"/>
    </row>
    <row r="1536" ht="18.75" customHeight="1">
      <c r="B1536" s="12"/>
      <c r="C1536" s="26"/>
      <c r="L1536" s="25"/>
    </row>
    <row r="1537" ht="18.75" customHeight="1">
      <c r="B1537" s="12"/>
      <c r="C1537" s="26"/>
      <c r="L1537" s="25"/>
    </row>
    <row r="1538" ht="18.75" customHeight="1">
      <c r="B1538" s="12"/>
      <c r="C1538" s="26"/>
      <c r="L1538" s="25"/>
    </row>
    <row r="1539" ht="18.75" customHeight="1">
      <c r="B1539" s="12"/>
      <c r="C1539" s="26"/>
      <c r="L1539" s="25"/>
    </row>
    <row r="1540" ht="18.75" customHeight="1">
      <c r="B1540" s="12"/>
      <c r="C1540" s="26"/>
      <c r="L1540" s="25"/>
    </row>
    <row r="1541" ht="18.75" customHeight="1">
      <c r="B1541" s="12"/>
      <c r="C1541" s="26"/>
      <c r="L1541" s="25"/>
    </row>
    <row r="1542" ht="18.75" customHeight="1">
      <c r="B1542" s="12"/>
      <c r="C1542" s="26"/>
      <c r="L1542" s="25"/>
    </row>
    <row r="1543" ht="18.75" customHeight="1">
      <c r="B1543" s="12"/>
      <c r="C1543" s="26"/>
      <c r="L1543" s="25"/>
    </row>
    <row r="1544" ht="18.75" customHeight="1">
      <c r="B1544" s="12"/>
      <c r="C1544" s="26"/>
      <c r="L1544" s="25"/>
    </row>
    <row r="1545" ht="18.75" customHeight="1">
      <c r="B1545" s="12"/>
      <c r="C1545" s="26"/>
      <c r="L1545" s="25"/>
    </row>
    <row r="1546" ht="18.75" customHeight="1">
      <c r="B1546" s="12"/>
      <c r="C1546" s="26"/>
      <c r="L1546" s="25"/>
    </row>
    <row r="1547" ht="18.75" customHeight="1">
      <c r="B1547" s="12"/>
      <c r="C1547" s="26"/>
      <c r="L1547" s="25"/>
    </row>
    <row r="1548" ht="18.75" customHeight="1">
      <c r="B1548" s="12"/>
      <c r="C1548" s="26"/>
      <c r="L1548" s="25"/>
    </row>
    <row r="1549" ht="18.75" customHeight="1">
      <c r="B1549" s="12"/>
      <c r="C1549" s="26"/>
      <c r="L1549" s="25"/>
    </row>
    <row r="1550" ht="18.75" customHeight="1">
      <c r="B1550" s="12"/>
      <c r="C1550" s="26"/>
      <c r="L1550" s="25"/>
    </row>
    <row r="1551" ht="18.75" customHeight="1">
      <c r="B1551" s="12"/>
      <c r="C1551" s="26"/>
      <c r="L1551" s="25"/>
    </row>
    <row r="1552" ht="18.75" customHeight="1">
      <c r="B1552" s="12"/>
      <c r="C1552" s="26"/>
      <c r="L1552" s="25"/>
    </row>
    <row r="1553" ht="18.75" customHeight="1">
      <c r="B1553" s="12"/>
      <c r="C1553" s="26"/>
      <c r="L1553" s="25"/>
    </row>
    <row r="1554" ht="18.75" customHeight="1">
      <c r="B1554" s="12"/>
      <c r="C1554" s="26"/>
      <c r="L1554" s="25"/>
    </row>
    <row r="1555" ht="18.75" customHeight="1">
      <c r="B1555" s="12"/>
      <c r="C1555" s="26"/>
      <c r="L1555" s="25"/>
    </row>
    <row r="1556" ht="18.75" customHeight="1">
      <c r="B1556" s="12"/>
      <c r="C1556" s="26"/>
      <c r="L1556" s="25"/>
    </row>
    <row r="1557" ht="18.75" customHeight="1">
      <c r="B1557" s="12"/>
      <c r="C1557" s="26"/>
      <c r="L1557" s="25"/>
    </row>
    <row r="1558" ht="18.75" customHeight="1">
      <c r="B1558" s="12"/>
      <c r="C1558" s="26"/>
      <c r="L1558" s="25"/>
    </row>
    <row r="1559" ht="18.75" customHeight="1">
      <c r="B1559" s="12"/>
      <c r="C1559" s="26"/>
      <c r="L1559" s="25"/>
    </row>
    <row r="1560" ht="18.75" customHeight="1">
      <c r="B1560" s="12"/>
      <c r="C1560" s="26"/>
      <c r="L1560" s="25"/>
    </row>
    <row r="1561" ht="18.75" customHeight="1">
      <c r="B1561" s="12"/>
      <c r="C1561" s="26"/>
      <c r="L1561" s="25"/>
    </row>
    <row r="1562" ht="18.75" customHeight="1">
      <c r="B1562" s="12"/>
      <c r="C1562" s="26"/>
      <c r="L1562" s="25"/>
    </row>
    <row r="1563" ht="18.75" customHeight="1">
      <c r="B1563" s="12"/>
      <c r="C1563" s="26"/>
      <c r="L1563" s="25"/>
    </row>
    <row r="1564" ht="18.75" customHeight="1">
      <c r="B1564" s="12"/>
      <c r="C1564" s="26"/>
      <c r="L1564" s="25"/>
    </row>
    <row r="1565" ht="18.75" customHeight="1">
      <c r="B1565" s="12"/>
      <c r="C1565" s="26"/>
      <c r="L1565" s="25"/>
    </row>
    <row r="1566" ht="18.75" customHeight="1">
      <c r="B1566" s="12"/>
      <c r="C1566" s="26"/>
      <c r="L1566" s="25"/>
    </row>
    <row r="1567" ht="18.75" customHeight="1">
      <c r="B1567" s="12"/>
      <c r="C1567" s="26"/>
      <c r="L1567" s="25"/>
    </row>
    <row r="1568" ht="18.75" customHeight="1">
      <c r="B1568" s="12"/>
      <c r="C1568" s="26"/>
      <c r="L1568" s="25"/>
    </row>
    <row r="1569" ht="18.75" customHeight="1">
      <c r="B1569" s="12"/>
      <c r="C1569" s="26"/>
      <c r="L1569" s="25"/>
    </row>
    <row r="1570" ht="18.75" customHeight="1">
      <c r="B1570" s="12"/>
      <c r="C1570" s="26"/>
      <c r="L1570" s="25"/>
    </row>
    <row r="1571" ht="18.75" customHeight="1">
      <c r="B1571" s="12"/>
      <c r="C1571" s="26"/>
      <c r="L1571" s="25"/>
    </row>
    <row r="1572" ht="18.75" customHeight="1">
      <c r="B1572" s="12"/>
      <c r="C1572" s="26"/>
      <c r="L1572" s="25"/>
    </row>
    <row r="1573" ht="18.75" customHeight="1">
      <c r="B1573" s="12"/>
      <c r="C1573" s="26"/>
      <c r="L1573" s="25"/>
    </row>
    <row r="1574" ht="18.75" customHeight="1">
      <c r="B1574" s="12"/>
      <c r="C1574" s="26"/>
      <c r="L1574" s="25"/>
    </row>
    <row r="1575" ht="18.75" customHeight="1">
      <c r="B1575" s="12"/>
      <c r="C1575" s="26"/>
      <c r="L1575" s="25"/>
    </row>
    <row r="1576" ht="18.75" customHeight="1">
      <c r="B1576" s="12"/>
      <c r="C1576" s="26"/>
      <c r="L1576" s="25"/>
    </row>
    <row r="1577" ht="18.75" customHeight="1">
      <c r="B1577" s="12"/>
      <c r="C1577" s="26"/>
      <c r="L1577" s="25"/>
    </row>
    <row r="1578" ht="18.75" customHeight="1">
      <c r="B1578" s="12"/>
      <c r="C1578" s="26"/>
      <c r="L1578" s="25"/>
    </row>
    <row r="1579" ht="18.75" customHeight="1">
      <c r="B1579" s="12"/>
      <c r="C1579" s="26"/>
      <c r="L1579" s="25"/>
    </row>
    <row r="1580" ht="18.75" customHeight="1">
      <c r="B1580" s="12"/>
      <c r="C1580" s="26"/>
      <c r="L1580" s="25"/>
    </row>
    <row r="1581" ht="18.75" customHeight="1">
      <c r="B1581" s="12"/>
      <c r="C1581" s="26"/>
      <c r="L1581" s="25"/>
    </row>
    <row r="1582" ht="18.75" customHeight="1">
      <c r="B1582" s="12"/>
      <c r="C1582" s="26"/>
      <c r="L1582" s="25"/>
    </row>
    <row r="1583" ht="18.75" customHeight="1">
      <c r="B1583" s="12"/>
      <c r="C1583" s="26"/>
      <c r="L1583" s="25"/>
    </row>
    <row r="1584" ht="18.75" customHeight="1">
      <c r="B1584" s="12"/>
      <c r="C1584" s="26"/>
      <c r="L1584" s="25"/>
    </row>
    <row r="1585" ht="18.75" customHeight="1">
      <c r="B1585" s="12"/>
      <c r="C1585" s="26"/>
      <c r="L1585" s="25"/>
    </row>
    <row r="1586" ht="18.75" customHeight="1">
      <c r="B1586" s="12"/>
      <c r="C1586" s="26"/>
      <c r="L1586" s="25"/>
    </row>
    <row r="1587" ht="18.75" customHeight="1">
      <c r="B1587" s="12"/>
      <c r="C1587" s="26"/>
      <c r="L1587" s="25"/>
    </row>
    <row r="1588" ht="18.75" customHeight="1">
      <c r="B1588" s="12"/>
      <c r="C1588" s="26"/>
      <c r="L1588" s="25"/>
    </row>
    <row r="1589" ht="18.75" customHeight="1">
      <c r="B1589" s="12"/>
      <c r="C1589" s="26"/>
      <c r="L1589" s="25"/>
    </row>
    <row r="1590" ht="18.75" customHeight="1">
      <c r="B1590" s="12"/>
      <c r="C1590" s="26"/>
      <c r="L1590" s="25"/>
    </row>
    <row r="1591" ht="18.75" customHeight="1">
      <c r="B1591" s="12"/>
      <c r="C1591" s="26"/>
      <c r="L1591" s="25"/>
    </row>
    <row r="1592" ht="18.75" customHeight="1">
      <c r="B1592" s="12"/>
      <c r="C1592" s="26"/>
      <c r="L1592" s="25"/>
    </row>
    <row r="1593" ht="18.75" customHeight="1">
      <c r="B1593" s="12"/>
      <c r="C1593" s="26"/>
      <c r="L1593" s="25"/>
    </row>
    <row r="1594" ht="18.75" customHeight="1">
      <c r="B1594" s="12"/>
      <c r="C1594" s="26"/>
      <c r="L1594" s="25"/>
    </row>
    <row r="1595" ht="18.75" customHeight="1">
      <c r="B1595" s="12"/>
      <c r="C1595" s="26"/>
      <c r="L1595" s="25"/>
    </row>
    <row r="1596" ht="18.75" customHeight="1">
      <c r="B1596" s="12"/>
      <c r="C1596" s="26"/>
      <c r="L1596" s="25"/>
    </row>
    <row r="1597" ht="18.75" customHeight="1">
      <c r="B1597" s="12"/>
      <c r="C1597" s="26"/>
      <c r="L1597" s="25"/>
    </row>
    <row r="1598" ht="18.75" customHeight="1">
      <c r="B1598" s="12"/>
      <c r="C1598" s="26"/>
      <c r="L1598" s="25"/>
    </row>
    <row r="1599" ht="18.75" customHeight="1">
      <c r="B1599" s="12"/>
      <c r="C1599" s="26"/>
      <c r="L1599" s="25"/>
    </row>
    <row r="1600" ht="18.75" customHeight="1">
      <c r="B1600" s="12"/>
      <c r="C1600" s="26"/>
      <c r="L1600" s="25"/>
    </row>
    <row r="1601" ht="18.75" customHeight="1">
      <c r="B1601" s="12"/>
      <c r="C1601" s="26"/>
      <c r="L1601" s="25"/>
    </row>
    <row r="1602" ht="18.75" customHeight="1">
      <c r="B1602" s="12"/>
      <c r="C1602" s="26"/>
      <c r="L1602" s="25"/>
    </row>
    <row r="1603" ht="18.75" customHeight="1">
      <c r="B1603" s="12"/>
      <c r="C1603" s="26"/>
      <c r="L1603" s="25"/>
    </row>
    <row r="1604" ht="18.75" customHeight="1">
      <c r="B1604" s="12"/>
      <c r="C1604" s="26"/>
      <c r="L1604" s="25"/>
    </row>
    <row r="1605" ht="18.75" customHeight="1">
      <c r="B1605" s="12"/>
      <c r="C1605" s="26"/>
      <c r="L1605" s="25"/>
    </row>
    <row r="1606" ht="18.75" customHeight="1">
      <c r="B1606" s="12"/>
      <c r="C1606" s="26"/>
      <c r="L1606" s="25"/>
    </row>
    <row r="1607" ht="18.75" customHeight="1">
      <c r="B1607" s="12"/>
      <c r="C1607" s="26"/>
      <c r="L1607" s="25"/>
    </row>
    <row r="1608" ht="18.75" customHeight="1">
      <c r="B1608" s="12"/>
      <c r="C1608" s="26"/>
      <c r="L1608" s="25"/>
    </row>
    <row r="1609" ht="18.75" customHeight="1">
      <c r="B1609" s="12"/>
      <c r="C1609" s="26"/>
      <c r="L1609" s="25"/>
    </row>
    <row r="1610" ht="18.75" customHeight="1">
      <c r="B1610" s="12"/>
      <c r="C1610" s="26"/>
      <c r="L1610" s="25"/>
    </row>
    <row r="1611" ht="18.75" customHeight="1">
      <c r="B1611" s="12"/>
      <c r="C1611" s="26"/>
      <c r="L1611" s="25"/>
    </row>
    <row r="1612" ht="18.75" customHeight="1">
      <c r="B1612" s="12"/>
      <c r="C1612" s="26"/>
      <c r="L1612" s="25"/>
    </row>
    <row r="1613" ht="18.75" customHeight="1">
      <c r="B1613" s="12"/>
      <c r="C1613" s="26"/>
      <c r="L1613" s="25"/>
    </row>
    <row r="1614" ht="18.75" customHeight="1">
      <c r="B1614" s="12"/>
      <c r="C1614" s="26"/>
      <c r="L1614" s="25"/>
    </row>
    <row r="1615" ht="18.75" customHeight="1">
      <c r="B1615" s="12"/>
      <c r="C1615" s="26"/>
      <c r="L1615" s="25"/>
    </row>
    <row r="1616" ht="18.75" customHeight="1">
      <c r="B1616" s="12"/>
      <c r="C1616" s="26"/>
      <c r="L1616" s="25"/>
    </row>
    <row r="1617" ht="18.75" customHeight="1">
      <c r="B1617" s="12"/>
      <c r="C1617" s="26"/>
      <c r="L1617" s="25"/>
    </row>
    <row r="1618" ht="18.75" customHeight="1">
      <c r="B1618" s="12"/>
      <c r="C1618" s="26"/>
      <c r="L1618" s="25"/>
    </row>
    <row r="1619" ht="18.75" customHeight="1">
      <c r="B1619" s="12"/>
      <c r="C1619" s="26"/>
      <c r="L1619" s="25"/>
    </row>
    <row r="1620" ht="18.75" customHeight="1">
      <c r="B1620" s="12"/>
      <c r="C1620" s="26"/>
      <c r="L1620" s="25"/>
    </row>
    <row r="1621" ht="18.75" customHeight="1">
      <c r="B1621" s="12"/>
      <c r="C1621" s="26"/>
      <c r="L1621" s="25"/>
    </row>
    <row r="1622" ht="18.75" customHeight="1">
      <c r="B1622" s="12"/>
      <c r="C1622" s="26"/>
      <c r="L1622" s="25"/>
    </row>
    <row r="1623" ht="18.75" customHeight="1">
      <c r="B1623" s="12"/>
      <c r="C1623" s="26"/>
      <c r="L1623" s="25"/>
    </row>
    <row r="1624" ht="18.75" customHeight="1">
      <c r="B1624" s="12"/>
      <c r="C1624" s="26"/>
      <c r="L1624" s="25"/>
    </row>
    <row r="1625" ht="18.75" customHeight="1">
      <c r="B1625" s="12"/>
      <c r="C1625" s="26"/>
      <c r="L1625" s="25"/>
    </row>
    <row r="1626" ht="18.75" customHeight="1">
      <c r="B1626" s="12"/>
      <c r="C1626" s="26"/>
      <c r="L1626" s="25"/>
    </row>
    <row r="1627" ht="18.75" customHeight="1">
      <c r="B1627" s="12"/>
      <c r="C1627" s="26"/>
      <c r="L1627" s="25"/>
    </row>
    <row r="1628" ht="18.75" customHeight="1">
      <c r="B1628" s="12"/>
      <c r="C1628" s="26"/>
      <c r="L1628" s="25"/>
    </row>
    <row r="1629" ht="18.75" customHeight="1">
      <c r="B1629" s="12"/>
      <c r="C1629" s="26"/>
      <c r="L1629" s="25"/>
    </row>
    <row r="1630" ht="18.75" customHeight="1">
      <c r="B1630" s="12"/>
      <c r="C1630" s="26"/>
      <c r="L1630" s="25"/>
    </row>
    <row r="1631" ht="18.75" customHeight="1">
      <c r="B1631" s="12"/>
      <c r="C1631" s="26"/>
      <c r="L1631" s="25"/>
    </row>
    <row r="1632" ht="18.75" customHeight="1">
      <c r="B1632" s="12"/>
      <c r="C1632" s="26"/>
      <c r="L1632" s="25"/>
    </row>
    <row r="1633" ht="18.75" customHeight="1">
      <c r="B1633" s="12"/>
      <c r="C1633" s="26"/>
      <c r="L1633" s="25"/>
    </row>
    <row r="1634" ht="18.75" customHeight="1">
      <c r="B1634" s="12"/>
      <c r="C1634" s="26"/>
      <c r="L1634" s="25"/>
    </row>
    <row r="1635" ht="18.75" customHeight="1">
      <c r="B1635" s="12"/>
      <c r="C1635" s="26"/>
      <c r="L1635" s="25"/>
    </row>
    <row r="1636" ht="18.75" customHeight="1">
      <c r="B1636" s="12"/>
      <c r="C1636" s="26"/>
      <c r="L1636" s="25"/>
    </row>
    <row r="1637" ht="18.75" customHeight="1">
      <c r="B1637" s="12"/>
      <c r="C1637" s="26"/>
      <c r="L1637" s="25"/>
    </row>
    <row r="1638" ht="18.75" customHeight="1">
      <c r="B1638" s="12"/>
      <c r="C1638" s="26"/>
      <c r="L1638" s="25"/>
    </row>
    <row r="1639" ht="18.75" customHeight="1">
      <c r="B1639" s="12"/>
      <c r="C1639" s="26"/>
      <c r="L1639" s="25"/>
    </row>
    <row r="1640" ht="18.75" customHeight="1">
      <c r="B1640" s="12"/>
      <c r="C1640" s="26"/>
      <c r="L1640" s="25"/>
    </row>
    <row r="1641" ht="18.75" customHeight="1">
      <c r="B1641" s="12"/>
      <c r="C1641" s="26"/>
      <c r="L1641" s="25"/>
    </row>
    <row r="1642" ht="18.75" customHeight="1">
      <c r="B1642" s="12"/>
      <c r="C1642" s="26"/>
      <c r="L1642" s="25"/>
    </row>
    <row r="1643" ht="18.75" customHeight="1">
      <c r="B1643" s="12"/>
      <c r="C1643" s="26"/>
      <c r="L1643" s="25"/>
    </row>
    <row r="1644" ht="18.75" customHeight="1">
      <c r="B1644" s="12"/>
      <c r="C1644" s="26"/>
      <c r="L1644" s="25"/>
    </row>
    <row r="1645" ht="18.75" customHeight="1">
      <c r="B1645" s="12"/>
      <c r="C1645" s="26"/>
      <c r="L1645" s="25"/>
    </row>
    <row r="1646" ht="18.75" customHeight="1">
      <c r="B1646" s="12"/>
      <c r="C1646" s="26"/>
      <c r="L1646" s="25"/>
    </row>
    <row r="1647" ht="18.75" customHeight="1">
      <c r="B1647" s="12"/>
      <c r="C1647" s="26"/>
      <c r="L1647" s="25"/>
    </row>
    <row r="1648" ht="18.75" customHeight="1">
      <c r="B1648" s="12"/>
      <c r="C1648" s="26"/>
      <c r="L1648" s="25"/>
    </row>
    <row r="1649" ht="18.75" customHeight="1">
      <c r="B1649" s="12"/>
      <c r="C1649" s="26"/>
      <c r="L1649" s="25"/>
    </row>
    <row r="1650" ht="18.75" customHeight="1">
      <c r="B1650" s="12"/>
      <c r="C1650" s="26"/>
      <c r="L1650" s="25"/>
    </row>
    <row r="1651" ht="18.75" customHeight="1">
      <c r="B1651" s="12"/>
      <c r="C1651" s="26"/>
      <c r="L1651" s="25"/>
    </row>
    <row r="1652" ht="18.75" customHeight="1">
      <c r="B1652" s="12"/>
      <c r="C1652" s="26"/>
      <c r="L1652" s="25"/>
    </row>
    <row r="1653" ht="18.75" customHeight="1">
      <c r="B1653" s="12"/>
      <c r="C1653" s="26"/>
      <c r="L1653" s="25"/>
    </row>
    <row r="1654" ht="18.75" customHeight="1">
      <c r="B1654" s="12"/>
      <c r="C1654" s="26"/>
      <c r="L1654" s="25"/>
    </row>
    <row r="1655" ht="18.75" customHeight="1">
      <c r="B1655" s="12"/>
      <c r="C1655" s="26"/>
      <c r="L1655" s="25"/>
    </row>
    <row r="1656" ht="18.75" customHeight="1">
      <c r="B1656" s="12"/>
      <c r="C1656" s="26"/>
      <c r="L1656" s="25"/>
    </row>
    <row r="1657" ht="18.75" customHeight="1">
      <c r="B1657" s="12"/>
      <c r="C1657" s="26"/>
      <c r="L1657" s="25"/>
    </row>
    <row r="1658" ht="18.75" customHeight="1">
      <c r="B1658" s="12"/>
      <c r="C1658" s="26"/>
      <c r="L1658" s="25"/>
    </row>
    <row r="1659" ht="18.75" customHeight="1">
      <c r="B1659" s="12"/>
      <c r="C1659" s="26"/>
      <c r="L1659" s="25"/>
    </row>
    <row r="1660" ht="18.75" customHeight="1">
      <c r="B1660" s="12"/>
      <c r="C1660" s="26"/>
      <c r="L1660" s="25"/>
    </row>
    <row r="1661" ht="18.75" customHeight="1">
      <c r="B1661" s="12"/>
      <c r="C1661" s="26"/>
      <c r="L1661" s="25"/>
    </row>
    <row r="1662" ht="18.75" customHeight="1">
      <c r="B1662" s="12"/>
      <c r="C1662" s="26"/>
      <c r="L1662" s="25"/>
    </row>
    <row r="1663" ht="18.75" customHeight="1">
      <c r="B1663" s="12"/>
      <c r="C1663" s="26"/>
      <c r="L1663" s="25"/>
    </row>
    <row r="1664" ht="18.75" customHeight="1">
      <c r="B1664" s="12"/>
      <c r="C1664" s="26"/>
      <c r="L1664" s="25"/>
    </row>
    <row r="1665" ht="18.75" customHeight="1">
      <c r="B1665" s="12"/>
      <c r="C1665" s="26"/>
      <c r="L1665" s="25"/>
    </row>
    <row r="1666" ht="18.75" customHeight="1">
      <c r="B1666" s="12"/>
      <c r="C1666" s="26"/>
      <c r="L1666" s="25"/>
    </row>
    <row r="1667" ht="18.75" customHeight="1">
      <c r="B1667" s="12"/>
      <c r="C1667" s="26"/>
      <c r="L1667" s="25"/>
    </row>
    <row r="1668" ht="18.75" customHeight="1">
      <c r="B1668" s="12"/>
      <c r="C1668" s="26"/>
      <c r="L1668" s="25"/>
    </row>
    <row r="1669" ht="18.75" customHeight="1">
      <c r="B1669" s="12"/>
      <c r="C1669" s="26"/>
      <c r="L1669" s="25"/>
    </row>
    <row r="1670" ht="18.75" customHeight="1">
      <c r="B1670" s="12"/>
      <c r="C1670" s="26"/>
      <c r="L1670" s="25"/>
    </row>
    <row r="1671" ht="18.75" customHeight="1">
      <c r="B1671" s="12"/>
      <c r="C1671" s="26"/>
      <c r="L1671" s="25"/>
    </row>
    <row r="1672" ht="18.75" customHeight="1">
      <c r="B1672" s="12"/>
      <c r="C1672" s="26"/>
      <c r="L1672" s="25"/>
    </row>
    <row r="1673" ht="18.75" customHeight="1">
      <c r="B1673" s="12"/>
      <c r="C1673" s="26"/>
      <c r="L1673" s="25"/>
    </row>
    <row r="1674" ht="18.75" customHeight="1">
      <c r="B1674" s="12"/>
      <c r="C1674" s="26"/>
      <c r="L1674" s="25"/>
    </row>
    <row r="1675" ht="18.75" customHeight="1">
      <c r="B1675" s="12"/>
      <c r="C1675" s="26"/>
      <c r="L1675" s="25"/>
    </row>
    <row r="1676" ht="18.75" customHeight="1">
      <c r="B1676" s="12"/>
      <c r="C1676" s="26"/>
      <c r="L1676" s="25"/>
    </row>
    <row r="1677" ht="18.75" customHeight="1">
      <c r="B1677" s="12"/>
      <c r="C1677" s="26"/>
      <c r="L1677" s="25"/>
    </row>
    <row r="1678" ht="18.75" customHeight="1">
      <c r="B1678" s="12"/>
      <c r="C1678" s="26"/>
      <c r="L1678" s="25"/>
    </row>
    <row r="1679" ht="18.75" customHeight="1">
      <c r="B1679" s="12"/>
      <c r="C1679" s="26"/>
      <c r="L1679" s="25"/>
    </row>
    <row r="1680" ht="18.75" customHeight="1">
      <c r="B1680" s="12"/>
      <c r="C1680" s="26"/>
      <c r="L1680" s="25"/>
    </row>
    <row r="1681" ht="18.75" customHeight="1">
      <c r="B1681" s="12"/>
      <c r="C1681" s="26"/>
      <c r="L1681" s="25"/>
    </row>
    <row r="1682" ht="18.75" customHeight="1">
      <c r="B1682" s="12"/>
      <c r="C1682" s="26"/>
      <c r="L1682" s="25"/>
    </row>
    <row r="1683" ht="18.75" customHeight="1">
      <c r="B1683" s="12"/>
      <c r="C1683" s="26"/>
      <c r="L1683" s="25"/>
    </row>
    <row r="1684" ht="18.75" customHeight="1">
      <c r="B1684" s="12"/>
      <c r="C1684" s="26"/>
      <c r="L1684" s="25"/>
    </row>
    <row r="1685" ht="18.75" customHeight="1">
      <c r="B1685" s="12"/>
      <c r="C1685" s="26"/>
      <c r="L1685" s="25"/>
    </row>
    <row r="1686" ht="18.75" customHeight="1">
      <c r="B1686" s="12"/>
      <c r="C1686" s="26"/>
      <c r="L1686" s="25"/>
    </row>
    <row r="1687" ht="18.75" customHeight="1">
      <c r="B1687" s="12"/>
      <c r="C1687" s="26"/>
      <c r="L1687" s="25"/>
    </row>
    <row r="1688" ht="18.75" customHeight="1">
      <c r="B1688" s="12"/>
      <c r="C1688" s="26"/>
      <c r="L1688" s="25"/>
    </row>
    <row r="1689" ht="18.75" customHeight="1">
      <c r="B1689" s="12"/>
      <c r="C1689" s="26"/>
      <c r="L1689" s="25"/>
    </row>
    <row r="1690" ht="18.75" customHeight="1">
      <c r="B1690" s="12"/>
      <c r="C1690" s="26"/>
      <c r="L1690" s="25"/>
    </row>
    <row r="1691" ht="18.75" customHeight="1">
      <c r="B1691" s="12"/>
      <c r="C1691" s="26"/>
      <c r="L1691" s="25"/>
    </row>
    <row r="1692" ht="18.75" customHeight="1">
      <c r="B1692" s="12"/>
      <c r="C1692" s="26"/>
      <c r="L1692" s="25"/>
    </row>
    <row r="1693" ht="18.75" customHeight="1">
      <c r="B1693" s="12"/>
      <c r="C1693" s="26"/>
      <c r="L1693" s="25"/>
    </row>
    <row r="1694" ht="18.75" customHeight="1">
      <c r="B1694" s="12"/>
      <c r="C1694" s="26"/>
      <c r="L1694" s="25"/>
    </row>
    <row r="1695" ht="18.75" customHeight="1">
      <c r="B1695" s="12"/>
      <c r="C1695" s="26"/>
      <c r="L1695" s="25"/>
    </row>
    <row r="1696" ht="18.75" customHeight="1">
      <c r="B1696" s="12"/>
      <c r="C1696" s="26"/>
      <c r="L1696" s="25"/>
    </row>
    <row r="1697" ht="18.75" customHeight="1">
      <c r="B1697" s="12"/>
      <c r="C1697" s="26"/>
      <c r="L1697" s="25"/>
    </row>
    <row r="1698" ht="18.75" customHeight="1">
      <c r="B1698" s="12"/>
      <c r="C1698" s="26"/>
      <c r="L1698" s="25"/>
    </row>
    <row r="1699" ht="18.75" customHeight="1">
      <c r="B1699" s="12"/>
      <c r="C1699" s="26"/>
      <c r="L1699" s="25"/>
    </row>
    <row r="1700" ht="18.75" customHeight="1">
      <c r="B1700" s="12"/>
      <c r="C1700" s="26"/>
      <c r="L1700" s="25"/>
    </row>
    <row r="1701" ht="18.75" customHeight="1">
      <c r="B1701" s="12"/>
      <c r="C1701" s="26"/>
      <c r="L1701" s="25"/>
    </row>
    <row r="1702" ht="18.75" customHeight="1">
      <c r="B1702" s="12"/>
      <c r="C1702" s="26"/>
      <c r="L1702" s="25"/>
    </row>
    <row r="1703" ht="18.75" customHeight="1">
      <c r="B1703" s="12"/>
      <c r="C1703" s="26"/>
      <c r="L1703" s="25"/>
    </row>
    <row r="1704" ht="18.75" customHeight="1">
      <c r="B1704" s="12"/>
      <c r="C1704" s="26"/>
      <c r="L1704" s="25"/>
    </row>
    <row r="1705" ht="18.75" customHeight="1">
      <c r="B1705" s="12"/>
      <c r="C1705" s="26"/>
      <c r="L1705" s="25"/>
    </row>
    <row r="1706" ht="18.75" customHeight="1">
      <c r="B1706" s="12"/>
      <c r="C1706" s="26"/>
      <c r="L1706" s="25"/>
    </row>
    <row r="1707" ht="18.75" customHeight="1">
      <c r="B1707" s="12"/>
      <c r="C1707" s="26"/>
      <c r="L1707" s="25"/>
    </row>
    <row r="1708" ht="18.75" customHeight="1">
      <c r="B1708" s="12"/>
      <c r="C1708" s="26"/>
      <c r="L1708" s="25"/>
    </row>
    <row r="1709" ht="18.75" customHeight="1">
      <c r="B1709" s="12"/>
      <c r="C1709" s="26"/>
      <c r="L1709" s="25"/>
    </row>
    <row r="1710" ht="18.75" customHeight="1">
      <c r="B1710" s="12"/>
      <c r="C1710" s="26"/>
      <c r="L1710" s="25"/>
    </row>
    <row r="1711" ht="18.75" customHeight="1">
      <c r="B1711" s="12"/>
      <c r="C1711" s="26"/>
      <c r="L1711" s="25"/>
    </row>
    <row r="1712" ht="18.75" customHeight="1">
      <c r="B1712" s="12"/>
      <c r="C1712" s="26"/>
      <c r="L1712" s="25"/>
    </row>
    <row r="1713" ht="18.75" customHeight="1">
      <c r="B1713" s="12"/>
      <c r="C1713" s="26"/>
      <c r="L1713" s="25"/>
    </row>
    <row r="1714" ht="18.75" customHeight="1">
      <c r="B1714" s="12"/>
      <c r="C1714" s="26"/>
      <c r="L1714" s="25"/>
    </row>
    <row r="1715" ht="18.75" customHeight="1">
      <c r="B1715" s="12"/>
      <c r="C1715" s="26"/>
      <c r="L1715" s="25"/>
    </row>
    <row r="1716" ht="18.75" customHeight="1">
      <c r="B1716" s="12"/>
      <c r="C1716" s="26"/>
      <c r="L1716" s="25"/>
    </row>
    <row r="1717" ht="18.75" customHeight="1">
      <c r="B1717" s="12"/>
      <c r="C1717" s="26"/>
      <c r="L1717" s="25"/>
    </row>
    <row r="1718" ht="18.75" customHeight="1">
      <c r="B1718" s="12"/>
      <c r="C1718" s="26"/>
      <c r="L1718" s="25"/>
    </row>
    <row r="1719" ht="18.75" customHeight="1">
      <c r="B1719" s="12"/>
      <c r="C1719" s="26"/>
      <c r="L1719" s="25"/>
    </row>
    <row r="1720" ht="18.75" customHeight="1">
      <c r="B1720" s="12"/>
      <c r="C1720" s="26"/>
      <c r="L1720" s="25"/>
    </row>
    <row r="1721" ht="18.75" customHeight="1">
      <c r="B1721" s="12"/>
      <c r="C1721" s="26"/>
      <c r="L1721" s="25"/>
    </row>
    <row r="1722" ht="18.75" customHeight="1">
      <c r="B1722" s="12"/>
      <c r="C1722" s="26"/>
      <c r="L1722" s="25"/>
    </row>
    <row r="1723" ht="18.75" customHeight="1">
      <c r="B1723" s="12"/>
      <c r="C1723" s="26"/>
      <c r="L1723" s="25"/>
    </row>
    <row r="1724" ht="18.75" customHeight="1">
      <c r="B1724" s="12"/>
      <c r="C1724" s="26"/>
      <c r="L1724" s="25"/>
    </row>
    <row r="1725" ht="18.75" customHeight="1">
      <c r="B1725" s="12"/>
      <c r="C1725" s="26"/>
      <c r="L1725" s="25"/>
    </row>
    <row r="1726" ht="18.75" customHeight="1">
      <c r="B1726" s="12"/>
      <c r="C1726" s="26"/>
      <c r="L1726" s="25"/>
    </row>
    <row r="1727" ht="18.75" customHeight="1">
      <c r="B1727" s="12"/>
      <c r="C1727" s="26"/>
      <c r="L1727" s="25"/>
    </row>
    <row r="1728" ht="18.75" customHeight="1">
      <c r="B1728" s="12"/>
      <c r="C1728" s="26"/>
      <c r="L1728" s="25"/>
    </row>
    <row r="1729" ht="18.75" customHeight="1">
      <c r="B1729" s="12"/>
      <c r="C1729" s="26"/>
      <c r="L1729" s="25"/>
    </row>
    <row r="1730" ht="18.75" customHeight="1">
      <c r="B1730" s="12"/>
      <c r="C1730" s="26"/>
      <c r="L1730" s="25"/>
    </row>
    <row r="1731" ht="18.75" customHeight="1">
      <c r="B1731" s="12"/>
      <c r="C1731" s="26"/>
      <c r="L1731" s="25"/>
    </row>
    <row r="1732" ht="18.75" customHeight="1">
      <c r="B1732" s="12"/>
      <c r="C1732" s="26"/>
      <c r="L1732" s="25"/>
    </row>
    <row r="1733" ht="18.75" customHeight="1">
      <c r="B1733" s="12"/>
      <c r="C1733" s="26"/>
      <c r="L1733" s="25"/>
    </row>
    <row r="1734" ht="18.75" customHeight="1">
      <c r="B1734" s="12"/>
      <c r="C1734" s="26"/>
      <c r="L1734" s="25"/>
    </row>
    <row r="1735" ht="18.75" customHeight="1">
      <c r="B1735" s="12"/>
      <c r="C1735" s="26"/>
      <c r="L1735" s="25"/>
    </row>
    <row r="1736" ht="18.75" customHeight="1">
      <c r="B1736" s="12"/>
      <c r="C1736" s="26"/>
      <c r="L1736" s="25"/>
    </row>
    <row r="1737" ht="18.75" customHeight="1">
      <c r="B1737" s="12"/>
      <c r="C1737" s="26"/>
      <c r="L1737" s="25"/>
    </row>
    <row r="1738" ht="18.75" customHeight="1">
      <c r="B1738" s="12"/>
      <c r="C1738" s="26"/>
      <c r="L1738" s="25"/>
    </row>
    <row r="1739" ht="18.75" customHeight="1">
      <c r="B1739" s="12"/>
      <c r="C1739" s="26"/>
      <c r="L1739" s="25"/>
    </row>
    <row r="1740" ht="18.75" customHeight="1">
      <c r="B1740" s="12"/>
      <c r="C1740" s="26"/>
      <c r="L1740" s="25"/>
    </row>
    <row r="1741" ht="18.75" customHeight="1">
      <c r="B1741" s="12"/>
      <c r="C1741" s="26"/>
      <c r="L1741" s="25"/>
    </row>
    <row r="1742" ht="18.75" customHeight="1">
      <c r="B1742" s="12"/>
      <c r="C1742" s="26"/>
      <c r="L1742" s="25"/>
    </row>
    <row r="1743" ht="18.75" customHeight="1">
      <c r="B1743" s="12"/>
      <c r="C1743" s="26"/>
      <c r="L1743" s="25"/>
    </row>
    <row r="1744" ht="18.75" customHeight="1">
      <c r="B1744" s="12"/>
      <c r="C1744" s="26"/>
      <c r="L1744" s="25"/>
    </row>
    <row r="1745" ht="18.75" customHeight="1">
      <c r="B1745" s="12"/>
      <c r="C1745" s="26"/>
      <c r="L1745" s="25"/>
    </row>
    <row r="1746" ht="18.75" customHeight="1">
      <c r="B1746" s="12"/>
      <c r="C1746" s="26"/>
      <c r="L1746" s="25"/>
    </row>
    <row r="1747" ht="18.75" customHeight="1">
      <c r="B1747" s="12"/>
      <c r="C1747" s="26"/>
      <c r="L1747" s="25"/>
    </row>
    <row r="1748" ht="18.75" customHeight="1">
      <c r="B1748" s="12"/>
      <c r="C1748" s="26"/>
      <c r="L1748" s="25"/>
    </row>
    <row r="1749" ht="18.75" customHeight="1">
      <c r="B1749" s="12"/>
      <c r="C1749" s="26"/>
      <c r="L1749" s="25"/>
    </row>
    <row r="1750" ht="18.75" customHeight="1">
      <c r="B1750" s="12"/>
      <c r="C1750" s="26"/>
      <c r="L1750" s="25"/>
    </row>
    <row r="1751" ht="18.75" customHeight="1">
      <c r="B1751" s="12"/>
      <c r="C1751" s="26"/>
      <c r="L1751" s="25"/>
    </row>
    <row r="1752" ht="18.75" customHeight="1">
      <c r="B1752" s="12"/>
      <c r="C1752" s="26"/>
      <c r="L1752" s="25"/>
    </row>
    <row r="1753" ht="18.75" customHeight="1">
      <c r="B1753" s="12"/>
      <c r="C1753" s="26"/>
      <c r="L1753" s="25"/>
    </row>
    <row r="1754" ht="18.75" customHeight="1">
      <c r="B1754" s="12"/>
      <c r="C1754" s="26"/>
      <c r="L1754" s="25"/>
    </row>
    <row r="1755" ht="18.75" customHeight="1">
      <c r="B1755" s="12"/>
      <c r="C1755" s="26"/>
      <c r="L1755" s="25"/>
    </row>
    <row r="1756" ht="18.75" customHeight="1">
      <c r="B1756" s="12"/>
      <c r="C1756" s="26"/>
      <c r="L1756" s="25"/>
    </row>
    <row r="1757" ht="18.75" customHeight="1">
      <c r="B1757" s="12"/>
      <c r="C1757" s="26"/>
      <c r="L1757" s="25"/>
    </row>
    <row r="1758" ht="18.75" customHeight="1">
      <c r="B1758" s="12"/>
      <c r="C1758" s="26"/>
      <c r="L1758" s="25"/>
    </row>
    <row r="1759" ht="18.75" customHeight="1">
      <c r="B1759" s="12"/>
      <c r="C1759" s="26"/>
      <c r="L1759" s="25"/>
    </row>
    <row r="1760" ht="18.75" customHeight="1">
      <c r="B1760" s="12"/>
      <c r="C1760" s="26"/>
      <c r="L1760" s="25"/>
    </row>
    <row r="1761" ht="18.75" customHeight="1">
      <c r="B1761" s="12"/>
      <c r="C1761" s="26"/>
      <c r="L1761" s="25"/>
    </row>
    <row r="1762" ht="18.75" customHeight="1">
      <c r="B1762" s="12"/>
      <c r="C1762" s="26"/>
      <c r="L1762" s="25"/>
    </row>
    <row r="1763" ht="18.75" customHeight="1">
      <c r="B1763" s="12"/>
      <c r="C1763" s="26"/>
      <c r="L1763" s="25"/>
    </row>
    <row r="1764" ht="18.75" customHeight="1">
      <c r="B1764" s="12"/>
      <c r="C1764" s="26"/>
      <c r="L1764" s="25"/>
    </row>
    <row r="1765" ht="18.75" customHeight="1">
      <c r="B1765" s="12"/>
      <c r="C1765" s="26"/>
      <c r="L1765" s="25"/>
    </row>
    <row r="1766" ht="18.75" customHeight="1">
      <c r="B1766" s="12"/>
      <c r="C1766" s="26"/>
      <c r="L1766" s="25"/>
    </row>
    <row r="1767" ht="18.75" customHeight="1">
      <c r="B1767" s="12"/>
      <c r="C1767" s="26"/>
      <c r="L1767" s="25"/>
    </row>
    <row r="1768" ht="18.75" customHeight="1">
      <c r="B1768" s="12"/>
      <c r="C1768" s="26"/>
      <c r="L1768" s="25"/>
    </row>
    <row r="1769" ht="18.75" customHeight="1">
      <c r="B1769" s="12"/>
      <c r="C1769" s="26"/>
      <c r="L1769" s="25"/>
    </row>
    <row r="1770" ht="18.75" customHeight="1">
      <c r="B1770" s="12"/>
      <c r="C1770" s="26"/>
      <c r="L1770" s="25"/>
    </row>
    <row r="1771" ht="18.75" customHeight="1">
      <c r="B1771" s="12"/>
      <c r="C1771" s="26"/>
      <c r="L1771" s="25"/>
    </row>
    <row r="1772" ht="18.75" customHeight="1">
      <c r="B1772" s="12"/>
      <c r="C1772" s="26"/>
      <c r="L1772" s="25"/>
    </row>
    <row r="1773" ht="18.75" customHeight="1">
      <c r="B1773" s="12"/>
      <c r="C1773" s="26"/>
      <c r="L1773" s="25"/>
    </row>
    <row r="1774" ht="18.75" customHeight="1">
      <c r="B1774" s="12"/>
      <c r="C1774" s="26"/>
      <c r="L1774" s="25"/>
    </row>
    <row r="1775" ht="18.75" customHeight="1">
      <c r="B1775" s="12"/>
      <c r="C1775" s="26"/>
      <c r="L1775" s="25"/>
    </row>
    <row r="1776" ht="18.75" customHeight="1">
      <c r="B1776" s="12"/>
      <c r="C1776" s="26"/>
      <c r="L1776" s="25"/>
    </row>
    <row r="1777" ht="18.75" customHeight="1">
      <c r="B1777" s="12"/>
      <c r="C1777" s="26"/>
      <c r="L1777" s="25"/>
    </row>
    <row r="1778" ht="18.75" customHeight="1">
      <c r="B1778" s="12"/>
      <c r="C1778" s="26"/>
      <c r="L1778" s="25"/>
    </row>
    <row r="1779" ht="18.75" customHeight="1">
      <c r="B1779" s="12"/>
      <c r="C1779" s="26"/>
      <c r="L1779" s="25"/>
    </row>
    <row r="1780" ht="18.75" customHeight="1">
      <c r="B1780" s="12"/>
      <c r="C1780" s="26"/>
      <c r="L1780" s="25"/>
    </row>
    <row r="1781" ht="18.75" customHeight="1">
      <c r="B1781" s="12"/>
      <c r="C1781" s="26"/>
      <c r="L1781" s="25"/>
    </row>
    <row r="1782" ht="18.75" customHeight="1">
      <c r="B1782" s="12"/>
      <c r="C1782" s="26"/>
      <c r="L1782" s="25"/>
    </row>
    <row r="1783" ht="18.75" customHeight="1">
      <c r="B1783" s="12"/>
      <c r="C1783" s="26"/>
      <c r="L1783" s="25"/>
    </row>
    <row r="1784" ht="18.75" customHeight="1">
      <c r="B1784" s="12"/>
      <c r="C1784" s="26"/>
      <c r="L1784" s="25"/>
    </row>
    <row r="1785" ht="18.75" customHeight="1">
      <c r="B1785" s="12"/>
      <c r="C1785" s="26"/>
      <c r="L1785" s="25"/>
    </row>
    <row r="1786" ht="18.75" customHeight="1">
      <c r="B1786" s="12"/>
      <c r="C1786" s="26"/>
      <c r="L1786" s="25"/>
    </row>
    <row r="1787" ht="18.75" customHeight="1">
      <c r="B1787" s="12"/>
      <c r="C1787" s="26"/>
      <c r="L1787" s="25"/>
    </row>
    <row r="1788" ht="18.75" customHeight="1">
      <c r="B1788" s="12"/>
      <c r="C1788" s="26"/>
      <c r="L1788" s="25"/>
    </row>
    <row r="1789" ht="18.75" customHeight="1">
      <c r="B1789" s="12"/>
      <c r="C1789" s="26"/>
      <c r="L1789" s="25"/>
    </row>
    <row r="1790" ht="18.75" customHeight="1">
      <c r="B1790" s="12"/>
      <c r="C1790" s="26"/>
      <c r="L1790" s="25"/>
    </row>
    <row r="1791" ht="18.75" customHeight="1">
      <c r="B1791" s="12"/>
      <c r="C1791" s="26"/>
      <c r="L1791" s="25"/>
    </row>
    <row r="1792" ht="18.75" customHeight="1">
      <c r="B1792" s="12"/>
      <c r="C1792" s="26"/>
      <c r="L1792" s="25"/>
    </row>
    <row r="1793" ht="18.75" customHeight="1">
      <c r="B1793" s="12"/>
      <c r="C1793" s="26"/>
      <c r="L1793" s="25"/>
    </row>
    <row r="1794" ht="18.75" customHeight="1">
      <c r="B1794" s="12"/>
      <c r="C1794" s="26"/>
      <c r="L1794" s="25"/>
    </row>
    <row r="1795" ht="18.75" customHeight="1">
      <c r="B1795" s="12"/>
      <c r="C1795" s="26"/>
      <c r="L1795" s="25"/>
    </row>
    <row r="1796" ht="18.75" customHeight="1">
      <c r="B1796" s="12"/>
      <c r="C1796" s="26"/>
      <c r="L1796" s="25"/>
    </row>
    <row r="1797" ht="18.75" customHeight="1">
      <c r="B1797" s="12"/>
      <c r="C1797" s="26"/>
      <c r="L1797" s="25"/>
    </row>
    <row r="1798" ht="18.75" customHeight="1">
      <c r="B1798" s="12"/>
      <c r="C1798" s="26"/>
      <c r="L1798" s="25"/>
    </row>
    <row r="1799" ht="18.75" customHeight="1">
      <c r="B1799" s="12"/>
      <c r="C1799" s="26"/>
      <c r="L1799" s="25"/>
    </row>
    <row r="1800" ht="18.75" customHeight="1">
      <c r="B1800" s="12"/>
      <c r="C1800" s="26"/>
      <c r="L1800" s="25"/>
    </row>
    <row r="1801" ht="18.75" customHeight="1">
      <c r="B1801" s="12"/>
      <c r="C1801" s="26"/>
      <c r="L1801" s="25"/>
    </row>
    <row r="1802" ht="18.75" customHeight="1">
      <c r="B1802" s="12"/>
      <c r="C1802" s="26"/>
      <c r="L1802" s="25"/>
    </row>
    <row r="1803" ht="18.75" customHeight="1">
      <c r="B1803" s="12"/>
      <c r="C1803" s="26"/>
      <c r="L1803" s="25"/>
    </row>
    <row r="1804" ht="18.75" customHeight="1">
      <c r="B1804" s="12"/>
      <c r="C1804" s="26"/>
      <c r="L1804" s="25"/>
    </row>
    <row r="1805" ht="18.75" customHeight="1">
      <c r="B1805" s="12"/>
      <c r="C1805" s="26"/>
      <c r="L1805" s="25"/>
    </row>
    <row r="1806" ht="18.75" customHeight="1">
      <c r="B1806" s="12"/>
      <c r="C1806" s="26"/>
      <c r="L1806" s="25"/>
    </row>
    <row r="1807" ht="18.75" customHeight="1">
      <c r="B1807" s="12"/>
      <c r="C1807" s="26"/>
      <c r="L1807" s="25"/>
    </row>
    <row r="1808" ht="18.75" customHeight="1">
      <c r="B1808" s="12"/>
      <c r="C1808" s="26"/>
      <c r="L1808" s="25"/>
    </row>
    <row r="1809" ht="18.75" customHeight="1">
      <c r="B1809" s="12"/>
      <c r="C1809" s="26"/>
      <c r="L1809" s="25"/>
    </row>
    <row r="1810" ht="18.75" customHeight="1">
      <c r="B1810" s="12"/>
      <c r="C1810" s="26"/>
      <c r="L1810" s="25"/>
    </row>
    <row r="1811" ht="18.75" customHeight="1">
      <c r="B1811" s="12"/>
      <c r="C1811" s="26"/>
      <c r="L1811" s="25"/>
    </row>
    <row r="1812" ht="18.75" customHeight="1">
      <c r="B1812" s="12"/>
      <c r="C1812" s="26"/>
      <c r="L1812" s="25"/>
    </row>
    <row r="1813" ht="18.75" customHeight="1">
      <c r="B1813" s="12"/>
      <c r="C1813" s="26"/>
      <c r="L1813" s="25"/>
    </row>
    <row r="1814" ht="18.75" customHeight="1">
      <c r="B1814" s="12"/>
      <c r="C1814" s="26"/>
      <c r="L1814" s="25"/>
    </row>
    <row r="1815" ht="18.75" customHeight="1">
      <c r="B1815" s="12"/>
      <c r="C1815" s="26"/>
      <c r="L1815" s="25"/>
    </row>
    <row r="1816" ht="18.75" customHeight="1">
      <c r="B1816" s="12"/>
      <c r="C1816" s="26"/>
      <c r="L1816" s="25"/>
    </row>
    <row r="1817" ht="18.75" customHeight="1">
      <c r="B1817" s="12"/>
      <c r="C1817" s="26"/>
      <c r="L1817" s="25"/>
    </row>
    <row r="1818" ht="18.75" customHeight="1">
      <c r="B1818" s="12"/>
      <c r="C1818" s="26"/>
      <c r="L1818" s="25"/>
    </row>
    <row r="1819" ht="18.75" customHeight="1">
      <c r="B1819" s="12"/>
      <c r="C1819" s="26"/>
      <c r="L1819" s="25"/>
    </row>
    <row r="1820" ht="18.75" customHeight="1">
      <c r="B1820" s="12"/>
      <c r="C1820" s="26"/>
      <c r="L1820" s="25"/>
    </row>
    <row r="1821" ht="18.75" customHeight="1">
      <c r="B1821" s="12"/>
      <c r="C1821" s="26"/>
      <c r="L1821" s="25"/>
    </row>
    <row r="1822" ht="18.75" customHeight="1">
      <c r="B1822" s="12"/>
      <c r="C1822" s="26"/>
      <c r="L1822" s="25"/>
    </row>
    <row r="1823" ht="18.75" customHeight="1">
      <c r="B1823" s="12"/>
      <c r="C1823" s="26"/>
      <c r="L1823" s="25"/>
    </row>
    <row r="1824" ht="18.75" customHeight="1">
      <c r="B1824" s="12"/>
      <c r="C1824" s="26"/>
      <c r="L1824" s="25"/>
    </row>
    <row r="1825" ht="18.75" customHeight="1">
      <c r="B1825" s="12"/>
      <c r="C1825" s="26"/>
      <c r="L1825" s="25"/>
    </row>
    <row r="1826" ht="18.75" customHeight="1">
      <c r="B1826" s="12"/>
      <c r="C1826" s="26"/>
      <c r="L1826" s="25"/>
    </row>
    <row r="1827" ht="18.75" customHeight="1">
      <c r="B1827" s="12"/>
      <c r="C1827" s="26"/>
      <c r="L1827" s="25"/>
    </row>
    <row r="1828" ht="18.75" customHeight="1">
      <c r="B1828" s="12"/>
      <c r="C1828" s="26"/>
      <c r="L1828" s="25"/>
    </row>
    <row r="1829" ht="18.75" customHeight="1">
      <c r="B1829" s="12"/>
      <c r="C1829" s="26"/>
      <c r="L1829" s="25"/>
    </row>
    <row r="1830" ht="18.75" customHeight="1">
      <c r="B1830" s="12"/>
      <c r="C1830" s="26"/>
      <c r="L1830" s="25"/>
    </row>
    <row r="1831" ht="18.75" customHeight="1">
      <c r="B1831" s="12"/>
      <c r="C1831" s="26"/>
      <c r="L1831" s="25"/>
    </row>
    <row r="1832" ht="18.75" customHeight="1">
      <c r="B1832" s="12"/>
      <c r="C1832" s="26"/>
      <c r="L1832" s="25"/>
    </row>
    <row r="1833" ht="18.75" customHeight="1">
      <c r="B1833" s="12"/>
      <c r="C1833" s="26"/>
      <c r="L1833" s="25"/>
    </row>
    <row r="1834" ht="18.75" customHeight="1">
      <c r="B1834" s="12"/>
      <c r="C1834" s="26"/>
      <c r="L1834" s="25"/>
    </row>
    <row r="1835" ht="18.75" customHeight="1">
      <c r="B1835" s="12"/>
      <c r="C1835" s="26"/>
      <c r="L1835" s="25"/>
    </row>
    <row r="1836" ht="18.75" customHeight="1">
      <c r="B1836" s="12"/>
      <c r="C1836" s="26"/>
      <c r="L1836" s="25"/>
    </row>
    <row r="1837" ht="18.75" customHeight="1">
      <c r="B1837" s="12"/>
      <c r="C1837" s="26"/>
      <c r="L1837" s="25"/>
    </row>
    <row r="1838" ht="18.75" customHeight="1">
      <c r="B1838" s="12"/>
      <c r="C1838" s="26"/>
      <c r="L1838" s="25"/>
    </row>
    <row r="1839" ht="18.75" customHeight="1">
      <c r="B1839" s="12"/>
      <c r="C1839" s="26"/>
      <c r="L1839" s="25"/>
    </row>
    <row r="1840" ht="18.75" customHeight="1">
      <c r="B1840" s="12"/>
      <c r="C1840" s="26"/>
      <c r="L1840" s="25"/>
    </row>
    <row r="1841" ht="18.75" customHeight="1">
      <c r="B1841" s="12"/>
      <c r="C1841" s="26"/>
      <c r="L1841" s="25"/>
    </row>
    <row r="1842" ht="18.75" customHeight="1">
      <c r="B1842" s="12"/>
      <c r="C1842" s="26"/>
      <c r="L1842" s="25"/>
    </row>
    <row r="1843" ht="18.75" customHeight="1">
      <c r="B1843" s="12"/>
      <c r="C1843" s="26"/>
      <c r="L1843" s="25"/>
    </row>
    <row r="1844" ht="18.75" customHeight="1">
      <c r="B1844" s="12"/>
      <c r="C1844" s="26"/>
      <c r="L1844" s="25"/>
    </row>
    <row r="1845" ht="18.75" customHeight="1">
      <c r="B1845" s="12"/>
      <c r="C1845" s="26"/>
      <c r="L1845" s="25"/>
    </row>
    <row r="1846" ht="18.75" customHeight="1">
      <c r="B1846" s="12"/>
      <c r="C1846" s="26"/>
      <c r="L1846" s="25"/>
    </row>
    <row r="1847" ht="18.75" customHeight="1">
      <c r="B1847" s="12"/>
      <c r="C1847" s="26"/>
      <c r="L1847" s="25"/>
    </row>
    <row r="1848" ht="18.75" customHeight="1">
      <c r="B1848" s="12"/>
      <c r="C1848" s="26"/>
      <c r="L1848" s="25"/>
    </row>
    <row r="1849" ht="18.75" customHeight="1">
      <c r="B1849" s="12"/>
      <c r="C1849" s="26"/>
      <c r="L1849" s="25"/>
    </row>
    <row r="1850" ht="18.75" customHeight="1">
      <c r="B1850" s="12"/>
      <c r="C1850" s="26"/>
      <c r="L1850" s="25"/>
    </row>
    <row r="1851" ht="18.75" customHeight="1">
      <c r="B1851" s="12"/>
      <c r="C1851" s="26"/>
      <c r="L1851" s="25"/>
    </row>
    <row r="1852" ht="18.75" customHeight="1">
      <c r="B1852" s="12"/>
      <c r="C1852" s="26"/>
      <c r="L1852" s="25"/>
    </row>
    <row r="1853" ht="18.75" customHeight="1">
      <c r="B1853" s="12"/>
      <c r="C1853" s="26"/>
      <c r="L1853" s="25"/>
    </row>
    <row r="1854" ht="18.75" customHeight="1">
      <c r="B1854" s="12"/>
      <c r="C1854" s="26"/>
      <c r="L1854" s="25"/>
    </row>
    <row r="1855" ht="18.75" customHeight="1">
      <c r="B1855" s="12"/>
      <c r="C1855" s="26"/>
      <c r="L1855" s="25"/>
    </row>
    <row r="1856" ht="18.75" customHeight="1">
      <c r="B1856" s="12"/>
      <c r="C1856" s="26"/>
      <c r="L1856" s="25"/>
    </row>
    <row r="1857" ht="18.75" customHeight="1">
      <c r="B1857" s="12"/>
      <c r="C1857" s="26"/>
      <c r="L1857" s="25"/>
    </row>
    <row r="1858" ht="18.75" customHeight="1">
      <c r="B1858" s="12"/>
      <c r="C1858" s="26"/>
      <c r="L1858" s="25"/>
    </row>
    <row r="1859" ht="18.75" customHeight="1">
      <c r="B1859" s="12"/>
      <c r="C1859" s="26"/>
      <c r="L1859" s="25"/>
    </row>
    <row r="1860" ht="18.75" customHeight="1">
      <c r="B1860" s="12"/>
      <c r="C1860" s="26"/>
      <c r="L1860" s="25"/>
    </row>
    <row r="1861" ht="18.75" customHeight="1">
      <c r="B1861" s="12"/>
      <c r="C1861" s="26"/>
      <c r="L1861" s="25"/>
    </row>
    <row r="1862" ht="18.75" customHeight="1">
      <c r="B1862" s="12"/>
      <c r="C1862" s="26"/>
      <c r="L1862" s="25"/>
    </row>
    <row r="1863" ht="18.75" customHeight="1">
      <c r="B1863" s="12"/>
      <c r="C1863" s="26"/>
      <c r="L1863" s="25"/>
    </row>
    <row r="1864" ht="18.75" customHeight="1">
      <c r="B1864" s="12"/>
      <c r="C1864" s="26"/>
      <c r="L1864" s="25"/>
    </row>
    <row r="1865" ht="18.75" customHeight="1">
      <c r="B1865" s="12"/>
      <c r="C1865" s="26"/>
      <c r="L1865" s="25"/>
    </row>
    <row r="1866" ht="18.75" customHeight="1">
      <c r="B1866" s="12"/>
      <c r="C1866" s="26"/>
      <c r="L1866" s="25"/>
    </row>
    <row r="1867" ht="18.75" customHeight="1">
      <c r="B1867" s="12"/>
      <c r="C1867" s="26"/>
      <c r="L1867" s="25"/>
    </row>
    <row r="1868" ht="18.75" customHeight="1">
      <c r="B1868" s="12"/>
      <c r="C1868" s="26"/>
      <c r="L1868" s="25"/>
    </row>
    <row r="1869" ht="18.75" customHeight="1">
      <c r="B1869" s="12"/>
      <c r="C1869" s="26"/>
      <c r="L1869" s="25"/>
    </row>
    <row r="1870" ht="18.75" customHeight="1">
      <c r="B1870" s="12"/>
      <c r="C1870" s="26"/>
      <c r="L1870" s="25"/>
    </row>
    <row r="1871" ht="18.75" customHeight="1">
      <c r="B1871" s="12"/>
      <c r="C1871" s="26"/>
      <c r="L1871" s="25"/>
    </row>
    <row r="1872" ht="18.75" customHeight="1">
      <c r="B1872" s="12"/>
      <c r="C1872" s="26"/>
      <c r="L1872" s="25"/>
    </row>
    <row r="1873" ht="18.75" customHeight="1">
      <c r="B1873" s="12"/>
      <c r="C1873" s="26"/>
      <c r="L1873" s="25"/>
    </row>
    <row r="1874" ht="18.75" customHeight="1">
      <c r="B1874" s="12"/>
      <c r="C1874" s="26"/>
      <c r="L1874" s="25"/>
    </row>
    <row r="1875" ht="18.75" customHeight="1">
      <c r="B1875" s="12"/>
      <c r="C1875" s="26"/>
      <c r="L1875" s="25"/>
    </row>
    <row r="1876" ht="18.75" customHeight="1">
      <c r="B1876" s="12"/>
      <c r="C1876" s="26"/>
      <c r="L1876" s="25"/>
    </row>
    <row r="1877" ht="18.75" customHeight="1">
      <c r="B1877" s="12"/>
      <c r="C1877" s="26"/>
      <c r="L1877" s="25"/>
    </row>
    <row r="1878" ht="18.75" customHeight="1">
      <c r="B1878" s="12"/>
      <c r="C1878" s="26"/>
      <c r="L1878" s="25"/>
    </row>
    <row r="1879" ht="18.75" customHeight="1">
      <c r="B1879" s="12"/>
      <c r="C1879" s="26"/>
      <c r="L1879" s="25"/>
    </row>
    <row r="1880" ht="18.75" customHeight="1">
      <c r="B1880" s="12"/>
      <c r="C1880" s="26"/>
      <c r="L1880" s="25"/>
    </row>
    <row r="1881" ht="18.75" customHeight="1">
      <c r="B1881" s="12"/>
      <c r="C1881" s="26"/>
      <c r="L1881" s="25"/>
    </row>
    <row r="1882" ht="18.75" customHeight="1">
      <c r="B1882" s="12"/>
      <c r="C1882" s="26"/>
      <c r="L1882" s="25"/>
    </row>
    <row r="1883" ht="18.75" customHeight="1">
      <c r="B1883" s="12"/>
      <c r="C1883" s="26"/>
      <c r="L1883" s="25"/>
    </row>
    <row r="1884" ht="18.75" customHeight="1">
      <c r="B1884" s="12"/>
      <c r="C1884" s="26"/>
      <c r="L1884" s="25"/>
    </row>
    <row r="1885" ht="18.75" customHeight="1">
      <c r="B1885" s="12"/>
      <c r="C1885" s="26"/>
      <c r="L1885" s="25"/>
    </row>
    <row r="1886" ht="18.75" customHeight="1">
      <c r="B1886" s="12"/>
      <c r="C1886" s="26"/>
      <c r="L1886" s="25"/>
    </row>
    <row r="1887" ht="18.75" customHeight="1">
      <c r="B1887" s="12"/>
      <c r="C1887" s="26"/>
      <c r="L1887" s="25"/>
    </row>
    <row r="1888" ht="18.75" customHeight="1">
      <c r="B1888" s="12"/>
      <c r="C1888" s="26"/>
      <c r="L1888" s="25"/>
    </row>
    <row r="1889" ht="18.75" customHeight="1">
      <c r="B1889" s="12"/>
      <c r="C1889" s="26"/>
      <c r="L1889" s="25"/>
    </row>
    <row r="1890" ht="18.75" customHeight="1">
      <c r="B1890" s="12"/>
      <c r="C1890" s="26"/>
      <c r="L1890" s="25"/>
    </row>
    <row r="1891" ht="18.75" customHeight="1">
      <c r="B1891" s="12"/>
      <c r="C1891" s="26"/>
      <c r="L1891" s="25"/>
    </row>
    <row r="1892" ht="18.75" customHeight="1">
      <c r="B1892" s="12"/>
      <c r="C1892" s="26"/>
      <c r="L1892" s="25"/>
    </row>
    <row r="1893" ht="18.75" customHeight="1">
      <c r="B1893" s="12"/>
      <c r="C1893" s="26"/>
      <c r="L1893" s="25"/>
    </row>
    <row r="1894" ht="18.75" customHeight="1">
      <c r="B1894" s="12"/>
      <c r="C1894" s="26"/>
      <c r="L1894" s="25"/>
    </row>
    <row r="1895" ht="18.75" customHeight="1">
      <c r="B1895" s="12"/>
      <c r="C1895" s="26"/>
      <c r="L1895" s="25"/>
    </row>
    <row r="1896" ht="18.75" customHeight="1">
      <c r="B1896" s="12"/>
      <c r="C1896" s="26"/>
      <c r="L1896" s="25"/>
    </row>
    <row r="1897" ht="18.75" customHeight="1">
      <c r="B1897" s="12"/>
      <c r="C1897" s="26"/>
      <c r="L1897" s="25"/>
    </row>
    <row r="1898" ht="18.75" customHeight="1">
      <c r="B1898" s="12"/>
      <c r="C1898" s="26"/>
      <c r="L1898" s="25"/>
    </row>
    <row r="1899" ht="18.75" customHeight="1">
      <c r="B1899" s="12"/>
      <c r="C1899" s="26"/>
      <c r="L1899" s="25"/>
    </row>
    <row r="1900" ht="18.75" customHeight="1">
      <c r="B1900" s="12"/>
      <c r="C1900" s="26"/>
      <c r="L1900" s="25"/>
    </row>
    <row r="1901" ht="18.75" customHeight="1">
      <c r="B1901" s="12"/>
      <c r="C1901" s="26"/>
      <c r="L1901" s="25"/>
    </row>
    <row r="1902" ht="18.75" customHeight="1">
      <c r="B1902" s="12"/>
      <c r="C1902" s="26"/>
      <c r="L1902" s="25"/>
    </row>
    <row r="1903" ht="18.75" customHeight="1">
      <c r="B1903" s="12"/>
      <c r="C1903" s="26"/>
      <c r="L1903" s="25"/>
    </row>
    <row r="1904" ht="18.75" customHeight="1">
      <c r="B1904" s="12"/>
      <c r="C1904" s="26"/>
      <c r="L1904" s="25"/>
    </row>
    <row r="1905" ht="18.75" customHeight="1">
      <c r="B1905" s="12"/>
      <c r="C1905" s="26"/>
      <c r="L1905" s="25"/>
    </row>
    <row r="1906" ht="18.75" customHeight="1">
      <c r="B1906" s="12"/>
      <c r="C1906" s="26"/>
      <c r="L1906" s="25"/>
    </row>
    <row r="1907" ht="18.75" customHeight="1">
      <c r="B1907" s="12"/>
      <c r="C1907" s="26"/>
      <c r="L1907" s="25"/>
    </row>
    <row r="1908" ht="18.75" customHeight="1">
      <c r="B1908" s="12"/>
      <c r="C1908" s="26"/>
      <c r="L1908" s="25"/>
    </row>
    <row r="1909" ht="18.75" customHeight="1">
      <c r="B1909" s="12"/>
      <c r="C1909" s="26"/>
      <c r="L1909" s="25"/>
    </row>
    <row r="1910" ht="18.75" customHeight="1">
      <c r="B1910" s="12"/>
      <c r="C1910" s="26"/>
      <c r="L1910" s="25"/>
    </row>
    <row r="1911" ht="18.75" customHeight="1">
      <c r="B1911" s="12"/>
      <c r="C1911" s="26"/>
      <c r="L1911" s="25"/>
    </row>
    <row r="1912" ht="18.75" customHeight="1">
      <c r="B1912" s="12"/>
      <c r="C1912" s="26"/>
      <c r="L1912" s="25"/>
    </row>
    <row r="1913" ht="18.75" customHeight="1">
      <c r="B1913" s="12"/>
      <c r="C1913" s="26"/>
      <c r="L1913" s="25"/>
    </row>
    <row r="1914" ht="18.75" customHeight="1">
      <c r="B1914" s="12"/>
      <c r="C1914" s="26"/>
      <c r="L1914" s="25"/>
    </row>
    <row r="1915" ht="18.75" customHeight="1">
      <c r="B1915" s="12"/>
      <c r="C1915" s="26"/>
      <c r="L1915" s="25"/>
    </row>
    <row r="1916" ht="18.75" customHeight="1">
      <c r="B1916" s="12"/>
      <c r="C1916" s="26"/>
      <c r="L1916" s="25"/>
    </row>
    <row r="1917" ht="18.75" customHeight="1">
      <c r="B1917" s="12"/>
      <c r="C1917" s="26"/>
      <c r="L1917" s="25"/>
    </row>
    <row r="1918" ht="18.75" customHeight="1">
      <c r="B1918" s="12"/>
      <c r="C1918" s="26"/>
      <c r="L1918" s="25"/>
    </row>
    <row r="1919" ht="18.75" customHeight="1">
      <c r="B1919" s="12"/>
      <c r="C1919" s="26"/>
      <c r="L1919" s="25"/>
    </row>
    <row r="1920" ht="18.75" customHeight="1">
      <c r="B1920" s="12"/>
      <c r="C1920" s="26"/>
      <c r="L1920" s="25"/>
    </row>
    <row r="1921" ht="18.75" customHeight="1">
      <c r="B1921" s="12"/>
      <c r="C1921" s="26"/>
      <c r="L1921" s="25"/>
    </row>
    <row r="1922" ht="18.75" customHeight="1">
      <c r="B1922" s="12"/>
      <c r="C1922" s="26"/>
      <c r="L1922" s="25"/>
    </row>
    <row r="1923" ht="18.75" customHeight="1">
      <c r="B1923" s="12"/>
      <c r="C1923" s="26"/>
      <c r="L1923" s="25"/>
    </row>
    <row r="1924" ht="18.75" customHeight="1">
      <c r="B1924" s="12"/>
      <c r="C1924" s="26"/>
      <c r="L1924" s="25"/>
    </row>
    <row r="1925" ht="18.75" customHeight="1">
      <c r="B1925" s="12"/>
      <c r="C1925" s="26"/>
      <c r="L1925" s="25"/>
    </row>
    <row r="1926" ht="18.75" customHeight="1">
      <c r="B1926" s="12"/>
      <c r="C1926" s="26"/>
      <c r="L1926" s="25"/>
    </row>
    <row r="1927" ht="18.75" customHeight="1">
      <c r="B1927" s="12"/>
      <c r="C1927" s="26"/>
      <c r="L1927" s="25"/>
    </row>
    <row r="1928" ht="18.75" customHeight="1">
      <c r="B1928" s="12"/>
      <c r="C1928" s="26"/>
      <c r="L1928" s="25"/>
    </row>
    <row r="1929" ht="18.75" customHeight="1">
      <c r="B1929" s="12"/>
      <c r="C1929" s="26"/>
      <c r="L1929" s="25"/>
    </row>
    <row r="1930" ht="18.75" customHeight="1">
      <c r="B1930" s="12"/>
      <c r="C1930" s="26"/>
      <c r="L1930" s="25"/>
    </row>
    <row r="1931" ht="18.75" customHeight="1">
      <c r="B1931" s="12"/>
      <c r="C1931" s="26"/>
      <c r="L1931" s="25"/>
    </row>
    <row r="1932" ht="18.75" customHeight="1">
      <c r="B1932" s="12"/>
      <c r="C1932" s="26"/>
      <c r="L1932" s="25"/>
    </row>
    <row r="1933" ht="18.75" customHeight="1">
      <c r="B1933" s="12"/>
      <c r="C1933" s="26"/>
      <c r="L1933" s="25"/>
    </row>
    <row r="1934" ht="18.75" customHeight="1">
      <c r="B1934" s="12"/>
      <c r="C1934" s="26"/>
      <c r="L1934" s="25"/>
    </row>
    <row r="1935" ht="18.75" customHeight="1">
      <c r="B1935" s="12"/>
      <c r="C1935" s="26"/>
      <c r="L1935" s="25"/>
    </row>
    <row r="1936" ht="18.75" customHeight="1">
      <c r="B1936" s="12"/>
      <c r="C1936" s="26"/>
      <c r="L1936" s="25"/>
    </row>
    <row r="1937" ht="18.75" customHeight="1">
      <c r="B1937" s="12"/>
      <c r="C1937" s="26"/>
      <c r="L1937" s="25"/>
    </row>
    <row r="1938" ht="18.75" customHeight="1">
      <c r="B1938" s="12"/>
      <c r="C1938" s="26"/>
      <c r="L1938" s="25"/>
    </row>
    <row r="1939" ht="18.75" customHeight="1">
      <c r="B1939" s="12"/>
      <c r="C1939" s="26"/>
      <c r="L1939" s="25"/>
    </row>
    <row r="1940" ht="18.75" customHeight="1">
      <c r="B1940" s="12"/>
      <c r="C1940" s="26"/>
      <c r="L1940" s="25"/>
    </row>
    <row r="1941" ht="18.75" customHeight="1">
      <c r="B1941" s="12"/>
      <c r="C1941" s="26"/>
      <c r="L1941" s="25"/>
    </row>
    <row r="1942" ht="18.75" customHeight="1">
      <c r="B1942" s="12"/>
      <c r="C1942" s="26"/>
      <c r="L1942" s="25"/>
    </row>
    <row r="1943" ht="18.75" customHeight="1">
      <c r="B1943" s="12"/>
      <c r="C1943" s="26"/>
      <c r="L1943" s="25"/>
    </row>
    <row r="1944" ht="18.75" customHeight="1">
      <c r="B1944" s="12"/>
      <c r="C1944" s="26"/>
      <c r="L1944" s="25"/>
    </row>
    <row r="1945" ht="18.75" customHeight="1">
      <c r="B1945" s="12"/>
      <c r="C1945" s="26"/>
      <c r="L1945" s="25"/>
    </row>
    <row r="1946" ht="18.75" customHeight="1">
      <c r="B1946" s="12"/>
      <c r="C1946" s="26"/>
      <c r="L1946" s="25"/>
    </row>
    <row r="1947" ht="18.75" customHeight="1">
      <c r="B1947" s="12"/>
      <c r="C1947" s="26"/>
      <c r="L1947" s="25"/>
    </row>
    <row r="1948" ht="18.75" customHeight="1">
      <c r="B1948" s="12"/>
      <c r="C1948" s="26"/>
      <c r="L1948" s="25"/>
    </row>
    <row r="1949" ht="18.75" customHeight="1">
      <c r="B1949" s="12"/>
      <c r="C1949" s="26"/>
      <c r="L1949" s="25"/>
    </row>
    <row r="1950" ht="18.75" customHeight="1">
      <c r="B1950" s="12"/>
      <c r="C1950" s="26"/>
      <c r="L1950" s="25"/>
    </row>
    <row r="1951" ht="18.75" customHeight="1">
      <c r="B1951" s="12"/>
      <c r="C1951" s="26"/>
      <c r="L1951" s="25"/>
    </row>
    <row r="1952" ht="18.75" customHeight="1">
      <c r="B1952" s="12"/>
      <c r="C1952" s="26"/>
      <c r="L1952" s="25"/>
    </row>
    <row r="1953" ht="18.75" customHeight="1">
      <c r="B1953" s="12"/>
      <c r="C1953" s="26"/>
      <c r="L1953" s="25"/>
    </row>
    <row r="1954" ht="18.75" customHeight="1">
      <c r="B1954" s="12"/>
      <c r="C1954" s="26"/>
      <c r="L1954" s="25"/>
    </row>
    <row r="1955" ht="18.75" customHeight="1">
      <c r="B1955" s="12"/>
      <c r="C1955" s="26"/>
      <c r="L1955" s="25"/>
    </row>
    <row r="1956" ht="18.75" customHeight="1">
      <c r="B1956" s="12"/>
      <c r="C1956" s="26"/>
      <c r="L1956" s="25"/>
    </row>
    <row r="1957" ht="18.75" customHeight="1">
      <c r="B1957" s="12"/>
      <c r="C1957" s="26"/>
      <c r="L1957" s="25"/>
    </row>
    <row r="1958" ht="18.75" customHeight="1">
      <c r="B1958" s="12"/>
      <c r="C1958" s="26"/>
      <c r="L1958" s="25"/>
    </row>
    <row r="1959" ht="18.75" customHeight="1">
      <c r="B1959" s="12"/>
      <c r="C1959" s="26"/>
      <c r="L1959" s="25"/>
    </row>
    <row r="1960" ht="18.75" customHeight="1">
      <c r="B1960" s="12"/>
      <c r="C1960" s="26"/>
      <c r="L1960" s="25"/>
    </row>
    <row r="1961" ht="18.75" customHeight="1">
      <c r="B1961" s="12"/>
      <c r="C1961" s="26"/>
      <c r="L1961" s="25"/>
    </row>
    <row r="1962" ht="18.75" customHeight="1">
      <c r="B1962" s="12"/>
      <c r="C1962" s="26"/>
      <c r="L1962" s="25"/>
    </row>
    <row r="1963" ht="18.75" customHeight="1">
      <c r="B1963" s="12"/>
      <c r="C1963" s="26"/>
      <c r="L1963" s="25"/>
    </row>
    <row r="1964" ht="18.75" customHeight="1">
      <c r="B1964" s="12"/>
      <c r="C1964" s="26"/>
      <c r="L1964" s="25"/>
    </row>
    <row r="1965" ht="18.75" customHeight="1">
      <c r="B1965" s="12"/>
      <c r="C1965" s="26"/>
      <c r="L1965" s="25"/>
    </row>
    <row r="1966" ht="18.75" customHeight="1">
      <c r="B1966" s="12"/>
      <c r="C1966" s="26"/>
      <c r="L1966" s="25"/>
    </row>
    <row r="1967" ht="18.75" customHeight="1">
      <c r="B1967" s="12"/>
      <c r="C1967" s="26"/>
      <c r="L1967" s="25"/>
    </row>
    <row r="1968" ht="18.75" customHeight="1">
      <c r="B1968" s="12"/>
      <c r="C1968" s="26"/>
      <c r="L1968" s="25"/>
    </row>
    <row r="1969" ht="18.75" customHeight="1">
      <c r="B1969" s="12"/>
      <c r="C1969" s="26"/>
      <c r="L1969" s="25"/>
    </row>
    <row r="1970" ht="18.75" customHeight="1">
      <c r="B1970" s="12"/>
      <c r="C1970" s="26"/>
      <c r="L1970" s="25"/>
    </row>
    <row r="1971" ht="18.75" customHeight="1">
      <c r="B1971" s="12"/>
      <c r="C1971" s="26"/>
      <c r="L1971" s="25"/>
    </row>
    <row r="1972" ht="18.75" customHeight="1">
      <c r="B1972" s="12"/>
      <c r="C1972" s="26"/>
      <c r="L1972" s="25"/>
    </row>
    <row r="1973" ht="18.75" customHeight="1">
      <c r="B1973" s="12"/>
      <c r="C1973" s="26"/>
      <c r="L1973" s="25"/>
    </row>
    <row r="1974" ht="18.75" customHeight="1">
      <c r="B1974" s="12"/>
      <c r="C1974" s="26"/>
      <c r="L1974" s="25"/>
    </row>
    <row r="1975" ht="18.75" customHeight="1">
      <c r="B1975" s="12"/>
      <c r="C1975" s="26"/>
      <c r="L1975" s="25"/>
    </row>
    <row r="1976" ht="18.75" customHeight="1">
      <c r="B1976" s="12"/>
      <c r="C1976" s="26"/>
      <c r="L1976" s="25"/>
    </row>
    <row r="1977" ht="18.75" customHeight="1">
      <c r="B1977" s="12"/>
      <c r="C1977" s="26"/>
      <c r="L1977" s="25"/>
    </row>
    <row r="1978" ht="18.75" customHeight="1">
      <c r="B1978" s="12"/>
      <c r="C1978" s="26"/>
      <c r="L1978" s="25"/>
    </row>
    <row r="1979" ht="18.75" customHeight="1">
      <c r="B1979" s="12"/>
      <c r="C1979" s="26"/>
      <c r="L1979" s="25"/>
    </row>
    <row r="1980" ht="18.75" customHeight="1">
      <c r="B1980" s="12"/>
      <c r="C1980" s="26"/>
      <c r="L1980" s="25"/>
    </row>
    <row r="1981" ht="18.75" customHeight="1">
      <c r="B1981" s="12"/>
      <c r="C1981" s="26"/>
      <c r="L1981" s="25"/>
    </row>
    <row r="1982" ht="18.75" customHeight="1">
      <c r="B1982" s="12"/>
      <c r="C1982" s="26"/>
      <c r="L1982" s="25"/>
    </row>
    <row r="1983" ht="18.75" customHeight="1">
      <c r="B1983" s="12"/>
      <c r="C1983" s="26"/>
      <c r="L1983" s="25"/>
    </row>
    <row r="1984" ht="18.75" customHeight="1">
      <c r="B1984" s="12"/>
      <c r="C1984" s="26"/>
      <c r="L1984" s="25"/>
    </row>
    <row r="1985" ht="18.75" customHeight="1">
      <c r="B1985" s="12"/>
      <c r="C1985" s="26"/>
      <c r="L1985" s="25"/>
    </row>
    <row r="1986" ht="18.75" customHeight="1">
      <c r="B1986" s="12"/>
      <c r="C1986" s="26"/>
      <c r="L1986" s="25"/>
    </row>
    <row r="1987" ht="18.75" customHeight="1">
      <c r="B1987" s="12"/>
      <c r="C1987" s="26"/>
      <c r="L1987" s="25"/>
    </row>
    <row r="1988" ht="18.75" customHeight="1">
      <c r="B1988" s="12"/>
      <c r="C1988" s="26"/>
      <c r="L1988" s="25"/>
    </row>
    <row r="1989" ht="18.75" customHeight="1">
      <c r="B1989" s="12"/>
      <c r="C1989" s="26"/>
      <c r="L1989" s="25"/>
    </row>
    <row r="1990" ht="18.75" customHeight="1">
      <c r="B1990" s="12"/>
      <c r="C1990" s="26"/>
      <c r="L1990" s="25"/>
    </row>
    <row r="1991" ht="18.75" customHeight="1">
      <c r="B1991" s="12"/>
      <c r="C1991" s="26"/>
      <c r="L1991" s="25"/>
    </row>
    <row r="1992" ht="18.75" customHeight="1">
      <c r="B1992" s="12"/>
      <c r="C1992" s="26"/>
      <c r="L1992" s="25"/>
    </row>
    <row r="1993" ht="18.75" customHeight="1">
      <c r="B1993" s="12"/>
      <c r="C1993" s="26"/>
      <c r="L1993" s="25"/>
    </row>
    <row r="1994" ht="18.75" customHeight="1">
      <c r="B1994" s="12"/>
      <c r="C1994" s="26"/>
      <c r="L1994" s="25"/>
    </row>
    <row r="1995" ht="18.75" customHeight="1">
      <c r="B1995" s="12"/>
      <c r="C1995" s="26"/>
      <c r="L1995" s="25"/>
    </row>
    <row r="1996" ht="18.75" customHeight="1">
      <c r="B1996" s="12"/>
      <c r="C1996" s="26"/>
      <c r="L1996" s="25"/>
    </row>
    <row r="1997" ht="18.75" customHeight="1">
      <c r="B1997" s="12"/>
      <c r="C1997" s="26"/>
      <c r="L1997" s="25"/>
    </row>
    <row r="1998" ht="18.75" customHeight="1">
      <c r="B1998" s="12"/>
      <c r="C1998" s="26"/>
      <c r="L1998" s="25"/>
    </row>
    <row r="1999" ht="18.75" customHeight="1">
      <c r="B1999" s="12"/>
      <c r="C1999" s="26"/>
      <c r="L1999" s="25"/>
    </row>
    <row r="2000" ht="18.75" customHeight="1">
      <c r="B2000" s="12"/>
      <c r="C2000" s="26"/>
      <c r="L2000" s="25"/>
    </row>
    <row r="2001" ht="18.75" customHeight="1">
      <c r="B2001" s="12"/>
      <c r="C2001" s="26"/>
      <c r="L2001" s="25"/>
    </row>
    <row r="2002" ht="18.75" customHeight="1">
      <c r="B2002" s="12"/>
      <c r="C2002" s="26"/>
      <c r="L2002" s="25"/>
    </row>
    <row r="2003" ht="18.75" customHeight="1">
      <c r="B2003" s="12"/>
      <c r="C2003" s="26"/>
      <c r="L2003" s="25"/>
    </row>
    <row r="2004" ht="18.75" customHeight="1">
      <c r="B2004" s="12"/>
      <c r="C2004" s="26"/>
      <c r="L2004" s="25"/>
    </row>
    <row r="2005" ht="18.75" customHeight="1">
      <c r="B2005" s="12"/>
      <c r="C2005" s="26"/>
      <c r="L2005" s="25"/>
    </row>
    <row r="2006" ht="18.75" customHeight="1">
      <c r="B2006" s="12"/>
      <c r="C2006" s="26"/>
      <c r="L2006" s="25"/>
    </row>
    <row r="2007" ht="18.75" customHeight="1">
      <c r="B2007" s="12"/>
      <c r="C2007" s="26"/>
      <c r="L2007" s="25"/>
    </row>
    <row r="2008" ht="18.75" customHeight="1">
      <c r="B2008" s="12"/>
      <c r="C2008" s="26"/>
      <c r="L2008" s="25"/>
    </row>
    <row r="2009" ht="18.75" customHeight="1">
      <c r="B2009" s="12"/>
      <c r="C2009" s="26"/>
      <c r="L2009" s="25"/>
    </row>
    <row r="2010" ht="18.75" customHeight="1">
      <c r="B2010" s="12"/>
      <c r="C2010" s="26"/>
      <c r="L2010" s="25"/>
    </row>
    <row r="2011" ht="18.75" customHeight="1">
      <c r="B2011" s="12"/>
      <c r="C2011" s="26"/>
      <c r="L2011" s="25"/>
    </row>
    <row r="2012" ht="18.75" customHeight="1">
      <c r="B2012" s="12"/>
      <c r="C2012" s="26"/>
      <c r="L2012" s="25"/>
    </row>
    <row r="2013" ht="18.75" customHeight="1">
      <c r="B2013" s="12"/>
      <c r="C2013" s="26"/>
      <c r="L2013" s="25"/>
    </row>
    <row r="2014" ht="18.75" customHeight="1">
      <c r="B2014" s="12"/>
      <c r="C2014" s="26"/>
      <c r="L2014" s="25"/>
    </row>
    <row r="2015" ht="18.75" customHeight="1">
      <c r="B2015" s="12"/>
      <c r="C2015" s="26"/>
      <c r="L2015" s="25"/>
    </row>
    <row r="2016" ht="18.75" customHeight="1">
      <c r="B2016" s="12"/>
      <c r="C2016" s="26"/>
      <c r="L2016" s="25"/>
    </row>
    <row r="2017" ht="18.75" customHeight="1">
      <c r="B2017" s="12"/>
      <c r="C2017" s="26"/>
      <c r="L2017" s="25"/>
    </row>
    <row r="2018" ht="18.75" customHeight="1">
      <c r="B2018" s="12"/>
      <c r="C2018" s="26"/>
      <c r="L2018" s="25"/>
    </row>
    <row r="2019" ht="18.75" customHeight="1">
      <c r="B2019" s="12"/>
      <c r="C2019" s="26"/>
      <c r="L2019" s="25"/>
    </row>
    <row r="2020" ht="18.75" customHeight="1">
      <c r="B2020" s="12"/>
      <c r="C2020" s="26"/>
      <c r="L2020" s="25"/>
    </row>
    <row r="2021" ht="18.75" customHeight="1">
      <c r="B2021" s="12"/>
      <c r="C2021" s="26"/>
      <c r="L2021" s="25"/>
    </row>
    <row r="2022" ht="18.75" customHeight="1">
      <c r="B2022" s="12"/>
      <c r="C2022" s="26"/>
      <c r="L2022" s="25"/>
    </row>
    <row r="2023" ht="18.75" customHeight="1">
      <c r="B2023" s="12"/>
      <c r="C2023" s="26"/>
      <c r="L2023" s="25"/>
    </row>
    <row r="2024" ht="18.75" customHeight="1">
      <c r="B2024" s="12"/>
      <c r="C2024" s="26"/>
      <c r="L2024" s="25"/>
    </row>
    <row r="2025" ht="18.75" customHeight="1">
      <c r="B2025" s="12"/>
      <c r="C2025" s="26"/>
      <c r="L2025" s="25"/>
    </row>
    <row r="2026" ht="18.75" customHeight="1">
      <c r="B2026" s="12"/>
      <c r="C2026" s="26"/>
      <c r="L2026" s="25"/>
    </row>
    <row r="2027" ht="18.75" customHeight="1">
      <c r="B2027" s="12"/>
      <c r="C2027" s="26"/>
      <c r="L2027" s="25"/>
    </row>
    <row r="2028" ht="18.75" customHeight="1">
      <c r="B2028" s="12"/>
      <c r="C2028" s="26"/>
      <c r="L2028" s="25"/>
    </row>
    <row r="2029" ht="18.75" customHeight="1">
      <c r="B2029" s="12"/>
      <c r="C2029" s="26"/>
      <c r="L2029" s="25"/>
    </row>
    <row r="2030" ht="18.75" customHeight="1">
      <c r="B2030" s="12"/>
      <c r="C2030" s="26"/>
      <c r="L2030" s="25"/>
    </row>
    <row r="2031" ht="18.75" customHeight="1">
      <c r="B2031" s="12"/>
      <c r="C2031" s="26"/>
      <c r="L2031" s="25"/>
    </row>
    <row r="2032" ht="18.75" customHeight="1">
      <c r="B2032" s="12"/>
      <c r="C2032" s="26"/>
      <c r="L2032" s="25"/>
    </row>
    <row r="2033" ht="18.75" customHeight="1">
      <c r="B2033" s="12"/>
      <c r="C2033" s="26"/>
      <c r="L2033" s="25"/>
    </row>
    <row r="2034" ht="18.75" customHeight="1">
      <c r="B2034" s="12"/>
      <c r="C2034" s="26"/>
      <c r="L2034" s="25"/>
    </row>
    <row r="2035" ht="18.75" customHeight="1">
      <c r="B2035" s="12"/>
      <c r="C2035" s="26"/>
      <c r="L2035" s="25"/>
    </row>
    <row r="2036" ht="18.75" customHeight="1">
      <c r="B2036" s="12"/>
      <c r="C2036" s="26"/>
      <c r="L2036" s="25"/>
    </row>
    <row r="2037" ht="18.75" customHeight="1">
      <c r="B2037" s="12"/>
      <c r="C2037" s="26"/>
      <c r="L2037" s="25"/>
    </row>
    <row r="2038" ht="18.75" customHeight="1">
      <c r="B2038" s="12"/>
      <c r="C2038" s="26"/>
      <c r="L2038" s="25"/>
    </row>
    <row r="2039" ht="18.75" customHeight="1">
      <c r="B2039" s="12"/>
      <c r="C2039" s="26"/>
      <c r="L2039" s="25"/>
    </row>
    <row r="2040" ht="18.75" customHeight="1">
      <c r="B2040" s="12"/>
      <c r="C2040" s="26"/>
      <c r="L2040" s="25"/>
    </row>
    <row r="2041" ht="18.75" customHeight="1">
      <c r="B2041" s="12"/>
      <c r="C2041" s="26"/>
      <c r="L2041" s="25"/>
    </row>
    <row r="2042" ht="18.75" customHeight="1">
      <c r="B2042" s="12"/>
      <c r="C2042" s="26"/>
      <c r="L2042" s="25"/>
    </row>
    <row r="2043" ht="18.75" customHeight="1">
      <c r="B2043" s="12"/>
      <c r="C2043" s="26"/>
      <c r="L2043" s="25"/>
    </row>
    <row r="2044" ht="18.75" customHeight="1">
      <c r="B2044" s="12"/>
      <c r="C2044" s="26"/>
      <c r="L2044" s="25"/>
    </row>
    <row r="2045" ht="18.75" customHeight="1">
      <c r="B2045" s="12"/>
      <c r="C2045" s="26"/>
      <c r="L2045" s="25"/>
    </row>
    <row r="2046" ht="18.75" customHeight="1">
      <c r="B2046" s="12"/>
      <c r="C2046" s="26"/>
      <c r="L2046" s="25"/>
    </row>
    <row r="2047" ht="18.75" customHeight="1">
      <c r="B2047" s="12"/>
      <c r="C2047" s="26"/>
      <c r="L2047" s="25"/>
    </row>
    <row r="2048" ht="18.75" customHeight="1">
      <c r="B2048" s="12"/>
      <c r="C2048" s="26"/>
      <c r="L2048" s="25"/>
    </row>
    <row r="2049" ht="18.75" customHeight="1">
      <c r="B2049" s="12"/>
      <c r="C2049" s="26"/>
      <c r="L2049" s="25"/>
    </row>
    <row r="2050" ht="18.75" customHeight="1">
      <c r="B2050" s="12"/>
      <c r="C2050" s="26"/>
      <c r="L2050" s="25"/>
    </row>
    <row r="2051" ht="18.75" customHeight="1">
      <c r="B2051" s="12"/>
      <c r="C2051" s="26"/>
      <c r="L2051" s="25"/>
    </row>
    <row r="2052" ht="18.75" customHeight="1">
      <c r="B2052" s="12"/>
      <c r="C2052" s="26"/>
      <c r="L2052" s="25"/>
    </row>
    <row r="2053" ht="18.75" customHeight="1">
      <c r="B2053" s="12"/>
      <c r="C2053" s="26"/>
      <c r="L2053" s="25"/>
    </row>
    <row r="2054" ht="18.75" customHeight="1">
      <c r="B2054" s="12"/>
      <c r="C2054" s="26"/>
      <c r="L2054" s="25"/>
    </row>
    <row r="2055" ht="18.75" customHeight="1">
      <c r="B2055" s="12"/>
      <c r="C2055" s="26"/>
      <c r="L2055" s="25"/>
    </row>
    <row r="2056" ht="18.75" customHeight="1">
      <c r="B2056" s="12"/>
      <c r="C2056" s="26"/>
      <c r="L2056" s="25"/>
    </row>
    <row r="2057" ht="18.75" customHeight="1">
      <c r="B2057" s="12"/>
      <c r="C2057" s="26"/>
      <c r="L2057" s="25"/>
    </row>
    <row r="2058" ht="18.75" customHeight="1">
      <c r="B2058" s="12"/>
      <c r="C2058" s="26"/>
      <c r="L2058" s="25"/>
    </row>
    <row r="2059" ht="18.75" customHeight="1">
      <c r="B2059" s="12"/>
      <c r="C2059" s="26"/>
      <c r="L2059" s="25"/>
    </row>
    <row r="2060" ht="18.75" customHeight="1">
      <c r="B2060" s="12"/>
      <c r="C2060" s="26"/>
      <c r="L2060" s="25"/>
    </row>
    <row r="2061" ht="18.75" customHeight="1">
      <c r="B2061" s="12"/>
      <c r="C2061" s="26"/>
      <c r="L2061" s="25"/>
    </row>
    <row r="2062" ht="18.75" customHeight="1">
      <c r="B2062" s="12"/>
      <c r="C2062" s="26"/>
      <c r="L2062" s="25"/>
    </row>
    <row r="2063" ht="18.75" customHeight="1">
      <c r="B2063" s="12"/>
      <c r="C2063" s="26"/>
      <c r="L2063" s="25"/>
    </row>
    <row r="2064" ht="18.75" customHeight="1">
      <c r="B2064" s="12"/>
      <c r="C2064" s="26"/>
      <c r="L2064" s="25"/>
    </row>
    <row r="2065" ht="18.75" customHeight="1">
      <c r="B2065" s="12"/>
      <c r="C2065" s="26"/>
      <c r="L2065" s="25"/>
    </row>
    <row r="2066" ht="18.75" customHeight="1">
      <c r="B2066" s="12"/>
      <c r="C2066" s="26"/>
      <c r="L2066" s="25"/>
    </row>
    <row r="2067" ht="18.75" customHeight="1">
      <c r="B2067" s="12"/>
      <c r="C2067" s="26"/>
      <c r="L2067" s="25"/>
    </row>
    <row r="2068" ht="18.75" customHeight="1">
      <c r="B2068" s="12"/>
      <c r="C2068" s="26"/>
      <c r="L2068" s="25"/>
    </row>
    <row r="2069" ht="18.75" customHeight="1">
      <c r="B2069" s="12"/>
      <c r="C2069" s="26"/>
      <c r="L2069" s="25"/>
    </row>
    <row r="2070" ht="18.75" customHeight="1">
      <c r="B2070" s="12"/>
      <c r="C2070" s="26"/>
      <c r="L2070" s="25"/>
    </row>
    <row r="2071" ht="18.75" customHeight="1">
      <c r="B2071" s="12"/>
      <c r="C2071" s="26"/>
      <c r="L2071" s="25"/>
    </row>
    <row r="2072" ht="18.75" customHeight="1">
      <c r="B2072" s="12"/>
      <c r="C2072" s="26"/>
      <c r="L2072" s="25"/>
    </row>
    <row r="2073" ht="18.75" customHeight="1">
      <c r="B2073" s="12"/>
      <c r="C2073" s="26"/>
      <c r="L2073" s="25"/>
    </row>
    <row r="2074" ht="18.75" customHeight="1">
      <c r="B2074" s="12"/>
      <c r="C2074" s="26"/>
      <c r="L2074" s="25"/>
    </row>
    <row r="2075" ht="18.75" customHeight="1">
      <c r="B2075" s="12"/>
      <c r="C2075" s="26"/>
      <c r="L2075" s="25"/>
    </row>
    <row r="2076" ht="18.75" customHeight="1">
      <c r="B2076" s="12"/>
      <c r="C2076" s="26"/>
      <c r="L2076" s="25"/>
    </row>
    <row r="2077" ht="18.75" customHeight="1">
      <c r="B2077" s="12"/>
      <c r="C2077" s="26"/>
      <c r="L2077" s="25"/>
    </row>
    <row r="2078" ht="18.75" customHeight="1">
      <c r="B2078" s="12"/>
      <c r="C2078" s="26"/>
      <c r="L2078" s="25"/>
    </row>
    <row r="2079" ht="18.75" customHeight="1">
      <c r="B2079" s="12"/>
      <c r="C2079" s="26"/>
      <c r="L2079" s="25"/>
    </row>
    <row r="2080" ht="18.75" customHeight="1">
      <c r="B2080" s="12"/>
      <c r="C2080" s="26"/>
      <c r="L2080" s="25"/>
    </row>
    <row r="2081" ht="18.75" customHeight="1">
      <c r="B2081" s="12"/>
      <c r="C2081" s="26"/>
      <c r="L2081" s="25"/>
    </row>
    <row r="2082" ht="18.75" customHeight="1">
      <c r="B2082" s="12"/>
      <c r="C2082" s="26"/>
      <c r="L2082" s="25"/>
    </row>
    <row r="2083" ht="18.75" customHeight="1">
      <c r="B2083" s="12"/>
      <c r="C2083" s="26"/>
      <c r="L2083" s="25"/>
    </row>
    <row r="2084" ht="18.75" customHeight="1">
      <c r="B2084" s="12"/>
      <c r="C2084" s="26"/>
      <c r="L2084" s="25"/>
    </row>
    <row r="2085" ht="18.75" customHeight="1">
      <c r="B2085" s="12"/>
      <c r="C2085" s="26"/>
      <c r="L2085" s="25"/>
    </row>
    <row r="2086" ht="18.75" customHeight="1">
      <c r="B2086" s="12"/>
      <c r="C2086" s="26"/>
      <c r="L2086" s="25"/>
    </row>
    <row r="2087" ht="18.75" customHeight="1">
      <c r="B2087" s="12"/>
      <c r="C2087" s="26"/>
      <c r="L2087" s="25"/>
    </row>
    <row r="2088" ht="18.75" customHeight="1">
      <c r="B2088" s="12"/>
      <c r="C2088" s="26"/>
      <c r="L2088" s="25"/>
    </row>
    <row r="2089" ht="18.75" customHeight="1">
      <c r="B2089" s="12"/>
      <c r="C2089" s="26"/>
      <c r="L2089" s="25"/>
    </row>
    <row r="2090" ht="18.75" customHeight="1">
      <c r="B2090" s="12"/>
      <c r="C2090" s="26"/>
      <c r="L2090" s="25"/>
    </row>
    <row r="2091" ht="18.75" customHeight="1">
      <c r="B2091" s="12"/>
      <c r="C2091" s="26"/>
      <c r="L2091" s="25"/>
    </row>
    <row r="2092" ht="18.75" customHeight="1">
      <c r="B2092" s="12"/>
      <c r="C2092" s="26"/>
      <c r="L2092" s="25"/>
    </row>
    <row r="2093" ht="18.75" customHeight="1">
      <c r="B2093" s="12"/>
      <c r="C2093" s="26"/>
      <c r="L2093" s="25"/>
    </row>
    <row r="2094" ht="18.75" customHeight="1">
      <c r="B2094" s="12"/>
      <c r="C2094" s="26"/>
      <c r="L2094" s="25"/>
    </row>
    <row r="2095" ht="18.75" customHeight="1">
      <c r="B2095" s="12"/>
      <c r="C2095" s="26"/>
      <c r="L2095" s="25"/>
    </row>
    <row r="2096" ht="18.75" customHeight="1">
      <c r="B2096" s="12"/>
      <c r="C2096" s="26"/>
      <c r="L2096" s="25"/>
    </row>
    <row r="2097" ht="18.75" customHeight="1">
      <c r="B2097" s="12"/>
      <c r="C2097" s="26"/>
      <c r="L2097" s="25"/>
    </row>
    <row r="2098" ht="18.75" customHeight="1">
      <c r="B2098" s="12"/>
      <c r="C2098" s="26"/>
      <c r="L2098" s="25"/>
    </row>
    <row r="2099" ht="18.75" customHeight="1">
      <c r="B2099" s="12"/>
      <c r="C2099" s="26"/>
      <c r="L2099" s="25"/>
    </row>
    <row r="2100" ht="18.75" customHeight="1">
      <c r="B2100" s="12"/>
      <c r="C2100" s="26"/>
      <c r="L2100" s="25"/>
    </row>
    <row r="2101" ht="18.75" customHeight="1">
      <c r="B2101" s="12"/>
      <c r="C2101" s="26"/>
      <c r="L2101" s="25"/>
    </row>
    <row r="2102" ht="18.75" customHeight="1">
      <c r="B2102" s="12"/>
      <c r="C2102" s="26"/>
      <c r="L2102" s="25"/>
    </row>
    <row r="2103" ht="18.75" customHeight="1">
      <c r="B2103" s="12"/>
      <c r="C2103" s="26"/>
      <c r="L2103" s="25"/>
    </row>
    <row r="2104" ht="18.75" customHeight="1">
      <c r="B2104" s="12"/>
      <c r="C2104" s="26"/>
      <c r="L2104" s="25"/>
    </row>
    <row r="2105" ht="18.75" customHeight="1">
      <c r="B2105" s="12"/>
      <c r="C2105" s="26"/>
      <c r="L2105" s="25"/>
    </row>
    <row r="2106" ht="18.75" customHeight="1">
      <c r="B2106" s="12"/>
      <c r="C2106" s="26"/>
      <c r="L2106" s="25"/>
    </row>
    <row r="2107" ht="18.75" customHeight="1">
      <c r="B2107" s="12"/>
      <c r="C2107" s="26"/>
      <c r="L2107" s="25"/>
    </row>
    <row r="2108" ht="18.75" customHeight="1">
      <c r="B2108" s="12"/>
      <c r="C2108" s="26"/>
      <c r="L2108" s="25"/>
    </row>
    <row r="2109" ht="18.75" customHeight="1">
      <c r="B2109" s="12"/>
      <c r="C2109" s="26"/>
      <c r="L2109" s="25"/>
    </row>
    <row r="2110" ht="18.75" customHeight="1">
      <c r="B2110" s="12"/>
      <c r="C2110" s="26"/>
      <c r="L2110" s="25"/>
    </row>
    <row r="2111" ht="18.75" customHeight="1">
      <c r="B2111" s="12"/>
      <c r="C2111" s="26"/>
      <c r="L2111" s="25"/>
    </row>
    <row r="2112" ht="18.75" customHeight="1">
      <c r="B2112" s="12"/>
      <c r="C2112" s="26"/>
      <c r="L2112" s="25"/>
    </row>
    <row r="2113" ht="18.75" customHeight="1">
      <c r="B2113" s="12"/>
      <c r="C2113" s="26"/>
      <c r="L2113" s="25"/>
    </row>
    <row r="2114" ht="18.75" customHeight="1">
      <c r="B2114" s="12"/>
      <c r="C2114" s="26"/>
      <c r="L2114" s="25"/>
    </row>
    <row r="2115" ht="18.75" customHeight="1">
      <c r="B2115" s="12"/>
      <c r="C2115" s="26"/>
      <c r="L2115" s="25"/>
    </row>
    <row r="2116" ht="18.75" customHeight="1">
      <c r="B2116" s="12"/>
      <c r="C2116" s="26"/>
      <c r="L2116" s="25"/>
    </row>
    <row r="2117" ht="18.75" customHeight="1">
      <c r="B2117" s="12"/>
      <c r="C2117" s="26"/>
      <c r="L2117" s="25"/>
    </row>
    <row r="2118" ht="18.75" customHeight="1">
      <c r="B2118" s="12"/>
      <c r="C2118" s="26"/>
      <c r="L2118" s="25"/>
    </row>
    <row r="2119" ht="18.75" customHeight="1">
      <c r="B2119" s="12"/>
      <c r="C2119" s="26"/>
      <c r="L2119" s="25"/>
    </row>
    <row r="2120" ht="18.75" customHeight="1">
      <c r="B2120" s="12"/>
      <c r="C2120" s="26"/>
      <c r="L2120" s="25"/>
    </row>
    <row r="2121" ht="18.75" customHeight="1">
      <c r="B2121" s="12"/>
      <c r="C2121" s="26"/>
      <c r="L2121" s="25"/>
    </row>
    <row r="2122" ht="18.75" customHeight="1">
      <c r="B2122" s="12"/>
      <c r="C2122" s="26"/>
      <c r="L2122" s="25"/>
    </row>
    <row r="2123" ht="18.75" customHeight="1">
      <c r="B2123" s="12"/>
      <c r="C2123" s="26"/>
      <c r="L2123" s="25"/>
    </row>
    <row r="2124" ht="18.75" customHeight="1">
      <c r="B2124" s="12"/>
      <c r="C2124" s="26"/>
      <c r="L2124" s="25"/>
    </row>
    <row r="2125" ht="18.75" customHeight="1">
      <c r="B2125" s="12"/>
      <c r="C2125" s="26"/>
      <c r="L2125" s="25"/>
    </row>
    <row r="2126" ht="18.75" customHeight="1">
      <c r="B2126" s="12"/>
      <c r="C2126" s="26"/>
      <c r="L2126" s="25"/>
    </row>
    <row r="2127" ht="18.75" customHeight="1">
      <c r="B2127" s="12"/>
      <c r="C2127" s="26"/>
      <c r="L2127" s="25"/>
    </row>
    <row r="2128" ht="18.75" customHeight="1">
      <c r="B2128" s="12"/>
      <c r="C2128" s="26"/>
      <c r="L2128" s="25"/>
    </row>
    <row r="2129" ht="18.75" customHeight="1">
      <c r="B2129" s="12"/>
      <c r="C2129" s="26"/>
      <c r="L2129" s="25"/>
    </row>
    <row r="2130" ht="18.75" customHeight="1">
      <c r="B2130" s="12"/>
      <c r="C2130" s="26"/>
      <c r="L2130" s="25"/>
    </row>
    <row r="2131" ht="18.75" customHeight="1">
      <c r="B2131" s="12"/>
      <c r="C2131" s="26"/>
      <c r="L2131" s="25"/>
    </row>
    <row r="2132" ht="18.75" customHeight="1">
      <c r="B2132" s="12"/>
      <c r="C2132" s="26"/>
      <c r="L2132" s="25"/>
    </row>
    <row r="2133" ht="18.75" customHeight="1">
      <c r="B2133" s="12"/>
      <c r="C2133" s="26"/>
      <c r="L2133" s="25"/>
    </row>
    <row r="2134" ht="18.75" customHeight="1">
      <c r="B2134" s="12"/>
      <c r="C2134" s="26"/>
      <c r="L2134" s="25"/>
    </row>
    <row r="2135" ht="18.75" customHeight="1">
      <c r="B2135" s="12"/>
      <c r="C2135" s="26"/>
      <c r="L2135" s="25"/>
    </row>
    <row r="2136" ht="18.75" customHeight="1">
      <c r="B2136" s="12"/>
      <c r="C2136" s="26"/>
      <c r="L2136" s="25"/>
    </row>
    <row r="2137" ht="18.75" customHeight="1">
      <c r="B2137" s="12"/>
      <c r="C2137" s="26"/>
      <c r="L2137" s="25"/>
    </row>
    <row r="2138" ht="18.75" customHeight="1">
      <c r="B2138" s="12"/>
      <c r="C2138" s="26"/>
      <c r="L2138" s="25"/>
    </row>
    <row r="2139" ht="18.75" customHeight="1">
      <c r="B2139" s="12"/>
      <c r="C2139" s="26"/>
      <c r="L2139" s="25"/>
    </row>
    <row r="2140" ht="18.75" customHeight="1">
      <c r="B2140" s="12"/>
      <c r="C2140" s="26"/>
      <c r="L2140" s="25"/>
    </row>
    <row r="2141" ht="18.75" customHeight="1">
      <c r="B2141" s="12"/>
      <c r="C2141" s="26"/>
      <c r="L2141" s="25"/>
    </row>
    <row r="2142" ht="18.75" customHeight="1">
      <c r="B2142" s="12"/>
      <c r="C2142" s="26"/>
      <c r="L2142" s="25"/>
    </row>
    <row r="2143" ht="18.75" customHeight="1">
      <c r="B2143" s="12"/>
      <c r="C2143" s="26"/>
      <c r="L2143" s="25"/>
    </row>
    <row r="2144" ht="18.75" customHeight="1">
      <c r="B2144" s="12"/>
      <c r="C2144" s="26"/>
      <c r="L2144" s="25"/>
    </row>
    <row r="2145" ht="18.75" customHeight="1">
      <c r="B2145" s="12"/>
      <c r="C2145" s="26"/>
      <c r="L2145" s="25"/>
    </row>
    <row r="2146" ht="18.75" customHeight="1">
      <c r="B2146" s="12"/>
      <c r="C2146" s="26"/>
      <c r="L2146" s="25"/>
    </row>
    <row r="2147" ht="18.75" customHeight="1">
      <c r="B2147" s="12"/>
      <c r="C2147" s="26"/>
      <c r="L2147" s="25"/>
    </row>
    <row r="2148" ht="18.75" customHeight="1">
      <c r="B2148" s="12"/>
      <c r="C2148" s="26"/>
      <c r="L2148" s="25"/>
    </row>
    <row r="2149" ht="18.75" customHeight="1">
      <c r="B2149" s="12"/>
      <c r="C2149" s="26"/>
      <c r="L2149" s="25"/>
    </row>
    <row r="2150" ht="18.75" customHeight="1">
      <c r="B2150" s="12"/>
      <c r="C2150" s="26"/>
      <c r="L2150" s="25"/>
    </row>
    <row r="2151" ht="18.75" customHeight="1">
      <c r="B2151" s="12"/>
      <c r="C2151" s="26"/>
      <c r="L2151" s="25"/>
    </row>
    <row r="2152" ht="18.75" customHeight="1">
      <c r="B2152" s="12"/>
      <c r="C2152" s="26"/>
      <c r="L2152" s="25"/>
    </row>
    <row r="2153" ht="18.75" customHeight="1">
      <c r="B2153" s="12"/>
      <c r="C2153" s="26"/>
      <c r="L2153" s="25"/>
    </row>
    <row r="2154" ht="18.75" customHeight="1">
      <c r="B2154" s="12"/>
      <c r="C2154" s="26"/>
      <c r="L2154" s="25"/>
    </row>
    <row r="2155" ht="18.75" customHeight="1">
      <c r="B2155" s="12"/>
      <c r="C2155" s="26"/>
      <c r="L2155" s="25"/>
    </row>
    <row r="2156" ht="18.75" customHeight="1">
      <c r="B2156" s="12"/>
      <c r="C2156" s="26"/>
      <c r="L2156" s="25"/>
    </row>
    <row r="2157" ht="18.75" customHeight="1">
      <c r="B2157" s="12"/>
      <c r="C2157" s="26"/>
      <c r="L2157" s="25"/>
    </row>
    <row r="2158" ht="18.75" customHeight="1">
      <c r="B2158" s="12"/>
      <c r="C2158" s="26"/>
      <c r="L2158" s="25"/>
    </row>
    <row r="2159" ht="18.75" customHeight="1">
      <c r="B2159" s="12"/>
      <c r="C2159" s="26"/>
      <c r="L2159" s="25"/>
    </row>
    <row r="2160" ht="18.75" customHeight="1">
      <c r="B2160" s="12"/>
      <c r="C2160" s="26"/>
      <c r="L2160" s="25"/>
    </row>
    <row r="2161" ht="18.75" customHeight="1">
      <c r="B2161" s="12"/>
      <c r="C2161" s="26"/>
      <c r="L2161" s="25"/>
    </row>
    <row r="2162" ht="18.75" customHeight="1">
      <c r="B2162" s="12"/>
      <c r="C2162" s="26"/>
      <c r="L2162" s="25"/>
    </row>
    <row r="2163" ht="18.75" customHeight="1">
      <c r="B2163" s="12"/>
      <c r="C2163" s="26"/>
      <c r="L2163" s="25"/>
    </row>
    <row r="2164" ht="18.75" customHeight="1">
      <c r="B2164" s="12"/>
      <c r="C2164" s="26"/>
      <c r="L2164" s="25"/>
    </row>
    <row r="2165" ht="18.75" customHeight="1">
      <c r="B2165" s="12"/>
      <c r="C2165" s="26"/>
      <c r="L2165" s="25"/>
    </row>
    <row r="2166" ht="18.75" customHeight="1">
      <c r="B2166" s="12"/>
      <c r="C2166" s="26"/>
      <c r="L2166" s="25"/>
    </row>
    <row r="2167" ht="18.75" customHeight="1">
      <c r="B2167" s="12"/>
      <c r="C2167" s="26"/>
      <c r="L2167" s="25"/>
    </row>
    <row r="2168" ht="18.75" customHeight="1">
      <c r="B2168" s="12"/>
      <c r="C2168" s="26"/>
      <c r="L2168" s="25"/>
    </row>
    <row r="2169" ht="18.75" customHeight="1">
      <c r="B2169" s="12"/>
      <c r="C2169" s="26"/>
      <c r="L2169" s="25"/>
    </row>
    <row r="2170" ht="18.75" customHeight="1">
      <c r="B2170" s="12"/>
      <c r="C2170" s="26"/>
      <c r="L2170" s="25"/>
    </row>
    <row r="2171" ht="18.75" customHeight="1">
      <c r="B2171" s="12"/>
      <c r="C2171" s="26"/>
      <c r="L2171" s="25"/>
    </row>
    <row r="2172" ht="18.75" customHeight="1">
      <c r="B2172" s="12"/>
      <c r="C2172" s="26"/>
      <c r="L2172" s="25"/>
    </row>
    <row r="2173" ht="18.75" customHeight="1">
      <c r="B2173" s="12"/>
      <c r="C2173" s="26"/>
      <c r="L2173" s="25"/>
    </row>
    <row r="2174" ht="18.75" customHeight="1">
      <c r="B2174" s="12"/>
      <c r="C2174" s="26"/>
      <c r="L2174" s="25"/>
    </row>
    <row r="2175" ht="18.75" customHeight="1">
      <c r="B2175" s="12"/>
      <c r="C2175" s="26"/>
      <c r="L2175" s="25"/>
    </row>
    <row r="2176" ht="18.75" customHeight="1">
      <c r="B2176" s="12"/>
      <c r="C2176" s="26"/>
      <c r="L2176" s="25"/>
    </row>
    <row r="2177" ht="18.75" customHeight="1">
      <c r="B2177" s="12"/>
      <c r="C2177" s="26"/>
      <c r="L2177" s="25"/>
    </row>
    <row r="2178" ht="18.75" customHeight="1">
      <c r="B2178" s="12"/>
      <c r="C2178" s="26"/>
      <c r="L2178" s="25"/>
    </row>
    <row r="2179" ht="18.75" customHeight="1">
      <c r="B2179" s="12"/>
      <c r="C2179" s="26"/>
      <c r="L2179" s="25"/>
    </row>
    <row r="2180" ht="18.75" customHeight="1">
      <c r="B2180" s="12"/>
      <c r="C2180" s="26"/>
      <c r="L2180" s="25"/>
    </row>
    <row r="2181" ht="18.75" customHeight="1">
      <c r="B2181" s="12"/>
      <c r="C2181" s="26"/>
      <c r="L2181" s="25"/>
    </row>
    <row r="2182" ht="18.75" customHeight="1">
      <c r="B2182" s="12"/>
      <c r="C2182" s="26"/>
      <c r="L2182" s="25"/>
    </row>
    <row r="2183" ht="18.75" customHeight="1">
      <c r="B2183" s="12"/>
      <c r="C2183" s="26"/>
      <c r="L2183" s="25"/>
    </row>
    <row r="2184" ht="18.75" customHeight="1">
      <c r="B2184" s="12"/>
      <c r="C2184" s="26"/>
      <c r="L2184" s="25"/>
    </row>
    <row r="2185" ht="18.75" customHeight="1">
      <c r="B2185" s="12"/>
      <c r="C2185" s="26"/>
      <c r="L2185" s="25"/>
    </row>
    <row r="2186" ht="18.75" customHeight="1">
      <c r="B2186" s="12"/>
      <c r="C2186" s="26"/>
      <c r="L2186" s="25"/>
    </row>
    <row r="2187" ht="18.75" customHeight="1">
      <c r="B2187" s="12"/>
      <c r="C2187" s="26"/>
      <c r="L2187" s="25"/>
    </row>
    <row r="2188" ht="18.75" customHeight="1">
      <c r="B2188" s="12"/>
      <c r="C2188" s="26"/>
      <c r="L2188" s="25"/>
    </row>
    <row r="2189" ht="18.75" customHeight="1">
      <c r="B2189" s="12"/>
      <c r="C2189" s="26"/>
      <c r="L2189" s="25"/>
    </row>
    <row r="2190" ht="18.75" customHeight="1">
      <c r="B2190" s="12"/>
      <c r="C2190" s="26"/>
      <c r="L2190" s="25"/>
    </row>
    <row r="2191" ht="18.75" customHeight="1">
      <c r="B2191" s="12"/>
      <c r="C2191" s="26"/>
      <c r="L2191" s="25"/>
    </row>
    <row r="2192" ht="18.75" customHeight="1">
      <c r="B2192" s="12"/>
      <c r="C2192" s="26"/>
      <c r="L2192" s="25"/>
    </row>
    <row r="2193" ht="18.75" customHeight="1">
      <c r="B2193" s="12"/>
      <c r="C2193" s="26"/>
      <c r="L2193" s="25"/>
    </row>
    <row r="2194" ht="18.75" customHeight="1">
      <c r="B2194" s="12"/>
      <c r="C2194" s="26"/>
      <c r="L2194" s="25"/>
    </row>
    <row r="2195" ht="18.75" customHeight="1">
      <c r="B2195" s="12"/>
      <c r="C2195" s="26"/>
      <c r="L2195" s="25"/>
    </row>
    <row r="2196" ht="18.75" customHeight="1">
      <c r="B2196" s="12"/>
      <c r="C2196" s="26"/>
      <c r="L2196" s="25"/>
    </row>
    <row r="2197" ht="18.75" customHeight="1">
      <c r="B2197" s="12"/>
      <c r="C2197" s="26"/>
      <c r="L2197" s="25"/>
    </row>
    <row r="2198" ht="18.75" customHeight="1">
      <c r="B2198" s="12"/>
      <c r="C2198" s="26"/>
      <c r="L2198" s="25"/>
    </row>
    <row r="2199" ht="18.75" customHeight="1">
      <c r="B2199" s="12"/>
      <c r="C2199" s="26"/>
      <c r="L2199" s="25"/>
    </row>
    <row r="2200" ht="18.75" customHeight="1">
      <c r="B2200" s="12"/>
      <c r="C2200" s="26"/>
      <c r="L2200" s="25"/>
    </row>
    <row r="2201" ht="18.75" customHeight="1">
      <c r="B2201" s="12"/>
      <c r="C2201" s="26"/>
      <c r="L2201" s="25"/>
    </row>
    <row r="2202" ht="18.75" customHeight="1">
      <c r="B2202" s="12"/>
      <c r="C2202" s="26"/>
      <c r="L2202" s="25"/>
    </row>
    <row r="2203" ht="18.75" customHeight="1">
      <c r="B2203" s="12"/>
      <c r="C2203" s="26"/>
      <c r="L2203" s="25"/>
    </row>
    <row r="2204" ht="18.75" customHeight="1">
      <c r="B2204" s="12"/>
      <c r="C2204" s="26"/>
      <c r="L2204" s="25"/>
    </row>
    <row r="2205" ht="18.75" customHeight="1">
      <c r="B2205" s="12"/>
      <c r="C2205" s="26"/>
      <c r="L2205" s="25"/>
    </row>
    <row r="2206" ht="18.75" customHeight="1">
      <c r="B2206" s="12"/>
      <c r="C2206" s="26"/>
      <c r="L2206" s="25"/>
    </row>
    <row r="2207" ht="18.75" customHeight="1">
      <c r="B2207" s="12"/>
      <c r="C2207" s="26"/>
      <c r="L2207" s="25"/>
    </row>
    <row r="2208" ht="18.75" customHeight="1">
      <c r="B2208" s="12"/>
      <c r="C2208" s="26"/>
      <c r="L2208" s="25"/>
    </row>
    <row r="2209" ht="18.75" customHeight="1">
      <c r="B2209" s="12"/>
      <c r="C2209" s="26"/>
      <c r="L2209" s="25"/>
    </row>
    <row r="2210" ht="18.75" customHeight="1">
      <c r="B2210" s="12"/>
      <c r="C2210" s="26"/>
      <c r="L2210" s="25"/>
    </row>
    <row r="2211" ht="18.75" customHeight="1">
      <c r="B2211" s="12"/>
      <c r="C2211" s="26"/>
      <c r="L2211" s="25"/>
    </row>
    <row r="2212" ht="18.75" customHeight="1">
      <c r="B2212" s="12"/>
      <c r="C2212" s="26"/>
      <c r="L2212" s="25"/>
    </row>
    <row r="2213" ht="18.75" customHeight="1">
      <c r="B2213" s="12"/>
      <c r="C2213" s="26"/>
      <c r="L2213" s="25"/>
    </row>
    <row r="2214" ht="18.75" customHeight="1">
      <c r="B2214" s="12"/>
      <c r="C2214" s="26"/>
      <c r="L2214" s="25"/>
    </row>
    <row r="2215" ht="18.75" customHeight="1">
      <c r="B2215" s="12"/>
      <c r="C2215" s="26"/>
      <c r="L2215" s="25"/>
    </row>
    <row r="2216" ht="18.75" customHeight="1">
      <c r="B2216" s="12"/>
      <c r="C2216" s="26"/>
      <c r="L2216" s="25"/>
    </row>
    <row r="2217" ht="18.75" customHeight="1">
      <c r="B2217" s="12"/>
      <c r="C2217" s="26"/>
      <c r="L2217" s="25"/>
    </row>
    <row r="2218" ht="18.75" customHeight="1">
      <c r="B2218" s="12"/>
      <c r="C2218" s="26"/>
      <c r="L2218" s="25"/>
    </row>
    <row r="2219" ht="18.75" customHeight="1">
      <c r="B2219" s="12"/>
      <c r="C2219" s="26"/>
      <c r="L2219" s="25"/>
    </row>
    <row r="2220" ht="18.75" customHeight="1">
      <c r="B2220" s="12"/>
      <c r="C2220" s="26"/>
      <c r="L2220" s="25"/>
    </row>
    <row r="2221" ht="18.75" customHeight="1">
      <c r="B2221" s="12"/>
      <c r="C2221" s="26"/>
      <c r="L2221" s="25"/>
    </row>
    <row r="2222" ht="18.75" customHeight="1">
      <c r="B2222" s="12"/>
      <c r="C2222" s="26"/>
      <c r="L2222" s="25"/>
    </row>
    <row r="2223" ht="18.75" customHeight="1">
      <c r="B2223" s="12"/>
      <c r="C2223" s="26"/>
      <c r="L2223" s="25"/>
    </row>
    <row r="2224" ht="18.75" customHeight="1">
      <c r="B2224" s="12"/>
      <c r="C2224" s="26"/>
      <c r="L2224" s="25"/>
    </row>
    <row r="2225" ht="18.75" customHeight="1">
      <c r="B2225" s="12"/>
      <c r="C2225" s="26"/>
      <c r="L2225" s="25"/>
    </row>
    <row r="2226" ht="18.75" customHeight="1">
      <c r="B2226" s="12"/>
      <c r="C2226" s="26"/>
      <c r="L2226" s="25"/>
    </row>
    <row r="2227" ht="18.75" customHeight="1">
      <c r="B2227" s="12"/>
      <c r="C2227" s="26"/>
      <c r="L2227" s="25"/>
    </row>
    <row r="2228" ht="18.75" customHeight="1">
      <c r="B2228" s="12"/>
      <c r="C2228" s="26"/>
      <c r="L2228" s="25"/>
    </row>
    <row r="2229" ht="18.75" customHeight="1">
      <c r="B2229" s="12"/>
      <c r="C2229" s="26"/>
      <c r="L2229" s="25"/>
    </row>
    <row r="2230" ht="18.75" customHeight="1">
      <c r="B2230" s="12"/>
      <c r="C2230" s="26"/>
      <c r="L2230" s="25"/>
    </row>
    <row r="2231" ht="18.75" customHeight="1">
      <c r="B2231" s="12"/>
      <c r="C2231" s="26"/>
      <c r="L2231" s="25"/>
    </row>
    <row r="2232" ht="18.75" customHeight="1">
      <c r="B2232" s="12"/>
      <c r="C2232" s="26"/>
      <c r="L2232" s="25"/>
    </row>
    <row r="2233" ht="18.75" customHeight="1">
      <c r="B2233" s="12"/>
      <c r="C2233" s="26"/>
      <c r="L2233" s="25"/>
    </row>
    <row r="2234" ht="18.75" customHeight="1">
      <c r="B2234" s="12"/>
      <c r="C2234" s="26"/>
      <c r="L2234" s="25"/>
    </row>
    <row r="2235" ht="18.75" customHeight="1">
      <c r="B2235" s="12"/>
      <c r="C2235" s="26"/>
      <c r="L2235" s="25"/>
    </row>
    <row r="2236" ht="18.75" customHeight="1">
      <c r="B2236" s="12"/>
      <c r="C2236" s="26"/>
      <c r="L2236" s="25"/>
    </row>
    <row r="2237" ht="18.75" customHeight="1">
      <c r="B2237" s="12"/>
      <c r="C2237" s="26"/>
      <c r="L2237" s="25"/>
    </row>
    <row r="2238" ht="18.75" customHeight="1">
      <c r="B2238" s="12"/>
      <c r="C2238" s="26"/>
      <c r="L2238" s="25"/>
    </row>
    <row r="2239" ht="18.75" customHeight="1">
      <c r="B2239" s="12"/>
      <c r="C2239" s="26"/>
      <c r="L2239" s="25"/>
    </row>
    <row r="2240" ht="18.75" customHeight="1">
      <c r="B2240" s="12"/>
      <c r="C2240" s="26"/>
      <c r="L2240" s="25"/>
    </row>
    <row r="2241" ht="18.75" customHeight="1">
      <c r="B2241" s="12"/>
      <c r="C2241" s="26"/>
      <c r="L2241" s="25"/>
    </row>
    <row r="2242" ht="18.75" customHeight="1">
      <c r="B2242" s="12"/>
      <c r="C2242" s="26"/>
      <c r="L2242" s="25"/>
    </row>
    <row r="2243" ht="18.75" customHeight="1">
      <c r="B2243" s="12"/>
      <c r="C2243" s="26"/>
      <c r="L2243" s="25"/>
    </row>
    <row r="2244" ht="18.75" customHeight="1">
      <c r="B2244" s="12"/>
      <c r="C2244" s="26"/>
      <c r="L2244" s="25"/>
    </row>
    <row r="2245" ht="18.75" customHeight="1">
      <c r="B2245" s="12"/>
      <c r="C2245" s="26"/>
      <c r="L2245" s="25"/>
    </row>
    <row r="2246" ht="18.75" customHeight="1">
      <c r="B2246" s="12"/>
      <c r="C2246" s="26"/>
      <c r="L2246" s="25"/>
    </row>
    <row r="2247" ht="18.75" customHeight="1">
      <c r="B2247" s="12"/>
      <c r="C2247" s="26"/>
      <c r="L2247" s="25"/>
    </row>
    <row r="2248" ht="18.75" customHeight="1">
      <c r="B2248" s="12"/>
      <c r="C2248" s="26"/>
      <c r="L2248" s="25"/>
    </row>
    <row r="2249" ht="18.75" customHeight="1">
      <c r="B2249" s="12"/>
      <c r="C2249" s="26"/>
      <c r="L2249" s="25"/>
    </row>
    <row r="2250" ht="18.75" customHeight="1">
      <c r="B2250" s="12"/>
      <c r="C2250" s="26"/>
      <c r="L2250" s="25"/>
    </row>
    <row r="2251" ht="18.75" customHeight="1">
      <c r="B2251" s="12"/>
      <c r="C2251" s="26"/>
      <c r="L2251" s="25"/>
    </row>
    <row r="2252" ht="18.75" customHeight="1">
      <c r="B2252" s="12"/>
      <c r="C2252" s="26"/>
      <c r="L2252" s="25"/>
    </row>
    <row r="2253" ht="18.75" customHeight="1">
      <c r="B2253" s="12"/>
      <c r="C2253" s="26"/>
      <c r="L2253" s="25"/>
    </row>
    <row r="2254" ht="18.75" customHeight="1">
      <c r="B2254" s="12"/>
      <c r="C2254" s="26"/>
      <c r="L2254" s="25"/>
    </row>
    <row r="2255" ht="18.75" customHeight="1">
      <c r="B2255" s="12"/>
      <c r="C2255" s="26"/>
      <c r="L2255" s="25"/>
    </row>
    <row r="2256" ht="18.75" customHeight="1">
      <c r="B2256" s="12"/>
      <c r="C2256" s="26"/>
      <c r="L2256" s="25"/>
    </row>
    <row r="2257" ht="18.75" customHeight="1">
      <c r="B2257" s="12"/>
      <c r="C2257" s="26"/>
      <c r="L2257" s="25"/>
    </row>
    <row r="2258" ht="18.75" customHeight="1">
      <c r="B2258" s="12"/>
      <c r="C2258" s="26"/>
      <c r="L2258" s="25"/>
    </row>
    <row r="2259" ht="18.75" customHeight="1">
      <c r="B2259" s="12"/>
      <c r="C2259" s="26"/>
      <c r="L2259" s="25"/>
    </row>
    <row r="2260" ht="18.75" customHeight="1">
      <c r="B2260" s="12"/>
      <c r="C2260" s="26"/>
      <c r="L2260" s="25"/>
    </row>
    <row r="2261" ht="18.75" customHeight="1">
      <c r="B2261" s="12"/>
      <c r="C2261" s="26"/>
      <c r="L2261" s="25"/>
    </row>
    <row r="2262" ht="18.75" customHeight="1">
      <c r="B2262" s="12"/>
      <c r="C2262" s="26"/>
      <c r="L2262" s="25"/>
    </row>
    <row r="2263" ht="18.75" customHeight="1">
      <c r="B2263" s="12"/>
      <c r="C2263" s="26"/>
      <c r="L2263" s="25"/>
    </row>
    <row r="2264" ht="18.75" customHeight="1">
      <c r="B2264" s="12"/>
      <c r="C2264" s="26"/>
      <c r="L2264" s="25"/>
    </row>
    <row r="2265" ht="18.75" customHeight="1">
      <c r="B2265" s="12"/>
      <c r="C2265" s="26"/>
      <c r="L2265" s="25"/>
    </row>
    <row r="2266" ht="18.75" customHeight="1">
      <c r="B2266" s="12"/>
      <c r="C2266" s="26"/>
      <c r="L2266" s="25"/>
    </row>
    <row r="2267" ht="18.75" customHeight="1">
      <c r="B2267" s="12"/>
      <c r="C2267" s="26"/>
      <c r="L2267" s="25"/>
    </row>
    <row r="2268" ht="18.75" customHeight="1">
      <c r="B2268" s="12"/>
      <c r="C2268" s="26"/>
      <c r="L2268" s="25"/>
    </row>
    <row r="2269" ht="18.75" customHeight="1">
      <c r="B2269" s="12"/>
      <c r="C2269" s="26"/>
      <c r="L2269" s="25"/>
    </row>
    <row r="2270" ht="18.75" customHeight="1">
      <c r="B2270" s="12"/>
      <c r="C2270" s="26"/>
      <c r="L2270" s="25"/>
    </row>
    <row r="2271" ht="18.75" customHeight="1">
      <c r="B2271" s="12"/>
      <c r="C2271" s="26"/>
      <c r="L2271" s="25"/>
    </row>
    <row r="2272" ht="18.75" customHeight="1">
      <c r="B2272" s="12"/>
      <c r="C2272" s="26"/>
      <c r="L2272" s="25"/>
    </row>
    <row r="2273" ht="18.75" customHeight="1">
      <c r="B2273" s="12"/>
      <c r="C2273" s="26"/>
      <c r="L2273" s="25"/>
    </row>
    <row r="2274" ht="18.75" customHeight="1">
      <c r="B2274" s="12"/>
      <c r="C2274" s="26"/>
      <c r="L2274" s="25"/>
    </row>
    <row r="2275" ht="18.75" customHeight="1">
      <c r="B2275" s="12"/>
      <c r="C2275" s="26"/>
      <c r="L2275" s="25"/>
    </row>
    <row r="2276" ht="18.75" customHeight="1">
      <c r="B2276" s="12"/>
      <c r="C2276" s="26"/>
      <c r="L2276" s="25"/>
    </row>
    <row r="2277" ht="18.75" customHeight="1">
      <c r="B2277" s="12"/>
      <c r="C2277" s="26"/>
      <c r="L2277" s="25"/>
    </row>
    <row r="2278" ht="18.75" customHeight="1">
      <c r="B2278" s="12"/>
      <c r="C2278" s="26"/>
      <c r="L2278" s="25"/>
    </row>
    <row r="2279" ht="18.75" customHeight="1">
      <c r="B2279" s="12"/>
      <c r="C2279" s="26"/>
      <c r="L2279" s="25"/>
    </row>
    <row r="2280" ht="18.75" customHeight="1">
      <c r="B2280" s="12"/>
      <c r="C2280" s="26"/>
      <c r="L2280" s="25"/>
    </row>
    <row r="2281" ht="18.75" customHeight="1">
      <c r="B2281" s="12"/>
      <c r="C2281" s="26"/>
      <c r="L2281" s="25"/>
    </row>
    <row r="2282" ht="18.75" customHeight="1">
      <c r="B2282" s="12"/>
      <c r="C2282" s="26"/>
      <c r="L2282" s="25"/>
    </row>
    <row r="2283" ht="18.75" customHeight="1">
      <c r="B2283" s="12"/>
      <c r="C2283" s="26"/>
      <c r="L2283" s="25"/>
    </row>
    <row r="2284" ht="18.75" customHeight="1">
      <c r="B2284" s="12"/>
      <c r="C2284" s="26"/>
      <c r="L2284" s="25"/>
    </row>
    <row r="2285" ht="18.75" customHeight="1">
      <c r="B2285" s="12"/>
      <c r="C2285" s="26"/>
      <c r="L2285" s="25"/>
    </row>
    <row r="2286" ht="18.75" customHeight="1">
      <c r="B2286" s="12"/>
      <c r="C2286" s="26"/>
      <c r="L2286" s="25"/>
    </row>
    <row r="2287" ht="18.75" customHeight="1">
      <c r="B2287" s="12"/>
      <c r="C2287" s="26"/>
      <c r="L2287" s="25"/>
    </row>
    <row r="2288" ht="18.75" customHeight="1">
      <c r="B2288" s="12"/>
      <c r="C2288" s="26"/>
      <c r="L2288" s="25"/>
    </row>
    <row r="2289" ht="18.75" customHeight="1">
      <c r="B2289" s="12"/>
      <c r="C2289" s="26"/>
      <c r="L2289" s="25"/>
    </row>
    <row r="2290" ht="18.75" customHeight="1">
      <c r="B2290" s="12"/>
      <c r="C2290" s="26"/>
      <c r="L2290" s="25"/>
    </row>
    <row r="2291" ht="18.75" customHeight="1">
      <c r="B2291" s="12"/>
      <c r="C2291" s="26"/>
      <c r="L2291" s="25"/>
    </row>
    <row r="2292" ht="18.75" customHeight="1">
      <c r="B2292" s="12"/>
      <c r="C2292" s="26"/>
      <c r="L2292" s="25"/>
    </row>
    <row r="2293" ht="18.75" customHeight="1">
      <c r="B2293" s="12"/>
      <c r="C2293" s="26"/>
      <c r="L2293" s="25"/>
    </row>
    <row r="2294" ht="18.75" customHeight="1">
      <c r="B2294" s="12"/>
      <c r="C2294" s="26"/>
      <c r="L2294" s="25"/>
    </row>
    <row r="2295" ht="18.75" customHeight="1">
      <c r="B2295" s="12"/>
      <c r="C2295" s="26"/>
      <c r="L2295" s="25"/>
    </row>
    <row r="2296" ht="18.75" customHeight="1">
      <c r="B2296" s="12"/>
      <c r="C2296" s="26"/>
      <c r="L2296" s="25"/>
    </row>
    <row r="2297" ht="18.75" customHeight="1">
      <c r="B2297" s="12"/>
      <c r="C2297" s="26"/>
      <c r="L2297" s="25"/>
    </row>
    <row r="2298" ht="18.75" customHeight="1">
      <c r="B2298" s="12"/>
      <c r="C2298" s="26"/>
      <c r="L2298" s="25"/>
    </row>
    <row r="2299" ht="18.75" customHeight="1">
      <c r="B2299" s="12"/>
      <c r="C2299" s="26"/>
      <c r="L2299" s="25"/>
    </row>
    <row r="2300" ht="18.75" customHeight="1">
      <c r="B2300" s="12"/>
      <c r="C2300" s="26"/>
      <c r="L2300" s="25"/>
    </row>
    <row r="2301" ht="18.75" customHeight="1">
      <c r="B2301" s="12"/>
      <c r="C2301" s="26"/>
      <c r="L2301" s="25"/>
    </row>
    <row r="2302" ht="18.75" customHeight="1">
      <c r="B2302" s="12"/>
      <c r="C2302" s="26"/>
      <c r="L2302" s="25"/>
    </row>
    <row r="2303" ht="18.75" customHeight="1">
      <c r="B2303" s="12"/>
      <c r="C2303" s="26"/>
      <c r="L2303" s="25"/>
    </row>
    <row r="2304" ht="18.75" customHeight="1">
      <c r="B2304" s="12"/>
      <c r="C2304" s="26"/>
      <c r="L2304" s="25"/>
    </row>
    <row r="2305" ht="18.75" customHeight="1">
      <c r="B2305" s="12"/>
      <c r="C2305" s="26"/>
      <c r="L2305" s="25"/>
    </row>
    <row r="2306" ht="18.75" customHeight="1">
      <c r="B2306" s="12"/>
      <c r="C2306" s="26"/>
      <c r="L2306" s="25"/>
    </row>
    <row r="2307" ht="18.75" customHeight="1">
      <c r="B2307" s="12"/>
      <c r="C2307" s="26"/>
      <c r="L2307" s="25"/>
    </row>
    <row r="2308" ht="18.75" customHeight="1">
      <c r="B2308" s="12"/>
      <c r="C2308" s="26"/>
      <c r="L2308" s="25"/>
    </row>
    <row r="2309" ht="18.75" customHeight="1">
      <c r="B2309" s="12"/>
      <c r="C2309" s="26"/>
      <c r="L2309" s="25"/>
    </row>
    <row r="2310" ht="18.75" customHeight="1">
      <c r="B2310" s="12"/>
      <c r="C2310" s="26"/>
      <c r="L2310" s="25"/>
    </row>
    <row r="2311" ht="18.75" customHeight="1">
      <c r="B2311" s="12"/>
      <c r="C2311" s="26"/>
      <c r="L2311" s="25"/>
    </row>
    <row r="2312" ht="18.75" customHeight="1">
      <c r="B2312" s="12"/>
      <c r="C2312" s="26"/>
      <c r="L2312" s="25"/>
    </row>
    <row r="2313" ht="18.75" customHeight="1">
      <c r="B2313" s="12"/>
      <c r="C2313" s="26"/>
      <c r="L2313" s="25"/>
    </row>
    <row r="2314" ht="18.75" customHeight="1">
      <c r="B2314" s="12"/>
      <c r="C2314" s="26"/>
      <c r="L2314" s="25"/>
    </row>
    <row r="2315" ht="18.75" customHeight="1">
      <c r="B2315" s="12"/>
      <c r="C2315" s="26"/>
      <c r="L2315" s="25"/>
    </row>
    <row r="2316" ht="18.75" customHeight="1">
      <c r="B2316" s="12"/>
      <c r="C2316" s="26"/>
      <c r="L2316" s="25"/>
    </row>
    <row r="2317" ht="18.75" customHeight="1">
      <c r="B2317" s="12"/>
      <c r="C2317" s="26"/>
      <c r="L2317" s="25"/>
    </row>
    <row r="2318" ht="18.75" customHeight="1">
      <c r="B2318" s="12"/>
      <c r="C2318" s="26"/>
      <c r="L2318" s="25"/>
    </row>
    <row r="2319" ht="18.75" customHeight="1">
      <c r="B2319" s="12"/>
      <c r="C2319" s="26"/>
      <c r="L2319" s="25"/>
    </row>
    <row r="2320" ht="18.75" customHeight="1">
      <c r="B2320" s="12"/>
      <c r="C2320" s="26"/>
      <c r="L2320" s="25"/>
    </row>
    <row r="2321" ht="18.75" customHeight="1">
      <c r="B2321" s="12"/>
      <c r="C2321" s="26"/>
      <c r="L2321" s="25"/>
    </row>
    <row r="2322" ht="18.75" customHeight="1">
      <c r="B2322" s="12"/>
      <c r="C2322" s="26"/>
      <c r="L2322" s="25"/>
    </row>
    <row r="2323" ht="18.75" customHeight="1">
      <c r="B2323" s="12"/>
      <c r="C2323" s="26"/>
      <c r="L2323" s="25"/>
    </row>
    <row r="2324" ht="18.75" customHeight="1">
      <c r="B2324" s="12"/>
      <c r="C2324" s="26"/>
      <c r="L2324" s="25"/>
    </row>
    <row r="2325" ht="18.75" customHeight="1">
      <c r="B2325" s="12"/>
      <c r="C2325" s="26"/>
      <c r="L2325" s="25"/>
    </row>
    <row r="2326" ht="18.75" customHeight="1">
      <c r="B2326" s="12"/>
      <c r="C2326" s="26"/>
      <c r="L2326" s="25"/>
    </row>
    <row r="2327" ht="18.75" customHeight="1">
      <c r="B2327" s="12"/>
      <c r="C2327" s="26"/>
      <c r="L2327" s="25"/>
    </row>
    <row r="2328" ht="18.75" customHeight="1">
      <c r="B2328" s="12"/>
      <c r="C2328" s="26"/>
      <c r="L2328" s="25"/>
    </row>
    <row r="2329" ht="18.75" customHeight="1">
      <c r="B2329" s="12"/>
      <c r="C2329" s="26"/>
      <c r="L2329" s="25"/>
    </row>
    <row r="2330" ht="18.75" customHeight="1">
      <c r="B2330" s="12"/>
      <c r="C2330" s="26"/>
      <c r="L2330" s="25"/>
    </row>
    <row r="2331" ht="18.75" customHeight="1">
      <c r="B2331" s="12"/>
      <c r="C2331" s="26"/>
      <c r="L2331" s="25"/>
    </row>
    <row r="2332" ht="18.75" customHeight="1">
      <c r="B2332" s="12"/>
      <c r="C2332" s="26"/>
      <c r="L2332" s="25"/>
    </row>
    <row r="2333" ht="18.75" customHeight="1">
      <c r="B2333" s="12"/>
      <c r="C2333" s="26"/>
      <c r="L2333" s="25"/>
    </row>
    <row r="2334" ht="18.75" customHeight="1">
      <c r="B2334" s="12"/>
      <c r="C2334" s="26"/>
      <c r="L2334" s="25"/>
    </row>
    <row r="2335" ht="18.75" customHeight="1">
      <c r="B2335" s="12"/>
      <c r="C2335" s="26"/>
      <c r="L2335" s="25"/>
    </row>
    <row r="2336" ht="18.75" customHeight="1">
      <c r="B2336" s="12"/>
      <c r="C2336" s="26"/>
      <c r="L2336" s="25"/>
    </row>
    <row r="2337" ht="18.75" customHeight="1">
      <c r="B2337" s="12"/>
      <c r="C2337" s="26"/>
      <c r="L2337" s="25"/>
    </row>
    <row r="2338" ht="18.75" customHeight="1">
      <c r="B2338" s="12"/>
      <c r="C2338" s="26"/>
      <c r="L2338" s="25"/>
    </row>
    <row r="2339" ht="18.75" customHeight="1">
      <c r="B2339" s="12"/>
      <c r="C2339" s="26"/>
      <c r="L2339" s="25"/>
    </row>
    <row r="2340" ht="18.75" customHeight="1">
      <c r="B2340" s="12"/>
      <c r="C2340" s="26"/>
      <c r="L2340" s="25"/>
    </row>
    <row r="2341" ht="18.75" customHeight="1">
      <c r="B2341" s="12"/>
      <c r="C2341" s="26"/>
      <c r="L2341" s="25"/>
    </row>
    <row r="2342" ht="18.75" customHeight="1">
      <c r="B2342" s="12"/>
      <c r="C2342" s="26"/>
      <c r="L2342" s="25"/>
    </row>
    <row r="2343" ht="18.75" customHeight="1">
      <c r="B2343" s="12"/>
      <c r="C2343" s="26"/>
      <c r="L2343" s="25"/>
    </row>
    <row r="2344" ht="18.75" customHeight="1">
      <c r="B2344" s="12"/>
      <c r="C2344" s="26"/>
      <c r="L2344" s="25"/>
    </row>
    <row r="2345" ht="18.75" customHeight="1">
      <c r="B2345" s="12"/>
      <c r="C2345" s="26"/>
      <c r="L2345" s="25"/>
    </row>
    <row r="2346" ht="18.75" customHeight="1">
      <c r="B2346" s="12"/>
      <c r="C2346" s="26"/>
      <c r="L2346" s="25"/>
    </row>
    <row r="2347" ht="18.75" customHeight="1">
      <c r="B2347" s="12"/>
      <c r="C2347" s="26"/>
      <c r="L2347" s="25"/>
    </row>
    <row r="2348" ht="18.75" customHeight="1">
      <c r="B2348" s="12"/>
      <c r="C2348" s="26"/>
      <c r="L2348" s="25"/>
    </row>
    <row r="2349" ht="18.75" customHeight="1">
      <c r="B2349" s="12"/>
      <c r="C2349" s="26"/>
      <c r="L2349" s="25"/>
    </row>
    <row r="2350" ht="18.75" customHeight="1">
      <c r="B2350" s="12"/>
      <c r="C2350" s="26"/>
      <c r="L2350" s="25"/>
    </row>
    <row r="2351" ht="18.75" customHeight="1">
      <c r="B2351" s="12"/>
      <c r="C2351" s="26"/>
      <c r="L2351" s="25"/>
    </row>
    <row r="2352" ht="18.75" customHeight="1">
      <c r="B2352" s="12"/>
      <c r="C2352" s="26"/>
      <c r="L2352" s="25"/>
    </row>
    <row r="2353" ht="18.75" customHeight="1">
      <c r="B2353" s="12"/>
      <c r="C2353" s="26"/>
      <c r="L2353" s="25"/>
    </row>
    <row r="2354" ht="18.75" customHeight="1">
      <c r="B2354" s="12"/>
      <c r="C2354" s="26"/>
      <c r="L2354" s="25"/>
    </row>
    <row r="2355" ht="18.75" customHeight="1">
      <c r="B2355" s="12"/>
      <c r="C2355" s="26"/>
      <c r="L2355" s="25"/>
    </row>
    <row r="2356" ht="18.75" customHeight="1">
      <c r="B2356" s="12"/>
      <c r="C2356" s="26"/>
      <c r="L2356" s="25"/>
    </row>
    <row r="2357" ht="18.75" customHeight="1">
      <c r="B2357" s="12"/>
      <c r="C2357" s="26"/>
      <c r="L2357" s="25"/>
    </row>
    <row r="2358" ht="18.75" customHeight="1">
      <c r="B2358" s="12"/>
      <c r="C2358" s="26"/>
      <c r="L2358" s="25"/>
    </row>
    <row r="2359" ht="18.75" customHeight="1">
      <c r="B2359" s="12"/>
      <c r="C2359" s="26"/>
      <c r="L2359" s="25"/>
    </row>
    <row r="2360" ht="18.75" customHeight="1">
      <c r="B2360" s="12"/>
      <c r="C2360" s="26"/>
      <c r="L2360" s="25"/>
    </row>
    <row r="2361" ht="18.75" customHeight="1">
      <c r="B2361" s="12"/>
      <c r="C2361" s="26"/>
      <c r="L2361" s="25"/>
    </row>
    <row r="2362" ht="18.75" customHeight="1">
      <c r="B2362" s="12"/>
      <c r="C2362" s="26"/>
      <c r="L2362" s="25"/>
    </row>
    <row r="2363" ht="18.75" customHeight="1">
      <c r="B2363" s="12"/>
      <c r="C2363" s="26"/>
      <c r="L2363" s="25"/>
    </row>
    <row r="2364" ht="18.75" customHeight="1">
      <c r="B2364" s="12"/>
      <c r="C2364" s="26"/>
      <c r="L2364" s="25"/>
    </row>
    <row r="2365" ht="18.75" customHeight="1">
      <c r="B2365" s="12"/>
      <c r="C2365" s="26"/>
      <c r="L2365" s="25"/>
    </row>
    <row r="2366" ht="18.75" customHeight="1">
      <c r="B2366" s="12"/>
      <c r="C2366" s="26"/>
      <c r="L2366" s="25"/>
    </row>
    <row r="2367" ht="18.75" customHeight="1">
      <c r="B2367" s="12"/>
      <c r="C2367" s="26"/>
      <c r="L2367" s="25"/>
    </row>
    <row r="2368" ht="18.75" customHeight="1">
      <c r="B2368" s="12"/>
      <c r="C2368" s="26"/>
      <c r="L2368" s="25"/>
    </row>
    <row r="2369" ht="18.75" customHeight="1">
      <c r="B2369" s="12"/>
      <c r="C2369" s="26"/>
      <c r="L2369" s="25"/>
    </row>
    <row r="2370" ht="18.75" customHeight="1">
      <c r="B2370" s="12"/>
      <c r="C2370" s="26"/>
      <c r="L2370" s="25"/>
    </row>
    <row r="2371" ht="18.75" customHeight="1">
      <c r="B2371" s="12"/>
      <c r="C2371" s="26"/>
      <c r="L2371" s="25"/>
    </row>
    <row r="2372" ht="18.75" customHeight="1">
      <c r="B2372" s="12"/>
      <c r="C2372" s="26"/>
      <c r="L2372" s="25"/>
    </row>
    <row r="2373" ht="18.75" customHeight="1">
      <c r="B2373" s="12"/>
      <c r="C2373" s="26"/>
      <c r="L2373" s="25"/>
    </row>
    <row r="2374" ht="18.75" customHeight="1">
      <c r="B2374" s="12"/>
      <c r="C2374" s="26"/>
      <c r="L2374" s="25"/>
    </row>
    <row r="2375" ht="18.75" customHeight="1">
      <c r="B2375" s="12"/>
      <c r="C2375" s="26"/>
      <c r="L2375" s="25"/>
    </row>
    <row r="2376" ht="18.75" customHeight="1">
      <c r="B2376" s="12"/>
      <c r="C2376" s="26"/>
      <c r="L2376" s="25"/>
    </row>
    <row r="2377" ht="18.75" customHeight="1">
      <c r="B2377" s="12"/>
      <c r="C2377" s="26"/>
      <c r="L2377" s="25"/>
    </row>
    <row r="2378" ht="18.75" customHeight="1">
      <c r="B2378" s="12"/>
      <c r="C2378" s="26"/>
      <c r="L2378" s="25"/>
    </row>
    <row r="2379" ht="18.75" customHeight="1">
      <c r="B2379" s="12"/>
      <c r="C2379" s="26"/>
      <c r="L2379" s="25"/>
    </row>
    <row r="2380" ht="18.75" customHeight="1">
      <c r="B2380" s="12"/>
      <c r="C2380" s="26"/>
      <c r="L2380" s="25"/>
    </row>
    <row r="2381" ht="18.75" customHeight="1">
      <c r="B2381" s="12"/>
      <c r="C2381" s="26"/>
      <c r="L2381" s="25"/>
    </row>
    <row r="2382" ht="18.75" customHeight="1">
      <c r="B2382" s="12"/>
      <c r="C2382" s="26"/>
      <c r="L2382" s="25"/>
    </row>
    <row r="2383" ht="18.75" customHeight="1">
      <c r="B2383" s="12"/>
      <c r="C2383" s="26"/>
      <c r="L2383" s="25"/>
    </row>
    <row r="2384" ht="18.75" customHeight="1">
      <c r="B2384" s="12"/>
      <c r="C2384" s="26"/>
      <c r="L2384" s="25"/>
    </row>
    <row r="2385" ht="18.75" customHeight="1">
      <c r="B2385" s="12"/>
      <c r="C2385" s="26"/>
      <c r="L2385" s="25"/>
    </row>
    <row r="2386" ht="18.75" customHeight="1">
      <c r="B2386" s="12"/>
      <c r="C2386" s="26"/>
      <c r="L2386" s="25"/>
    </row>
    <row r="2387" ht="18.75" customHeight="1">
      <c r="B2387" s="12"/>
      <c r="C2387" s="26"/>
      <c r="L2387" s="25"/>
    </row>
    <row r="2388" ht="18.75" customHeight="1">
      <c r="B2388" s="12"/>
      <c r="C2388" s="26"/>
      <c r="L2388" s="25"/>
    </row>
    <row r="2389" ht="18.75" customHeight="1">
      <c r="B2389" s="12"/>
      <c r="C2389" s="26"/>
      <c r="L2389" s="25"/>
    </row>
    <row r="2390" ht="18.75" customHeight="1">
      <c r="B2390" s="12"/>
      <c r="C2390" s="26"/>
      <c r="L2390" s="25"/>
    </row>
    <row r="2391" ht="18.75" customHeight="1">
      <c r="B2391" s="12"/>
      <c r="C2391" s="26"/>
      <c r="L2391" s="25"/>
    </row>
    <row r="2392" ht="18.75" customHeight="1">
      <c r="B2392" s="12"/>
      <c r="C2392" s="26"/>
      <c r="L2392" s="25"/>
    </row>
    <row r="2393" ht="18.75" customHeight="1">
      <c r="B2393" s="12"/>
      <c r="C2393" s="26"/>
      <c r="L2393" s="25"/>
    </row>
    <row r="2394" ht="18.75" customHeight="1">
      <c r="B2394" s="12"/>
      <c r="C2394" s="26"/>
      <c r="L2394" s="25"/>
    </row>
    <row r="2395" ht="18.75" customHeight="1">
      <c r="B2395" s="12"/>
      <c r="C2395" s="26"/>
      <c r="L2395" s="25"/>
    </row>
    <row r="2396" ht="18.75" customHeight="1">
      <c r="B2396" s="12"/>
      <c r="C2396" s="26"/>
      <c r="L2396" s="25"/>
    </row>
    <row r="2397" ht="18.75" customHeight="1">
      <c r="B2397" s="12"/>
      <c r="C2397" s="26"/>
      <c r="L2397" s="25"/>
    </row>
    <row r="2398" ht="18.75" customHeight="1">
      <c r="B2398" s="12"/>
      <c r="C2398" s="26"/>
      <c r="L2398" s="25"/>
    </row>
    <row r="2399" ht="18.75" customHeight="1">
      <c r="B2399" s="12"/>
      <c r="C2399" s="26"/>
      <c r="L2399" s="25"/>
    </row>
    <row r="2400" ht="18.75" customHeight="1">
      <c r="B2400" s="12"/>
      <c r="C2400" s="26"/>
      <c r="L2400" s="25"/>
    </row>
    <row r="2401" ht="18.75" customHeight="1">
      <c r="B2401" s="12"/>
      <c r="C2401" s="26"/>
      <c r="L2401" s="25"/>
    </row>
    <row r="2402" ht="18.75" customHeight="1">
      <c r="B2402" s="12"/>
      <c r="C2402" s="26"/>
      <c r="L2402" s="25"/>
    </row>
    <row r="2403" ht="18.75" customHeight="1">
      <c r="B2403" s="12"/>
      <c r="C2403" s="26"/>
      <c r="L2403" s="25"/>
    </row>
    <row r="2404" ht="18.75" customHeight="1">
      <c r="B2404" s="12"/>
      <c r="C2404" s="26"/>
      <c r="L2404" s="25"/>
    </row>
    <row r="2405" ht="18.75" customHeight="1">
      <c r="B2405" s="12"/>
      <c r="C2405" s="26"/>
      <c r="L2405" s="25"/>
    </row>
    <row r="2406" ht="18.75" customHeight="1">
      <c r="B2406" s="12"/>
      <c r="C2406" s="26"/>
      <c r="L2406" s="25"/>
    </row>
    <row r="2407" ht="18.75" customHeight="1">
      <c r="B2407" s="12"/>
      <c r="C2407" s="26"/>
      <c r="L2407" s="25"/>
    </row>
    <row r="2408" ht="18.75" customHeight="1">
      <c r="B2408" s="12"/>
      <c r="C2408" s="26"/>
      <c r="L2408" s="25"/>
    </row>
    <row r="2409" ht="18.75" customHeight="1">
      <c r="B2409" s="12"/>
      <c r="C2409" s="26"/>
      <c r="L2409" s="25"/>
    </row>
    <row r="2410" ht="18.75" customHeight="1">
      <c r="B2410" s="12"/>
      <c r="C2410" s="26"/>
      <c r="L2410" s="25"/>
    </row>
    <row r="2411" ht="18.75" customHeight="1">
      <c r="B2411" s="12"/>
      <c r="C2411" s="26"/>
      <c r="L2411" s="25"/>
    </row>
    <row r="2412" ht="18.75" customHeight="1">
      <c r="B2412" s="12"/>
      <c r="C2412" s="26"/>
      <c r="L2412" s="25"/>
    </row>
    <row r="2413" ht="18.75" customHeight="1">
      <c r="B2413" s="12"/>
      <c r="C2413" s="26"/>
      <c r="L2413" s="25"/>
    </row>
    <row r="2414" ht="18.75" customHeight="1">
      <c r="B2414" s="12"/>
      <c r="C2414" s="26"/>
      <c r="L2414" s="25"/>
    </row>
    <row r="2415" ht="18.75" customHeight="1">
      <c r="B2415" s="12"/>
      <c r="C2415" s="26"/>
      <c r="L2415" s="25"/>
    </row>
    <row r="2416" ht="18.75" customHeight="1">
      <c r="B2416" s="12"/>
      <c r="C2416" s="26"/>
      <c r="L2416" s="25"/>
    </row>
    <row r="2417" ht="18.75" customHeight="1">
      <c r="B2417" s="12"/>
      <c r="C2417" s="26"/>
      <c r="L2417" s="25"/>
    </row>
    <row r="2418" ht="18.75" customHeight="1">
      <c r="B2418" s="12"/>
      <c r="C2418" s="26"/>
      <c r="L2418" s="25"/>
    </row>
    <row r="2419" ht="18.75" customHeight="1">
      <c r="B2419" s="12"/>
      <c r="C2419" s="26"/>
      <c r="L2419" s="25"/>
    </row>
    <row r="2420" ht="18.75" customHeight="1">
      <c r="B2420" s="12"/>
      <c r="C2420" s="26"/>
      <c r="L2420" s="25"/>
    </row>
    <row r="2421" ht="18.75" customHeight="1">
      <c r="B2421" s="12"/>
      <c r="C2421" s="26"/>
      <c r="L2421" s="25"/>
    </row>
    <row r="2422" ht="18.75" customHeight="1">
      <c r="B2422" s="12"/>
      <c r="C2422" s="26"/>
      <c r="L2422" s="25"/>
    </row>
    <row r="2423" ht="18.75" customHeight="1">
      <c r="B2423" s="12"/>
      <c r="C2423" s="26"/>
      <c r="L2423" s="25"/>
    </row>
    <row r="2424" ht="18.75" customHeight="1">
      <c r="B2424" s="12"/>
      <c r="C2424" s="26"/>
      <c r="L2424" s="25"/>
    </row>
    <row r="2425" ht="18.75" customHeight="1">
      <c r="B2425" s="12"/>
      <c r="C2425" s="26"/>
      <c r="L2425" s="25"/>
    </row>
    <row r="2426" ht="18.75" customHeight="1">
      <c r="B2426" s="12"/>
      <c r="C2426" s="26"/>
      <c r="L2426" s="25"/>
    </row>
    <row r="2427" ht="18.75" customHeight="1">
      <c r="B2427" s="12"/>
      <c r="C2427" s="26"/>
      <c r="L2427" s="25"/>
    </row>
    <row r="2428" ht="18.75" customHeight="1">
      <c r="B2428" s="12"/>
      <c r="C2428" s="26"/>
      <c r="L2428" s="25"/>
    </row>
    <row r="2429" ht="18.75" customHeight="1">
      <c r="B2429" s="12"/>
      <c r="C2429" s="26"/>
      <c r="L2429" s="25"/>
    </row>
    <row r="2430" ht="18.75" customHeight="1">
      <c r="B2430" s="12"/>
      <c r="C2430" s="26"/>
      <c r="L2430" s="25"/>
    </row>
    <row r="2431" ht="18.75" customHeight="1">
      <c r="B2431" s="12"/>
      <c r="C2431" s="26"/>
      <c r="L2431" s="25"/>
    </row>
    <row r="2432" ht="18.75" customHeight="1">
      <c r="B2432" s="12"/>
      <c r="C2432" s="26"/>
      <c r="L2432" s="25"/>
    </row>
    <row r="2433" ht="18.75" customHeight="1">
      <c r="B2433" s="12"/>
      <c r="C2433" s="26"/>
      <c r="L2433" s="25"/>
    </row>
    <row r="2434" ht="18.75" customHeight="1">
      <c r="B2434" s="12"/>
      <c r="C2434" s="26"/>
      <c r="L2434" s="25"/>
    </row>
    <row r="2435" ht="18.75" customHeight="1">
      <c r="B2435" s="12"/>
      <c r="C2435" s="26"/>
      <c r="L2435" s="25"/>
    </row>
    <row r="2436" ht="18.75" customHeight="1">
      <c r="B2436" s="12"/>
      <c r="C2436" s="26"/>
      <c r="L2436" s="25"/>
    </row>
    <row r="2437" ht="18.75" customHeight="1">
      <c r="B2437" s="12"/>
      <c r="C2437" s="26"/>
      <c r="L2437" s="25"/>
    </row>
    <row r="2438" ht="18.75" customHeight="1">
      <c r="B2438" s="12"/>
      <c r="C2438" s="26"/>
      <c r="L2438" s="25"/>
    </row>
    <row r="2439" ht="18.75" customHeight="1">
      <c r="B2439" s="12"/>
      <c r="C2439" s="26"/>
      <c r="L2439" s="25"/>
    </row>
    <row r="2440" ht="18.75" customHeight="1">
      <c r="B2440" s="12"/>
      <c r="C2440" s="26"/>
      <c r="L2440" s="25"/>
    </row>
    <row r="2441" ht="18.75" customHeight="1">
      <c r="B2441" s="12"/>
      <c r="C2441" s="26"/>
      <c r="L2441" s="25"/>
    </row>
    <row r="2442" ht="18.75" customHeight="1">
      <c r="B2442" s="12"/>
      <c r="C2442" s="26"/>
      <c r="L2442" s="25"/>
    </row>
    <row r="2443" ht="18.75" customHeight="1">
      <c r="B2443" s="12"/>
      <c r="C2443" s="26"/>
      <c r="L2443" s="25"/>
    </row>
    <row r="2444" ht="18.75" customHeight="1">
      <c r="B2444" s="12"/>
      <c r="C2444" s="26"/>
      <c r="L2444" s="25"/>
    </row>
    <row r="2445" ht="18.75" customHeight="1">
      <c r="B2445" s="12"/>
      <c r="C2445" s="26"/>
      <c r="L2445" s="25"/>
    </row>
    <row r="2446" ht="18.75" customHeight="1">
      <c r="B2446" s="12"/>
      <c r="C2446" s="26"/>
      <c r="L2446" s="25"/>
    </row>
    <row r="2447" ht="18.75" customHeight="1">
      <c r="B2447" s="12"/>
      <c r="C2447" s="26"/>
      <c r="L2447" s="25"/>
    </row>
    <row r="2448" ht="18.75" customHeight="1">
      <c r="B2448" s="12"/>
      <c r="C2448" s="26"/>
      <c r="L2448" s="25"/>
    </row>
    <row r="2449" ht="18.75" customHeight="1">
      <c r="B2449" s="12"/>
      <c r="C2449" s="26"/>
      <c r="L2449" s="25"/>
    </row>
    <row r="2450" ht="18.75" customHeight="1">
      <c r="B2450" s="12"/>
      <c r="C2450" s="26"/>
      <c r="L2450" s="25"/>
    </row>
    <row r="2451" ht="18.75" customHeight="1">
      <c r="B2451" s="12"/>
      <c r="C2451" s="26"/>
      <c r="L2451" s="25"/>
    </row>
    <row r="2452" ht="18.75" customHeight="1">
      <c r="B2452" s="12"/>
      <c r="C2452" s="26"/>
      <c r="L2452" s="25"/>
    </row>
    <row r="2453" ht="18.75" customHeight="1">
      <c r="B2453" s="12"/>
      <c r="C2453" s="26"/>
      <c r="L2453" s="25"/>
    </row>
    <row r="2454" ht="18.75" customHeight="1">
      <c r="B2454" s="12"/>
      <c r="C2454" s="26"/>
      <c r="L2454" s="25"/>
    </row>
    <row r="2455" ht="18.75" customHeight="1">
      <c r="B2455" s="12"/>
      <c r="C2455" s="26"/>
      <c r="L2455" s="25"/>
    </row>
    <row r="2456" ht="18.75" customHeight="1">
      <c r="B2456" s="12"/>
      <c r="C2456" s="26"/>
      <c r="L2456" s="25"/>
    </row>
    <row r="2457" ht="18.75" customHeight="1">
      <c r="B2457" s="12"/>
      <c r="C2457" s="26"/>
      <c r="L2457" s="25"/>
    </row>
    <row r="2458" ht="18.75" customHeight="1">
      <c r="B2458" s="12"/>
      <c r="C2458" s="26"/>
      <c r="L2458" s="25"/>
    </row>
    <row r="2459" ht="18.75" customHeight="1">
      <c r="B2459" s="12"/>
      <c r="C2459" s="26"/>
      <c r="L2459" s="25"/>
    </row>
    <row r="2460" ht="18.75" customHeight="1">
      <c r="B2460" s="12"/>
      <c r="C2460" s="26"/>
      <c r="L2460" s="25"/>
    </row>
    <row r="2461" ht="18.75" customHeight="1">
      <c r="B2461" s="12"/>
      <c r="C2461" s="26"/>
      <c r="L2461" s="25"/>
    </row>
    <row r="2462" ht="18.75" customHeight="1">
      <c r="B2462" s="12"/>
      <c r="C2462" s="26"/>
      <c r="L2462" s="25"/>
    </row>
    <row r="2463" ht="18.75" customHeight="1">
      <c r="B2463" s="12"/>
      <c r="C2463" s="26"/>
      <c r="L2463" s="25"/>
    </row>
    <row r="2464" ht="18.75" customHeight="1">
      <c r="B2464" s="12"/>
      <c r="C2464" s="26"/>
      <c r="L2464" s="25"/>
    </row>
    <row r="2465" ht="18.75" customHeight="1">
      <c r="B2465" s="12"/>
      <c r="C2465" s="26"/>
      <c r="L2465" s="25"/>
    </row>
    <row r="2466" ht="18.75" customHeight="1">
      <c r="B2466" s="12"/>
      <c r="C2466" s="26"/>
      <c r="L2466" s="25"/>
    </row>
    <row r="2467" ht="18.75" customHeight="1">
      <c r="B2467" s="12"/>
      <c r="C2467" s="26"/>
      <c r="L2467" s="25"/>
    </row>
    <row r="2468" ht="18.75" customHeight="1">
      <c r="B2468" s="12"/>
      <c r="C2468" s="26"/>
      <c r="L2468" s="25"/>
    </row>
    <row r="2469" ht="18.75" customHeight="1">
      <c r="B2469" s="12"/>
      <c r="C2469" s="26"/>
      <c r="L2469" s="25"/>
    </row>
    <row r="2470" ht="18.75" customHeight="1">
      <c r="B2470" s="12"/>
      <c r="C2470" s="26"/>
      <c r="L2470" s="25"/>
    </row>
    <row r="2471" ht="18.75" customHeight="1">
      <c r="B2471" s="12"/>
      <c r="C2471" s="26"/>
      <c r="L2471" s="25"/>
    </row>
    <row r="2472" ht="18.75" customHeight="1">
      <c r="B2472" s="12"/>
      <c r="C2472" s="26"/>
      <c r="L2472" s="25"/>
    </row>
    <row r="2473" ht="18.75" customHeight="1">
      <c r="B2473" s="12"/>
      <c r="C2473" s="26"/>
      <c r="L2473" s="25"/>
    </row>
    <row r="2474" ht="18.75" customHeight="1">
      <c r="B2474" s="12"/>
      <c r="C2474" s="26"/>
      <c r="L2474" s="25"/>
    </row>
    <row r="2475" ht="18.75" customHeight="1">
      <c r="B2475" s="12"/>
      <c r="C2475" s="26"/>
      <c r="L2475" s="25"/>
    </row>
    <row r="2476" ht="18.75" customHeight="1">
      <c r="B2476" s="12"/>
      <c r="C2476" s="26"/>
      <c r="L2476" s="25"/>
    </row>
    <row r="2477" ht="18.75" customHeight="1">
      <c r="B2477" s="12"/>
      <c r="C2477" s="26"/>
      <c r="L2477" s="25"/>
    </row>
    <row r="2478" ht="18.75" customHeight="1">
      <c r="B2478" s="12"/>
      <c r="C2478" s="26"/>
      <c r="L2478" s="25"/>
    </row>
    <row r="2479" ht="18.75" customHeight="1">
      <c r="B2479" s="12"/>
      <c r="C2479" s="26"/>
      <c r="L2479" s="25"/>
    </row>
    <row r="2480" ht="18.75" customHeight="1">
      <c r="B2480" s="12"/>
      <c r="C2480" s="26"/>
      <c r="L2480" s="25"/>
    </row>
    <row r="2481" ht="18.75" customHeight="1">
      <c r="B2481" s="12"/>
      <c r="C2481" s="26"/>
      <c r="L2481" s="25"/>
    </row>
    <row r="2482" ht="18.75" customHeight="1">
      <c r="B2482" s="12"/>
      <c r="C2482" s="26"/>
      <c r="L2482" s="25"/>
    </row>
    <row r="2483" ht="18.75" customHeight="1">
      <c r="B2483" s="12"/>
      <c r="C2483" s="26"/>
      <c r="L2483" s="25"/>
    </row>
    <row r="2484" ht="18.75" customHeight="1">
      <c r="B2484" s="12"/>
      <c r="C2484" s="26"/>
      <c r="L2484" s="25"/>
    </row>
    <row r="2485" ht="18.75" customHeight="1">
      <c r="B2485" s="12"/>
      <c r="C2485" s="26"/>
      <c r="L2485" s="25"/>
    </row>
    <row r="2486" ht="18.75" customHeight="1">
      <c r="B2486" s="12"/>
      <c r="C2486" s="26"/>
      <c r="L2486" s="25"/>
    </row>
    <row r="2487" ht="18.75" customHeight="1">
      <c r="B2487" s="12"/>
      <c r="C2487" s="26"/>
      <c r="L2487" s="25"/>
    </row>
    <row r="2488" ht="18.75" customHeight="1">
      <c r="B2488" s="12"/>
      <c r="C2488" s="26"/>
      <c r="L2488" s="25"/>
    </row>
    <row r="2489" ht="18.75" customHeight="1">
      <c r="B2489" s="12"/>
      <c r="C2489" s="26"/>
      <c r="L2489" s="25"/>
    </row>
    <row r="2490" ht="18.75" customHeight="1">
      <c r="B2490" s="12"/>
      <c r="C2490" s="26"/>
      <c r="L2490" s="25"/>
    </row>
    <row r="2491" ht="18.75" customHeight="1">
      <c r="B2491" s="12"/>
      <c r="C2491" s="26"/>
      <c r="L2491" s="25"/>
    </row>
    <row r="2492" ht="18.75" customHeight="1">
      <c r="B2492" s="12"/>
      <c r="C2492" s="26"/>
      <c r="L2492" s="25"/>
    </row>
    <row r="2493" ht="18.75" customHeight="1">
      <c r="B2493" s="12"/>
      <c r="C2493" s="26"/>
      <c r="L2493" s="25"/>
    </row>
    <row r="2494" ht="18.75" customHeight="1">
      <c r="B2494" s="12"/>
      <c r="C2494" s="26"/>
      <c r="L2494" s="25"/>
    </row>
    <row r="2495" ht="18.75" customHeight="1">
      <c r="B2495" s="12"/>
      <c r="C2495" s="26"/>
      <c r="L2495" s="25"/>
    </row>
    <row r="2496" ht="18.75" customHeight="1">
      <c r="B2496" s="12"/>
      <c r="C2496" s="26"/>
      <c r="L2496" s="25"/>
    </row>
    <row r="2497" ht="18.75" customHeight="1">
      <c r="B2497" s="12"/>
      <c r="C2497" s="26"/>
      <c r="L2497" s="25"/>
    </row>
    <row r="2498" ht="18.75" customHeight="1">
      <c r="B2498" s="12"/>
      <c r="C2498" s="26"/>
      <c r="L2498" s="25"/>
    </row>
    <row r="2499" ht="18.75" customHeight="1">
      <c r="B2499" s="12"/>
      <c r="C2499" s="26"/>
      <c r="L2499" s="25"/>
    </row>
    <row r="2500" ht="18.75" customHeight="1">
      <c r="B2500" s="12"/>
      <c r="C2500" s="26"/>
      <c r="L2500" s="25"/>
    </row>
    <row r="2501" ht="18.75" customHeight="1">
      <c r="B2501" s="12"/>
      <c r="C2501" s="26"/>
      <c r="L2501" s="25"/>
    </row>
    <row r="2502" ht="18.75" customHeight="1">
      <c r="B2502" s="12"/>
      <c r="C2502" s="26"/>
      <c r="L2502" s="25"/>
    </row>
    <row r="2503" ht="18.75" customHeight="1">
      <c r="B2503" s="12"/>
      <c r="C2503" s="26"/>
      <c r="L2503" s="25"/>
    </row>
    <row r="2504" ht="18.75" customHeight="1">
      <c r="B2504" s="12"/>
      <c r="C2504" s="26"/>
      <c r="L2504" s="25"/>
    </row>
    <row r="2505" ht="18.75" customHeight="1">
      <c r="B2505" s="12"/>
      <c r="C2505" s="26"/>
      <c r="L2505" s="25"/>
    </row>
    <row r="2506" ht="18.75" customHeight="1">
      <c r="B2506" s="12"/>
      <c r="C2506" s="26"/>
      <c r="L2506" s="25"/>
    </row>
    <row r="2507" ht="18.75" customHeight="1">
      <c r="B2507" s="12"/>
      <c r="C2507" s="26"/>
      <c r="L2507" s="25"/>
    </row>
    <row r="2508" ht="18.75" customHeight="1">
      <c r="B2508" s="12"/>
      <c r="C2508" s="26"/>
      <c r="L2508" s="25"/>
    </row>
    <row r="2509" ht="18.75" customHeight="1">
      <c r="B2509" s="12"/>
      <c r="C2509" s="26"/>
      <c r="L2509" s="25"/>
    </row>
    <row r="2510" ht="18.75" customHeight="1">
      <c r="B2510" s="12"/>
      <c r="C2510" s="26"/>
      <c r="L2510" s="25"/>
    </row>
    <row r="2511" ht="18.75" customHeight="1">
      <c r="B2511" s="12"/>
      <c r="C2511" s="26"/>
      <c r="L2511" s="25"/>
    </row>
    <row r="2512" ht="18.75" customHeight="1">
      <c r="B2512" s="12"/>
      <c r="C2512" s="26"/>
      <c r="L2512" s="25"/>
    </row>
    <row r="2513" ht="18.75" customHeight="1">
      <c r="B2513" s="12"/>
      <c r="C2513" s="26"/>
      <c r="L2513" s="25"/>
    </row>
    <row r="2514" ht="18.75" customHeight="1">
      <c r="B2514" s="12"/>
      <c r="C2514" s="26"/>
      <c r="L2514" s="25"/>
    </row>
    <row r="2515" ht="18.75" customHeight="1">
      <c r="B2515" s="12"/>
      <c r="C2515" s="26"/>
      <c r="L2515" s="25"/>
    </row>
    <row r="2516" ht="18.75" customHeight="1">
      <c r="B2516" s="12"/>
      <c r="C2516" s="26"/>
      <c r="L2516" s="25"/>
    </row>
    <row r="2517" ht="18.75" customHeight="1">
      <c r="B2517" s="12"/>
      <c r="C2517" s="26"/>
      <c r="L2517" s="25"/>
    </row>
    <row r="2518" ht="18.75" customHeight="1">
      <c r="B2518" s="12"/>
      <c r="C2518" s="26"/>
      <c r="L2518" s="25"/>
    </row>
    <row r="2519" ht="18.75" customHeight="1">
      <c r="B2519" s="12"/>
      <c r="C2519" s="26"/>
      <c r="L2519" s="25"/>
    </row>
    <row r="2520" ht="18.75" customHeight="1">
      <c r="B2520" s="12"/>
      <c r="C2520" s="26"/>
      <c r="L2520" s="25"/>
    </row>
    <row r="2521" ht="18.75" customHeight="1">
      <c r="B2521" s="12"/>
      <c r="C2521" s="26"/>
      <c r="L2521" s="25"/>
    </row>
    <row r="2522" ht="18.75" customHeight="1">
      <c r="B2522" s="12"/>
      <c r="C2522" s="26"/>
      <c r="L2522" s="25"/>
    </row>
    <row r="2523" ht="18.75" customHeight="1">
      <c r="B2523" s="12"/>
      <c r="C2523" s="26"/>
      <c r="L2523" s="25"/>
    </row>
    <row r="2524" ht="18.75" customHeight="1">
      <c r="B2524" s="12"/>
      <c r="C2524" s="26"/>
      <c r="L2524" s="25"/>
    </row>
    <row r="2525" ht="18.75" customHeight="1">
      <c r="B2525" s="12"/>
      <c r="C2525" s="26"/>
      <c r="L2525" s="25"/>
    </row>
    <row r="2526" ht="18.75" customHeight="1">
      <c r="B2526" s="12"/>
      <c r="C2526" s="26"/>
      <c r="L2526" s="25"/>
    </row>
    <row r="2527" ht="18.75" customHeight="1">
      <c r="B2527" s="12"/>
      <c r="C2527" s="26"/>
      <c r="L2527" s="25"/>
    </row>
    <row r="2528" ht="18.75" customHeight="1">
      <c r="B2528" s="12"/>
      <c r="C2528" s="26"/>
      <c r="L2528" s="25"/>
    </row>
    <row r="2529" ht="18.75" customHeight="1">
      <c r="B2529" s="12"/>
      <c r="C2529" s="26"/>
      <c r="L2529" s="25"/>
    </row>
    <row r="2530" ht="18.75" customHeight="1">
      <c r="B2530" s="12"/>
      <c r="C2530" s="26"/>
      <c r="L2530" s="25"/>
    </row>
    <row r="2531" ht="18.75" customHeight="1">
      <c r="B2531" s="12"/>
      <c r="C2531" s="26"/>
      <c r="L2531" s="25"/>
    </row>
    <row r="2532" ht="18.75" customHeight="1">
      <c r="B2532" s="12"/>
      <c r="C2532" s="26"/>
      <c r="L2532" s="25"/>
    </row>
    <row r="2533" ht="18.75" customHeight="1">
      <c r="B2533" s="12"/>
      <c r="C2533" s="26"/>
      <c r="L2533" s="25"/>
    </row>
    <row r="2534" ht="18.75" customHeight="1">
      <c r="B2534" s="12"/>
      <c r="C2534" s="26"/>
      <c r="L2534" s="25"/>
    </row>
    <row r="2535" ht="18.75" customHeight="1">
      <c r="B2535" s="12"/>
      <c r="C2535" s="26"/>
      <c r="L2535" s="25"/>
    </row>
    <row r="2536" ht="18.75" customHeight="1">
      <c r="B2536" s="12"/>
      <c r="C2536" s="26"/>
      <c r="L2536" s="25"/>
    </row>
    <row r="2537" ht="18.75" customHeight="1">
      <c r="B2537" s="12"/>
      <c r="C2537" s="26"/>
      <c r="L2537" s="25"/>
    </row>
    <row r="2538" ht="18.75" customHeight="1">
      <c r="B2538" s="12"/>
      <c r="C2538" s="26"/>
      <c r="L2538" s="25"/>
    </row>
    <row r="2539" ht="18.75" customHeight="1">
      <c r="B2539" s="12"/>
      <c r="C2539" s="26"/>
      <c r="L2539" s="25"/>
    </row>
    <row r="2540" ht="18.75" customHeight="1">
      <c r="B2540" s="12"/>
      <c r="C2540" s="26"/>
      <c r="L2540" s="25"/>
    </row>
    <row r="2541" ht="18.75" customHeight="1">
      <c r="B2541" s="12"/>
      <c r="C2541" s="26"/>
      <c r="L2541" s="25"/>
    </row>
    <row r="2542" ht="18.75" customHeight="1">
      <c r="B2542" s="12"/>
      <c r="C2542" s="26"/>
      <c r="L2542" s="25"/>
    </row>
    <row r="2543" ht="18.75" customHeight="1">
      <c r="B2543" s="12"/>
      <c r="C2543" s="26"/>
      <c r="L2543" s="25"/>
    </row>
    <row r="2544" ht="18.75" customHeight="1">
      <c r="B2544" s="12"/>
      <c r="C2544" s="26"/>
      <c r="L2544" s="25"/>
    </row>
    <row r="2545" ht="18.75" customHeight="1">
      <c r="B2545" s="12"/>
      <c r="C2545" s="26"/>
      <c r="L2545" s="25"/>
    </row>
    <row r="2546" ht="18.75" customHeight="1">
      <c r="B2546" s="12"/>
      <c r="C2546" s="26"/>
      <c r="L2546" s="25"/>
    </row>
    <row r="2547" ht="18.75" customHeight="1">
      <c r="B2547" s="12"/>
      <c r="C2547" s="26"/>
      <c r="L2547" s="25"/>
    </row>
    <row r="2548" ht="18.75" customHeight="1">
      <c r="B2548" s="12"/>
      <c r="C2548" s="26"/>
      <c r="L2548" s="25"/>
    </row>
    <row r="2549" ht="18.75" customHeight="1">
      <c r="B2549" s="12"/>
      <c r="C2549" s="26"/>
      <c r="L2549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5" max="5" width="19.38"/>
  </cols>
  <sheetData>
    <row r="1">
      <c r="A1" s="27" t="s">
        <v>0</v>
      </c>
      <c r="B1" s="27" t="s">
        <v>1</v>
      </c>
      <c r="C1" s="27" t="s">
        <v>350</v>
      </c>
      <c r="D1" s="27" t="s">
        <v>0</v>
      </c>
      <c r="E1" s="27" t="s">
        <v>1</v>
      </c>
      <c r="F1" s="27" t="s">
        <v>349</v>
      </c>
    </row>
    <row r="2">
      <c r="A2" s="7" t="str">
        <f>IFERROR(__xludf.DUMMYFUNCTION("IMPORTRANGE(""17_ZwchzZyEpTX_x3hAEKMhptIxvxF4zSh_ddpBgpGUA"",""'MAIL'!A2:A"")"),"3016-MAYFESGC")</f>
        <v>3016-MAYFESGC</v>
      </c>
      <c r="B2" s="7" t="str">
        <f>IFERROR(__xludf.DUMMYFUNCTION("IMPORTRANGE(""17_ZwchzZyEpTX_x3hAEKMhptIxvxF4zSh_ddpBgpGUA"",""'MAIL'!U2:U"")"),"La ciudad late mundial | Modo Hincha")</f>
        <v>La ciudad late mundial | Modo Hincha</v>
      </c>
      <c r="C2" s="7" t="str">
        <f>IFERROR(__xludf.DUMMYFUNCTION("IMPORTRANGE(""17_ZwchzZyEpTX_x3hAEKMhptIxvxF4zSh_ddpBgpGUA"",""'MAIL'!L2:L"")"),"")</f>
        <v/>
      </c>
      <c r="D2" s="28" t="str">
        <f>IFERROR(__xludf.DUMMYFUNCTION("IMPORTRANGE(""1HI7m9nFqRO1fPc1Zva6Lvkg4y8Nq-KiJcitjUinvzBU"",""'Visualizacion Meta'!AJ2:AJ"")"),"2444-DICINFGC")</f>
        <v>2444-DICINFGC</v>
      </c>
      <c r="E2" s="28" t="str">
        <f>IFERROR(__xludf.DUMMYFUNCTION("IMPORTRANGE(""1HI7m9nFqRO1fPc1Zva6Lvkg4y8Nq-KiJcitjUinvzBU"",""'Visualizacion Meta'!AN2:AN"")"),"Infraestructura I Cortes en AU Dellepiane por obras")</f>
        <v>Infraestructura I Cortes en AU Dellepiane por obras</v>
      </c>
      <c r="F2" s="29" t="str">
        <f>IFERROR(__xludf.DUMMYFUNCTION("IMPORTRANGE(""1HI7m9nFqRO1fPc1Zva6Lvkg4y8Nq-KiJcitjUinvzBU"",""'Visualizacion Meta'!S2:S"")"),"https://fb.me/adspreview/facebook/1RMCueLZDYjPeIW")</f>
        <v>https://fb.me/adspreview/facebook/1RMCueLZDYjPeIW</v>
      </c>
    </row>
    <row r="3">
      <c r="A3" s="28" t="str">
        <f>IFERROR(__xludf.DUMMYFUNCTION("""COMPUTED_VALUE"""),"2428-DICPCCGC")</f>
        <v>2428-DICPCCGC</v>
      </c>
      <c r="B3" s="28" t="str">
        <f>IFERROR(__xludf.DUMMYFUNCTION("""COMPUTED_VALUE"""),"Voluntariado: Puesta en valor Asociación Juvenil Araucana")</f>
        <v>Voluntariado: Puesta en valor Asociación Juvenil Araucana</v>
      </c>
      <c r="C3" s="29" t="str">
        <f>IFERROR(__xludf.DUMMYFUNCTION("""COMPUTED_VALUE"""),"Pieza")</f>
        <v>Pieza</v>
      </c>
      <c r="D3" s="28" t="str">
        <f>IFERROR(__xludf.DUMMYFUNCTION("""COMPUTED_VALUE"""),"2239-NOVSALGC")</f>
        <v>2239-NOVSALGC</v>
      </c>
      <c r="E3" s="28" t="str">
        <f>IFERROR(__xludf.DUMMYFUNCTION("""COMPUTED_VALUE"""),"Cuidados del Calor 2025 - Prevención")</f>
        <v>Cuidados del Calor 2025 - Prevención</v>
      </c>
      <c r="F3" s="29" t="str">
        <f>IFERROR(__xludf.DUMMYFUNCTION("""COMPUTED_VALUE"""),"https://www.facebook.com/GCBA/posts/pfbid02fZ6eoJSg8zqDVE3RogP3nnn5hqo9sxTPxRzzs7HgyWNUmM6XZmtSLLNohgBDJZ2xl")</f>
        <v>https://www.facebook.com/GCBA/posts/pfbid02fZ6eoJSg8zqDVE3RogP3nnn5hqo9sxTPxRzzs7HgyWNUmM6XZmtSLLNohgBDJZ2xl</v>
      </c>
    </row>
    <row r="4">
      <c r="A4" s="28" t="str">
        <f>IFERROR(__xludf.DUMMYFUNCTION("""COMPUTED_VALUE"""),"2441-DICINFGC")</f>
        <v>2441-DICINFGC</v>
      </c>
      <c r="B4" s="28" t="str">
        <f>IFERROR(__xludf.DUMMYFUNCTION("""COMPUTED_VALUE"""),"Infraestructura I Obras M2: Trambus ENERO")</f>
        <v>Infraestructura I Obras M2: Trambus ENERO</v>
      </c>
      <c r="C4" s="29" t="str">
        <f>IFERROR(__xludf.DUMMYFUNCTION("""COMPUTED_VALUE"""),"Pieza")</f>
        <v>Pieza</v>
      </c>
      <c r="D4" s="28" t="str">
        <f>IFERROR(__xludf.DUMMYFUNCTION("""COMPUTED_VALUE"""),"2239-NOVSALGC")</f>
        <v>2239-NOVSALGC</v>
      </c>
      <c r="E4" s="28" t="str">
        <f>IFERROR(__xludf.DUMMYFUNCTION("""COMPUTED_VALUE"""),"Cuidados del Calor 2025 - Prevención")</f>
        <v>Cuidados del Calor 2025 - Prevención</v>
      </c>
      <c r="F4" s="29" t="str">
        <f>IFERROR(__xludf.DUMMYFUNCTION("""COMPUTED_VALUE"""),"https://www.facebook.com/GCBA/posts/pfbid02mPYtZ1ifJgtqP1BErK7diVBSct6DxqP8sErjSBZhctMWB5jhJSGeDEk39DRDEYUml")</f>
        <v>https://www.facebook.com/GCBA/posts/pfbid02mPYtZ1ifJgtqP1BErK7diVBSct6DxqP8sErjSBZhctMWB5jhJSGeDEk39DRDEYUml</v>
      </c>
    </row>
    <row r="5">
      <c r="A5" s="28" t="str">
        <f>IFERROR(__xludf.DUMMYFUNCTION("""COMPUTED_VALUE"""),"2444-DICINFGC")</f>
        <v>2444-DICINFGC</v>
      </c>
      <c r="B5" s="28" t="str">
        <f>IFERROR(__xludf.DUMMYFUNCTION("""COMPUTED_VALUE"""),"Infraestructura I Cortes en AU Dellepiane por obras")</f>
        <v>Infraestructura I Cortes en AU Dellepiane por obras</v>
      </c>
      <c r="C5" s="29" t="str">
        <f>IFERROR(__xludf.DUMMYFUNCTION("""COMPUTED_VALUE"""),"Pieza")</f>
        <v>Pieza</v>
      </c>
      <c r="D5" s="28" t="str">
        <f>IFERROR(__xludf.DUMMYFUNCTION("""COMPUTED_VALUE"""),"2239-NOVSALGC")</f>
        <v>2239-NOVSALGC</v>
      </c>
      <c r="E5" s="28" t="str">
        <f>IFERROR(__xludf.DUMMYFUNCTION("""COMPUTED_VALUE"""),"Cuidados del Calor 2025 - Prevención")</f>
        <v>Cuidados del Calor 2025 - Prevención</v>
      </c>
      <c r="F5" s="29" t="str">
        <f>IFERROR(__xludf.DUMMYFUNCTION("""COMPUTED_VALUE"""),"https://www.facebook.com/GCBA/posts/pfbid0Tvr1qfKc8DSpGYGQGNvXdzoG8ienpmfRqsKhH4Hu2KxGwPZpzT5Gi67RYJqC4YQql")</f>
        <v>https://www.facebook.com/GCBA/posts/pfbid0Tvr1qfKc8DSpGYGQGNvXdzoG8ienpmfRqsKhH4Hu2KxGwPZpzT5Gi67RYJqC4YQql</v>
      </c>
    </row>
    <row r="6">
      <c r="A6" s="28" t="str">
        <f>IFERROR(__xludf.DUMMYFUNCTION("""COMPUTED_VALUE"""),"1942-SEPEPHGC")</f>
        <v>1942-SEPEPHGC</v>
      </c>
      <c r="B6" s="28" t="str">
        <f>IFERROR(__xludf.DUMMYFUNCTION("""COMPUTED_VALUE"""),"DGPLES | MEPHU  | REPARACIÓN DE VEREDAS")</f>
        <v>DGPLES | MEPHU  | REPARACIÓN DE VEREDAS</v>
      </c>
      <c r="C6" s="29" t="str">
        <f>IFERROR(__xludf.DUMMYFUNCTION("""COMPUTED_VALUE"""),"Pieza")</f>
        <v>Pieza</v>
      </c>
      <c r="D6" s="28" t="str">
        <f>IFERROR(__xludf.DUMMYFUNCTION("""COMPUTED_VALUE"""),"2240-NOVSALGC")</f>
        <v>2240-NOVSALGC</v>
      </c>
      <c r="E6" s="28" t="str">
        <f>IFERROR(__xludf.DUMMYFUNCTION("""COMPUTED_VALUE"""),"Cuidados del Calor 2025 - Síntomas")</f>
        <v>Cuidados del Calor 2025 - Síntomas</v>
      </c>
      <c r="F6" s="29" t="str">
        <f>IFERROR(__xludf.DUMMYFUNCTION("""COMPUTED_VALUE"""),"https://www.facebook.com/GCBA/posts/pfbid02XEqLAZ3ja1iUkCQ1AFBkuUXwxFv9zsX5K86BwUhreM4wjGsmh9yx8x8cEFwBnwo1l")</f>
        <v>https://www.facebook.com/GCBA/posts/pfbid02XEqLAZ3ja1iUkCQ1AFBkuUXwxFv9zsX5K86BwUhreM4wjGsmh9yx8x8cEFwBnwo1l</v>
      </c>
    </row>
    <row r="7">
      <c r="A7" s="28" t="str">
        <f>IFERROR(__xludf.DUMMYFUNCTION("""COMPUTED_VALUE"""),"2431-DICPCCVC")</f>
        <v>2431-DICPCCVC</v>
      </c>
      <c r="B7" s="28" t="str">
        <f>IFERROR(__xludf.DUMMYFUNCTION("""COMPUTED_VALUE"""),"DGPCyC | Verano 2026 - PASEO NÁUTICO POR EL RIACHUELO")</f>
        <v>DGPCyC | Verano 2026 - PASEO NÁUTICO POR EL RIACHUELO</v>
      </c>
      <c r="C7" s="29" t="str">
        <f>IFERROR(__xludf.DUMMYFUNCTION("""COMPUTED_VALUE"""),"Pieza")</f>
        <v>Pieza</v>
      </c>
      <c r="D7" s="28" t="str">
        <f>IFERROR(__xludf.DUMMYFUNCTION("""COMPUTED_VALUE"""),"2240-NOVSALGC")</f>
        <v>2240-NOVSALGC</v>
      </c>
      <c r="E7" s="28" t="str">
        <f>IFERROR(__xludf.DUMMYFUNCTION("""COMPUTED_VALUE"""),"Cuidados del Calor 2025 - Síntomas")</f>
        <v>Cuidados del Calor 2025 - Síntomas</v>
      </c>
      <c r="F7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8">
      <c r="A8" s="28" t="str">
        <f>IFERROR(__xludf.DUMMYFUNCTION("""COMPUTED_VALUE"""),"2439-DICINFGC")</f>
        <v>2439-DICINFGC</v>
      </c>
      <c r="B8" s="28" t="str">
        <f>IFERROR(__xludf.DUMMYFUNCTION("""COMPUTED_VALUE""")," Infraestructura I Bus Eléctricos: extensión recorrido")</f>
        <v> Infraestructura I Bus Eléctricos: extensión recorrido</v>
      </c>
      <c r="C8" s="29" t="str">
        <f>IFERROR(__xludf.DUMMYFUNCTION("""COMPUTED_VALUE"""),"Pieza")</f>
        <v>Pieza</v>
      </c>
      <c r="D8" s="28" t="str">
        <f>IFERROR(__xludf.DUMMYFUNCTION("""COMPUTED_VALUE"""),"2407-DICDHHGC")</f>
        <v>2407-DICDHHGC</v>
      </c>
      <c r="E8" s="28" t="str">
        <f>IFERROR(__xludf.DUMMYFUNCTION("""COMPUTED_VALUE"""),"Red de atención - Comuna 14")</f>
        <v>Red de atención - Comuna 14</v>
      </c>
      <c r="F8" s="29" t="str">
        <f>IFERROR(__xludf.DUMMYFUNCTION("""COMPUTED_VALUE"""),"https://www.facebook.com/GCBA/posts/pfbid034rFdFhu5CMuLHbUxCF393aMxjQ6Uzsq6seyeRjcjNKtzSymPzkApKt81BUxEeVj3l")</f>
        <v>https://www.facebook.com/GCBA/posts/pfbid034rFdFhu5CMuLHbUxCF393aMxjQ6Uzsq6seyeRjcjNKtzSymPzkApKt81BUxEeVj3l</v>
      </c>
    </row>
    <row r="9">
      <c r="A9" s="28" t="str">
        <f>IFERROR(__xludf.DUMMYFUNCTION("""COMPUTED_VALUE"""),"2439-DICINFGC")</f>
        <v>2439-DICINFGC</v>
      </c>
      <c r="B9" s="28" t="str">
        <f>IFERROR(__xludf.DUMMYFUNCTION("""COMPUTED_VALUE""")," Infraestructura I Bus Eléctricos: extensión recorrido")</f>
        <v> Infraestructura I Bus Eléctricos: extensión recorrido</v>
      </c>
      <c r="C9" s="29" t="str">
        <f>IFERROR(__xludf.DUMMYFUNCTION("""COMPUTED_VALUE"""),"Pieza")</f>
        <v>Pieza</v>
      </c>
      <c r="D9" s="28" t="str">
        <f>IFERROR(__xludf.DUMMYFUNCTION("""COMPUTED_VALUE"""),"2145-OCTVINGC")</f>
        <v>2145-OCTVINGC</v>
      </c>
      <c r="E9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9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0">
      <c r="A10" s="28" t="str">
        <f>IFERROR(__xludf.DUMMYFUNCTION("""COMPUTED_VALUE"""),"2450-ENEJDGAG")</f>
        <v>2450-ENEJDGAG</v>
      </c>
      <c r="B10" s="28" t="str">
        <f>IFERROR(__xludf.DUMMYFUNCTION("""COMPUTED_VALUE"""),"RDV JM - Boedo 9/1")</f>
        <v>RDV JM - Boedo 9/1</v>
      </c>
      <c r="C10" s="29" t="str">
        <f>IFERROR(__xludf.DUMMYFUNCTION("""COMPUTED_VALUE"""),"Pieza")</f>
        <v>Pieza</v>
      </c>
      <c r="D10" s="28" t="str">
        <f>IFERROR(__xludf.DUMMYFUNCTION("""COMPUTED_VALUE"""),"2145-OCTVINGC")</f>
        <v>2145-OCTVINGC</v>
      </c>
      <c r="E10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0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1">
      <c r="A11" s="28" t="str">
        <f>IFERROR(__xludf.DUMMYFUNCTION("""COMPUTED_VALUE"""),"2429-DICPCCVC")</f>
        <v>2429-DICPCCVC</v>
      </c>
      <c r="B11" s="28" t="str">
        <f>IFERROR(__xludf.DUMMYFUNCTION("""COMPUTED_VALUE"""),"DGPCyC | Verano 2026 - Todo tiene vida: Museo Moderno")</f>
        <v>DGPCyC | Verano 2026 - Todo tiene vida: Museo Moderno</v>
      </c>
      <c r="C11" s="29" t="str">
        <f>IFERROR(__xludf.DUMMYFUNCTION("""COMPUTED_VALUE"""),"Pieza")</f>
        <v>Pieza</v>
      </c>
      <c r="D11" s="28" t="str">
        <f>IFERROR(__xludf.DUMMYFUNCTION("""COMPUTED_VALUE"""),"2108-OCTEDUGC")</f>
        <v>2108-OCTEDUGC</v>
      </c>
      <c r="E11" s="28" t="str">
        <f>IFERROR(__xludf.DUMMYFUNCTION("""COMPUTED_VALUE"""),"Inscripción 2025 a Profesorados de la Ciudad")</f>
        <v>Inscripción 2025 a Profesorados de la Ciudad</v>
      </c>
      <c r="F11" s="29" t="str">
        <f>IFERROR(__xludf.DUMMYFUNCTION("""COMPUTED_VALUE"""),"https://www.facebook.com/GCBA/posts/1295953569230956")</f>
        <v>https://www.facebook.com/GCBA/posts/1295953569230956</v>
      </c>
    </row>
    <row r="12">
      <c r="A12" s="28" t="str">
        <f>IFERROR(__xludf.DUMMYFUNCTION("""COMPUTED_VALUE"""),"2431-DICPCCVC")</f>
        <v>2431-DICPCCVC</v>
      </c>
      <c r="B12" s="28" t="str">
        <f>IFERROR(__xludf.DUMMYFUNCTION("""COMPUTED_VALUE"""),"DGPCyC | Verano 2026 - PASEO NÁUTICO POR EL RIACHUELO")</f>
        <v>DGPCyC | Verano 2026 - PASEO NÁUTICO POR EL RIACHUELO</v>
      </c>
      <c r="C12" s="29" t="str">
        <f>IFERROR(__xludf.DUMMYFUNCTION("""COMPUTED_VALUE"""),"Pieza")</f>
        <v>Pieza</v>
      </c>
      <c r="D12" s="28" t="str">
        <f>IFERROR(__xludf.DUMMYFUNCTION("""COMPUTED_VALUE"""),"2108-OCTEDUGC")</f>
        <v>2108-OCTEDUGC</v>
      </c>
      <c r="E12" s="28" t="str">
        <f>IFERROR(__xludf.DUMMYFUNCTION("""COMPUTED_VALUE"""),"Inscripción 2025 a Profesorados de la Ciudad")</f>
        <v>Inscripción 2025 a Profesorados de la Ciudad</v>
      </c>
      <c r="F12" s="29" t="str">
        <f>IFERROR(__xludf.DUMMYFUNCTION("""COMPUTED_VALUE"""),"https://www.facebook.com/GCBA/posts/1295953569230956")</f>
        <v>https://www.facebook.com/GCBA/posts/1295953569230956</v>
      </c>
    </row>
    <row r="13">
      <c r="A13" s="28" t="str">
        <f>IFERROR(__xludf.DUMMYFUNCTION("""COMPUTED_VALUE"""),"2255-NOVSALGC")</f>
        <v>2255-NOVSALGC</v>
      </c>
      <c r="B13" s="28" t="str">
        <f>IFERROR(__xludf.DUMMYFUNCTION("""COMPUTED_VALUE"""),"Sistema de Salud Público - Geolocalizado")</f>
        <v>Sistema de Salud Público - Geolocalizado</v>
      </c>
      <c r="C13" s="29" t="str">
        <f>IFERROR(__xludf.DUMMYFUNCTION("""COMPUTED_VALUE"""),"Pieza")</f>
        <v>Pieza</v>
      </c>
      <c r="D13" s="28" t="str">
        <f>IFERROR(__xludf.DUMMYFUNCTION("""COMPUTED_VALUE"""),"2241-NOVSALGC")</f>
        <v>2241-NOVSALGC</v>
      </c>
      <c r="E13" s="28" t="str">
        <f>IFERROR(__xludf.DUMMYFUNCTION("""COMPUTED_VALUE"""),"Cuidados del Calor 2025 - Alertas Meteorológicas")</f>
        <v>Cuidados del Calor 2025 - Alertas Meteorológicas</v>
      </c>
      <c r="F13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4">
      <c r="A14" s="28" t="str">
        <f>IFERROR(__xludf.DUMMYFUNCTION("""COMPUTED_VALUE"""),"2255-NOVSALGC")</f>
        <v>2255-NOVSALGC</v>
      </c>
      <c r="B14" s="28" t="str">
        <f>IFERROR(__xludf.DUMMYFUNCTION("""COMPUTED_VALUE"""),"Sistema de Salud Público - Geolocalizado")</f>
        <v>Sistema de Salud Público - Geolocalizado</v>
      </c>
      <c r="C14" s="29" t="str">
        <f>IFERROR(__xludf.DUMMYFUNCTION("""COMPUTED_VALUE"""),"Pieza")</f>
        <v>Pieza</v>
      </c>
      <c r="D14" s="28" t="str">
        <f>IFERROR(__xludf.DUMMYFUNCTION("""COMPUTED_VALUE"""),"2241-NOVSALGC")</f>
        <v>2241-NOVSALGC</v>
      </c>
      <c r="E14" s="28" t="str">
        <f>IFERROR(__xludf.DUMMYFUNCTION("""COMPUTED_VALUE"""),"Cuidados del Calor 2025 - Alertas Meteorológicas")</f>
        <v>Cuidados del Calor 2025 - Alertas Meteorológicas</v>
      </c>
      <c r="F14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5">
      <c r="A15" s="28" t="str">
        <f>IFERROR(__xludf.DUMMYFUNCTION("""COMPUTED_VALUE"""),"2109-OCTEPHGC")</f>
        <v>2109-OCTEPHGC</v>
      </c>
      <c r="B15" s="28" t="str">
        <f>IFERROR(__xludf.DUMMYFUNCTION("""COMPUTED_VALUE"""),"LIMPIEZA DE FACHADAS | M2")</f>
        <v>LIMPIEZA DE FACHADAS | M2</v>
      </c>
      <c r="C15" s="29" t="str">
        <f>IFERROR(__xludf.DUMMYFUNCTION("""COMPUTED_VALUE"""),"Pieza")</f>
        <v>Pieza</v>
      </c>
      <c r="D15" s="28" t="str">
        <f>IFERROR(__xludf.DUMMYFUNCTION("""COMPUTED_VALUE"""),"2241-NOVSALGC")</f>
        <v>2241-NOVSALGC</v>
      </c>
      <c r="E15" s="28" t="str">
        <f>IFERROR(__xludf.DUMMYFUNCTION("""COMPUTED_VALUE"""),"Cuidados del Calor 2025 - Alertas Meteorológicas")</f>
        <v>Cuidados del Calor 2025 - Alertas Meteorológicas</v>
      </c>
      <c r="F15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6">
      <c r="A16" s="28" t="str">
        <f>IFERROR(__xludf.DUMMYFUNCTION("""COMPUTED_VALUE"""),"2430-DICPCCVC")</f>
        <v>2430-DICPCCVC</v>
      </c>
      <c r="B16" s="28" t="str">
        <f>IFERROR(__xludf.DUMMYFUNCTION("""COMPUTED_VALUE"""),"DGPCyC | Verano 2026 - Misión Bomberos: Un día en la estación")</f>
        <v>DGPCyC | Verano 2026 - Misión Bomberos: Un día en la estación</v>
      </c>
      <c r="C16" s="29" t="str">
        <f>IFERROR(__xludf.DUMMYFUNCTION("""COMPUTED_VALUE"""),"Pieza")</f>
        <v>Pieza</v>
      </c>
      <c r="D16" s="28" t="str">
        <f>IFERROR(__xludf.DUMMYFUNCTION("""COMPUTED_VALUE"""),"2241-NOVSALGC")</f>
        <v>2241-NOVSALGC</v>
      </c>
      <c r="E16" s="28" t="str">
        <f>IFERROR(__xludf.DUMMYFUNCTION("""COMPUTED_VALUE"""),"Cuidados del Calor 2025 - Alertas Meteorológicas")</f>
        <v>Cuidados del Calor 2025 - Alertas Meteorológicas</v>
      </c>
      <c r="F16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7">
      <c r="A17" s="28" t="str">
        <f>IFERROR(__xludf.DUMMYFUNCTION("""COMPUTED_VALUE"""),"2458-ENESEGGC")</f>
        <v>2458-ENESEGGC</v>
      </c>
      <c r="B17" s="28" t="str">
        <f>IFERROR(__xludf.DUMMYFUNCTION("""COMPUTED_VALUE"""),"Campaña GCBA I Seguridad I Desalojo edificio San Telmo")</f>
        <v>Campaña GCBA I Seguridad I Desalojo edificio San Telmo</v>
      </c>
      <c r="C17" s="29" t="str">
        <f>IFERROR(__xludf.DUMMYFUNCTION("""COMPUTED_VALUE"""),"Pieza")</f>
        <v>Pieza</v>
      </c>
      <c r="D17" s="28" t="str">
        <f>IFERROR(__xludf.DUMMYFUNCTION("""COMPUTED_VALUE"""),"2241-NOVSALGC")</f>
        <v>2241-NOVSALGC</v>
      </c>
      <c r="E17" s="28" t="str">
        <f>IFERROR(__xludf.DUMMYFUNCTION("""COMPUTED_VALUE"""),"Cuidados del Calor 2025 - Alertas Meteorológicas")</f>
        <v>Cuidados del Calor 2025 - Alertas Meteorológicas</v>
      </c>
      <c r="F17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">
      <c r="A18" s="28" t="str">
        <f>IFERROR(__xludf.DUMMYFUNCTION("""COMPUTED_VALUE"""),"2227-NOVINFGC")</f>
        <v>2227-NOVINFGC</v>
      </c>
      <c r="B18" s="28" t="str">
        <f>IFERROR(__xludf.DUMMYFUNCTION("""COMPUTED_VALUE"""),"Infraestructura - SBASE | Campaña GCBA | Seguridad en Subte")</f>
        <v>Infraestructura - SBASE | Campaña GCBA | Seguridad en Subte</v>
      </c>
      <c r="C18" s="29" t="str">
        <f>IFERROR(__xludf.DUMMYFUNCTION("""COMPUTED_VALUE"""),"Pieza")</f>
        <v>Pieza</v>
      </c>
      <c r="D18" s="28" t="str">
        <f>IFERROR(__xludf.DUMMYFUNCTION("""COMPUTED_VALUE"""),"2183-OCTSALGC")</f>
        <v>2183-OCTSALGC</v>
      </c>
      <c r="E18" s="28" t="str">
        <f>IFERROR(__xludf.DUMMYFUNCTION("""COMPUTED_VALUE"""),"Sistema de Salud Público - Genérico")</f>
        <v>Sistema de Salud Público - Genérico</v>
      </c>
      <c r="F18" s="29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19">
      <c r="A19" s="28" t="str">
        <f>IFERROR(__xludf.DUMMYFUNCTION("""COMPUTED_VALUE"""),"2255-NOVSALGC")</f>
        <v>2255-NOVSALGC</v>
      </c>
      <c r="B19" s="28" t="str">
        <f>IFERROR(__xludf.DUMMYFUNCTION("""COMPUTED_VALUE"""),"Sistema de Salud Público - Geolocalizado")</f>
        <v>Sistema de Salud Público - Geolocalizado</v>
      </c>
      <c r="C19" s="29" t="str">
        <f>IFERROR(__xludf.DUMMYFUNCTION("""COMPUTED_VALUE"""),"Pieza")</f>
        <v>Pieza</v>
      </c>
      <c r="D19" s="28" t="str">
        <f>IFERROR(__xludf.DUMMYFUNCTION("""COMPUTED_VALUE"""),"2183-OCTSALGC")</f>
        <v>2183-OCTSALGC</v>
      </c>
      <c r="E19" s="28" t="str">
        <f>IFERROR(__xludf.DUMMYFUNCTION("""COMPUTED_VALUE"""),"Sistema de Salud Público - Genérico")</f>
        <v>Sistema de Salud Público - Genérico</v>
      </c>
      <c r="F19" s="29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20">
      <c r="A20" s="28" t="str">
        <f>IFERROR(__xludf.DUMMYFUNCTION("""COMPUTED_VALUE"""),"2255-NOVSALGC")</f>
        <v>2255-NOVSALGC</v>
      </c>
      <c r="B20" s="28" t="str">
        <f>IFERROR(__xludf.DUMMYFUNCTION("""COMPUTED_VALUE"""),"Sistema de Salud Público - Geolocalizado")</f>
        <v>Sistema de Salud Público - Geolocalizado</v>
      </c>
      <c r="C20" s="29" t="str">
        <f>IFERROR(__xludf.DUMMYFUNCTION("""COMPUTED_VALUE"""),"Pieza")</f>
        <v>Pieza</v>
      </c>
      <c r="D20" s="28" t="str">
        <f>IFERROR(__xludf.DUMMYFUNCTION("""COMPUTED_VALUE"""),"2227-NOVINFGC")</f>
        <v>2227-NOVINFGC</v>
      </c>
      <c r="E20" s="28" t="str">
        <f>IFERROR(__xludf.DUMMYFUNCTION("""COMPUTED_VALUE"""),"Infraestructura - SBASE | Campaña GCBA | Seguridad en Subte")</f>
        <v>Infraestructura - SBASE | Campaña GCBA | Seguridad en Subte</v>
      </c>
      <c r="F20" s="29" t="str">
        <f>IFERROR(__xludf.DUMMYFUNCTION("""COMPUTED_VALUE"""),"https://www.facebook.com/GCBA/posts/pfbid0swuyoC42Lys1AAsD6UQ7EPU5B43KXVdVXxxXU4X9oHEJ7DjKXtavLAdDHd6BpccBl")</f>
        <v>https://www.facebook.com/GCBA/posts/pfbid0swuyoC42Lys1AAsD6UQ7EPU5B43KXVdVXxxXU4X9oHEJ7DjKXtavLAdDHd6BpccBl</v>
      </c>
    </row>
    <row r="21">
      <c r="A21" s="28" t="str">
        <f>IFERROR(__xludf.DUMMYFUNCTION("""COMPUTED_VALUE"""),"1933-SEPINFGC")</f>
        <v>1933-SEPINFGC</v>
      </c>
      <c r="B21" s="28" t="str">
        <f>IFERROR(__xludf.DUMMYFUNCTION("""COMPUTED_VALUE"""),"CAMPAÑA GCBA | INFRAESTRUCTURA | Campaña 360° Movilidad 2025")</f>
        <v>CAMPAÑA GCBA | INFRAESTRUCTURA | Campaña 360° Movilidad 2025</v>
      </c>
      <c r="C21" s="29" t="str">
        <f>IFERROR(__xludf.DUMMYFUNCTION("""COMPUTED_VALUE"""),"Pieza")</f>
        <v>Pieza</v>
      </c>
      <c r="D21" s="28" t="str">
        <f>IFERROR(__xludf.DUMMYFUNCTION("""COMPUTED_VALUE"""),"2227-NOVINFGC")</f>
        <v>2227-NOVINFGC</v>
      </c>
      <c r="E21" s="28" t="str">
        <f>IFERROR(__xludf.DUMMYFUNCTION("""COMPUTED_VALUE"""),"Infraestructura - SBASE | Campaña GCBA | Seguridad en Subte")</f>
        <v>Infraestructura - SBASE | Campaña GCBA | Seguridad en Subte</v>
      </c>
      <c r="F21" s="29" t="str">
        <f>IFERROR(__xludf.DUMMYFUNCTION("""COMPUTED_VALUE"""),"https://www.facebook.com/GCBA/posts/pfbid0swuyoC42Lys1AAsD6UQ7EPU5B43KXVdVXxxXU4X9oHEJ7DjKXtavLAdDHd6BpccBl")</f>
        <v>https://www.facebook.com/GCBA/posts/pfbid0swuyoC42Lys1AAsD6UQ7EPU5B43KXVdVXxxXU4X9oHEJ7DjKXtavLAdDHd6BpccBl</v>
      </c>
    </row>
    <row r="22">
      <c r="A22" s="28" t="str">
        <f>IFERROR(__xludf.DUMMYFUNCTION("""COMPUTED_VALUE"""),"2322-NOVEDUGC")</f>
        <v>2322-NOVEDUGC</v>
      </c>
      <c r="B22" s="28" t="str">
        <f>IFERROR(__xludf.DUMMYFUNCTION("""COMPUTED_VALUE"""),"TUMO Parque de la Innovación")</f>
        <v>TUMO Parque de la Innovación</v>
      </c>
      <c r="C22" s="29" t="str">
        <f>IFERROR(__xludf.DUMMYFUNCTION("""COMPUTED_VALUE"""),"Pieza")</f>
        <v>Pieza</v>
      </c>
      <c r="D22" s="28" t="str">
        <f>IFERROR(__xludf.DUMMYFUNCTION("""COMPUTED_VALUE"""),"2227-NOVINFGC")</f>
        <v>2227-NOVINFGC</v>
      </c>
      <c r="E22" s="28" t="str">
        <f>IFERROR(__xludf.DUMMYFUNCTION("""COMPUTED_VALUE"""),"Infraestructura - SBASE | Campaña GCBA | Seguridad en Subte")</f>
        <v>Infraestructura - SBASE | Campaña GCBA | Seguridad en Subte</v>
      </c>
      <c r="F22" s="29" t="str">
        <f>IFERROR(__xludf.DUMMYFUNCTION("""COMPUTED_VALUE"""),"https://www.facebook.com/GCBA/posts/pfbid0swuyoC42Lys1AAsD6UQ7EPU5B43KXVdVXxxXU4X9oHEJ7DjKXtavLAdDHd6BpccBl")</f>
        <v>https://www.facebook.com/GCBA/posts/pfbid0swuyoC42Lys1AAsD6UQ7EPU5B43KXVdVXxxXU4X9oHEJ7DjKXtavLAdDHd6BpccBl</v>
      </c>
    </row>
    <row r="23">
      <c r="A23" s="28" t="str">
        <f>IFERROR(__xludf.DUMMYFUNCTION("""COMPUTED_VALUE"""),"2426-DICSALGC")</f>
        <v>2426-DICSALGC</v>
      </c>
      <c r="B23" s="28" t="str">
        <f>IFERROR(__xludf.DUMMYFUNCTION("""COMPUTED_VALUE"""),"Deploy HIS Ambulatorio")</f>
        <v>Deploy HIS Ambulatorio</v>
      </c>
      <c r="C23" s="29" t="str">
        <f>IFERROR(__xludf.DUMMYFUNCTION("""COMPUTED_VALUE"""),"Pieza")</f>
        <v>Pieza</v>
      </c>
      <c r="D23" s="28" t="str">
        <f>IFERROR(__xludf.DUMMYFUNCTION("""COMPUTED_VALUE"""),"2227-NOVINFGC")</f>
        <v>2227-NOVINFGC</v>
      </c>
      <c r="E23" s="28" t="str">
        <f>IFERROR(__xludf.DUMMYFUNCTION("""COMPUTED_VALUE"""),"Infraestructura - SBASE | Campaña GCBA | Seguridad en Subte")</f>
        <v>Infraestructura - SBASE | Campaña GCBA | Seguridad en Subte</v>
      </c>
      <c r="F23" s="29" t="str">
        <f>IFERROR(__xludf.DUMMYFUNCTION("""COMPUTED_VALUE"""),"http://facebook.com/GCBA/posts/pfbid02be3ZHu2v99MUHBNDJdA8zoW7fdKeXgoZvUsEKFJbatJMaqmfGhVfSuBTobPHZYPwl")</f>
        <v>http://facebook.com/GCBA/posts/pfbid02be3ZHu2v99MUHBNDJdA8zoW7fdKeXgoZvUsEKFJbatJMaqmfGhVfSuBTobPHZYPwl</v>
      </c>
    </row>
    <row r="24">
      <c r="A24" s="28" t="str">
        <f>IFERROR(__xludf.DUMMYFUNCTION("""COMPUTED_VALUE"""),"2227-NOVINFGC")</f>
        <v>2227-NOVINFGC</v>
      </c>
      <c r="B24" s="28" t="str">
        <f>IFERROR(__xludf.DUMMYFUNCTION("""COMPUTED_VALUE"""),"Infraestructura - SBASE | Campaña GCBA | Seguridad en Subte")</f>
        <v>Infraestructura - SBASE | Campaña GCBA | Seguridad en Subte</v>
      </c>
      <c r="C24" s="29" t="str">
        <f>IFERROR(__xludf.DUMMYFUNCTION("""COMPUTED_VALUE"""),"Pieza")</f>
        <v>Pieza</v>
      </c>
      <c r="D24" s="28" t="str">
        <f>IFERROR(__xludf.DUMMYFUNCTION("""COMPUTED_VALUE"""),"2227-NOVINFGC")</f>
        <v>2227-NOVINFGC</v>
      </c>
      <c r="E24" s="28" t="str">
        <f>IFERROR(__xludf.DUMMYFUNCTION("""COMPUTED_VALUE"""),"Infraestructura - SBASE | Campaña GCBA | Seguridad en Subte")</f>
        <v>Infraestructura - SBASE | Campaña GCBA | Seguridad en Subte</v>
      </c>
      <c r="F24" s="29" t="str">
        <f>IFERROR(__xludf.DUMMYFUNCTION("""COMPUTED_VALUE"""),"https://www.facebook.com/GCBA/posts/pfbid0fcGzp3aieAQ3ehBQkqAppssdXbVc6sQkfH1TUcyoYZMe19rPAMNJctKqaKWpJ3gFl")</f>
        <v>https://www.facebook.com/GCBA/posts/pfbid0fcGzp3aieAQ3ehBQkqAppssdXbVc6sQkfH1TUcyoYZMe19rPAMNJctKqaKWpJ3gFl</v>
      </c>
    </row>
    <row r="25">
      <c r="A25" s="28" t="str">
        <f>IFERROR(__xludf.DUMMYFUNCTION("""COMPUTED_VALUE"""),"2459-ENESEGGC")</f>
        <v>2459-ENESEGGC</v>
      </c>
      <c r="B25" s="28" t="str">
        <f>IFERROR(__xludf.DUMMYFUNCTION("""COMPUTED_VALUE"""),"Campaña GCBA I Seguridad I Desalojo predio Parque Avellaneda")</f>
        <v>Campaña GCBA I Seguridad I Desalojo predio Parque Avellaneda</v>
      </c>
      <c r="C25" s="29" t="str">
        <f>IFERROR(__xludf.DUMMYFUNCTION("""COMPUTED_VALUE"""),"Pieza")</f>
        <v>Pieza</v>
      </c>
      <c r="D25" s="28" t="str">
        <f>IFERROR(__xludf.DUMMYFUNCTION("""COMPUTED_VALUE"""),"2227-NOVINFGC")</f>
        <v>2227-NOVINFGC</v>
      </c>
      <c r="E25" s="28" t="str">
        <f>IFERROR(__xludf.DUMMYFUNCTION("""COMPUTED_VALUE"""),"Infraestructura - SBASE | Campaña GCBA | Seguridad en Subte")</f>
        <v>Infraestructura - SBASE | Campaña GCBA | Seguridad en Subte</v>
      </c>
      <c r="F25" s="29" t="str">
        <f>IFERROR(__xludf.DUMMYFUNCTION("""COMPUTED_VALUE"""),"https://www.facebook.com/GCBA/posts/pfbid02VzYFMoFY2NijAVktrLrY1boeG4Tegnt2ycveNuxJL1FTSfh2S7QvKr6gF74rR1Fxl")</f>
        <v>https://www.facebook.com/GCBA/posts/pfbid02VzYFMoFY2NijAVktrLrY1boeG4Tegnt2ycveNuxJL1FTSfh2S7QvKr6gF74rR1Fxl</v>
      </c>
    </row>
    <row r="26">
      <c r="A26" s="28" t="str">
        <f>IFERROR(__xludf.DUMMYFUNCTION("""COMPUTED_VALUE"""),"1933-SEPINFGC")</f>
        <v>1933-SEPINFGC</v>
      </c>
      <c r="B26" s="28" t="str">
        <f>IFERROR(__xludf.DUMMYFUNCTION("""COMPUTED_VALUE"""),"CAMPAÑA GCBA | INFRAESTRUCTURA | Campaña 360° Movilidad 2025")</f>
        <v>CAMPAÑA GCBA | INFRAESTRUCTURA | Campaña 360° Movilidad 2025</v>
      </c>
      <c r="C26" s="29" t="str">
        <f>IFERROR(__xludf.DUMMYFUNCTION("""COMPUTED_VALUE"""),"Pieza")</f>
        <v>Pieza</v>
      </c>
      <c r="D26" s="28" t="str">
        <f>IFERROR(__xludf.DUMMYFUNCTION("""COMPUTED_VALUE"""),"2227-NOVINFGC")</f>
        <v>2227-NOVINFGC</v>
      </c>
      <c r="E26" s="28" t="str">
        <f>IFERROR(__xludf.DUMMYFUNCTION("""COMPUTED_VALUE"""),"Infraestructura - SBASE | Campaña GCBA | Seguridad en Subte")</f>
        <v>Infraestructura - SBASE | Campaña GCBA | Seguridad en Subte</v>
      </c>
      <c r="F26" s="29" t="str">
        <f>IFERROR(__xludf.DUMMYFUNCTION("""COMPUTED_VALUE"""),"https://www.facebook.com/GCBA/posts/pfbid02xwE7umkg4m8EJBep3eHiiaS4a1LkKiJkWtxXNUJmDGp6Qyz2KnG9BH44fGsCMb6ql")</f>
        <v>https://www.facebook.com/GCBA/posts/pfbid02xwE7umkg4m8EJBep3eHiiaS4a1LkKiJkWtxXNUJmDGp6Qyz2KnG9BH44fGsCMb6ql</v>
      </c>
    </row>
    <row r="27">
      <c r="A27" s="28" t="str">
        <f>IFERROR(__xludf.DUMMYFUNCTION("""COMPUTED_VALUE"""),"2450-ENEJDGAG")</f>
        <v>2450-ENEJDGAG</v>
      </c>
      <c r="B27" s="28" t="str">
        <f>IFERROR(__xludf.DUMMYFUNCTION("""COMPUTED_VALUE"""),"RDV JM - Boedo 9/1")</f>
        <v>RDV JM - Boedo 9/1</v>
      </c>
      <c r="C27" s="29" t="str">
        <f>IFERROR(__xludf.DUMMYFUNCTION("""COMPUTED_VALUE"""),"Pieza")</f>
        <v>Pieza</v>
      </c>
      <c r="D27" s="28" t="str">
        <f>IFERROR(__xludf.DUMMYFUNCTION("""COMPUTED_VALUE"""),"2227-NOVINFGC")</f>
        <v>2227-NOVINFGC</v>
      </c>
      <c r="E27" s="28" t="str">
        <f>IFERROR(__xludf.DUMMYFUNCTION("""COMPUTED_VALUE"""),"Infraestructura - SBASE | Campaña GCBA | Seguridad en Subte")</f>
        <v>Infraestructura - SBASE | Campaña GCBA | Seguridad en Subte</v>
      </c>
      <c r="F27" s="29" t="str">
        <f>IFERROR(__xludf.DUMMYFUNCTION("""COMPUTED_VALUE"""),"https://www.facebook.com/GCBA/posts/pfbid034HvszMyVGzDQC8RB3DQvbXndubo9cN1r2YzCZaVVC9ECLZ4Fpoq4Tg43sLqA7MtEl")</f>
        <v>https://www.facebook.com/GCBA/posts/pfbid034HvszMyVGzDQC8RB3DQvbXndubo9cN1r2YzCZaVVC9ECLZ4Fpoq4Tg43sLqA7MtEl</v>
      </c>
    </row>
    <row r="28">
      <c r="A28" s="28" t="str">
        <f>IFERROR(__xludf.DUMMYFUNCTION("""COMPUTED_VALUE"""),"2447-DICPCCVC")</f>
        <v>2447-DICPCCVC</v>
      </c>
      <c r="B28" s="28" t="str">
        <f>IFERROR(__xludf.DUMMYFUNCTION("""COMPUTED_VALUE"""),"Verano 2026 - La Gran Aventura del Reciclaje | Enero")</f>
        <v>Verano 2026 - La Gran Aventura del Reciclaje | Enero</v>
      </c>
      <c r="C28" s="29" t="str">
        <f>IFERROR(__xludf.DUMMYFUNCTION("""COMPUTED_VALUE"""),"Pieza")</f>
        <v>Pieza</v>
      </c>
      <c r="D28" s="28" t="str">
        <f>IFERROR(__xludf.DUMMYFUNCTION("""COMPUTED_VALUE"""),"2227-NOVINFGC")</f>
        <v>2227-NOVINFGC</v>
      </c>
      <c r="E28" s="28" t="str">
        <f>IFERROR(__xludf.DUMMYFUNCTION("""COMPUTED_VALUE"""),"Infraestructura - SBASE | Campaña GCBA | Seguridad en Subte")</f>
        <v>Infraestructura - SBASE | Campaña GCBA | Seguridad en Subte</v>
      </c>
      <c r="F28" s="29" t="str">
        <f>IFERROR(__xludf.DUMMYFUNCTION("""COMPUTED_VALUE"""),"https://www.facebook.com/GCBA/posts/pfbid0FrvDSmE2CnXkRJWpi44x5VHGBrGc8KWwM7HbCh2aN4vEBMtwAkWcTuBQUya55HaKl")</f>
        <v>https://www.facebook.com/GCBA/posts/pfbid0FrvDSmE2CnXkRJWpi44x5VHGBrGc8KWwM7HbCh2aN4vEBMtwAkWcTuBQUya55HaKl</v>
      </c>
    </row>
    <row r="29">
      <c r="A29" s="28" t="str">
        <f>IFERROR(__xludf.DUMMYFUNCTION("""COMPUTED_VALUE"""),"2463-ENETURGC")</f>
        <v>2463-ENETURGC</v>
      </c>
      <c r="B29" s="28" t="str">
        <f>IFERROR(__xludf.DUMMYFUNCTION("""COMPUTED_VALUE"""),"Elegí Argentina 2026 | Registro de Prestadores Turísticos | Viernes 9/1")</f>
        <v>Elegí Argentina 2026 | Registro de Prestadores Turísticos | Viernes 9/1</v>
      </c>
      <c r="C29" s="29" t="str">
        <f>IFERROR(__xludf.DUMMYFUNCTION("""COMPUTED_VALUE"""),"Pieza")</f>
        <v>Pieza</v>
      </c>
      <c r="D29" s="28" t="str">
        <f>IFERROR(__xludf.DUMMYFUNCTION("""COMPUTED_VALUE"""),"2227-NOVINFGC")</f>
        <v>2227-NOVINFGC</v>
      </c>
      <c r="E29" s="28" t="str">
        <f>IFERROR(__xludf.DUMMYFUNCTION("""COMPUTED_VALUE"""),"Infraestructura - SBASE | Campaña GCBA | Seguridad en Subte")</f>
        <v>Infraestructura - SBASE | Campaña GCBA | Seguridad en Subte</v>
      </c>
      <c r="F29" s="29" t="str">
        <f>IFERROR(__xludf.DUMMYFUNCTION("""COMPUTED_VALUE"""),"https://www.facebook.com/GCBA/posts/pfbid02omoyBbDLctmMuYv8i2KuH2ZqSPYxgk7WSPFFUepk4GQFFATn4MnrVCdXqxXpCugpl")</f>
        <v>https://www.facebook.com/GCBA/posts/pfbid02omoyBbDLctmMuYv8i2KuH2ZqSPYxgk7WSPFFUepk4GQFFATn4MnrVCdXqxXpCugpl</v>
      </c>
    </row>
    <row r="30">
      <c r="A30" s="28" t="str">
        <f>IFERROR(__xludf.DUMMYFUNCTION("""COMPUTED_VALUE"""),"1896-SEPEPHGC")</f>
        <v>1896-SEPEPHGC</v>
      </c>
      <c r="B30" s="28" t="str">
        <f>IFERROR(__xludf.DUMMYFUNCTION("""COMPUTED_VALUE"""),"PIEZAS M2 | MEPHU | LIMPIEZA INTENSIVA")</f>
        <v>PIEZAS M2 | MEPHU | LIMPIEZA INTENSIVA</v>
      </c>
      <c r="C30" s="29" t="str">
        <f>IFERROR(__xludf.DUMMYFUNCTION("""COMPUTED_VALUE"""),"Pieza")</f>
        <v>Pieza</v>
      </c>
      <c r="D30" s="28" t="str">
        <f>IFERROR(__xludf.DUMMYFUNCTION("""COMPUTED_VALUE"""),"2227-NOVINFGC")</f>
        <v>2227-NOVINFGC</v>
      </c>
      <c r="E30" s="28" t="str">
        <f>IFERROR(__xludf.DUMMYFUNCTION("""COMPUTED_VALUE"""),"Infraestructura - SBASE | Campaña GCBA | Seguridad en Subte")</f>
        <v>Infraestructura - SBASE | Campaña GCBA | Seguridad en Subte</v>
      </c>
      <c r="F30" s="29" t="str">
        <f>IFERROR(__xludf.DUMMYFUNCTION("""COMPUTED_VALUE"""),"https://www.facebook.com/GCBA/posts/pfbid0yWeSX1bsaW2dRrtzopPUzChnPGxhVtvHWV3pig8BfR2n7CqSCm7Bj67Nb5HYTPqNl")</f>
        <v>https://www.facebook.com/GCBA/posts/pfbid0yWeSX1bsaW2dRrtzopPUzChnPGxhVtvHWV3pig8BfR2n7CqSCm7Bj67Nb5HYTPqNl</v>
      </c>
    </row>
    <row r="31">
      <c r="A31" s="28" t="str">
        <f>IFERROR(__xludf.DUMMYFUNCTION("""COMPUTED_VALUE"""),"2145-OCTVINGC")</f>
        <v>2145-OCTVINGC</v>
      </c>
      <c r="B31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31" s="29" t="str">
        <f>IFERROR(__xludf.DUMMYFUNCTION("""COMPUTED_VALUE"""),"Pieza")</f>
        <v>Pieza</v>
      </c>
      <c r="D31" s="28" t="str">
        <f>IFERROR(__xludf.DUMMYFUNCTION("""COMPUTED_VALUE"""),"2227-NOVINFGC")</f>
        <v>2227-NOVINFGC</v>
      </c>
      <c r="E31" s="28" t="str">
        <f>IFERROR(__xludf.DUMMYFUNCTION("""COMPUTED_VALUE"""),"Infraestructura - SBASE | Campaña GCBA | Seguridad en Subte")</f>
        <v>Infraestructura - SBASE | Campaña GCBA | Seguridad en Subte</v>
      </c>
      <c r="F31" s="29" t="str">
        <f>IFERROR(__xludf.DUMMYFUNCTION("""COMPUTED_VALUE"""),"https://www.facebook.com/GCBA/posts/pfbid0wBE3qhjLQFrZK54WssaRWJwULj1eXjd6RQKN1Mpe9UP6BesDc1V8H8uiwTvdAnV9l")</f>
        <v>https://www.facebook.com/GCBA/posts/pfbid0wBE3qhjLQFrZK54WssaRWJwULj1eXjd6RQKN1Mpe9UP6BesDc1V8H8uiwTvdAnV9l</v>
      </c>
    </row>
    <row r="32">
      <c r="A32" s="28" t="str">
        <f>IFERROR(__xludf.DUMMYFUNCTION("""COMPUTED_VALUE"""),"2145-OCTVINGC")</f>
        <v>2145-OCTVINGC</v>
      </c>
      <c r="B32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32" s="29" t="str">
        <f>IFERROR(__xludf.DUMMYFUNCTION("""COMPUTED_VALUE"""),"Pieza")</f>
        <v>Pieza</v>
      </c>
      <c r="D32" s="28" t="str">
        <f>IFERROR(__xludf.DUMMYFUNCTION("""COMPUTED_VALUE"""),"2227-NOVINFGC")</f>
        <v>2227-NOVINFGC</v>
      </c>
      <c r="E32" s="28" t="str">
        <f>IFERROR(__xludf.DUMMYFUNCTION("""COMPUTED_VALUE"""),"Infraestructura - SBASE | Campaña GCBA | Seguridad en Subte")</f>
        <v>Infraestructura - SBASE | Campaña GCBA | Seguridad en Subte</v>
      </c>
      <c r="F32" s="29" t="str">
        <f>IFERROR(__xludf.DUMMYFUNCTION("""COMPUTED_VALUE"""),"https://www.facebook.com/GCBA/posts/pfbid02FtZC9pHaY3uvY7n6cdxbhoNJixcrUDg8TXwTXrmbh2nzzcHA2y4ufthe4NuyJo2vl")</f>
        <v>https://www.facebook.com/GCBA/posts/pfbid02FtZC9pHaY3uvY7n6cdxbhoNJixcrUDg8TXwTXrmbh2nzzcHA2y4ufthe4NuyJo2vl</v>
      </c>
    </row>
    <row r="33">
      <c r="A33" s="28" t="str">
        <f>IFERROR(__xludf.DUMMYFUNCTION("""COMPUTED_VALUE"""),"1942-SEPEPHGC")</f>
        <v>1942-SEPEPHGC</v>
      </c>
      <c r="B33" s="28" t="str">
        <f>IFERROR(__xludf.DUMMYFUNCTION("""COMPUTED_VALUE"""),"DGPLES | MEPHU  | REPARACIÓN DE VEREDAS")</f>
        <v>DGPLES | MEPHU  | REPARACIÓN DE VEREDAS</v>
      </c>
      <c r="C33" s="29" t="str">
        <f>IFERROR(__xludf.DUMMYFUNCTION("""COMPUTED_VALUE"""),"Pieza")</f>
        <v>Pieza</v>
      </c>
      <c r="D33" s="28" t="str">
        <f>IFERROR(__xludf.DUMMYFUNCTION("""COMPUTED_VALUE"""),"2227-NOVINFGC")</f>
        <v>2227-NOVINFGC</v>
      </c>
      <c r="E33" s="28" t="str">
        <f>IFERROR(__xludf.DUMMYFUNCTION("""COMPUTED_VALUE"""),"Infraestructura - SBASE | Campaña GCBA | Seguridad en Subte")</f>
        <v>Infraestructura - SBASE | Campaña GCBA | Seguridad en Subte</v>
      </c>
      <c r="F33" s="29" t="str">
        <f>IFERROR(__xludf.DUMMYFUNCTION("""COMPUTED_VALUE"""),"https://www.facebook.com/GCBA/posts/pfbid02QvyvwntEjJq83qgwBPTaYwAo8oP89axj7SHwk6Bv89cPFqdGEGmhAai3dwDbdNrFl")</f>
        <v>https://www.facebook.com/GCBA/posts/pfbid02QvyvwntEjJq83qgwBPTaYwAo8oP89axj7SHwk6Bv89cPFqdGEGmhAai3dwDbdNrFl</v>
      </c>
    </row>
    <row r="34">
      <c r="A34" s="28" t="str">
        <f>IFERROR(__xludf.DUMMYFUNCTION("""COMPUTED_VALUE"""),"2468-ENEINFGC")</f>
        <v>2468-ENEINFGC</v>
      </c>
      <c r="B34" s="28" t="str">
        <f>IFERROR(__xludf.DUMMYFUNCTION("""COMPUTED_VALUE"""),"CAMPAÑA GCBA | INFRAESTRUCTURA | Cierre estación Piedras - Línea A | 12/1")</f>
        <v>CAMPAÑA GCBA | INFRAESTRUCTURA | Cierre estación Piedras - Línea A | 12/1</v>
      </c>
      <c r="C34" s="29" t="str">
        <f>IFERROR(__xludf.DUMMYFUNCTION("""COMPUTED_VALUE"""),"Pieza")</f>
        <v>Pieza</v>
      </c>
      <c r="D34" s="28" t="str">
        <f>IFERROR(__xludf.DUMMYFUNCTION("""COMPUTED_VALUE"""),"2255-NOVSALGC")</f>
        <v>2255-NOVSALGC</v>
      </c>
      <c r="E34" s="28" t="str">
        <f>IFERROR(__xludf.DUMMYFUNCTION("""COMPUTED_VALUE"""),"Sistema de Salud Público - Geolocalizado")</f>
        <v>Sistema de Salud Público - Geolocalizado</v>
      </c>
      <c r="F34" s="29" t="str">
        <f>IFERROR(__xludf.DUMMYFUNCTION("""COMPUTED_VALUE"""),"https://www.facebook.com/GCBA/posts/pfbid02dx5PKW9dhfnoR52qjj3Cxnq9opfoRmH6HwTJx9uacynmmZet5vn1FL6Xavv3J8ZXl")</f>
        <v>https://www.facebook.com/GCBA/posts/pfbid02dx5PKW9dhfnoR52qjj3Cxnq9opfoRmH6HwTJx9uacynmmZet5vn1FL6Xavv3J8ZXl</v>
      </c>
    </row>
    <row r="35">
      <c r="A35" s="28" t="str">
        <f>IFERROR(__xludf.DUMMYFUNCTION("""COMPUTED_VALUE"""),"1943-SEPEPHGC")</f>
        <v>1943-SEPEPHGC</v>
      </c>
      <c r="B35" s="28" t="str">
        <f>IFERROR(__xludf.DUMMYFUNCTION("""COMPUTED_VALUE"""),"DGPLES | MEPHU  | READOQUINADO")</f>
        <v>DGPLES | MEPHU  | READOQUINADO</v>
      </c>
      <c r="C35" s="29" t="str">
        <f>IFERROR(__xludf.DUMMYFUNCTION("""COMPUTED_VALUE"""),"Pieza")</f>
        <v>Pieza</v>
      </c>
      <c r="D35" s="28" t="str">
        <f>IFERROR(__xludf.DUMMYFUNCTION("""COMPUTED_VALUE"""),"2255-NOVSALGC")</f>
        <v>2255-NOVSALGC</v>
      </c>
      <c r="E35" s="28" t="str">
        <f>IFERROR(__xludf.DUMMYFUNCTION("""COMPUTED_VALUE"""),"Sistema de Salud Público - Geolocalizado")</f>
        <v>Sistema de Salud Público - Geolocalizado</v>
      </c>
      <c r="F35" s="29" t="str">
        <f>IFERROR(__xludf.DUMMYFUNCTION("""COMPUTED_VALUE"""),"https://www.facebook.com/GCBA/posts/pfbid0EZuYZEPaUp9E2z1JrsYbAkqNnTe7N3MWavemYwQ7hP5Gd3vXiYjLjNyQtdTniXJvl")</f>
        <v>https://www.facebook.com/GCBA/posts/pfbid0EZuYZEPaUp9E2z1JrsYbAkqNnTe7N3MWavemYwQ7hP5Gd3vXiYjLjNyQtdTniXJvl</v>
      </c>
    </row>
    <row r="36">
      <c r="A36" s="28" t="str">
        <f>IFERROR(__xludf.DUMMYFUNCTION("""COMPUTED_VALUE"""),"1933-SEPINFGC")</f>
        <v>1933-SEPINFGC</v>
      </c>
      <c r="B36" s="28" t="str">
        <f>IFERROR(__xludf.DUMMYFUNCTION("""COMPUTED_VALUE"""),"CAMPAÑA GCBA | INFRAESTRUCTURA | Campaña 360° Movilidad 2025")</f>
        <v>CAMPAÑA GCBA | INFRAESTRUCTURA | Campaña 360° Movilidad 2025</v>
      </c>
      <c r="C36" s="29" t="str">
        <f>IFERROR(__xludf.DUMMYFUNCTION("""COMPUTED_VALUE"""),"Pieza")</f>
        <v>Pieza</v>
      </c>
      <c r="D36" s="28" t="str">
        <f>IFERROR(__xludf.DUMMYFUNCTION("""COMPUTED_VALUE"""),"2255-NOVSALGC")</f>
        <v>2255-NOVSALGC</v>
      </c>
      <c r="E36" s="28" t="str">
        <f>IFERROR(__xludf.DUMMYFUNCTION("""COMPUTED_VALUE"""),"Sistema de Salud Público - Geolocalizado")</f>
        <v>Sistema de Salud Público - Geolocalizado</v>
      </c>
      <c r="F36" s="29" t="str">
        <f>IFERROR(__xludf.DUMMYFUNCTION("""COMPUTED_VALUE"""),"https://www.facebook.com/GCBA/posts/pfbid0wCzGCBCFe9jgfyT7dbFZaip2zdRjrGtezs4bZuwAaL8AfRgDcWacHfQ7o6rKZBtXl")</f>
        <v>https://www.facebook.com/GCBA/posts/pfbid0wCzGCBCFe9jgfyT7dbFZaip2zdRjrGtezs4bZuwAaL8AfRgDcWacHfQ7o6rKZBtXl</v>
      </c>
    </row>
    <row r="37">
      <c r="A37" s="28" t="str">
        <f>IFERROR(__xludf.DUMMYFUNCTION("""COMPUTED_VALUE"""),"2470-ENEINFGC")</f>
        <v>2470-ENEINFGC</v>
      </c>
      <c r="B37" s="28" t="str">
        <f>IFERROR(__xludf.DUMMYFUNCTION("""COMPUTED_VALUE"""),"CAMPAÑA GCBA | INFRAESTRUCTURA |  Corte AU Illia")</f>
        <v>CAMPAÑA GCBA | INFRAESTRUCTURA |  Corte AU Illia</v>
      </c>
      <c r="C37" s="29" t="str">
        <f>IFERROR(__xludf.DUMMYFUNCTION("""COMPUTED_VALUE"""),"Pieza")</f>
        <v>Pieza</v>
      </c>
      <c r="D37" s="28" t="str">
        <f>IFERROR(__xludf.DUMMYFUNCTION("""COMPUTED_VALUE"""),"2255-NOVSALGC")</f>
        <v>2255-NOVSALGC</v>
      </c>
      <c r="E37" s="28" t="str">
        <f>IFERROR(__xludf.DUMMYFUNCTION("""COMPUTED_VALUE"""),"Sistema de Salud Público - Geolocalizado")</f>
        <v>Sistema de Salud Público - Geolocalizado</v>
      </c>
      <c r="F37" s="29" t="str">
        <f>IFERROR(__xludf.DUMMYFUNCTION("""COMPUTED_VALUE"""),"https://www.facebook.com/GCBA/posts/pfbid02yMVCZELGPScBYN3P85ApkWjQdeWymbjBLPfPVTVm3qVf87otoSecb1d5sAMrMzzzl")</f>
        <v>https://www.facebook.com/GCBA/posts/pfbid02yMVCZELGPScBYN3P85ApkWjQdeWymbjBLPfPVTVm3qVf87otoSecb1d5sAMrMzzzl</v>
      </c>
    </row>
    <row r="38">
      <c r="A38" s="28" t="str">
        <f>IFERROR(__xludf.DUMMYFUNCTION("""COMPUTED_VALUE"""),"1933-SEPINFGC")</f>
        <v>1933-SEPINFGC</v>
      </c>
      <c r="B38" s="28" t="str">
        <f>IFERROR(__xludf.DUMMYFUNCTION("""COMPUTED_VALUE"""),"CAMPAÑA GCBA | INFRAESTRUCTURA | Campaña 360° Movilidad 2025")</f>
        <v>CAMPAÑA GCBA | INFRAESTRUCTURA | Campaña 360° Movilidad 2025</v>
      </c>
      <c r="C38" s="29" t="str">
        <f>IFERROR(__xludf.DUMMYFUNCTION("""COMPUTED_VALUE"""),"Pieza")</f>
        <v>Pieza</v>
      </c>
      <c r="D38" s="28" t="str">
        <f>IFERROR(__xludf.DUMMYFUNCTION("""COMPUTED_VALUE"""),"2255-NOVSALGC")</f>
        <v>2255-NOVSALGC</v>
      </c>
      <c r="E38" s="28" t="str">
        <f>IFERROR(__xludf.DUMMYFUNCTION("""COMPUTED_VALUE"""),"Sistema de Salud Público - Geolocalizado")</f>
        <v>Sistema de Salud Público - Geolocalizado</v>
      </c>
      <c r="F38" s="29" t="str">
        <f>IFERROR(__xludf.DUMMYFUNCTION("""COMPUTED_VALUE"""),"https://www.facebook.com/GCBA/posts/pfbid0aTVXgn1s1Sgz6VMABC7WuTKDmfNscAPsBZNyNt4nppB5eaYyKW6xitKZRsj1L8vcl")</f>
        <v>https://www.facebook.com/GCBA/posts/pfbid0aTVXgn1s1Sgz6VMABC7WuTKDmfNscAPsBZNyNt4nppB5eaYyKW6xitKZRsj1L8vcl</v>
      </c>
    </row>
    <row r="39">
      <c r="A39" s="28" t="str">
        <f>IFERROR(__xludf.DUMMYFUNCTION("""COMPUTED_VALUE"""),"2062-OCTINFGC")</f>
        <v>2062-OCTINFGC</v>
      </c>
      <c r="B39" s="28" t="str">
        <f>IFERROR(__xludf.DUMMYFUNCTION("""COMPUTED_VALUE"""),"Infraestructura | Cierre Estación Loria Línea A")</f>
        <v>Infraestructura | Cierre Estación Loria Línea A</v>
      </c>
      <c r="C39" s="29" t="str">
        <f>IFERROR(__xludf.DUMMYFUNCTION("""COMPUTED_VALUE"""),"Pieza")</f>
        <v>Pieza</v>
      </c>
      <c r="D39" s="28" t="str">
        <f>IFERROR(__xludf.DUMMYFUNCTION("""COMPUTED_VALUE"""),"2255-NOVSALGC")</f>
        <v>2255-NOVSALGC</v>
      </c>
      <c r="E39" s="28" t="str">
        <f>IFERROR(__xludf.DUMMYFUNCTION("""COMPUTED_VALUE"""),"Sistema de Salud Público - Geolocalizado")</f>
        <v>Sistema de Salud Público - Geolocalizado</v>
      </c>
      <c r="F39" s="29" t="str">
        <f>IFERROR(__xludf.DUMMYFUNCTION("""COMPUTED_VALUE"""),"https://www.facebook.com/GCBA/posts/pfbid02Ekpsw3Kn3Y53hTrB8LF9tmwdLbWRnZbokEj8JCHh7QqsUu5iVwVCNkc93hqmsDCbl")</f>
        <v>https://www.facebook.com/GCBA/posts/pfbid02Ekpsw3Kn3Y53hTrB8LF9tmwdLbWRnZbokEj8JCHh7QqsUu5iVwVCNkc93hqmsDCbl</v>
      </c>
    </row>
    <row r="40">
      <c r="A40" s="28" t="str">
        <f>IFERROR(__xludf.DUMMYFUNCTION("""COMPUTED_VALUE"""),"2449-DICPCCVC")</f>
        <v>2449-DICPCCVC</v>
      </c>
      <c r="B40" s="28" t="str">
        <f>IFERROR(__xludf.DUMMYFUNCTION("""COMPUTED_VALUE"""),"Verano 2026 - Perros en Acción: Aventura K9")</f>
        <v>Verano 2026 - Perros en Acción: Aventura K9</v>
      </c>
      <c r="C40" s="29" t="str">
        <f>IFERROR(__xludf.DUMMYFUNCTION("""COMPUTED_VALUE"""),"Pieza")</f>
        <v>Pieza</v>
      </c>
      <c r="D40" s="28" t="str">
        <f>IFERROR(__xludf.DUMMYFUNCTION("""COMPUTED_VALUE"""),"2255-NOVSALGC")</f>
        <v>2255-NOVSALGC</v>
      </c>
      <c r="E40" s="28" t="str">
        <f>IFERROR(__xludf.DUMMYFUNCTION("""COMPUTED_VALUE"""),"Sistema de Salud Público - Geolocalizado")</f>
        <v>Sistema de Salud Público - Geolocalizado</v>
      </c>
      <c r="F40" s="29" t="str">
        <f>IFERROR(__xludf.DUMMYFUNCTION("""COMPUTED_VALUE"""),"https://www.facebook.com/GCBA/posts/pfbid0bpzpNKTnru2sf3kYgyMgoDJndBsp3pjhSjvXsRSwggvgxJLvxndRafT7Qo5ZVd1Rl")</f>
        <v>https://www.facebook.com/GCBA/posts/pfbid0bpzpNKTnru2sf3kYgyMgoDJndBsp3pjhSjvXsRSwggvgxJLvxndRafT7Qo5ZVd1Rl</v>
      </c>
    </row>
    <row r="41">
      <c r="A41" s="28" t="str">
        <f>IFERROR(__xludf.DUMMYFUNCTION("""COMPUTED_VALUE"""),"2448-DICPCCVC")</f>
        <v>2448-DICPCCVC</v>
      </c>
      <c r="B41" s="28" t="str">
        <f>IFERROR(__xludf.DUMMYFUNCTION("""COMPUTED_VALUE"""),"Verano 2026 - Fiesta de Máscaras: Museo Moderno")</f>
        <v>Verano 2026 - Fiesta de Máscaras: Museo Moderno</v>
      </c>
      <c r="C41" s="29" t="str">
        <f>IFERROR(__xludf.DUMMYFUNCTION("""COMPUTED_VALUE"""),"Pieza")</f>
        <v>Pieza</v>
      </c>
      <c r="D41" s="28" t="str">
        <f>IFERROR(__xludf.DUMMYFUNCTION("""COMPUTED_VALUE"""),"2255-NOVSALGC")</f>
        <v>2255-NOVSALGC</v>
      </c>
      <c r="E41" s="28" t="str">
        <f>IFERROR(__xludf.DUMMYFUNCTION("""COMPUTED_VALUE"""),"Sistema de Salud Público - Geolocalizado")</f>
        <v>Sistema de Salud Público - Geolocalizado</v>
      </c>
      <c r="F41" s="29" t="str">
        <f>IFERROR(__xludf.DUMMYFUNCTION("""COMPUTED_VALUE"""),"https://www.facebook.com/GCBA/posts/pfbid034AjgxDYtPXAVhBiqij3aC2isPwZvxP8uFR4GsfNR3tGmhS8XJXT4UUw48dyZAQiHl")</f>
        <v>https://www.facebook.com/GCBA/posts/pfbid034AjgxDYtPXAVhBiqij3aC2isPwZvxP8uFR4GsfNR3tGmhS8XJXT4UUw48dyZAQiHl</v>
      </c>
    </row>
    <row r="42">
      <c r="A42" s="28" t="str">
        <f>IFERROR(__xludf.DUMMYFUNCTION("""COMPUTED_VALUE"""),"1921-SEPAMBGC")</f>
        <v>1921-SEPAMBGC</v>
      </c>
      <c r="B42" s="28" t="str">
        <f>IFERROR(__xludf.DUMMYFUNCTION("""COMPUTED_VALUE"""),"Vacunación Antirrabica Animales")</f>
        <v>Vacunación Antirrabica Animales</v>
      </c>
      <c r="C42" s="29" t="str">
        <f>IFERROR(__xludf.DUMMYFUNCTION("""COMPUTED_VALUE"""),"Pieza")</f>
        <v>Pieza</v>
      </c>
      <c r="D42" s="28" t="str">
        <f>IFERROR(__xludf.DUMMYFUNCTION("""COMPUTED_VALUE"""),"2255-NOVSALGC")</f>
        <v>2255-NOVSALGC</v>
      </c>
      <c r="E42" s="28" t="str">
        <f>IFERROR(__xludf.DUMMYFUNCTION("""COMPUTED_VALUE"""),"Sistema de Salud Público - Geolocalizado")</f>
        <v>Sistema de Salud Público - Geolocalizado</v>
      </c>
      <c r="F42" s="29" t="str">
        <f>IFERROR(__xludf.DUMMYFUNCTION("""COMPUTED_VALUE"""),"https://www.facebook.com/GCBA/posts/pfbid07LRumYp8mdLQqJfyaB5bdnX2XbK5UDyd5m34LT3Q3Pm6Vb4DyhT2MV3sr4XceJBfl")</f>
        <v>https://www.facebook.com/GCBA/posts/pfbid07LRumYp8mdLQqJfyaB5bdnX2XbK5UDyd5m34LT3Q3Pm6Vb4DyhT2MV3sr4XceJBfl</v>
      </c>
    </row>
    <row r="43">
      <c r="A43" s="28" t="str">
        <f>IFERROR(__xludf.DUMMYFUNCTION("""COMPUTED_VALUE"""),"2445-DICPCCVC")</f>
        <v>2445-DICPCCVC</v>
      </c>
      <c r="B43" s="28" t="str">
        <f>IFERROR(__xludf.DUMMYFUNCTION("""COMPUTED_VALUE"""),"Verano 2026 - Expedicion botanica")</f>
        <v>Verano 2026 - Expedicion botanica</v>
      </c>
      <c r="C43" s="29" t="str">
        <f>IFERROR(__xludf.DUMMYFUNCTION("""COMPUTED_VALUE"""),"Pieza")</f>
        <v>Pieza</v>
      </c>
      <c r="D43" s="28" t="str">
        <f>IFERROR(__xludf.DUMMYFUNCTION("""COMPUTED_VALUE"""),"2255-NOVSALGC")</f>
        <v>2255-NOVSALGC</v>
      </c>
      <c r="E43" s="28" t="str">
        <f>IFERROR(__xludf.DUMMYFUNCTION("""COMPUTED_VALUE"""),"Sistema de Salud Público - Geolocalizado")</f>
        <v>Sistema de Salud Público - Geolocalizado</v>
      </c>
      <c r="F43" s="29" t="str">
        <f>IFERROR(__xludf.DUMMYFUNCTION("""COMPUTED_VALUE"""),"https://www.facebook.com/GCBA/posts/pfbid02pEFi3sFKfrJrjXwNks9dhE7AB4JkXeumvQ8443GyMY8WyS2gzRVpjS8gMwSvDhXkl")</f>
        <v>https://www.facebook.com/GCBA/posts/pfbid02pEFi3sFKfrJrjXwNks9dhE7AB4JkXeumvQ8443GyMY8WyS2gzRVpjS8gMwSvDhXkl</v>
      </c>
    </row>
    <row r="44">
      <c r="A44" s="28" t="str">
        <f>IFERROR(__xludf.DUMMYFUNCTION("""COMPUTED_VALUE"""),"2525-ENEPCCVC")</f>
        <v>2525-ENEPCCVC</v>
      </c>
      <c r="B44" s="28" t="str">
        <f>IFERROR(__xludf.DUMMYFUNCTION("""COMPUTED_VALUE"""),"Verano 2026- Exploradores del Ecoparque")</f>
        <v>Verano 2026- Exploradores del Ecoparque</v>
      </c>
      <c r="C44" s="29" t="str">
        <f>IFERROR(__xludf.DUMMYFUNCTION("""COMPUTED_VALUE"""),"Pieza")</f>
        <v>Pieza</v>
      </c>
      <c r="D44" s="28" t="str">
        <f>IFERROR(__xludf.DUMMYFUNCTION("""COMPUTED_VALUE"""),"2255-NOVSALGC")</f>
        <v>2255-NOVSALGC</v>
      </c>
      <c r="E44" s="28" t="str">
        <f>IFERROR(__xludf.DUMMYFUNCTION("""COMPUTED_VALUE"""),"Sistema de Salud Público - Geolocalizado")</f>
        <v>Sistema de Salud Público - Geolocalizado</v>
      </c>
      <c r="F44" s="29" t="str">
        <f>IFERROR(__xludf.DUMMYFUNCTION("""COMPUTED_VALUE"""),"https://www.facebook.com/GCBA/posts/pfbid02JAAkfG8XcGh1Fnbwh21z7jhQ2QhfZQPQncE8ehd4t8uNmhFPGw6q5FEBmTbZ7VzQl")</f>
        <v>https://www.facebook.com/GCBA/posts/pfbid02JAAkfG8XcGh1Fnbwh21z7jhQ2QhfZQPQncE8ehd4t8uNmhFPGw6q5FEBmTbZ7VzQl</v>
      </c>
    </row>
    <row r="45">
      <c r="A45" s="28" t="str">
        <f>IFERROR(__xludf.DUMMYFUNCTION("""COMPUTED_VALUE"""),"2458-ENESEGGC")</f>
        <v>2458-ENESEGGC</v>
      </c>
      <c r="B45" s="28" t="str">
        <f>IFERROR(__xludf.DUMMYFUNCTION("""COMPUTED_VALUE"""),"Campaña GCBA I Seguridad I Desalojo edificio San Telmo")</f>
        <v>Campaña GCBA I Seguridad I Desalojo edificio San Telmo</v>
      </c>
      <c r="C45" s="29" t="str">
        <f>IFERROR(__xludf.DUMMYFUNCTION("""COMPUTED_VALUE"""),"Pieza")</f>
        <v>Pieza</v>
      </c>
      <c r="D45" s="28" t="str">
        <f>IFERROR(__xludf.DUMMYFUNCTION("""COMPUTED_VALUE"""),"2255-NOVSALGC")</f>
        <v>2255-NOVSALGC</v>
      </c>
      <c r="E45" s="28" t="str">
        <f>IFERROR(__xludf.DUMMYFUNCTION("""COMPUTED_VALUE"""),"Sistema de Salud Público - Geolocalizado")</f>
        <v>Sistema de Salud Público - Geolocalizado</v>
      </c>
      <c r="F45" s="29" t="str">
        <f>IFERROR(__xludf.DUMMYFUNCTION("""COMPUTED_VALUE"""),"https://www.facebook.com/GCBA/posts/pfbid02L7RJdRnpKvxgHCHoFNVteFMhHth8wxoRi3CHktXJKcya5Avf88oHkMEarHpuxHy1l")</f>
        <v>https://www.facebook.com/GCBA/posts/pfbid02L7RJdRnpKvxgHCHoFNVteFMhHth8wxoRi3CHktXJKcya5Avf88oHkMEarHpuxHy1l</v>
      </c>
    </row>
    <row r="46">
      <c r="A46" s="28" t="str">
        <f>IFERROR(__xludf.DUMMYFUNCTION("""COMPUTED_VALUE"""),"2459-ENESEGGC")</f>
        <v>2459-ENESEGGC</v>
      </c>
      <c r="B46" s="28" t="str">
        <f>IFERROR(__xludf.DUMMYFUNCTION("""COMPUTED_VALUE"""),"Campaña GCBA I Seguridad I Desalojo predio Parque Avellaneda")</f>
        <v>Campaña GCBA I Seguridad I Desalojo predio Parque Avellaneda</v>
      </c>
      <c r="C46" s="29" t="str">
        <f>IFERROR(__xludf.DUMMYFUNCTION("""COMPUTED_VALUE"""),"Pieza")</f>
        <v>Pieza</v>
      </c>
      <c r="D46" s="28" t="str">
        <f>IFERROR(__xludf.DUMMYFUNCTION("""COMPUTED_VALUE"""),"2255-NOVSALGC")</f>
        <v>2255-NOVSALGC</v>
      </c>
      <c r="E46" s="28" t="str">
        <f>IFERROR(__xludf.DUMMYFUNCTION("""COMPUTED_VALUE"""),"Sistema de Salud Público - Geolocalizado")</f>
        <v>Sistema de Salud Público - Geolocalizado</v>
      </c>
      <c r="F46" s="29" t="str">
        <f>IFERROR(__xludf.DUMMYFUNCTION("""COMPUTED_VALUE"""),"https://www.facebook.com/GCBA/posts/pfbid02GGXCtYjhgk74vKvTiihRfCeWpPvrtSdaqFFFVbf3rbsjhD5EpgogY7b1ZmsF2Ty3l")</f>
        <v>https://www.facebook.com/GCBA/posts/pfbid02GGXCtYjhgk74vKvTiihRfCeWpPvrtSdaqFFFVbf3rbsjhD5EpgogY7b1ZmsF2Ty3l</v>
      </c>
    </row>
    <row r="47">
      <c r="A47" s="28" t="str">
        <f>IFERROR(__xludf.DUMMYFUNCTION("""COMPUTED_VALUE"""),"2458-ENESEGGC")</f>
        <v>2458-ENESEGGC</v>
      </c>
      <c r="B47" s="28" t="str">
        <f>IFERROR(__xludf.DUMMYFUNCTION("""COMPUTED_VALUE"""),"Campaña GCBA I Seguridad I Desalojo edificio San Telmo")</f>
        <v>Campaña GCBA I Seguridad I Desalojo edificio San Telmo</v>
      </c>
      <c r="C47" s="29" t="str">
        <f>IFERROR(__xludf.DUMMYFUNCTION("""COMPUTED_VALUE"""),"Pieza")</f>
        <v>Pieza</v>
      </c>
      <c r="D47" s="28" t="str">
        <f>IFERROR(__xludf.DUMMYFUNCTION("""COMPUTED_VALUE"""),"2255-NOVSALGC")</f>
        <v>2255-NOVSALGC</v>
      </c>
      <c r="E47" s="28" t="str">
        <f>IFERROR(__xludf.DUMMYFUNCTION("""COMPUTED_VALUE"""),"Sistema de Salud Público - Geolocalizado")</f>
        <v>Sistema de Salud Público - Geolocalizado</v>
      </c>
      <c r="F47" s="29" t="str">
        <f>IFERROR(__xludf.DUMMYFUNCTION("""COMPUTED_VALUE"""),"https://www.facebook.com/GCBA/posts/pfbid026bqVa3vmSFKKaSrJXL26kvTebyxBw49fQ6e6k96Lis65F3VpTnmHANncUHLfXeVvl")</f>
        <v>https://www.facebook.com/GCBA/posts/pfbid026bqVa3vmSFKKaSrJXL26kvTebyxBw49fQ6e6k96Lis65F3VpTnmHANncUHLfXeVvl</v>
      </c>
    </row>
    <row r="48">
      <c r="A48" s="28" t="str">
        <f>IFERROR(__xludf.DUMMYFUNCTION("""COMPUTED_VALUE"""),"2227-NOVINFGC")</f>
        <v>2227-NOVINFGC</v>
      </c>
      <c r="B48" s="28" t="str">
        <f>IFERROR(__xludf.DUMMYFUNCTION("""COMPUTED_VALUE"""),"Infraestructura - SBASE | Campaña GCBA | Seguridad en Subte")</f>
        <v>Infraestructura - SBASE | Campaña GCBA | Seguridad en Subte</v>
      </c>
      <c r="C48" s="29" t="str">
        <f>IFERROR(__xludf.DUMMYFUNCTION("""COMPUTED_VALUE"""),"Pieza")</f>
        <v>Pieza</v>
      </c>
      <c r="D48" s="28" t="str">
        <f>IFERROR(__xludf.DUMMYFUNCTION("""COMPUTED_VALUE"""),"2255-NOVSALGC")</f>
        <v>2255-NOVSALGC</v>
      </c>
      <c r="E48" s="28" t="str">
        <f>IFERROR(__xludf.DUMMYFUNCTION("""COMPUTED_VALUE"""),"Sistema de Salud Público - Geolocalizado")</f>
        <v>Sistema de Salud Público - Geolocalizado</v>
      </c>
      <c r="F48" s="29" t="str">
        <f>IFERROR(__xludf.DUMMYFUNCTION("""COMPUTED_VALUE"""),"https://www.facebook.com/GCBA/posts/pfbid02moGGrDtH9UZ3PaQ5MUkoqn6Ss7u5ewbYyEbTUKZz4epcXjSAjjoYvFmbUfHqS3dCl")</f>
        <v>https://www.facebook.com/GCBA/posts/pfbid02moGGrDtH9UZ3PaQ5MUkoqn6Ss7u5ewbYyEbTUKZz4epcXjSAjjoYvFmbUfHqS3dCl</v>
      </c>
    </row>
    <row r="49">
      <c r="A49" s="28" t="str">
        <f>IFERROR(__xludf.DUMMYFUNCTION("""COMPUTED_VALUE"""),"2239-NOVSALGC")</f>
        <v>2239-NOVSALGC</v>
      </c>
      <c r="B49" s="28" t="str">
        <f>IFERROR(__xludf.DUMMYFUNCTION("""COMPUTED_VALUE"""),"Cuidados del Calor 2025 - Prevención")</f>
        <v>Cuidados del Calor 2025 - Prevención</v>
      </c>
      <c r="C49" s="29" t="str">
        <f>IFERROR(__xludf.DUMMYFUNCTION("""COMPUTED_VALUE"""),"Pieza")</f>
        <v>Pieza</v>
      </c>
      <c r="D49" s="28" t="str">
        <f>IFERROR(__xludf.DUMMYFUNCTION("""COMPUTED_VALUE"""),"1933-SEPINFGC")</f>
        <v>1933-SEPINFGC</v>
      </c>
      <c r="E49" s="28" t="str">
        <f>IFERROR(__xludf.DUMMYFUNCTION("""COMPUTED_VALUE"""),"CAMPAÑA GCBA | INFRAESTRUCTURA | Campaña 360° Movilidad 2025")</f>
        <v>CAMPAÑA GCBA | INFRAESTRUCTURA | Campaña 360° Movilidad 2025</v>
      </c>
      <c r="F49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0">
      <c r="A50" s="28" t="str">
        <f>IFERROR(__xludf.DUMMYFUNCTION("""COMPUTED_VALUE"""),"1933-SEPINFGC")</f>
        <v>1933-SEPINFGC</v>
      </c>
      <c r="B50" s="28" t="str">
        <f>IFERROR(__xludf.DUMMYFUNCTION("""COMPUTED_VALUE"""),"CAMPAÑA GCBA | INFRAESTRUCTURA | Campaña 360° Movilidad 2025")</f>
        <v>CAMPAÑA GCBA | INFRAESTRUCTURA | Campaña 360° Movilidad 2025</v>
      </c>
      <c r="C50" s="29" t="str">
        <f>IFERROR(__xludf.DUMMYFUNCTION("""COMPUTED_VALUE"""),"Pieza")</f>
        <v>Pieza</v>
      </c>
      <c r="D50" s="28" t="str">
        <f>IFERROR(__xludf.DUMMYFUNCTION("""COMPUTED_VALUE"""),"1933-SEPINFGC")</f>
        <v>1933-SEPINFGC</v>
      </c>
      <c r="E50" s="28" t="str">
        <f>IFERROR(__xludf.DUMMYFUNCTION("""COMPUTED_VALUE"""),"CAMPAÑA GCBA | INFRAESTRUCTURA | Campaña 360° Movilidad 2025")</f>
        <v>CAMPAÑA GCBA | INFRAESTRUCTURA | Campaña 360° Movilidad 2025</v>
      </c>
      <c r="F50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1">
      <c r="A51" s="28" t="str">
        <f>IFERROR(__xludf.DUMMYFUNCTION("""COMPUTED_VALUE"""),"2407-DICDHHGC")</f>
        <v>2407-DICDHHGC</v>
      </c>
      <c r="B51" s="28" t="str">
        <f>IFERROR(__xludf.DUMMYFUNCTION("""COMPUTED_VALUE"""),"Red de atención - Comuna 14")</f>
        <v>Red de atención - Comuna 14</v>
      </c>
      <c r="C51" s="29" t="str">
        <f>IFERROR(__xludf.DUMMYFUNCTION("""COMPUTED_VALUE"""),"Pieza")</f>
        <v>Pieza</v>
      </c>
      <c r="D51" s="28" t="str">
        <f>IFERROR(__xludf.DUMMYFUNCTION("""COMPUTED_VALUE"""),"1933-SEPINFGC")</f>
        <v>1933-SEPINFGC</v>
      </c>
      <c r="E51" s="28" t="str">
        <f>IFERROR(__xludf.DUMMYFUNCTION("""COMPUTED_VALUE"""),"CAMPAÑA GCBA | INFRAESTRUCTURA | Campaña 360° Movilidad 2025")</f>
        <v>CAMPAÑA GCBA | INFRAESTRUCTURA | Campaña 360° Movilidad 2025</v>
      </c>
      <c r="F51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2">
      <c r="A52" s="28" t="str">
        <f>IFERROR(__xludf.DUMMYFUNCTION("""COMPUTED_VALUE"""),"2456-ENEPCCVC")</f>
        <v>2456-ENEPCCVC</v>
      </c>
      <c r="B52" s="28" t="str">
        <f>IFERROR(__xludf.DUMMYFUNCTION("""COMPUTED_VALUE"""),"Dejá tus rueditas")</f>
        <v>Dejá tus rueditas</v>
      </c>
      <c r="C52" s="29" t="str">
        <f>IFERROR(__xludf.DUMMYFUNCTION("""COMPUTED_VALUE"""),"Pieza")</f>
        <v>Pieza</v>
      </c>
      <c r="D52" s="28" t="str">
        <f>IFERROR(__xludf.DUMMYFUNCTION("""COMPUTED_VALUE"""),"1933-SEPINFGC")</f>
        <v>1933-SEPINFGC</v>
      </c>
      <c r="E52" s="28" t="str">
        <f>IFERROR(__xludf.DUMMYFUNCTION("""COMPUTED_VALUE"""),"CAMPAÑA GCBA | INFRAESTRUCTURA | Campaña 360° Movilidad 2025")</f>
        <v>CAMPAÑA GCBA | INFRAESTRUCTURA | Campaña 360° Movilidad 2025</v>
      </c>
      <c r="F52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53">
      <c r="A53" s="28" t="str">
        <f>IFERROR(__xludf.DUMMYFUNCTION("""COMPUTED_VALUE"""),"2465-ENEJDGAG")</f>
        <v>2465-ENEJDGAG</v>
      </c>
      <c r="B53" s="28" t="str">
        <f>IFERROR(__xludf.DUMMYFUNCTION("""COMPUTED_VALUE"""),"Cafe JM - Puerto Madero 16/1")</f>
        <v>Cafe JM - Puerto Madero 16/1</v>
      </c>
      <c r="C53" s="29" t="str">
        <f>IFERROR(__xludf.DUMMYFUNCTION("""COMPUTED_VALUE"""),"Pieza")</f>
        <v>Pieza</v>
      </c>
      <c r="D53" s="28" t="str">
        <f>IFERROR(__xludf.DUMMYFUNCTION("""COMPUTED_VALUE"""),"2415-DICINFGC")</f>
        <v>2415-DICINFGC</v>
      </c>
      <c r="E53" s="28" t="str">
        <f>IFERROR(__xludf.DUMMYFUNCTION("""COMPUTED_VALUE"""),"INFRAESTRUCTURA | Cortes y Desvíos del finde 13 y 14 Dic")</f>
        <v>INFRAESTRUCTURA | Cortes y Desvíos del finde 13 y 14 Dic</v>
      </c>
      <c r="F53" s="29" t="str">
        <f>IFERROR(__xludf.DUMMYFUNCTION("""COMPUTED_VALUE"""),"https://fb.me/adspreview/facebook/1OAFpHtWtwxdixl")</f>
        <v>https://fb.me/adspreview/facebook/1OAFpHtWtwxdixl</v>
      </c>
    </row>
    <row r="54">
      <c r="A54" s="28" t="str">
        <f>IFERROR(__xludf.DUMMYFUNCTION("""COMPUTED_VALUE"""),"2472-ENEINFGC")</f>
        <v>2472-ENEINFGC</v>
      </c>
      <c r="B54" s="28" t="str">
        <f>IFERROR(__xludf.DUMMYFUNCTION("""COMPUTED_VALUE"""),"CAMPAÑA GCBA |  Infraestructura | Cortes y desvíos en Palermo por trabajos en vías")</f>
        <v>CAMPAÑA GCBA |  Infraestructura | Cortes y desvíos en Palermo por trabajos en vías</v>
      </c>
      <c r="C54" s="29" t="str">
        <f>IFERROR(__xludf.DUMMYFUNCTION("""COMPUTED_VALUE"""),"Pieza")</f>
        <v>Pieza</v>
      </c>
      <c r="D54" s="28" t="str">
        <f>IFERROR(__xludf.DUMMYFUNCTION("""COMPUTED_VALUE"""),"2293-NOVFESGC")</f>
        <v>2293-NOVFESGC</v>
      </c>
      <c r="E54" s="28" t="str">
        <f>IFERROR(__xludf.DUMMYFUNCTION("""COMPUTED_VALUE"""),"LA CIUDAD MAS LINDA DEL MUNDO")</f>
        <v>LA CIUDAD MAS LINDA DEL MUNDO</v>
      </c>
      <c r="F54" s="29" t="str">
        <f>IFERROR(__xludf.DUMMYFUNCTION("""COMPUTED_VALUE"""),"https://www.facebook.com/GCBA/posts/pfbid0yZFqpziwsSvEpGHnbKnvgTkMNo6Ys8gfLmUBqRKhRCH71tiHcf1cXzt2RhCmokjMl")</f>
        <v>https://www.facebook.com/GCBA/posts/pfbid0yZFqpziwsSvEpGHnbKnvgTkMNo6Ys8gfLmUBqRKhRCH71tiHcf1cXzt2RhCmokjMl</v>
      </c>
    </row>
    <row r="55">
      <c r="A55" s="28" t="str">
        <f>IFERROR(__xludf.DUMMYFUNCTION("""COMPUTED_VALUE"""),"2551-FEBPCCVC")</f>
        <v>2551-FEBPCCVC</v>
      </c>
      <c r="B55" s="28" t="str">
        <f>IFERROR(__xludf.DUMMYFUNCTION("""COMPUTED_VALUE"""),"Verano 2026 - Feb - Deja tus rueditas")</f>
        <v>Verano 2026 - Feb - Deja tus rueditas</v>
      </c>
      <c r="C55" s="29" t="str">
        <f>IFERROR(__xludf.DUMMYFUNCTION("""COMPUTED_VALUE"""),"Pieza")</f>
        <v>Pieza</v>
      </c>
      <c r="D55" s="28" t="str">
        <f>IFERROR(__xludf.DUMMYFUNCTION("""COMPUTED_VALUE"""),"2293-NOVFESGC")</f>
        <v>2293-NOVFESGC</v>
      </c>
      <c r="E55" s="28" t="str">
        <f>IFERROR(__xludf.DUMMYFUNCTION("""COMPUTED_VALUE"""),"LA CIUDAD MAS LINDA DEL MUNDO")</f>
        <v>LA CIUDAD MAS LINDA DEL MUNDO</v>
      </c>
      <c r="F55" s="29" t="str">
        <f>IFERROR(__xludf.DUMMYFUNCTION("""COMPUTED_VALUE"""),"facebook.com/reel/1186230880144850/")</f>
        <v>facebook.com/reel/1186230880144850/</v>
      </c>
    </row>
    <row r="56">
      <c r="A56" s="28" t="str">
        <f>IFERROR(__xludf.DUMMYFUNCTION("""COMPUTED_VALUE"""),"2459-ENESEGGC")</f>
        <v>2459-ENESEGGC</v>
      </c>
      <c r="B56" s="28" t="str">
        <f>IFERROR(__xludf.DUMMYFUNCTION("""COMPUTED_VALUE"""),"Campaña GCBA I Seguridad I Desalojo predio Parque Avellaneda")</f>
        <v>Campaña GCBA I Seguridad I Desalojo predio Parque Avellaneda</v>
      </c>
      <c r="C56" s="29" t="str">
        <f>IFERROR(__xludf.DUMMYFUNCTION("""COMPUTED_VALUE"""),"Pieza")</f>
        <v>Pieza</v>
      </c>
      <c r="D56" s="28" t="str">
        <f>IFERROR(__xludf.DUMMYFUNCTION("""COMPUTED_VALUE"""),"2293-NOVFESGC")</f>
        <v>2293-NOVFESGC</v>
      </c>
      <c r="E56" s="28" t="str">
        <f>IFERROR(__xludf.DUMMYFUNCTION("""COMPUTED_VALUE"""),"LA CIUDAD MAS LINDA DEL MUNDO")</f>
        <v>LA CIUDAD MAS LINDA DEL MUNDO</v>
      </c>
      <c r="F56" s="29" t="str">
        <f>IFERROR(__xludf.DUMMYFUNCTION("""COMPUTED_VALUE"""),"https://www.facebook.com/reel/25486521711039015/")</f>
        <v>https://www.facebook.com/reel/25486521711039015/</v>
      </c>
    </row>
    <row r="57">
      <c r="A57" s="28" t="str">
        <f>IFERROR(__xludf.DUMMYFUNCTION("""COMPUTED_VALUE"""),"2433-DICFESGC")</f>
        <v>2433-DICFESGC</v>
      </c>
      <c r="B57" s="28" t="str">
        <f>IFERROR(__xludf.DUMMYFUNCTION("""COMPUTED_VALUE"""),"Verano en la Ciudad | AftersBA")</f>
        <v>Verano en la Ciudad | AftersBA</v>
      </c>
      <c r="C57" s="29" t="str">
        <f>IFERROR(__xludf.DUMMYFUNCTION("""COMPUTED_VALUE"""),"Pieza")</f>
        <v>Pieza</v>
      </c>
      <c r="D57" s="28" t="str">
        <f>IFERROR(__xludf.DUMMYFUNCTION("""COMPUTED_VALUE"""),"2450-ENEJDGAG")</f>
        <v>2450-ENEJDGAG</v>
      </c>
      <c r="E57" s="28" t="str">
        <f>IFERROR(__xludf.DUMMYFUNCTION("""COMPUTED_VALUE"""),"RDV JM - Boedo 9/1")</f>
        <v>RDV JM - Boedo 9/1</v>
      </c>
      <c r="F57" s="29" t="str">
        <f>IFERROR(__xludf.DUMMYFUNCTION("""COMPUTED_VALUE"""),"https://www.facebook.com/reel/850462247854341")</f>
        <v>https://www.facebook.com/reel/850462247854341</v>
      </c>
    </row>
    <row r="58">
      <c r="A58" s="28" t="str">
        <f>IFERROR(__xludf.DUMMYFUNCTION("""COMPUTED_VALUE"""),"2471-ENEINFGC")</f>
        <v>2471-ENEINFGC</v>
      </c>
      <c r="B58" s="28" t="str">
        <f>IFERROR(__xludf.DUMMYFUNCTION("""COMPUTED_VALUE"""),"CAMPAÑA GCBA | INFRAESTRUCTURA | PBN Irigoyen: durante de obra")</f>
        <v>CAMPAÑA GCBA | INFRAESTRUCTURA | PBN Irigoyen: durante de obra</v>
      </c>
      <c r="C58" s="29" t="str">
        <f>IFERROR(__xludf.DUMMYFUNCTION("""COMPUTED_VALUE"""),"Pieza")</f>
        <v>Pieza</v>
      </c>
      <c r="D58" s="28" t="str">
        <f>IFERROR(__xludf.DUMMYFUNCTION("""COMPUTED_VALUE"""),"2450-ENEJDGAG")</f>
        <v>2450-ENEJDGAG</v>
      </c>
      <c r="E58" s="28" t="str">
        <f>IFERROR(__xludf.DUMMYFUNCTION("""COMPUTED_VALUE"""),"RDV JM - Boedo 9/1")</f>
        <v>RDV JM - Boedo 9/1</v>
      </c>
      <c r="F58" s="29" t="str">
        <f>IFERROR(__xludf.DUMMYFUNCTION("""COMPUTED_VALUE"""),"https://www.facebook.com/reel/850462247854341")</f>
        <v>https://www.facebook.com/reel/850462247854341</v>
      </c>
    </row>
    <row r="59">
      <c r="A59" s="28" t="str">
        <f>IFERROR(__xludf.DUMMYFUNCTION("""COMPUTED_VALUE"""),"2033-SEPEPHGC")</f>
        <v>2033-SEPEPHGC</v>
      </c>
      <c r="B59" s="28" t="str">
        <f>IFERROR(__xludf.DUMMYFUNCTION("""COMPUTED_VALUE"""),"M2 PODA")</f>
        <v>M2 PODA</v>
      </c>
      <c r="C59" s="29" t="str">
        <f>IFERROR(__xludf.DUMMYFUNCTION("""COMPUTED_VALUE"""),"Pieza")</f>
        <v>Pieza</v>
      </c>
      <c r="D59" s="28" t="str">
        <f>IFERROR(__xludf.DUMMYFUNCTION("""COMPUTED_VALUE"""),"2443-DICNEWAN")</f>
        <v>2443-DICNEWAN</v>
      </c>
      <c r="E59" s="28" t="str">
        <f>IFERROR(__xludf.DUMMYFUNCTION("""COMPUTED_VALUE"""),"Acciones de la Ciudad ante el calor extremo")</f>
        <v>Acciones de la Ciudad ante el calor extremo</v>
      </c>
      <c r="F59" s="29" t="str">
        <f>IFERROR(__xludf.DUMMYFUNCTION("""COMPUTED_VALUE"""),"https://www.facebook.com/GCBA/posts/pfbid0N5sbH3engzLHtbfZQM61dN6d9zBMxwsp4N1bpfX76sx6bnCZy4398mqDoXuTfdX5l")</f>
        <v>https://www.facebook.com/GCBA/posts/pfbid0N5sbH3engzLHtbfZQM61dN6d9zBMxwsp4N1bpfX76sx6bnCZy4398mqDoXuTfdX5l</v>
      </c>
    </row>
    <row r="60">
      <c r="A60" s="28" t="str">
        <f>IFERROR(__xludf.DUMMYFUNCTION("""COMPUTED_VALUE"""),"2464-ENEINFGC")</f>
        <v>2464-ENEINFGC</v>
      </c>
      <c r="B60" s="28" t="str">
        <f>IFERROR(__xludf.DUMMYFUNCTION("""COMPUTED_VALUE"""),"CAMPAÑA GCBA | INFRAESTRUCTURA | PBN García Lorca: durante de obra")</f>
        <v>CAMPAÑA GCBA | INFRAESTRUCTURA | PBN García Lorca: durante de obra</v>
      </c>
      <c r="C60" s="29" t="str">
        <f>IFERROR(__xludf.DUMMYFUNCTION("""COMPUTED_VALUE"""),"Pieza")</f>
        <v>Pieza</v>
      </c>
      <c r="D60" s="28" t="str">
        <f>IFERROR(__xludf.DUMMYFUNCTION("""COMPUTED_VALUE"""),"2443-DICNEWAN")</f>
        <v>2443-DICNEWAN</v>
      </c>
      <c r="E60" s="28" t="str">
        <f>IFERROR(__xludf.DUMMYFUNCTION("""COMPUTED_VALUE"""),"Acciones de la Ciudad ante el calor extremo")</f>
        <v>Acciones de la Ciudad ante el calor extremo</v>
      </c>
      <c r="F60" s="29" t="str">
        <f>IFERROR(__xludf.DUMMYFUNCTION("""COMPUTED_VALUE"""),"https://www.facebook.com/GCBA/posts/pfbid0N5sbH3engzLHtbfZQM61dN6d9zBMxwsp4N1bpfX76sx6bnCZy4398mqDoXuTfdX5l")</f>
        <v>https://www.facebook.com/GCBA/posts/pfbid0N5sbH3engzLHtbfZQM61dN6d9zBMxwsp4N1bpfX76sx6bnCZy4398mqDoXuTfdX5l</v>
      </c>
    </row>
    <row r="61">
      <c r="A61" s="28" t="str">
        <f>IFERROR(__xludf.DUMMYFUNCTION("""COMPUTED_VALUE"""),"2457-ENEPCCVC")</f>
        <v>2457-ENEPCCVC</v>
      </c>
      <c r="B61" s="28" t="str">
        <f>IFERROR(__xludf.DUMMYFUNCTION("""COMPUTED_VALUE"""),"Verano 2026 - Exploradores del Ecoparque")</f>
        <v>Verano 2026 - Exploradores del Ecoparque</v>
      </c>
      <c r="C61" s="29" t="str">
        <f>IFERROR(__xludf.DUMMYFUNCTION("""COMPUTED_VALUE"""),"Pieza")</f>
        <v>Pieza</v>
      </c>
      <c r="D61" s="28" t="str">
        <f>IFERROR(__xludf.DUMMYFUNCTION("""COMPUTED_VALUE"""),"2411-DICJDGAG")</f>
        <v>2411-DICJDGAG</v>
      </c>
      <c r="E61" s="28" t="str">
        <f>IFERROR(__xludf.DUMMYFUNCTION("""COMPUTED_VALUE"""),"RDV JM | Caballito 17/12")</f>
        <v>RDV JM | Caballito 17/12</v>
      </c>
      <c r="F61" s="29" t="str">
        <f>IFERROR(__xludf.DUMMYFUNCTION("""COMPUTED_VALUE"""),"https://www.facebook.com/reel/2575752736128737")</f>
        <v>https://www.facebook.com/reel/2575752736128737</v>
      </c>
    </row>
    <row r="62">
      <c r="A62" s="28" t="str">
        <f>IFERROR(__xludf.DUMMYFUNCTION("""COMPUTED_VALUE"""),"2434-DICFESGC")</f>
        <v>2434-DICFESGC</v>
      </c>
      <c r="B62" s="28" t="str">
        <f>IFERROR(__xludf.DUMMYFUNCTION("""COMPUTED_VALUE"""),"Verano en la Ciudad | Billboard Summer")</f>
        <v>Verano en la Ciudad | Billboard Summer</v>
      </c>
      <c r="C62" s="29" t="str">
        <f>IFERROR(__xludf.DUMMYFUNCTION("""COMPUTED_VALUE"""),"Pieza")</f>
        <v>Pieza</v>
      </c>
      <c r="D62" s="28" t="str">
        <f>IFERROR(__xludf.DUMMYFUNCTION("""COMPUTED_VALUE"""),"2411-DICJDGAG")</f>
        <v>2411-DICJDGAG</v>
      </c>
      <c r="E62" s="28" t="str">
        <f>IFERROR(__xludf.DUMMYFUNCTION("""COMPUTED_VALUE"""),"RDV JM | Caballito 17/12")</f>
        <v>RDV JM | Caballito 17/12</v>
      </c>
      <c r="F62" s="29" t="str">
        <f>IFERROR(__xludf.DUMMYFUNCTION("""COMPUTED_VALUE"""),"https://www.facebook.com/reel/850462247854341")</f>
        <v>https://www.facebook.com/reel/850462247854341</v>
      </c>
    </row>
    <row r="63">
      <c r="A63" s="28" t="str">
        <f>IFERROR(__xludf.DUMMYFUNCTION("""COMPUTED_VALUE"""),"2145-OCTVINGC")</f>
        <v>2145-OCTVINGC</v>
      </c>
      <c r="B63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3" s="29" t="str">
        <f>IFERROR(__xludf.DUMMYFUNCTION("""COMPUTED_VALUE"""),"Pieza")</f>
        <v>Pieza</v>
      </c>
      <c r="D63" s="28" t="str">
        <f>IFERROR(__xludf.DUMMYFUNCTION("""COMPUTED_VALUE"""),"2451-ENEPCCVC")</f>
        <v>2451-ENEPCCVC</v>
      </c>
      <c r="E63" s="28" t="str">
        <f>IFERROR(__xludf.DUMMYFUNCTION("""COMPUTED_VALUE"""),"Participación Ciudadana - Verano en la Ciudad (Pauta RRSS)")</f>
        <v>Participación Ciudadana - Verano en la Ciudad (Pauta RRSS)</v>
      </c>
      <c r="F63" s="29" t="str">
        <f>IFERROR(__xludf.DUMMYFUNCTION("""COMPUTED_VALUE"""),"https://www.facebook.com/100064853673908/posts/1304262748412169/")</f>
        <v>https://www.facebook.com/100064853673908/posts/1304262748412169/</v>
      </c>
    </row>
    <row r="64">
      <c r="A64" s="28" t="str">
        <f>IFERROR(__xludf.DUMMYFUNCTION("""COMPUTED_VALUE"""),"2145-OCTVINGC")</f>
        <v>2145-OCTVINGC</v>
      </c>
      <c r="B64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4" s="29" t="str">
        <f>IFERROR(__xludf.DUMMYFUNCTION("""COMPUTED_VALUE"""),"Pieza")</f>
        <v>Pieza</v>
      </c>
      <c r="D64" s="28" t="str">
        <f>IFERROR(__xludf.DUMMYFUNCTION("""COMPUTED_VALUE"""),"2451-ENEPCCVC")</f>
        <v>2451-ENEPCCVC</v>
      </c>
      <c r="E64" s="28" t="str">
        <f>IFERROR(__xludf.DUMMYFUNCTION("""COMPUTED_VALUE"""),"Participación Ciudadana - Verano en la Ciudad (Pauta RRSS)")</f>
        <v>Participación Ciudadana - Verano en la Ciudad (Pauta RRSS)</v>
      </c>
      <c r="F64" s="29" t="str">
        <f>IFERROR(__xludf.DUMMYFUNCTION("""COMPUTED_VALUE"""),"https://www.instagram.com/p/DTIymi-DLs1/#advertiser")</f>
        <v>https://www.instagram.com/p/DTIymi-DLs1/#advertiser</v>
      </c>
    </row>
    <row r="65">
      <c r="A65" s="28" t="str">
        <f>IFERROR(__xludf.DUMMYFUNCTION("""COMPUTED_VALUE"""),"2109-OCTEPHGC")</f>
        <v>2109-OCTEPHGC</v>
      </c>
      <c r="B65" s="28" t="str">
        <f>IFERROR(__xludf.DUMMYFUNCTION("""COMPUTED_VALUE"""),"LIMPIEZA DE FACHADAS | M2")</f>
        <v>LIMPIEZA DE FACHADAS | M2</v>
      </c>
      <c r="C65" s="29" t="str">
        <f>IFERROR(__xludf.DUMMYFUNCTION("""COMPUTED_VALUE"""),"Pieza")</f>
        <v>Pieza</v>
      </c>
      <c r="D65" s="28" t="str">
        <f>IFERROR(__xludf.DUMMYFUNCTION("""COMPUTED_VALUE"""),"2039-SEPDHHGC")</f>
        <v>2039-SEPDHHGC</v>
      </c>
      <c r="E65" s="28" t="str">
        <f>IFERROR(__xludf.DUMMYFUNCTION("""COMPUTED_VALUE"""),"Red de Atención - Comuna 2")</f>
        <v>Red de Atención - Comuna 2</v>
      </c>
      <c r="F65" s="29" t="str">
        <f>IFERROR(__xludf.DUMMYFUNCTION("""COMPUTED_VALUE"""),"https://www.facebook.com/GCBA/posts/1287349476758032")</f>
        <v>https://www.facebook.com/GCBA/posts/1287349476758032</v>
      </c>
    </row>
    <row r="66">
      <c r="A66" s="28" t="str">
        <f>IFERROR(__xludf.DUMMYFUNCTION("""COMPUTED_VALUE"""),"2033-SEPEPHGC")</f>
        <v>2033-SEPEPHGC</v>
      </c>
      <c r="B66" s="28" t="str">
        <f>IFERROR(__xludf.DUMMYFUNCTION("""COMPUTED_VALUE"""),"M2 PODA")</f>
        <v>M2 PODA</v>
      </c>
      <c r="C66" s="29" t="str">
        <f>IFERROR(__xludf.DUMMYFUNCTION("""COMPUTED_VALUE"""),"Pieza")</f>
        <v>Pieza</v>
      </c>
      <c r="D66" s="28" t="str">
        <f>IFERROR(__xludf.DUMMYFUNCTION("""COMPUTED_VALUE"""),"2039-SEPDHHGC")</f>
        <v>2039-SEPDHHGC</v>
      </c>
      <c r="E66" s="28" t="str">
        <f>IFERROR(__xludf.DUMMYFUNCTION("""COMPUTED_VALUE"""),"Red de Atención - Comuna 2")</f>
        <v>Red de Atención - Comuna 2</v>
      </c>
      <c r="F66" s="29" t="str">
        <f>IFERROR(__xludf.DUMMYFUNCTION("""COMPUTED_VALUE"""),"https://www.facebook.com/GCBA/posts/1287344873425159")</f>
        <v>https://www.facebook.com/GCBA/posts/1287344873425159</v>
      </c>
    </row>
    <row r="67">
      <c r="A67" s="28" t="str">
        <f>IFERROR(__xludf.DUMMYFUNCTION("""COMPUTED_VALUE"""),"2109-OCTEPHGC")</f>
        <v>2109-OCTEPHGC</v>
      </c>
      <c r="B67" s="28" t="str">
        <f>IFERROR(__xludf.DUMMYFUNCTION("""COMPUTED_VALUE"""),"LIMPIEZA DE FACHADAS | M2")</f>
        <v>LIMPIEZA DE FACHADAS | M2</v>
      </c>
      <c r="C67" s="29" t="str">
        <f>IFERROR(__xludf.DUMMYFUNCTION("""COMPUTED_VALUE"""),"Pieza")</f>
        <v>Pieza</v>
      </c>
      <c r="D67" s="28" t="str">
        <f>IFERROR(__xludf.DUMMYFUNCTION("""COMPUTED_VALUE"""),"2439-DICINFGC")</f>
        <v>2439-DICINFGC</v>
      </c>
      <c r="E67" s="28" t="str">
        <f>IFERROR(__xludf.DUMMYFUNCTION("""COMPUTED_VALUE""")," Infraestructura I Bus Eléctricos: extensión recorrido")</f>
        <v> Infraestructura I Bus Eléctricos: extensión recorrido</v>
      </c>
      <c r="F67" s="29" t="str">
        <f>IFERROR(__xludf.DUMMYFUNCTION("""COMPUTED_VALUE"""),"https://www.facebook.com/GCBA/posts/pfbid08jZno8hyH4wUURfHDj5eKgWYFcmdn1Lqh1sjbw1zmwZJ4dSZGEmpAeit2EdCjTLal")</f>
        <v>https://www.facebook.com/GCBA/posts/pfbid08jZno8hyH4wUURfHDj5eKgWYFcmdn1Lqh1sjbw1zmwZJ4dSZGEmpAeit2EdCjTLal</v>
      </c>
    </row>
    <row r="68">
      <c r="A68" s="28" t="str">
        <f>IFERROR(__xludf.DUMMYFUNCTION("""COMPUTED_VALUE"""),"2145-OCTVINGC")</f>
        <v>2145-OCTVINGC</v>
      </c>
      <c r="B68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8" s="29" t="str">
        <f>IFERROR(__xludf.DUMMYFUNCTION("""COMPUTED_VALUE"""),"Pieza")</f>
        <v>Pieza</v>
      </c>
      <c r="D68" s="28" t="str">
        <f>IFERROR(__xludf.DUMMYFUNCTION("""COMPUTED_VALUE"""),"2439-DICINFGC")</f>
        <v>2439-DICINFGC</v>
      </c>
      <c r="E68" s="28" t="str">
        <f>IFERROR(__xludf.DUMMYFUNCTION("""COMPUTED_VALUE""")," Infraestructura I Bus Eléctricos: extensión recorrido")</f>
        <v> Infraestructura I Bus Eléctricos: extensión recorrido</v>
      </c>
      <c r="F68" s="29" t="str">
        <f>IFERROR(__xludf.DUMMYFUNCTION("""COMPUTED_VALUE"""),"https://www.facebook.com/GCBA/posts/pfbid08jZno8hyH4wUURfHDj5eKgWYFcmdn1Lqh1sjbw1zmwZJ4dSZGEmpAeit2EdCjTLal")</f>
        <v>https://www.facebook.com/GCBA/posts/pfbid08jZno8hyH4wUURfHDj5eKgWYFcmdn1Lqh1sjbw1zmwZJ4dSZGEmpAeit2EdCjTLal</v>
      </c>
    </row>
    <row r="69">
      <c r="A69" s="28" t="str">
        <f>IFERROR(__xludf.DUMMYFUNCTION("""COMPUTED_VALUE"""),"2481-ENETURGC")</f>
        <v>2481-ENETURGC</v>
      </c>
      <c r="B69" s="28" t="str">
        <f>IFERROR(__xludf.DUMMYFUNCTION("""COMPUTED_VALUE"""),"Informe mensual Observatorio | Diciembre 2025 | Viernes 16/01")</f>
        <v>Informe mensual Observatorio | Diciembre 2025 | Viernes 16/01</v>
      </c>
      <c r="C69" s="29" t="str">
        <f>IFERROR(__xludf.DUMMYFUNCTION("""COMPUTED_VALUE"""),"Pieza")</f>
        <v>Pieza</v>
      </c>
      <c r="D69" s="28" t="str">
        <f>IFERROR(__xludf.DUMMYFUNCTION("""COMPUTED_VALUE"""),"2424-DICFESGC")</f>
        <v>2424-DICFESGC</v>
      </c>
      <c r="E69" s="28" t="str">
        <f>IFERROR(__xludf.DUMMYFUNCTION("""COMPUTED_VALUE"""),"Verano en Buenos Aires 2026 | Generico")</f>
        <v>Verano en Buenos Aires 2026 | Generico</v>
      </c>
      <c r="F69" s="29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70">
      <c r="A70" s="28" t="str">
        <f>IFERROR(__xludf.DUMMYFUNCTION("""COMPUTED_VALUE"""),"2424-DICFESGC")</f>
        <v>2424-DICFESGC</v>
      </c>
      <c r="B70" s="28" t="str">
        <f>IFERROR(__xludf.DUMMYFUNCTION("""COMPUTED_VALUE"""),"Verano en Buenos Aires 2026 | Generico")</f>
        <v>Verano en Buenos Aires 2026 | Generico</v>
      </c>
      <c r="C70" s="29" t="str">
        <f>IFERROR(__xludf.DUMMYFUNCTION("""COMPUTED_VALUE"""),"Pieza")</f>
        <v>Pieza</v>
      </c>
      <c r="D70" s="28" t="str">
        <f>IFERROR(__xludf.DUMMYFUNCTION("""COMPUTED_VALUE"""),"2256-NOVSALGC")</f>
        <v>2256-NOVSALGC</v>
      </c>
      <c r="E70" s="28" t="str">
        <f>IFERROR(__xludf.DUMMYFUNCTION("""COMPUTED_VALUE"""),"Sistema de Salud Público - Diferenciado x Audiencias")</f>
        <v>Sistema de Salud Público - Diferenciado x Audiencias</v>
      </c>
      <c r="F70" s="29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71">
      <c r="A71" s="28" t="str">
        <f>IFERROR(__xludf.DUMMYFUNCTION("""COMPUTED_VALUE"""),"2227-NOVINFGC")</f>
        <v>2227-NOVINFGC</v>
      </c>
      <c r="B71" s="28" t="str">
        <f>IFERROR(__xludf.DUMMYFUNCTION("""COMPUTED_VALUE"""),"Infraestructura - SBASE | Campaña GCBA | Seguridad en Subte")</f>
        <v>Infraestructura - SBASE | Campaña GCBA | Seguridad en Subte</v>
      </c>
      <c r="C71" s="29" t="str">
        <f>IFERROR(__xludf.DUMMYFUNCTION("""COMPUTED_VALUE"""),"Pieza")</f>
        <v>Pieza</v>
      </c>
      <c r="D71" s="28" t="str">
        <f>IFERROR(__xludf.DUMMYFUNCTION("""COMPUTED_VALUE"""),"2256-NOVSALGC")</f>
        <v>2256-NOVSALGC</v>
      </c>
      <c r="E71" s="28" t="str">
        <f>IFERROR(__xludf.DUMMYFUNCTION("""COMPUTED_VALUE"""),"Sistema de Salud Público - Diferenciado x Audiencias")</f>
        <v>Sistema de Salud Público - Diferenciado x Audiencias</v>
      </c>
      <c r="F71" s="29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72">
      <c r="A72" s="28" t="str">
        <f>IFERROR(__xludf.DUMMYFUNCTION("""COMPUTED_VALUE"""),"2424-DICFESGC")</f>
        <v>2424-DICFESGC</v>
      </c>
      <c r="B72" s="28" t="str">
        <f>IFERROR(__xludf.DUMMYFUNCTION("""COMPUTED_VALUE"""),"Verano en Buenos Aires 2026 | Generico")</f>
        <v>Verano en Buenos Aires 2026 | Generico</v>
      </c>
      <c r="C72" s="29" t="str">
        <f>IFERROR(__xludf.DUMMYFUNCTION("""COMPUTED_VALUE"""),"Pieza")</f>
        <v>Pieza</v>
      </c>
      <c r="D72" s="28" t="str">
        <f>IFERROR(__xludf.DUMMYFUNCTION("""COMPUTED_VALUE"""),"1871-AGOEDUGC")</f>
        <v>1871-AGOEDUGC</v>
      </c>
      <c r="E72" s="28" t="str">
        <f>IFERROR(__xludf.DUMMYFUNCTION("""COMPUTED_VALUE"""),"Campaña GCBA | Educación | TUMO")</f>
        <v>Campaña GCBA | Educación | TUMO</v>
      </c>
      <c r="F72" s="29" t="str">
        <f>IFERROR(__xludf.DUMMYFUNCTION("""COMPUTED_VALUE"""),"https://www.facebook.com/reel/818777800864033")</f>
        <v>https://www.facebook.com/reel/818777800864033</v>
      </c>
    </row>
    <row r="73">
      <c r="A73" s="28" t="str">
        <f>IFERROR(__xludf.DUMMYFUNCTION("""COMPUTED_VALUE"""),"2240-NOVSALGC")</f>
        <v>2240-NOVSALGC</v>
      </c>
      <c r="B73" s="28" t="str">
        <f>IFERROR(__xludf.DUMMYFUNCTION("""COMPUTED_VALUE"""),"Cuidados del Calor 2025 - Síntomas")</f>
        <v>Cuidados del Calor 2025 - Síntomas</v>
      </c>
      <c r="C73" s="29" t="str">
        <f>IFERROR(__xludf.DUMMYFUNCTION("""COMPUTED_VALUE"""),"Pieza")</f>
        <v>Pieza</v>
      </c>
      <c r="D73" s="28" t="str">
        <f>IFERROR(__xludf.DUMMYFUNCTION("""COMPUTED_VALUE"""),"1871-AGOEDUGC")</f>
        <v>1871-AGOEDUGC</v>
      </c>
      <c r="E73" s="28" t="str">
        <f>IFERROR(__xludf.DUMMYFUNCTION("""COMPUTED_VALUE"""),"Campaña GCBA | Educación | TUMO")</f>
        <v>Campaña GCBA | Educación | TUMO</v>
      </c>
      <c r="F73" s="29" t="str">
        <f>IFERROR(__xludf.DUMMYFUNCTION("""COMPUTED_VALUE"""),"https://www.facebook.com/reel/818777800864033")</f>
        <v>https://www.facebook.com/reel/818777800864033</v>
      </c>
    </row>
    <row r="74">
      <c r="A74" s="28" t="str">
        <f>IFERROR(__xludf.DUMMYFUNCTION("""COMPUTED_VALUE"""),"2240-NOVSALGC")</f>
        <v>2240-NOVSALGC</v>
      </c>
      <c r="B74" s="28" t="str">
        <f>IFERROR(__xludf.DUMMYFUNCTION("""COMPUTED_VALUE"""),"Cuidados del Calor 2025 - Síntomas")</f>
        <v>Cuidados del Calor 2025 - Síntomas</v>
      </c>
      <c r="C74" s="29" t="str">
        <f>IFERROR(__xludf.DUMMYFUNCTION("""COMPUTED_VALUE"""),"Pieza")</f>
        <v>Pieza</v>
      </c>
      <c r="D74" s="28" t="str">
        <f>IFERROR(__xludf.DUMMYFUNCTION("""COMPUTED_VALUE"""),"1871-AGOEDUGC")</f>
        <v>1871-AGOEDUGC</v>
      </c>
      <c r="E74" s="28" t="str">
        <f>IFERROR(__xludf.DUMMYFUNCTION("""COMPUTED_VALUE"""),"Campaña GCBA | Educación | TUMO")</f>
        <v>Campaña GCBA | Educación | TUMO</v>
      </c>
      <c r="F74" s="29" t="str">
        <f>IFERROR(__xludf.DUMMYFUNCTION("""COMPUTED_VALUE"""),"https://www.facebook.com/reel/818777800864033")</f>
        <v>https://www.facebook.com/reel/818777800864033</v>
      </c>
    </row>
    <row r="75">
      <c r="A75" s="28" t="str">
        <f>IFERROR(__xludf.DUMMYFUNCTION("""COMPUTED_VALUE"""),"2145-OCTVINGC")</f>
        <v>2145-OCTVINGC</v>
      </c>
      <c r="B75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75" s="29" t="str">
        <f>IFERROR(__xludf.DUMMYFUNCTION("""COMPUTED_VALUE"""),"Pieza")</f>
        <v>Pieza</v>
      </c>
      <c r="D75" s="28" t="str">
        <f>IFERROR(__xludf.DUMMYFUNCTION("""COMPUTED_VALUE"""),"2322-NOVEDUGC")</f>
        <v>2322-NOVEDUGC</v>
      </c>
      <c r="E75" s="28" t="str">
        <f>IFERROR(__xludf.DUMMYFUNCTION("""COMPUTED_VALUE"""),"TUMO Parque de la Innovación")</f>
        <v>TUMO Parque de la Innovación</v>
      </c>
      <c r="F75" s="29" t="str">
        <f>IFERROR(__xludf.DUMMYFUNCTION("""COMPUTED_VALUE"""),"https://www.facebook.com/reel/1259490412867632")</f>
        <v>https://www.facebook.com/reel/1259490412867632</v>
      </c>
    </row>
    <row r="76">
      <c r="A76" s="28" t="str">
        <f>IFERROR(__xludf.DUMMYFUNCTION("""COMPUTED_VALUE"""),"2454-ENEPCCVC")</f>
        <v>2454-ENEPCCVC</v>
      </c>
      <c r="B76" s="28" t="str">
        <f>IFERROR(__xludf.DUMMYFUNCTION("""COMPUTED_VALUE"""),"Verano 2026 - Aventura en el aire")</f>
        <v>Verano 2026 - Aventura en el aire</v>
      </c>
      <c r="C76" s="29" t="str">
        <f>IFERROR(__xludf.DUMMYFUNCTION("""COMPUTED_VALUE"""),"Pieza")</f>
        <v>Pieza</v>
      </c>
      <c r="D76" s="28" t="str">
        <f>IFERROR(__xludf.DUMMYFUNCTION("""COMPUTED_VALUE"""),"2322-NOVEDUGC")</f>
        <v>2322-NOVEDUGC</v>
      </c>
      <c r="E76" s="28" t="str">
        <f>IFERROR(__xludf.DUMMYFUNCTION("""COMPUTED_VALUE"""),"TUMO Parque de la Innovación")</f>
        <v>TUMO Parque de la Innovación</v>
      </c>
      <c r="F76" s="29" t="str">
        <f>IFERROR(__xludf.DUMMYFUNCTION("""COMPUTED_VALUE"""),"https://www.facebook.com/reel/1259490412867632")</f>
        <v>https://www.facebook.com/reel/1259490412867632</v>
      </c>
    </row>
    <row r="77">
      <c r="A77" s="28" t="str">
        <f>IFERROR(__xludf.DUMMYFUNCTION("""COMPUTED_VALUE"""),"2483-ENESEGGC")</f>
        <v>2483-ENESEGGC</v>
      </c>
      <c r="B77" s="28" t="str">
        <f>IFERROR(__xludf.DUMMYFUNCTION("""COMPUTED_VALUE"""),"Campaña GCBA I Seguridad | Desalojo Constitución")</f>
        <v>Campaña GCBA I Seguridad | Desalojo Constitución</v>
      </c>
      <c r="C77" s="29" t="str">
        <f>IFERROR(__xludf.DUMMYFUNCTION("""COMPUTED_VALUE"""),"Pieza")</f>
        <v>Pieza</v>
      </c>
      <c r="D77" s="28" t="str">
        <f>IFERROR(__xludf.DUMMYFUNCTION("""COMPUTED_VALUE"""),"1871-AGOEDUGC")</f>
        <v>1871-AGOEDUGC</v>
      </c>
      <c r="E77" s="28" t="str">
        <f>IFERROR(__xludf.DUMMYFUNCTION("""COMPUTED_VALUE"""),"Campaña GCBA | Educación | TUMO")</f>
        <v>Campaña GCBA | Educación | TUMO</v>
      </c>
      <c r="F77" s="29" t="str">
        <f>IFERROR(__xludf.DUMMYFUNCTION("""COMPUTED_VALUE"""),"https://www.facebook.com/reel/818777800864033")</f>
        <v>https://www.facebook.com/reel/818777800864033</v>
      </c>
    </row>
    <row r="78">
      <c r="A78" s="28" t="str">
        <f>IFERROR(__xludf.DUMMYFUNCTION("""COMPUTED_VALUE"""),"2475-ENESEGAG")</f>
        <v>2475-ENESEGAG</v>
      </c>
      <c r="B78" s="28" t="str">
        <f>IFERROR(__xludf.DUMMYFUNCTION("""COMPUTED_VALUE"""),"RECORRIDA POR SERVICIO PENITENCIARIO de Marcos Paz")</f>
        <v>RECORRIDA POR SERVICIO PENITENCIARIO de Marcos Paz</v>
      </c>
      <c r="C78" s="29" t="str">
        <f>IFERROR(__xludf.DUMMYFUNCTION("""COMPUTED_VALUE"""),"Pieza")</f>
        <v>Pieza</v>
      </c>
      <c r="D78" s="28" t="str">
        <f>IFERROR(__xludf.DUMMYFUNCTION("""COMPUTED_VALUE"""),"1871-AGOEDUGC")</f>
        <v>1871-AGOEDUGC</v>
      </c>
      <c r="E78" s="28" t="str">
        <f>IFERROR(__xludf.DUMMYFUNCTION("""COMPUTED_VALUE"""),"Campaña GCBA | Educación | TUMO")</f>
        <v>Campaña GCBA | Educación | TUMO</v>
      </c>
      <c r="F78" s="29" t="str">
        <f>IFERROR(__xludf.DUMMYFUNCTION("""COMPUTED_VALUE"""),"https://www.facebook.com/reel/818777800864033")</f>
        <v>https://www.facebook.com/reel/818777800864033</v>
      </c>
    </row>
    <row r="79">
      <c r="A79" s="28" t="str">
        <f>IFERROR(__xludf.DUMMYFUNCTION("""COMPUTED_VALUE"""),"2475-ENESEGAG")</f>
        <v>2475-ENESEGAG</v>
      </c>
      <c r="B79" s="28" t="str">
        <f>IFERROR(__xludf.DUMMYFUNCTION("""COMPUTED_VALUE"""),"RECORRIDA POR SERVICIO PENITENCIARIO de Marcos Paz")</f>
        <v>RECORRIDA POR SERVICIO PENITENCIARIO de Marcos Paz</v>
      </c>
      <c r="C79" s="29" t="str">
        <f>IFERROR(__xludf.DUMMYFUNCTION("""COMPUTED_VALUE"""),"Pieza")</f>
        <v>Pieza</v>
      </c>
      <c r="D79" s="28" t="str">
        <f>IFERROR(__xludf.DUMMYFUNCTION("""COMPUTED_VALUE"""),"1871-AGOEDUGC")</f>
        <v>1871-AGOEDUGC</v>
      </c>
      <c r="E79" s="28" t="str">
        <f>IFERROR(__xludf.DUMMYFUNCTION("""COMPUTED_VALUE"""),"Campaña GCBA | Educación | TUMO")</f>
        <v>Campaña GCBA | Educación | TUMO</v>
      </c>
      <c r="F79" s="29" t="str">
        <f>IFERROR(__xludf.DUMMYFUNCTION("""COMPUTED_VALUE"""),"https://www.facebook.com/reel/818777800864033")</f>
        <v>https://www.facebook.com/reel/818777800864033</v>
      </c>
    </row>
    <row r="80">
      <c r="A80" s="28" t="str">
        <f>IFERROR(__xludf.DUMMYFUNCTION("""COMPUTED_VALUE"""),"1896-SEPEPHGC")</f>
        <v>1896-SEPEPHGC</v>
      </c>
      <c r="B80" s="28" t="str">
        <f>IFERROR(__xludf.DUMMYFUNCTION("""COMPUTED_VALUE"""),"PIEZAS M2 | MEPHU | LIMPIEZA INTENSIVA")</f>
        <v>PIEZAS M2 | MEPHU | LIMPIEZA INTENSIVA</v>
      </c>
      <c r="C80" s="29" t="str">
        <f>IFERROR(__xludf.DUMMYFUNCTION("""COMPUTED_VALUE"""),"Pieza")</f>
        <v>Pieza</v>
      </c>
      <c r="D80" s="28" t="str">
        <f>IFERROR(__xludf.DUMMYFUNCTION("""COMPUTED_VALUE"""),"2458-ENESEGGC")</f>
        <v>2458-ENESEGGC</v>
      </c>
      <c r="E80" s="28" t="str">
        <f>IFERROR(__xludf.DUMMYFUNCTION("""COMPUTED_VALUE"""),"Campaña GCBA I Seguridad I Desalojo edificio San Telmo")</f>
        <v>Campaña GCBA I Seguridad I Desalojo edificio San Telmo</v>
      </c>
      <c r="F80" s="29" t="str">
        <f>IFERROR(__xludf.DUMMYFUNCTION("""COMPUTED_VALUE"""),"facebook.com/reel/654304614371554/")</f>
        <v>facebook.com/reel/654304614371554/</v>
      </c>
    </row>
    <row r="81">
      <c r="A81" s="28" t="str">
        <f>IFERROR(__xludf.DUMMYFUNCTION("""COMPUTED_VALUE"""),"2145-OCTVINGC")</f>
        <v>2145-OCTVINGC</v>
      </c>
      <c r="B81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81" s="29" t="str">
        <f>IFERROR(__xludf.DUMMYFUNCTION("""COMPUTED_VALUE"""),"Pieza")</f>
        <v>Pieza</v>
      </c>
      <c r="D81" s="28" t="str">
        <f>IFERROR(__xludf.DUMMYFUNCTION("""COMPUTED_VALUE"""),"2458-ENESEGGC")</f>
        <v>2458-ENESEGGC</v>
      </c>
      <c r="E81" s="28" t="str">
        <f>IFERROR(__xludf.DUMMYFUNCTION("""COMPUTED_VALUE"""),"Campaña GCBA I Seguridad I Desalojo edificio San Telmo")</f>
        <v>Campaña GCBA I Seguridad I Desalojo edificio San Telmo</v>
      </c>
      <c r="F81" s="29" t="str">
        <f>IFERROR(__xludf.DUMMYFUNCTION("""COMPUTED_VALUE"""),"facebook.com/reel/654304614371554/")</f>
        <v>facebook.com/reel/654304614371554/</v>
      </c>
    </row>
    <row r="82">
      <c r="A82" s="28" t="str">
        <f>IFERROR(__xludf.DUMMYFUNCTION("""COMPUTED_VALUE"""),"1942-SEPEPHGC")</f>
        <v>1942-SEPEPHGC</v>
      </c>
      <c r="B82" s="28" t="str">
        <f>IFERROR(__xludf.DUMMYFUNCTION("""COMPUTED_VALUE"""),"DGPLES | MEPHU  | REPARACIÓN DE VEREDAS")</f>
        <v>DGPLES | MEPHU  | REPARACIÓN DE VEREDAS</v>
      </c>
      <c r="C82" s="29" t="str">
        <f>IFERROR(__xludf.DUMMYFUNCTION("""COMPUTED_VALUE"""),"Pieza")</f>
        <v>Pieza</v>
      </c>
      <c r="D82" s="28" t="str">
        <f>IFERROR(__xludf.DUMMYFUNCTION("""COMPUTED_VALUE"""),"2459-ENESEGGC")</f>
        <v>2459-ENESEGGC</v>
      </c>
      <c r="E82" s="28" t="str">
        <f>IFERROR(__xludf.DUMMYFUNCTION("""COMPUTED_VALUE"""),"Campaña GCBA I Seguridad I Desalojo predio Parque Avellaneda")</f>
        <v>Campaña GCBA I Seguridad I Desalojo predio Parque Avellaneda</v>
      </c>
      <c r="F82" s="29" t="str">
        <f>IFERROR(__xludf.DUMMYFUNCTION("""COMPUTED_VALUE"""),"facebook.com/reel/1964189401115594/")</f>
        <v>facebook.com/reel/1964189401115594/</v>
      </c>
    </row>
    <row r="83">
      <c r="A83" s="28" t="str">
        <f>IFERROR(__xludf.DUMMYFUNCTION("""COMPUTED_VALUE"""),"1946-SEPEPHGC")</f>
        <v>1946-SEPEPHGC</v>
      </c>
      <c r="B83" s="28" t="str">
        <f>IFERROR(__xludf.DUMMYFUNCTION("""COMPUTED_VALUE"""),"CAMPAÑA GCBA | MEPHU  | PLUVIALES")</f>
        <v>CAMPAÑA GCBA | MEPHU  | PLUVIALES</v>
      </c>
      <c r="C83" s="29" t="str">
        <f>IFERROR(__xludf.DUMMYFUNCTION("""COMPUTED_VALUE"""),"Pieza")</f>
        <v>Pieza</v>
      </c>
      <c r="D83" s="28" t="str">
        <f>IFERROR(__xludf.DUMMYFUNCTION("""COMPUTED_VALUE"""),"2459-ENESEGGC")</f>
        <v>2459-ENESEGGC</v>
      </c>
      <c r="E83" s="28" t="str">
        <f>IFERROR(__xludf.DUMMYFUNCTION("""COMPUTED_VALUE"""),"Campaña GCBA I Seguridad I Desalojo predio Parque Avellaneda")</f>
        <v>Campaña GCBA I Seguridad I Desalojo predio Parque Avellaneda</v>
      </c>
      <c r="F83" s="29" t="str">
        <f>IFERROR(__xludf.DUMMYFUNCTION("""COMPUTED_VALUE"""),"facebook.com/reel/1964189401115594/")</f>
        <v>facebook.com/reel/1964189401115594/</v>
      </c>
    </row>
    <row r="84">
      <c r="A84" s="28" t="str">
        <f>IFERROR(__xludf.DUMMYFUNCTION("""COMPUTED_VALUE"""),"2033-SEPEPHGC")</f>
        <v>2033-SEPEPHGC</v>
      </c>
      <c r="B84" s="28" t="str">
        <f>IFERROR(__xludf.DUMMYFUNCTION("""COMPUTED_VALUE"""),"M2 PODA")</f>
        <v>M2 PODA</v>
      </c>
      <c r="C84" s="29" t="str">
        <f>IFERROR(__xludf.DUMMYFUNCTION("""COMPUTED_VALUE"""),"Pieza")</f>
        <v>Pieza</v>
      </c>
      <c r="D84" s="28" t="str">
        <f>IFERROR(__xludf.DUMMYFUNCTION("""COMPUTED_VALUE"""),"2465-ENEJDGAG")</f>
        <v>2465-ENEJDGAG</v>
      </c>
      <c r="E84" s="28" t="str">
        <f>IFERROR(__xludf.DUMMYFUNCTION("""COMPUTED_VALUE"""),"Cafe JM - Puerto Madero 16/1")</f>
        <v>Cafe JM - Puerto Madero 16/1</v>
      </c>
      <c r="F84" s="29" t="str">
        <f>IFERROR(__xludf.DUMMYFUNCTION("""COMPUTED_VALUE"""),"https://www.facebook.com/GCBA/posts/pfbid0BsWeHieuJG1uGtxTuMBe5GYGU77PsY829qhF8HeGWpSsWmLpxTT9CTzWTUa3pxfbl")</f>
        <v>https://www.facebook.com/GCBA/posts/pfbid0BsWeHieuJG1uGtxTuMBe5GYGU77PsY829qhF8HeGWpSsWmLpxTT9CTzWTUa3pxfbl</v>
      </c>
    </row>
    <row r="85">
      <c r="A85" s="28" t="str">
        <f>IFERROR(__xludf.DUMMYFUNCTION("""COMPUTED_VALUE"""),"1943-SEPEPHGC")</f>
        <v>1943-SEPEPHGC</v>
      </c>
      <c r="B85" s="28" t="str">
        <f>IFERROR(__xludf.DUMMYFUNCTION("""COMPUTED_VALUE"""),"DGPLES | MEPHU  | READOQUINADO")</f>
        <v>DGPLES | MEPHU  | READOQUINADO</v>
      </c>
      <c r="C85" s="29" t="str">
        <f>IFERROR(__xludf.DUMMYFUNCTION("""COMPUTED_VALUE"""),"Pieza")</f>
        <v>Pieza</v>
      </c>
      <c r="D85" s="28" t="str">
        <f>IFERROR(__xludf.DUMMYFUNCTION("""COMPUTED_VALUE"""),"2468-ENEINFGC")</f>
        <v>2468-ENEINFGC</v>
      </c>
      <c r="E85" s="28" t="str">
        <f>IFERROR(__xludf.DUMMYFUNCTION("""COMPUTED_VALUE"""),"CAMPAÑA GCBA | INFRAESTRUCTURA | Cierre estación Piedras - Línea A | 12/1")</f>
        <v>CAMPAÑA GCBA | INFRAESTRUCTURA | Cierre estación Piedras - Línea A | 12/1</v>
      </c>
      <c r="F85" s="29" t="str">
        <f>IFERROR(__xludf.DUMMYFUNCTION("""COMPUTED_VALUE"""),"https://www.facebook.com/GCBA/posts/pfbid034yhPZN5yb3JKe4gVWvnfg3JxEqjRYwvE5KVfa8FhtU9xnt4fvGGv6PfcJxxWU5qNl")</f>
        <v>https://www.facebook.com/GCBA/posts/pfbid034yhPZN5yb3JKe4gVWvnfg3JxEqjRYwvE5KVfa8FhtU9xnt4fvGGv6PfcJxxWU5qNl</v>
      </c>
    </row>
    <row r="86">
      <c r="A86" s="28" t="str">
        <f>IFERROR(__xludf.DUMMYFUNCTION("""COMPUTED_VALUE"""),"1943-SEPEPHGC")</f>
        <v>1943-SEPEPHGC</v>
      </c>
      <c r="B86" s="28" t="str">
        <f>IFERROR(__xludf.DUMMYFUNCTION("""COMPUTED_VALUE"""),"DGPLES | MEPHU  | READOQUINADO")</f>
        <v>DGPLES | MEPHU  | READOQUINADO</v>
      </c>
      <c r="C86" s="29" t="str">
        <f>IFERROR(__xludf.DUMMYFUNCTION("""COMPUTED_VALUE"""),"Pieza")</f>
        <v>Pieza</v>
      </c>
      <c r="D86" s="28" t="str">
        <f>IFERROR(__xludf.DUMMYFUNCTION("""COMPUTED_VALUE"""),"2062-OCTINFGC")</f>
        <v>2062-OCTINFGC</v>
      </c>
      <c r="E86" s="28" t="str">
        <f>IFERROR(__xludf.DUMMYFUNCTION("""COMPUTED_VALUE"""),"Infraestructura | Cierre Estación Loria Línea A")</f>
        <v>Infraestructura | Cierre Estación Loria Línea A</v>
      </c>
      <c r="F86" s="28" t="str">
        <f>IFERROR(__xludf.DUMMYFUNCTION("""COMPUTED_VALUE"""),"#N/A")</f>
        <v>#N/A</v>
      </c>
    </row>
    <row r="87">
      <c r="A87" s="28" t="str">
        <f>IFERROR(__xludf.DUMMYFUNCTION("""COMPUTED_VALUE"""),"2455-ENEDHHGC")</f>
        <v>2455-ENEDHHGC</v>
      </c>
      <c r="B87" s="28" t="str">
        <f>IFERROR(__xludf.DUMMYFUNCTION("""COMPUTED_VALUE"""),"Inauguración Estación Amigable")</f>
        <v>Inauguración Estación Amigable</v>
      </c>
      <c r="C87" s="29" t="str">
        <f>IFERROR(__xludf.DUMMYFUNCTION("""COMPUTED_VALUE"""),"Pieza")</f>
        <v>Pieza</v>
      </c>
      <c r="D87" s="28" t="str">
        <f>IFERROR(__xludf.DUMMYFUNCTION("""COMPUTED_VALUE"""),"2434-DICFESGC")</f>
        <v>2434-DICFESGC</v>
      </c>
      <c r="E87" s="28" t="str">
        <f>IFERROR(__xludf.DUMMYFUNCTION("""COMPUTED_VALUE"""),"Verano en la Ciudad | Billboard Summer")</f>
        <v>Verano en la Ciudad | Billboard Summer</v>
      </c>
      <c r="F87" s="29" t="str">
        <f>IFERROR(__xludf.DUMMYFUNCTION("""COMPUTED_VALUE"""),"https://www.facebook.com/reel/1385888349747054/")</f>
        <v>https://www.facebook.com/reel/1385888349747054/</v>
      </c>
    </row>
    <row r="88">
      <c r="A88" s="28" t="str">
        <f>IFERROR(__xludf.DUMMYFUNCTION("""COMPUTED_VALUE"""),"2477-ENEPCCVC")</f>
        <v>2477-ENEPCCVC</v>
      </c>
      <c r="B88" s="28" t="str">
        <f>IFERROR(__xludf.DUMMYFUNCTION("""COMPUTED_VALUE"""),"Refuncionalización Calle Necochea y entorno")</f>
        <v>Refuncionalización Calle Necochea y entorno</v>
      </c>
      <c r="C88" s="29" t="str">
        <f>IFERROR(__xludf.DUMMYFUNCTION("""COMPUTED_VALUE"""),"Pieza")</f>
        <v>Pieza</v>
      </c>
      <c r="D88" s="28" t="str">
        <f>IFERROR(__xludf.DUMMYFUNCTION("""COMPUTED_VALUE"""),"2434-DICFESGC")</f>
        <v>2434-DICFESGC</v>
      </c>
      <c r="E88" s="28" t="str">
        <f>IFERROR(__xludf.DUMMYFUNCTION("""COMPUTED_VALUE"""),"Verano en la Ciudad | Billboard Summer")</f>
        <v>Verano en la Ciudad | Billboard Summer</v>
      </c>
      <c r="F88" s="29" t="str">
        <f>IFERROR(__xludf.DUMMYFUNCTION("""COMPUTED_VALUE"""),"https://www.facebook.com/reel/1385888349747054/")</f>
        <v>https://www.facebook.com/reel/1385888349747054/</v>
      </c>
    </row>
    <row r="89">
      <c r="A89" s="28" t="str">
        <f>IFERROR(__xludf.DUMMYFUNCTION("""COMPUTED_VALUE"""),"2483-ENESEGGC")</f>
        <v>2483-ENESEGGC</v>
      </c>
      <c r="B89" s="28" t="str">
        <f>IFERROR(__xludf.DUMMYFUNCTION("""COMPUTED_VALUE"""),"Campaña GCBA I Seguridad | Desalojo Constitución")</f>
        <v>Campaña GCBA I Seguridad | Desalojo Constitución</v>
      </c>
      <c r="C89" s="29" t="str">
        <f>IFERROR(__xludf.DUMMYFUNCTION("""COMPUTED_VALUE"""),"Pieza")</f>
        <v>Pieza</v>
      </c>
      <c r="D89" s="28" t="str">
        <f>IFERROR(__xludf.DUMMYFUNCTION("""COMPUTED_VALUE"""),"2434-DICFESGC")</f>
        <v>2434-DICFESGC</v>
      </c>
      <c r="E89" s="28" t="str">
        <f>IFERROR(__xludf.DUMMYFUNCTION("""COMPUTED_VALUE"""),"Verano en la Ciudad | Billboard Summer")</f>
        <v>Verano en la Ciudad | Billboard Summer</v>
      </c>
      <c r="F89" s="29" t="str">
        <f>IFERROR(__xludf.DUMMYFUNCTION("""COMPUTED_VALUE"""),"https://www.facebook.com/reel/1385888349747054/")</f>
        <v>https://www.facebook.com/reel/1385888349747054/</v>
      </c>
    </row>
    <row r="90">
      <c r="A90" s="28" t="str">
        <f>IFERROR(__xludf.DUMMYFUNCTION("""COMPUTED_VALUE"""),"2483-ENESEGGC")</f>
        <v>2483-ENESEGGC</v>
      </c>
      <c r="B90" s="28" t="str">
        <f>IFERROR(__xludf.DUMMYFUNCTION("""COMPUTED_VALUE"""),"Campaña GCBA I Seguridad | Desalojo Constitución")</f>
        <v>Campaña GCBA I Seguridad | Desalojo Constitución</v>
      </c>
      <c r="C90" s="29" t="str">
        <f>IFERROR(__xludf.DUMMYFUNCTION("""COMPUTED_VALUE"""),"Pieza")</f>
        <v>Pieza</v>
      </c>
      <c r="D90" s="28" t="str">
        <f>IFERROR(__xludf.DUMMYFUNCTION("""COMPUTED_VALUE"""),"2455-ENEDHHGC")</f>
        <v>2455-ENEDHHGC</v>
      </c>
      <c r="E90" s="28" t="str">
        <f>IFERROR(__xludf.DUMMYFUNCTION("""COMPUTED_VALUE"""),"Inauguración Estación Amigable")</f>
        <v>Inauguración Estación Amigable</v>
      </c>
      <c r="F90" s="29" t="str">
        <f>IFERROR(__xludf.DUMMYFUNCTION("""COMPUTED_VALUE"""),"https://www.facebook.com/GCBA/posts/pfbid0NCkcxaZVLWpEq1c8WfZD4yFZZ8pNJGWi52WxDCeZbvR8fJnEgqzwJYBpEWJR5L9Sl")</f>
        <v>https://www.facebook.com/GCBA/posts/pfbid0NCkcxaZVLWpEq1c8WfZD4yFZZ8pNJGWi52WxDCeZbvR8fJnEgqzwJYBpEWJR5L9Sl</v>
      </c>
    </row>
    <row r="91">
      <c r="A91" s="28" t="str">
        <f>IFERROR(__xludf.DUMMYFUNCTION("""COMPUTED_VALUE"""),"2318-ENEINFGC")</f>
        <v>2318-ENEINFGC</v>
      </c>
      <c r="B91" s="28" t="str">
        <f>IFERROR(__xludf.DUMMYFUNCTION("""COMPUTED_VALUE"""),"Infraestructura I Cambio de sentido Avelino Díaz y Las Casas")</f>
        <v>Infraestructura I Cambio de sentido Avelino Díaz y Las Casas</v>
      </c>
      <c r="C91" s="29" t="str">
        <f>IFERROR(__xludf.DUMMYFUNCTION("""COMPUTED_VALUE"""),"Pieza")</f>
        <v>Pieza</v>
      </c>
      <c r="D91" s="28" t="str">
        <f>IFERROR(__xludf.DUMMYFUNCTION("""COMPUTED_VALUE"""),"2455-ENEDHHGC")</f>
        <v>2455-ENEDHHGC</v>
      </c>
      <c r="E91" s="28" t="str">
        <f>IFERROR(__xludf.DUMMYFUNCTION("""COMPUTED_VALUE"""),"Inauguración Estación Amigable")</f>
        <v>Inauguración Estación Amigable</v>
      </c>
      <c r="F91" s="29" t="str">
        <f>IFERROR(__xludf.DUMMYFUNCTION("""COMPUTED_VALUE"""),"https://www.facebook.com/GCBA/posts/pfbid0NCkcxaZVLWpEq1c8WfZD4yFZZ8pNJGWi52WxDCeZbvR8fJnEgqzwJYBpEWJR5L9Sl")</f>
        <v>https://www.facebook.com/GCBA/posts/pfbid0NCkcxaZVLWpEq1c8WfZD4yFZZ8pNJGWi52WxDCeZbvR8fJnEgqzwJYBpEWJR5L9Sl</v>
      </c>
    </row>
    <row r="92">
      <c r="A92" s="28" t="str">
        <f>IFERROR(__xludf.DUMMYFUNCTION("""COMPUTED_VALUE"""),"2145-OCTVINGC")</f>
        <v>2145-OCTVINGC</v>
      </c>
      <c r="B92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92" s="29" t="str">
        <f>IFERROR(__xludf.DUMMYFUNCTION("""COMPUTED_VALUE"""),"Pieza")</f>
        <v>Pieza</v>
      </c>
      <c r="D92" s="28" t="str">
        <f>IFERROR(__xludf.DUMMYFUNCTION("""COMPUTED_VALUE"""),"2455-ENEDHHGC")</f>
        <v>2455-ENEDHHGC</v>
      </c>
      <c r="E92" s="28" t="str">
        <f>IFERROR(__xludf.DUMMYFUNCTION("""COMPUTED_VALUE"""),"Inauguración Estación Amigable")</f>
        <v>Inauguración Estación Amigable</v>
      </c>
      <c r="F92" s="29" t="str">
        <f>IFERROR(__xludf.DUMMYFUNCTION("""COMPUTED_VALUE"""),"https://www.facebook.com/GCBA/posts/pfbid0NCkcxaZVLWpEq1c8WfZD4yFZZ8pNJGWi52WxDCeZbvR8fJnEgqzwJYBpEWJR5L9Sl")</f>
        <v>https://www.facebook.com/GCBA/posts/pfbid0NCkcxaZVLWpEq1c8WfZD4yFZZ8pNJGWi52WxDCeZbvR8fJnEgqzwJYBpEWJR5L9Sl</v>
      </c>
    </row>
    <row r="93">
      <c r="A93" s="28" t="str">
        <f>IFERROR(__xludf.DUMMYFUNCTION("""COMPUTED_VALUE"""),"2145-OCTVINGC")</f>
        <v>2145-OCTVINGC</v>
      </c>
      <c r="B93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93" s="29" t="str">
        <f>IFERROR(__xludf.DUMMYFUNCTION("""COMPUTED_VALUE"""),"Pieza")</f>
        <v>Pieza</v>
      </c>
      <c r="D93" s="28" t="str">
        <f>IFERROR(__xludf.DUMMYFUNCTION("""COMPUTED_VALUE"""),"2470-ENEINFGC")</f>
        <v>2470-ENEINFGC</v>
      </c>
      <c r="E93" s="28" t="str">
        <f>IFERROR(__xludf.DUMMYFUNCTION("""COMPUTED_VALUE"""),"CAMPAÑA GCBA | INFRAESTRUCTURA |  Corte AU Illia")</f>
        <v>CAMPAÑA GCBA | INFRAESTRUCTURA |  Corte AU Illia</v>
      </c>
      <c r="F93" s="29" t="str">
        <f>IFERROR(__xludf.DUMMYFUNCTION("""COMPUTED_VALUE"""),"https://fb.me/adspreview/facebook/27utMxPibDIBULh")</f>
        <v>https://fb.me/adspreview/facebook/27utMxPibDIBULh</v>
      </c>
    </row>
    <row r="94">
      <c r="A94" s="28" t="str">
        <f>IFERROR(__xludf.DUMMYFUNCTION("""COMPUTED_VALUE"""),"2455-ENEDHHGC")</f>
        <v>2455-ENEDHHGC</v>
      </c>
      <c r="B94" s="28" t="str">
        <f>IFERROR(__xludf.DUMMYFUNCTION("""COMPUTED_VALUE"""),"Inauguración Estación Amigable")</f>
        <v>Inauguración Estación Amigable</v>
      </c>
      <c r="C94" s="29" t="str">
        <f>IFERROR(__xludf.DUMMYFUNCTION("""COMPUTED_VALUE"""),"Pieza")</f>
        <v>Pieza</v>
      </c>
      <c r="D94" s="28" t="str">
        <f>IFERROR(__xludf.DUMMYFUNCTION("""COMPUTED_VALUE"""),"2441-DICINFGC")</f>
        <v>2441-DICINFGC</v>
      </c>
      <c r="E94" s="28" t="str">
        <f>IFERROR(__xludf.DUMMYFUNCTION("""COMPUTED_VALUE"""),"Infraestructura I Obras M2: Trambus ENERO")</f>
        <v>Infraestructura I Obras M2: Trambus ENERO</v>
      </c>
      <c r="F94" s="29" t="str">
        <f>IFERROR(__xludf.DUMMYFUNCTION("""COMPUTED_VALUE"""),"https://www.facebook.com/GCBA/posts/pfbid0nA1q3xBcy1eJcYdmUe5hTkrG2zrbURY6VnDCqEubzKtTg6UhWBiGjhgYWJQUsK86l")</f>
        <v>https://www.facebook.com/GCBA/posts/pfbid0nA1q3xBcy1eJcYdmUe5hTkrG2zrbURY6VnDCqEubzKtTg6UhWBiGjhgYWJQUsK86l</v>
      </c>
    </row>
    <row r="95">
      <c r="A95" s="28" t="str">
        <f>IFERROR(__xludf.DUMMYFUNCTION("""COMPUTED_VALUE"""),"2482-ENEINFGC")</f>
        <v>2482-ENEINFGC</v>
      </c>
      <c r="B95" s="28" t="str">
        <f>IFERROR(__xludf.DUMMYFUNCTION("""COMPUTED_VALUE"""),"VTV - Recordatorio de turno 2026")</f>
        <v>VTV - Recordatorio de turno 2026</v>
      </c>
      <c r="C95" s="29" t="str">
        <f>IFERROR(__xludf.DUMMYFUNCTION("""COMPUTED_VALUE"""),"Pieza")</f>
        <v>Pieza</v>
      </c>
      <c r="D95" s="28" t="str">
        <f>IFERROR(__xludf.DUMMYFUNCTION("""COMPUTED_VALUE"""),"2441-DICINFGC")</f>
        <v>2441-DICINFGC</v>
      </c>
      <c r="E95" s="28" t="str">
        <f>IFERROR(__xludf.DUMMYFUNCTION("""COMPUTED_VALUE"""),"Infraestructura I Obras M2: Trambus ENERO")</f>
        <v>Infraestructura I Obras M2: Trambus ENERO</v>
      </c>
      <c r="F95" s="29" t="str">
        <f>IFERROR(__xludf.DUMMYFUNCTION("""COMPUTED_VALUE"""),"https://www.facebook.com/GCBA/posts/pfbid0BCdzfdHSiNsAjqkxBfw21q7wXrop147rZKyn1amsRodUZ7JfR4HU3mtxPi2pv5HVl")</f>
        <v>https://www.facebook.com/GCBA/posts/pfbid0BCdzfdHSiNsAjqkxBfw21q7wXrop147rZKyn1amsRodUZ7JfR4HU3mtxPi2pv5HVl</v>
      </c>
    </row>
    <row r="96">
      <c r="A96" s="28" t="str">
        <f>IFERROR(__xludf.DUMMYFUNCTION("""COMPUTED_VALUE"""),"2482-ENEINFGC")</f>
        <v>2482-ENEINFGC</v>
      </c>
      <c r="B96" s="28" t="str">
        <f>IFERROR(__xludf.DUMMYFUNCTION("""COMPUTED_VALUE"""),"VTV - Recordatorio de turno 2026")</f>
        <v>VTV - Recordatorio de turno 2026</v>
      </c>
      <c r="C96" s="29" t="str">
        <f>IFERROR(__xludf.DUMMYFUNCTION("""COMPUTED_VALUE"""),"Pieza")</f>
        <v>Pieza</v>
      </c>
      <c r="D96" s="28" t="str">
        <f>IFERROR(__xludf.DUMMYFUNCTION("""COMPUTED_VALUE"""),"2441-DICINFGC")</f>
        <v>2441-DICINFGC</v>
      </c>
      <c r="E96" s="28" t="str">
        <f>IFERROR(__xludf.DUMMYFUNCTION("""COMPUTED_VALUE"""),"Infraestructura I Obras M2: Trambus ENERO")</f>
        <v>Infraestructura I Obras M2: Trambus ENERO</v>
      </c>
      <c r="F96" s="29" t="str">
        <f>IFERROR(__xludf.DUMMYFUNCTION("""COMPUTED_VALUE"""),"https://www.facebook.com/GCBA/posts/pfbid033fMnyhXWfBXacknm8RVi846ZRKkF3s2ntnrf77adFMCBapj9oEmFvjtMFUZPAc2nl")</f>
        <v>https://www.facebook.com/GCBA/posts/pfbid033fMnyhXWfBXacknm8RVi846ZRKkF3s2ntnrf77adFMCBapj9oEmFvjtMFUZPAc2nl</v>
      </c>
    </row>
    <row r="97">
      <c r="A97" s="28" t="str">
        <f>IFERROR(__xludf.DUMMYFUNCTION("""COMPUTED_VALUE"""),"2441-DICINFGC")</f>
        <v>2441-DICINFGC</v>
      </c>
      <c r="B97" s="28" t="str">
        <f>IFERROR(__xludf.DUMMYFUNCTION("""COMPUTED_VALUE"""),"Infraestructura I Obras M2: Trambus ENERO")</f>
        <v>Infraestructura I Obras M2: Trambus ENERO</v>
      </c>
      <c r="C97" s="29" t="str">
        <f>IFERROR(__xludf.DUMMYFUNCTION("""COMPUTED_VALUE"""),"Pieza")</f>
        <v>Pieza</v>
      </c>
      <c r="D97" s="28" t="str">
        <f>IFERROR(__xludf.DUMMYFUNCTION("""COMPUTED_VALUE"""),"2441-DICINFGC")</f>
        <v>2441-DICINFGC</v>
      </c>
      <c r="E97" s="28" t="str">
        <f>IFERROR(__xludf.DUMMYFUNCTION("""COMPUTED_VALUE"""),"Infraestructura I Obras M2: Trambus ENERO")</f>
        <v>Infraestructura I Obras M2: Trambus ENERO</v>
      </c>
      <c r="F97" s="29" t="str">
        <f>IFERROR(__xludf.DUMMYFUNCTION("""COMPUTED_VALUE"""),"https://www.facebook.com/GCBA/posts/pfbid02jFPm6aLLHuw37e7eL7eC49bFcisgXv2ipwvT5pfL3KygKKsPopu3Kxkwvx8M4durl")</f>
        <v>https://www.facebook.com/GCBA/posts/pfbid02jFPm6aLLHuw37e7eL7eC49bFcisgXv2ipwvT5pfL3KygKKsPopu3Kxkwvx8M4durl</v>
      </c>
    </row>
    <row r="98">
      <c r="A98" s="28" t="str">
        <f>IFERROR(__xludf.DUMMYFUNCTION("""COMPUTED_VALUE"""),"2441-DICINFGC")</f>
        <v>2441-DICINFGC</v>
      </c>
      <c r="B98" s="28" t="str">
        <f>IFERROR(__xludf.DUMMYFUNCTION("""COMPUTED_VALUE"""),"Infraestructura I Obras M2: Trambus ENERO")</f>
        <v>Infraestructura I Obras M2: Trambus ENERO</v>
      </c>
      <c r="C98" s="29" t="str">
        <f>IFERROR(__xludf.DUMMYFUNCTION("""COMPUTED_VALUE"""),"Pieza")</f>
        <v>Pieza</v>
      </c>
      <c r="D98" s="28" t="str">
        <f>IFERROR(__xludf.DUMMYFUNCTION("""COMPUTED_VALUE"""),"2441-DICINFGC")</f>
        <v>2441-DICINFGC</v>
      </c>
      <c r="E98" s="28" t="str">
        <f>IFERROR(__xludf.DUMMYFUNCTION("""COMPUTED_VALUE"""),"Infraestructura I Obras M2: Trambus ENERO")</f>
        <v>Infraestructura I Obras M2: Trambus ENERO</v>
      </c>
      <c r="F98" s="29" t="str">
        <f>IFERROR(__xludf.DUMMYFUNCTION("""COMPUTED_VALUE"""),"https://www.facebook.com/GCBA/posts/pfbid02XivFpWt3RUefq5AxosVi9QHfMqmnMMDqYJ2GMwbm21hzDXakjKzef36eD7EUTd3Nl")</f>
        <v>https://www.facebook.com/GCBA/posts/pfbid02XivFpWt3RUefq5AxosVi9QHfMqmnMMDqYJ2GMwbm21hzDXakjKzef36eD7EUTd3Nl</v>
      </c>
    </row>
    <row r="99">
      <c r="A99" s="28" t="str">
        <f>IFERROR(__xludf.DUMMYFUNCTION("""COMPUTED_VALUE"""),"2441-DICINFGC")</f>
        <v>2441-DICINFGC</v>
      </c>
      <c r="B99" s="28" t="str">
        <f>IFERROR(__xludf.DUMMYFUNCTION("""COMPUTED_VALUE"""),"Infraestructura I Obras M2: Trambus ENERO")</f>
        <v>Infraestructura I Obras M2: Trambus ENERO</v>
      </c>
      <c r="C99" s="29" t="str">
        <f>IFERROR(__xludf.DUMMYFUNCTION("""COMPUTED_VALUE"""),"Pieza")</f>
        <v>Pieza</v>
      </c>
      <c r="D99" s="28" t="str">
        <f>IFERROR(__xludf.DUMMYFUNCTION("""COMPUTED_VALUE"""),"1933-SEPINFGC")</f>
        <v>1933-SEPINFGC</v>
      </c>
      <c r="E99" s="28" t="str">
        <f>IFERROR(__xludf.DUMMYFUNCTION("""COMPUTED_VALUE"""),"CAMPAÑA GCBA | INFRAESTRUCTURA | Campaña 360° Movilidad 2025")</f>
        <v>CAMPAÑA GCBA | INFRAESTRUCTURA | Campaña 360° Movilidad 2025</v>
      </c>
      <c r="F99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0">
      <c r="A100" s="28" t="str">
        <f>IFERROR(__xludf.DUMMYFUNCTION("""COMPUTED_VALUE"""),"2474-ENEINFGC")</f>
        <v>2474-ENEINFGC</v>
      </c>
      <c r="B100" s="28" t="str">
        <f>IFERROR(__xludf.DUMMYFUNCTION("""COMPUTED_VALUE"""),"Campaña GCBA I Infraestructura I Nuevo ramal línea 42")</f>
        <v>Campaña GCBA I Infraestructura I Nuevo ramal línea 42</v>
      </c>
      <c r="C100" s="29" t="str">
        <f>IFERROR(__xludf.DUMMYFUNCTION("""COMPUTED_VALUE"""),"Pieza")</f>
        <v>Pieza</v>
      </c>
      <c r="D100" s="28" t="str">
        <f>IFERROR(__xludf.DUMMYFUNCTION("""COMPUTED_VALUE"""),"1933-SEPINFGC")</f>
        <v>1933-SEPINFGC</v>
      </c>
      <c r="E100" s="28" t="str">
        <f>IFERROR(__xludf.DUMMYFUNCTION("""COMPUTED_VALUE"""),"CAMPAÑA GCBA | INFRAESTRUCTURA | Campaña 360° Movilidad 2025")</f>
        <v>CAMPAÑA GCBA | INFRAESTRUCTURA | Campaña 360° Movilidad 2025</v>
      </c>
      <c r="F100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1">
      <c r="A101" s="28" t="str">
        <f>IFERROR(__xludf.DUMMYFUNCTION("""COMPUTED_VALUE"""),"2441-DICINFGC")</f>
        <v>2441-DICINFGC</v>
      </c>
      <c r="B101" s="28" t="str">
        <f>IFERROR(__xludf.DUMMYFUNCTION("""COMPUTED_VALUE"""),"Infraestructura I Obras M2: Trambus ENERO")</f>
        <v>Infraestructura I Obras M2: Trambus ENERO</v>
      </c>
      <c r="C101" s="29" t="str">
        <f>IFERROR(__xludf.DUMMYFUNCTION("""COMPUTED_VALUE"""),"Pieza")</f>
        <v>Pieza</v>
      </c>
      <c r="D101" s="28" t="str">
        <f>IFERROR(__xludf.DUMMYFUNCTION("""COMPUTED_VALUE"""),"1933-SEPINFGC")</f>
        <v>1933-SEPINFGC</v>
      </c>
      <c r="E101" s="28" t="str">
        <f>IFERROR(__xludf.DUMMYFUNCTION("""COMPUTED_VALUE"""),"CAMPAÑA GCBA | INFRAESTRUCTURA | Campaña 360° Movilidad 2025")</f>
        <v>CAMPAÑA GCBA | INFRAESTRUCTURA | Campaña 360° Movilidad 2025</v>
      </c>
      <c r="F101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2">
      <c r="A102" s="28" t="str">
        <f>IFERROR(__xludf.DUMMYFUNCTION("""COMPUTED_VALUE"""),"2441-DICINFGC")</f>
        <v>2441-DICINFGC</v>
      </c>
      <c r="B102" s="28" t="str">
        <f>IFERROR(__xludf.DUMMYFUNCTION("""COMPUTED_VALUE"""),"Infraestructura I Obras M2: Trambus ENERO")</f>
        <v>Infraestructura I Obras M2: Trambus ENERO</v>
      </c>
      <c r="C102" s="29" t="str">
        <f>IFERROR(__xludf.DUMMYFUNCTION("""COMPUTED_VALUE"""),"Pieza")</f>
        <v>Pieza</v>
      </c>
      <c r="D102" s="28" t="str">
        <f>IFERROR(__xludf.DUMMYFUNCTION("""COMPUTED_VALUE"""),"1933-SEPINFGC")</f>
        <v>1933-SEPINFGC</v>
      </c>
      <c r="E102" s="28" t="str">
        <f>IFERROR(__xludf.DUMMYFUNCTION("""COMPUTED_VALUE"""),"CAMPAÑA GCBA | INFRAESTRUCTURA | Campaña 360° Movilidad 2025")</f>
        <v>CAMPAÑA GCBA | INFRAESTRUCTURA | Campaña 360° Movilidad 2025</v>
      </c>
      <c r="F102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103">
      <c r="A103" s="28" t="str">
        <f>IFERROR(__xludf.DUMMYFUNCTION("""COMPUTED_VALUE"""),"2441-DICINFGC")</f>
        <v>2441-DICINFGC</v>
      </c>
      <c r="B103" s="28" t="str">
        <f>IFERROR(__xludf.DUMMYFUNCTION("""COMPUTED_VALUE"""),"Infraestructura I Obras M2: Trambus ENERO")</f>
        <v>Infraestructura I Obras M2: Trambus ENERO</v>
      </c>
      <c r="C103" s="29" t="str">
        <f>IFERROR(__xludf.DUMMYFUNCTION("""COMPUTED_VALUE"""),"Pieza")</f>
        <v>Pieza</v>
      </c>
      <c r="D103" s="28" t="str">
        <f>IFERROR(__xludf.DUMMYFUNCTION("""COMPUTED_VALUE"""),"2472-ENEINFGC")</f>
        <v>2472-ENEINFGC</v>
      </c>
      <c r="E103" s="28" t="str">
        <f>IFERROR(__xludf.DUMMYFUNCTION("""COMPUTED_VALUE"""),"CAMPAÑA GCBA |  Infraestructura | Cortes y desvíos en Palermo por trabajos en vías")</f>
        <v>CAMPAÑA GCBA |  Infraestructura | Cortes y desvíos en Palermo por trabajos en vías</v>
      </c>
      <c r="F103" s="29" t="str">
        <f>IFERROR(__xludf.DUMMYFUNCTION("""COMPUTED_VALUE"""),"https://fb.me/adspreview/facebook/xMT36MnFuXZIDzt")</f>
        <v>https://fb.me/adspreview/facebook/xMT36MnFuXZIDzt</v>
      </c>
    </row>
    <row r="104">
      <c r="A104" s="28" t="str">
        <f>IFERROR(__xludf.DUMMYFUNCTION("""COMPUTED_VALUE"""),"2441-DICINFGC")</f>
        <v>2441-DICINFGC</v>
      </c>
      <c r="B104" s="28" t="str">
        <f>IFERROR(__xludf.DUMMYFUNCTION("""COMPUTED_VALUE"""),"Infraestructura I Obras M2: Trambus ENERO")</f>
        <v>Infraestructura I Obras M2: Trambus ENERO</v>
      </c>
      <c r="C104" s="29" t="str">
        <f>IFERROR(__xludf.DUMMYFUNCTION("""COMPUTED_VALUE"""),"Pieza")</f>
        <v>Pieza</v>
      </c>
      <c r="D104" s="28" t="str">
        <f>IFERROR(__xludf.DUMMYFUNCTION("""COMPUTED_VALUE"""),"2471-ENEINFGC")</f>
        <v>2471-ENEINFGC</v>
      </c>
      <c r="E104" s="28" t="str">
        <f>IFERROR(__xludf.DUMMYFUNCTION("""COMPUTED_VALUE"""),"CAMPAÑA GCBA | INFRAESTRUCTURA | PBN Irigoyen: durante de obra")</f>
        <v>CAMPAÑA GCBA | INFRAESTRUCTURA | PBN Irigoyen: durante de obra</v>
      </c>
      <c r="F104" s="29" t="str">
        <f>IFERROR(__xludf.DUMMYFUNCTION("""COMPUTED_VALUE"""),"https://www.facebook.com/GCBA/posts/pfbid02skUdtrbsimuTryUG4RHgFZofPSnLrmz2LKHSqBZbBiyVryTXEaMk43DgH54kd2xbl")</f>
        <v>https://www.facebook.com/GCBA/posts/pfbid02skUdtrbsimuTryUG4RHgFZofPSnLrmz2LKHSqBZbBiyVryTXEaMk43DgH54kd2xbl</v>
      </c>
    </row>
    <row r="105">
      <c r="A105" s="28" t="str">
        <f>IFERROR(__xludf.DUMMYFUNCTION("""COMPUTED_VALUE"""),"2441-DICINFGC")</f>
        <v>2441-DICINFGC</v>
      </c>
      <c r="B105" s="28" t="str">
        <f>IFERROR(__xludf.DUMMYFUNCTION("""COMPUTED_VALUE"""),"Infraestructura I Obras M2: Trambus ENERO")</f>
        <v>Infraestructura I Obras M2: Trambus ENERO</v>
      </c>
      <c r="C105" s="29" t="str">
        <f>IFERROR(__xludf.DUMMYFUNCTION("""COMPUTED_VALUE"""),"Pieza")</f>
        <v>Pieza</v>
      </c>
      <c r="D105" s="28" t="str">
        <f>IFERROR(__xludf.DUMMYFUNCTION("""COMPUTED_VALUE"""),"2433-DICFESGC")</f>
        <v>2433-DICFESGC</v>
      </c>
      <c r="E105" s="28" t="str">
        <f>IFERROR(__xludf.DUMMYFUNCTION("""COMPUTED_VALUE"""),"Verano en la Ciudad | AftersBA")</f>
        <v>Verano en la Ciudad | AftersBA</v>
      </c>
      <c r="F105" s="29" t="str">
        <f>IFERROR(__xludf.DUMMYFUNCTION("""COMPUTED_VALUE"""),"https://www.facebook.com/reel/1401103571662551")</f>
        <v>https://www.facebook.com/reel/1401103571662551</v>
      </c>
    </row>
    <row r="106">
      <c r="A106" s="28" t="str">
        <f>IFERROR(__xludf.DUMMYFUNCTION("""COMPUTED_VALUE"""),"2441-DICINFGC")</f>
        <v>2441-DICINFGC</v>
      </c>
      <c r="B106" s="28" t="str">
        <f>IFERROR(__xludf.DUMMYFUNCTION("""COMPUTED_VALUE"""),"Infraestructura I Obras M2: Trambus ENERO")</f>
        <v>Infraestructura I Obras M2: Trambus ENERO</v>
      </c>
      <c r="C106" s="29" t="str">
        <f>IFERROR(__xludf.DUMMYFUNCTION("""COMPUTED_VALUE"""),"Pieza")</f>
        <v>Pieza</v>
      </c>
      <c r="D106" s="28" t="str">
        <f>IFERROR(__xludf.DUMMYFUNCTION("""COMPUTED_VALUE"""),"2433-DICFESGC")</f>
        <v>2433-DICFESGC</v>
      </c>
      <c r="E106" s="28" t="str">
        <f>IFERROR(__xludf.DUMMYFUNCTION("""COMPUTED_VALUE"""),"Verano en la Ciudad | AftersBA")</f>
        <v>Verano en la Ciudad | AftersBA</v>
      </c>
      <c r="F106" s="29" t="str">
        <f>IFERROR(__xludf.DUMMYFUNCTION("""COMPUTED_VALUE"""),"https://www.facebook.com/reel/1401103571662551")</f>
        <v>https://www.facebook.com/reel/1401103571662551</v>
      </c>
    </row>
    <row r="107">
      <c r="A107" s="28" t="str">
        <f>IFERROR(__xludf.DUMMYFUNCTION("""COMPUTED_VALUE"""),"2441-DICINFGC")</f>
        <v>2441-DICINFGC</v>
      </c>
      <c r="B107" s="28" t="str">
        <f>IFERROR(__xludf.DUMMYFUNCTION("""COMPUTED_VALUE"""),"Infraestructura I Obras M2: Trambus ENERO")</f>
        <v>Infraestructura I Obras M2: Trambus ENERO</v>
      </c>
      <c r="C107" s="29" t="str">
        <f>IFERROR(__xludf.DUMMYFUNCTION("""COMPUTED_VALUE"""),"Pieza")</f>
        <v>Pieza</v>
      </c>
      <c r="D107" s="28" t="str">
        <f>IFERROR(__xludf.DUMMYFUNCTION("""COMPUTED_VALUE"""),"2433-DICFESGC")</f>
        <v>2433-DICFESGC</v>
      </c>
      <c r="E107" s="28" t="str">
        <f>IFERROR(__xludf.DUMMYFUNCTION("""COMPUTED_VALUE"""),"Verano en la Ciudad | AftersBA")</f>
        <v>Verano en la Ciudad | AftersBA</v>
      </c>
      <c r="F107" s="29" t="str">
        <f>IFERROR(__xludf.DUMMYFUNCTION("""COMPUTED_VALUE"""),"https://www.facebook.com/reel/1401103571662551")</f>
        <v>https://www.facebook.com/reel/1401103571662551</v>
      </c>
    </row>
    <row r="108">
      <c r="A108" s="28" t="str">
        <f>IFERROR(__xludf.DUMMYFUNCTION("""COMPUTED_VALUE"""),"2255-NOVSALGC")</f>
        <v>2255-NOVSALGC</v>
      </c>
      <c r="B108" s="28" t="str">
        <f>IFERROR(__xludf.DUMMYFUNCTION("""COMPUTED_VALUE"""),"Sistema de Salud Público - Geolocalizado")</f>
        <v>Sistema de Salud Público - Geolocalizado</v>
      </c>
      <c r="C108" s="29" t="str">
        <f>IFERROR(__xludf.DUMMYFUNCTION("""COMPUTED_VALUE"""),"Pieza")</f>
        <v>Pieza</v>
      </c>
      <c r="D108" s="28" t="str">
        <f>IFERROR(__xludf.DUMMYFUNCTION("""COMPUTED_VALUE"""),"2433-DICFESGC")</f>
        <v>2433-DICFESGC</v>
      </c>
      <c r="E108" s="28" t="str">
        <f>IFERROR(__xludf.DUMMYFUNCTION("""COMPUTED_VALUE"""),"Verano en la Ciudad | AftersBA")</f>
        <v>Verano en la Ciudad | AftersBA</v>
      </c>
      <c r="F108" s="29" t="str">
        <f>IFERROR(__xludf.DUMMYFUNCTION("""COMPUTED_VALUE"""),"https://www.facebook.com/reel/1401103571662551")</f>
        <v>https://www.facebook.com/reel/1401103571662551</v>
      </c>
    </row>
    <row r="109">
      <c r="A109" s="28" t="str">
        <f>IFERROR(__xludf.DUMMYFUNCTION("""COMPUTED_VALUE"""),"2255-NOVSALGC")</f>
        <v>2255-NOVSALGC</v>
      </c>
      <c r="B109" s="28" t="str">
        <f>IFERROR(__xludf.DUMMYFUNCTION("""COMPUTED_VALUE"""),"Sistema de Salud Público - Geolocalizado")</f>
        <v>Sistema de Salud Público - Geolocalizado</v>
      </c>
      <c r="C109" s="29" t="str">
        <f>IFERROR(__xludf.DUMMYFUNCTION("""COMPUTED_VALUE"""),"Pieza")</f>
        <v>Pieza</v>
      </c>
      <c r="D109" s="28" t="str">
        <f>IFERROR(__xludf.DUMMYFUNCTION("""COMPUTED_VALUE"""),"2433-DICFESGC")</f>
        <v>2433-DICFESGC</v>
      </c>
      <c r="E109" s="28" t="str">
        <f>IFERROR(__xludf.DUMMYFUNCTION("""COMPUTED_VALUE"""),"Verano en la Ciudad | AftersBA")</f>
        <v>Verano en la Ciudad | AftersBA</v>
      </c>
      <c r="F109" s="29" t="str">
        <f>IFERROR(__xludf.DUMMYFUNCTION("""COMPUTED_VALUE"""),"https://www.facebook.com/reel/1401103571662551")</f>
        <v>https://www.facebook.com/reel/1401103571662551</v>
      </c>
    </row>
    <row r="110">
      <c r="A110" s="28" t="str">
        <f>IFERROR(__xludf.DUMMYFUNCTION("""COMPUTED_VALUE"""),"2255-NOVSALGC")</f>
        <v>2255-NOVSALGC</v>
      </c>
      <c r="B110" s="28" t="str">
        <f>IFERROR(__xludf.DUMMYFUNCTION("""COMPUTED_VALUE"""),"Sistema de Salud Público - Geolocalizado")</f>
        <v>Sistema de Salud Público - Geolocalizado</v>
      </c>
      <c r="C110" s="29" t="str">
        <f>IFERROR(__xludf.DUMMYFUNCTION("""COMPUTED_VALUE"""),"Pieza")</f>
        <v>Pieza</v>
      </c>
      <c r="D110" s="28" t="str">
        <f>IFERROR(__xludf.DUMMYFUNCTION("""COMPUTED_VALUE"""),"2435-DICFESGC")</f>
        <v>2435-DICFESGC</v>
      </c>
      <c r="E110" s="28" t="str">
        <f>IFERROR(__xludf.DUMMYFUNCTION("""COMPUTED_VALUE"""),"Verano en la Ciudad | Atardeceres en los parques")</f>
        <v>Verano en la Ciudad | Atardeceres en los parques</v>
      </c>
      <c r="F110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111">
      <c r="A111" s="28" t="str">
        <f>IFERROR(__xludf.DUMMYFUNCTION("""COMPUTED_VALUE"""),"2255-NOVSALGC")</f>
        <v>2255-NOVSALGC</v>
      </c>
      <c r="B111" s="28" t="str">
        <f>IFERROR(__xludf.DUMMYFUNCTION("""COMPUTED_VALUE"""),"Sistema de Salud Público - Geolocalizado")</f>
        <v>Sistema de Salud Público - Geolocalizado</v>
      </c>
      <c r="C111" s="29" t="str">
        <f>IFERROR(__xludf.DUMMYFUNCTION("""COMPUTED_VALUE"""),"Pieza")</f>
        <v>Pieza</v>
      </c>
      <c r="D111" s="28" t="str">
        <f>IFERROR(__xludf.DUMMYFUNCTION("""COMPUTED_VALUE"""),"2435-DICFESGC")</f>
        <v>2435-DICFESGC</v>
      </c>
      <c r="E111" s="28" t="str">
        <f>IFERROR(__xludf.DUMMYFUNCTION("""COMPUTED_VALUE"""),"Verano en la Ciudad | Atardeceres en los parques")</f>
        <v>Verano en la Ciudad | Atardeceres en los parques</v>
      </c>
      <c r="F111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112">
      <c r="A112" s="28" t="str">
        <f>IFERROR(__xludf.DUMMYFUNCTION("""COMPUTED_VALUE"""),"1921-SEPAMBGC")</f>
        <v>1921-SEPAMBGC</v>
      </c>
      <c r="B112" s="28" t="str">
        <f>IFERROR(__xludf.DUMMYFUNCTION("""COMPUTED_VALUE"""),"Vacunación Antirrabica Animales")</f>
        <v>Vacunación Antirrabica Animales</v>
      </c>
      <c r="C112" s="29" t="str">
        <f>IFERROR(__xludf.DUMMYFUNCTION("""COMPUTED_VALUE"""),"Pieza")</f>
        <v>Pieza</v>
      </c>
      <c r="D112" s="28" t="str">
        <f>IFERROR(__xludf.DUMMYFUNCTION("""COMPUTED_VALUE"""),"2435-DICFESGC")</f>
        <v>2435-DICFESGC</v>
      </c>
      <c r="E112" s="28" t="str">
        <f>IFERROR(__xludf.DUMMYFUNCTION("""COMPUTED_VALUE"""),"Verano en la Ciudad | Atardeceres en los parques")</f>
        <v>Verano en la Ciudad | Atardeceres en los parques</v>
      </c>
      <c r="F112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113">
      <c r="A113" s="28" t="str">
        <f>IFERROR(__xludf.DUMMYFUNCTION("""COMPUTED_VALUE"""),"2453-ENEPCCVC")</f>
        <v>2453-ENEPCCVC</v>
      </c>
      <c r="B113" s="28" t="str">
        <f>IFERROR(__xludf.DUMMYFUNCTION("""COMPUTED_VALUE"""),"Verano 2026 - CIFA para chicos")</f>
        <v>Verano 2026 - CIFA para chicos</v>
      </c>
      <c r="C113" s="29" t="str">
        <f>IFERROR(__xludf.DUMMYFUNCTION("""COMPUTED_VALUE"""),"Pieza")</f>
        <v>Pieza</v>
      </c>
      <c r="D113" s="28" t="str">
        <f>IFERROR(__xludf.DUMMYFUNCTION("""COMPUTED_VALUE"""),"2437-DICFESGC")</f>
        <v>2437-DICFESGC</v>
      </c>
      <c r="E113" s="28" t="str">
        <f>IFERROR(__xludf.DUMMYFUNCTION("""COMPUTED_VALUE"""),"Verano en la Ciudad  | Verano en las plazas")</f>
        <v>Verano en la Ciudad  | Verano en las plazas</v>
      </c>
      <c r="F113" s="29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14">
      <c r="A114" s="28" t="str">
        <f>IFERROR(__xludf.DUMMYFUNCTION("""COMPUTED_VALUE"""),"2437-DICFESGC")</f>
        <v>2437-DICFESGC</v>
      </c>
      <c r="B114" s="28" t="str">
        <f>IFERROR(__xludf.DUMMYFUNCTION("""COMPUTED_VALUE"""),"Verano en la Ciudad  | Verano en las plazas")</f>
        <v>Verano en la Ciudad  | Verano en las plazas</v>
      </c>
      <c r="C114" s="29" t="str">
        <f>IFERROR(__xludf.DUMMYFUNCTION("""COMPUTED_VALUE"""),"Pieza")</f>
        <v>Pieza</v>
      </c>
      <c r="D114" s="28" t="str">
        <f>IFERROR(__xludf.DUMMYFUNCTION("""COMPUTED_VALUE"""),"2437-DICFESGC")</f>
        <v>2437-DICFESGC</v>
      </c>
      <c r="E114" s="28" t="str">
        <f>IFERROR(__xludf.DUMMYFUNCTION("""COMPUTED_VALUE"""),"Verano en la Ciudad  | Verano en las plazas")</f>
        <v>Verano en la Ciudad  | Verano en las plazas</v>
      </c>
      <c r="F114" s="29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15">
      <c r="A115" s="28" t="str">
        <f>IFERROR(__xludf.DUMMYFUNCTION("""COMPUTED_VALUE"""),"2437-DICFESGC")</f>
        <v>2437-DICFESGC</v>
      </c>
      <c r="B115" s="28" t="str">
        <f>IFERROR(__xludf.DUMMYFUNCTION("""COMPUTED_VALUE"""),"Verano en la Ciudad  | Verano en las plazas")</f>
        <v>Verano en la Ciudad  | Verano en las plazas</v>
      </c>
      <c r="C115" s="29" t="str">
        <f>IFERROR(__xludf.DUMMYFUNCTION("""COMPUTED_VALUE"""),"Pieza")</f>
        <v>Pieza</v>
      </c>
      <c r="D115" s="28" t="str">
        <f>IFERROR(__xludf.DUMMYFUNCTION("""COMPUTED_VALUE"""),"2437-DICFESGC")</f>
        <v>2437-DICFESGC</v>
      </c>
      <c r="E115" s="28" t="str">
        <f>IFERROR(__xludf.DUMMYFUNCTION("""COMPUTED_VALUE"""),"Verano en la Ciudad  | Verano en las plazas")</f>
        <v>Verano en la Ciudad  | Verano en las plazas</v>
      </c>
      <c r="F115" s="29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16">
      <c r="A116" s="28" t="str">
        <f>IFERROR(__xludf.DUMMYFUNCTION("""COMPUTED_VALUE"""),"2255-NOVSALGC")</f>
        <v>2255-NOVSALGC</v>
      </c>
      <c r="B116" s="28" t="str">
        <f>IFERROR(__xludf.DUMMYFUNCTION("""COMPUTED_VALUE"""),"Sistema de Salud Público - Geolocalizado")</f>
        <v>Sistema de Salud Público - Geolocalizado</v>
      </c>
      <c r="C116" s="29" t="str">
        <f>IFERROR(__xludf.DUMMYFUNCTION("""COMPUTED_VALUE"""),"Pieza")</f>
        <v>Pieza</v>
      </c>
      <c r="D116" s="28" t="str">
        <f>IFERROR(__xludf.DUMMYFUNCTION("""COMPUTED_VALUE"""),"2466-ENEFESGC")</f>
        <v>2466-ENEFESGC</v>
      </c>
      <c r="E116" s="28" t="str">
        <f>IFERROR(__xludf.DUMMYFUNCTION("""COMPUTED_VALUE"""),"Verano en la Ciudad  | Parque de la Ciudad")</f>
        <v>Verano en la Ciudad  | Parque de la Ciudad</v>
      </c>
      <c r="F116" s="29" t="str">
        <f>IFERROR(__xludf.DUMMYFUNCTION("""COMPUTED_VALUE"""),"https://www.facebook.com/reel/1985348935347886")</f>
        <v>https://www.facebook.com/reel/1985348935347886</v>
      </c>
    </row>
    <row r="117">
      <c r="A117" s="28" t="str">
        <f>IFERROR(__xludf.DUMMYFUNCTION("""COMPUTED_VALUE"""),"2255-NOVSALGC")</f>
        <v>2255-NOVSALGC</v>
      </c>
      <c r="B117" s="28" t="str">
        <f>IFERROR(__xludf.DUMMYFUNCTION("""COMPUTED_VALUE"""),"Sistema de Salud Público - Geolocalizado")</f>
        <v>Sistema de Salud Público - Geolocalizado</v>
      </c>
      <c r="C117" s="29" t="str">
        <f>IFERROR(__xludf.DUMMYFUNCTION("""COMPUTED_VALUE"""),"Pieza")</f>
        <v>Pieza</v>
      </c>
      <c r="D117" s="28" t="str">
        <f>IFERROR(__xludf.DUMMYFUNCTION("""COMPUTED_VALUE"""),"2466-ENEFESGC")</f>
        <v>2466-ENEFESGC</v>
      </c>
      <c r="E117" s="28" t="str">
        <f>IFERROR(__xludf.DUMMYFUNCTION("""COMPUTED_VALUE"""),"Verano en la Ciudad  | Parque de la Ciudad")</f>
        <v>Verano en la Ciudad  | Parque de la Ciudad</v>
      </c>
      <c r="F117" s="29" t="str">
        <f>IFERROR(__xludf.DUMMYFUNCTION("""COMPUTED_VALUE"""),"https://www.facebook.com/reel/1985348935347886")</f>
        <v>https://www.facebook.com/reel/1985348935347886</v>
      </c>
    </row>
    <row r="118">
      <c r="A118" s="28" t="str">
        <f>IFERROR(__xludf.DUMMYFUNCTION("""COMPUTED_VALUE"""),"2255-NOVSALGC")</f>
        <v>2255-NOVSALGC</v>
      </c>
      <c r="B118" s="28" t="str">
        <f>IFERROR(__xludf.DUMMYFUNCTION("""COMPUTED_VALUE"""),"Sistema de Salud Público - Geolocalizado")</f>
        <v>Sistema de Salud Público - Geolocalizado</v>
      </c>
      <c r="C118" s="29" t="str">
        <f>IFERROR(__xludf.DUMMYFUNCTION("""COMPUTED_VALUE"""),"Pieza")</f>
        <v>Pieza</v>
      </c>
      <c r="D118" s="28" t="str">
        <f>IFERROR(__xludf.DUMMYFUNCTION("""COMPUTED_VALUE"""),"2474-ENEINFGC")</f>
        <v>2474-ENEINFGC</v>
      </c>
      <c r="E118" s="28" t="str">
        <f>IFERROR(__xludf.DUMMYFUNCTION("""COMPUTED_VALUE"""),"Campaña GCBA I Infraestructura I Nuevo ramal línea 42")</f>
        <v>Campaña GCBA I Infraestructura I Nuevo ramal línea 42</v>
      </c>
      <c r="F118" s="29" t="str">
        <f>IFERROR(__xludf.DUMMYFUNCTION("""COMPUTED_VALUE"""),"https://www.facebook.com/GCBA/posts/pfbid0337UG4zRXFbMrDgWhEvo65XfwWurZKf1GK8RZQ5Pka9jErhk36TCLtEoR98b6H6GGl")</f>
        <v>https://www.facebook.com/GCBA/posts/pfbid0337UG4zRXFbMrDgWhEvo65XfwWurZKf1GK8RZQ5Pka9jErhk36TCLtEoR98b6H6GGl</v>
      </c>
    </row>
    <row r="119">
      <c r="A119" s="28" t="str">
        <f>IFERROR(__xludf.DUMMYFUNCTION("""COMPUTED_VALUE"""),"2255-NOVSALGC")</f>
        <v>2255-NOVSALGC</v>
      </c>
      <c r="B119" s="28" t="str">
        <f>IFERROR(__xludf.DUMMYFUNCTION("""COMPUTED_VALUE"""),"Sistema de Salud Público - Geolocalizado")</f>
        <v>Sistema de Salud Público - Geolocalizado</v>
      </c>
      <c r="C119" s="29" t="str">
        <f>IFERROR(__xludf.DUMMYFUNCTION("""COMPUTED_VALUE"""),"Pieza")</f>
        <v>Pieza</v>
      </c>
      <c r="D119" s="28" t="str">
        <f>IFERROR(__xludf.DUMMYFUNCTION("""COMPUTED_VALUE"""),"2474-ENEINFGC")</f>
        <v>2474-ENEINFGC</v>
      </c>
      <c r="E119" s="28" t="str">
        <f>IFERROR(__xludf.DUMMYFUNCTION("""COMPUTED_VALUE"""),"Campaña GCBA I Infraestructura I Nuevo ramal línea 42")</f>
        <v>Campaña GCBA I Infraestructura I Nuevo ramal línea 42</v>
      </c>
      <c r="F119" s="29" t="str">
        <f>IFERROR(__xludf.DUMMYFUNCTION("""COMPUTED_VALUE"""),"https://www.facebook.com/GCBA/posts/pfbid0337UG4zRXFbMrDgWhEvo65XfwWurZKf1GK8RZQ5Pka9jErhk36TCLtEoR98b6H6GGl")</f>
        <v>https://www.facebook.com/GCBA/posts/pfbid0337UG4zRXFbMrDgWhEvo65XfwWurZKf1GK8RZQ5Pka9jErhk36TCLtEoR98b6H6GGl</v>
      </c>
    </row>
    <row r="120">
      <c r="A120" s="28" t="str">
        <f>IFERROR(__xludf.DUMMYFUNCTION("""COMPUTED_VALUE"""),"2255-NOVSALGC")</f>
        <v>2255-NOVSALGC</v>
      </c>
      <c r="B120" s="28" t="str">
        <f>IFERROR(__xludf.DUMMYFUNCTION("""COMPUTED_VALUE"""),"Sistema de Salud Público - Geolocalizado")</f>
        <v>Sistema de Salud Público - Geolocalizado</v>
      </c>
      <c r="C120" s="29" t="str">
        <f>IFERROR(__xludf.DUMMYFUNCTION("""COMPUTED_VALUE"""),"Pieza")</f>
        <v>Pieza</v>
      </c>
      <c r="D120" s="28" t="str">
        <f>IFERROR(__xludf.DUMMYFUNCTION("""COMPUTED_VALUE"""),"2318-ENEINFGC")</f>
        <v>2318-ENEINFGC</v>
      </c>
      <c r="E120" s="28" t="str">
        <f>IFERROR(__xludf.DUMMYFUNCTION("""COMPUTED_VALUE"""),"Infraestructura I Cambio de sentido Avelino Díaz y Las Casas")</f>
        <v>Infraestructura I Cambio de sentido Avelino Díaz y Las Casas</v>
      </c>
      <c r="F120" s="29" t="str">
        <f>IFERROR(__xludf.DUMMYFUNCTION("""COMPUTED_VALUE""")," https://www.facebook.com/GCBA/posts/pfbid02fhrsXdCgnCn19Gs1k1PTjbTdAfYLBMqW3w4zhQLgJqH8r8uW4azYikpQk6Js8WNcl")</f>
        <v> https://www.facebook.com/GCBA/posts/pfbid02fhrsXdCgnCn19Gs1k1PTjbTdAfYLBMqW3w4zhQLgJqH8r8uW4azYikpQk6Js8WNcl</v>
      </c>
    </row>
    <row r="121">
      <c r="A121" s="28" t="str">
        <f>IFERROR(__xludf.DUMMYFUNCTION("""COMPUTED_VALUE"""),"2448-DICPCCVC")</f>
        <v>2448-DICPCCVC</v>
      </c>
      <c r="B121" s="28" t="str">
        <f>IFERROR(__xludf.DUMMYFUNCTION("""COMPUTED_VALUE"""),"Verano 2026 - Fiesta de Máscaras: Museo Moderno")</f>
        <v>Verano 2026 - Fiesta de Máscaras: Museo Moderno</v>
      </c>
      <c r="C121" s="29" t="str">
        <f>IFERROR(__xludf.DUMMYFUNCTION("""COMPUTED_VALUE"""),"Pieza")</f>
        <v>Pieza</v>
      </c>
      <c r="D121" s="28" t="str">
        <f>IFERROR(__xludf.DUMMYFUNCTION("""COMPUTED_VALUE"""),"2475-ENESEGAG")</f>
        <v>2475-ENESEGAG</v>
      </c>
      <c r="E121" s="28" t="str">
        <f>IFERROR(__xludf.DUMMYFUNCTION("""COMPUTED_VALUE"""),"RECORRIDA POR SERVICIO PENITENCIARIO de Marcos Paz")</f>
        <v>RECORRIDA POR SERVICIO PENITENCIARIO de Marcos Paz</v>
      </c>
      <c r="F121" s="29" t="str">
        <f>IFERROR(__xludf.DUMMYFUNCTION("""COMPUTED_VALUE"""),"https://www.facebook.com/reel/25959631640339458")</f>
        <v>https://www.facebook.com/reel/25959631640339458</v>
      </c>
    </row>
    <row r="122">
      <c r="A122" s="28" t="str">
        <f>IFERROR(__xludf.DUMMYFUNCTION("""COMPUTED_VALUE"""),"2450-ENEJDGAG")</f>
        <v>2450-ENEJDGAG</v>
      </c>
      <c r="B122" s="28" t="str">
        <f>IFERROR(__xludf.DUMMYFUNCTION("""COMPUTED_VALUE"""),"RDV JM - Boedo 9/1")</f>
        <v>RDV JM - Boedo 9/1</v>
      </c>
      <c r="C122" s="29" t="str">
        <f>IFERROR(__xludf.DUMMYFUNCTION("""COMPUTED_VALUE"""),"Pieza")</f>
        <v>Pieza</v>
      </c>
      <c r="D122" s="28" t="str">
        <f>IFERROR(__xludf.DUMMYFUNCTION("""COMPUTED_VALUE"""),"2475-ENESEGAG")</f>
        <v>2475-ENESEGAG</v>
      </c>
      <c r="E122" s="28" t="str">
        <f>IFERROR(__xludf.DUMMYFUNCTION("""COMPUTED_VALUE"""),"RECORRIDA POR SERVICIO PENITENCIARIO de Marcos Paz")</f>
        <v>RECORRIDA POR SERVICIO PENITENCIARIO de Marcos Paz</v>
      </c>
      <c r="F122" s="29" t="str">
        <f>IFERROR(__xludf.DUMMYFUNCTION("""COMPUTED_VALUE"""),"https://www.facebook.com/reel/25959631640339458")</f>
        <v>https://www.facebook.com/reel/25959631640339458</v>
      </c>
    </row>
    <row r="123">
      <c r="A123" s="28" t="str">
        <f>IFERROR(__xludf.DUMMYFUNCTION("""COMPUTED_VALUE"""),"2450-ENEJDGAG")</f>
        <v>2450-ENEJDGAG</v>
      </c>
      <c r="B123" s="28" t="str">
        <f>IFERROR(__xludf.DUMMYFUNCTION("""COMPUTED_VALUE"""),"RDV JM - Boedo 9/1")</f>
        <v>RDV JM - Boedo 9/1</v>
      </c>
      <c r="C123" s="29" t="str">
        <f>IFERROR(__xludf.DUMMYFUNCTION("""COMPUTED_VALUE"""),"Pieza")</f>
        <v>Pieza</v>
      </c>
      <c r="D123" s="28" t="str">
        <f>IFERROR(__xludf.DUMMYFUNCTION("""COMPUTED_VALUE"""),"2475-ENESEGAG")</f>
        <v>2475-ENESEGAG</v>
      </c>
      <c r="E123" s="28" t="str">
        <f>IFERROR(__xludf.DUMMYFUNCTION("""COMPUTED_VALUE"""),"RECORRIDA POR SERVICIO PENITENCIARIO de Marcos Paz")</f>
        <v>RECORRIDA POR SERVICIO PENITENCIARIO de Marcos Paz</v>
      </c>
      <c r="F123" s="29" t="str">
        <f>IFERROR(__xludf.DUMMYFUNCTION("""COMPUTED_VALUE"""),"https://www.facebook.com/reel/25959631640339458")</f>
        <v>https://www.facebook.com/reel/25959631640339458</v>
      </c>
    </row>
    <row r="124">
      <c r="A124" s="28" t="str">
        <f>IFERROR(__xludf.DUMMYFUNCTION("""COMPUTED_VALUE"""),"2437-DICFESGC")</f>
        <v>2437-DICFESGC</v>
      </c>
      <c r="B124" s="28" t="str">
        <f>IFERROR(__xludf.DUMMYFUNCTION("""COMPUTED_VALUE"""),"Verano en la Ciudad  | Verano en las plazas")</f>
        <v>Verano en la Ciudad  | Verano en las plazas</v>
      </c>
      <c r="C124" s="29" t="str">
        <f>IFERROR(__xludf.DUMMYFUNCTION("""COMPUTED_VALUE"""),"Pieza")</f>
        <v>Pieza</v>
      </c>
      <c r="D124" s="28" t="str">
        <f>IFERROR(__xludf.DUMMYFUNCTION("""COMPUTED_VALUE"""),"2464-ENEINFGC")</f>
        <v>2464-ENEINFGC</v>
      </c>
      <c r="E124" s="28" t="str">
        <f>IFERROR(__xludf.DUMMYFUNCTION("""COMPUTED_VALUE"""),"CAMPAÑA GCBA | INFRAESTRUCTURA | PBN García Lorca: durante de obra")</f>
        <v>CAMPAÑA GCBA | INFRAESTRUCTURA | PBN García Lorca: durante de obra</v>
      </c>
      <c r="F124" s="29" t="str">
        <f>IFERROR(__xludf.DUMMYFUNCTION("""COMPUTED_VALUE"""),"https://www.facebook.com/GCBA/posts/pfbid036pqFXR7zAF8PvFnxngTEwxPE9PqKmWq4AHHELyLosNtsxKY2jxKJRGQJxGk3ecSbl")</f>
        <v>https://www.facebook.com/GCBA/posts/pfbid036pqFXR7zAF8PvFnxngTEwxPE9PqKmWq4AHHELyLosNtsxKY2jxKJRGQJxGk3ecSbl</v>
      </c>
    </row>
    <row r="125">
      <c r="A125" s="28" t="str">
        <f>IFERROR(__xludf.DUMMYFUNCTION("""COMPUTED_VALUE"""),"2435-DICFESGC")</f>
        <v>2435-DICFESGC</v>
      </c>
      <c r="B125" s="28" t="str">
        <f>IFERROR(__xludf.DUMMYFUNCTION("""COMPUTED_VALUE"""),"Verano en la Ciudad | Atardeceres en los parques")</f>
        <v>Verano en la Ciudad | Atardeceres en los parques</v>
      </c>
      <c r="C125" s="29" t="str">
        <f>IFERROR(__xludf.DUMMYFUNCTION("""COMPUTED_VALUE"""),"Pieza")</f>
        <v>Pieza</v>
      </c>
      <c r="D125" s="28" t="str">
        <f>IFERROR(__xludf.DUMMYFUNCTION("""COMPUTED_VALUE"""),"2450-ENEJDGAG")</f>
        <v>2450-ENEJDGAG</v>
      </c>
      <c r="E125" s="28" t="str">
        <f>IFERROR(__xludf.DUMMYFUNCTION("""COMPUTED_VALUE"""),"RDV JM - Boedo 9/1")</f>
        <v>RDV JM - Boedo 9/1</v>
      </c>
      <c r="F125" s="29" t="str">
        <f>IFERROR(__xludf.DUMMYFUNCTION("""COMPUTED_VALUE"""),"https://www.facebook.com/reel/1227602272311943")</f>
        <v>https://www.facebook.com/reel/1227602272311943</v>
      </c>
    </row>
    <row r="126">
      <c r="A126" s="28" t="str">
        <f>IFERROR(__xludf.DUMMYFUNCTION("""COMPUTED_VALUE"""),"2441-DICINFGC")</f>
        <v>2441-DICINFGC</v>
      </c>
      <c r="B126" s="28" t="str">
        <f>IFERROR(__xludf.DUMMYFUNCTION("""COMPUTED_VALUE"""),"Infraestructura I Obras M2: Trambus ENERO")</f>
        <v>Infraestructura I Obras M2: Trambus ENERO</v>
      </c>
      <c r="C126" s="29" t="str">
        <f>IFERROR(__xludf.DUMMYFUNCTION("""COMPUTED_VALUE"""),"Pieza")</f>
        <v>Pieza</v>
      </c>
      <c r="D126" s="28" t="str">
        <f>IFERROR(__xludf.DUMMYFUNCTION("""COMPUTED_VALUE"""),"2483-ENESEGGC")</f>
        <v>2483-ENESEGGC</v>
      </c>
      <c r="E126" s="28" t="str">
        <f>IFERROR(__xludf.DUMMYFUNCTION("""COMPUTED_VALUE"""),"Campaña GCBA I Seguridad | Desalojo Constitución")</f>
        <v>Campaña GCBA I Seguridad | Desalojo Constitución</v>
      </c>
      <c r="F126" s="29" t="str">
        <f>IFERROR(__xludf.DUMMYFUNCTION("""COMPUTED_VALUE"""),"https://www.facebook.com/reel/1332009022300877")</f>
        <v>https://www.facebook.com/reel/1332009022300877</v>
      </c>
    </row>
    <row r="127">
      <c r="A127" s="28" t="str">
        <f>IFERROR(__xludf.DUMMYFUNCTION("""COMPUTED_VALUE"""),"2255-NOVSALGC")</f>
        <v>2255-NOVSALGC</v>
      </c>
      <c r="B127" s="28" t="str">
        <f>IFERROR(__xludf.DUMMYFUNCTION("""COMPUTED_VALUE"""),"Sistema de Salud Público - Geolocalizado")</f>
        <v>Sistema de Salud Público - Geolocalizado</v>
      </c>
      <c r="C127" s="29" t="str">
        <f>IFERROR(__xludf.DUMMYFUNCTION("""COMPUTED_VALUE"""),"Pieza")</f>
        <v>Pieza</v>
      </c>
      <c r="D127" s="28" t="str">
        <f>IFERROR(__xludf.DUMMYFUNCTION("""COMPUTED_VALUE"""),"2483-ENESEGGC")</f>
        <v>2483-ENESEGGC</v>
      </c>
      <c r="E127" s="28" t="str">
        <f>IFERROR(__xludf.DUMMYFUNCTION("""COMPUTED_VALUE"""),"Campaña GCBA I Seguridad | Desalojo Constitución")</f>
        <v>Campaña GCBA I Seguridad | Desalojo Constitución</v>
      </c>
      <c r="F127" s="29" t="str">
        <f>IFERROR(__xludf.DUMMYFUNCTION("""COMPUTED_VALUE"""),"https://www.facebook.com/reel/1332009022300877")</f>
        <v>https://www.facebook.com/reel/1332009022300877</v>
      </c>
    </row>
    <row r="128">
      <c r="A128" s="28" t="str">
        <f>IFERROR(__xludf.DUMMYFUNCTION("""COMPUTED_VALUE"""),"2255-NOVSALGC")</f>
        <v>2255-NOVSALGC</v>
      </c>
      <c r="B128" s="28" t="str">
        <f>IFERROR(__xludf.DUMMYFUNCTION("""COMPUTED_VALUE"""),"Sistema de Salud Público - Geolocalizado")</f>
        <v>Sistema de Salud Público - Geolocalizado</v>
      </c>
      <c r="C128" s="29" t="str">
        <f>IFERROR(__xludf.DUMMYFUNCTION("""COMPUTED_VALUE"""),"Pieza")</f>
        <v>Pieza</v>
      </c>
      <c r="D128" s="28" t="str">
        <f>IFERROR(__xludf.DUMMYFUNCTION("""COMPUTED_VALUE"""),"2476-ENEFESGC")</f>
        <v>2476-ENEFESGC</v>
      </c>
      <c r="E128" s="28" t="str">
        <f>IFERROR(__xludf.DUMMYFUNCTION("""COMPUTED_VALUE"""),"Verano en la Ciudad | Corrientes 24h")</f>
        <v>Verano en la Ciudad | Corrientes 24h</v>
      </c>
      <c r="F128" s="29" t="str">
        <f>IFERROR(__xludf.DUMMYFUNCTION("""COMPUTED_VALUE"""),"https://www.facebook.com/reel/1376298900359413")</f>
        <v>https://www.facebook.com/reel/1376298900359413</v>
      </c>
    </row>
    <row r="129">
      <c r="A129" s="28" t="str">
        <f>IFERROR(__xludf.DUMMYFUNCTION("""COMPUTED_VALUE"""),"2145-OCTVINGC")</f>
        <v>2145-OCTVINGC</v>
      </c>
      <c r="B129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29" s="29" t="str">
        <f>IFERROR(__xludf.DUMMYFUNCTION("""COMPUTED_VALUE"""),"Pieza")</f>
        <v>Pieza</v>
      </c>
      <c r="D129" s="28" t="str">
        <f>IFERROR(__xludf.DUMMYFUNCTION("""COMPUTED_VALUE"""),"2476-ENEFESGC")</f>
        <v>2476-ENEFESGC</v>
      </c>
      <c r="E129" s="28" t="str">
        <f>IFERROR(__xludf.DUMMYFUNCTION("""COMPUTED_VALUE"""),"Verano en la Ciudad | Corrientes 24h")</f>
        <v>Verano en la Ciudad | Corrientes 24h</v>
      </c>
      <c r="F129" s="29" t="str">
        <f>IFERROR(__xludf.DUMMYFUNCTION("""COMPUTED_VALUE"""),"https://www.facebook.com/reel/1376298900359413")</f>
        <v>https://www.facebook.com/reel/1376298900359413</v>
      </c>
    </row>
    <row r="130">
      <c r="A130" s="28" t="str">
        <f>IFERROR(__xludf.DUMMYFUNCTION("""COMPUTED_VALUE"""),"2145-OCTVINGC")</f>
        <v>2145-OCTVINGC</v>
      </c>
      <c r="B130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30" s="29" t="str">
        <f>IFERROR(__xludf.DUMMYFUNCTION("""COMPUTED_VALUE"""),"Pieza")</f>
        <v>Pieza</v>
      </c>
      <c r="D130" s="28" t="str">
        <f>IFERROR(__xludf.DUMMYFUNCTION("""COMPUTED_VALUE"""),"2465-ENEJDGAG")</f>
        <v>2465-ENEJDGAG</v>
      </c>
      <c r="E130" s="28" t="str">
        <f>IFERROR(__xludf.DUMMYFUNCTION("""COMPUTED_VALUE"""),"Cafe JM - Puerto Madero 16/1")</f>
        <v>Cafe JM - Puerto Madero 16/1</v>
      </c>
      <c r="F130" s="29" t="str">
        <f>IFERROR(__xludf.DUMMYFUNCTION("""COMPUTED_VALUE"""),"https://www.facebook.com/reel/1420982339410053/")</f>
        <v>https://www.facebook.com/reel/1420982339410053/</v>
      </c>
    </row>
    <row r="131">
      <c r="A131" s="28" t="str">
        <f>IFERROR(__xludf.DUMMYFUNCTION("""COMPUTED_VALUE"""),"2256-NOVSALGC")</f>
        <v>2256-NOVSALGC</v>
      </c>
      <c r="B131" s="28" t="str">
        <f>IFERROR(__xludf.DUMMYFUNCTION("""COMPUTED_VALUE"""),"Sistema de Salud Público - Diferenciado x Audiencias")</f>
        <v>Sistema de Salud Público - Diferenciado x Audiencias</v>
      </c>
      <c r="C131" s="29" t="str">
        <f>IFERROR(__xludf.DUMMYFUNCTION("""COMPUTED_VALUE"""),"Pieza")</f>
        <v>Pieza</v>
      </c>
      <c r="D131" s="28" t="str">
        <f>IFERROR(__xludf.DUMMYFUNCTION("""COMPUTED_VALUE"""),"2145-OCTVINGC")</f>
        <v>2145-OCTVINGC</v>
      </c>
      <c r="E131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31" s="29" t="str">
        <f>IFERROR(__xludf.DUMMYFUNCTION("""COMPUTED_VALUE"""),"https://www.facebook.com/GCBA/posts/pfbid02a5DRJPMBPPuCuSQYUa6NuAdUWgrRPn2uV9tMt7gH5jZs2nTCt69KXPzZR2qMJ92kl")</f>
        <v>https://www.facebook.com/GCBA/posts/pfbid02a5DRJPMBPPuCuSQYUa6NuAdUWgrRPn2uV9tMt7gH5jZs2nTCt69KXPzZR2qMJ92kl</v>
      </c>
    </row>
    <row r="132">
      <c r="A132" s="28" t="str">
        <f>IFERROR(__xludf.DUMMYFUNCTION("""COMPUTED_VALUE"""),"2501-ENEJDGAG")</f>
        <v>2501-ENEJDGAG</v>
      </c>
      <c r="B132" s="28" t="str">
        <f>IFERROR(__xludf.DUMMYFUNCTION("""COMPUTED_VALUE"""),"RDV JM Flores 30/01")</f>
        <v>RDV JM Flores 30/01</v>
      </c>
      <c r="C132" s="29" t="str">
        <f>IFERROR(__xludf.DUMMYFUNCTION("""COMPUTED_VALUE"""),"Pieza")</f>
        <v>Pieza</v>
      </c>
      <c r="D132" s="28" t="str">
        <f>IFERROR(__xludf.DUMMYFUNCTION("""COMPUTED_VALUE"""),"2145-OCTVINGC")</f>
        <v>2145-OCTVINGC</v>
      </c>
      <c r="E132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32" s="29" t="str">
        <f>IFERROR(__xludf.DUMMYFUNCTION("""COMPUTED_VALUE"""),"https://www.facebook.com/GCBA/posts/pfbid02MHtzFur7T6A9gkPCWcCKA5S9do1hMkbdiz1vi1SFNaGtEwvHELnpkU3EVbhXU9yol")</f>
        <v>https://www.facebook.com/GCBA/posts/pfbid02MHtzFur7T6A9gkPCWcCKA5S9do1hMkbdiz1vi1SFNaGtEwvHELnpkU3EVbhXU9yol</v>
      </c>
    </row>
    <row r="133">
      <c r="A133" s="28" t="str">
        <f>IFERROR(__xludf.DUMMYFUNCTION("""COMPUTED_VALUE"""),"2466-ENEFESGC")</f>
        <v>2466-ENEFESGC</v>
      </c>
      <c r="B133" s="28" t="str">
        <f>IFERROR(__xludf.DUMMYFUNCTION("""COMPUTED_VALUE"""),"Verano en la Ciudad  | Parque de la Ciudad")</f>
        <v>Verano en la Ciudad  | Parque de la Ciudad</v>
      </c>
      <c r="C133" s="29" t="str">
        <f>IFERROR(__xludf.DUMMYFUNCTION("""COMPUTED_VALUE"""),"Pieza")</f>
        <v>Pieza</v>
      </c>
      <c r="D133" s="28" t="str">
        <f>IFERROR(__xludf.DUMMYFUNCTION("""COMPUTED_VALUE"""),"2145-OCTVINGC")</f>
        <v>2145-OCTVINGC</v>
      </c>
      <c r="E133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33" s="29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34">
      <c r="A134" s="28" t="str">
        <f>IFERROR(__xludf.DUMMYFUNCTION("""COMPUTED_VALUE"""),"1896-SEPEPHGC")</f>
        <v>1896-SEPEPHGC</v>
      </c>
      <c r="B134" s="28" t="str">
        <f>IFERROR(__xludf.DUMMYFUNCTION("""COMPUTED_VALUE"""),"PIEZAS M2 | MEPHU | LIMPIEZA INTENSIVA")</f>
        <v>PIEZAS M2 | MEPHU | LIMPIEZA INTENSIVA</v>
      </c>
      <c r="C134" s="29" t="str">
        <f>IFERROR(__xludf.DUMMYFUNCTION("""COMPUTED_VALUE"""),"Pieza")</f>
        <v>Pieza</v>
      </c>
      <c r="D134" s="28" t="str">
        <f>IFERROR(__xludf.DUMMYFUNCTION("""COMPUTED_VALUE"""),"2501-ENEJDGAG")</f>
        <v>2501-ENEJDGAG</v>
      </c>
      <c r="E134" s="28" t="str">
        <f>IFERROR(__xludf.DUMMYFUNCTION("""COMPUTED_VALUE"""),"RDV JM Flores 30/01")</f>
        <v>RDV JM Flores 30/01</v>
      </c>
      <c r="F134" s="29" t="str">
        <f>IFERROR(__xludf.DUMMYFUNCTION("""COMPUTED_VALUE"""),"https://www.facebook.com/reel/1297793642108690")</f>
        <v>https://www.facebook.com/reel/1297793642108690</v>
      </c>
    </row>
    <row r="135">
      <c r="A135" s="28" t="str">
        <f>IFERROR(__xludf.DUMMYFUNCTION("""COMPUTED_VALUE"""),"1943-SEPEPHGC")</f>
        <v>1943-SEPEPHGC</v>
      </c>
      <c r="B135" s="28" t="str">
        <f>IFERROR(__xludf.DUMMYFUNCTION("""COMPUTED_VALUE"""),"DGPLES | MEPHU  | READOQUINADO")</f>
        <v>DGPLES | MEPHU  | READOQUINADO</v>
      </c>
      <c r="C135" s="29" t="str">
        <f>IFERROR(__xludf.DUMMYFUNCTION("""COMPUTED_VALUE"""),"Pieza")</f>
        <v>Pieza</v>
      </c>
      <c r="D135" s="28" t="str">
        <f>IFERROR(__xludf.DUMMYFUNCTION("""COMPUTED_VALUE"""),"2510-ENEINFGC")</f>
        <v>2510-ENEINFGC</v>
      </c>
      <c r="E135" s="28" t="str">
        <f>IFERROR(__xludf.DUMMYFUNCTION("""COMPUTED_VALUE"""),"Infraestructura I Cambio de sentido calle Reconquista")</f>
        <v>Infraestructura I Cambio de sentido calle Reconquista</v>
      </c>
      <c r="F135" s="28"/>
    </row>
    <row r="136">
      <c r="A136" s="28" t="str">
        <f>IFERROR(__xludf.DUMMYFUNCTION("""COMPUTED_VALUE"""),"1943-SEPEPHGC")</f>
        <v>1943-SEPEPHGC</v>
      </c>
      <c r="B136" s="28" t="str">
        <f>IFERROR(__xludf.DUMMYFUNCTION("""COMPUTED_VALUE"""),"DGPLES | MEPHU  | READOQUINADO")</f>
        <v>DGPLES | MEPHU  | READOQUINADO</v>
      </c>
      <c r="C136" s="29" t="str">
        <f>IFERROR(__xludf.DUMMYFUNCTION("""COMPUTED_VALUE"""),"Pieza")</f>
        <v>Pieza</v>
      </c>
      <c r="D136" s="28" t="str">
        <f>IFERROR(__xludf.DUMMYFUNCTION("""COMPUTED_VALUE"""),"2502-ENEJDGAG")</f>
        <v>2502-ENEJDGAG</v>
      </c>
      <c r="E136" s="28" t="str">
        <f>IFERROR(__xludf.DUMMYFUNCTION("""COMPUTED_VALUE"""),"CAFE JM Versalles 29/01")</f>
        <v>CAFE JM Versalles 29/01</v>
      </c>
      <c r="F136" s="28"/>
    </row>
    <row r="137">
      <c r="A137" s="28" t="str">
        <f>IFERROR(__xludf.DUMMYFUNCTION("""COMPUTED_VALUE"""),"1943-SEPEPHGC")</f>
        <v>1943-SEPEPHGC</v>
      </c>
      <c r="B137" s="28" t="str">
        <f>IFERROR(__xludf.DUMMYFUNCTION("""COMPUTED_VALUE"""),"DGPLES | MEPHU  | READOQUINADO")</f>
        <v>DGPLES | MEPHU  | READOQUINADO</v>
      </c>
      <c r="C137" s="29" t="str">
        <f>IFERROR(__xludf.DUMMYFUNCTION("""COMPUTED_VALUE"""),"Pieza")</f>
        <v>Pieza</v>
      </c>
      <c r="D137" s="28" t="str">
        <f>IFERROR(__xludf.DUMMYFUNCTION("""COMPUTED_VALUE"""),"2516-ENESALCG")</f>
        <v>2516-ENESALCG</v>
      </c>
      <c r="E137" s="28" t="str">
        <f>IFERROR(__xludf.DUMMYFUNCTION("""COMPUTED_VALUE"""),"Carrusel Refugios climáticos")</f>
        <v>Carrusel Refugios climáticos</v>
      </c>
      <c r="F137" s="28"/>
    </row>
    <row r="138">
      <c r="A138" s="28" t="str">
        <f>IFERROR(__xludf.DUMMYFUNCTION("""COMPUTED_VALUE"""),"2256-NOVSALGC")</f>
        <v>2256-NOVSALGC</v>
      </c>
      <c r="B138" s="28" t="str">
        <f>IFERROR(__xludf.DUMMYFUNCTION("""COMPUTED_VALUE"""),"Sistema de Salud Público - Diferenciado x Audiencias")</f>
        <v>Sistema de Salud Público - Diferenciado x Audiencias</v>
      </c>
      <c r="C138" s="29" t="str">
        <f>IFERROR(__xludf.DUMMYFUNCTION("""COMPUTED_VALUE"""),"Pieza")</f>
        <v>Pieza</v>
      </c>
      <c r="D138" s="28" t="str">
        <f>IFERROR(__xludf.DUMMYFUNCTION("""COMPUTED_VALUE"""),"2496-ENEVINGC")</f>
        <v>2496-ENEVINGC</v>
      </c>
      <c r="E13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8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139">
      <c r="A139" s="28" t="str">
        <f>IFERROR(__xludf.DUMMYFUNCTION("""COMPUTED_VALUE"""),"2510-ENEINFGC")</f>
        <v>2510-ENEINFGC</v>
      </c>
      <c r="B139" s="28" t="str">
        <f>IFERROR(__xludf.DUMMYFUNCTION("""COMPUTED_VALUE"""),"Infraestructura I Cambio de sentido calle Reconquista")</f>
        <v>Infraestructura I Cambio de sentido calle Reconquista</v>
      </c>
      <c r="C139" s="29" t="str">
        <f>IFERROR(__xludf.DUMMYFUNCTION("""COMPUTED_VALUE"""),"Pieza")</f>
        <v>Pieza</v>
      </c>
      <c r="D139" s="28" t="str">
        <f>IFERROR(__xludf.DUMMYFUNCTION("""COMPUTED_VALUE"""),"2496-ENEVINGC")</f>
        <v>2496-ENEVINGC</v>
      </c>
      <c r="E13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9" s="28"/>
    </row>
    <row r="140">
      <c r="A140" s="28" t="str">
        <f>IFERROR(__xludf.DUMMYFUNCTION("""COMPUTED_VALUE"""),"2466-ENEFESGC")</f>
        <v>2466-ENEFESGC</v>
      </c>
      <c r="B140" s="28" t="str">
        <f>IFERROR(__xludf.DUMMYFUNCTION("""COMPUTED_VALUE"""),"Verano en la Ciudad  | Parque de la Ciudad")</f>
        <v>Verano en la Ciudad  | Parque de la Ciudad</v>
      </c>
      <c r="C140" s="29" t="str">
        <f>IFERROR(__xludf.DUMMYFUNCTION("""COMPUTED_VALUE"""),"Pieza")</f>
        <v>Pieza</v>
      </c>
      <c r="D140" s="28" t="str">
        <f>IFERROR(__xludf.DUMMYFUNCTION("""COMPUTED_VALUE"""),"2496-ENEVINGC")</f>
        <v>2496-ENEVINGC</v>
      </c>
      <c r="E14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0" s="28"/>
    </row>
    <row r="141">
      <c r="A141" s="28" t="str">
        <f>IFERROR(__xludf.DUMMYFUNCTION("""COMPUTED_VALUE"""),"2476-ENEFESGC")</f>
        <v>2476-ENEFESGC</v>
      </c>
      <c r="B141" s="28" t="str">
        <f>IFERROR(__xludf.DUMMYFUNCTION("""COMPUTED_VALUE"""),"Verano en la Ciudad | Corrientes 24h")</f>
        <v>Verano en la Ciudad | Corrientes 24h</v>
      </c>
      <c r="C141" s="29" t="str">
        <f>IFERROR(__xludf.DUMMYFUNCTION("""COMPUTED_VALUE"""),"Pieza")</f>
        <v>Pieza</v>
      </c>
      <c r="D141" s="28" t="str">
        <f>IFERROR(__xludf.DUMMYFUNCTION("""COMPUTED_VALUE"""),"2508-ENEINFGC")</f>
        <v>2508-ENEINFGC</v>
      </c>
      <c r="E141" s="28" t="str">
        <f>IFERROR(__xludf.DUMMYFUNCTION("""COMPUTED_VALUE"""),"Infraestructura I AU Dellepiane : durante de obra")</f>
        <v>Infraestructura I AU Dellepiane : durante de obra</v>
      </c>
      <c r="F141" s="28"/>
    </row>
    <row r="142">
      <c r="A142" s="28" t="str">
        <f>IFERROR(__xludf.DUMMYFUNCTION("""COMPUTED_VALUE"""),"2033-SEPEPHGC")</f>
        <v>2033-SEPEPHGC</v>
      </c>
      <c r="B142" s="28" t="str">
        <f>IFERROR(__xludf.DUMMYFUNCTION("""COMPUTED_VALUE"""),"M2 PODA")</f>
        <v>M2 PODA</v>
      </c>
      <c r="C142" s="29" t="str">
        <f>IFERROR(__xludf.DUMMYFUNCTION("""COMPUTED_VALUE"""),"Pieza")</f>
        <v>Pieza</v>
      </c>
      <c r="D142" s="28" t="str">
        <f>IFERROR(__xludf.DUMMYFUNCTION("""COMPUTED_VALUE"""),"2508-ENEINFGC")</f>
        <v>2508-ENEINFGC</v>
      </c>
      <c r="E142" s="28" t="str">
        <f>IFERROR(__xludf.DUMMYFUNCTION("""COMPUTED_VALUE"""),"Infraestructura I AU Dellepiane : durante de obra")</f>
        <v>Infraestructura I AU Dellepiane : durante de obra</v>
      </c>
      <c r="F142" s="28"/>
    </row>
    <row r="143">
      <c r="A143" s="28" t="str">
        <f>IFERROR(__xludf.DUMMYFUNCTION("""COMPUTED_VALUE"""),"2033-SEPEPHGC")</f>
        <v>2033-SEPEPHGC</v>
      </c>
      <c r="B143" s="28" t="str">
        <f>IFERROR(__xludf.DUMMYFUNCTION("""COMPUTED_VALUE"""),"M2 PODA")</f>
        <v>M2 PODA</v>
      </c>
      <c r="C143" s="29" t="str">
        <f>IFERROR(__xludf.DUMMYFUNCTION("""COMPUTED_VALUE"""),"Pieza")</f>
        <v>Pieza</v>
      </c>
      <c r="D143" s="28" t="str">
        <f>IFERROR(__xludf.DUMMYFUNCTION("""COMPUTED_VALUE"""),"2467-ENEFESGC")</f>
        <v>2467-ENEFESGC</v>
      </c>
      <c r="E143" s="28" t="str">
        <f>IFERROR(__xludf.DUMMYFUNCTION("""COMPUTED_VALUE"""),"Verano en la Ciudad | Verano Joven BA enero")</f>
        <v>Verano en la Ciudad | Verano Joven BA enero</v>
      </c>
      <c r="F143" s="28"/>
    </row>
    <row r="144">
      <c r="A144" s="28" t="str">
        <f>IFERROR(__xludf.DUMMYFUNCTION("""COMPUTED_VALUE"""),"1942-SEPEPHGC")</f>
        <v>1942-SEPEPHGC</v>
      </c>
      <c r="B144" s="28" t="str">
        <f>IFERROR(__xludf.DUMMYFUNCTION("""COMPUTED_VALUE"""),"DGPLES | MEPHU  | REPARACIÓN DE VEREDAS")</f>
        <v>DGPLES | MEPHU  | REPARACIÓN DE VEREDAS</v>
      </c>
      <c r="C144" s="29" t="str">
        <f>IFERROR(__xludf.DUMMYFUNCTION("""COMPUTED_VALUE"""),"Pieza")</f>
        <v>Pieza</v>
      </c>
      <c r="D144" s="28" t="str">
        <f>IFERROR(__xludf.DUMMYFUNCTION("""COMPUTED_VALUE"""),"2467-ENEFESGC")</f>
        <v>2467-ENEFESGC</v>
      </c>
      <c r="E144" s="28" t="str">
        <f>IFERROR(__xludf.DUMMYFUNCTION("""COMPUTED_VALUE"""),"Verano en la Ciudad | Verano Joven BA enero")</f>
        <v>Verano en la Ciudad | Verano Joven BA enero</v>
      </c>
      <c r="F144" s="28"/>
    </row>
    <row r="145">
      <c r="A145" s="28" t="str">
        <f>IFERROR(__xludf.DUMMYFUNCTION("""COMPUTED_VALUE"""),"2453-ENEPCCVC")</f>
        <v>2453-ENEPCCVC</v>
      </c>
      <c r="B145" s="28" t="str">
        <f>IFERROR(__xludf.DUMMYFUNCTION("""COMPUTED_VALUE"""),"Verano 2026 - CIFA para chicos")</f>
        <v>Verano 2026 - CIFA para chicos</v>
      </c>
      <c r="C145" s="29" t="str">
        <f>IFERROR(__xludf.DUMMYFUNCTION("""COMPUTED_VALUE"""),"Pieza")</f>
        <v>Pieza</v>
      </c>
      <c r="D145" s="28" t="str">
        <f>IFERROR(__xludf.DUMMYFUNCTION("""COMPUTED_VALUE"""),"2467-ENEFESGC")</f>
        <v>2467-ENEFESGC</v>
      </c>
      <c r="E145" s="28" t="str">
        <f>IFERROR(__xludf.DUMMYFUNCTION("""COMPUTED_VALUE"""),"Verano en la Ciudad | Verano Joven BA enero")</f>
        <v>Verano en la Ciudad | Verano Joven BA enero</v>
      </c>
      <c r="F145" s="28"/>
    </row>
    <row r="146">
      <c r="A146" s="28" t="str">
        <f>IFERROR(__xludf.DUMMYFUNCTION("""COMPUTED_VALUE"""),"2501-ENEJDGAG")</f>
        <v>2501-ENEJDGAG</v>
      </c>
      <c r="B146" s="28" t="str">
        <f>IFERROR(__xludf.DUMMYFUNCTION("""COMPUTED_VALUE"""),"RDV JM Flores 30/01")</f>
        <v>RDV JM Flores 30/01</v>
      </c>
      <c r="C146" s="29" t="str">
        <f>IFERROR(__xludf.DUMMYFUNCTION("""COMPUTED_VALUE"""),"Pieza")</f>
        <v>Pieza</v>
      </c>
      <c r="D146" s="28" t="str">
        <f>IFERROR(__xludf.DUMMYFUNCTION("""COMPUTED_VALUE"""),"2467-ENEFESGC")</f>
        <v>2467-ENEFESGC</v>
      </c>
      <c r="E146" s="28" t="str">
        <f>IFERROR(__xludf.DUMMYFUNCTION("""COMPUTED_VALUE"""),"Verano en la Ciudad | Verano Joven BA enero")</f>
        <v>Verano en la Ciudad | Verano Joven BA enero</v>
      </c>
      <c r="F146" s="28"/>
    </row>
    <row r="147">
      <c r="A147" s="28" t="str">
        <f>IFERROR(__xludf.DUMMYFUNCTION("""COMPUTED_VALUE"""),"2502-ENEJDGAG")</f>
        <v>2502-ENEJDGAG</v>
      </c>
      <c r="B147" s="28" t="str">
        <f>IFERROR(__xludf.DUMMYFUNCTION("""COMPUTED_VALUE"""),"CAFE JM Versalles 29/01")</f>
        <v>CAFE JM Versalles 29/01</v>
      </c>
      <c r="C147" s="29" t="str">
        <f>IFERROR(__xludf.DUMMYFUNCTION("""COMPUTED_VALUE"""),"Pieza")</f>
        <v>Pieza</v>
      </c>
      <c r="D147" s="28" t="str">
        <f>IFERROR(__xludf.DUMMYFUNCTION("""COMPUTED_VALUE"""),"2145-OCTVINGC")</f>
        <v>2145-OCTVINGC</v>
      </c>
      <c r="E147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47" s="29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48">
      <c r="A148" s="28" t="str">
        <f>IFERROR(__xludf.DUMMYFUNCTION("""COMPUTED_VALUE"""),"2469-ENEPCCVC")</f>
        <v>2469-ENEPCCVC</v>
      </c>
      <c r="B148" s="28" t="str">
        <f>IFERROR(__xludf.DUMMYFUNCTION("""COMPUTED_VALUE"""),"Reunion de Cocreación Parque Ferroviario Palermo")</f>
        <v>Reunion de Cocreación Parque Ferroviario Palermo</v>
      </c>
      <c r="C148" s="29" t="str">
        <f>IFERROR(__xludf.DUMMYFUNCTION("""COMPUTED_VALUE"""),"Pieza")</f>
        <v>Pieza</v>
      </c>
      <c r="D148" s="28" t="str">
        <f>IFERROR(__xludf.DUMMYFUNCTION("""COMPUTED_VALUE"""),"2518-ENEINFGC")</f>
        <v>2518-ENEINFGC</v>
      </c>
      <c r="E148" s="28" t="str">
        <f>IFERROR(__xludf.DUMMYFUNCTION("""COMPUTED_VALUE"""),"CAMPAÑA GCBA | INFRAESTRUCTURA  | Cierre Cantilo por obras Puente Labruna")</f>
        <v>CAMPAÑA GCBA | INFRAESTRUCTURA  | Cierre Cantilo por obras Puente Labruna</v>
      </c>
      <c r="F148" s="28"/>
    </row>
    <row r="149">
      <c r="A149" s="28" t="str">
        <f>IFERROR(__xludf.DUMMYFUNCTION("""COMPUTED_VALUE"""),"2501-ENEJDGAG")</f>
        <v>2501-ENEJDGAG</v>
      </c>
      <c r="B149" s="28" t="str">
        <f>IFERROR(__xludf.DUMMYFUNCTION("""COMPUTED_VALUE"""),"RDV JM Flores 30/01")</f>
        <v>RDV JM Flores 30/01</v>
      </c>
      <c r="C149" s="29" t="str">
        <f>IFERROR(__xludf.DUMMYFUNCTION("""COMPUTED_VALUE"""),"Pieza")</f>
        <v>Pieza</v>
      </c>
      <c r="D149" s="28" t="str">
        <f>IFERROR(__xludf.DUMMYFUNCTION("""COMPUTED_VALUE"""),"2130-OCTSALGC")</f>
        <v>2130-OCTSALGC</v>
      </c>
      <c r="E149" s="28" t="str">
        <f>IFERROR(__xludf.DUMMYFUNCTION("""COMPUTED_VALUE"""),"Hospital Pirovano: Remodelaciones")</f>
        <v>Hospital Pirovano: Remodelaciones</v>
      </c>
      <c r="F149" s="28"/>
    </row>
    <row r="150">
      <c r="A150" s="28" t="str">
        <f>IFERROR(__xludf.DUMMYFUNCTION("""COMPUTED_VALUE"""),"2508-ENEINFGC")</f>
        <v>2508-ENEINFGC</v>
      </c>
      <c r="B150" s="28" t="str">
        <f>IFERROR(__xludf.DUMMYFUNCTION("""COMPUTED_VALUE"""),"Infraestructura I AU Dellepiane : durante de obra")</f>
        <v>Infraestructura I AU Dellepiane : durante de obra</v>
      </c>
      <c r="C150" s="29" t="str">
        <f>IFERROR(__xludf.DUMMYFUNCTION("""COMPUTED_VALUE"""),"Pieza")</f>
        <v>Pieza</v>
      </c>
      <c r="D150" s="28" t="str">
        <f>IFERROR(__xludf.DUMMYFUNCTION("""COMPUTED_VALUE"""),"2130-OCTSALGC")</f>
        <v>2130-OCTSALGC</v>
      </c>
      <c r="E150" s="28" t="str">
        <f>IFERROR(__xludf.DUMMYFUNCTION("""COMPUTED_VALUE"""),"Hospital Pirovano: Remodelaciones")</f>
        <v>Hospital Pirovano: Remodelaciones</v>
      </c>
      <c r="F150" s="28"/>
    </row>
    <row r="151">
      <c r="A151" s="28" t="str">
        <f>IFERROR(__xludf.DUMMYFUNCTION("""COMPUTED_VALUE"""),"2515-ENEINFGJ")</f>
        <v>2515-ENEINFGJ</v>
      </c>
      <c r="B151" s="28" t="str">
        <f>IFERROR(__xludf.DUMMYFUNCTION("""COMPUTED_VALUE"""),"Infraestructura I Anillo Pampa: Inicio de obra + Cortes")</f>
        <v>Infraestructura I Anillo Pampa: Inicio de obra + Cortes</v>
      </c>
      <c r="C151" s="29" t="str">
        <f>IFERROR(__xludf.DUMMYFUNCTION("""COMPUTED_VALUE"""),"Pieza")</f>
        <v>Pieza</v>
      </c>
      <c r="D151" s="28" t="str">
        <f>IFERROR(__xludf.DUMMYFUNCTION("""COMPUTED_VALUE"""),"2535-ENEEPHVC")</f>
        <v>2535-ENEEPHVC</v>
      </c>
      <c r="E151" s="28" t="str">
        <f>IFERROR(__xludf.DUMMYFUNCTION("""COMPUTED_VALUE"""),"RDV MINISTROS |  Ignacio Baistrocchi 3/2")</f>
        <v>RDV MINISTROS |  Ignacio Baistrocchi 3/2</v>
      </c>
      <c r="F151" s="28"/>
    </row>
    <row r="152">
      <c r="A152" s="28" t="str">
        <f>IFERROR(__xludf.DUMMYFUNCTION("""COMPUTED_VALUE"""),"2486-ENEDHHGC")</f>
        <v>2486-ENEDHHGC</v>
      </c>
      <c r="B152" s="28" t="str">
        <f>IFERROR(__xludf.DUMMYFUNCTION("""COMPUTED_VALUE"""),"MDHYH | Programa Adolescencia")</f>
        <v>MDHYH | Programa Adolescencia</v>
      </c>
      <c r="C152" s="29" t="str">
        <f>IFERROR(__xludf.DUMMYFUNCTION("""COMPUTED_VALUE"""),"Pieza")</f>
        <v>Pieza</v>
      </c>
      <c r="D152" s="28" t="str">
        <f>IFERROR(__xludf.DUMMYFUNCTION("""COMPUTED_VALUE"""),"2530-ENEJDGVC")</f>
        <v>2530-ENEJDGVC</v>
      </c>
      <c r="E152" s="28" t="str">
        <f>IFERROR(__xludf.DUMMYFUNCTION("""COMPUTED_VALUE"""),"RDV MINISTROS | Gabriel Sanchez Zinny 04/02")</f>
        <v>RDV MINISTROS | Gabriel Sanchez Zinny 04/02</v>
      </c>
      <c r="F152" s="28"/>
    </row>
    <row r="153">
      <c r="A153" s="28" t="str">
        <f>IFERROR(__xludf.DUMMYFUNCTION("""COMPUTED_VALUE"""),"2512-ENESALGC")</f>
        <v>2512-ENESALGC</v>
      </c>
      <c r="B153" s="28" t="str">
        <f>IFERROR(__xludf.DUMMYFUNCTION("""COMPUTED_VALUE""")," Envío Deploy GDE 27.01.2026")</f>
        <v> Envío Deploy GDE 27.01.2026</v>
      </c>
      <c r="C153" s="29" t="str">
        <f>IFERROR(__xludf.DUMMYFUNCTION("""COMPUTED_VALUE"""),"Pieza")</f>
        <v>Pieza</v>
      </c>
      <c r="D153" s="28" t="str">
        <f>IFERROR(__xludf.DUMMYFUNCTION("""COMPUTED_VALUE"""),"2511-ENEINFGC")</f>
        <v>2511-ENEINFGC</v>
      </c>
      <c r="E153" s="28" t="str">
        <f>IFERROR(__xludf.DUMMYFUNCTION("""COMPUTED_VALUE"""),"Infraestructura I Cortes por obras TramBus ENERO")</f>
        <v>Infraestructura I Cortes por obras TramBus ENERO</v>
      </c>
      <c r="F153" s="28"/>
    </row>
    <row r="154">
      <c r="A154" s="28" t="str">
        <f>IFERROR(__xludf.DUMMYFUNCTION("""COMPUTED_VALUE"""),"2506-ENEPCCVC")</f>
        <v>2506-ENEPCCVC</v>
      </c>
      <c r="B154" s="28" t="str">
        <f>IFERROR(__xludf.DUMMYFUNCTION("""COMPUTED_VALUE"""),"Verano 2026 - La Gran Aventura del Reciclaje | Febrero")</f>
        <v>Verano 2026 - La Gran Aventura del Reciclaje | Febrero</v>
      </c>
      <c r="C154" s="29" t="str">
        <f>IFERROR(__xludf.DUMMYFUNCTION("""COMPUTED_VALUE"""),"Pieza")</f>
        <v>Pieza</v>
      </c>
      <c r="D154" s="28" t="str">
        <f>IFERROR(__xludf.DUMMYFUNCTION("""COMPUTED_VALUE"""),"2532-ENEJDGAG")</f>
        <v>2532-ENEJDGAG</v>
      </c>
      <c r="E154" s="28" t="str">
        <f>IFERROR(__xludf.DUMMYFUNCTION("""COMPUTED_VALUE"""),"RDV JM | VILLA URQUIZA 2/2")</f>
        <v>RDV JM | VILLA URQUIZA 2/2</v>
      </c>
      <c r="F154" s="28"/>
    </row>
    <row r="155">
      <c r="A155" s="28" t="str">
        <f>IFERROR(__xludf.DUMMYFUNCTION("""COMPUTED_VALUE"""),"1921-SEPAMBGC")</f>
        <v>1921-SEPAMBGC</v>
      </c>
      <c r="B155" s="28" t="str">
        <f>IFERROR(__xludf.DUMMYFUNCTION("""COMPUTED_VALUE"""),"Vacunación Antirrabica Animales")</f>
        <v>Vacunación Antirrabica Animales</v>
      </c>
      <c r="C155" s="29" t="str">
        <f>IFERROR(__xludf.DUMMYFUNCTION("""COMPUTED_VALUE"""),"Pieza")</f>
        <v>Pieza</v>
      </c>
      <c r="D155" s="28" t="str">
        <f>IFERROR(__xludf.DUMMYFUNCTION("""COMPUTED_VALUE"""),"2534-ENEJDGAG")</f>
        <v>2534-ENEJDGAG</v>
      </c>
      <c r="E155" s="28" t="str">
        <f>IFERROR(__xludf.DUMMYFUNCTION("""COMPUTED_VALUE"""),"RDV JM | VILLA RIACHUELO 5/2")</f>
        <v>RDV JM | VILLA RIACHUELO 5/2</v>
      </c>
      <c r="F155" s="28"/>
    </row>
    <row r="156">
      <c r="A156" s="28" t="str">
        <f>IFERROR(__xludf.DUMMYFUNCTION("""COMPUTED_VALUE"""),"2469-ENEPCCVC")</f>
        <v>2469-ENEPCCVC</v>
      </c>
      <c r="B156" s="28" t="str">
        <f>IFERROR(__xludf.DUMMYFUNCTION("""COMPUTED_VALUE"""),"Reunion de Cocreación Parque Ferroviario Palermo")</f>
        <v>Reunion de Cocreación Parque Ferroviario Palermo</v>
      </c>
      <c r="C156" s="29" t="str">
        <f>IFERROR(__xludf.DUMMYFUNCTION("""COMPUTED_VALUE"""),"Pieza")</f>
        <v>Pieza</v>
      </c>
      <c r="D156" s="28" t="str">
        <f>IFERROR(__xludf.DUMMYFUNCTION("""COMPUTED_VALUE"""),"2533-ENEJDGAG")</f>
        <v>2533-ENEJDGAG</v>
      </c>
      <c r="E156" s="28" t="str">
        <f>IFERROR(__xludf.DUMMYFUNCTION("""COMPUTED_VALUE"""),"RDV JM | CONSTITUCIÓN 6/2")</f>
        <v>RDV JM | CONSTITUCIÓN 6/2</v>
      </c>
      <c r="F156" s="28"/>
    </row>
    <row r="157">
      <c r="A157" s="28" t="str">
        <f>IFERROR(__xludf.DUMMYFUNCTION("""COMPUTED_VALUE"""),"2518-ENEINFGC")</f>
        <v>2518-ENEINFGC</v>
      </c>
      <c r="B157" s="28" t="str">
        <f>IFERROR(__xludf.DUMMYFUNCTION("""COMPUTED_VALUE"""),"CAMPAÑA GCBA | INFRAESTRUCTURA  | Cierre Cantilo por obras Puente Labruna")</f>
        <v>CAMPAÑA GCBA | INFRAESTRUCTURA  | Cierre Cantilo por obras Puente Labruna</v>
      </c>
      <c r="C157" s="29" t="str">
        <f>IFERROR(__xludf.DUMMYFUNCTION("""COMPUTED_VALUE"""),"Pieza")</f>
        <v>Pieza</v>
      </c>
      <c r="D157" s="28" t="str">
        <f>IFERROR(__xludf.DUMMYFUNCTION("""COMPUTED_VALUE"""),"2511-ENEINFGC")</f>
        <v>2511-ENEINFGC</v>
      </c>
      <c r="E157" s="28" t="str">
        <f>IFERROR(__xludf.DUMMYFUNCTION("""COMPUTED_VALUE"""),"Infraestructura I Cortes por obras TramBus ENERO")</f>
        <v>Infraestructura I Cortes por obras TramBus ENERO</v>
      </c>
      <c r="F157" s="28"/>
    </row>
    <row r="158">
      <c r="A158" s="28" t="str">
        <f>IFERROR(__xludf.DUMMYFUNCTION("""COMPUTED_VALUE"""),"2515-ENEINFGJ")</f>
        <v>2515-ENEINFGJ</v>
      </c>
      <c r="B158" s="28" t="str">
        <f>IFERROR(__xludf.DUMMYFUNCTION("""COMPUTED_VALUE"""),"Infraestructura I Anillo Pampa: Inicio de obra + Cortes")</f>
        <v>Infraestructura I Anillo Pampa: Inicio de obra + Cortes</v>
      </c>
      <c r="C158" s="29" t="str">
        <f>IFERROR(__xludf.DUMMYFUNCTION("""COMPUTED_VALUE"""),"Pieza")</f>
        <v>Pieza</v>
      </c>
      <c r="D158" s="28" t="str">
        <f>IFERROR(__xludf.DUMMYFUNCTION("""COMPUTED_VALUE"""),"2529-ENESEGGC")</f>
        <v>2529-ENESEGGC</v>
      </c>
      <c r="E158" s="28" t="str">
        <f>IFERROR(__xludf.DUMMYFUNCTION("""COMPUTED_VALUE"""),"CAMPAÑA GCBA | SEGURIDAD | Nuevo equipamiento PDLC")</f>
        <v>CAMPAÑA GCBA | SEGURIDAD | Nuevo equipamiento PDLC</v>
      </c>
      <c r="F158" s="28"/>
    </row>
    <row r="159">
      <c r="A159" s="28" t="str">
        <f>IFERROR(__xludf.DUMMYFUNCTION("""COMPUTED_VALUE"""),"2437-DICFESGC")</f>
        <v>2437-DICFESGC</v>
      </c>
      <c r="B159" s="28" t="str">
        <f>IFERROR(__xludf.DUMMYFUNCTION("""COMPUTED_VALUE"""),"Verano en la Ciudad  | Verano en las plazas")</f>
        <v>Verano en la Ciudad  | Verano en las plazas</v>
      </c>
      <c r="C159" s="29" t="str">
        <f>IFERROR(__xludf.DUMMYFUNCTION("""COMPUTED_VALUE"""),"Pieza")</f>
        <v>Pieza</v>
      </c>
      <c r="D159" s="28" t="str">
        <f>IFERROR(__xludf.DUMMYFUNCTION("""COMPUTED_VALUE"""),"2529-ENESEGGC")</f>
        <v>2529-ENESEGGC</v>
      </c>
      <c r="E159" s="28" t="str">
        <f>IFERROR(__xludf.DUMMYFUNCTION("""COMPUTED_VALUE"""),"CAMPAÑA GCBA | SEGURIDAD | Nuevo equipamiento PDLC")</f>
        <v>CAMPAÑA GCBA | SEGURIDAD | Nuevo equipamiento PDLC</v>
      </c>
      <c r="F159" s="28"/>
    </row>
    <row r="160">
      <c r="A160" s="28" t="str">
        <f>IFERROR(__xludf.DUMMYFUNCTION("""COMPUTED_VALUE"""),"2437-DICFESGC")</f>
        <v>2437-DICFESGC</v>
      </c>
      <c r="B160" s="28" t="str">
        <f>IFERROR(__xludf.DUMMYFUNCTION("""COMPUTED_VALUE"""),"Verano en la Ciudad  | Verano en las plazas")</f>
        <v>Verano en la Ciudad  | Verano en las plazas</v>
      </c>
      <c r="C160" s="29" t="str">
        <f>IFERROR(__xludf.DUMMYFUNCTION("""COMPUTED_VALUE"""),"Pieza")</f>
        <v>Pieza</v>
      </c>
      <c r="D160" s="28" t="str">
        <f>IFERROR(__xludf.DUMMYFUNCTION("""COMPUTED_VALUE"""),"2532-ENEJDGAG")</f>
        <v>2532-ENEJDGAG</v>
      </c>
      <c r="E160" s="28" t="str">
        <f>IFERROR(__xludf.DUMMYFUNCTION("""COMPUTED_VALUE"""),"RDV JM | VILLA URQUIZA 2/2")</f>
        <v>RDV JM | VILLA URQUIZA 2/2</v>
      </c>
      <c r="F160" s="28"/>
    </row>
    <row r="161">
      <c r="A161" s="28" t="str">
        <f>IFERROR(__xludf.DUMMYFUNCTION("""COMPUTED_VALUE"""),"2476-ENEFESGC")</f>
        <v>2476-ENEFESGC</v>
      </c>
      <c r="B161" s="28" t="str">
        <f>IFERROR(__xludf.DUMMYFUNCTION("""COMPUTED_VALUE"""),"Verano en la Ciudad | Corrientes 24h")</f>
        <v>Verano en la Ciudad | Corrientes 24h</v>
      </c>
      <c r="C161" s="29" t="str">
        <f>IFERROR(__xludf.DUMMYFUNCTION("""COMPUTED_VALUE"""),"Pieza")</f>
        <v>Pieza</v>
      </c>
      <c r="D161" s="28" t="str">
        <f>IFERROR(__xludf.DUMMYFUNCTION("""COMPUTED_VALUE"""),"2542-ENESEGVC")</f>
        <v>2542-ENESEGVC</v>
      </c>
      <c r="E161" s="28" t="str">
        <f>IFERROR(__xludf.DUMMYFUNCTION("""COMPUTED_VALUE"""),"RDV MINISTROS | GABINO TAPIA 5/2 COMUNA 2")</f>
        <v>RDV MINISTROS | GABINO TAPIA 5/2 COMUNA 2</v>
      </c>
      <c r="F161" s="28"/>
    </row>
    <row r="162">
      <c r="A162" s="28" t="str">
        <f>IFERROR(__xludf.DUMMYFUNCTION("""COMPUTED_VALUE"""),"2467-ENEFESGC")</f>
        <v>2467-ENEFESGC</v>
      </c>
      <c r="B162" s="28" t="str">
        <f>IFERROR(__xludf.DUMMYFUNCTION("""COMPUTED_VALUE"""),"Verano en la Ciudad | Verano Joven BA enero")</f>
        <v>Verano en la Ciudad | Verano Joven BA enero</v>
      </c>
      <c r="C162" s="29" t="str">
        <f>IFERROR(__xludf.DUMMYFUNCTION("""COMPUTED_VALUE"""),"Pieza")</f>
        <v>Pieza</v>
      </c>
      <c r="D162" s="28" t="str">
        <f>IFERROR(__xludf.DUMMYFUNCTION("""COMPUTED_VALUE"""),"2538-ENEINFGC")</f>
        <v>2538-ENEINFGC</v>
      </c>
      <c r="E162" s="28" t="str">
        <f>IFERROR(__xludf.DUMMYFUNCTION("""COMPUTED_VALUE"""),"Infraestructura I Corte en Huracán por evento musical MY CHEMICAL ROMANCE")</f>
        <v>Infraestructura I Corte en Huracán por evento musical MY CHEMICAL ROMANCE</v>
      </c>
      <c r="F162" s="28"/>
    </row>
    <row r="163">
      <c r="A163" s="28" t="str">
        <f>IFERROR(__xludf.DUMMYFUNCTION("""COMPUTED_VALUE"""),"2505-ENEPCCVC")</f>
        <v>2505-ENEPCCVC</v>
      </c>
      <c r="B163" s="28" t="str">
        <f>IFERROR(__xludf.DUMMYFUNCTION("""COMPUTED_VALUE"""),"Verano 2026 - Misión Bomberos: Un Día en la Estación FEBRERO")</f>
        <v>Verano 2026 - Misión Bomberos: Un Día en la Estación FEBRERO</v>
      </c>
      <c r="C163" s="29" t="str">
        <f>IFERROR(__xludf.DUMMYFUNCTION("""COMPUTED_VALUE"""),"Pieza")</f>
        <v>Pieza</v>
      </c>
      <c r="D163" s="28" t="str">
        <f>IFERROR(__xludf.DUMMYFUNCTION("""COMPUTED_VALUE"""),"2511-ENEINFGC")</f>
        <v>2511-ENEINFGC</v>
      </c>
      <c r="E163" s="28" t="str">
        <f>IFERROR(__xludf.DUMMYFUNCTION("""COMPUTED_VALUE"""),"Infraestructura I Cortes por obras TramBus ENERO")</f>
        <v>Infraestructura I Cortes por obras TramBus ENERO</v>
      </c>
      <c r="F163" s="28"/>
    </row>
    <row r="164">
      <c r="A164" s="28" t="str">
        <f>IFERROR(__xludf.DUMMYFUNCTION("""COMPUTED_VALUE"""),"2507-ENEPCCVC")</f>
        <v>2507-ENEPCCVC</v>
      </c>
      <c r="B164" s="28" t="str">
        <f>IFERROR(__xludf.DUMMYFUNCTION("""COMPUTED_VALUE"""),"Verano 2026 - Expedición Botánica - 2")</f>
        <v>Verano 2026 - Expedición Botánica - 2</v>
      </c>
      <c r="C164" s="29" t="str">
        <f>IFERROR(__xludf.DUMMYFUNCTION("""COMPUTED_VALUE"""),"Pieza")</f>
        <v>Pieza</v>
      </c>
      <c r="D164" s="28" t="str">
        <f>IFERROR(__xludf.DUMMYFUNCTION("""COMPUTED_VALUE"""),"2511-ENEINFGC")</f>
        <v>2511-ENEINFGC</v>
      </c>
      <c r="E164" s="28" t="str">
        <f>IFERROR(__xludf.DUMMYFUNCTION("""COMPUTED_VALUE"""),"Infraestructura I Cortes por obras TramBus ENERO")</f>
        <v>Infraestructura I Cortes por obras TramBus ENERO</v>
      </c>
      <c r="F164" s="28"/>
    </row>
    <row r="165">
      <c r="A165" s="28" t="str">
        <f>IFERROR(__xludf.DUMMYFUNCTION("""COMPUTED_VALUE"""),"2487-ENEVINGC")</f>
        <v>2487-ENEVINGC</v>
      </c>
      <c r="B165" s="28" t="str">
        <f>IFERROR(__xludf.DUMMYFUNCTION("""COMPUTED_VALUE"""),"CAMPAÑA GCBA | VINCULO CIUDADANO | Mas servicios en tu barrio 2026: Parque Chacabuco 02/02")</f>
        <v>CAMPAÑA GCBA | VINCULO CIUDADANO | Mas servicios en tu barrio 2026: Parque Chacabuco 02/02</v>
      </c>
      <c r="C165" s="29" t="str">
        <f>IFERROR(__xludf.DUMMYFUNCTION("""COMPUTED_VALUE"""),"Pieza")</f>
        <v>Pieza</v>
      </c>
      <c r="D165" s="28" t="str">
        <f>IFERROR(__xludf.DUMMYFUNCTION("""COMPUTED_VALUE"""),"2464-ENEINFGC")</f>
        <v>2464-ENEINFGC</v>
      </c>
      <c r="E165" s="28" t="str">
        <f>IFERROR(__xludf.DUMMYFUNCTION("""COMPUTED_VALUE"""),"CAMPAÑA GCBA | INFRAESTRUCTURA | PBN García Lorca: durante de obra")</f>
        <v>CAMPAÑA GCBA | INFRAESTRUCTURA | PBN García Lorca: durante de obra</v>
      </c>
      <c r="F165" s="29" t="str">
        <f>IFERROR(__xludf.DUMMYFUNCTION("""COMPUTED_VALUE"""),"https://www.facebook.com/GCBA/posts/pfbid036pqFXR7zAF8PvFnxngTEwxPE9PqKmWq4AHHELyLosNtsxKY2jxKJRGQJxGk3ecSbl")</f>
        <v>https://www.facebook.com/GCBA/posts/pfbid036pqFXR7zAF8PvFnxngTEwxPE9PqKmWq4AHHELyLosNtsxKY2jxKJRGQJxGk3ecSbl</v>
      </c>
    </row>
    <row r="166">
      <c r="A166" s="28" t="str">
        <f>IFERROR(__xludf.DUMMYFUNCTION("""COMPUTED_VALUE"""),"2511-ENEINFGC")</f>
        <v>2511-ENEINFGC</v>
      </c>
      <c r="B166" s="28" t="str">
        <f>IFERROR(__xludf.DUMMYFUNCTION("""COMPUTED_VALUE"""),"Infraestructura I Cortes por obras TramBus ENERO")</f>
        <v>Infraestructura I Cortes por obras TramBus ENERO</v>
      </c>
      <c r="C166" s="29" t="str">
        <f>IFERROR(__xludf.DUMMYFUNCTION("""COMPUTED_VALUE"""),"Pieza")</f>
        <v>Pieza</v>
      </c>
      <c r="D166" s="28" t="str">
        <f>IFERROR(__xludf.DUMMYFUNCTION("""COMPUTED_VALUE"""),"2510-ENEINFGC")</f>
        <v>2510-ENEINFGC</v>
      </c>
      <c r="E166" s="28" t="str">
        <f>IFERROR(__xludf.DUMMYFUNCTION("""COMPUTED_VALUE"""),"Infraestructura I Cambio de sentido calle Reconquista")</f>
        <v>Infraestructura I Cambio de sentido calle Reconquista</v>
      </c>
      <c r="F166" s="28"/>
    </row>
    <row r="167">
      <c r="A167" s="28" t="str">
        <f>IFERROR(__xludf.DUMMYFUNCTION("""COMPUTED_VALUE"""),"2533-ENEJDGAG")</f>
        <v>2533-ENEJDGAG</v>
      </c>
      <c r="B167" s="28" t="str">
        <f>IFERROR(__xludf.DUMMYFUNCTION("""COMPUTED_VALUE"""),"RDV JM | CONSTITUCIÓN 6/2")</f>
        <v>RDV JM | CONSTITUCIÓN 6/2</v>
      </c>
      <c r="C167" s="29" t="str">
        <f>IFERROR(__xludf.DUMMYFUNCTION("""COMPUTED_VALUE"""),"Pieza")</f>
        <v>Pieza</v>
      </c>
      <c r="D167" s="28" t="str">
        <f>IFERROR(__xludf.DUMMYFUNCTION("""COMPUTED_VALUE"""),"2516-ENESALCG")</f>
        <v>2516-ENESALCG</v>
      </c>
      <c r="E167" s="28" t="str">
        <f>IFERROR(__xludf.DUMMYFUNCTION("""COMPUTED_VALUE"""),"Carrusel Refugios climáticos")</f>
        <v>Carrusel Refugios climáticos</v>
      </c>
      <c r="F167" s="28"/>
    </row>
    <row r="168">
      <c r="A168" s="28" t="str">
        <f>IFERROR(__xludf.DUMMYFUNCTION("""COMPUTED_VALUE"""),"2437-DICFESGC")</f>
        <v>2437-DICFESGC</v>
      </c>
      <c r="B168" s="28" t="str">
        <f>IFERROR(__xludf.DUMMYFUNCTION("""COMPUTED_VALUE"""),"Verano en la Ciudad  | Verano en las plazas")</f>
        <v>Verano en la Ciudad  | Verano en las plazas</v>
      </c>
      <c r="C168" s="29" t="str">
        <f>IFERROR(__xludf.DUMMYFUNCTION("""COMPUTED_VALUE"""),"Pieza")</f>
        <v>Pieza</v>
      </c>
      <c r="D168" s="28" t="str">
        <f>IFERROR(__xludf.DUMMYFUNCTION("""COMPUTED_VALUE"""),"2130-OCTSALGC")</f>
        <v>2130-OCTSALGC</v>
      </c>
      <c r="E168" s="28" t="str">
        <f>IFERROR(__xludf.DUMMYFUNCTION("""COMPUTED_VALUE"""),"Hospital Pirovano: Remodelaciones")</f>
        <v>Hospital Pirovano: Remodelaciones</v>
      </c>
      <c r="F168" s="28"/>
    </row>
    <row r="169">
      <c r="A169" s="28" t="str">
        <f>IFERROR(__xludf.DUMMYFUNCTION("""COMPUTED_VALUE"""),"2526-ENESEGGC")</f>
        <v>2526-ENESEGGC</v>
      </c>
      <c r="B169" s="28" t="str">
        <f>IFERROR(__xludf.DUMMYFUNCTION("""COMPUTED_VALUE"""),"CAMPAÑA GCBA | SEGURIDAD | Desalojo en San Nicolás")</f>
        <v>CAMPAÑA GCBA | SEGURIDAD | Desalojo en San Nicolás</v>
      </c>
      <c r="C169" s="29" t="str">
        <f>IFERROR(__xludf.DUMMYFUNCTION("""COMPUTED_VALUE"""),"Pieza")</f>
        <v>Pieza</v>
      </c>
      <c r="D169" s="28" t="str">
        <f>IFERROR(__xludf.DUMMYFUNCTION("""COMPUTED_VALUE"""),"2130-OCTSALGC")</f>
        <v>2130-OCTSALGC</v>
      </c>
      <c r="E169" s="28" t="str">
        <f>IFERROR(__xludf.DUMMYFUNCTION("""COMPUTED_VALUE"""),"Hospital Pirovano: Remodelaciones")</f>
        <v>Hospital Pirovano: Remodelaciones</v>
      </c>
      <c r="F169" s="28"/>
    </row>
    <row r="170">
      <c r="A170" s="28" t="str">
        <f>IFERROR(__xludf.DUMMYFUNCTION("""COMPUTED_VALUE"""),"2535-ENEEPHVC")</f>
        <v>2535-ENEEPHVC</v>
      </c>
      <c r="B170" s="28" t="str">
        <f>IFERROR(__xludf.DUMMYFUNCTION("""COMPUTED_VALUE"""),"RDV MINISTROS |  Ignacio Baistrocchi 3/2")</f>
        <v>RDV MINISTROS |  Ignacio Baistrocchi 3/2</v>
      </c>
      <c r="C170" s="29" t="str">
        <f>IFERROR(__xludf.DUMMYFUNCTION("""COMPUTED_VALUE"""),"Pieza")</f>
        <v>Pieza</v>
      </c>
      <c r="D170" s="28" t="str">
        <f>IFERROR(__xludf.DUMMYFUNCTION("""COMPUTED_VALUE"""),"2466-ENEFESGC")</f>
        <v>2466-ENEFESGC</v>
      </c>
      <c r="E170" s="28" t="str">
        <f>IFERROR(__xludf.DUMMYFUNCTION("""COMPUTED_VALUE"""),"Verano en la Ciudad  | Parque de la Ciudad")</f>
        <v>Verano en la Ciudad  | Parque de la Ciudad</v>
      </c>
      <c r="F170" s="29" t="str">
        <f>IFERROR(__xludf.DUMMYFUNCTION("""COMPUTED_VALUE"""),"https://www.facebook.com/reel/1985348935347886")</f>
        <v>https://www.facebook.com/reel/1985348935347886</v>
      </c>
    </row>
    <row r="171">
      <c r="A171" s="28" t="str">
        <f>IFERROR(__xludf.DUMMYFUNCTION("""COMPUTED_VALUE"""),"2130-OCTSALGC")</f>
        <v>2130-OCTSALGC</v>
      </c>
      <c r="B171" s="28" t="str">
        <f>IFERROR(__xludf.DUMMYFUNCTION("""COMPUTED_VALUE"""),"Hospital Pirovano: Remodelaciones")</f>
        <v>Hospital Pirovano: Remodelaciones</v>
      </c>
      <c r="C171" s="29" t="str">
        <f>IFERROR(__xludf.DUMMYFUNCTION("""COMPUTED_VALUE"""),"Pieza")</f>
        <v>Pieza</v>
      </c>
      <c r="D171" s="28" t="str">
        <f>IFERROR(__xludf.DUMMYFUNCTION("""COMPUTED_VALUE"""),"2466-ENEFESGC")</f>
        <v>2466-ENEFESGC</v>
      </c>
      <c r="E171" s="28" t="str">
        <f>IFERROR(__xludf.DUMMYFUNCTION("""COMPUTED_VALUE"""),"Verano en la Ciudad  | Parque de la Ciudad")</f>
        <v>Verano en la Ciudad  | Parque de la Ciudad</v>
      </c>
      <c r="F171" s="29" t="str">
        <f>IFERROR(__xludf.DUMMYFUNCTION("""COMPUTED_VALUE"""),"https://www.facebook.com/reel/1985348935347886")</f>
        <v>https://www.facebook.com/reel/1985348935347886</v>
      </c>
    </row>
    <row r="172">
      <c r="A172" s="28" t="str">
        <f>IFERROR(__xludf.DUMMYFUNCTION("""COMPUTED_VALUE"""),"2145-OCTVINGC")</f>
        <v>2145-OCTVINGC</v>
      </c>
      <c r="B172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72" s="29" t="str">
        <f>IFERROR(__xludf.DUMMYFUNCTION("""COMPUTED_VALUE"""),"Pieza")</f>
        <v>Pieza</v>
      </c>
      <c r="D172" s="28" t="str">
        <f>IFERROR(__xludf.DUMMYFUNCTION("""COMPUTED_VALUE"""),"2476-ENEFESGC")</f>
        <v>2476-ENEFESGC</v>
      </c>
      <c r="E172" s="28" t="str">
        <f>IFERROR(__xludf.DUMMYFUNCTION("""COMPUTED_VALUE"""),"Verano en la Ciudad | Corrientes 24h")</f>
        <v>Verano en la Ciudad | Corrientes 24h</v>
      </c>
      <c r="F172" s="29" t="str">
        <f>IFERROR(__xludf.DUMMYFUNCTION("""COMPUTED_VALUE"""),"https://www.facebook.com/reel/1376298900359413")</f>
        <v>https://www.facebook.com/reel/1376298900359413</v>
      </c>
    </row>
    <row r="173">
      <c r="A173" s="28" t="str">
        <f>IFERROR(__xludf.DUMMYFUNCTION("""COMPUTED_VALUE"""),"2524-ENEPCCVC")</f>
        <v>2524-ENEPCCVC</v>
      </c>
      <c r="B173" s="28" t="str">
        <f>IFERROR(__xludf.DUMMYFUNCTION("""COMPUTED_VALUE"""),"Verano 2026 - Dejá que vuele tu imaginación")</f>
        <v>Verano 2026 - Dejá que vuele tu imaginación</v>
      </c>
      <c r="C173" s="29" t="str">
        <f>IFERROR(__xludf.DUMMYFUNCTION("""COMPUTED_VALUE"""),"Pieza")</f>
        <v>Pieza</v>
      </c>
      <c r="D173" s="28" t="str">
        <f>IFERROR(__xludf.DUMMYFUNCTION("""COMPUTED_VALUE"""),"2476-ENEFESGC")</f>
        <v>2476-ENEFESGC</v>
      </c>
      <c r="E173" s="28" t="str">
        <f>IFERROR(__xludf.DUMMYFUNCTION("""COMPUTED_VALUE"""),"Verano en la Ciudad | Corrientes 24h")</f>
        <v>Verano en la Ciudad | Corrientes 24h</v>
      </c>
      <c r="F173" s="29" t="str">
        <f>IFERROR(__xludf.DUMMYFUNCTION("""COMPUTED_VALUE"""),"https://www.facebook.com/reel/1376298900359413")</f>
        <v>https://www.facebook.com/reel/1376298900359413</v>
      </c>
    </row>
    <row r="174">
      <c r="A174" s="28" t="str">
        <f>IFERROR(__xludf.DUMMYFUNCTION("""COMPUTED_VALUE"""),"2488-ENEVINGC")</f>
        <v>2488-ENEVINGC</v>
      </c>
      <c r="B174" s="28" t="str">
        <f>IFERROR(__xludf.DUMMYFUNCTION("""COMPUTED_VALUE"""),"CAMPAÑA GCBA | VINCULO CIUDADANO | Mas servicios en tu barrio 2026: Caballito 04/02")</f>
        <v>CAMPAÑA GCBA | VINCULO CIUDADANO | Mas servicios en tu barrio 2026: Caballito 04/02</v>
      </c>
      <c r="C174" s="29" t="str">
        <f>IFERROR(__xludf.DUMMYFUNCTION("""COMPUTED_VALUE"""),"Pieza")</f>
        <v>Pieza</v>
      </c>
      <c r="D174" s="28" t="str">
        <f>IFERROR(__xludf.DUMMYFUNCTION("""COMPUTED_VALUE"""),"2424-DICFESGC")</f>
        <v>2424-DICFESGC</v>
      </c>
      <c r="E174" s="28" t="str">
        <f>IFERROR(__xludf.DUMMYFUNCTION("""COMPUTED_VALUE"""),"Verano en Buenos Aires 2026 | Generico")</f>
        <v>Verano en Buenos Aires 2026 | Generico</v>
      </c>
      <c r="F174" s="29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175">
      <c r="A175" s="28" t="str">
        <f>IFERROR(__xludf.DUMMYFUNCTION("""COMPUTED_VALUE"""),"2754-MARSEGVC")</f>
        <v>2754-MARSEGVC</v>
      </c>
      <c r="B175" s="28" t="str">
        <f>IFERROR(__xludf.DUMMYFUNCTION("""COMPUTED_VALUE"""),"RDV Ministros| Ruth Landerreche 26/3 Comuna 13")</f>
        <v>RDV Ministros| Ruth Landerreche 26/3 Comuna 13</v>
      </c>
      <c r="C175" s="29" t="str">
        <f>IFERROR(__xludf.DUMMYFUNCTION("""COMPUTED_VALUE"""),"Pieza")</f>
        <v>Pieza</v>
      </c>
      <c r="D175" s="28" t="str">
        <f>IFERROR(__xludf.DUMMYFUNCTION("""COMPUTED_VALUE"""),"2437-DICFESGC")</f>
        <v>2437-DICFESGC</v>
      </c>
      <c r="E175" s="28" t="str">
        <f>IFERROR(__xludf.DUMMYFUNCTION("""COMPUTED_VALUE"""),"Verano en la Ciudad  | Verano en las plazas")</f>
        <v>Verano en la Ciudad  | Verano en las plazas</v>
      </c>
      <c r="F175" s="29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76">
      <c r="A176" s="28" t="str">
        <f>IFERROR(__xludf.DUMMYFUNCTION("""COMPUTED_VALUE"""),"2530-ENEJDGVC")</f>
        <v>2530-ENEJDGVC</v>
      </c>
      <c r="B176" s="28" t="str">
        <f>IFERROR(__xludf.DUMMYFUNCTION("""COMPUTED_VALUE"""),"RDV MINISTROS | Gabriel Sanchez Zinny 04/02")</f>
        <v>RDV MINISTROS | Gabriel Sanchez Zinny 04/02</v>
      </c>
      <c r="C176" s="29" t="str">
        <f>IFERROR(__xludf.DUMMYFUNCTION("""COMPUTED_VALUE"""),"Pieza")</f>
        <v>Pieza</v>
      </c>
      <c r="D176" s="28" t="str">
        <f>IFERROR(__xludf.DUMMYFUNCTION("""COMPUTED_VALUE"""),"2437-DICFESGC")</f>
        <v>2437-DICFESGC</v>
      </c>
      <c r="E176" s="28" t="str">
        <f>IFERROR(__xludf.DUMMYFUNCTION("""COMPUTED_VALUE"""),"Verano en la Ciudad  | Verano en las plazas")</f>
        <v>Verano en la Ciudad  | Verano en las plazas</v>
      </c>
      <c r="F176" s="29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77">
      <c r="A177" s="28" t="str">
        <f>IFERROR(__xludf.DUMMYFUNCTION("""COMPUTED_VALUE"""),"2511-ENEINFGC")</f>
        <v>2511-ENEINFGC</v>
      </c>
      <c r="B177" s="28" t="str">
        <f>IFERROR(__xludf.DUMMYFUNCTION("""COMPUTED_VALUE"""),"Infraestructura I Cortes por obras TramBus ENERO")</f>
        <v>Infraestructura I Cortes por obras TramBus ENERO</v>
      </c>
      <c r="C177" s="29" t="str">
        <f>IFERROR(__xludf.DUMMYFUNCTION("""COMPUTED_VALUE"""),"Pieza")</f>
        <v>Pieza</v>
      </c>
      <c r="D177" s="28" t="str">
        <f>IFERROR(__xludf.DUMMYFUNCTION("""COMPUTED_VALUE"""),"2437-DICFESGC")</f>
        <v>2437-DICFESGC</v>
      </c>
      <c r="E177" s="28" t="str">
        <f>IFERROR(__xludf.DUMMYFUNCTION("""COMPUTED_VALUE"""),"Verano en la Ciudad  | Verano en las plazas")</f>
        <v>Verano en la Ciudad  | Verano en las plazas</v>
      </c>
      <c r="F177" s="29" t="str">
        <f>IFERROR(__xludf.DUMMYFUNCTION("""COMPUTED_VALUE"""),"https://www.facebook.com/GCBA/posts/pfbid032UmvaRZ3eAJNRC4zHziYpyXVaPbbTucP4LKQNEh1BSxa3mTrzNz6mZGgDzRqYkTel")</f>
        <v>https://www.facebook.com/GCBA/posts/pfbid032UmvaRZ3eAJNRC4zHziYpyXVaPbbTucP4LKQNEh1BSxa3mTrzNz6mZGgDzRqYkTel</v>
      </c>
    </row>
    <row r="178">
      <c r="A178" s="28" t="str">
        <f>IFERROR(__xludf.DUMMYFUNCTION("""COMPUTED_VALUE"""),"2517-ENEINFGC")</f>
        <v>2517-ENEINFGC</v>
      </c>
      <c r="B178" s="28" t="str">
        <f>IFERROR(__xludf.DUMMYFUNCTION("""COMPUTED_VALUE""")," Infraestructura I PAN: inicio de obra")</f>
        <v> Infraestructura I PAN: inicio de obra</v>
      </c>
      <c r="C178" s="29" t="str">
        <f>IFERROR(__xludf.DUMMYFUNCTION("""COMPUTED_VALUE"""),"Pieza")</f>
        <v>Pieza</v>
      </c>
      <c r="D178" s="28" t="str">
        <f>IFERROR(__xludf.DUMMYFUNCTION("""COMPUTED_VALUE"""),"2241-NOVSALGC")</f>
        <v>2241-NOVSALGC</v>
      </c>
      <c r="E178" s="28" t="str">
        <f>IFERROR(__xludf.DUMMYFUNCTION("""COMPUTED_VALUE"""),"Cuidados del Calor 2025 - Alertas Meteorológicas")</f>
        <v>Cuidados del Calor 2025 - Alertas Meteorológicas</v>
      </c>
      <c r="F178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79">
      <c r="A179" s="28" t="str">
        <f>IFERROR(__xludf.DUMMYFUNCTION("""COMPUTED_VALUE"""),"2467-ENEFESGC")</f>
        <v>2467-ENEFESGC</v>
      </c>
      <c r="B179" s="28" t="str">
        <f>IFERROR(__xludf.DUMMYFUNCTION("""COMPUTED_VALUE"""),"Verano en la Ciudad | Verano Joven BA enero")</f>
        <v>Verano en la Ciudad | Verano Joven BA enero</v>
      </c>
      <c r="C179" s="29" t="str">
        <f>IFERROR(__xludf.DUMMYFUNCTION("""COMPUTED_VALUE"""),"Pieza")</f>
        <v>Pieza</v>
      </c>
      <c r="D179" s="28" t="str">
        <f>IFERROR(__xludf.DUMMYFUNCTION("""COMPUTED_VALUE"""),"2241-NOVSALGC")</f>
        <v>2241-NOVSALGC</v>
      </c>
      <c r="E179" s="28" t="str">
        <f>IFERROR(__xludf.DUMMYFUNCTION("""COMPUTED_VALUE"""),"Cuidados del Calor 2025 - Alertas Meteorológicas")</f>
        <v>Cuidados del Calor 2025 - Alertas Meteorológicas</v>
      </c>
      <c r="F179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0">
      <c r="A180" s="28" t="str">
        <f>IFERROR(__xludf.DUMMYFUNCTION("""COMPUTED_VALUE"""),"2529-ENESEGGC")</f>
        <v>2529-ENESEGGC</v>
      </c>
      <c r="B180" s="28" t="str">
        <f>IFERROR(__xludf.DUMMYFUNCTION("""COMPUTED_VALUE"""),"CAMPAÑA GCBA | SEGURIDAD | Nuevo equipamiento PDLC")</f>
        <v>CAMPAÑA GCBA | SEGURIDAD | Nuevo equipamiento PDLC</v>
      </c>
      <c r="C180" s="29" t="str">
        <f>IFERROR(__xludf.DUMMYFUNCTION("""COMPUTED_VALUE"""),"Pieza")</f>
        <v>Pieza</v>
      </c>
      <c r="D180" s="28" t="str">
        <f>IFERROR(__xludf.DUMMYFUNCTION("""COMPUTED_VALUE"""),"2241-NOVSALGC")</f>
        <v>2241-NOVSALGC</v>
      </c>
      <c r="E180" s="28" t="str">
        <f>IFERROR(__xludf.DUMMYFUNCTION("""COMPUTED_VALUE"""),"Cuidados del Calor 2025 - Alertas Meteorológicas")</f>
        <v>Cuidados del Calor 2025 - Alertas Meteorológicas</v>
      </c>
      <c r="F180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1">
      <c r="A181" s="28" t="str">
        <f>IFERROR(__xludf.DUMMYFUNCTION("""COMPUTED_VALUE"""),"2532-ENEJDGAG")</f>
        <v>2532-ENEJDGAG</v>
      </c>
      <c r="B181" s="28" t="str">
        <f>IFERROR(__xludf.DUMMYFUNCTION("""COMPUTED_VALUE"""),"RDV JM | VILLA URQUIZA 2/2")</f>
        <v>RDV JM | VILLA URQUIZA 2/2</v>
      </c>
      <c r="C181" s="29" t="str">
        <f>IFERROR(__xludf.DUMMYFUNCTION("""COMPUTED_VALUE"""),"Pieza")</f>
        <v>Pieza</v>
      </c>
      <c r="D181" s="28" t="str">
        <f>IFERROR(__xludf.DUMMYFUNCTION("""COMPUTED_VALUE"""),"2239-NOVSALGC")</f>
        <v>2239-NOVSALGC</v>
      </c>
      <c r="E181" s="28" t="str">
        <f>IFERROR(__xludf.DUMMYFUNCTION("""COMPUTED_VALUE"""),"Cuidados del Calor 2025 - Prevención")</f>
        <v>Cuidados del Calor 2025 - Prevención</v>
      </c>
      <c r="F181" s="29" t="str">
        <f>IFERROR(__xludf.DUMMYFUNCTION("""COMPUTED_VALUE"""),"https://www.facebook.com/GCBA/posts/pfbid02fZ6eoJSg8zqDVE3RogP3nnn5hqo9sxTPxRzzs7HgyWNUmM6XZmtSLLNohgBDJZ2xl")</f>
        <v>https://www.facebook.com/GCBA/posts/pfbid02fZ6eoJSg8zqDVE3RogP3nnn5hqo9sxTPxRzzs7HgyWNUmM6XZmtSLLNohgBDJZ2xl</v>
      </c>
    </row>
    <row r="182">
      <c r="A182" s="28" t="str">
        <f>IFERROR(__xludf.DUMMYFUNCTION("""COMPUTED_VALUE"""),"1895-SEPEPHGC")</f>
        <v>1895-SEPEPHGC</v>
      </c>
      <c r="B182" s="28" t="str">
        <f>IFERROR(__xludf.DUMMYFUNCTION("""COMPUTED_VALUE"""),"PIEZAS M2 | MEPHU | REPAVIMENTACIÓN")</f>
        <v>PIEZAS M2 | MEPHU | REPAVIMENTACIÓN</v>
      </c>
      <c r="C182" s="29" t="str">
        <f>IFERROR(__xludf.DUMMYFUNCTION("""COMPUTED_VALUE"""),"Pieza")</f>
        <v>Pieza</v>
      </c>
      <c r="D182" s="28" t="str">
        <f>IFERROR(__xludf.DUMMYFUNCTION("""COMPUTED_VALUE"""),"2239-NOVSALGC")</f>
        <v>2239-NOVSALGC</v>
      </c>
      <c r="E182" s="28" t="str">
        <f>IFERROR(__xludf.DUMMYFUNCTION("""COMPUTED_VALUE"""),"Cuidados del Calor 2025 - Prevención")</f>
        <v>Cuidados del Calor 2025 - Prevención</v>
      </c>
      <c r="F182" s="29" t="str">
        <f>IFERROR(__xludf.DUMMYFUNCTION("""COMPUTED_VALUE"""),"https://www.facebook.com/GCBA/posts/pfbid02mPYtZ1ifJgtqP1BErK7diVBSct6DxqP8sErjSBZhctMWB5jhJSGeDEk39DRDEYUml")</f>
        <v>https://www.facebook.com/GCBA/posts/pfbid02mPYtZ1ifJgtqP1BErK7diVBSct6DxqP8sErjSBZhctMWB5jhJSGeDEk39DRDEYUml</v>
      </c>
    </row>
    <row r="183">
      <c r="A183" s="28" t="str">
        <f>IFERROR(__xludf.DUMMYFUNCTION("""COMPUTED_VALUE"""),"1943-SEPEPHGC")</f>
        <v>1943-SEPEPHGC</v>
      </c>
      <c r="B183" s="28" t="str">
        <f>IFERROR(__xludf.DUMMYFUNCTION("""COMPUTED_VALUE"""),"DGPLES | MEPHU  | READOQUINADO")</f>
        <v>DGPLES | MEPHU  | READOQUINADO</v>
      </c>
      <c r="C183" s="29" t="str">
        <f>IFERROR(__xludf.DUMMYFUNCTION("""COMPUTED_VALUE"""),"Pieza")</f>
        <v>Pieza</v>
      </c>
      <c r="D183" s="28" t="str">
        <f>IFERROR(__xludf.DUMMYFUNCTION("""COMPUTED_VALUE"""),"2239-NOVSALGC")</f>
        <v>2239-NOVSALGC</v>
      </c>
      <c r="E183" s="28" t="str">
        <f>IFERROR(__xludf.DUMMYFUNCTION("""COMPUTED_VALUE"""),"Cuidados del Calor 2025 - Prevención")</f>
        <v>Cuidados del Calor 2025 - Prevención</v>
      </c>
      <c r="F183" s="29" t="str">
        <f>IFERROR(__xludf.DUMMYFUNCTION("""COMPUTED_VALUE"""),"https://www.facebook.com/GCBA/posts/pfbid0Tvr1qfKc8DSpGYGQGNvXdzoG8ienpmfRqsKhH4Hu2KxGwPZpzT5Gi67RYJqC4YQql")</f>
        <v>https://www.facebook.com/GCBA/posts/pfbid0Tvr1qfKc8DSpGYGQGNvXdzoG8ienpmfRqsKhH4Hu2KxGwPZpzT5Gi67RYJqC4YQql</v>
      </c>
    </row>
    <row r="184">
      <c r="A184" s="28" t="str">
        <f>IFERROR(__xludf.DUMMYFUNCTION("""COMPUTED_VALUE"""),"1896-SEPEPHGC")</f>
        <v>1896-SEPEPHGC</v>
      </c>
      <c r="B184" s="28" t="str">
        <f>IFERROR(__xludf.DUMMYFUNCTION("""COMPUTED_VALUE"""),"PIEZAS M2 | MEPHU | LIMPIEZA INTENSIVA")</f>
        <v>PIEZAS M2 | MEPHU | LIMPIEZA INTENSIVA</v>
      </c>
      <c r="C184" s="29" t="str">
        <f>IFERROR(__xludf.DUMMYFUNCTION("""COMPUTED_VALUE"""),"Pieza")</f>
        <v>Pieza</v>
      </c>
      <c r="D184" s="28" t="str">
        <f>IFERROR(__xludf.DUMMYFUNCTION("""COMPUTED_VALUE"""),"2240-NOVSALGC")</f>
        <v>2240-NOVSALGC</v>
      </c>
      <c r="E184" s="28" t="str">
        <f>IFERROR(__xludf.DUMMYFUNCTION("""COMPUTED_VALUE"""),"Cuidados del Calor 2025 - Síntomas")</f>
        <v>Cuidados del Calor 2025 - Síntomas</v>
      </c>
      <c r="F184" s="29" t="str">
        <f>IFERROR(__xludf.DUMMYFUNCTION("""COMPUTED_VALUE"""),"https://www.facebook.com/GCBA/posts/pfbid02XEqLAZ3ja1iUkCQ1AFBkuUXwxFv9zsX5K86BwUhreM4wjGsmh9yx8x8cEFwBnwo1l")</f>
        <v>https://www.facebook.com/GCBA/posts/pfbid02XEqLAZ3ja1iUkCQ1AFBkuUXwxFv9zsX5K86BwUhreM4wjGsmh9yx8x8cEFwBnwo1l</v>
      </c>
    </row>
    <row r="185">
      <c r="A185" s="28" t="str">
        <f>IFERROR(__xludf.DUMMYFUNCTION("""COMPUTED_VALUE"""),"1942-SEPEPHGC")</f>
        <v>1942-SEPEPHGC</v>
      </c>
      <c r="B185" s="28" t="str">
        <f>IFERROR(__xludf.DUMMYFUNCTION("""COMPUTED_VALUE"""),"DGPLES | MEPHU  | REPARACIÓN DE VEREDAS")</f>
        <v>DGPLES | MEPHU  | REPARACIÓN DE VEREDAS</v>
      </c>
      <c r="C185" s="29" t="str">
        <f>IFERROR(__xludf.DUMMYFUNCTION("""COMPUTED_VALUE"""),"Pieza")</f>
        <v>Pieza</v>
      </c>
      <c r="D185" s="28" t="str">
        <f>IFERROR(__xludf.DUMMYFUNCTION("""COMPUTED_VALUE"""),"2240-NOVSALGC")</f>
        <v>2240-NOVSALGC</v>
      </c>
      <c r="E185" s="28" t="str">
        <f>IFERROR(__xludf.DUMMYFUNCTION("""COMPUTED_VALUE"""),"Cuidados del Calor 2025 - Síntomas")</f>
        <v>Cuidados del Calor 2025 - Síntomas</v>
      </c>
      <c r="F185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186">
      <c r="A186" s="28" t="str">
        <f>IFERROR(__xludf.DUMMYFUNCTION("""COMPUTED_VALUE"""),"1895-SEPEPHGC")</f>
        <v>1895-SEPEPHGC</v>
      </c>
      <c r="B186" s="28" t="str">
        <f>IFERROR(__xludf.DUMMYFUNCTION("""COMPUTED_VALUE"""),"PIEZAS M2 | MEPHU | REPAVIMENTACIÓN")</f>
        <v>PIEZAS M2 | MEPHU | REPAVIMENTACIÓN</v>
      </c>
      <c r="C186" s="29" t="str">
        <f>IFERROR(__xludf.DUMMYFUNCTION("""COMPUTED_VALUE"""),"Pieza")</f>
        <v>Pieza</v>
      </c>
      <c r="D186" s="28" t="str">
        <f>IFERROR(__xludf.DUMMYFUNCTION("""COMPUTED_VALUE"""),"2145-OCTVINGC")</f>
        <v>2145-OCTVINGC</v>
      </c>
      <c r="E186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6" s="29" t="str">
        <f>IFERROR(__xludf.DUMMYFUNCTION("""COMPUTED_VALUE"""),"https://www.facebook.com/GCBA/posts/pfbid02a5DRJPMBPPuCuSQYUa6NuAdUWgrRPn2uV9tMt7gH5jZs2nTCt69KXPzZR2qMJ92kl")</f>
        <v>https://www.facebook.com/GCBA/posts/pfbid02a5DRJPMBPPuCuSQYUa6NuAdUWgrRPn2uV9tMt7gH5jZs2nTCt69KXPzZR2qMJ92kl</v>
      </c>
    </row>
    <row r="187">
      <c r="A187" s="28" t="str">
        <f>IFERROR(__xludf.DUMMYFUNCTION("""COMPUTED_VALUE"""),"2033-SEPEPHGC")</f>
        <v>2033-SEPEPHGC</v>
      </c>
      <c r="B187" s="28" t="str">
        <f>IFERROR(__xludf.DUMMYFUNCTION("""COMPUTED_VALUE"""),"M2 PODA")</f>
        <v>M2 PODA</v>
      </c>
      <c r="C187" s="29" t="str">
        <f>IFERROR(__xludf.DUMMYFUNCTION("""COMPUTED_VALUE"""),"Pieza")</f>
        <v>Pieza</v>
      </c>
      <c r="D187" s="28" t="str">
        <f>IFERROR(__xludf.DUMMYFUNCTION("""COMPUTED_VALUE"""),"2145-OCTVINGC")</f>
        <v>2145-OCTVINGC</v>
      </c>
      <c r="E187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7" s="29" t="str">
        <f>IFERROR(__xludf.DUMMYFUNCTION("""COMPUTED_VALUE"""),"https://www.facebook.com/GCBA/posts/pfbid02MHtzFur7T6A9gkPCWcCKA5S9do1hMkbdiz1vi1SFNaGtEwvHELnpkU3EVbhXU9yol")</f>
        <v>https://www.facebook.com/GCBA/posts/pfbid02MHtzFur7T6A9gkPCWcCKA5S9do1hMkbdiz1vi1SFNaGtEwvHELnpkU3EVbhXU9yol</v>
      </c>
    </row>
    <row r="188">
      <c r="A188" s="28" t="str">
        <f>IFERROR(__xludf.DUMMYFUNCTION("""COMPUTED_VALUE"""),"2145-OCTVINGC")</f>
        <v>2145-OCTVINGC</v>
      </c>
      <c r="B188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88" s="29" t="str">
        <f>IFERROR(__xludf.DUMMYFUNCTION("""COMPUTED_VALUE"""),"Pieza")</f>
        <v>Pieza</v>
      </c>
      <c r="D188" s="28" t="str">
        <f>IFERROR(__xludf.DUMMYFUNCTION("""COMPUTED_VALUE"""),"2145-OCTVINGC")</f>
        <v>2145-OCTVINGC</v>
      </c>
      <c r="E188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8" s="29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89">
      <c r="A189" s="28" t="str">
        <f>IFERROR(__xludf.DUMMYFUNCTION("""COMPUTED_VALUE"""),"2033-SEPEPHGC")</f>
        <v>2033-SEPEPHGC</v>
      </c>
      <c r="B189" s="28" t="str">
        <f>IFERROR(__xludf.DUMMYFUNCTION("""COMPUTED_VALUE"""),"M2 PODA")</f>
        <v>M2 PODA</v>
      </c>
      <c r="C189" s="29" t="str">
        <f>IFERROR(__xludf.DUMMYFUNCTION("""COMPUTED_VALUE"""),"Pieza")</f>
        <v>Pieza</v>
      </c>
      <c r="D189" s="28" t="str">
        <f>IFERROR(__xludf.DUMMYFUNCTION("""COMPUTED_VALUE"""),"2145-OCTVINGC")</f>
        <v>2145-OCTVINGC</v>
      </c>
      <c r="E189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189" s="29" t="str">
        <f>IFERROR(__xludf.DUMMYFUNCTION("""COMPUTED_VALUE"""),"https://www.facebook.com/GCBA/posts/pfbid0tstzqenYSpgrHsNAJBK27a17SRX9msyRZKWdU3KqkYKtHCpMz2UsbucJ4wCX6SLal")</f>
        <v>https://www.facebook.com/GCBA/posts/pfbid0tstzqenYSpgrHsNAJBK27a17SRX9msyRZKWdU3KqkYKtHCpMz2UsbucJ4wCX6SLal</v>
      </c>
    </row>
    <row r="190">
      <c r="A190" s="28" t="str">
        <f>IFERROR(__xludf.DUMMYFUNCTION("""COMPUTED_VALUE"""),"1946-SEPEPHGC")</f>
        <v>1946-SEPEPHGC</v>
      </c>
      <c r="B190" s="28" t="str">
        <f>IFERROR(__xludf.DUMMYFUNCTION("""COMPUTED_VALUE"""),"CAMPAÑA GCBA | MEPHU  | PLUVIALES")</f>
        <v>CAMPAÑA GCBA | MEPHU  | PLUVIALES</v>
      </c>
      <c r="C190" s="29" t="str">
        <f>IFERROR(__xludf.DUMMYFUNCTION("""COMPUTED_VALUE"""),"Pieza")</f>
        <v>Pieza</v>
      </c>
      <c r="D190" s="28" t="str">
        <f>IFERROR(__xludf.DUMMYFUNCTION("""COMPUTED_VALUE"""),"2183-OCTSALGC")</f>
        <v>2183-OCTSALGC</v>
      </c>
      <c r="E190" s="28" t="str">
        <f>IFERROR(__xludf.DUMMYFUNCTION("""COMPUTED_VALUE"""),"Sistema de Salud Público - Genérico")</f>
        <v>Sistema de Salud Público - Genérico</v>
      </c>
      <c r="F190" s="29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191">
      <c r="A191" s="28" t="str">
        <f>IFERROR(__xludf.DUMMYFUNCTION("""COMPUTED_VALUE"""),"2322-NOVEDUGC")</f>
        <v>2322-NOVEDUGC</v>
      </c>
      <c r="B191" s="28" t="str">
        <f>IFERROR(__xludf.DUMMYFUNCTION("""COMPUTED_VALUE"""),"TUMO Parque de la Innovación")</f>
        <v>TUMO Parque de la Innovación</v>
      </c>
      <c r="C191" s="29" t="str">
        <f>IFERROR(__xludf.DUMMYFUNCTION("""COMPUTED_VALUE"""),"Pieza")</f>
        <v>Pieza</v>
      </c>
      <c r="D191" s="28" t="str">
        <f>IFERROR(__xludf.DUMMYFUNCTION("""COMPUTED_VALUE"""),"2183-OCTSALGC")</f>
        <v>2183-OCTSALGC</v>
      </c>
      <c r="E191" s="28" t="str">
        <f>IFERROR(__xludf.DUMMYFUNCTION("""COMPUTED_VALUE"""),"Sistema de Salud Público - Genérico")</f>
        <v>Sistema de Salud Público - Genérico</v>
      </c>
      <c r="F191" s="29" t="str">
        <f>IFERROR(__xludf.DUMMYFUNCTION("""COMPUTED_VALUE"""),"https://www.facebook.com/GCBA/posts/pfbid02QwxLwyKnw9PCTX9BXhgSSH5hJ3u56noy7igZq9orxmSsVPqjj4MMUZ5SD9xXWWQ3l")</f>
        <v>https://www.facebook.com/GCBA/posts/pfbid02QwxLwyKnw9PCTX9BXhgSSH5hJ3u56noy7igZq9orxmSsVPqjj4MMUZ5SD9xXWWQ3l</v>
      </c>
    </row>
    <row r="192">
      <c r="A192" s="28" t="str">
        <f>IFERROR(__xludf.DUMMYFUNCTION("""COMPUTED_VALUE"""),"2532-ENEJDGAG")</f>
        <v>2532-ENEJDGAG</v>
      </c>
      <c r="B192" s="28" t="str">
        <f>IFERROR(__xludf.DUMMYFUNCTION("""COMPUTED_VALUE"""),"RDV JM | VILLA URQUIZA 2/2")</f>
        <v>RDV JM | VILLA URQUIZA 2/2</v>
      </c>
      <c r="C192" s="29" t="str">
        <f>IFERROR(__xludf.DUMMYFUNCTION("""COMPUTED_VALUE"""),"Pieza")</f>
        <v>Pieza</v>
      </c>
      <c r="D192" s="28" t="str">
        <f>IFERROR(__xludf.DUMMYFUNCTION("""COMPUTED_VALUE"""),"2255-NOVSALGC")</f>
        <v>2255-NOVSALGC</v>
      </c>
      <c r="E192" s="28" t="str">
        <f>IFERROR(__xludf.DUMMYFUNCTION("""COMPUTED_VALUE"""),"Sistema de Salud Público - Geolocalizado")</f>
        <v>Sistema de Salud Público - Geolocalizado</v>
      </c>
      <c r="F192" s="29" t="str">
        <f>IFERROR(__xludf.DUMMYFUNCTION("""COMPUTED_VALUE"""),"https://www.facebook.com/GCBA/posts/pfbid02dx5PKW9dhfnoR52qjj3Cxnq9opfoRmH6HwTJx9uacynmmZet5vn1FL6Xavv3J8ZXl")</f>
        <v>https://www.facebook.com/GCBA/posts/pfbid02dx5PKW9dhfnoR52qjj3Cxnq9opfoRmH6HwTJx9uacynmmZet5vn1FL6Xavv3J8ZXl</v>
      </c>
    </row>
    <row r="193">
      <c r="A193" s="28" t="str">
        <f>IFERROR(__xludf.DUMMYFUNCTION("""COMPUTED_VALUE"""),"2503-ENEPCCVC")</f>
        <v>2503-ENEPCCVC</v>
      </c>
      <c r="B193" s="28" t="str">
        <f>IFERROR(__xludf.DUMMYFUNCTION("""COMPUTED_VALUE"""),"Reunión de Co-creación - Eventos Masivos Huracán")</f>
        <v>Reunión de Co-creación - Eventos Masivos Huracán</v>
      </c>
      <c r="C193" s="29" t="str">
        <f>IFERROR(__xludf.DUMMYFUNCTION("""COMPUTED_VALUE"""),"Pieza")</f>
        <v>Pieza</v>
      </c>
      <c r="D193" s="28" t="str">
        <f>IFERROR(__xludf.DUMMYFUNCTION("""COMPUTED_VALUE"""),"2255-NOVSALGC")</f>
        <v>2255-NOVSALGC</v>
      </c>
      <c r="E193" s="28" t="str">
        <f>IFERROR(__xludf.DUMMYFUNCTION("""COMPUTED_VALUE"""),"Sistema de Salud Público - Geolocalizado")</f>
        <v>Sistema de Salud Público - Geolocalizado</v>
      </c>
      <c r="F193" s="29" t="str">
        <f>IFERROR(__xludf.DUMMYFUNCTION("""COMPUTED_VALUE"""),"https://www.facebook.com/GCBA/posts/pfbid0EZuYZEPaUp9E2z1JrsYbAkqNnTe7N3MWavemYwQ7hP5Gd3vXiYjLjNyQtdTniXJvl")</f>
        <v>https://www.facebook.com/GCBA/posts/pfbid0EZuYZEPaUp9E2z1JrsYbAkqNnTe7N3MWavemYwQ7hP5Gd3vXiYjLjNyQtdTniXJvl</v>
      </c>
    </row>
    <row r="194">
      <c r="A194" s="28" t="str">
        <f>IFERROR(__xludf.DUMMYFUNCTION("""COMPUTED_VALUE"""),"2543-ENESEGVC")</f>
        <v>2543-ENESEGVC</v>
      </c>
      <c r="B194" s="28" t="str">
        <f>IFERROR(__xludf.DUMMYFUNCTION("""COMPUTED_VALUE"""),"RDV MINISTROS | RUTH LANDERRECHE 5/2 COMUNA 3")</f>
        <v>RDV MINISTROS | RUTH LANDERRECHE 5/2 COMUNA 3</v>
      </c>
      <c r="C194" s="29" t="str">
        <f>IFERROR(__xludf.DUMMYFUNCTION("""COMPUTED_VALUE"""),"Pieza")</f>
        <v>Pieza</v>
      </c>
      <c r="D194" s="28" t="str">
        <f>IFERROR(__xludf.DUMMYFUNCTION("""COMPUTED_VALUE"""),"2255-NOVSALGC")</f>
        <v>2255-NOVSALGC</v>
      </c>
      <c r="E194" s="28" t="str">
        <f>IFERROR(__xludf.DUMMYFUNCTION("""COMPUTED_VALUE"""),"Sistema de Salud Público - Geolocalizado")</f>
        <v>Sistema de Salud Público - Geolocalizado</v>
      </c>
      <c r="F194" s="29" t="str">
        <f>IFERROR(__xludf.DUMMYFUNCTION("""COMPUTED_VALUE"""),"https://www.facebook.com/GCBA/posts/pfbid0wCzGCBCFe9jgfyT7dbFZaip2zdRjrGtezs4bZuwAaL8AfRgDcWacHfQ7o6rKZBtXl")</f>
        <v>https://www.facebook.com/GCBA/posts/pfbid0wCzGCBCFe9jgfyT7dbFZaip2zdRjrGtezs4bZuwAaL8AfRgDcWacHfQ7o6rKZBtXl</v>
      </c>
    </row>
    <row r="195">
      <c r="A195" s="28" t="str">
        <f>IFERROR(__xludf.DUMMYFUNCTION("""COMPUTED_VALUE"""),"2523-ENEPCCVC")</f>
        <v>2523-ENEPCCVC</v>
      </c>
      <c r="B195" s="28" t="str">
        <f>IFERROR(__xludf.DUMMYFUNCTION("""COMPUTED_VALUE"""),"Verano 2026 - Perros en acción: Aventura K9")</f>
        <v>Verano 2026 - Perros en acción: Aventura K9</v>
      </c>
      <c r="C195" s="29" t="str">
        <f>IFERROR(__xludf.DUMMYFUNCTION("""COMPUTED_VALUE"""),"Pieza")</f>
        <v>Pieza</v>
      </c>
      <c r="D195" s="28" t="str">
        <f>IFERROR(__xludf.DUMMYFUNCTION("""COMPUTED_VALUE"""),"2255-NOVSALGC")</f>
        <v>2255-NOVSALGC</v>
      </c>
      <c r="E195" s="28" t="str">
        <f>IFERROR(__xludf.DUMMYFUNCTION("""COMPUTED_VALUE"""),"Sistema de Salud Público - Geolocalizado")</f>
        <v>Sistema de Salud Público - Geolocalizado</v>
      </c>
      <c r="F195" s="29" t="str">
        <f>IFERROR(__xludf.DUMMYFUNCTION("""COMPUTED_VALUE"""),"https://www.facebook.com/GCBA/posts/pfbid02yMVCZELGPScBYN3P85ApkWjQdeWymbjBLPfPVTVm3qVf87otoSecb1d5sAMrMzzzl")</f>
        <v>https://www.facebook.com/GCBA/posts/pfbid02yMVCZELGPScBYN3P85ApkWjQdeWymbjBLPfPVTVm3qVf87otoSecb1d5sAMrMzzzl</v>
      </c>
    </row>
    <row r="196">
      <c r="A196" s="28" t="str">
        <f>IFERROR(__xludf.DUMMYFUNCTION("""COMPUTED_VALUE"""),"1921-SEPAMBGC")</f>
        <v>1921-SEPAMBGC</v>
      </c>
      <c r="B196" s="28" t="str">
        <f>IFERROR(__xludf.DUMMYFUNCTION("""COMPUTED_VALUE"""),"Vacunación Antirrabica Animales")</f>
        <v>Vacunación Antirrabica Animales</v>
      </c>
      <c r="C196" s="29" t="str">
        <f>IFERROR(__xludf.DUMMYFUNCTION("""COMPUTED_VALUE"""),"Pieza")</f>
        <v>Pieza</v>
      </c>
      <c r="D196" s="28" t="str">
        <f>IFERROR(__xludf.DUMMYFUNCTION("""COMPUTED_VALUE"""),"2255-NOVSALGC")</f>
        <v>2255-NOVSALGC</v>
      </c>
      <c r="E196" s="28" t="str">
        <f>IFERROR(__xludf.DUMMYFUNCTION("""COMPUTED_VALUE"""),"Sistema de Salud Público - Geolocalizado")</f>
        <v>Sistema de Salud Público - Geolocalizado</v>
      </c>
      <c r="F196" s="29" t="str">
        <f>IFERROR(__xludf.DUMMYFUNCTION("""COMPUTED_VALUE"""),"https://www.facebook.com/GCBA/posts/pfbid0aTVXgn1s1Sgz6VMABC7WuTKDmfNscAPsBZNyNt4nppB5eaYyKW6xitKZRsj1L8vcl")</f>
        <v>https://www.facebook.com/GCBA/posts/pfbid0aTVXgn1s1Sgz6VMABC7WuTKDmfNscAPsBZNyNt4nppB5eaYyKW6xitKZRsj1L8vcl</v>
      </c>
    </row>
    <row r="197">
      <c r="A197" s="28" t="str">
        <f>IFERROR(__xludf.DUMMYFUNCTION("""COMPUTED_VALUE"""),"2489-ENEVINGC")</f>
        <v>2489-ENEVINGC</v>
      </c>
      <c r="B197" s="28" t="str">
        <f>IFERROR(__xludf.DUMMYFUNCTION("""COMPUTED_VALUE"""),"CAMPAÑA GCBA | VINCULO CIUDADANO | Mas servicios en tu barrio 2026:  Villa Riachuelo  06/02")</f>
        <v>CAMPAÑA GCBA | VINCULO CIUDADANO | Mas servicios en tu barrio 2026:  Villa Riachuelo  06/02</v>
      </c>
      <c r="C197" s="29" t="str">
        <f>IFERROR(__xludf.DUMMYFUNCTION("""COMPUTED_VALUE"""),"Pieza")</f>
        <v>Pieza</v>
      </c>
      <c r="D197" s="28" t="str">
        <f>IFERROR(__xludf.DUMMYFUNCTION("""COMPUTED_VALUE"""),"2255-NOVSALGC")</f>
        <v>2255-NOVSALGC</v>
      </c>
      <c r="E197" s="28" t="str">
        <f>IFERROR(__xludf.DUMMYFUNCTION("""COMPUTED_VALUE"""),"Sistema de Salud Público - Geolocalizado")</f>
        <v>Sistema de Salud Público - Geolocalizado</v>
      </c>
      <c r="F197" s="29" t="str">
        <f>IFERROR(__xludf.DUMMYFUNCTION("""COMPUTED_VALUE"""),"https://www.facebook.com/GCBA/posts/pfbid02Ekpsw3Kn3Y53hTrB8LF9tmwdLbWRnZbokEj8JCHh7QqsUu5iVwVCNkc93hqmsDCbl")</f>
        <v>https://www.facebook.com/GCBA/posts/pfbid02Ekpsw3Kn3Y53hTrB8LF9tmwdLbWRnZbokEj8JCHh7QqsUu5iVwVCNkc93hqmsDCbl</v>
      </c>
    </row>
    <row r="198">
      <c r="A198" s="28" t="str">
        <f>IFERROR(__xludf.DUMMYFUNCTION("""COMPUTED_VALUE"""),"2145-OCTVINGC")</f>
        <v>2145-OCTVINGC</v>
      </c>
      <c r="B198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98" s="29" t="str">
        <f>IFERROR(__xludf.DUMMYFUNCTION("""COMPUTED_VALUE"""),"Pieza")</f>
        <v>Pieza</v>
      </c>
      <c r="D198" s="28" t="str">
        <f>IFERROR(__xludf.DUMMYFUNCTION("""COMPUTED_VALUE"""),"2255-NOVSALGC")</f>
        <v>2255-NOVSALGC</v>
      </c>
      <c r="E198" s="28" t="str">
        <f>IFERROR(__xludf.DUMMYFUNCTION("""COMPUTED_VALUE"""),"Sistema de Salud Público - Geolocalizado")</f>
        <v>Sistema de Salud Público - Geolocalizado</v>
      </c>
      <c r="F198" s="29" t="str">
        <f>IFERROR(__xludf.DUMMYFUNCTION("""COMPUTED_VALUE"""),"https://www.facebook.com/GCBA/posts/pfbid0bpzpNKTnru2sf3kYgyMgoDJndBsp3pjhSjvXsRSwggvgxJLvxndRafT7Qo5ZVd1Rl")</f>
        <v>https://www.facebook.com/GCBA/posts/pfbid0bpzpNKTnru2sf3kYgyMgoDJndBsp3pjhSjvXsRSwggvgxJLvxndRafT7Qo5ZVd1Rl</v>
      </c>
    </row>
    <row r="199">
      <c r="A199" s="28" t="str">
        <f>IFERROR(__xludf.DUMMYFUNCTION("""COMPUTED_VALUE"""),"2145-OCTVINGC")</f>
        <v>2145-OCTVINGC</v>
      </c>
      <c r="B199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199" s="29" t="str">
        <f>IFERROR(__xludf.DUMMYFUNCTION("""COMPUTED_VALUE"""),"Pieza")</f>
        <v>Pieza</v>
      </c>
      <c r="D199" s="28" t="str">
        <f>IFERROR(__xludf.DUMMYFUNCTION("""COMPUTED_VALUE"""),"2255-NOVSALGC")</f>
        <v>2255-NOVSALGC</v>
      </c>
      <c r="E199" s="28" t="str">
        <f>IFERROR(__xludf.DUMMYFUNCTION("""COMPUTED_VALUE"""),"Sistema de Salud Público - Geolocalizado")</f>
        <v>Sistema de Salud Público - Geolocalizado</v>
      </c>
      <c r="F199" s="29" t="str">
        <f>IFERROR(__xludf.DUMMYFUNCTION("""COMPUTED_VALUE"""),"https://www.facebook.com/GCBA/posts/pfbid034AjgxDYtPXAVhBiqij3aC2isPwZvxP8uFR4GsfNR3tGmhS8XJXT4UUw48dyZAQiHl")</f>
        <v>https://www.facebook.com/GCBA/posts/pfbid034AjgxDYtPXAVhBiqij3aC2isPwZvxP8uFR4GsfNR3tGmhS8XJXT4UUw48dyZAQiHl</v>
      </c>
    </row>
    <row r="200">
      <c r="A200" s="28" t="str">
        <f>IFERROR(__xludf.DUMMYFUNCTION("""COMPUTED_VALUE"""),"2542-ENESEGVC")</f>
        <v>2542-ENESEGVC</v>
      </c>
      <c r="B200" s="28" t="str">
        <f>IFERROR(__xludf.DUMMYFUNCTION("""COMPUTED_VALUE"""),"RDV MINISTROS | GABINO TAPIA 5/2 COMUNA 2")</f>
        <v>RDV MINISTROS | GABINO TAPIA 5/2 COMUNA 2</v>
      </c>
      <c r="C200" s="29" t="str">
        <f>IFERROR(__xludf.DUMMYFUNCTION("""COMPUTED_VALUE"""),"Pieza")</f>
        <v>Pieza</v>
      </c>
      <c r="D200" s="28" t="str">
        <f>IFERROR(__xludf.DUMMYFUNCTION("""COMPUTED_VALUE"""),"2255-NOVSALGC")</f>
        <v>2255-NOVSALGC</v>
      </c>
      <c r="E200" s="28" t="str">
        <f>IFERROR(__xludf.DUMMYFUNCTION("""COMPUTED_VALUE"""),"Sistema de Salud Público - Geolocalizado")</f>
        <v>Sistema de Salud Público - Geolocalizado</v>
      </c>
      <c r="F200" s="29" t="str">
        <f>IFERROR(__xludf.DUMMYFUNCTION("""COMPUTED_VALUE"""),"https://www.facebook.com/GCBA/posts/pfbid07LRumYp8mdLQqJfyaB5bdnX2XbK5UDyd5m34LT3Q3Pm6Vb4DyhT2MV3sr4XceJBfl")</f>
        <v>https://www.facebook.com/GCBA/posts/pfbid07LRumYp8mdLQqJfyaB5bdnX2XbK5UDyd5m34LT3Q3Pm6Vb4DyhT2MV3sr4XceJBfl</v>
      </c>
    </row>
    <row r="201">
      <c r="A201" s="28" t="str">
        <f>IFERROR(__xludf.DUMMYFUNCTION("""COMPUTED_VALUE"""),"2535-ENEEPHVC")</f>
        <v>2535-ENEEPHVC</v>
      </c>
      <c r="B201" s="28" t="str">
        <f>IFERROR(__xludf.DUMMYFUNCTION("""COMPUTED_VALUE"""),"RDV MINISTROS |  Ignacio Baistrocchi 3/2")</f>
        <v>RDV MINISTROS |  Ignacio Baistrocchi 3/2</v>
      </c>
      <c r="C201" s="29" t="str">
        <f>IFERROR(__xludf.DUMMYFUNCTION("""COMPUTED_VALUE"""),"Pieza")</f>
        <v>Pieza</v>
      </c>
      <c r="D201" s="28" t="str">
        <f>IFERROR(__xludf.DUMMYFUNCTION("""COMPUTED_VALUE"""),"2255-NOVSALGC")</f>
        <v>2255-NOVSALGC</v>
      </c>
      <c r="E201" s="28" t="str">
        <f>IFERROR(__xludf.DUMMYFUNCTION("""COMPUTED_VALUE"""),"Sistema de Salud Público - Geolocalizado")</f>
        <v>Sistema de Salud Público - Geolocalizado</v>
      </c>
      <c r="F201" s="29" t="str">
        <f>IFERROR(__xludf.DUMMYFUNCTION("""COMPUTED_VALUE"""),"https://www.facebook.com/GCBA/posts/pfbid02pEFi3sFKfrJrjXwNks9dhE7AB4JkXeumvQ8443GyMY8WyS2gzRVpjS8gMwSvDhXkl")</f>
        <v>https://www.facebook.com/GCBA/posts/pfbid02pEFi3sFKfrJrjXwNks9dhE7AB4JkXeumvQ8443GyMY8WyS2gzRVpjS8gMwSvDhXkl</v>
      </c>
    </row>
    <row r="202">
      <c r="A202" s="28" t="str">
        <f>IFERROR(__xludf.DUMMYFUNCTION("""COMPUTED_VALUE"""),"2540-ENESEGVC")</f>
        <v>2540-ENESEGVC</v>
      </c>
      <c r="B202" s="28" t="str">
        <f>IFERROR(__xludf.DUMMYFUNCTION("""COMPUTED_VALUE"""),"RDV MINISTROS |  MAXIMILIANO PIÑEIRO 5/2 COMUNA 1 SUR")</f>
        <v>RDV MINISTROS |  MAXIMILIANO PIÑEIRO 5/2 COMUNA 1 SUR</v>
      </c>
      <c r="C202" s="29" t="str">
        <f>IFERROR(__xludf.DUMMYFUNCTION("""COMPUTED_VALUE"""),"Pieza")</f>
        <v>Pieza</v>
      </c>
      <c r="D202" s="28" t="str">
        <f>IFERROR(__xludf.DUMMYFUNCTION("""COMPUTED_VALUE"""),"2255-NOVSALGC")</f>
        <v>2255-NOVSALGC</v>
      </c>
      <c r="E202" s="28" t="str">
        <f>IFERROR(__xludf.DUMMYFUNCTION("""COMPUTED_VALUE"""),"Sistema de Salud Público - Geolocalizado")</f>
        <v>Sistema de Salud Público - Geolocalizado</v>
      </c>
      <c r="F202" s="29" t="str">
        <f>IFERROR(__xludf.DUMMYFUNCTION("""COMPUTED_VALUE"""),"https://www.facebook.com/GCBA/posts/pfbid02JAAkfG8XcGh1Fnbwh21z7jhQ2QhfZQPQncE8ehd4t8uNmhFPGw6q5FEBmTbZ7VzQl")</f>
        <v>https://www.facebook.com/GCBA/posts/pfbid02JAAkfG8XcGh1Fnbwh21z7jhQ2QhfZQPQncE8ehd4t8uNmhFPGw6q5FEBmTbZ7VzQl</v>
      </c>
    </row>
    <row r="203">
      <c r="A203" s="28" t="str">
        <f>IFERROR(__xludf.DUMMYFUNCTION("""COMPUTED_VALUE"""),"2531-ENEJDGVC")</f>
        <v>2531-ENEJDGVC</v>
      </c>
      <c r="B203" s="28" t="str">
        <f>IFERROR(__xludf.DUMMYFUNCTION("""COMPUTED_VALUE"""),"RDV MINISTROS | Gabriel Sanchez Zinny 06/02")</f>
        <v>RDV MINISTROS | Gabriel Sanchez Zinny 06/02</v>
      </c>
      <c r="C203" s="29" t="str">
        <f>IFERROR(__xludf.DUMMYFUNCTION("""COMPUTED_VALUE"""),"Pieza")</f>
        <v>Pieza</v>
      </c>
      <c r="D203" s="28" t="str">
        <f>IFERROR(__xludf.DUMMYFUNCTION("""COMPUTED_VALUE"""),"2255-NOVSALGC")</f>
        <v>2255-NOVSALGC</v>
      </c>
      <c r="E203" s="28" t="str">
        <f>IFERROR(__xludf.DUMMYFUNCTION("""COMPUTED_VALUE"""),"Sistema de Salud Público - Geolocalizado")</f>
        <v>Sistema de Salud Público - Geolocalizado</v>
      </c>
      <c r="F203" s="29" t="str">
        <f>IFERROR(__xludf.DUMMYFUNCTION("""COMPUTED_VALUE"""),"https://www.facebook.com/GCBA/posts/pfbid02L7RJdRnpKvxgHCHoFNVteFMhHth8wxoRi3CHktXJKcya5Avf88oHkMEarHpuxHy1l")</f>
        <v>https://www.facebook.com/GCBA/posts/pfbid02L7RJdRnpKvxgHCHoFNVteFMhHth8wxoRi3CHktXJKcya5Avf88oHkMEarHpuxHy1l</v>
      </c>
    </row>
    <row r="204">
      <c r="A204" s="28" t="str">
        <f>IFERROR(__xludf.DUMMYFUNCTION("""COMPUTED_VALUE"""),"2541-ENESEGVC")</f>
        <v>2541-ENESEGVC</v>
      </c>
      <c r="B204" s="28" t="str">
        <f>IFERROR(__xludf.DUMMYFUNCTION("""COMPUTED_VALUE"""),"RDV MINISTROS | HORACIO GIMÉNEZ 5/2 COMUNA 1 NORTE")</f>
        <v>RDV MINISTROS | HORACIO GIMÉNEZ 5/2 COMUNA 1 NORTE</v>
      </c>
      <c r="C204" s="29" t="str">
        <f>IFERROR(__xludf.DUMMYFUNCTION("""COMPUTED_VALUE"""),"Pieza")</f>
        <v>Pieza</v>
      </c>
      <c r="D204" s="28" t="str">
        <f>IFERROR(__xludf.DUMMYFUNCTION("""COMPUTED_VALUE"""),"2255-NOVSALGC")</f>
        <v>2255-NOVSALGC</v>
      </c>
      <c r="E204" s="28" t="str">
        <f>IFERROR(__xludf.DUMMYFUNCTION("""COMPUTED_VALUE"""),"Sistema de Salud Público - Geolocalizado")</f>
        <v>Sistema de Salud Público - Geolocalizado</v>
      </c>
      <c r="F204" s="29" t="str">
        <f>IFERROR(__xludf.DUMMYFUNCTION("""COMPUTED_VALUE"""),"https://www.facebook.com/GCBA/posts/pfbid02GGXCtYjhgk74vKvTiihRfCeWpPvrtSdaqFFFVbf3rbsjhD5EpgogY7b1ZmsF2Ty3l")</f>
        <v>https://www.facebook.com/GCBA/posts/pfbid02GGXCtYjhgk74vKvTiihRfCeWpPvrtSdaqFFFVbf3rbsjhD5EpgogY7b1ZmsF2Ty3l</v>
      </c>
    </row>
    <row r="205">
      <c r="A205" s="28" t="str">
        <f>IFERROR(__xludf.DUMMYFUNCTION("""COMPUTED_VALUE"""),"2537-ENESALGC")</f>
        <v>2537-ENESALGC</v>
      </c>
      <c r="B205" s="28" t="str">
        <f>IFERROR(__xludf.DUMMYFUNCTION("""COMPUTED_VALUE"""),"Mejoras en el módulo RIS - Febrero")</f>
        <v>Mejoras en el módulo RIS - Febrero</v>
      </c>
      <c r="C205" s="29" t="str">
        <f>IFERROR(__xludf.DUMMYFUNCTION("""COMPUTED_VALUE"""),"Pieza")</f>
        <v>Pieza</v>
      </c>
      <c r="D205" s="28" t="str">
        <f>IFERROR(__xludf.DUMMYFUNCTION("""COMPUTED_VALUE"""),"2255-NOVSALGC")</f>
        <v>2255-NOVSALGC</v>
      </c>
      <c r="E205" s="28" t="str">
        <f>IFERROR(__xludf.DUMMYFUNCTION("""COMPUTED_VALUE"""),"Sistema de Salud Público - Geolocalizado")</f>
        <v>Sistema de Salud Público - Geolocalizado</v>
      </c>
      <c r="F205" s="29" t="str">
        <f>IFERROR(__xludf.DUMMYFUNCTION("""COMPUTED_VALUE"""),"https://www.facebook.com/GCBA/posts/pfbid026bqVa3vmSFKKaSrJXL26kvTebyxBw49fQ6e6k96Lis65F3VpTnmHANncUHLfXeVvl")</f>
        <v>https://www.facebook.com/GCBA/posts/pfbid026bqVa3vmSFKKaSrJXL26kvTebyxBw49fQ6e6k96Lis65F3VpTnmHANncUHLfXeVvl</v>
      </c>
    </row>
    <row r="206">
      <c r="A206" s="28" t="str">
        <f>IFERROR(__xludf.DUMMYFUNCTION("""COMPUTED_VALUE"""),"2534-ENEJDGAG")</f>
        <v>2534-ENEJDGAG</v>
      </c>
      <c r="B206" s="28" t="str">
        <f>IFERROR(__xludf.DUMMYFUNCTION("""COMPUTED_VALUE"""),"RDV JM | VILLA RIACHUELO 5/2")</f>
        <v>RDV JM | VILLA RIACHUELO 5/2</v>
      </c>
      <c r="C206" s="29" t="str">
        <f>IFERROR(__xludf.DUMMYFUNCTION("""COMPUTED_VALUE"""),"Pieza")</f>
        <v>Pieza</v>
      </c>
      <c r="D206" s="28" t="str">
        <f>IFERROR(__xludf.DUMMYFUNCTION("""COMPUTED_VALUE"""),"2255-NOVSALGC")</f>
        <v>2255-NOVSALGC</v>
      </c>
      <c r="E206" s="28" t="str">
        <f>IFERROR(__xludf.DUMMYFUNCTION("""COMPUTED_VALUE"""),"Sistema de Salud Público - Geolocalizado")</f>
        <v>Sistema de Salud Público - Geolocalizado</v>
      </c>
      <c r="F206" s="29" t="str">
        <f>IFERROR(__xludf.DUMMYFUNCTION("""COMPUTED_VALUE"""),"https://www.facebook.com/GCBA/posts/pfbid02moGGrDtH9UZ3PaQ5MUkoqn6Ss7u5ewbYyEbTUKZz4epcXjSAjjoYvFmbUfHqS3dCl")</f>
        <v>https://www.facebook.com/GCBA/posts/pfbid02moGGrDtH9UZ3PaQ5MUkoqn6Ss7u5ewbYyEbTUKZz4epcXjSAjjoYvFmbUfHqS3dCl</v>
      </c>
    </row>
    <row r="207">
      <c r="A207" s="28" t="str">
        <f>IFERROR(__xludf.DUMMYFUNCTION("""COMPUTED_VALUE"""),"2549-FEBDHHVC")</f>
        <v>2549-FEBDHHVC</v>
      </c>
      <c r="B207" s="28" t="str">
        <f>IFERROR(__xludf.DUMMYFUNCTION("""COMPUTED_VALUE"""),"RDV Ministros | Gabriel Mraida - 6/2")</f>
        <v>RDV Ministros | Gabriel Mraida - 6/2</v>
      </c>
      <c r="C207" s="29" t="str">
        <f>IFERROR(__xludf.DUMMYFUNCTION("""COMPUTED_VALUE"""),"Pieza")</f>
        <v>Pieza</v>
      </c>
      <c r="D207" s="28" t="str">
        <f>IFERROR(__xludf.DUMMYFUNCTION("""COMPUTED_VALUE"""),"2256-NOVSALGC")</f>
        <v>2256-NOVSALGC</v>
      </c>
      <c r="E207" s="28" t="str">
        <f>IFERROR(__xludf.DUMMYFUNCTION("""COMPUTED_VALUE"""),"Sistema de Salud Público - Diferenciado x Audiencias")</f>
        <v>Sistema de Salud Público - Diferenciado x Audiencias</v>
      </c>
      <c r="F207" s="29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208">
      <c r="A208" s="28" t="str">
        <f>IFERROR(__xludf.DUMMYFUNCTION("""COMPUTED_VALUE"""),"2521-ENEPCCVC")</f>
        <v>2521-ENEPCCVC</v>
      </c>
      <c r="B208" s="28" t="str">
        <f>IFERROR(__xludf.DUMMYFUNCTION("""COMPUTED_VALUE"""),"Paseo náutico por el Riachuelo")</f>
        <v>Paseo náutico por el Riachuelo</v>
      </c>
      <c r="C208" s="29" t="str">
        <f>IFERROR(__xludf.DUMMYFUNCTION("""COMPUTED_VALUE"""),"Pieza")</f>
        <v>Pieza</v>
      </c>
      <c r="D208" s="28" t="str">
        <f>IFERROR(__xludf.DUMMYFUNCTION("""COMPUTED_VALUE"""),"2256-NOVSALGC")</f>
        <v>2256-NOVSALGC</v>
      </c>
      <c r="E208" s="28" t="str">
        <f>IFERROR(__xludf.DUMMYFUNCTION("""COMPUTED_VALUE"""),"Sistema de Salud Público - Diferenciado x Audiencias")</f>
        <v>Sistema de Salud Público - Diferenciado x Audiencias</v>
      </c>
      <c r="F208" s="29" t="str">
        <f>IFERROR(__xludf.DUMMYFUNCTION("""COMPUTED_VALUE"""),"https://www.facebook.com/GCBA/posts/pfbid02SB5PG237gJvSQGMPLHpQAP5b6uxqxh8AqRUS3csVWmCnYyvd77i8d67LSBMnBtg8l")</f>
        <v>https://www.facebook.com/GCBA/posts/pfbid02SB5PG237gJvSQGMPLHpQAP5b6uxqxh8AqRUS3csVWmCnYyvd77i8d67LSBMnBtg8l</v>
      </c>
    </row>
    <row r="209">
      <c r="A209" s="28" t="str">
        <f>IFERROR(__xludf.DUMMYFUNCTION("""COMPUTED_VALUE"""),"2522-ENEPCCVC")</f>
        <v>2522-ENEPCCVC</v>
      </c>
      <c r="B209" s="28" t="str">
        <f>IFERROR(__xludf.DUMMYFUNCTION("""COMPUTED_VALUE"""),"Reunión Co-Creación: Eventos Masivos River")</f>
        <v>Reunión Co-Creación: Eventos Masivos River</v>
      </c>
      <c r="C209" s="29" t="str">
        <f>IFERROR(__xludf.DUMMYFUNCTION("""COMPUTED_VALUE"""),"Pieza")</f>
        <v>Pieza</v>
      </c>
      <c r="D209" s="28" t="str">
        <f>IFERROR(__xludf.DUMMYFUNCTION("""COMPUTED_VALUE"""),"1933-SEPINFGC")</f>
        <v>1933-SEPINFGC</v>
      </c>
      <c r="E209" s="28" t="str">
        <f>IFERROR(__xludf.DUMMYFUNCTION("""COMPUTED_VALUE"""),"CAMPAÑA GCBA | INFRAESTRUCTURA | Campaña 360° Movilidad 2025")</f>
        <v>CAMPAÑA GCBA | INFRAESTRUCTURA | Campaña 360° Movilidad 2025</v>
      </c>
      <c r="F209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0">
      <c r="A210" s="28" t="str">
        <f>IFERROR(__xludf.DUMMYFUNCTION("""COMPUTED_VALUE"""),"2530-ENEJDGVC")</f>
        <v>2530-ENEJDGVC</v>
      </c>
      <c r="B210" s="28" t="str">
        <f>IFERROR(__xludf.DUMMYFUNCTION("""COMPUTED_VALUE"""),"RDV MINISTROS | Gabriel Sanchez Zinny 04/02")</f>
        <v>RDV MINISTROS | Gabriel Sanchez Zinny 04/02</v>
      </c>
      <c r="C210" s="29" t="str">
        <f>IFERROR(__xludf.DUMMYFUNCTION("""COMPUTED_VALUE"""),"Pieza")</f>
        <v>Pieza</v>
      </c>
      <c r="D210" s="28" t="str">
        <f>IFERROR(__xludf.DUMMYFUNCTION("""COMPUTED_VALUE"""),"1933-SEPINFGC")</f>
        <v>1933-SEPINFGC</v>
      </c>
      <c r="E210" s="28" t="str">
        <f>IFERROR(__xludf.DUMMYFUNCTION("""COMPUTED_VALUE"""),"CAMPAÑA GCBA | INFRAESTRUCTURA | Campaña 360° Movilidad 2025")</f>
        <v>CAMPAÑA GCBA | INFRAESTRUCTURA | Campaña 360° Movilidad 2025</v>
      </c>
      <c r="F210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1">
      <c r="A211" s="28" t="str">
        <f>IFERROR(__xludf.DUMMYFUNCTION("""COMPUTED_VALUE"""),"2533-ENEJDGAG")</f>
        <v>2533-ENEJDGAG</v>
      </c>
      <c r="B211" s="28" t="str">
        <f>IFERROR(__xludf.DUMMYFUNCTION("""COMPUTED_VALUE"""),"RDV JM | CONSTITUCIÓN 6/2")</f>
        <v>RDV JM | CONSTITUCIÓN 6/2</v>
      </c>
      <c r="C211" s="29" t="str">
        <f>IFERROR(__xludf.DUMMYFUNCTION("""COMPUTED_VALUE"""),"Pieza")</f>
        <v>Pieza</v>
      </c>
      <c r="D211" s="28" t="str">
        <f>IFERROR(__xludf.DUMMYFUNCTION("""COMPUTED_VALUE"""),"1933-SEPINFGC")</f>
        <v>1933-SEPINFGC</v>
      </c>
      <c r="E211" s="28" t="str">
        <f>IFERROR(__xludf.DUMMYFUNCTION("""COMPUTED_VALUE"""),"CAMPAÑA GCBA | INFRAESTRUCTURA | Campaña 360° Movilidad 2025")</f>
        <v>CAMPAÑA GCBA | INFRAESTRUCTURA | Campaña 360° Movilidad 2025</v>
      </c>
      <c r="F211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2">
      <c r="A212" s="28" t="str">
        <f>IFERROR(__xludf.DUMMYFUNCTION("""COMPUTED_VALUE"""),"2433-DICFESGC")</f>
        <v>2433-DICFESGC</v>
      </c>
      <c r="B212" s="28" t="str">
        <f>IFERROR(__xludf.DUMMYFUNCTION("""COMPUTED_VALUE"""),"Verano en la Ciudad | AftersBA")</f>
        <v>Verano en la Ciudad | AftersBA</v>
      </c>
      <c r="C212" s="29" t="str">
        <f>IFERROR(__xludf.DUMMYFUNCTION("""COMPUTED_VALUE"""),"Pieza")</f>
        <v>Pieza</v>
      </c>
      <c r="D212" s="28" t="str">
        <f>IFERROR(__xludf.DUMMYFUNCTION("""COMPUTED_VALUE"""),"1933-SEPINFGC")</f>
        <v>1933-SEPINFGC</v>
      </c>
      <c r="E212" s="28" t="str">
        <f>IFERROR(__xludf.DUMMYFUNCTION("""COMPUTED_VALUE"""),"CAMPAÑA GCBA | INFRAESTRUCTURA | Campaña 360° Movilidad 2025")</f>
        <v>CAMPAÑA GCBA | INFRAESTRUCTURA | Campaña 360° Movilidad 2025</v>
      </c>
      <c r="F212" s="29" t="str">
        <f>IFERROR(__xludf.DUMMYFUNCTION("""COMPUTED_VALUE"""),"https://www.facebook.com/GCBA/posts/pfbid02ySETv8mbLPx3NFrrHh1eRhVRmMimid99iTcJQu2RtwUS7KCAiwKP9qoSStF1cMSml")</f>
        <v>https://www.facebook.com/GCBA/posts/pfbid02ySETv8mbLPx3NFrrHh1eRhVRmMimid99iTcJQu2RtwUS7KCAiwKP9qoSStF1cMSml</v>
      </c>
    </row>
    <row r="213">
      <c r="A213" s="28" t="str">
        <f>IFERROR(__xludf.DUMMYFUNCTION("""COMPUTED_VALUE"""),"2533-ENEJDGAG")</f>
        <v>2533-ENEJDGAG</v>
      </c>
      <c r="B213" s="28" t="str">
        <f>IFERROR(__xludf.DUMMYFUNCTION("""COMPUTED_VALUE"""),"RDV JM | CONSTITUCIÓN 6/2")</f>
        <v>RDV JM | CONSTITUCIÓN 6/2</v>
      </c>
      <c r="C213" s="29" t="str">
        <f>IFERROR(__xludf.DUMMYFUNCTION("""COMPUTED_VALUE"""),"Pieza")</f>
        <v>Pieza</v>
      </c>
      <c r="D213" s="28" t="str">
        <f>IFERROR(__xludf.DUMMYFUNCTION("""COMPUTED_VALUE"""),"1871-AGOEDUGC")</f>
        <v>1871-AGOEDUGC</v>
      </c>
      <c r="E213" s="28" t="str">
        <f>IFERROR(__xludf.DUMMYFUNCTION("""COMPUTED_VALUE"""),"Campaña GCBA | Educación | TUMO")</f>
        <v>Campaña GCBA | Educación | TUMO</v>
      </c>
      <c r="F213" s="29" t="str">
        <f>IFERROR(__xludf.DUMMYFUNCTION("""COMPUTED_VALUE"""),"https://www.facebook.com/reel/818777800864033")</f>
        <v>https://www.facebook.com/reel/818777800864033</v>
      </c>
    </row>
    <row r="214">
      <c r="A214" s="28" t="str">
        <f>IFERROR(__xludf.DUMMYFUNCTION("""COMPUTED_VALUE"""),"2513-ENEPCCVC")</f>
        <v>2513-ENEPCCVC</v>
      </c>
      <c r="B214" s="28" t="str">
        <f>IFERROR(__xludf.DUMMYFUNCTION("""COMPUTED_VALUE"""),"Priorización de Nombre Paso Bajo Nivel Bosch")</f>
        <v>Priorización de Nombre Paso Bajo Nivel Bosch</v>
      </c>
      <c r="C214" s="29" t="str">
        <f>IFERROR(__xludf.DUMMYFUNCTION("""COMPUTED_VALUE"""),"Pieza")</f>
        <v>Pieza</v>
      </c>
      <c r="D214" s="28" t="str">
        <f>IFERROR(__xludf.DUMMYFUNCTION("""COMPUTED_VALUE"""),"1871-AGOEDUGC")</f>
        <v>1871-AGOEDUGC</v>
      </c>
      <c r="E214" s="28" t="str">
        <f>IFERROR(__xludf.DUMMYFUNCTION("""COMPUTED_VALUE"""),"Campaña GCBA | Educación | TUMO")</f>
        <v>Campaña GCBA | Educación | TUMO</v>
      </c>
      <c r="F214" s="29" t="str">
        <f>IFERROR(__xludf.DUMMYFUNCTION("""COMPUTED_VALUE"""),"https://www.facebook.com/reel/818777800864033")</f>
        <v>https://www.facebook.com/reel/818777800864033</v>
      </c>
    </row>
    <row r="215">
      <c r="A215" s="28" t="str">
        <f>IFERROR(__xludf.DUMMYFUNCTION("""COMPUTED_VALUE"""),"2145-OCTVINGC")</f>
        <v>2145-OCTVINGC</v>
      </c>
      <c r="B215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15" s="29" t="str">
        <f>IFERROR(__xludf.DUMMYFUNCTION("""COMPUTED_VALUE"""),"Pieza")</f>
        <v>Pieza</v>
      </c>
      <c r="D215" s="28" t="str">
        <f>IFERROR(__xludf.DUMMYFUNCTION("""COMPUTED_VALUE"""),"1871-AGOEDUGC")</f>
        <v>1871-AGOEDUGC</v>
      </c>
      <c r="E215" s="28" t="str">
        <f>IFERROR(__xludf.DUMMYFUNCTION("""COMPUTED_VALUE"""),"Campaña GCBA | Educación | TUMO")</f>
        <v>Campaña GCBA | Educación | TUMO</v>
      </c>
      <c r="F215" s="29" t="str">
        <f>IFERROR(__xludf.DUMMYFUNCTION("""COMPUTED_VALUE"""),"https://www.facebook.com/reel/818777800864033")</f>
        <v>https://www.facebook.com/reel/818777800864033</v>
      </c>
    </row>
    <row r="216">
      <c r="A216" s="28" t="str">
        <f>IFERROR(__xludf.DUMMYFUNCTION("""COMPUTED_VALUE"""),"2482-ENEINFGC")</f>
        <v>2482-ENEINFGC</v>
      </c>
      <c r="B216" s="28" t="str">
        <f>IFERROR(__xludf.DUMMYFUNCTION("""COMPUTED_VALUE"""),"VTV - Recordatorio de turno 2026")</f>
        <v>VTV - Recordatorio de turno 2026</v>
      </c>
      <c r="C216" s="29" t="str">
        <f>IFERROR(__xludf.DUMMYFUNCTION("""COMPUTED_VALUE"""),"Pieza")</f>
        <v>Pieza</v>
      </c>
      <c r="D216" s="28" t="str">
        <f>IFERROR(__xludf.DUMMYFUNCTION("""COMPUTED_VALUE"""),"2322-NOVEDUGC")</f>
        <v>2322-NOVEDUGC</v>
      </c>
      <c r="E216" s="28" t="str">
        <f>IFERROR(__xludf.DUMMYFUNCTION("""COMPUTED_VALUE"""),"TUMO Parque de la Innovación")</f>
        <v>TUMO Parque de la Innovación</v>
      </c>
      <c r="F216" s="29" t="str">
        <f>IFERROR(__xludf.DUMMYFUNCTION("""COMPUTED_VALUE"""),"https://www.facebook.com/reel/1259490412867632")</f>
        <v>https://www.facebook.com/reel/1259490412867632</v>
      </c>
    </row>
    <row r="217">
      <c r="A217" s="28" t="str">
        <f>IFERROR(__xludf.DUMMYFUNCTION("""COMPUTED_VALUE"""),"2482-ENEINFGC")</f>
        <v>2482-ENEINFGC</v>
      </c>
      <c r="B217" s="28" t="str">
        <f>IFERROR(__xludf.DUMMYFUNCTION("""COMPUTED_VALUE"""),"VTV - Recordatorio de turno 2026")</f>
        <v>VTV - Recordatorio de turno 2026</v>
      </c>
      <c r="C217" s="29" t="str">
        <f>IFERROR(__xludf.DUMMYFUNCTION("""COMPUTED_VALUE"""),"Pieza")</f>
        <v>Pieza</v>
      </c>
      <c r="D217" s="28" t="str">
        <f>IFERROR(__xludf.DUMMYFUNCTION("""COMPUTED_VALUE"""),"2322-NOVEDUGC")</f>
        <v>2322-NOVEDUGC</v>
      </c>
      <c r="E217" s="28" t="str">
        <f>IFERROR(__xludf.DUMMYFUNCTION("""COMPUTED_VALUE"""),"TUMO Parque de la Innovación")</f>
        <v>TUMO Parque de la Innovación</v>
      </c>
      <c r="F217" s="29" t="str">
        <f>IFERROR(__xludf.DUMMYFUNCTION("""COMPUTED_VALUE"""),"https://www.facebook.com/reel/1259490412867632")</f>
        <v>https://www.facebook.com/reel/1259490412867632</v>
      </c>
    </row>
    <row r="218">
      <c r="A218" s="28" t="str">
        <f>IFERROR(__xludf.DUMMYFUNCTION("""COMPUTED_VALUE"""),"2535-ENEEPHVC")</f>
        <v>2535-ENEEPHVC</v>
      </c>
      <c r="B218" s="28" t="str">
        <f>IFERROR(__xludf.DUMMYFUNCTION("""COMPUTED_VALUE"""),"RDV MINISTROS |  Ignacio Baistrocchi 3/2")</f>
        <v>RDV MINISTROS |  Ignacio Baistrocchi 3/2</v>
      </c>
      <c r="C218" s="29" t="str">
        <f>IFERROR(__xludf.DUMMYFUNCTION("""COMPUTED_VALUE"""),"Pieza")</f>
        <v>Pieza</v>
      </c>
      <c r="D218" s="28" t="str">
        <f>IFERROR(__xludf.DUMMYFUNCTION("""COMPUTED_VALUE"""),"1871-AGOEDUGC")</f>
        <v>1871-AGOEDUGC</v>
      </c>
      <c r="E218" s="28" t="str">
        <f>IFERROR(__xludf.DUMMYFUNCTION("""COMPUTED_VALUE"""),"Campaña GCBA | Educación | TUMO")</f>
        <v>Campaña GCBA | Educación | TUMO</v>
      </c>
      <c r="F218" s="29" t="str">
        <f>IFERROR(__xludf.DUMMYFUNCTION("""COMPUTED_VALUE"""),"https://www.facebook.com/reel/818777800864033")</f>
        <v>https://www.facebook.com/reel/818777800864033</v>
      </c>
    </row>
    <row r="219">
      <c r="A219" s="28" t="str">
        <f>IFERROR(__xludf.DUMMYFUNCTION("""COMPUTED_VALUE"""),"2542-ENESEGVC")</f>
        <v>2542-ENESEGVC</v>
      </c>
      <c r="B219" s="28" t="str">
        <f>IFERROR(__xludf.DUMMYFUNCTION("""COMPUTED_VALUE"""),"RDV MINISTROS | GABINO TAPIA 5/2 COMUNA 2")</f>
        <v>RDV MINISTROS | GABINO TAPIA 5/2 COMUNA 2</v>
      </c>
      <c r="C219" s="29" t="str">
        <f>IFERROR(__xludf.DUMMYFUNCTION("""COMPUTED_VALUE"""),"Pieza")</f>
        <v>Pieza</v>
      </c>
      <c r="D219" s="28" t="str">
        <f>IFERROR(__xludf.DUMMYFUNCTION("""COMPUTED_VALUE"""),"1871-AGOEDUGC")</f>
        <v>1871-AGOEDUGC</v>
      </c>
      <c r="E219" s="28" t="str">
        <f>IFERROR(__xludf.DUMMYFUNCTION("""COMPUTED_VALUE"""),"Campaña GCBA | Educación | TUMO")</f>
        <v>Campaña GCBA | Educación | TUMO</v>
      </c>
      <c r="F219" s="29" t="str">
        <f>IFERROR(__xludf.DUMMYFUNCTION("""COMPUTED_VALUE"""),"https://www.facebook.com/reel/818777800864033")</f>
        <v>https://www.facebook.com/reel/818777800864033</v>
      </c>
    </row>
    <row r="220">
      <c r="A220" s="28" t="str">
        <f>IFERROR(__xludf.DUMMYFUNCTION("""COMPUTED_VALUE"""),"2540-ENESEGVC")</f>
        <v>2540-ENESEGVC</v>
      </c>
      <c r="B220" s="28" t="str">
        <f>IFERROR(__xludf.DUMMYFUNCTION("""COMPUTED_VALUE"""),"RDV MINISTROS |  MAXIMILIANO PIÑEIRO 5/2 COMUNA 1 SUR")</f>
        <v>RDV MINISTROS |  MAXIMILIANO PIÑEIRO 5/2 COMUNA 1 SUR</v>
      </c>
      <c r="C220" s="29" t="str">
        <f>IFERROR(__xludf.DUMMYFUNCTION("""COMPUTED_VALUE"""),"Pieza")</f>
        <v>Pieza</v>
      </c>
      <c r="D220" s="28" t="str">
        <f>IFERROR(__xludf.DUMMYFUNCTION("""COMPUTED_VALUE"""),"1871-AGOEDUGC")</f>
        <v>1871-AGOEDUGC</v>
      </c>
      <c r="E220" s="28" t="str">
        <f>IFERROR(__xludf.DUMMYFUNCTION("""COMPUTED_VALUE"""),"Campaña GCBA | Educación | TUMO")</f>
        <v>Campaña GCBA | Educación | TUMO</v>
      </c>
      <c r="F220" s="29" t="str">
        <f>IFERROR(__xludf.DUMMYFUNCTION("""COMPUTED_VALUE"""),"https://www.facebook.com/reel/818777800864033")</f>
        <v>https://www.facebook.com/reel/818777800864033</v>
      </c>
    </row>
    <row r="221">
      <c r="A221" s="28" t="str">
        <f>IFERROR(__xludf.DUMMYFUNCTION("""COMPUTED_VALUE"""),"2541-ENESEGVC")</f>
        <v>2541-ENESEGVC</v>
      </c>
      <c r="B221" s="28" t="str">
        <f>IFERROR(__xludf.DUMMYFUNCTION("""COMPUTED_VALUE"""),"RDV MINISTROS | HORACIO GIMÉNEZ 5/2 COMUNA 1 NORTE")</f>
        <v>RDV MINISTROS | HORACIO GIMÉNEZ 5/2 COMUNA 1 NORTE</v>
      </c>
      <c r="C221" s="29" t="str">
        <f>IFERROR(__xludf.DUMMYFUNCTION("""COMPUTED_VALUE"""),"Pieza")</f>
        <v>Pieza</v>
      </c>
      <c r="D221" s="28" t="str">
        <f>IFERROR(__xludf.DUMMYFUNCTION("""COMPUTED_VALUE"""),"2483-ENESEGGC")</f>
        <v>2483-ENESEGGC</v>
      </c>
      <c r="E221" s="28" t="str">
        <f>IFERROR(__xludf.DUMMYFUNCTION("""COMPUTED_VALUE"""),"Campaña GCBA I Seguridad | Desalojo Constitución")</f>
        <v>Campaña GCBA I Seguridad | Desalojo Constitución</v>
      </c>
      <c r="F221" s="29" t="str">
        <f>IFERROR(__xludf.DUMMYFUNCTION("""COMPUTED_VALUE"""),"https://www.facebook.com/reel/1332009022300877")</f>
        <v>https://www.facebook.com/reel/1332009022300877</v>
      </c>
    </row>
    <row r="222">
      <c r="A222" s="28" t="str">
        <f>IFERROR(__xludf.DUMMYFUNCTION("""COMPUTED_VALUE"""),"2536-ENESALGC")</f>
        <v>2536-ENESALGC</v>
      </c>
      <c r="B222" s="28" t="str">
        <f>IFERROR(__xludf.DUMMYFUNCTION("""COMPUTED_VALUE"""),"Mejoras y actualizaciones módulo HIS")</f>
        <v>Mejoras y actualizaciones módulo HIS</v>
      </c>
      <c r="C222" s="29" t="str">
        <f>IFERROR(__xludf.DUMMYFUNCTION("""COMPUTED_VALUE"""),"Pieza")</f>
        <v>Pieza</v>
      </c>
      <c r="D222" s="28" t="str">
        <f>IFERROR(__xludf.DUMMYFUNCTION("""COMPUTED_VALUE"""),"2483-ENESEGGC")</f>
        <v>2483-ENESEGGC</v>
      </c>
      <c r="E222" s="28" t="str">
        <f>IFERROR(__xludf.DUMMYFUNCTION("""COMPUTED_VALUE"""),"Campaña GCBA I Seguridad | Desalojo Constitución")</f>
        <v>Campaña GCBA I Seguridad | Desalojo Constitución</v>
      </c>
      <c r="F222" s="29" t="str">
        <f>IFERROR(__xludf.DUMMYFUNCTION("""COMPUTED_VALUE"""),"https://www.facebook.com/reel/1332009022300877")</f>
        <v>https://www.facebook.com/reel/1332009022300877</v>
      </c>
    </row>
    <row r="223">
      <c r="A223" s="28" t="str">
        <f>IFERROR(__xludf.DUMMYFUNCTION("""COMPUTED_VALUE"""),"2569-FEBVINVC")</f>
        <v>2569-FEBVINVC</v>
      </c>
      <c r="B223" s="28" t="str">
        <f>IFERROR(__xludf.DUMMYFUNCTION("""COMPUTED_VALUE"""),"RDV MINISTROS |  Ezequiel Sabor 9/2")</f>
        <v>RDV MINISTROS |  Ezequiel Sabor 9/2</v>
      </c>
      <c r="C223" s="29" t="str">
        <f>IFERROR(__xludf.DUMMYFUNCTION("""COMPUTED_VALUE"""),"Pieza")</f>
        <v>Pieza</v>
      </c>
      <c r="D223" s="28" t="str">
        <f>IFERROR(__xludf.DUMMYFUNCTION("""COMPUTED_VALUE"""),"2108-OCTEDUGC")</f>
        <v>2108-OCTEDUGC</v>
      </c>
      <c r="E223" s="28" t="str">
        <f>IFERROR(__xludf.DUMMYFUNCTION("""COMPUTED_VALUE"""),"Inscripción 2025 a Profesorados de la Ciudad")</f>
        <v>Inscripción 2025 a Profesorados de la Ciudad</v>
      </c>
      <c r="F223" s="29" t="str">
        <f>IFERROR(__xludf.DUMMYFUNCTION("""COMPUTED_VALUE"""),"https://www.facebook.com/GCBA/posts/1295953569230956")</f>
        <v>https://www.facebook.com/GCBA/posts/1295953569230956</v>
      </c>
    </row>
    <row r="224">
      <c r="A224" s="28" t="str">
        <f>IFERROR(__xludf.DUMMYFUNCTION("""COMPUTED_VALUE"""),"2527-ENEPCCVC")</f>
        <v>2527-ENEPCCVC</v>
      </c>
      <c r="B224" s="28" t="str">
        <f>IFERROR(__xludf.DUMMYFUNCTION("""COMPUTED_VALUE"""),"Verano 2026- Un día perfecto")</f>
        <v>Verano 2026- Un día perfecto</v>
      </c>
      <c r="C224" s="29" t="str">
        <f>IFERROR(__xludf.DUMMYFUNCTION("""COMPUTED_VALUE"""),"Pieza")</f>
        <v>Pieza</v>
      </c>
      <c r="D224" s="28" t="str">
        <f>IFERROR(__xludf.DUMMYFUNCTION("""COMPUTED_VALUE"""),"2108-OCTEDUGC")</f>
        <v>2108-OCTEDUGC</v>
      </c>
      <c r="E224" s="28" t="str">
        <f>IFERROR(__xludf.DUMMYFUNCTION("""COMPUTED_VALUE"""),"Inscripción 2025 a Profesorados de la Ciudad")</f>
        <v>Inscripción 2025 a Profesorados de la Ciudad</v>
      </c>
      <c r="F224" s="29" t="str">
        <f>IFERROR(__xludf.DUMMYFUNCTION("""COMPUTED_VALUE"""),"https://www.facebook.com/GCBA/posts/1295953569230956")</f>
        <v>https://www.facebook.com/GCBA/posts/1295953569230956</v>
      </c>
    </row>
    <row r="225">
      <c r="A225" s="28" t="str">
        <f>IFERROR(__xludf.DUMMYFUNCTION("""COMPUTED_VALUE"""),"2145-OCTVINGC")</f>
        <v>2145-OCTVINGC</v>
      </c>
      <c r="B225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25" s="29" t="str">
        <f>IFERROR(__xludf.DUMMYFUNCTION("""COMPUTED_VALUE"""),"Pieza")</f>
        <v>Pieza</v>
      </c>
      <c r="D225" s="28" t="str">
        <f>IFERROR(__xludf.DUMMYFUNCTION("""COMPUTED_VALUE"""),"2508-ENEINFGC")</f>
        <v>2508-ENEINFGC</v>
      </c>
      <c r="E225" s="28" t="str">
        <f>IFERROR(__xludf.DUMMYFUNCTION("""COMPUTED_VALUE"""),"Infraestructura I AU Dellepiane : durante de obra")</f>
        <v>Infraestructura I AU Dellepiane : durante de obra</v>
      </c>
      <c r="F225" s="28"/>
    </row>
    <row r="226">
      <c r="A226" s="28" t="str">
        <f>IFERROR(__xludf.DUMMYFUNCTION("""COMPUTED_VALUE"""),"2553-FEBINFGC")</f>
        <v>2553-FEBINFGC</v>
      </c>
      <c r="B226" s="28" t="str">
        <f>IFERROR(__xludf.DUMMYFUNCTION("""COMPUTED_VALUE"""),"Infraestructura I Cortes por obras TramBus FEBRERO")</f>
        <v>Infraestructura I Cortes por obras TramBus FEBRERO</v>
      </c>
      <c r="C226" s="29" t="str">
        <f>IFERROR(__xludf.DUMMYFUNCTION("""COMPUTED_VALUE"""),"Pieza")</f>
        <v>Pieza</v>
      </c>
      <c r="D226" s="28" t="str">
        <f>IFERROR(__xludf.DUMMYFUNCTION("""COMPUTED_VALUE"""),"2415-DICINFGC")</f>
        <v>2415-DICINFGC</v>
      </c>
      <c r="E226" s="28" t="str">
        <f>IFERROR(__xludf.DUMMYFUNCTION("""COMPUTED_VALUE"""),"INFRAESTRUCTURA | Cortes y Desvíos del finde 13 y 14 Dic")</f>
        <v>INFRAESTRUCTURA | Cortes y Desvíos del finde 13 y 14 Dic</v>
      </c>
      <c r="F226" s="29" t="str">
        <f>IFERROR(__xludf.DUMMYFUNCTION("""COMPUTED_VALUE"""),"https://fb.me/adspreview/facebook/1OAFpHtWtwxdixl")</f>
        <v>https://fb.me/adspreview/facebook/1OAFpHtWtwxdixl</v>
      </c>
    </row>
    <row r="227">
      <c r="A227" s="28" t="str">
        <f>IFERROR(__xludf.DUMMYFUNCTION("""COMPUTED_VALUE"""),"2530-ENEJDGVC")</f>
        <v>2530-ENEJDGVC</v>
      </c>
      <c r="B227" s="28" t="str">
        <f>IFERROR(__xludf.DUMMYFUNCTION("""COMPUTED_VALUE"""),"RDV MINISTROS | Gabriel Sanchez Zinny 04/02")</f>
        <v>RDV MINISTROS | Gabriel Sanchez Zinny 04/02</v>
      </c>
      <c r="C227" s="29" t="str">
        <f>IFERROR(__xludf.DUMMYFUNCTION("""COMPUTED_VALUE"""),"Pieza")</f>
        <v>Pieza</v>
      </c>
      <c r="D227" s="28" t="str">
        <f>IFERROR(__xludf.DUMMYFUNCTION("""COMPUTED_VALUE"""),"2535-ENEEPHVC")</f>
        <v>2535-ENEEPHVC</v>
      </c>
      <c r="E227" s="28" t="str">
        <f>IFERROR(__xludf.DUMMYFUNCTION("""COMPUTED_VALUE"""),"RDV MINISTROS |  Ignacio Baistrocchi 3/2")</f>
        <v>RDV MINISTROS |  Ignacio Baistrocchi 3/2</v>
      </c>
      <c r="F227" s="28"/>
    </row>
    <row r="228">
      <c r="A228" s="28" t="str">
        <f>IFERROR(__xludf.DUMMYFUNCTION("""COMPUTED_VALUE"""),"2532-ENEJDGAG")</f>
        <v>2532-ENEJDGAG</v>
      </c>
      <c r="B228" s="28" t="str">
        <f>IFERROR(__xludf.DUMMYFUNCTION("""COMPUTED_VALUE"""),"RDV JM | VILLA URQUIZA 2/2")</f>
        <v>RDV JM | VILLA URQUIZA 2/2</v>
      </c>
      <c r="C228" s="29" t="str">
        <f>IFERROR(__xludf.DUMMYFUNCTION("""COMPUTED_VALUE"""),"Pieza")</f>
        <v>Pieza</v>
      </c>
      <c r="D228" s="28" t="str">
        <f>IFERROR(__xludf.DUMMYFUNCTION("""COMPUTED_VALUE"""),"2530-ENEJDGVC")</f>
        <v>2530-ENEJDGVC</v>
      </c>
      <c r="E228" s="28" t="str">
        <f>IFERROR(__xludf.DUMMYFUNCTION("""COMPUTED_VALUE"""),"RDV MINISTROS | Gabriel Sanchez Zinny 04/02")</f>
        <v>RDV MINISTROS | Gabriel Sanchez Zinny 04/02</v>
      </c>
      <c r="F228" s="28"/>
    </row>
    <row r="229">
      <c r="A229" s="28" t="str">
        <f>IFERROR(__xludf.DUMMYFUNCTION("""COMPUTED_VALUE"""),"2532-ENEJDGAG")</f>
        <v>2532-ENEJDGAG</v>
      </c>
      <c r="B229" s="28" t="str">
        <f>IFERROR(__xludf.DUMMYFUNCTION("""COMPUTED_VALUE"""),"RDV JM | VILLA URQUIZA 2/2")</f>
        <v>RDV JM | VILLA URQUIZA 2/2</v>
      </c>
      <c r="C229" s="29" t="str">
        <f>IFERROR(__xludf.DUMMYFUNCTION("""COMPUTED_VALUE"""),"Pieza")</f>
        <v>Pieza</v>
      </c>
      <c r="D229" s="28" t="str">
        <f>IFERROR(__xludf.DUMMYFUNCTION("""COMPUTED_VALUE"""),"2542-ENESEGVC")</f>
        <v>2542-ENESEGVC</v>
      </c>
      <c r="E229" s="28" t="str">
        <f>IFERROR(__xludf.DUMMYFUNCTION("""COMPUTED_VALUE"""),"RDV MINISTROS | GABINO TAPIA 5/2 COMUNA 2")</f>
        <v>RDV MINISTROS | GABINO TAPIA 5/2 COMUNA 2</v>
      </c>
      <c r="F229" s="28"/>
    </row>
    <row r="230">
      <c r="A230" s="28" t="str">
        <f>IFERROR(__xludf.DUMMYFUNCTION("""COMPUTED_VALUE"""),"2531-ENEJDGVC")</f>
        <v>2531-ENEJDGVC</v>
      </c>
      <c r="B230" s="28" t="str">
        <f>IFERROR(__xludf.DUMMYFUNCTION("""COMPUTED_VALUE"""),"RDV MINISTROS | Gabriel Sanchez Zinny 06/02")</f>
        <v>RDV MINISTROS | Gabriel Sanchez Zinny 06/02</v>
      </c>
      <c r="C230" s="29" t="str">
        <f>IFERROR(__xludf.DUMMYFUNCTION("""COMPUTED_VALUE"""),"Pieza")</f>
        <v>Pieza</v>
      </c>
      <c r="D230" s="28" t="str">
        <f>IFERROR(__xludf.DUMMYFUNCTION("""COMPUTED_VALUE"""),"2529-ENESEGGC")</f>
        <v>2529-ENESEGGC</v>
      </c>
      <c r="E230" s="28" t="str">
        <f>IFERROR(__xludf.DUMMYFUNCTION("""COMPUTED_VALUE"""),"CAMPAÑA GCBA | SEGURIDAD | Nuevo equipamiento PDLC")</f>
        <v>CAMPAÑA GCBA | SEGURIDAD | Nuevo equipamiento PDLC</v>
      </c>
      <c r="F230" s="28"/>
    </row>
    <row r="231">
      <c r="A231" s="28" t="str">
        <f>IFERROR(__xludf.DUMMYFUNCTION("""COMPUTED_VALUE"""),"2533-ENEJDGAG")</f>
        <v>2533-ENEJDGAG</v>
      </c>
      <c r="B231" s="28" t="str">
        <f>IFERROR(__xludf.DUMMYFUNCTION("""COMPUTED_VALUE"""),"RDV JM | CONSTITUCIÓN 6/2")</f>
        <v>RDV JM | CONSTITUCIÓN 6/2</v>
      </c>
      <c r="C231" s="29" t="str">
        <f>IFERROR(__xludf.DUMMYFUNCTION("""COMPUTED_VALUE"""),"Pieza")</f>
        <v>Pieza</v>
      </c>
      <c r="D231" s="28" t="str">
        <f>IFERROR(__xludf.DUMMYFUNCTION("""COMPUTED_VALUE"""),"2529-ENESEGGC")</f>
        <v>2529-ENESEGGC</v>
      </c>
      <c r="E231" s="28" t="str">
        <f>IFERROR(__xludf.DUMMYFUNCTION("""COMPUTED_VALUE"""),"CAMPAÑA GCBA | SEGURIDAD | Nuevo equipamiento PDLC")</f>
        <v>CAMPAÑA GCBA | SEGURIDAD | Nuevo equipamiento PDLC</v>
      </c>
      <c r="F231" s="28"/>
    </row>
    <row r="232">
      <c r="A232" s="28" t="str">
        <f>IFERROR(__xludf.DUMMYFUNCTION("""COMPUTED_VALUE"""),"2528-ENEPCCVC")</f>
        <v>2528-ENEPCCVC</v>
      </c>
      <c r="B232" s="28" t="str">
        <f>IFERROR(__xludf.DUMMYFUNCTION("""COMPUTED_VALUE"""),"Verano 2026 - CIFA para chicos")</f>
        <v>Verano 2026 - CIFA para chicos</v>
      </c>
      <c r="C232" s="29" t="str">
        <f>IFERROR(__xludf.DUMMYFUNCTION("""COMPUTED_VALUE"""),"Pieza")</f>
        <v>Pieza</v>
      </c>
      <c r="D232" s="28" t="str">
        <f>IFERROR(__xludf.DUMMYFUNCTION("""COMPUTED_VALUE"""),"2293-NOVFESGC")</f>
        <v>2293-NOVFESGC</v>
      </c>
      <c r="E232" s="28" t="str">
        <f>IFERROR(__xludf.DUMMYFUNCTION("""COMPUTED_VALUE"""),"LA CIUDAD MAS LINDA DEL MUNDO")</f>
        <v>LA CIUDAD MAS LINDA DEL MUNDO</v>
      </c>
      <c r="F232" s="29" t="str">
        <f>IFERROR(__xludf.DUMMYFUNCTION("""COMPUTED_VALUE"""),"https://www.facebook.com/GCBA/posts/pfbid0yZFqpziwsSvEpGHnbKnvgTkMNo6Ys8gfLmUBqRKhRCH71tiHcf1cXzt2RhCmokjMl")</f>
        <v>https://www.facebook.com/GCBA/posts/pfbid0yZFqpziwsSvEpGHnbKnvgTkMNo6Ys8gfLmUBqRKhRCH71tiHcf1cXzt2RhCmokjMl</v>
      </c>
    </row>
    <row r="233">
      <c r="A233" s="28" t="str">
        <f>IFERROR(__xludf.DUMMYFUNCTION("""COMPUTED_VALUE"""),"2549-FEBDHHVC")</f>
        <v>2549-FEBDHHVC</v>
      </c>
      <c r="B233" s="28" t="str">
        <f>IFERROR(__xludf.DUMMYFUNCTION("""COMPUTED_VALUE"""),"RDV Ministros | Gabriel Mraida - 6/2")</f>
        <v>RDV Ministros | Gabriel Mraida - 6/2</v>
      </c>
      <c r="C233" s="29" t="str">
        <f>IFERROR(__xludf.DUMMYFUNCTION("""COMPUTED_VALUE"""),"Pieza")</f>
        <v>Pieza</v>
      </c>
      <c r="D233" s="28" t="str">
        <f>IFERROR(__xludf.DUMMYFUNCTION("""COMPUTED_VALUE"""),"2293-NOVFESGC")</f>
        <v>2293-NOVFESGC</v>
      </c>
      <c r="E233" s="28" t="str">
        <f>IFERROR(__xludf.DUMMYFUNCTION("""COMPUTED_VALUE"""),"LA CIUDAD MAS LINDA DEL MUNDO")</f>
        <v>LA CIUDAD MAS LINDA DEL MUNDO</v>
      </c>
      <c r="F233" s="29" t="str">
        <f>IFERROR(__xludf.DUMMYFUNCTION("""COMPUTED_VALUE"""),"facebook.com/reel/1186230880144850/")</f>
        <v>facebook.com/reel/1186230880144850/</v>
      </c>
    </row>
    <row r="234">
      <c r="A234" s="28" t="str">
        <f>IFERROR(__xludf.DUMMYFUNCTION("""COMPUTED_VALUE"""),"1895-SEPEPHGC")</f>
        <v>1895-SEPEPHGC</v>
      </c>
      <c r="B234" s="28" t="str">
        <f>IFERROR(__xludf.DUMMYFUNCTION("""COMPUTED_VALUE"""),"PIEZAS M2 | MEPHU | REPAVIMENTACIÓN")</f>
        <v>PIEZAS M2 | MEPHU | REPAVIMENTACIÓN</v>
      </c>
      <c r="C234" s="29" t="str">
        <f>IFERROR(__xludf.DUMMYFUNCTION("""COMPUTED_VALUE"""),"Pieza")</f>
        <v>Pieza</v>
      </c>
      <c r="D234" s="28" t="str">
        <f>IFERROR(__xludf.DUMMYFUNCTION("""COMPUTED_VALUE"""),"2293-NOVFESGC")</f>
        <v>2293-NOVFESGC</v>
      </c>
      <c r="E234" s="28" t="str">
        <f>IFERROR(__xludf.DUMMYFUNCTION("""COMPUTED_VALUE"""),"LA CIUDAD MAS LINDA DEL MUNDO")</f>
        <v>LA CIUDAD MAS LINDA DEL MUNDO</v>
      </c>
      <c r="F234" s="29" t="str">
        <f>IFERROR(__xludf.DUMMYFUNCTION("""COMPUTED_VALUE"""),"https://www.facebook.com/reel/25486521711039015/")</f>
        <v>https://www.facebook.com/reel/25486521711039015/</v>
      </c>
    </row>
    <row r="235">
      <c r="A235" s="28" t="str">
        <f>IFERROR(__xludf.DUMMYFUNCTION("""COMPUTED_VALUE"""),"1942-SEPEPHGC")</f>
        <v>1942-SEPEPHGC</v>
      </c>
      <c r="B235" s="28" t="str">
        <f>IFERROR(__xludf.DUMMYFUNCTION("""COMPUTED_VALUE"""),"DGPLES | MEPHU  | REPARACIÓN DE VEREDAS")</f>
        <v>DGPLES | MEPHU  | REPARACIÓN DE VEREDAS</v>
      </c>
      <c r="C235" s="29" t="str">
        <f>IFERROR(__xludf.DUMMYFUNCTION("""COMPUTED_VALUE"""),"Pieza")</f>
        <v>Pieza</v>
      </c>
      <c r="D235" s="28" t="str">
        <f>IFERROR(__xludf.DUMMYFUNCTION("""COMPUTED_VALUE"""),"2543-ENESEGVC")</f>
        <v>2543-ENESEGVC</v>
      </c>
      <c r="E235" s="28" t="str">
        <f>IFERROR(__xludf.DUMMYFUNCTION("""COMPUTED_VALUE"""),"RDV MINISTROS | RUTH LANDERRECHE 5/2 COMUNA 3")</f>
        <v>RDV MINISTROS | RUTH LANDERRECHE 5/2 COMUNA 3</v>
      </c>
      <c r="F235" s="28"/>
    </row>
    <row r="236">
      <c r="A236" s="28" t="str">
        <f>IFERROR(__xludf.DUMMYFUNCTION("""COMPUTED_VALUE"""),"2561-FEBPCCVC")</f>
        <v>2561-FEBPCCVC</v>
      </c>
      <c r="B236" s="28" t="str">
        <f>IFERROR(__xludf.DUMMYFUNCTION("""COMPUTED_VALUE"""),"Café con vecinos | Lombardi | Piragine | Tapia 9/2")</f>
        <v>Café con vecinos | Lombardi | Piragine | Tapia 9/2</v>
      </c>
      <c r="C236" s="29" t="str">
        <f>IFERROR(__xludf.DUMMYFUNCTION("""COMPUTED_VALUE"""),"Pieza")</f>
        <v>Pieza</v>
      </c>
      <c r="D236" s="28" t="str">
        <f>IFERROR(__xludf.DUMMYFUNCTION("""COMPUTED_VALUE"""),"2540-ENESEGVC")</f>
        <v>2540-ENESEGVC</v>
      </c>
      <c r="E236" s="28" t="str">
        <f>IFERROR(__xludf.DUMMYFUNCTION("""COMPUTED_VALUE"""),"RDV MINISTROS |  MAXIMILIANO PIÑEIRO 5/2 COMUNA 1 SUR")</f>
        <v>RDV MINISTROS |  MAXIMILIANO PIÑEIRO 5/2 COMUNA 1 SUR</v>
      </c>
      <c r="F236" s="28"/>
    </row>
    <row r="237">
      <c r="A237" s="28" t="str">
        <f>IFERROR(__xludf.DUMMYFUNCTION("""COMPUTED_VALUE"""),"2566-FEBCULVC")</f>
        <v>2566-FEBCULVC</v>
      </c>
      <c r="B237" s="28" t="str">
        <f>IFERROR(__xludf.DUMMYFUNCTION("""COMPUTED_VALUE"""),"RDV MINISTROS |  GABRIELA RICARDES 11/2")</f>
        <v>RDV MINISTROS |  GABRIELA RICARDES 11/2</v>
      </c>
      <c r="C237" s="29" t="str">
        <f>IFERROR(__xludf.DUMMYFUNCTION("""COMPUTED_VALUE"""),"Pieza")</f>
        <v>Pieza</v>
      </c>
      <c r="D237" s="28" t="str">
        <f>IFERROR(__xludf.DUMMYFUNCTION("""COMPUTED_VALUE"""),"2433-DICFESGC")</f>
        <v>2433-DICFESGC</v>
      </c>
      <c r="E237" s="28" t="str">
        <f>IFERROR(__xludf.DUMMYFUNCTION("""COMPUTED_VALUE"""),"Verano en la Ciudad | AftersBA")</f>
        <v>Verano en la Ciudad | AftersBA</v>
      </c>
      <c r="F237" s="29" t="str">
        <f>IFERROR(__xludf.DUMMYFUNCTION("""COMPUTED_VALUE"""),"https://www.facebook.com/reel/1401103571662551")</f>
        <v>https://www.facebook.com/reel/1401103571662551</v>
      </c>
    </row>
    <row r="238">
      <c r="A238" s="28" t="str">
        <f>IFERROR(__xludf.DUMMYFUNCTION("""COMPUTED_VALUE"""),"2560-FEBINFGC")</f>
        <v>2560-FEBINFGC</v>
      </c>
      <c r="B238" s="28" t="str">
        <f>IFERROR(__xludf.DUMMYFUNCTION("""COMPUTED_VALUE"""),"Freeflow montaje de pórtico AU 25 de mayo - Peaje Varela")</f>
        <v>Freeflow montaje de pórtico AU 25 de mayo - Peaje Varela</v>
      </c>
      <c r="C238" s="29" t="str">
        <f>IFERROR(__xludf.DUMMYFUNCTION("""COMPUTED_VALUE"""),"Pieza")</f>
        <v>Pieza</v>
      </c>
      <c r="D238" s="28" t="str">
        <f>IFERROR(__xludf.DUMMYFUNCTION("""COMPUTED_VALUE"""),"2433-DICFESGC")</f>
        <v>2433-DICFESGC</v>
      </c>
      <c r="E238" s="28" t="str">
        <f>IFERROR(__xludf.DUMMYFUNCTION("""COMPUTED_VALUE"""),"Verano en la Ciudad | AftersBA")</f>
        <v>Verano en la Ciudad | AftersBA</v>
      </c>
      <c r="F238" s="29" t="str">
        <f>IFERROR(__xludf.DUMMYFUNCTION("""COMPUTED_VALUE"""),"https://www.facebook.com/reel/1401103571662551")</f>
        <v>https://www.facebook.com/reel/1401103571662551</v>
      </c>
    </row>
    <row r="239">
      <c r="A239" s="28" t="str">
        <f>IFERROR(__xludf.DUMMYFUNCTION("""COMPUTED_VALUE"""),"2556-FEBINFGC")</f>
        <v>2556-FEBINFGC</v>
      </c>
      <c r="B239" s="28" t="str">
        <f>IFERROR(__xludf.DUMMYFUNCTION("""COMPUTED_VALUE"""),"Infraestructura | Apertura estación Agüero")</f>
        <v>Infraestructura | Apertura estación Agüero</v>
      </c>
      <c r="C239" s="29" t="str">
        <f>IFERROR(__xludf.DUMMYFUNCTION("""COMPUTED_VALUE"""),"Pieza")</f>
        <v>Pieza</v>
      </c>
      <c r="D239" s="28" t="str">
        <f>IFERROR(__xludf.DUMMYFUNCTION("""COMPUTED_VALUE"""),"2433-DICFESGC")</f>
        <v>2433-DICFESGC</v>
      </c>
      <c r="E239" s="28" t="str">
        <f>IFERROR(__xludf.DUMMYFUNCTION("""COMPUTED_VALUE"""),"Verano en la Ciudad | AftersBA")</f>
        <v>Verano en la Ciudad | AftersBA</v>
      </c>
      <c r="F239" s="29" t="str">
        <f>IFERROR(__xludf.DUMMYFUNCTION("""COMPUTED_VALUE"""),"https://www.facebook.com/reel/1401103571662551")</f>
        <v>https://www.facebook.com/reel/1401103571662551</v>
      </c>
    </row>
    <row r="240">
      <c r="A240" s="28" t="str">
        <f>IFERROR(__xludf.DUMMYFUNCTION("""COMPUTED_VALUE"""),"2571-FEBJDGVC")</f>
        <v>2571-FEBJDGVC</v>
      </c>
      <c r="B240" s="28" t="str">
        <f>IFERROR(__xludf.DUMMYFUNCTION("""COMPUTED_VALUE"""),"RDV MINISTROS | Gabriel Sanchez Zinny 11/2")</f>
        <v>RDV MINISTROS | Gabriel Sanchez Zinny 11/2</v>
      </c>
      <c r="C240" s="29" t="str">
        <f>IFERROR(__xludf.DUMMYFUNCTION("""COMPUTED_VALUE"""),"Pieza")</f>
        <v>Pieza</v>
      </c>
      <c r="D240" s="28" t="str">
        <f>IFERROR(__xludf.DUMMYFUNCTION("""COMPUTED_VALUE"""),"2433-DICFESGC")</f>
        <v>2433-DICFESGC</v>
      </c>
      <c r="E240" s="28" t="str">
        <f>IFERROR(__xludf.DUMMYFUNCTION("""COMPUTED_VALUE"""),"Verano en la Ciudad | AftersBA")</f>
        <v>Verano en la Ciudad | AftersBA</v>
      </c>
      <c r="F240" s="29" t="str">
        <f>IFERROR(__xludf.DUMMYFUNCTION("""COMPUTED_VALUE"""),"https://www.facebook.com/reel/1401103571662551")</f>
        <v>https://www.facebook.com/reel/1401103571662551</v>
      </c>
    </row>
    <row r="241">
      <c r="A241" s="28" t="str">
        <f>IFERROR(__xludf.DUMMYFUNCTION("""COMPUTED_VALUE"""),"2570-FEBJDGVC")</f>
        <v>2570-FEBJDGVC</v>
      </c>
      <c r="B241" s="28" t="str">
        <f>IFERROR(__xludf.DUMMYFUNCTION("""COMPUTED_VALUE"""),"RDV MINISTROS | Gabriel Sanchez Zinny 10/2")</f>
        <v>RDV MINISTROS | Gabriel Sanchez Zinny 10/2</v>
      </c>
      <c r="C241" s="29" t="str">
        <f>IFERROR(__xludf.DUMMYFUNCTION("""COMPUTED_VALUE"""),"Pieza")</f>
        <v>Pieza</v>
      </c>
      <c r="D241" s="28" t="str">
        <f>IFERROR(__xludf.DUMMYFUNCTION("""COMPUTED_VALUE"""),"2433-DICFESGC")</f>
        <v>2433-DICFESGC</v>
      </c>
      <c r="E241" s="28" t="str">
        <f>IFERROR(__xludf.DUMMYFUNCTION("""COMPUTED_VALUE"""),"Verano en la Ciudad | AftersBA")</f>
        <v>Verano en la Ciudad | AftersBA</v>
      </c>
      <c r="F241" s="29" t="str">
        <f>IFERROR(__xludf.DUMMYFUNCTION("""COMPUTED_VALUE"""),"https://www.facebook.com/reel/1401103571662551")</f>
        <v>https://www.facebook.com/reel/1401103571662551</v>
      </c>
    </row>
    <row r="242">
      <c r="A242" s="28" t="str">
        <f>IFERROR(__xludf.DUMMYFUNCTION("""COMPUTED_VALUE"""),"2572-FEBEDUVC")</f>
        <v>2572-FEBEDUVC</v>
      </c>
      <c r="B242" s="28" t="str">
        <f>IFERROR(__xludf.DUMMYFUNCTION("""COMPUTED_VALUE"""),"RDV MINISTROS | Mercedes Miguel  10/2 COMUNA 1")</f>
        <v>RDV MINISTROS | Mercedes Miguel  10/2 COMUNA 1</v>
      </c>
      <c r="C242" s="29" t="str">
        <f>IFERROR(__xludf.DUMMYFUNCTION("""COMPUTED_VALUE"""),"Pieza")</f>
        <v>Pieza</v>
      </c>
      <c r="D242" s="28" t="str">
        <f>IFERROR(__xludf.DUMMYFUNCTION("""COMPUTED_VALUE"""),"2541-ENESEGVC")</f>
        <v>2541-ENESEGVC</v>
      </c>
      <c r="E242" s="28" t="str">
        <f>IFERROR(__xludf.DUMMYFUNCTION("""COMPUTED_VALUE"""),"RDV MINISTROS | HORACIO GIMÉNEZ 5/2 COMUNA 1 NORTE")</f>
        <v>RDV MINISTROS | HORACIO GIMÉNEZ 5/2 COMUNA 1 NORTE</v>
      </c>
      <c r="F242" s="28"/>
    </row>
    <row r="243">
      <c r="A243" s="28" t="str">
        <f>IFERROR(__xludf.DUMMYFUNCTION("""COMPUTED_VALUE"""),"2460-ENEFESGC")</f>
        <v>2460-ENEFESGC</v>
      </c>
      <c r="B243" s="28" t="str">
        <f>IFERROR(__xludf.DUMMYFUNCTION("""COMPUTED_VALUE"""),"Campaña verano en la ciudad | Verano en los anfiteatros")</f>
        <v>Campaña verano en la ciudad | Verano en los anfiteatros</v>
      </c>
      <c r="C243" s="29" t="str">
        <f>IFERROR(__xludf.DUMMYFUNCTION("""COMPUTED_VALUE"""),"Pieza")</f>
        <v>Pieza</v>
      </c>
      <c r="D243" s="28" t="str">
        <f>IFERROR(__xludf.DUMMYFUNCTION("""COMPUTED_VALUE"""),"2531-ENEJDGVC")</f>
        <v>2531-ENEJDGVC</v>
      </c>
      <c r="E243" s="28" t="str">
        <f>IFERROR(__xludf.DUMMYFUNCTION("""COMPUTED_VALUE"""),"RDV MINISTROS | Gabriel Sanchez Zinny 06/02")</f>
        <v>RDV MINISTROS | Gabriel Sanchez Zinny 06/02</v>
      </c>
      <c r="F243" s="28"/>
    </row>
    <row r="244">
      <c r="A244" s="28" t="str">
        <f>IFERROR(__xludf.DUMMYFUNCTION("""COMPUTED_VALUE"""),"2033-SEPEPHGC")</f>
        <v>2033-SEPEPHGC</v>
      </c>
      <c r="B244" s="28" t="str">
        <f>IFERROR(__xludf.DUMMYFUNCTION("""COMPUTED_VALUE"""),"M2 PODA")</f>
        <v>M2 PODA</v>
      </c>
      <c r="C244" s="29" t="str">
        <f>IFERROR(__xludf.DUMMYFUNCTION("""COMPUTED_VALUE"""),"Pieza")</f>
        <v>Pieza</v>
      </c>
      <c r="D244" s="28" t="str">
        <f>IFERROR(__xludf.DUMMYFUNCTION("""COMPUTED_VALUE"""),"2549-FEBDHHVC")</f>
        <v>2549-FEBDHHVC</v>
      </c>
      <c r="E244" s="28" t="str">
        <f>IFERROR(__xludf.DUMMYFUNCTION("""COMPUTED_VALUE"""),"RDV Ministros | Gabriel Mraida - 6/2")</f>
        <v>RDV Ministros | Gabriel Mraida - 6/2</v>
      </c>
      <c r="F244" s="28"/>
    </row>
    <row r="245">
      <c r="A245" s="28" t="str">
        <f>IFERROR(__xludf.DUMMYFUNCTION("""COMPUTED_VALUE"""),"2547-ENEFESGC")</f>
        <v>2547-ENEFESGC</v>
      </c>
      <c r="B245" s="28" t="str">
        <f>IFERROR(__xludf.DUMMYFUNCTION("""COMPUTED_VALUE"""),"Verano BA | Noche de Verano: Devoto")</f>
        <v>Verano BA | Noche de Verano: Devoto</v>
      </c>
      <c r="C245" s="29" t="str">
        <f>IFERROR(__xludf.DUMMYFUNCTION("""COMPUTED_VALUE"""),"Pieza")</f>
        <v>Pieza</v>
      </c>
      <c r="D245" s="28" t="str">
        <f>IFERROR(__xludf.DUMMYFUNCTION("""COMPUTED_VALUE"""),"2433-DICFESGC")</f>
        <v>2433-DICFESGC</v>
      </c>
      <c r="E245" s="28" t="str">
        <f>IFERROR(__xludf.DUMMYFUNCTION("""COMPUTED_VALUE"""),"Verano en la Ciudad | AftersBA")</f>
        <v>Verano en la Ciudad | AftersBA</v>
      </c>
      <c r="F245" s="29" t="str">
        <f>IFERROR(__xludf.DUMMYFUNCTION("""COMPUTED_VALUE"""),"https://www.facebook.com/reel/1401103571662551")</f>
        <v>https://www.facebook.com/reel/1401103571662551</v>
      </c>
    </row>
    <row r="246">
      <c r="A246" s="28" t="str">
        <f>IFERROR(__xludf.DUMMYFUNCTION("""COMPUTED_VALUE"""),"2033-SEPEPHGC")</f>
        <v>2033-SEPEPHGC</v>
      </c>
      <c r="B246" s="28" t="str">
        <f>IFERROR(__xludf.DUMMYFUNCTION("""COMPUTED_VALUE"""),"M2 PODA")</f>
        <v>M2 PODA</v>
      </c>
      <c r="C246" s="29" t="str">
        <f>IFERROR(__xludf.DUMMYFUNCTION("""COMPUTED_VALUE"""),"Pieza")</f>
        <v>Pieza</v>
      </c>
      <c r="D246" s="28" t="str">
        <f>IFERROR(__xludf.DUMMYFUNCTION("""COMPUTED_VALUE"""),"2424-DICFESGC")</f>
        <v>2424-DICFESGC</v>
      </c>
      <c r="E246" s="28" t="str">
        <f>IFERROR(__xludf.DUMMYFUNCTION("""COMPUTED_VALUE"""),"Verano en Buenos Aires 2026 | Generico")</f>
        <v>Verano en Buenos Aires 2026 | Generico</v>
      </c>
      <c r="F246" s="29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247">
      <c r="A247" s="28" t="str">
        <f>IFERROR(__xludf.DUMMYFUNCTION("""COMPUTED_VALUE"""),"2547-ENEFESGC")</f>
        <v>2547-ENEFESGC</v>
      </c>
      <c r="B247" s="28" t="str">
        <f>IFERROR(__xludf.DUMMYFUNCTION("""COMPUTED_VALUE"""),"Verano BA | Noche de Verano: Devoto")</f>
        <v>Verano BA | Noche de Verano: Devoto</v>
      </c>
      <c r="C247" s="29" t="str">
        <f>IFERROR(__xludf.DUMMYFUNCTION("""COMPUTED_VALUE"""),"Pieza")</f>
        <v>Pieza</v>
      </c>
      <c r="D247" s="28" t="str">
        <f>IFERROR(__xludf.DUMMYFUNCTION("""COMPUTED_VALUE"""),"2514-ENEINFGJ")</f>
        <v>2514-ENEINFGJ</v>
      </c>
      <c r="E247" s="28"/>
      <c r="F247" s="28"/>
    </row>
    <row r="248">
      <c r="A248" s="28" t="str">
        <f>IFERROR(__xludf.DUMMYFUNCTION("""COMPUTED_VALUE"""),"2529-ENESEGGC")</f>
        <v>2529-ENESEGGC</v>
      </c>
      <c r="B248" s="28" t="str">
        <f>IFERROR(__xludf.DUMMYFUNCTION("""COMPUTED_VALUE"""),"CAMPAÑA GCBA | SEGURIDAD | Nuevo equipamiento PDLC")</f>
        <v>CAMPAÑA GCBA | SEGURIDAD | Nuevo equipamiento PDLC</v>
      </c>
      <c r="C248" s="29" t="str">
        <f>IFERROR(__xludf.DUMMYFUNCTION("""COMPUTED_VALUE"""),"Pieza")</f>
        <v>Pieza</v>
      </c>
      <c r="D248" s="28" t="str">
        <f>IFERROR(__xludf.DUMMYFUNCTION("""COMPUTED_VALUE"""),"2533-ENEJDGAG")</f>
        <v>2533-ENEJDGAG</v>
      </c>
      <c r="E248" s="28" t="str">
        <f>IFERROR(__xludf.DUMMYFUNCTION("""COMPUTED_VALUE"""),"RDV JM | CONSTITUCIÓN 6/2")</f>
        <v>RDV JM | CONSTITUCIÓN 6/2</v>
      </c>
      <c r="F248" s="28"/>
    </row>
    <row r="249">
      <c r="A249" s="28" t="str">
        <f>IFERROR(__xludf.DUMMYFUNCTION("""COMPUTED_VALUE"""),"1896-SEPEPHGC")</f>
        <v>1896-SEPEPHGC</v>
      </c>
      <c r="B249" s="28" t="str">
        <f>IFERROR(__xludf.DUMMYFUNCTION("""COMPUTED_VALUE"""),"PIEZAS M2 | MEPHU | LIMPIEZA INTENSIVA")</f>
        <v>PIEZAS M2 | MEPHU | LIMPIEZA INTENSIVA</v>
      </c>
      <c r="C249" s="29" t="str">
        <f>IFERROR(__xludf.DUMMYFUNCTION("""COMPUTED_VALUE"""),"Pieza")</f>
        <v>Pieza</v>
      </c>
      <c r="D249" s="28" t="str">
        <f>IFERROR(__xludf.DUMMYFUNCTION("""COMPUTED_VALUE"""),"2519-ENEINFGC")</f>
        <v>2519-ENEINFGC</v>
      </c>
      <c r="E249" s="28" t="str">
        <f>IFERROR(__xludf.DUMMYFUNCTION("""COMPUTED_VALUE"""),"Infraestructura I Cortes y desvíos en Larralde")</f>
        <v>Infraestructura I Cortes y desvíos en Larralde</v>
      </c>
      <c r="F249" s="28"/>
    </row>
    <row r="250">
      <c r="A250" s="28" t="str">
        <f>IFERROR(__xludf.DUMMYFUNCTION("""COMPUTED_VALUE"""),"2569-FEBVINVC")</f>
        <v>2569-FEBVINVC</v>
      </c>
      <c r="B250" s="28" t="str">
        <f>IFERROR(__xludf.DUMMYFUNCTION("""COMPUTED_VALUE"""),"RDV MINISTROS |  Ezequiel Sabor 9/2")</f>
        <v>RDV MINISTROS |  Ezequiel Sabor 9/2</v>
      </c>
      <c r="C250" s="29" t="str">
        <f>IFERROR(__xludf.DUMMYFUNCTION("""COMPUTED_VALUE"""),"Pieza")</f>
        <v>Pieza</v>
      </c>
      <c r="D250" s="28" t="str">
        <f>IFERROR(__xludf.DUMMYFUNCTION("""COMPUTED_VALUE"""),"2130-OCTSALGC")</f>
        <v>2130-OCTSALGC</v>
      </c>
      <c r="E250" s="28" t="str">
        <f>IFERROR(__xludf.DUMMYFUNCTION("""COMPUTED_VALUE"""),"Hospital Pirovano: Remodelaciones")</f>
        <v>Hospital Pirovano: Remodelaciones</v>
      </c>
      <c r="F250" s="28"/>
    </row>
    <row r="251">
      <c r="A251" s="28" t="str">
        <f>IFERROR(__xludf.DUMMYFUNCTION("""COMPUTED_VALUE"""),"2490-ENEVINGC")</f>
        <v>2490-ENEVINGC</v>
      </c>
      <c r="B251" s="28" t="str">
        <f>IFERROR(__xludf.DUMMYFUNCTION("""COMPUTED_VALUE"""),"CAMPAÑA GCBA | VINCULO CIUDADANO | Mas servicios en tu barrio 2026: Villa Devoto 09/02")</f>
        <v>CAMPAÑA GCBA | VINCULO CIUDADANO | Mas servicios en tu barrio 2026: Villa Devoto 09/02</v>
      </c>
      <c r="C251" s="29" t="str">
        <f>IFERROR(__xludf.DUMMYFUNCTION("""COMPUTED_VALUE"""),"Pieza")</f>
        <v>Pieza</v>
      </c>
      <c r="D251" s="28" t="str">
        <f>IFERROR(__xludf.DUMMYFUNCTION("""COMPUTED_VALUE"""),"2451-ENEPCCVC")</f>
        <v>2451-ENEPCCVC</v>
      </c>
      <c r="E251" s="28" t="str">
        <f>IFERROR(__xludf.DUMMYFUNCTION("""COMPUTED_VALUE"""),"Participación Ciudadana - Verano en la Ciudad (Pauta RRSS)")</f>
        <v>Participación Ciudadana - Verano en la Ciudad (Pauta RRSS)</v>
      </c>
      <c r="F251" s="29" t="str">
        <f>IFERROR(__xludf.DUMMYFUNCTION("""COMPUTED_VALUE"""),"https://www.facebook.com/100064853673908/posts/1304262748412169/")</f>
        <v>https://www.facebook.com/100064853673908/posts/1304262748412169/</v>
      </c>
    </row>
    <row r="252">
      <c r="A252" s="28" t="str">
        <f>IFERROR(__xludf.DUMMYFUNCTION("""COMPUTED_VALUE"""),"2491-ENEVINGC")</f>
        <v>2491-ENEVINGC</v>
      </c>
      <c r="B252" s="28" t="str">
        <f>IFERROR(__xludf.DUMMYFUNCTION("""COMPUTED_VALUE"""),"CAMPAÑA GCBA | VINCULO CIUDADANO | Mas servicios en tu barrio 2026: Mataderos 11/02")</f>
        <v>CAMPAÑA GCBA | VINCULO CIUDADANO | Mas servicios en tu barrio 2026: Mataderos 11/02</v>
      </c>
      <c r="C252" s="29" t="str">
        <f>IFERROR(__xludf.DUMMYFUNCTION("""COMPUTED_VALUE"""),"Pieza")</f>
        <v>Pieza</v>
      </c>
      <c r="D252" s="28" t="str">
        <f>IFERROR(__xludf.DUMMYFUNCTION("""COMPUTED_VALUE"""),"2451-ENEPCCVC")</f>
        <v>2451-ENEPCCVC</v>
      </c>
      <c r="E252" s="28" t="str">
        <f>IFERROR(__xludf.DUMMYFUNCTION("""COMPUTED_VALUE"""),"Participación Ciudadana - Verano en la Ciudad (Pauta RRSS)")</f>
        <v>Participación Ciudadana - Verano en la Ciudad (Pauta RRSS)</v>
      </c>
      <c r="F252" s="29" t="str">
        <f>IFERROR(__xludf.DUMMYFUNCTION("""COMPUTED_VALUE"""),"https://www.instagram.com/p/DTIymi-DLs1/#advertiser")</f>
        <v>https://www.instagram.com/p/DTIymi-DLs1/#advertiser</v>
      </c>
    </row>
    <row r="253">
      <c r="A253" s="28" t="str">
        <f>IFERROR(__xludf.DUMMYFUNCTION("""COMPUTED_VALUE"""),"2569-FEBVINVC")</f>
        <v>2569-FEBVINVC</v>
      </c>
      <c r="B253" s="28" t="str">
        <f>IFERROR(__xludf.DUMMYFUNCTION("""COMPUTED_VALUE"""),"RDV MINISTROS |  Ezequiel Sabor 9/2")</f>
        <v>RDV MINISTROS |  Ezequiel Sabor 9/2</v>
      </c>
      <c r="C253" s="29" t="str">
        <f>IFERROR(__xludf.DUMMYFUNCTION("""COMPUTED_VALUE"""),"Pieza")</f>
        <v>Pieza</v>
      </c>
      <c r="D253" s="28" t="str">
        <f>IFERROR(__xludf.DUMMYFUNCTION("""COMPUTED_VALUE"""),"2460-ENEFESGC")</f>
        <v>2460-ENEFESGC</v>
      </c>
      <c r="E253" s="28" t="str">
        <f>IFERROR(__xludf.DUMMYFUNCTION("""COMPUTED_VALUE"""),"Campaña verano en la ciudad | Verano en los anfiteatros")</f>
        <v>Campaña verano en la ciudad | Verano en los anfiteatros</v>
      </c>
      <c r="F253" s="28"/>
    </row>
    <row r="254">
      <c r="A254" s="28" t="str">
        <f>IFERROR(__xludf.DUMMYFUNCTION("""COMPUTED_VALUE"""),"2552-FEBPCCVC")</f>
        <v>2552-FEBPCCVC</v>
      </c>
      <c r="B254" s="28" t="str">
        <f>IFERROR(__xludf.DUMMYFUNCTION("""COMPUTED_VALUE"""),"Verano 2026 - Feb- Un día de verano en parque ciudad")</f>
        <v>Verano 2026 - Feb- Un día de verano en parque ciudad</v>
      </c>
      <c r="C254" s="29" t="str">
        <f>IFERROR(__xludf.DUMMYFUNCTION("""COMPUTED_VALUE"""),"Pieza")</f>
        <v>Pieza</v>
      </c>
      <c r="D254" s="28" t="str">
        <f>IFERROR(__xludf.DUMMYFUNCTION("""COMPUTED_VALUE"""),"2460-ENEFESGC")</f>
        <v>2460-ENEFESGC</v>
      </c>
      <c r="E254" s="28" t="str">
        <f>IFERROR(__xludf.DUMMYFUNCTION("""COMPUTED_VALUE"""),"Campaña verano en la ciudad | Verano en los anfiteatros")</f>
        <v>Campaña verano en la ciudad | Verano en los anfiteatros</v>
      </c>
      <c r="F254" s="28"/>
    </row>
    <row r="255">
      <c r="A255" s="28" t="str">
        <f>IFERROR(__xludf.DUMMYFUNCTION("""COMPUTED_VALUE"""),"2567-FEBJDGAG")</f>
        <v>2567-FEBJDGAG</v>
      </c>
      <c r="B255" s="28" t="str">
        <f>IFERROR(__xludf.DUMMYFUNCTION("""COMPUTED_VALUE"""),"RDV JM 11/2 Villa del Parque")</f>
        <v>RDV JM 11/2 Villa del Parque</v>
      </c>
      <c r="C255" s="29" t="str">
        <f>IFERROR(__xludf.DUMMYFUNCTION("""COMPUTED_VALUE"""),"Pieza")</f>
        <v>Pieza</v>
      </c>
      <c r="D255" s="28" t="str">
        <f>IFERROR(__xludf.DUMMYFUNCTION("""COMPUTED_VALUE"""),"2460-ENEFESGC")</f>
        <v>2460-ENEFESGC</v>
      </c>
      <c r="E255" s="28" t="str">
        <f>IFERROR(__xludf.DUMMYFUNCTION("""COMPUTED_VALUE"""),"Campaña verano en la ciudad | Verano en los anfiteatros")</f>
        <v>Campaña verano en la ciudad | Verano en los anfiteatros</v>
      </c>
      <c r="F255" s="28"/>
    </row>
    <row r="256">
      <c r="A256" s="28" t="str">
        <f>IFERROR(__xludf.DUMMYFUNCTION("""COMPUTED_VALUE"""),"2568-FEBJDGAG")</f>
        <v>2568-FEBJDGAG</v>
      </c>
      <c r="B256" s="28" t="str">
        <f>IFERROR(__xludf.DUMMYFUNCTION("""COMPUTED_VALUE"""),"RDV JM 12/2 Villa Soldati")</f>
        <v>RDV JM 12/2 Villa Soldati</v>
      </c>
      <c r="C256" s="29" t="str">
        <f>IFERROR(__xludf.DUMMYFUNCTION("""COMPUTED_VALUE"""),"Pieza")</f>
        <v>Pieza</v>
      </c>
      <c r="D256" s="28" t="str">
        <f>IFERROR(__xludf.DUMMYFUNCTION("""COMPUTED_VALUE"""),"2435-DICFESGC")</f>
        <v>2435-DICFESGC</v>
      </c>
      <c r="E256" s="28" t="str">
        <f>IFERROR(__xludf.DUMMYFUNCTION("""COMPUTED_VALUE"""),"Verano en la Ciudad | Atardeceres en los parques")</f>
        <v>Verano en la Ciudad | Atardeceres en los parques</v>
      </c>
      <c r="F256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57">
      <c r="A257" s="28" t="str">
        <f>IFERROR(__xludf.DUMMYFUNCTION("""COMPUTED_VALUE"""),"2549-FEBDHHVC")</f>
        <v>2549-FEBDHHVC</v>
      </c>
      <c r="B257" s="28" t="str">
        <f>IFERROR(__xludf.DUMMYFUNCTION("""COMPUTED_VALUE"""),"RDV Ministros | Gabriel Mraida - 6/2")</f>
        <v>RDV Ministros | Gabriel Mraida - 6/2</v>
      </c>
      <c r="C257" s="29" t="str">
        <f>IFERROR(__xludf.DUMMYFUNCTION("""COMPUTED_VALUE"""),"Pieza")</f>
        <v>Pieza</v>
      </c>
      <c r="D257" s="28" t="str">
        <f>IFERROR(__xludf.DUMMYFUNCTION("""COMPUTED_VALUE"""),"2435-DICFESGC")</f>
        <v>2435-DICFESGC</v>
      </c>
      <c r="E257" s="28" t="str">
        <f>IFERROR(__xludf.DUMMYFUNCTION("""COMPUTED_VALUE"""),"Verano en la Ciudad | Atardeceres en los parques")</f>
        <v>Verano en la Ciudad | Atardeceres en los parques</v>
      </c>
      <c r="F257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58">
      <c r="A258" s="28" t="str">
        <f>IFERROR(__xludf.DUMMYFUNCTION("""COMPUTED_VALUE"""),"2564-FEBSEGVC")</f>
        <v>2564-FEBSEGVC</v>
      </c>
      <c r="B258" s="28" t="str">
        <f>IFERROR(__xludf.DUMMYFUNCTION("""COMPUTED_VALUE"""),"RDV MINISTROS |  RUTH LANDERRECHE 12/2")</f>
        <v>RDV MINISTROS |  RUTH LANDERRECHE 12/2</v>
      </c>
      <c r="C258" s="29" t="str">
        <f>IFERROR(__xludf.DUMMYFUNCTION("""COMPUTED_VALUE"""),"Pieza")</f>
        <v>Pieza</v>
      </c>
      <c r="D258" s="28" t="str">
        <f>IFERROR(__xludf.DUMMYFUNCTION("""COMPUTED_VALUE"""),"2435-DICFESGC")</f>
        <v>2435-DICFESGC</v>
      </c>
      <c r="E258" s="28" t="str">
        <f>IFERROR(__xludf.DUMMYFUNCTION("""COMPUTED_VALUE"""),"Verano en la Ciudad | Atardeceres en los parques")</f>
        <v>Verano en la Ciudad | Atardeceres en los parques</v>
      </c>
      <c r="F258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59">
      <c r="A259" s="28" t="str">
        <f>IFERROR(__xludf.DUMMYFUNCTION("""COMPUTED_VALUE"""),"1895-SEPEPHGC")</f>
        <v>1895-SEPEPHGC</v>
      </c>
      <c r="B259" s="28" t="str">
        <f>IFERROR(__xludf.DUMMYFUNCTION("""COMPUTED_VALUE"""),"PIEZAS M2 | MEPHU | REPAVIMENTACIÓN")</f>
        <v>PIEZAS M2 | MEPHU | REPAVIMENTACIÓN</v>
      </c>
      <c r="C259" s="29" t="str">
        <f>IFERROR(__xludf.DUMMYFUNCTION("""COMPUTED_VALUE"""),"Pieza")</f>
        <v>Pieza</v>
      </c>
      <c r="D259" s="28" t="str">
        <f>IFERROR(__xludf.DUMMYFUNCTION("""COMPUTED_VALUE"""),"2435-DICFESGC")</f>
        <v>2435-DICFESGC</v>
      </c>
      <c r="E259" s="28" t="str">
        <f>IFERROR(__xludf.DUMMYFUNCTION("""COMPUTED_VALUE"""),"Verano en la Ciudad | Atardeceres en los parques")</f>
        <v>Verano en la Ciudad | Atardeceres en los parques</v>
      </c>
      <c r="F259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60">
      <c r="A260" s="28" t="str">
        <f>IFERROR(__xludf.DUMMYFUNCTION("""COMPUTED_VALUE"""),"2145-OCTVINGC")</f>
        <v>2145-OCTVINGC</v>
      </c>
      <c r="B260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60" s="29" t="str">
        <f>IFERROR(__xludf.DUMMYFUNCTION("""COMPUTED_VALUE"""),"Pieza")</f>
        <v>Pieza</v>
      </c>
      <c r="D260" s="28" t="str">
        <f>IFERROR(__xludf.DUMMYFUNCTION("""COMPUTED_VALUE"""),"2435-DICFESGC")</f>
        <v>2435-DICFESGC</v>
      </c>
      <c r="E260" s="28" t="str">
        <f>IFERROR(__xludf.DUMMYFUNCTION("""COMPUTED_VALUE"""),"Verano en la Ciudad | Atardeceres en los parques")</f>
        <v>Verano en la Ciudad | Atardeceres en los parques</v>
      </c>
      <c r="F260" s="29" t="str">
        <f>IFERROR(__xludf.DUMMYFUNCTION("""COMPUTED_VALUE"""),"https://www.facebook.com/GCBA/posts/pfbid0rLEuW4M93zccXsLKxEbAgdx71UvEEJJusTpaAfZzdSBaQDr7KZx36ckPuiwG1Rhql")</f>
        <v>https://www.facebook.com/GCBA/posts/pfbid0rLEuW4M93zccXsLKxEbAgdx71UvEEJJusTpaAfZzdSBaQDr7KZx36ckPuiwG1Rhql</v>
      </c>
    </row>
    <row r="261">
      <c r="A261" s="28" t="str">
        <f>IFERROR(__xludf.DUMMYFUNCTION("""COMPUTED_VALUE"""),"2539-ENEINFGC")</f>
        <v>2539-ENEINFGC</v>
      </c>
      <c r="B261" s="28" t="str">
        <f>IFERROR(__xludf.DUMMYFUNCTION("""COMPUTED_VALUE"""),"Infraestructura I Fusión Líneas 106 y 99 de colectivos")</f>
        <v>Infraestructura I Fusión Líneas 106 y 99 de colectivos</v>
      </c>
      <c r="C261" s="29" t="str">
        <f>IFERROR(__xludf.DUMMYFUNCTION("""COMPUTED_VALUE"""),"Pieza")</f>
        <v>Pieza</v>
      </c>
      <c r="D261" s="28" t="str">
        <f>IFERROR(__xludf.DUMMYFUNCTION("""COMPUTED_VALUE"""),"2501-ENEJDGAG")</f>
        <v>2501-ENEJDGAG</v>
      </c>
      <c r="E261" s="28" t="str">
        <f>IFERROR(__xludf.DUMMYFUNCTION("""COMPUTED_VALUE"""),"RDV JM Flores 30/01")</f>
        <v>RDV JM Flores 30/01</v>
      </c>
      <c r="F261" s="28"/>
    </row>
    <row r="262">
      <c r="A262" s="28" t="str">
        <f>IFERROR(__xludf.DUMMYFUNCTION("""COMPUTED_VALUE"""),"2542-ENESEGVC")</f>
        <v>2542-ENESEGVC</v>
      </c>
      <c r="B262" s="28" t="str">
        <f>IFERROR(__xludf.DUMMYFUNCTION("""COMPUTED_VALUE"""),"RDV MINISTROS | GABINO TAPIA 5/2 COMUNA 2")</f>
        <v>RDV MINISTROS | GABINO TAPIA 5/2 COMUNA 2</v>
      </c>
      <c r="C262" s="29" t="str">
        <f>IFERROR(__xludf.DUMMYFUNCTION("""COMPUTED_VALUE"""),"Pieza")</f>
        <v>Pieza</v>
      </c>
      <c r="D262" s="28" t="str">
        <f>IFERROR(__xludf.DUMMYFUNCTION("""COMPUTED_VALUE"""),"2496-ENEVINGC")</f>
        <v>2496-ENEVINGC</v>
      </c>
      <c r="E26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262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263">
      <c r="A263" s="28" t="str">
        <f>IFERROR(__xludf.DUMMYFUNCTION("""COMPUTED_VALUE"""),"2565-FEBSEGVC")</f>
        <v>2565-FEBSEGVC</v>
      </c>
      <c r="B263" s="28" t="str">
        <f>IFERROR(__xludf.DUMMYFUNCTION("""COMPUTED_VALUE"""),"RDV MINISTROS |  GABINO TAPIA 12/2")</f>
        <v>RDV MINISTROS |  GABINO TAPIA 12/2</v>
      </c>
      <c r="C263" s="29" t="str">
        <f>IFERROR(__xludf.DUMMYFUNCTION("""COMPUTED_VALUE"""),"Pieza")</f>
        <v>Pieza</v>
      </c>
      <c r="D263" s="28" t="str">
        <f>IFERROR(__xludf.DUMMYFUNCTION("""COMPUTED_VALUE"""),"2496-ENEVINGC")</f>
        <v>2496-ENEVINGC</v>
      </c>
      <c r="E26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263" s="28"/>
    </row>
    <row r="264">
      <c r="A264" s="28" t="str">
        <f>IFERROR(__xludf.DUMMYFUNCTION("""COMPUTED_VALUE"""),"2531-ENEJDGVC")</f>
        <v>2531-ENEJDGVC</v>
      </c>
      <c r="B264" s="28" t="str">
        <f>IFERROR(__xludf.DUMMYFUNCTION("""COMPUTED_VALUE"""),"RDV MINISTROS | Gabriel Sanchez Zinny 06/02")</f>
        <v>RDV MINISTROS | Gabriel Sanchez Zinny 06/02</v>
      </c>
      <c r="C264" s="29" t="str">
        <f>IFERROR(__xludf.DUMMYFUNCTION("""COMPUTED_VALUE"""),"Pieza")</f>
        <v>Pieza</v>
      </c>
      <c r="D264" s="28" t="str">
        <f>IFERROR(__xludf.DUMMYFUNCTION("""COMPUTED_VALUE"""),"2496-ENEVINGC")</f>
        <v>2496-ENEVINGC</v>
      </c>
      <c r="E26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264" s="28"/>
    </row>
    <row r="265">
      <c r="A265" s="28" t="str">
        <f>IFERROR(__xludf.DUMMYFUNCTION("""COMPUTED_VALUE"""),"2541-ENESEGVC")</f>
        <v>2541-ENESEGVC</v>
      </c>
      <c r="B265" s="28" t="str">
        <f>IFERROR(__xludf.DUMMYFUNCTION("""COMPUTED_VALUE"""),"RDV MINISTROS | HORACIO GIMÉNEZ 5/2 COMUNA 1 NORTE")</f>
        <v>RDV MINISTROS | HORACIO GIMÉNEZ 5/2 COMUNA 1 NORTE</v>
      </c>
      <c r="C265" s="29" t="str">
        <f>IFERROR(__xludf.DUMMYFUNCTION("""COMPUTED_VALUE"""),"Pieza")</f>
        <v>Pieza</v>
      </c>
      <c r="D265" s="28" t="str">
        <f>IFERROR(__xludf.DUMMYFUNCTION("""COMPUTED_VALUE"""),"2569-FEBVINVC")</f>
        <v>2569-FEBVINVC</v>
      </c>
      <c r="E265" s="28" t="str">
        <f>IFERROR(__xludf.DUMMYFUNCTION("""COMPUTED_VALUE"""),"RDV MINISTROS |  Ezequiel Sabor 9/2")</f>
        <v>RDV MINISTROS |  Ezequiel Sabor 9/2</v>
      </c>
      <c r="F265" s="28"/>
    </row>
    <row r="266">
      <c r="A266" s="28" t="str">
        <f>IFERROR(__xludf.DUMMYFUNCTION("""COMPUTED_VALUE"""),"2540-ENESEGVC")</f>
        <v>2540-ENESEGVC</v>
      </c>
      <c r="B266" s="28" t="str">
        <f>IFERROR(__xludf.DUMMYFUNCTION("""COMPUTED_VALUE"""),"RDV MINISTROS |  MAXIMILIANO PIÑEIRO 5/2 COMUNA 1 SUR")</f>
        <v>RDV MINISTROS |  MAXIMILIANO PIÑEIRO 5/2 COMUNA 1 SUR</v>
      </c>
      <c r="C266" s="29" t="str">
        <f>IFERROR(__xludf.DUMMYFUNCTION("""COMPUTED_VALUE"""),"Pieza")</f>
        <v>Pieza</v>
      </c>
      <c r="D266" s="28" t="str">
        <f>IFERROR(__xludf.DUMMYFUNCTION("""COMPUTED_VALUE"""),"2553-FEBINFGC")</f>
        <v>2553-FEBINFGC</v>
      </c>
      <c r="E266" s="28" t="str">
        <f>IFERROR(__xludf.DUMMYFUNCTION("""COMPUTED_VALUE"""),"Infraestructura I Cortes por obras TramBus FEBRERO")</f>
        <v>Infraestructura I Cortes por obras TramBus FEBRERO</v>
      </c>
      <c r="F266" s="28"/>
    </row>
    <row r="267">
      <c r="A267" s="28" t="str">
        <f>IFERROR(__xludf.DUMMYFUNCTION("""COMPUTED_VALUE"""),"2570-FEBJDGVC")</f>
        <v>2570-FEBJDGVC</v>
      </c>
      <c r="B267" s="28" t="str">
        <f>IFERROR(__xludf.DUMMYFUNCTION("""COMPUTED_VALUE"""),"RDV MINISTROS | Gabriel Sanchez Zinny 10/2")</f>
        <v>RDV MINISTROS | Gabriel Sanchez Zinny 10/2</v>
      </c>
      <c r="C267" s="29" t="str">
        <f>IFERROR(__xludf.DUMMYFUNCTION("""COMPUTED_VALUE"""),"Pieza")</f>
        <v>Pieza</v>
      </c>
      <c r="D267" s="28" t="str">
        <f>IFERROR(__xludf.DUMMYFUNCTION("""COMPUTED_VALUE"""),"2570-FEBJDGVC")</f>
        <v>2570-FEBJDGVC</v>
      </c>
      <c r="E267" s="28" t="str">
        <f>IFERROR(__xludf.DUMMYFUNCTION("""COMPUTED_VALUE"""),"RDV MINISTROS | Gabriel Sanchez Zinny 10/2")</f>
        <v>RDV MINISTROS | Gabriel Sanchez Zinny 10/2</v>
      </c>
      <c r="F267" s="28"/>
    </row>
    <row r="268">
      <c r="A268" s="28" t="str">
        <f>IFERROR(__xludf.DUMMYFUNCTION("""COMPUTED_VALUE"""),"2572-FEBEDUVC")</f>
        <v>2572-FEBEDUVC</v>
      </c>
      <c r="B268" s="28" t="str">
        <f>IFERROR(__xludf.DUMMYFUNCTION("""COMPUTED_VALUE"""),"RDV MINISTROS | Mercedes Miguel  10/2 COMUNA 1")</f>
        <v>RDV MINISTROS | Mercedes Miguel  10/2 COMUNA 1</v>
      </c>
      <c r="C268" s="29" t="str">
        <f>IFERROR(__xludf.DUMMYFUNCTION("""COMPUTED_VALUE"""),"Pieza")</f>
        <v>Pieza</v>
      </c>
      <c r="D268" s="28" t="str">
        <f>IFERROR(__xludf.DUMMYFUNCTION("""COMPUTED_VALUE"""),"2572-FEBEDUVC")</f>
        <v>2572-FEBEDUVC</v>
      </c>
      <c r="E268" s="28" t="str">
        <f>IFERROR(__xludf.DUMMYFUNCTION("""COMPUTED_VALUE"""),"RDV MINISTROS | Mercedes Miguel  10/2 COMUNA 1")</f>
        <v>RDV MINISTROS | Mercedes Miguel  10/2 COMUNA 1</v>
      </c>
      <c r="F268" s="28"/>
    </row>
    <row r="269">
      <c r="A269" s="28" t="str">
        <f>IFERROR(__xludf.DUMMYFUNCTION("""COMPUTED_VALUE"""),"2526-ENESEGGC")</f>
        <v>2526-ENESEGGC</v>
      </c>
      <c r="B269" s="28" t="str">
        <f>IFERROR(__xludf.DUMMYFUNCTION("""COMPUTED_VALUE"""),"CAMPAÑA GCBA | SEGURIDAD | Desalojo en San Nicolás")</f>
        <v>CAMPAÑA GCBA | SEGURIDAD | Desalojo en San Nicolás</v>
      </c>
      <c r="C269" s="29" t="str">
        <f>IFERROR(__xludf.DUMMYFUNCTION("""COMPUTED_VALUE"""),"Pieza")</f>
        <v>Pieza</v>
      </c>
      <c r="D269" s="28" t="str">
        <f>IFERROR(__xludf.DUMMYFUNCTION("""COMPUTED_VALUE"""),"2571-FEBJDGVC")</f>
        <v>2571-FEBJDGVC</v>
      </c>
      <c r="E269" s="28" t="str">
        <f>IFERROR(__xludf.DUMMYFUNCTION("""COMPUTED_VALUE"""),"RDV MINISTROS | Gabriel Sanchez Zinny 11/2")</f>
        <v>RDV MINISTROS | Gabriel Sanchez Zinny 11/2</v>
      </c>
      <c r="F269" s="28"/>
    </row>
    <row r="270">
      <c r="A270" s="28" t="str">
        <f>IFERROR(__xludf.DUMMYFUNCTION("""COMPUTED_VALUE"""),"2563-FEBSEGVC")</f>
        <v>2563-FEBSEGVC</v>
      </c>
      <c r="B270" s="28" t="str">
        <f>IFERROR(__xludf.DUMMYFUNCTION("""COMPUTED_VALUE"""),"RDV MINISTROS |  HORACIO GIMENEZ 12/2")</f>
        <v>RDV MINISTROS |  HORACIO GIMENEZ 12/2</v>
      </c>
      <c r="C270" s="29" t="str">
        <f>IFERROR(__xludf.DUMMYFUNCTION("""COMPUTED_VALUE"""),"Pieza")</f>
        <v>Pieza</v>
      </c>
      <c r="D270" s="28" t="str">
        <f>IFERROR(__xludf.DUMMYFUNCTION("""COMPUTED_VALUE"""),"2556-FEBINFGC")</f>
        <v>2556-FEBINFGC</v>
      </c>
      <c r="E270" s="28" t="str">
        <f>IFERROR(__xludf.DUMMYFUNCTION("""COMPUTED_VALUE"""),"Infraestructura | Apertura estación Agüero")</f>
        <v>Infraestructura | Apertura estación Agüero</v>
      </c>
      <c r="F270" s="28"/>
    </row>
    <row r="271">
      <c r="A271" s="28" t="str">
        <f>IFERROR(__xludf.DUMMYFUNCTION("""COMPUTED_VALUE"""),"2573-FEBSEGGC")</f>
        <v>2573-FEBSEGGC</v>
      </c>
      <c r="B271" s="28" t="str">
        <f>IFERROR(__xludf.DUMMYFUNCTION("""COMPUTED_VALUE"""),"CAMPAÑA GCBA | SEGURIDAD |  Desalojo en Balvanera")</f>
        <v>CAMPAÑA GCBA | SEGURIDAD |  Desalojo en Balvanera</v>
      </c>
      <c r="C271" s="29" t="str">
        <f>IFERROR(__xludf.DUMMYFUNCTION("""COMPUTED_VALUE"""),"Pieza")</f>
        <v>Pieza</v>
      </c>
      <c r="D271" s="28" t="str">
        <f>IFERROR(__xludf.DUMMYFUNCTION("""COMPUTED_VALUE"""),"2556-FEBINFGC")</f>
        <v>2556-FEBINFGC</v>
      </c>
      <c r="E271" s="28" t="str">
        <f>IFERROR(__xludf.DUMMYFUNCTION("""COMPUTED_VALUE"""),"Infraestructura | Apertura estación Agüero")</f>
        <v>Infraestructura | Apertura estación Agüero</v>
      </c>
      <c r="F271" s="28"/>
    </row>
    <row r="272">
      <c r="A272" s="28" t="str">
        <f>IFERROR(__xludf.DUMMYFUNCTION("""COMPUTED_VALUE"""),"2562-FEBSEGVC")</f>
        <v>2562-FEBSEGVC</v>
      </c>
      <c r="B272" s="28" t="str">
        <f>IFERROR(__xludf.DUMMYFUNCTION("""COMPUTED_VALUE"""),"RDV MINISTROS |  MAXIMILIANO PIÑEIRO 12/2")</f>
        <v>RDV MINISTROS |  MAXIMILIANO PIÑEIRO 12/2</v>
      </c>
      <c r="C272" s="29" t="str">
        <f>IFERROR(__xludf.DUMMYFUNCTION("""COMPUTED_VALUE"""),"Pieza")</f>
        <v>Pieza</v>
      </c>
      <c r="D272" s="28" t="str">
        <f>IFERROR(__xludf.DUMMYFUNCTION("""COMPUTED_VALUE"""),"2568-FEBJDGAG")</f>
        <v>2568-FEBJDGAG</v>
      </c>
      <c r="E272" s="28" t="str">
        <f>IFERROR(__xludf.DUMMYFUNCTION("""COMPUTED_VALUE"""),"RDV JM 12/2 Villa Soldati")</f>
        <v>RDV JM 12/2 Villa Soldati</v>
      </c>
      <c r="F272" s="28"/>
    </row>
    <row r="273">
      <c r="A273" s="28" t="str">
        <f>IFERROR(__xludf.DUMMYFUNCTION("""COMPUTED_VALUE"""),"2492-ENEVINGC")</f>
        <v>2492-ENEVINGC</v>
      </c>
      <c r="B273" s="28" t="str">
        <f>IFERROR(__xludf.DUMMYFUNCTION("""COMPUTED_VALUE"""),"CAMPAÑA GCBA | VINCULO CIUDADANO | Mas servicios en tu barrio 2026: Villa Crespo 13/02")</f>
        <v>CAMPAÑA GCBA | VINCULO CIUDADANO | Mas servicios en tu barrio 2026: Villa Crespo 13/02</v>
      </c>
      <c r="C273" s="29" t="str">
        <f>IFERROR(__xludf.DUMMYFUNCTION("""COMPUTED_VALUE"""),"Pieza")</f>
        <v>Pieza</v>
      </c>
      <c r="D273" s="28" t="str">
        <f>IFERROR(__xludf.DUMMYFUNCTION("""COMPUTED_VALUE"""),"2561-FEBPCCVC")</f>
        <v>2561-FEBPCCVC</v>
      </c>
      <c r="E273" s="28" t="str">
        <f>IFERROR(__xludf.DUMMYFUNCTION("""COMPUTED_VALUE"""),"Café con vecinos | Lombardi | Piragine | Tapia 9/2")</f>
        <v>Café con vecinos | Lombardi | Piragine | Tapia 9/2</v>
      </c>
      <c r="F273" s="28"/>
    </row>
    <row r="274">
      <c r="A274" s="28" t="str">
        <f>IFERROR(__xludf.DUMMYFUNCTION("""COMPUTED_VALUE"""),"2578-FEBSALVC")</f>
        <v>2578-FEBSALVC</v>
      </c>
      <c r="B274" s="28" t="str">
        <f>IFERROR(__xludf.DUMMYFUNCTION("""COMPUTED_VALUE"""),"RDV Ministros | Fernán Quirós - 13/02")</f>
        <v>RDV Ministros | Fernán Quirós - 13/02</v>
      </c>
      <c r="C274" s="29" t="str">
        <f>IFERROR(__xludf.DUMMYFUNCTION("""COMPUTED_VALUE"""),"Pieza")</f>
        <v>Pieza</v>
      </c>
      <c r="D274" s="28" t="str">
        <f>IFERROR(__xludf.DUMMYFUNCTION("""COMPUTED_VALUE"""),"2555-FEBSALGC")</f>
        <v>2555-FEBSALGC</v>
      </c>
      <c r="E274" s="28" t="str">
        <f>IFERROR(__xludf.DUMMYFUNCTION("""COMPUTED_VALUE"""),"Hospital Muñiz - Finalización de obra")</f>
        <v>Hospital Muñiz - Finalización de obra</v>
      </c>
      <c r="F274" s="28"/>
    </row>
    <row r="275">
      <c r="A275" s="28" t="str">
        <f>IFERROR(__xludf.DUMMYFUNCTION("""COMPUTED_VALUE"""),"2543-ENESEGVC")</f>
        <v>2543-ENESEGVC</v>
      </c>
      <c r="B275" s="28" t="str">
        <f>IFERROR(__xludf.DUMMYFUNCTION("""COMPUTED_VALUE"""),"RDV MINISTROS | RUTH LANDERRECHE 5/2 COMUNA 3")</f>
        <v>RDV MINISTROS | RUTH LANDERRECHE 5/2 COMUNA 3</v>
      </c>
      <c r="C275" s="29" t="str">
        <f>IFERROR(__xludf.DUMMYFUNCTION("""COMPUTED_VALUE"""),"Pieza")</f>
        <v>Pieza</v>
      </c>
      <c r="D275" s="28" t="str">
        <f>IFERROR(__xludf.DUMMYFUNCTION("""COMPUTED_VALUE"""),"2557-FEBSALGC")</f>
        <v>2557-FEBSALGC</v>
      </c>
      <c r="E275" s="28" t="str">
        <f>IFERROR(__xludf.DUMMYFUNCTION("""COMPUTED_VALUE"""),"Inicio de Obra - CESAC 51")</f>
        <v>Inicio de Obra - CESAC 51</v>
      </c>
      <c r="F275" s="28"/>
    </row>
    <row r="276">
      <c r="A276" s="28" t="str">
        <f>IFERROR(__xludf.DUMMYFUNCTION("""COMPUTED_VALUE"""),"1895-SEPEPHGC")</f>
        <v>1895-SEPEPHGC</v>
      </c>
      <c r="B276" s="28" t="str">
        <f>IFERROR(__xludf.DUMMYFUNCTION("""COMPUTED_VALUE"""),"PIEZAS M2 | MEPHU | REPAVIMENTACIÓN")</f>
        <v>PIEZAS M2 | MEPHU | REPAVIMENTACIÓN</v>
      </c>
      <c r="C276" s="29" t="str">
        <f>IFERROR(__xludf.DUMMYFUNCTION("""COMPUTED_VALUE"""),"Pieza")</f>
        <v>Pieza</v>
      </c>
      <c r="D276" s="28" t="str">
        <f>IFERROR(__xludf.DUMMYFUNCTION("""COMPUTED_VALUE"""),"2547-ENEFESGC")</f>
        <v>2547-ENEFESGC</v>
      </c>
      <c r="E276" s="28" t="str">
        <f>IFERROR(__xludf.DUMMYFUNCTION("""COMPUTED_VALUE"""),"Verano BA | Noche de Verano: Devoto")</f>
        <v>Verano BA | Noche de Verano: Devoto</v>
      </c>
      <c r="F276" s="28"/>
    </row>
    <row r="277">
      <c r="A277" s="28" t="str">
        <f>IFERROR(__xludf.DUMMYFUNCTION("""COMPUTED_VALUE"""),"2567-FEBJDGAG")</f>
        <v>2567-FEBJDGAG</v>
      </c>
      <c r="B277" s="28" t="str">
        <f>IFERROR(__xludf.DUMMYFUNCTION("""COMPUTED_VALUE"""),"RDV JM 11/2 Villa del Parque")</f>
        <v>RDV JM 11/2 Villa del Parque</v>
      </c>
      <c r="C277" s="29" t="str">
        <f>IFERROR(__xludf.DUMMYFUNCTION("""COMPUTED_VALUE"""),"Pieza")</f>
        <v>Pieza</v>
      </c>
      <c r="D277" s="28" t="str">
        <f>IFERROR(__xludf.DUMMYFUNCTION("""COMPUTED_VALUE"""),"2547-ENEFESGC")</f>
        <v>2547-ENEFESGC</v>
      </c>
      <c r="E277" s="28" t="str">
        <f>IFERROR(__xludf.DUMMYFUNCTION("""COMPUTED_VALUE"""),"Verano BA | Noche de Verano: Devoto")</f>
        <v>Verano BA | Noche de Verano: Devoto</v>
      </c>
      <c r="F277" s="28"/>
    </row>
    <row r="278">
      <c r="A278" s="28" t="str">
        <f>IFERROR(__xludf.DUMMYFUNCTION("""COMPUTED_VALUE"""),"2501-ENEJDGAG")</f>
        <v>2501-ENEJDGAG</v>
      </c>
      <c r="B278" s="28" t="str">
        <f>IFERROR(__xludf.DUMMYFUNCTION("""COMPUTED_VALUE"""),"RDV JM Flores 30/01")</f>
        <v>RDV JM Flores 30/01</v>
      </c>
      <c r="C278" s="29" t="str">
        <f>IFERROR(__xludf.DUMMYFUNCTION("""COMPUTED_VALUE"""),"Pieza")</f>
        <v>Pieza</v>
      </c>
      <c r="D278" s="28" t="str">
        <f>IFERROR(__xludf.DUMMYFUNCTION("""COMPUTED_VALUE"""),"2575-FEBINFGC")</f>
        <v>2575-FEBINFGC</v>
      </c>
      <c r="E278" s="28" t="str">
        <f>IFERROR(__xludf.DUMMYFUNCTION("""COMPUTED_VALUE"""),"Infraestructura | Placa historias: Cortes y desvíos por IEB + Argentinas Open 2026")</f>
        <v>Infraestructura | Placa historias: Cortes y desvíos por IEB + Argentinas Open 2026</v>
      </c>
      <c r="F278" s="28"/>
    </row>
    <row r="279">
      <c r="A279" s="28" t="str">
        <f>IFERROR(__xludf.DUMMYFUNCTION("""COMPUTED_VALUE"""),"2501-ENEJDGAG")</f>
        <v>2501-ENEJDGAG</v>
      </c>
      <c r="B279" s="28" t="str">
        <f>IFERROR(__xludf.DUMMYFUNCTION("""COMPUTED_VALUE"""),"RDV JM Flores 30/01")</f>
        <v>RDV JM Flores 30/01</v>
      </c>
      <c r="C279" s="29" t="str">
        <f>IFERROR(__xludf.DUMMYFUNCTION("""COMPUTED_VALUE"""),"Pieza")</f>
        <v>Pieza</v>
      </c>
      <c r="D279" s="28" t="str">
        <f>IFERROR(__xludf.DUMMYFUNCTION("""COMPUTED_VALUE"""),"2567-FEBJDGAG")</f>
        <v>2567-FEBJDGAG</v>
      </c>
      <c r="E279" s="28" t="str">
        <f>IFERROR(__xludf.DUMMYFUNCTION("""COMPUTED_VALUE"""),"RDV JM 11/2 Villa del Parque")</f>
        <v>RDV JM 11/2 Villa del Parque</v>
      </c>
      <c r="F279" s="28"/>
    </row>
    <row r="280">
      <c r="A280" s="28" t="str">
        <f>IFERROR(__xludf.DUMMYFUNCTION("""COMPUTED_VALUE"""),"1942-SEPEPHGC")</f>
        <v>1942-SEPEPHGC</v>
      </c>
      <c r="B280" s="28" t="str">
        <f>IFERROR(__xludf.DUMMYFUNCTION("""COMPUTED_VALUE"""),"DGPLES | MEPHU  | REPARACIÓN DE VEREDAS")</f>
        <v>DGPLES | MEPHU  | REPARACIÓN DE VEREDAS</v>
      </c>
      <c r="C280" s="29" t="str">
        <f>IFERROR(__xludf.DUMMYFUNCTION("""COMPUTED_VALUE"""),"Pieza")</f>
        <v>Pieza</v>
      </c>
      <c r="D280" s="28" t="str">
        <f>IFERROR(__xludf.DUMMYFUNCTION("""COMPUTED_VALUE"""),"2555-FEBSALGC")</f>
        <v>2555-FEBSALGC</v>
      </c>
      <c r="E280" s="28" t="str">
        <f>IFERROR(__xludf.DUMMYFUNCTION("""COMPUTED_VALUE"""),"Hospital Muñiz - Finalización de obra")</f>
        <v>Hospital Muñiz - Finalización de obra</v>
      </c>
      <c r="F280" s="28"/>
    </row>
    <row r="281">
      <c r="A281" s="28" t="str">
        <f>IFERROR(__xludf.DUMMYFUNCTION("""COMPUTED_VALUE"""),"1943-SEPEPHGC")</f>
        <v>1943-SEPEPHGC</v>
      </c>
      <c r="B281" s="28" t="str">
        <f>IFERROR(__xludf.DUMMYFUNCTION("""COMPUTED_VALUE"""),"DGPLES | MEPHU  | READOQUINADO")</f>
        <v>DGPLES | MEPHU  | READOQUINADO</v>
      </c>
      <c r="C281" s="29" t="str">
        <f>IFERROR(__xludf.DUMMYFUNCTION("""COMPUTED_VALUE"""),"Pieza")</f>
        <v>Pieza</v>
      </c>
      <c r="D281" s="28" t="str">
        <f>IFERROR(__xludf.DUMMYFUNCTION("""COMPUTED_VALUE"""),"2555-FEBSALGC")</f>
        <v>2555-FEBSALGC</v>
      </c>
      <c r="E281" s="28" t="str">
        <f>IFERROR(__xludf.DUMMYFUNCTION("""COMPUTED_VALUE"""),"Hospital Muñiz - Finalización de obra")</f>
        <v>Hospital Muñiz - Finalización de obra</v>
      </c>
      <c r="F281" s="28"/>
    </row>
    <row r="282">
      <c r="A282" s="28" t="str">
        <f>IFERROR(__xludf.DUMMYFUNCTION("""COMPUTED_VALUE"""),"1946-SEPEPHGC")</f>
        <v>1946-SEPEPHGC</v>
      </c>
      <c r="B282" s="28" t="str">
        <f>IFERROR(__xludf.DUMMYFUNCTION("""COMPUTED_VALUE"""),"CAMPAÑA GCBA | MEPHU  | PLUVIALES")</f>
        <v>CAMPAÑA GCBA | MEPHU  | PLUVIALES</v>
      </c>
      <c r="C282" s="29" t="str">
        <f>IFERROR(__xludf.DUMMYFUNCTION("""COMPUTED_VALUE"""),"Pieza")</f>
        <v>Pieza</v>
      </c>
      <c r="D282" s="28" t="str">
        <f>IFERROR(__xludf.DUMMYFUNCTION("""COMPUTED_VALUE"""),"2557-FEBSALGC")</f>
        <v>2557-FEBSALGC</v>
      </c>
      <c r="E282" s="28" t="str">
        <f>IFERROR(__xludf.DUMMYFUNCTION("""COMPUTED_VALUE"""),"Inicio de Obra - CESAC 51")</f>
        <v>Inicio de Obra - CESAC 51</v>
      </c>
      <c r="F282" s="28"/>
    </row>
    <row r="283">
      <c r="A283" s="28" t="str">
        <f>IFERROR(__xludf.DUMMYFUNCTION("""COMPUTED_VALUE"""),"2550-FEBTURGC")</f>
        <v>2550-FEBTURGC</v>
      </c>
      <c r="B283" s="28" t="str">
        <f>IFERROR(__xludf.DUMMYFUNCTION("""COMPUTED_VALUE"""),"Sondeo Hotelero por el finde de Carnaval | Martes 10/2")</f>
        <v>Sondeo Hotelero por el finde de Carnaval | Martes 10/2</v>
      </c>
      <c r="C283" s="29" t="str">
        <f>IFERROR(__xludf.DUMMYFUNCTION("""COMPUTED_VALUE"""),"Pieza")</f>
        <v>Pieza</v>
      </c>
      <c r="D283" s="28" t="str">
        <f>IFERROR(__xludf.DUMMYFUNCTION("""COMPUTED_VALUE"""),"2557-FEBSALGC")</f>
        <v>2557-FEBSALGC</v>
      </c>
      <c r="E283" s="28" t="str">
        <f>IFERROR(__xludf.DUMMYFUNCTION("""COMPUTED_VALUE"""),"Inicio de Obra - CESAC 51")</f>
        <v>Inicio de Obra - CESAC 51</v>
      </c>
      <c r="F283" s="28"/>
    </row>
    <row r="284">
      <c r="A284" s="28" t="str">
        <f>IFERROR(__xludf.DUMMYFUNCTION("""COMPUTED_VALUE"""),"2566-FEBCULVC")</f>
        <v>2566-FEBCULVC</v>
      </c>
      <c r="B284" s="28" t="str">
        <f>IFERROR(__xludf.DUMMYFUNCTION("""COMPUTED_VALUE"""),"RDV MINISTROS |  GABRIELA RICARDES 11/2")</f>
        <v>RDV MINISTROS |  GABRIELA RICARDES 11/2</v>
      </c>
      <c r="C284" s="29" t="str">
        <f>IFERROR(__xludf.DUMMYFUNCTION("""COMPUTED_VALUE"""),"Pieza")</f>
        <v>Pieza</v>
      </c>
      <c r="D284" s="28" t="str">
        <f>IFERROR(__xludf.DUMMYFUNCTION("""COMPUTED_VALUE"""),"2565-FEBSEGVC")</f>
        <v>2565-FEBSEGVC</v>
      </c>
      <c r="E284" s="28" t="str">
        <f>IFERROR(__xludf.DUMMYFUNCTION("""COMPUTED_VALUE"""),"RDV MINISTROS |  GABINO TAPIA 12/2")</f>
        <v>RDV MINISTROS |  GABINO TAPIA 12/2</v>
      </c>
      <c r="F284" s="28"/>
    </row>
    <row r="285">
      <c r="A285" s="28" t="str">
        <f>IFERROR(__xludf.DUMMYFUNCTION("""COMPUTED_VALUE"""),"2145-OCTVINGC")</f>
        <v>2145-OCTVINGC</v>
      </c>
      <c r="B285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285" s="29" t="str">
        <f>IFERROR(__xludf.DUMMYFUNCTION("""COMPUTED_VALUE"""),"Pieza")</f>
        <v>Pieza</v>
      </c>
      <c r="D285" s="28" t="str">
        <f>IFERROR(__xludf.DUMMYFUNCTION("""COMPUTED_VALUE"""),"2562-FEBSEGVC")</f>
        <v>2562-FEBSEGVC</v>
      </c>
      <c r="E285" s="28" t="str">
        <f>IFERROR(__xludf.DUMMYFUNCTION("""COMPUTED_VALUE"""),"RDV MINISTROS |  MAXIMILIANO PIÑEIRO 12/2")</f>
        <v>RDV MINISTROS |  MAXIMILIANO PIÑEIRO 12/2</v>
      </c>
      <c r="F285" s="28"/>
    </row>
    <row r="286">
      <c r="A286" s="28" t="str">
        <f>IFERROR(__xludf.DUMMYFUNCTION("""COMPUTED_VALUE"""),"2322-NOVEDUGC")</f>
        <v>2322-NOVEDUGC</v>
      </c>
      <c r="B286" s="28" t="str">
        <f>IFERROR(__xludf.DUMMYFUNCTION("""COMPUTED_VALUE"""),"TUMO Parque de la Innovación")</f>
        <v>TUMO Parque de la Innovación</v>
      </c>
      <c r="C286" s="29" t="str">
        <f>IFERROR(__xludf.DUMMYFUNCTION("""COMPUTED_VALUE"""),"Pieza")</f>
        <v>Pieza</v>
      </c>
      <c r="D286" s="28" t="str">
        <f>IFERROR(__xludf.DUMMYFUNCTION("""COMPUTED_VALUE"""),"2566-FEBCULVC")</f>
        <v>2566-FEBCULVC</v>
      </c>
      <c r="E286" s="28" t="str">
        <f>IFERROR(__xludf.DUMMYFUNCTION("""COMPUTED_VALUE"""),"RDV MINISTROS |  GABRIELA RICARDES 11/2")</f>
        <v>RDV MINISTROS |  GABRIELA RICARDES 11/2</v>
      </c>
      <c r="F286" s="28"/>
    </row>
    <row r="287">
      <c r="A287" s="28" t="str">
        <f>IFERROR(__xludf.DUMMYFUNCTION("""COMPUTED_VALUE"""),"2571-FEBJDGVC")</f>
        <v>2571-FEBJDGVC</v>
      </c>
      <c r="B287" s="28" t="str">
        <f>IFERROR(__xludf.DUMMYFUNCTION("""COMPUTED_VALUE"""),"RDV MINISTROS | Gabriel Sanchez Zinny 11/2")</f>
        <v>RDV MINISTROS | Gabriel Sanchez Zinny 11/2</v>
      </c>
      <c r="C287" s="29" t="str">
        <f>IFERROR(__xludf.DUMMYFUNCTION("""COMPUTED_VALUE"""),"Pieza")</f>
        <v>Pieza</v>
      </c>
      <c r="D287" s="28" t="str">
        <f>IFERROR(__xludf.DUMMYFUNCTION("""COMPUTED_VALUE"""),"2145-OCTVINGC")</f>
        <v>2145-OCTVINGC</v>
      </c>
      <c r="E287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287" s="29" t="str">
        <f>IFERROR(__xludf.DUMMYFUNCTION("""COMPUTED_VALUE"""),"https://www.facebook.com/GCBA/posts/pfbid02MHtzFur7T6A9gkPCWcCKA5S9do1hMkbdiz1vi1SFNaGtEwvHELnpkU3EVbhXU9yol")</f>
        <v>https://www.facebook.com/GCBA/posts/pfbid02MHtzFur7T6A9gkPCWcCKA5S9do1hMkbdiz1vi1SFNaGtEwvHELnpkU3EVbhXU9yol</v>
      </c>
    </row>
    <row r="288">
      <c r="A288" s="28" t="str">
        <f>IFERROR(__xludf.DUMMYFUNCTION("""COMPUTED_VALUE"""),"2533-ENEJDGAG")</f>
        <v>2533-ENEJDGAG</v>
      </c>
      <c r="B288" s="28" t="str">
        <f>IFERROR(__xludf.DUMMYFUNCTION("""COMPUTED_VALUE"""),"RDV JM | CONSTITUCIÓN 6/2")</f>
        <v>RDV JM | CONSTITUCIÓN 6/2</v>
      </c>
      <c r="C288" s="29" t="str">
        <f>IFERROR(__xludf.DUMMYFUNCTION("""COMPUTED_VALUE"""),"Pieza")</f>
        <v>Pieza</v>
      </c>
      <c r="D288" s="28" t="str">
        <f>IFERROR(__xludf.DUMMYFUNCTION("""COMPUTED_VALUE"""),"2563-FEBSEGVC")</f>
        <v>2563-FEBSEGVC</v>
      </c>
      <c r="E288" s="28" t="str">
        <f>IFERROR(__xludf.DUMMYFUNCTION("""COMPUTED_VALUE"""),"RDV MINISTROS |  HORACIO GIMENEZ 12/2")</f>
        <v>RDV MINISTROS |  HORACIO GIMENEZ 12/2</v>
      </c>
      <c r="F288" s="28"/>
    </row>
    <row r="289">
      <c r="A289" s="28" t="str">
        <f>IFERROR(__xludf.DUMMYFUNCTION("""COMPUTED_VALUE"""),"2533-ENEJDGAG")</f>
        <v>2533-ENEJDGAG</v>
      </c>
      <c r="B289" s="28" t="str">
        <f>IFERROR(__xludf.DUMMYFUNCTION("""COMPUTED_VALUE"""),"RDV JM | CONSTITUCIÓN 6/2")</f>
        <v>RDV JM | CONSTITUCIÓN 6/2</v>
      </c>
      <c r="C289" s="29" t="str">
        <f>IFERROR(__xludf.DUMMYFUNCTION("""COMPUTED_VALUE"""),"Pieza")</f>
        <v>Pieza</v>
      </c>
      <c r="D289" s="28" t="str">
        <f>IFERROR(__xludf.DUMMYFUNCTION("""COMPUTED_VALUE"""),"2564-FEBSEGVC")</f>
        <v>2564-FEBSEGVC</v>
      </c>
      <c r="E289" s="28" t="str">
        <f>IFERROR(__xludf.DUMMYFUNCTION("""COMPUTED_VALUE"""),"RDV MINISTROS |  RUTH LANDERRECHE 12/2")</f>
        <v>RDV MINISTROS |  RUTH LANDERRECHE 12/2</v>
      </c>
      <c r="F289" s="28"/>
    </row>
    <row r="290">
      <c r="A290" s="28" t="str">
        <f>IFERROR(__xludf.DUMMYFUNCTION("""COMPUTED_VALUE"""),"2551-FEBPCCVC")</f>
        <v>2551-FEBPCCVC</v>
      </c>
      <c r="B290" s="28" t="str">
        <f>IFERROR(__xludf.DUMMYFUNCTION("""COMPUTED_VALUE"""),"Verano 2026 - Feb - Deja tus rueditas")</f>
        <v>Verano 2026 - Feb - Deja tus rueditas</v>
      </c>
      <c r="C290" s="29" t="str">
        <f>IFERROR(__xludf.DUMMYFUNCTION("""COMPUTED_VALUE"""),"Pieza")</f>
        <v>Pieza</v>
      </c>
      <c r="D290" s="28" t="str">
        <f>IFERROR(__xludf.DUMMYFUNCTION("""COMPUTED_VALUE"""),"2466-ENEFESGC")</f>
        <v>2466-ENEFESGC</v>
      </c>
      <c r="E290" s="28" t="str">
        <f>IFERROR(__xludf.DUMMYFUNCTION("""COMPUTED_VALUE"""),"Verano en la Ciudad  | Parque de la Ciudad")</f>
        <v>Verano en la Ciudad  | Parque de la Ciudad</v>
      </c>
      <c r="F290" s="29" t="str">
        <f>IFERROR(__xludf.DUMMYFUNCTION("""COMPUTED_VALUE"""),"https://www.facebook.com/reel/1985348935347886")</f>
        <v>https://www.facebook.com/reel/1985348935347886</v>
      </c>
    </row>
    <row r="291">
      <c r="A291" s="28" t="str">
        <f>IFERROR(__xludf.DUMMYFUNCTION("""COMPUTED_VALUE"""),"2568-FEBJDGAG")</f>
        <v>2568-FEBJDGAG</v>
      </c>
      <c r="B291" s="28" t="str">
        <f>IFERROR(__xludf.DUMMYFUNCTION("""COMPUTED_VALUE"""),"RDV JM 12/2 Villa Soldati")</f>
        <v>RDV JM 12/2 Villa Soldati</v>
      </c>
      <c r="C291" s="29" t="str">
        <f>IFERROR(__xludf.DUMMYFUNCTION("""COMPUTED_VALUE"""),"Pieza")</f>
        <v>Pieza</v>
      </c>
      <c r="D291" s="28" t="str">
        <f>IFERROR(__xludf.DUMMYFUNCTION("""COMPUTED_VALUE"""),"2424-DICFESGC")</f>
        <v>2424-DICFESGC</v>
      </c>
      <c r="E291" s="28" t="str">
        <f>IFERROR(__xludf.DUMMYFUNCTION("""COMPUTED_VALUE"""),"Verano en Buenos Aires 2026 | Generico")</f>
        <v>Verano en Buenos Aires 2026 | Generico</v>
      </c>
      <c r="F291" s="29" t="str">
        <f>IFERROR(__xludf.DUMMYFUNCTION("""COMPUTED_VALUE"""),"https://www.facebook.com/GCBA/posts/pfbid02PmAtvdzD176mjzPpPRZmFQTNXzNjqoKr7o9wByEVUtzkzYpigMPqtXRGysNDa6Wjl")</f>
        <v>https://www.facebook.com/GCBA/posts/pfbid02PmAtvdzD176mjzPpPRZmFQTNXzNjqoKr7o9wByEVUtzkzYpigMPqtXRGysNDa6Wjl</v>
      </c>
    </row>
    <row r="292">
      <c r="A292" s="28" t="str">
        <f>IFERROR(__xludf.DUMMYFUNCTION("""COMPUTED_VALUE"""),"2564-FEBSEGVC")</f>
        <v>2564-FEBSEGVC</v>
      </c>
      <c r="B292" s="28" t="str">
        <f>IFERROR(__xludf.DUMMYFUNCTION("""COMPUTED_VALUE"""),"RDV MINISTROS |  RUTH LANDERRECHE 12/2")</f>
        <v>RDV MINISTROS |  RUTH LANDERRECHE 12/2</v>
      </c>
      <c r="C292" s="29" t="str">
        <f>IFERROR(__xludf.DUMMYFUNCTION("""COMPUTED_VALUE"""),"Pieza")</f>
        <v>Pieza</v>
      </c>
      <c r="D292" s="28" t="str">
        <f>IFERROR(__xludf.DUMMYFUNCTION("""COMPUTED_VALUE"""),"2476-ENEFESGC")</f>
        <v>2476-ENEFESGC</v>
      </c>
      <c r="E292" s="28" t="str">
        <f>IFERROR(__xludf.DUMMYFUNCTION("""COMPUTED_VALUE"""),"Verano en la Ciudad | Corrientes 24h")</f>
        <v>Verano en la Ciudad | Corrientes 24h</v>
      </c>
      <c r="F292" s="29" t="str">
        <f>IFERROR(__xludf.DUMMYFUNCTION("""COMPUTED_VALUE"""),"https://www.facebook.com/reel/1376298900359413")</f>
        <v>https://www.facebook.com/reel/1376298900359413</v>
      </c>
    </row>
    <row r="293">
      <c r="A293" s="28" t="str">
        <f>IFERROR(__xludf.DUMMYFUNCTION("""COMPUTED_VALUE"""),"2528-ENEPCCVC")</f>
        <v>2528-ENEPCCVC</v>
      </c>
      <c r="B293" s="28" t="str">
        <f>IFERROR(__xludf.DUMMYFUNCTION("""COMPUTED_VALUE"""),"Verano 2026 - CIFA para chicos")</f>
        <v>Verano 2026 - CIFA para chicos</v>
      </c>
      <c r="C293" s="29" t="str">
        <f>IFERROR(__xludf.DUMMYFUNCTION("""COMPUTED_VALUE"""),"Pieza")</f>
        <v>Pieza</v>
      </c>
      <c r="D293" s="28" t="str">
        <f>IFERROR(__xludf.DUMMYFUNCTION("""COMPUTED_VALUE"""),"2433-DICFESGC")</f>
        <v>2433-DICFESGC</v>
      </c>
      <c r="E293" s="28" t="str">
        <f>IFERROR(__xludf.DUMMYFUNCTION("""COMPUTED_VALUE"""),"Verano en la Ciudad | AftersBA")</f>
        <v>Verano en la Ciudad | AftersBA</v>
      </c>
      <c r="F293" s="29" t="str">
        <f>IFERROR(__xludf.DUMMYFUNCTION("""COMPUTED_VALUE"""),"https://www.facebook.com/reel/1401103571662551")</f>
        <v>https://www.facebook.com/reel/1401103571662551</v>
      </c>
    </row>
    <row r="294">
      <c r="A294" s="28" t="str">
        <f>IFERROR(__xludf.DUMMYFUNCTION("""COMPUTED_VALUE"""),"2557-FEBSALGC")</f>
        <v>2557-FEBSALGC</v>
      </c>
      <c r="B294" s="28" t="str">
        <f>IFERROR(__xludf.DUMMYFUNCTION("""COMPUTED_VALUE"""),"Inicio de Obra - CESAC 51")</f>
        <v>Inicio de Obra - CESAC 51</v>
      </c>
      <c r="C294" s="29" t="str">
        <f>IFERROR(__xludf.DUMMYFUNCTION("""COMPUTED_VALUE"""),"Pieza")</f>
        <v>Pieza</v>
      </c>
      <c r="D294" s="28" t="str">
        <f>IFERROR(__xludf.DUMMYFUNCTION("""COMPUTED_VALUE"""),"2460-ENEFESGC")</f>
        <v>2460-ENEFESGC</v>
      </c>
      <c r="E294" s="28" t="str">
        <f>IFERROR(__xludf.DUMMYFUNCTION("""COMPUTED_VALUE"""),"Campaña verano en la ciudad | Verano en los anfiteatros")</f>
        <v>Campaña verano en la ciudad | Verano en los anfiteatros</v>
      </c>
      <c r="F294" s="28"/>
    </row>
    <row r="295">
      <c r="A295" s="28" t="str">
        <f>IFERROR(__xludf.DUMMYFUNCTION("""COMPUTED_VALUE"""),"2565-FEBSEGVC")</f>
        <v>2565-FEBSEGVC</v>
      </c>
      <c r="B295" s="28" t="str">
        <f>IFERROR(__xludf.DUMMYFUNCTION("""COMPUTED_VALUE"""),"RDV MINISTROS |  GABINO TAPIA 12/2")</f>
        <v>RDV MINISTROS |  GABINO TAPIA 12/2</v>
      </c>
      <c r="C295" s="29" t="str">
        <f>IFERROR(__xludf.DUMMYFUNCTION("""COMPUTED_VALUE"""),"Pieza")</f>
        <v>Pieza</v>
      </c>
      <c r="D295" s="28" t="str">
        <f>IFERROR(__xludf.DUMMYFUNCTION("""COMPUTED_VALUE"""),"2578-FEBSALVC")</f>
        <v>2578-FEBSALVC</v>
      </c>
      <c r="E295" s="28" t="str">
        <f>IFERROR(__xludf.DUMMYFUNCTION("""COMPUTED_VALUE"""),"RDV Ministros | Fernán Quirós - 13/02")</f>
        <v>RDV Ministros | Fernán Quirós - 13/02</v>
      </c>
      <c r="F295" s="28"/>
    </row>
    <row r="296">
      <c r="A296" s="28" t="str">
        <f>IFERROR(__xludf.DUMMYFUNCTION("""COMPUTED_VALUE"""),"2590-FEBINFGC")</f>
        <v>2590-FEBINFGC</v>
      </c>
      <c r="B296" s="28" t="str">
        <f>IFERROR(__xludf.DUMMYFUNCTION("""COMPUTED_VALUE"""),"Cortes y desvíos en MTB por obras")</f>
        <v>Cortes y desvíos en MTB por obras</v>
      </c>
      <c r="C296" s="29" t="str">
        <f>IFERROR(__xludf.DUMMYFUNCTION("""COMPUTED_VALUE"""),"Pieza")</f>
        <v>Pieza</v>
      </c>
      <c r="D296" s="28" t="str">
        <f>IFERROR(__xludf.DUMMYFUNCTION("""COMPUTED_VALUE"""),"2573-FEBSEGGC")</f>
        <v>2573-FEBSEGGC</v>
      </c>
      <c r="E296" s="28" t="str">
        <f>IFERROR(__xludf.DUMMYFUNCTION("""COMPUTED_VALUE"""),"CAMPAÑA GCBA | SEGURIDAD |  Desalojo en Balvanera")</f>
        <v>CAMPAÑA GCBA | SEGURIDAD |  Desalojo en Balvanera</v>
      </c>
      <c r="F296" s="28"/>
    </row>
    <row r="297">
      <c r="A297" s="28" t="str">
        <f>IFERROR(__xludf.DUMMYFUNCTION("""COMPUTED_VALUE"""),"2580-FEBSEGGC")</f>
        <v>2580-FEBSEGGC</v>
      </c>
      <c r="B297" s="28" t="str">
        <f>IFERROR(__xludf.DUMMYFUNCTION("""COMPUTED_VALUE"""),"CAMPAÑA GCBA | SEGURIDAD | Desalojo en Palermo")</f>
        <v>CAMPAÑA GCBA | SEGURIDAD | Desalojo en Palermo</v>
      </c>
      <c r="C297" s="29" t="str">
        <f>IFERROR(__xludf.DUMMYFUNCTION("""COMPUTED_VALUE"""),"Pieza")</f>
        <v>Pieza</v>
      </c>
      <c r="D297" s="28" t="str">
        <f>IFERROR(__xludf.DUMMYFUNCTION("""COMPUTED_VALUE"""),"2573-FEBSEGGC")</f>
        <v>2573-FEBSEGGC</v>
      </c>
      <c r="E297" s="28" t="str">
        <f>IFERROR(__xludf.DUMMYFUNCTION("""COMPUTED_VALUE"""),"CAMPAÑA GCBA | SEGURIDAD |  Desalojo en Balvanera")</f>
        <v>CAMPAÑA GCBA | SEGURIDAD |  Desalojo en Balvanera</v>
      </c>
      <c r="F297" s="28"/>
    </row>
    <row r="298">
      <c r="A298" s="28" t="str">
        <f>IFERROR(__xludf.DUMMYFUNCTION("""COMPUTED_VALUE"""),"2529-ENESEGGC")</f>
        <v>2529-ENESEGGC</v>
      </c>
      <c r="B298" s="28" t="str">
        <f>IFERROR(__xludf.DUMMYFUNCTION("""COMPUTED_VALUE"""),"CAMPAÑA GCBA | SEGURIDAD | Nuevo equipamiento PDLC")</f>
        <v>CAMPAÑA GCBA | SEGURIDAD | Nuevo equipamiento PDLC</v>
      </c>
      <c r="C298" s="29" t="str">
        <f>IFERROR(__xludf.DUMMYFUNCTION("""COMPUTED_VALUE"""),"Pieza")</f>
        <v>Pieza</v>
      </c>
      <c r="D298" s="28" t="str">
        <f>IFERROR(__xludf.DUMMYFUNCTION("""COMPUTED_VALUE"""),"2526-ENESEGGC")</f>
        <v>2526-ENESEGGC</v>
      </c>
      <c r="E298" s="28" t="str">
        <f>IFERROR(__xludf.DUMMYFUNCTION("""COMPUTED_VALUE"""),"CAMPAÑA GCBA | SEGURIDAD | Desalojo en San Nicolás")</f>
        <v>CAMPAÑA GCBA | SEGURIDAD | Desalojo en San Nicolás</v>
      </c>
      <c r="F298" s="28"/>
    </row>
    <row r="299">
      <c r="A299" s="28" t="str">
        <f>IFERROR(__xludf.DUMMYFUNCTION("""COMPUTED_VALUE"""),"2563-FEBSEGVC")</f>
        <v>2563-FEBSEGVC</v>
      </c>
      <c r="B299" s="28" t="str">
        <f>IFERROR(__xludf.DUMMYFUNCTION("""COMPUTED_VALUE"""),"RDV MINISTROS |  HORACIO GIMENEZ 12/2")</f>
        <v>RDV MINISTROS |  HORACIO GIMENEZ 12/2</v>
      </c>
      <c r="C299" s="29" t="str">
        <f>IFERROR(__xludf.DUMMYFUNCTION("""COMPUTED_VALUE"""),"Pieza")</f>
        <v>Pieza</v>
      </c>
      <c r="D299" s="28" t="str">
        <f>IFERROR(__xludf.DUMMYFUNCTION("""COMPUTED_VALUE"""),"2526-ENESEGGC")</f>
        <v>2526-ENESEGGC</v>
      </c>
      <c r="E299" s="28" t="str">
        <f>IFERROR(__xludf.DUMMYFUNCTION("""COMPUTED_VALUE"""),"CAMPAÑA GCBA | SEGURIDAD | Desalojo en San Nicolás")</f>
        <v>CAMPAÑA GCBA | SEGURIDAD | Desalojo en San Nicolás</v>
      </c>
      <c r="F299" s="28"/>
    </row>
    <row r="300">
      <c r="A300" s="28" t="str">
        <f>IFERROR(__xludf.DUMMYFUNCTION("""COMPUTED_VALUE"""),"2570-FEBJDGVC")</f>
        <v>2570-FEBJDGVC</v>
      </c>
      <c r="B300" s="28" t="str">
        <f>IFERROR(__xludf.DUMMYFUNCTION("""COMPUTED_VALUE"""),"RDV MINISTROS | Gabriel Sanchez Zinny 10/2")</f>
        <v>RDV MINISTROS | Gabriel Sanchez Zinny 10/2</v>
      </c>
      <c r="C300" s="29" t="str">
        <f>IFERROR(__xludf.DUMMYFUNCTION("""COMPUTED_VALUE"""),"Pieza")</f>
        <v>Pieza</v>
      </c>
      <c r="D300" s="28" t="str">
        <f>IFERROR(__xludf.DUMMYFUNCTION("""COMPUTED_VALUE"""),"2498-ENEEPHGC")</f>
        <v>2498-ENEEPHGC</v>
      </c>
      <c r="E300" s="28" t="str">
        <f>IFERROR(__xludf.DUMMYFUNCTION("""COMPUTED_VALUE"""),"CAMPAÑA GCBA | CONVIVENCIA | Genérica")</f>
        <v>CAMPAÑA GCBA | CONVIVENCIA | Genérica</v>
      </c>
      <c r="F300" s="28"/>
    </row>
    <row r="301">
      <c r="A301" s="28" t="str">
        <f>IFERROR(__xludf.DUMMYFUNCTION("""COMPUTED_VALUE"""),"2572-FEBEDUVC")</f>
        <v>2572-FEBEDUVC</v>
      </c>
      <c r="B301" s="28" t="str">
        <f>IFERROR(__xludf.DUMMYFUNCTION("""COMPUTED_VALUE"""),"RDV MINISTROS | Mercedes Miguel  10/2 COMUNA 1")</f>
        <v>RDV MINISTROS | Mercedes Miguel  10/2 COMUNA 1</v>
      </c>
      <c r="C301" s="29" t="str">
        <f>IFERROR(__xludf.DUMMYFUNCTION("""COMPUTED_VALUE"""),"Pieza")</f>
        <v>Pieza</v>
      </c>
      <c r="D301" s="28" t="str">
        <f>IFERROR(__xludf.DUMMYFUNCTION("""COMPUTED_VALUE"""),"2499-ENEEPHGC")</f>
        <v>2499-ENEEPHGC</v>
      </c>
      <c r="E301" s="28" t="str">
        <f>IFERROR(__xludf.DUMMYFUNCTION("""COMPUTED_VALUE"""),"CAMPAÑA GCBA | CONVIVENCIA | Cuidado de perros")</f>
        <v>CAMPAÑA GCBA | CONVIVENCIA | Cuidado de perros</v>
      </c>
      <c r="F301" s="28"/>
    </row>
    <row r="302">
      <c r="A302" s="28" t="str">
        <f>IFERROR(__xludf.DUMMYFUNCTION("""COMPUTED_VALUE"""),"2562-FEBSEGVC")</f>
        <v>2562-FEBSEGVC</v>
      </c>
      <c r="B302" s="28" t="str">
        <f>IFERROR(__xludf.DUMMYFUNCTION("""COMPUTED_VALUE"""),"RDV MINISTROS |  MAXIMILIANO PIÑEIRO 12/2")</f>
        <v>RDV MINISTROS |  MAXIMILIANO PIÑEIRO 12/2</v>
      </c>
      <c r="C302" s="29" t="str">
        <f>IFERROR(__xludf.DUMMYFUNCTION("""COMPUTED_VALUE"""),"Pieza")</f>
        <v>Pieza</v>
      </c>
      <c r="D302" s="28" t="str">
        <f>IFERROR(__xludf.DUMMYFUNCTION("""COMPUTED_VALUE"""),"2499-ENEEPHGC")</f>
        <v>2499-ENEEPHGC</v>
      </c>
      <c r="E302" s="28" t="str">
        <f>IFERROR(__xludf.DUMMYFUNCTION("""COMPUTED_VALUE"""),"CAMPAÑA GCBA | CONVIVENCIA | Cuidado de perros")</f>
        <v>CAMPAÑA GCBA | CONVIVENCIA | Cuidado de perros</v>
      </c>
      <c r="F302" s="28"/>
    </row>
    <row r="303">
      <c r="A303" s="28" t="str">
        <f>IFERROR(__xludf.DUMMYFUNCTION("""COMPUTED_VALUE"""),"2548-ENEFESGC")</f>
        <v>2548-ENEFESGC</v>
      </c>
      <c r="B303" s="28" t="str">
        <f>IFERROR(__xludf.DUMMYFUNCTION("""COMPUTED_VALUE"""),"Verano BA | Noche de Verano: Villa Crespo")</f>
        <v>Verano BA | Noche de Verano: Villa Crespo</v>
      </c>
      <c r="C303" s="29" t="str">
        <f>IFERROR(__xludf.DUMMYFUNCTION("""COMPUTED_VALUE"""),"Pieza")</f>
        <v>Pieza</v>
      </c>
      <c r="D303" s="28" t="str">
        <f>IFERROR(__xludf.DUMMYFUNCTION("""COMPUTED_VALUE"""),"2502-ENEJDGAG")</f>
        <v>2502-ENEJDGAG</v>
      </c>
      <c r="E303" s="28" t="str">
        <f>IFERROR(__xludf.DUMMYFUNCTION("""COMPUTED_VALUE"""),"CAFE JM Versalles 29/01")</f>
        <v>CAFE JM Versalles 29/01</v>
      </c>
      <c r="F303" s="28"/>
    </row>
    <row r="304">
      <c r="A304" s="28" t="str">
        <f>IFERROR(__xludf.DUMMYFUNCTION("""COMPUTED_VALUE"""),"2578-FEBSALVC")</f>
        <v>2578-FEBSALVC</v>
      </c>
      <c r="B304" s="28" t="str">
        <f>IFERROR(__xludf.DUMMYFUNCTION("""COMPUTED_VALUE"""),"RDV Ministros | Fernán Quirós - 13/02")</f>
        <v>RDV Ministros | Fernán Quirós - 13/02</v>
      </c>
      <c r="C304" s="29" t="str">
        <f>IFERROR(__xludf.DUMMYFUNCTION("""COMPUTED_VALUE"""),"Pieza")</f>
        <v>Pieza</v>
      </c>
      <c r="D304" s="28" t="str">
        <f>IFERROR(__xludf.DUMMYFUNCTION("""COMPUTED_VALUE"""),"2498-ENEEPHGC")</f>
        <v>2498-ENEEPHGC</v>
      </c>
      <c r="E304" s="28" t="str">
        <f>IFERROR(__xludf.DUMMYFUNCTION("""COMPUTED_VALUE"""),"CAMPAÑA GCBA | CONVIVENCIA | Genérica")</f>
        <v>CAMPAÑA GCBA | CONVIVENCIA | Genérica</v>
      </c>
      <c r="F304" s="28"/>
    </row>
    <row r="305">
      <c r="A305" s="28" t="str">
        <f>IFERROR(__xludf.DUMMYFUNCTION("""COMPUTED_VALUE"""),"1921-SEPAMBGC")</f>
        <v>1921-SEPAMBGC</v>
      </c>
      <c r="B305" s="28" t="str">
        <f>IFERROR(__xludf.DUMMYFUNCTION("""COMPUTED_VALUE"""),"Vacunación Antirrabica Animales")</f>
        <v>Vacunación Antirrabica Animales</v>
      </c>
      <c r="C305" s="29" t="str">
        <f>IFERROR(__xludf.DUMMYFUNCTION("""COMPUTED_VALUE"""),"Pieza")</f>
        <v>Pieza</v>
      </c>
      <c r="D305" s="28" t="str">
        <f>IFERROR(__xludf.DUMMYFUNCTION("""COMPUTED_VALUE"""),"2579-FEBINFGC")</f>
        <v>2579-FEBINFGC</v>
      </c>
      <c r="E305" s="28" t="str">
        <f>IFERROR(__xludf.DUMMYFUNCTION("""COMPUTED_VALUE"""),"Infraestructura - Carnaval: placa RRSS por cortes y desvíos")</f>
        <v>Infraestructura - Carnaval: placa RRSS por cortes y desvíos</v>
      </c>
      <c r="F305" s="28"/>
    </row>
    <row r="306">
      <c r="A306" s="28" t="str">
        <f>IFERROR(__xludf.DUMMYFUNCTION("""COMPUTED_VALUE"""),"2555-FEBSALGC")</f>
        <v>2555-FEBSALGC</v>
      </c>
      <c r="B306" s="28" t="str">
        <f>IFERROR(__xludf.DUMMYFUNCTION("""COMPUTED_VALUE"""),"Hospital Muñiz - Finalización de obra")</f>
        <v>Hospital Muñiz - Finalización de obra</v>
      </c>
      <c r="C306" s="29" t="str">
        <f>IFERROR(__xludf.DUMMYFUNCTION("""COMPUTED_VALUE"""),"Pieza")</f>
        <v>Pieza</v>
      </c>
      <c r="D306" s="28" t="str">
        <f>IFERROR(__xludf.DUMMYFUNCTION("""COMPUTED_VALUE"""),"2500-ENEEPHGC")</f>
        <v>2500-ENEEPHGC</v>
      </c>
      <c r="E306" s="28" t="str">
        <f>IFERROR(__xludf.DUMMYFUNCTION("""COMPUTED_VALUE"""),"CAMPAÑA GCBA | CONVIVENCIA | Doble Fila")</f>
        <v>CAMPAÑA GCBA | CONVIVENCIA | Doble Fila</v>
      </c>
      <c r="F306" s="28"/>
    </row>
    <row r="307">
      <c r="A307" s="28" t="str">
        <f>IFERROR(__xludf.DUMMYFUNCTION("""COMPUTED_VALUE"""),"2574-FEBTURGC")</f>
        <v>2574-FEBTURGC</v>
      </c>
      <c r="B307" s="28" t="str">
        <f>IFERROR(__xludf.DUMMYFUNCTION("""COMPUTED_VALUE"""),"Envío Relevamiento intereses | Capacitaciones 2026 | Jueves 12/02")</f>
        <v>Envío Relevamiento intereses | Capacitaciones 2026 | Jueves 12/02</v>
      </c>
      <c r="C307" s="29" t="str">
        <f>IFERROR(__xludf.DUMMYFUNCTION("""COMPUTED_VALUE"""),"Pieza")</f>
        <v>Pieza</v>
      </c>
      <c r="D307" s="28" t="str">
        <f>IFERROR(__xludf.DUMMYFUNCTION("""COMPUTED_VALUE"""),"2500-ENEEPHGC")</f>
        <v>2500-ENEEPHGC</v>
      </c>
      <c r="E307" s="28" t="str">
        <f>IFERROR(__xludf.DUMMYFUNCTION("""COMPUTED_VALUE"""),"CAMPAÑA GCBA | CONVIVENCIA | Doble Fila")</f>
        <v>CAMPAÑA GCBA | CONVIVENCIA | Doble Fila</v>
      </c>
      <c r="F307" s="28"/>
    </row>
    <row r="308">
      <c r="A308" s="28" t="str">
        <f>IFERROR(__xludf.DUMMYFUNCTION("""COMPUTED_VALUE"""),"2566-FEBCULVC")</f>
        <v>2566-FEBCULVC</v>
      </c>
      <c r="B308" s="28" t="str">
        <f>IFERROR(__xludf.DUMMYFUNCTION("""COMPUTED_VALUE"""),"RDV MINISTROS |  GABRIELA RICARDES 11/2")</f>
        <v>RDV MINISTROS |  GABRIELA RICARDES 11/2</v>
      </c>
      <c r="C308" s="29" t="str">
        <f>IFERROR(__xludf.DUMMYFUNCTION("""COMPUTED_VALUE"""),"Pieza")</f>
        <v>Pieza</v>
      </c>
      <c r="D308" s="28" t="str">
        <f>IFERROR(__xludf.DUMMYFUNCTION("""COMPUTED_VALUE"""),"2500-ENEEPHGC")</f>
        <v>2500-ENEEPHGC</v>
      </c>
      <c r="E308" s="28" t="str">
        <f>IFERROR(__xludf.DUMMYFUNCTION("""COMPUTED_VALUE"""),"CAMPAÑA GCBA | CONVIVENCIA | Doble Fila")</f>
        <v>CAMPAÑA GCBA | CONVIVENCIA | Doble Fila</v>
      </c>
      <c r="F308" s="28"/>
    </row>
    <row r="309">
      <c r="A309" s="28" t="str">
        <f>IFERROR(__xludf.DUMMYFUNCTION("""COMPUTED_VALUE"""),"2595-FEBJDGAG")</f>
        <v>2595-FEBJDGAG</v>
      </c>
      <c r="B309" s="28" t="str">
        <f>IFERROR(__xludf.DUMMYFUNCTION("""COMPUTED_VALUE"""),"RDV JM | 19/02 Villa Lugano")</f>
        <v>RDV JM | 19/02 Villa Lugano</v>
      </c>
      <c r="C309" s="29" t="str">
        <f>IFERROR(__xludf.DUMMYFUNCTION("""COMPUTED_VALUE"""),"Pieza")</f>
        <v>Pieza</v>
      </c>
      <c r="D309" s="28" t="str">
        <f>IFERROR(__xludf.DUMMYFUNCTION("""COMPUTED_VALUE"""),"2591-FEBINFGC")</f>
        <v>2591-FEBINFGC</v>
      </c>
      <c r="E309" s="28" t="str">
        <f>IFERROR(__xludf.DUMMYFUNCTION("""COMPUTED_VALUE"""),"Cortes y desvíos en River por evento Bad Bunny")</f>
        <v>Cortes y desvíos en River por evento Bad Bunny</v>
      </c>
      <c r="F309" s="28"/>
    </row>
    <row r="310">
      <c r="A310" s="28" t="str">
        <f>IFERROR(__xludf.DUMMYFUNCTION("""COMPUTED_VALUE"""),"2604-FEBINFVC")</f>
        <v>2604-FEBINFVC</v>
      </c>
      <c r="B310" s="28" t="str">
        <f>IFERROR(__xludf.DUMMYFUNCTION("""COMPUTED_VALUE"""),"RDV MINISTROS | Pablo Bereciartua 18/2 COMUNA 14")</f>
        <v>RDV MINISTROS | Pablo Bereciartua 18/2 COMUNA 14</v>
      </c>
      <c r="C310" s="29" t="str">
        <f>IFERROR(__xludf.DUMMYFUNCTION("""COMPUTED_VALUE"""),"Pieza")</f>
        <v>Pieza</v>
      </c>
      <c r="D310" s="28" t="str">
        <f>IFERROR(__xludf.DUMMYFUNCTION("""COMPUTED_VALUE"""),"2548-ENEFESGC")</f>
        <v>2548-ENEFESGC</v>
      </c>
      <c r="E310" s="28" t="str">
        <f>IFERROR(__xludf.DUMMYFUNCTION("""COMPUTED_VALUE"""),"Verano BA | Noche de Verano: Villa Crespo")</f>
        <v>Verano BA | Noche de Verano: Villa Crespo</v>
      </c>
      <c r="F310" s="28"/>
    </row>
    <row r="311">
      <c r="A311" s="28" t="str">
        <f>IFERROR(__xludf.DUMMYFUNCTION("""COMPUTED_VALUE"""),"2591-FEBINFGC")</f>
        <v>2591-FEBINFGC</v>
      </c>
      <c r="B311" s="28" t="str">
        <f>IFERROR(__xludf.DUMMYFUNCTION("""COMPUTED_VALUE"""),"Cortes y desvíos en River por evento Bad Bunny")</f>
        <v>Cortes y desvíos en River por evento Bad Bunny</v>
      </c>
      <c r="C311" s="29" t="str">
        <f>IFERROR(__xludf.DUMMYFUNCTION("""COMPUTED_VALUE"""),"Pieza")</f>
        <v>Pieza</v>
      </c>
      <c r="D311" s="28" t="str">
        <f>IFERROR(__xludf.DUMMYFUNCTION("""COMPUTED_VALUE"""),"2548-ENEFESGC")</f>
        <v>2548-ENEFESGC</v>
      </c>
      <c r="E311" s="28" t="str">
        <f>IFERROR(__xludf.DUMMYFUNCTION("""COMPUTED_VALUE"""),"Verano BA | Noche de Verano: Villa Crespo")</f>
        <v>Verano BA | Noche de Verano: Villa Crespo</v>
      </c>
      <c r="F311" s="28"/>
    </row>
    <row r="312">
      <c r="A312" s="28" t="str">
        <f>IFERROR(__xludf.DUMMYFUNCTION("""COMPUTED_VALUE"""),"2571-FEBJDGVC")</f>
        <v>2571-FEBJDGVC</v>
      </c>
      <c r="B312" s="28" t="str">
        <f>IFERROR(__xludf.DUMMYFUNCTION("""COMPUTED_VALUE"""),"RDV MINISTROS | Gabriel Sanchez Zinny 11/2")</f>
        <v>RDV MINISTROS | Gabriel Sanchez Zinny 11/2</v>
      </c>
      <c r="C312" s="29" t="str">
        <f>IFERROR(__xludf.DUMMYFUNCTION("""COMPUTED_VALUE"""),"Pieza")</f>
        <v>Pieza</v>
      </c>
      <c r="D312" s="28" t="str">
        <f>IFERROR(__xludf.DUMMYFUNCTION("""COMPUTED_VALUE"""),"2548-ENEFESGC")</f>
        <v>2548-ENEFESGC</v>
      </c>
      <c r="E312" s="28" t="str">
        <f>IFERROR(__xludf.DUMMYFUNCTION("""COMPUTED_VALUE"""),"Verano BA | Noche de Verano: Villa Crespo")</f>
        <v>Verano BA | Noche de Verano: Villa Crespo</v>
      </c>
      <c r="F312" s="28"/>
    </row>
    <row r="313">
      <c r="A313" s="28" t="str">
        <f>IFERROR(__xludf.DUMMYFUNCTION("""COMPUTED_VALUE"""),"2558-FEBFESGC")</f>
        <v>2558-FEBFESGC</v>
      </c>
      <c r="B313" s="28" t="str">
        <f>IFERROR(__xludf.DUMMYFUNCTION("""COMPUTED_VALUE"""),"Verano BA | Buenos Aires Extremo")</f>
        <v>Verano BA | Buenos Aires Extremo</v>
      </c>
      <c r="C313" s="29" t="str">
        <f>IFERROR(__xludf.DUMMYFUNCTION("""COMPUTED_VALUE"""),"Pieza")</f>
        <v>Pieza</v>
      </c>
      <c r="D313" s="28" t="str">
        <f>IFERROR(__xludf.DUMMYFUNCTION("""COMPUTED_VALUE"""),"2580-FEBSEGGC")</f>
        <v>2580-FEBSEGGC</v>
      </c>
      <c r="E313" s="28" t="str">
        <f>IFERROR(__xludf.DUMMYFUNCTION("""COMPUTED_VALUE"""),"CAMPAÑA GCBA | SEGURIDAD | Desalojo en Palermo")</f>
        <v>CAMPAÑA GCBA | SEGURIDAD | Desalojo en Palermo</v>
      </c>
      <c r="F313" s="28"/>
    </row>
    <row r="314">
      <c r="A314" s="28" t="str">
        <f>IFERROR(__xludf.DUMMYFUNCTION("""COMPUTED_VALUE"""),"2598-FEBEPHVC")</f>
        <v>2598-FEBEPHVC</v>
      </c>
      <c r="B314" s="28" t="str">
        <f>IFERROR(__xludf.DUMMYFUNCTION("""COMPUTED_VALUE"""),"RDV MINISTROS | IGNACIO BAISTROCCHI 18/2 COMUNA 12")</f>
        <v>RDV MINISTROS | IGNACIO BAISTROCCHI 18/2 COMUNA 12</v>
      </c>
      <c r="C314" s="29" t="str">
        <f>IFERROR(__xludf.DUMMYFUNCTION("""COMPUTED_VALUE"""),"Pieza")</f>
        <v>Pieza</v>
      </c>
      <c r="D314" s="28" t="str">
        <f>IFERROR(__xludf.DUMMYFUNCTION("""COMPUTED_VALUE"""),"2580-FEBSEGGC")</f>
        <v>2580-FEBSEGGC</v>
      </c>
      <c r="E314" s="28" t="str">
        <f>IFERROR(__xludf.DUMMYFUNCTION("""COMPUTED_VALUE"""),"CAMPAÑA GCBA | SEGURIDAD | Desalojo en Palermo")</f>
        <v>CAMPAÑA GCBA | SEGURIDAD | Desalojo en Palermo</v>
      </c>
      <c r="F314" s="28"/>
    </row>
    <row r="315">
      <c r="A315" s="28" t="str">
        <f>IFERROR(__xludf.DUMMYFUNCTION("""COMPUTED_VALUE"""),"2603-FEBSEGVC")</f>
        <v>2603-FEBSEGVC</v>
      </c>
      <c r="B315" s="28" t="str">
        <f>IFERROR(__xludf.DUMMYFUNCTION("""COMPUTED_VALUE"""),"RDV Ministros | Ruth Landerreche 19/2 Comuna 10")</f>
        <v>RDV Ministros | Ruth Landerreche 19/2 Comuna 10</v>
      </c>
      <c r="C315" s="29" t="str">
        <f>IFERROR(__xludf.DUMMYFUNCTION("""COMPUTED_VALUE"""),"Pieza")</f>
        <v>Pieza</v>
      </c>
      <c r="D315" s="28" t="str">
        <f>IFERROR(__xludf.DUMMYFUNCTION("""COMPUTED_VALUE"""),"2580-FEBSEGGC")</f>
        <v>2580-FEBSEGGC</v>
      </c>
      <c r="E315" s="28" t="str">
        <f>IFERROR(__xludf.DUMMYFUNCTION("""COMPUTED_VALUE"""),"CAMPAÑA GCBA | SEGURIDAD | Desalojo en Palermo")</f>
        <v>CAMPAÑA GCBA | SEGURIDAD | Desalojo en Palermo</v>
      </c>
      <c r="F315" s="28"/>
    </row>
    <row r="316">
      <c r="A316" s="28" t="str">
        <f>IFERROR(__xludf.DUMMYFUNCTION("""COMPUTED_VALUE"""),"2554-FEBINFGC")</f>
        <v>2554-FEBINFGC</v>
      </c>
      <c r="B316" s="28" t="str">
        <f>IFERROR(__xludf.DUMMYFUNCTION("""COMPUTED_VALUE"""),"Infraestructura I Obras M2:  Campaña Trambus FEBRERO")</f>
        <v>Infraestructura I Obras M2:  Campaña Trambus FEBRERO</v>
      </c>
      <c r="C316" s="29" t="str">
        <f>IFERROR(__xludf.DUMMYFUNCTION("""COMPUTED_VALUE"""),"Pieza")</f>
        <v>Pieza</v>
      </c>
      <c r="D316" s="28" t="str">
        <f>IFERROR(__xludf.DUMMYFUNCTION("""COMPUTED_VALUE"""),"2590-FEBINFGC")</f>
        <v>2590-FEBINFGC</v>
      </c>
      <c r="E316" s="28" t="str">
        <f>IFERROR(__xludf.DUMMYFUNCTION("""COMPUTED_VALUE"""),"Cortes y desvíos en MTB por obras")</f>
        <v>Cortes y desvíos en MTB por obras</v>
      </c>
      <c r="F316" s="28"/>
    </row>
    <row r="317">
      <c r="A317" s="28" t="str">
        <f>IFERROR(__xludf.DUMMYFUNCTION("""COMPUTED_VALUE"""),"2554-FEBINFGC")</f>
        <v>2554-FEBINFGC</v>
      </c>
      <c r="B317" s="28" t="str">
        <f>IFERROR(__xludf.DUMMYFUNCTION("""COMPUTED_VALUE"""),"Infraestructura I Obras M2:  Campaña Trambus FEBRERO")</f>
        <v>Infraestructura I Obras M2:  Campaña Trambus FEBRERO</v>
      </c>
      <c r="C317" s="29" t="str">
        <f>IFERROR(__xludf.DUMMYFUNCTION("""COMPUTED_VALUE"""),"Pieza")</f>
        <v>Pieza</v>
      </c>
      <c r="D317" s="28" t="str">
        <f>IFERROR(__xludf.DUMMYFUNCTION("""COMPUTED_VALUE"""),"2590-FEBINFGC")</f>
        <v>2590-FEBINFGC</v>
      </c>
      <c r="E317" s="28" t="str">
        <f>IFERROR(__xludf.DUMMYFUNCTION("""COMPUTED_VALUE"""),"Cortes y desvíos en MTB por obras")</f>
        <v>Cortes y desvíos en MTB por obras</v>
      </c>
      <c r="F317" s="28"/>
    </row>
    <row r="318">
      <c r="A318" s="28" t="str">
        <f>IFERROR(__xludf.DUMMYFUNCTION("""COMPUTED_VALUE"""),"2554-FEBINFGC")</f>
        <v>2554-FEBINFGC</v>
      </c>
      <c r="B318" s="28" t="str">
        <f>IFERROR(__xludf.DUMMYFUNCTION("""COMPUTED_VALUE"""),"Infraestructura I Obras M2:  Campaña Trambus FEBRERO")</f>
        <v>Infraestructura I Obras M2:  Campaña Trambus FEBRERO</v>
      </c>
      <c r="C318" s="29" t="str">
        <f>IFERROR(__xludf.DUMMYFUNCTION("""COMPUTED_VALUE"""),"Pieza")</f>
        <v>Pieza</v>
      </c>
      <c r="D318" s="28" t="str">
        <f>IFERROR(__xludf.DUMMYFUNCTION("""COMPUTED_VALUE"""),"2558-FEBFESGC")</f>
        <v>2558-FEBFESGC</v>
      </c>
      <c r="E318" s="28" t="str">
        <f>IFERROR(__xludf.DUMMYFUNCTION("""COMPUTED_VALUE"""),"Verano BA | Buenos Aires Extremo")</f>
        <v>Verano BA | Buenos Aires Extremo</v>
      </c>
      <c r="F318" s="28"/>
    </row>
    <row r="319">
      <c r="A319" s="28" t="str">
        <f>IFERROR(__xludf.DUMMYFUNCTION("""COMPUTED_VALUE"""),"2554-FEBINFGC")</f>
        <v>2554-FEBINFGC</v>
      </c>
      <c r="B319" s="28" t="str">
        <f>IFERROR(__xludf.DUMMYFUNCTION("""COMPUTED_VALUE"""),"Infraestructura I Obras M2:  Campaña Trambus FEBRERO")</f>
        <v>Infraestructura I Obras M2:  Campaña Trambus FEBRERO</v>
      </c>
      <c r="C319" s="29" t="str">
        <f>IFERROR(__xludf.DUMMYFUNCTION("""COMPUTED_VALUE"""),"Pieza")</f>
        <v>Pieza</v>
      </c>
      <c r="D319" s="28" t="str">
        <f>IFERROR(__xludf.DUMMYFUNCTION("""COMPUTED_VALUE"""),"2558-FEBFESGC")</f>
        <v>2558-FEBFESGC</v>
      </c>
      <c r="E319" s="28" t="str">
        <f>IFERROR(__xludf.DUMMYFUNCTION("""COMPUTED_VALUE"""),"Verano BA | Buenos Aires Extremo")</f>
        <v>Verano BA | Buenos Aires Extremo</v>
      </c>
      <c r="F319" s="28"/>
    </row>
    <row r="320">
      <c r="A320" s="28" t="str">
        <f>IFERROR(__xludf.DUMMYFUNCTION("""COMPUTED_VALUE"""),"2565-FEBSEGVC")</f>
        <v>2565-FEBSEGVC</v>
      </c>
      <c r="B320" s="28" t="str">
        <f>IFERROR(__xludf.DUMMYFUNCTION("""COMPUTED_VALUE"""),"RDV MINISTROS |  GABINO TAPIA 12/2")</f>
        <v>RDV MINISTROS |  GABINO TAPIA 12/2</v>
      </c>
      <c r="C320" s="29" t="str">
        <f>IFERROR(__xludf.DUMMYFUNCTION("""COMPUTED_VALUE"""),"Pieza")</f>
        <v>Pieza</v>
      </c>
      <c r="D320" s="28" t="str">
        <f>IFERROR(__xludf.DUMMYFUNCTION("""COMPUTED_VALUE"""),"2558-FEBFESGC")</f>
        <v>2558-FEBFESGC</v>
      </c>
      <c r="E320" s="28" t="str">
        <f>IFERROR(__xludf.DUMMYFUNCTION("""COMPUTED_VALUE"""),"Verano BA | Buenos Aires Extremo")</f>
        <v>Verano BA | Buenos Aires Extremo</v>
      </c>
      <c r="F320" s="28"/>
    </row>
    <row r="321">
      <c r="A321" s="28" t="str">
        <f>IFERROR(__xludf.DUMMYFUNCTION("""COMPUTED_VALUE"""),"2602-FEBSEGVC")</f>
        <v>2602-FEBSEGVC</v>
      </c>
      <c r="B321" s="28" t="str">
        <f>IFERROR(__xludf.DUMMYFUNCTION("""COMPUTED_VALUE"""),"RDV Ministros | Gabino Tapia 19/2 Comuna 8")</f>
        <v>RDV Ministros | Gabino Tapia 19/2 Comuna 8</v>
      </c>
      <c r="C321" s="29" t="str">
        <f>IFERROR(__xludf.DUMMYFUNCTION("""COMPUTED_VALUE"""),"Pieza")</f>
        <v>Pieza</v>
      </c>
      <c r="D321" s="28" t="str">
        <f>IFERROR(__xludf.DUMMYFUNCTION("""COMPUTED_VALUE"""),"2558-FEBFESGC")</f>
        <v>2558-FEBFESGC</v>
      </c>
      <c r="E321" s="28" t="str">
        <f>IFERROR(__xludf.DUMMYFUNCTION("""COMPUTED_VALUE"""),"Verano BA | Buenos Aires Extremo")</f>
        <v>Verano BA | Buenos Aires Extremo</v>
      </c>
      <c r="F321" s="28"/>
    </row>
    <row r="322">
      <c r="A322" s="28" t="str">
        <f>IFERROR(__xludf.DUMMYFUNCTION("""COMPUTED_VALUE"""),"2581-FEBFESGC")</f>
        <v>2581-FEBFESGC</v>
      </c>
      <c r="B322" s="28" t="str">
        <f>IFERROR(__xludf.DUMMYFUNCTION("""COMPUTED_VALUE"""),"Verano BA | Día de los Enamorados")</f>
        <v>Verano BA | Día de los Enamorados</v>
      </c>
      <c r="C322" s="29" t="str">
        <f>IFERROR(__xludf.DUMMYFUNCTION("""COMPUTED_VALUE"""),"Pieza")</f>
        <v>Pieza</v>
      </c>
      <c r="D322" s="28" t="str">
        <f>IFERROR(__xludf.DUMMYFUNCTION("""COMPUTED_VALUE"""),"2534-ENEJDGAG")</f>
        <v>2534-ENEJDGAG</v>
      </c>
      <c r="E322" s="28" t="str">
        <f>IFERROR(__xludf.DUMMYFUNCTION("""COMPUTED_VALUE"""),"RDV JM | VILLA RIACHUELO 5/2")</f>
        <v>RDV JM | VILLA RIACHUELO 5/2</v>
      </c>
      <c r="F322" s="28"/>
    </row>
    <row r="323">
      <c r="A323" s="28" t="str">
        <f>IFERROR(__xludf.DUMMYFUNCTION("""COMPUTED_VALUE"""),"1896-SEPEPHGC")</f>
        <v>1896-SEPEPHGC</v>
      </c>
      <c r="B323" s="28" t="str">
        <f>IFERROR(__xludf.DUMMYFUNCTION("""COMPUTED_VALUE"""),"PIEZAS M2 | MEPHU | LIMPIEZA INTENSIVA")</f>
        <v>PIEZAS M2 | MEPHU | LIMPIEZA INTENSIVA</v>
      </c>
      <c r="C323" s="29" t="str">
        <f>IFERROR(__xludf.DUMMYFUNCTION("""COMPUTED_VALUE"""),"Pieza")</f>
        <v>Pieza</v>
      </c>
      <c r="D323" s="28" t="str">
        <f>IFERROR(__xludf.DUMMYFUNCTION("""COMPUTED_VALUE"""),"2532-ENEJDGAG")</f>
        <v>2532-ENEJDGAG</v>
      </c>
      <c r="E323" s="28" t="str">
        <f>IFERROR(__xludf.DUMMYFUNCTION("""COMPUTED_VALUE"""),"RDV JM | VILLA URQUIZA 2/2")</f>
        <v>RDV JM | VILLA URQUIZA 2/2</v>
      </c>
      <c r="F323" s="28"/>
    </row>
    <row r="324">
      <c r="A324" s="28" t="str">
        <f>IFERROR(__xludf.DUMMYFUNCTION("""COMPUTED_VALUE"""),"2500-ENEEPHGC")</f>
        <v>2500-ENEEPHGC</v>
      </c>
      <c r="B324" s="28" t="str">
        <f>IFERROR(__xludf.DUMMYFUNCTION("""COMPUTED_VALUE"""),"CAMPAÑA GCBA | CONVIVENCIA | Doble Fila")</f>
        <v>CAMPAÑA GCBA | CONVIVENCIA | Doble Fila</v>
      </c>
      <c r="C324" s="29" t="str">
        <f>IFERROR(__xludf.DUMMYFUNCTION("""COMPUTED_VALUE"""),"Pieza")</f>
        <v>Pieza</v>
      </c>
      <c r="D324" s="28" t="str">
        <f>IFERROR(__xludf.DUMMYFUNCTION("""COMPUTED_VALUE"""),"2604-FEBINFVC")</f>
        <v>2604-FEBINFVC</v>
      </c>
      <c r="E324" s="28" t="str">
        <f>IFERROR(__xludf.DUMMYFUNCTION("""COMPUTED_VALUE"""),"RDV MINISTROS | Pablo Bereciartua 18/2 COMUNA 14")</f>
        <v>RDV MINISTROS | Pablo Bereciartua 18/2 COMUNA 14</v>
      </c>
      <c r="F324" s="28"/>
    </row>
    <row r="325">
      <c r="A325" s="28" t="str">
        <f>IFERROR(__xludf.DUMMYFUNCTION("""COMPUTED_VALUE"""),"2596-FEBJDGAG")</f>
        <v>2596-FEBJDGAG</v>
      </c>
      <c r="B325" s="28" t="str">
        <f>IFERROR(__xludf.DUMMYFUNCTION("""COMPUTED_VALUE"""),"RDV JM | 20/02 Villa Luro")</f>
        <v>RDV JM | 20/02 Villa Luro</v>
      </c>
      <c r="C325" s="29" t="str">
        <f>IFERROR(__xludf.DUMMYFUNCTION("""COMPUTED_VALUE"""),"Pieza")</f>
        <v>Pieza</v>
      </c>
      <c r="D325" s="28" t="str">
        <f>IFERROR(__xludf.DUMMYFUNCTION("""COMPUTED_VALUE"""),"2595-FEBJDGAG")</f>
        <v>2595-FEBJDGAG</v>
      </c>
      <c r="E325" s="28" t="str">
        <f>IFERROR(__xludf.DUMMYFUNCTION("""COMPUTED_VALUE"""),"RDV JM | 19/02 Villa Lugano")</f>
        <v>RDV JM | 19/02 Villa Lugano</v>
      </c>
      <c r="F325" s="28"/>
    </row>
    <row r="326">
      <c r="A326" s="28" t="str">
        <f>IFERROR(__xludf.DUMMYFUNCTION("""COMPUTED_VALUE"""),"2493-ENEVINGC")</f>
        <v>2493-ENEVINGC</v>
      </c>
      <c r="B326" s="28" t="str">
        <f>IFERROR(__xludf.DUMMYFUNCTION("""COMPUTED_VALUE"""),"CAMPAÑA GCBA | VINCULO CIUDADANO | Mas servicios en tu barrio 2026: Villa Luro 18/02")</f>
        <v>CAMPAÑA GCBA | VINCULO CIUDADANO | Mas servicios en tu barrio 2026: Villa Luro 18/02</v>
      </c>
      <c r="C326" s="29" t="str">
        <f>IFERROR(__xludf.DUMMYFUNCTION("""COMPUTED_VALUE"""),"Pieza")</f>
        <v>Pieza</v>
      </c>
      <c r="D326" s="28" t="str">
        <f>IFERROR(__xludf.DUMMYFUNCTION("""COMPUTED_VALUE"""),"2597-FEBJDGAG")</f>
        <v>2597-FEBJDGAG</v>
      </c>
      <c r="E326" s="28" t="str">
        <f>IFERROR(__xludf.DUMMYFUNCTION("""COMPUTED_VALUE"""),"RDV JM | 21/02 Floresta")</f>
        <v>RDV JM | 21/02 Floresta</v>
      </c>
      <c r="F326" s="28"/>
    </row>
    <row r="327">
      <c r="A327" s="28" t="str">
        <f>IFERROR(__xludf.DUMMYFUNCTION("""COMPUTED_VALUE"""),"2608-FEBAMBVC")</f>
        <v>2608-FEBAMBVC</v>
      </c>
      <c r="B327" s="28" t="str">
        <f>IFERROR(__xludf.DUMMYFUNCTION("""COMPUTED_VALUE"""),"RDV Ministros | Clara Muzzio - 18/02")</f>
        <v>RDV Ministros | Clara Muzzio - 18/02</v>
      </c>
      <c r="C327" s="29" t="str">
        <f>IFERROR(__xludf.DUMMYFUNCTION("""COMPUTED_VALUE"""),"Pieza")</f>
        <v>Pieza</v>
      </c>
      <c r="D327" s="28" t="str">
        <f>IFERROR(__xludf.DUMMYFUNCTION("""COMPUTED_VALUE"""),"2598-FEBEPHVC")</f>
        <v>2598-FEBEPHVC</v>
      </c>
      <c r="E327" s="28" t="str">
        <f>IFERROR(__xludf.DUMMYFUNCTION("""COMPUTED_VALUE"""),"RDV MINISTROS | IGNACIO BAISTROCCHI 18/2 COMUNA 12")</f>
        <v>RDV MINISTROS | IGNACIO BAISTROCCHI 18/2 COMUNA 12</v>
      </c>
      <c r="F327" s="28"/>
    </row>
    <row r="328">
      <c r="A328" s="28" t="str">
        <f>IFERROR(__xludf.DUMMYFUNCTION("""COMPUTED_VALUE"""),"2599-FEBDHHVC")</f>
        <v>2599-FEBDHHVC</v>
      </c>
      <c r="B328" s="28" t="str">
        <f>IFERROR(__xludf.DUMMYFUNCTION("""COMPUTED_VALUE"""),"RDV Ministros | Gabriel Mraida - 20/02")</f>
        <v>RDV Ministros | Gabriel Mraida - 20/02</v>
      </c>
      <c r="C328" s="29" t="str">
        <f>IFERROR(__xludf.DUMMYFUNCTION("""COMPUTED_VALUE"""),"Pieza")</f>
        <v>Pieza</v>
      </c>
      <c r="D328" s="28" t="str">
        <f>IFERROR(__xludf.DUMMYFUNCTION("""COMPUTED_VALUE"""),"2596-FEBJDGAG")</f>
        <v>2596-FEBJDGAG</v>
      </c>
      <c r="E328" s="28" t="str">
        <f>IFERROR(__xludf.DUMMYFUNCTION("""COMPUTED_VALUE"""),"RDV JM | 20/02 Villa Luro")</f>
        <v>RDV JM | 20/02 Villa Luro</v>
      </c>
      <c r="F328" s="28"/>
    </row>
    <row r="329">
      <c r="A329" s="28" t="str">
        <f>IFERROR(__xludf.DUMMYFUNCTION("""COMPUTED_VALUE"""),"2616-FEBINFCG")</f>
        <v>2616-FEBINFCG</v>
      </c>
      <c r="B329" s="28" t="str">
        <f>IFERROR(__xludf.DUMMYFUNCTION("""COMPUTED_VALUE"""),"Infraestructura | Cortes y desvios Av Cantilo por obras en Labruna")</f>
        <v>Infraestructura | Cortes y desvios Av Cantilo por obras en Labruna</v>
      </c>
      <c r="C329" s="29" t="str">
        <f>IFERROR(__xludf.DUMMYFUNCTION("""COMPUTED_VALUE"""),"Pieza")</f>
        <v>Pieza</v>
      </c>
      <c r="D329" s="28" t="str">
        <f>IFERROR(__xludf.DUMMYFUNCTION("""COMPUTED_VALUE"""),"2496-ENEVINGC")</f>
        <v>2496-ENEVINGC</v>
      </c>
      <c r="E32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29" s="28"/>
    </row>
    <row r="330">
      <c r="A330" s="28" t="str">
        <f>IFERROR(__xludf.DUMMYFUNCTION("""COMPUTED_VALUE"""),"2424-DICFESGC")</f>
        <v>2424-DICFESGC</v>
      </c>
      <c r="B330" s="28" t="str">
        <f>IFERROR(__xludf.DUMMYFUNCTION("""COMPUTED_VALUE"""),"Verano en Buenos Aires 2026 | Generico")</f>
        <v>Verano en Buenos Aires 2026 | Generico</v>
      </c>
      <c r="C330" s="29" t="str">
        <f>IFERROR(__xludf.DUMMYFUNCTION("""COMPUTED_VALUE"""),"Pieza")</f>
        <v>Pieza</v>
      </c>
      <c r="D330" s="28" t="str">
        <f>IFERROR(__xludf.DUMMYFUNCTION("""COMPUTED_VALUE"""),"2496-ENEVINGC")</f>
        <v>2496-ENEVINGC</v>
      </c>
      <c r="E33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30" s="28"/>
    </row>
    <row r="331">
      <c r="A331" s="28" t="str">
        <f>IFERROR(__xludf.DUMMYFUNCTION("""COMPUTED_VALUE"""),"2546-ENEEDUGC")</f>
        <v>2546-ENEEDUGC</v>
      </c>
      <c r="B331" s="28" t="str">
        <f>IFERROR(__xludf.DUMMYFUNCTION("""COMPUTED_VALUE"""),"Tecnica Superior")</f>
        <v>Tecnica Superior</v>
      </c>
      <c r="C331" s="29" t="str">
        <f>IFERROR(__xludf.DUMMYFUNCTION("""COMPUTED_VALUE"""),"Pieza")</f>
        <v>Pieza</v>
      </c>
      <c r="D331" s="28" t="str">
        <f>IFERROR(__xludf.DUMMYFUNCTION("""COMPUTED_VALUE"""),"2581-FEBFESGC")</f>
        <v>2581-FEBFESGC</v>
      </c>
      <c r="E331" s="28" t="str">
        <f>IFERROR(__xludf.DUMMYFUNCTION("""COMPUTED_VALUE"""),"Verano BA | Día de los Enamorados")</f>
        <v>Verano BA | Día de los Enamorados</v>
      </c>
      <c r="F331" s="28"/>
    </row>
    <row r="332">
      <c r="A332" s="28" t="str">
        <f>IFERROR(__xludf.DUMMYFUNCTION("""COMPUTED_VALUE"""),"2605-FEBJDGVC")</f>
        <v>2605-FEBJDGVC</v>
      </c>
      <c r="B332" s="28" t="str">
        <f>IFERROR(__xludf.DUMMYFUNCTION("""COMPUTED_VALUE"""),"RDV MINISTROS | Gabriel Sanchez Zinny 20/2")</f>
        <v>RDV MINISTROS | Gabriel Sanchez Zinny 20/2</v>
      </c>
      <c r="C332" s="29" t="str">
        <f>IFERROR(__xludf.DUMMYFUNCTION("""COMPUTED_VALUE"""),"Pieza")</f>
        <v>Pieza</v>
      </c>
      <c r="D332" s="28" t="str">
        <f>IFERROR(__xludf.DUMMYFUNCTION("""COMPUTED_VALUE"""),"2581-FEBFESGC")</f>
        <v>2581-FEBFESGC</v>
      </c>
      <c r="E332" s="28" t="str">
        <f>IFERROR(__xludf.DUMMYFUNCTION("""COMPUTED_VALUE"""),"Verano BA | Día de los Enamorados")</f>
        <v>Verano BA | Día de los Enamorados</v>
      </c>
      <c r="F332" s="28"/>
    </row>
    <row r="333">
      <c r="A333" s="28" t="str">
        <f>IFERROR(__xludf.DUMMYFUNCTION("""COMPUTED_VALUE"""),"2592-FEBSEGGC")</f>
        <v>2592-FEBSEGGC</v>
      </c>
      <c r="B333" s="28" t="str">
        <f>IFERROR(__xludf.DUMMYFUNCTION("""COMPUTED_VALUE"""),"CAMPAÑA GCBA | SEGURIDAD | Megaoperativo motochorros PDLC")</f>
        <v>CAMPAÑA GCBA | SEGURIDAD | Megaoperativo motochorros PDLC</v>
      </c>
      <c r="C333" s="29" t="str">
        <f>IFERROR(__xludf.DUMMYFUNCTION("""COMPUTED_VALUE"""),"Pieza")</f>
        <v>Pieza</v>
      </c>
      <c r="D333" s="28" t="str">
        <f>IFERROR(__xludf.DUMMYFUNCTION("""COMPUTED_VALUE"""),"2593-FEBSEGGC")</f>
        <v>2593-FEBSEGGC</v>
      </c>
      <c r="E333" s="28" t="str">
        <f>IFERROR(__xludf.DUMMYFUNCTION("""COMPUTED_VALUE"""),"CAMPAÑA GCBA | SEGURIDAD | Un año sin manteros en Flores")</f>
        <v>CAMPAÑA GCBA | SEGURIDAD | Un año sin manteros en Flores</v>
      </c>
      <c r="F333" s="28"/>
    </row>
    <row r="334">
      <c r="A334" s="28" t="str">
        <f>IFERROR(__xludf.DUMMYFUNCTION("""COMPUTED_VALUE"""),"2033-SEPEPHGC")</f>
        <v>2033-SEPEPHGC</v>
      </c>
      <c r="B334" s="28" t="str">
        <f>IFERROR(__xludf.DUMMYFUNCTION("""COMPUTED_VALUE"""),"M2 PODA")</f>
        <v>M2 PODA</v>
      </c>
      <c r="C334" s="29" t="str">
        <f>IFERROR(__xludf.DUMMYFUNCTION("""COMPUTED_VALUE"""),"Pieza")</f>
        <v>Pieza</v>
      </c>
      <c r="D334" s="28" t="str">
        <f>IFERROR(__xludf.DUMMYFUNCTION("""COMPUTED_VALUE"""),"2593-FEBSEGGC")</f>
        <v>2593-FEBSEGGC</v>
      </c>
      <c r="E334" s="28" t="str">
        <f>IFERROR(__xludf.DUMMYFUNCTION("""COMPUTED_VALUE"""),"CAMPAÑA GCBA | SEGURIDAD | Un año sin manteros en Flores")</f>
        <v>CAMPAÑA GCBA | SEGURIDAD | Un año sin manteros en Flores</v>
      </c>
      <c r="F334" s="28"/>
    </row>
    <row r="335">
      <c r="A335" s="28" t="str">
        <f>IFERROR(__xludf.DUMMYFUNCTION("""COMPUTED_VALUE"""),"2600-FEBSEGVC")</f>
        <v>2600-FEBSEGVC</v>
      </c>
      <c r="B335" s="28" t="str">
        <f>IFERROR(__xludf.DUMMYFUNCTION("""COMPUTED_VALUE"""),"RDV Ministros | Horacio Giménez 19/2 Comuna 11")</f>
        <v>RDV Ministros | Horacio Giménez 19/2 Comuna 11</v>
      </c>
      <c r="C335" s="29" t="str">
        <f>IFERROR(__xludf.DUMMYFUNCTION("""COMPUTED_VALUE"""),"Pieza")</f>
        <v>Pieza</v>
      </c>
      <c r="D335" s="28" t="str">
        <f>IFERROR(__xludf.DUMMYFUNCTION("""COMPUTED_VALUE"""),"2599-FEBDHHVC")</f>
        <v>2599-FEBDHHVC</v>
      </c>
      <c r="E335" s="28" t="str">
        <f>IFERROR(__xludf.DUMMYFUNCTION("""COMPUTED_VALUE"""),"RDV Ministros | Gabriel Mraida - 20/02")</f>
        <v>RDV Ministros | Gabriel Mraida - 20/02</v>
      </c>
      <c r="F335" s="28"/>
    </row>
    <row r="336">
      <c r="A336" s="28" t="str">
        <f>IFERROR(__xludf.DUMMYFUNCTION("""COMPUTED_VALUE"""),"2601-FEBSEGVC")</f>
        <v>2601-FEBSEGVC</v>
      </c>
      <c r="B336" s="28" t="str">
        <f>IFERROR(__xludf.DUMMYFUNCTION("""COMPUTED_VALUE"""),"RDV Ministros | Maximiliano Piñeiro 19/2 Comuna 9")</f>
        <v>RDV Ministros | Maximiliano Piñeiro 19/2 Comuna 9</v>
      </c>
      <c r="C336" s="29" t="str">
        <f>IFERROR(__xludf.DUMMYFUNCTION("""COMPUTED_VALUE"""),"Pieza")</f>
        <v>Pieza</v>
      </c>
      <c r="D336" s="28" t="str">
        <f>IFERROR(__xludf.DUMMYFUNCTION("""COMPUTED_VALUE"""),"2545-ENEEDUGC")</f>
        <v>2545-ENEEDUGC</v>
      </c>
      <c r="E336" s="28" t="str">
        <f>IFERROR(__xludf.DUMMYFUNCTION("""COMPUTED_VALUE"""),"Formacion profesional")</f>
        <v>Formacion profesional</v>
      </c>
      <c r="F336" s="28"/>
    </row>
    <row r="337">
      <c r="A337" s="28" t="str">
        <f>IFERROR(__xludf.DUMMYFUNCTION("""COMPUTED_VALUE"""),"2598-FEBEPHVC")</f>
        <v>2598-FEBEPHVC</v>
      </c>
      <c r="B337" s="28" t="str">
        <f>IFERROR(__xludf.DUMMYFUNCTION("""COMPUTED_VALUE"""),"RDV MINISTROS | IGNACIO BAISTROCCHI 18/2 COMUNA 12")</f>
        <v>RDV MINISTROS | IGNACIO BAISTROCCHI 18/2 COMUNA 12</v>
      </c>
      <c r="C337" s="29" t="str">
        <f>IFERROR(__xludf.DUMMYFUNCTION("""COMPUTED_VALUE"""),"Pieza")</f>
        <v>Pieza</v>
      </c>
      <c r="D337" s="28" t="str">
        <f>IFERROR(__xludf.DUMMYFUNCTION("""COMPUTED_VALUE"""),"2545-ENEEDUGC")</f>
        <v>2545-ENEEDUGC</v>
      </c>
      <c r="E337" s="28" t="str">
        <f>IFERROR(__xludf.DUMMYFUNCTION("""COMPUTED_VALUE"""),"Formacion profesional")</f>
        <v>Formacion profesional</v>
      </c>
      <c r="F337" s="28"/>
    </row>
    <row r="338">
      <c r="A338" s="28" t="str">
        <f>IFERROR(__xludf.DUMMYFUNCTION("""COMPUTED_VALUE"""),"2604-FEBINFVC")</f>
        <v>2604-FEBINFVC</v>
      </c>
      <c r="B338" s="28" t="str">
        <f>IFERROR(__xludf.DUMMYFUNCTION("""COMPUTED_VALUE"""),"RDV MINISTROS | Pablo Bereciartua 18/2 COMUNA 14")</f>
        <v>RDV MINISTROS | Pablo Bereciartua 18/2 COMUNA 14</v>
      </c>
      <c r="C338" s="29" t="str">
        <f>IFERROR(__xludf.DUMMYFUNCTION("""COMPUTED_VALUE"""),"Pieza")</f>
        <v>Pieza</v>
      </c>
      <c r="D338" s="28" t="str">
        <f>IFERROR(__xludf.DUMMYFUNCTION("""COMPUTED_VALUE"""),"2608-FEBAMBVC")</f>
        <v>2608-FEBAMBVC</v>
      </c>
      <c r="E338" s="28" t="str">
        <f>IFERROR(__xludf.DUMMYFUNCTION("""COMPUTED_VALUE"""),"RDV Ministros | Clara Muzzio - 18/02")</f>
        <v>RDV Ministros | Clara Muzzio - 18/02</v>
      </c>
      <c r="F338" s="28"/>
    </row>
    <row r="339">
      <c r="A339" s="28" t="str">
        <f>IFERROR(__xludf.DUMMYFUNCTION("""COMPUTED_VALUE"""),"2528-ENEPCCVC")</f>
        <v>2528-ENEPCCVC</v>
      </c>
      <c r="B339" s="28" t="str">
        <f>IFERROR(__xludf.DUMMYFUNCTION("""COMPUTED_VALUE"""),"Verano 2026 - CIFA para chicos")</f>
        <v>Verano 2026 - CIFA para chicos</v>
      </c>
      <c r="C339" s="29" t="str">
        <f>IFERROR(__xludf.DUMMYFUNCTION("""COMPUTED_VALUE"""),"Pieza")</f>
        <v>Pieza</v>
      </c>
      <c r="D339" s="28" t="str">
        <f>IFERROR(__xludf.DUMMYFUNCTION("""COMPUTED_VALUE"""),"2467-ENEFESGC")</f>
        <v>2467-ENEFESGC</v>
      </c>
      <c r="E339" s="28" t="str">
        <f>IFERROR(__xludf.DUMMYFUNCTION("""COMPUTED_VALUE"""),"Verano en la Ciudad | Verano Joven BA enero")</f>
        <v>Verano en la Ciudad | Verano Joven BA enero</v>
      </c>
      <c r="F339" s="28"/>
    </row>
    <row r="340">
      <c r="A340" s="28" t="str">
        <f>IFERROR(__xludf.DUMMYFUNCTION("""COMPUTED_VALUE"""),"2603-FEBSEGVC")</f>
        <v>2603-FEBSEGVC</v>
      </c>
      <c r="B340" s="28" t="str">
        <f>IFERROR(__xludf.DUMMYFUNCTION("""COMPUTED_VALUE"""),"RDV Ministros | Ruth Landerreche 19/2 Comuna 10")</f>
        <v>RDV Ministros | Ruth Landerreche 19/2 Comuna 10</v>
      </c>
      <c r="C340" s="29" t="str">
        <f>IFERROR(__xludf.DUMMYFUNCTION("""COMPUTED_VALUE"""),"Pieza")</f>
        <v>Pieza</v>
      </c>
      <c r="D340" s="28" t="str">
        <f>IFERROR(__xludf.DUMMYFUNCTION("""COMPUTED_VALUE"""),"2467-ENEFESGC")</f>
        <v>2467-ENEFESGC</v>
      </c>
      <c r="E340" s="28" t="str">
        <f>IFERROR(__xludf.DUMMYFUNCTION("""COMPUTED_VALUE"""),"Verano en la Ciudad | Verano Joven BA enero")</f>
        <v>Verano en la Ciudad | Verano Joven BA enero</v>
      </c>
      <c r="F340" s="28"/>
    </row>
    <row r="341">
      <c r="A341" s="28" t="str">
        <f>IFERROR(__xludf.DUMMYFUNCTION("""COMPUTED_VALUE"""),"2609-FEBTURGC")</f>
        <v>2609-FEBTURGC</v>
      </c>
      <c r="B341" s="28" t="str">
        <f>IFERROR(__xludf.DUMMYFUNCTION("""COMPUTED_VALUE"""),"Informe mensual Observatorio | Enero 2026 | Miércoles 18/02")</f>
        <v>Informe mensual Observatorio | Enero 2026 | Miércoles 18/02</v>
      </c>
      <c r="C341" s="29" t="str">
        <f>IFERROR(__xludf.DUMMYFUNCTION("""COMPUTED_VALUE"""),"Pieza")</f>
        <v>Pieza</v>
      </c>
      <c r="D341" s="28" t="str">
        <f>IFERROR(__xludf.DUMMYFUNCTION("""COMPUTED_VALUE"""),"2467-ENEFESGC")</f>
        <v>2467-ENEFESGC</v>
      </c>
      <c r="E341" s="28" t="str">
        <f>IFERROR(__xludf.DUMMYFUNCTION("""COMPUTED_VALUE"""),"Verano en la Ciudad | Verano Joven BA enero")</f>
        <v>Verano en la Ciudad | Verano Joven BA enero</v>
      </c>
      <c r="F341" s="28"/>
    </row>
    <row r="342">
      <c r="A342" s="28" t="str">
        <f>IFERROR(__xludf.DUMMYFUNCTION("""COMPUTED_VALUE"""),"2610-FEBSALGC")</f>
        <v>2610-FEBSALGC</v>
      </c>
      <c r="B342" s="28" t="str">
        <f>IFERROR(__xludf.DUMMYFUNCTION("""COMPUTED_VALUE"""),"SIGEHOS - Novedades en el Gestor de Encuentros")</f>
        <v>SIGEHOS - Novedades en el Gestor de Encuentros</v>
      </c>
      <c r="C342" s="29" t="str">
        <f>IFERROR(__xludf.DUMMYFUNCTION("""COMPUTED_VALUE"""),"Pieza")</f>
        <v>Pieza</v>
      </c>
      <c r="D342" s="28" t="str">
        <f>IFERROR(__xludf.DUMMYFUNCTION("""COMPUTED_VALUE"""),"2467-ENEFESGC")</f>
        <v>2467-ENEFESGC</v>
      </c>
      <c r="E342" s="28" t="str">
        <f>IFERROR(__xludf.DUMMYFUNCTION("""COMPUTED_VALUE"""),"Verano en la Ciudad | Verano Joven BA enero")</f>
        <v>Verano en la Ciudad | Verano Joven BA enero</v>
      </c>
      <c r="F342" s="28"/>
    </row>
    <row r="343">
      <c r="A343" s="28" t="str">
        <f>IFERROR(__xludf.DUMMYFUNCTION("""COMPUTED_VALUE"""),"2595-FEBJDGAG")</f>
        <v>2595-FEBJDGAG</v>
      </c>
      <c r="B343" s="28" t="str">
        <f>IFERROR(__xludf.DUMMYFUNCTION("""COMPUTED_VALUE"""),"RDV JM | 19/02 Villa Lugano")</f>
        <v>RDV JM | 19/02 Villa Lugano</v>
      </c>
      <c r="C343" s="29" t="str">
        <f>IFERROR(__xludf.DUMMYFUNCTION("""COMPUTED_VALUE"""),"Pieza")</f>
        <v>Pieza</v>
      </c>
      <c r="D343" s="28" t="str">
        <f>IFERROR(__xludf.DUMMYFUNCTION("""COMPUTED_VALUE"""),"2467-ENEFESGC")</f>
        <v>2467-ENEFESGC</v>
      </c>
      <c r="E343" s="28" t="str">
        <f>IFERROR(__xludf.DUMMYFUNCTION("""COMPUTED_VALUE"""),"Verano en la Ciudad | Verano Joven BA enero")</f>
        <v>Verano en la Ciudad | Verano Joven BA enero</v>
      </c>
      <c r="F343" s="28"/>
    </row>
    <row r="344">
      <c r="A344" s="28" t="str">
        <f>IFERROR(__xludf.DUMMYFUNCTION("""COMPUTED_VALUE"""),"1943-SEPEPHGC")</f>
        <v>1943-SEPEPHGC</v>
      </c>
      <c r="B344" s="28" t="str">
        <f>IFERROR(__xludf.DUMMYFUNCTION("""COMPUTED_VALUE"""),"DGPLES | MEPHU  | READOQUINADO")</f>
        <v>DGPLES | MEPHU  | READOQUINADO</v>
      </c>
      <c r="C344" s="29" t="str">
        <f>IFERROR(__xludf.DUMMYFUNCTION("""COMPUTED_VALUE"""),"Pieza")</f>
        <v>Pieza</v>
      </c>
      <c r="D344" s="28" t="str">
        <f>IFERROR(__xludf.DUMMYFUNCTION("""COMPUTED_VALUE"""),"2615-FEBINFCG")</f>
        <v>2615-FEBINFCG</v>
      </c>
      <c r="E344" s="28" t="str">
        <f>IFERROR(__xludf.DUMMYFUNCTION("""COMPUTED_VALUE"""),"CONTENIDO ADICIONAL GCBA |  Infraestructura | Extensión horaria Línea D - Bad Bunny")</f>
        <v>CONTENIDO ADICIONAL GCBA |  Infraestructura | Extensión horaria Línea D - Bad Bunny</v>
      </c>
      <c r="F344" s="28"/>
    </row>
    <row r="345">
      <c r="A345" s="28" t="str">
        <f>IFERROR(__xludf.DUMMYFUNCTION("""COMPUTED_VALUE"""),"2588-FEBINFGC")</f>
        <v>2588-FEBINFGC</v>
      </c>
      <c r="B345" s="28" t="str">
        <f>IFERROR(__xludf.DUMMYFUNCTION("""COMPUTED_VALUE""")," Infraestructura | Fin de obra Av Independencia")</f>
        <v> Infraestructura | Fin de obra Av Independencia</v>
      </c>
      <c r="C345" s="29" t="str">
        <f>IFERROR(__xludf.DUMMYFUNCTION("""COMPUTED_VALUE"""),"Pieza")</f>
        <v>Pieza</v>
      </c>
      <c r="D345" s="28" t="str">
        <f>IFERROR(__xludf.DUMMYFUNCTION("""COMPUTED_VALUE"""),"2600-FEBSEGVC")</f>
        <v>2600-FEBSEGVC</v>
      </c>
      <c r="E345" s="28" t="str">
        <f>IFERROR(__xludf.DUMMYFUNCTION("""COMPUTED_VALUE"""),"RDV Ministros | Horacio Giménez 19/2 Comuna 11")</f>
        <v>RDV Ministros | Horacio Giménez 19/2 Comuna 11</v>
      </c>
      <c r="F345" s="28"/>
    </row>
    <row r="346">
      <c r="A346" s="28" t="str">
        <f>IFERROR(__xludf.DUMMYFUNCTION("""COMPUTED_VALUE"""),"2602-FEBSEGVC")</f>
        <v>2602-FEBSEGVC</v>
      </c>
      <c r="B346" s="28" t="str">
        <f>IFERROR(__xludf.DUMMYFUNCTION("""COMPUTED_VALUE"""),"RDV Ministros | Gabino Tapia 19/2 Comuna 8")</f>
        <v>RDV Ministros | Gabino Tapia 19/2 Comuna 8</v>
      </c>
      <c r="C346" s="29" t="str">
        <f>IFERROR(__xludf.DUMMYFUNCTION("""COMPUTED_VALUE"""),"Pieza")</f>
        <v>Pieza</v>
      </c>
      <c r="D346" s="28" t="str">
        <f>IFERROR(__xludf.DUMMYFUNCTION("""COMPUTED_VALUE"""),"2601-FEBSEGVC")</f>
        <v>2601-FEBSEGVC</v>
      </c>
      <c r="E346" s="28" t="str">
        <f>IFERROR(__xludf.DUMMYFUNCTION("""COMPUTED_VALUE"""),"RDV Ministros | Maximiliano Piñeiro 19/2 Comuna 9")</f>
        <v>RDV Ministros | Maximiliano Piñeiro 19/2 Comuna 9</v>
      </c>
      <c r="F346" s="28"/>
    </row>
    <row r="347">
      <c r="A347" s="28" t="str">
        <f>IFERROR(__xludf.DUMMYFUNCTION("""COMPUTED_VALUE"""),"1964-SEPEPHGC")</f>
        <v>1964-SEPEPHGC</v>
      </c>
      <c r="B347" s="28" t="str">
        <f>IFERROR(__xludf.DUMMYFUNCTION("""COMPUTED_VALUE"""),"MEPHU RECAMBIO TECNOLÓGICO M2")</f>
        <v>MEPHU RECAMBIO TECNOLÓGICO M2</v>
      </c>
      <c r="C347" s="29" t="str">
        <f>IFERROR(__xludf.DUMMYFUNCTION("""COMPUTED_VALUE"""),"Pieza")</f>
        <v>Pieza</v>
      </c>
      <c r="D347" s="28" t="str">
        <f>IFERROR(__xludf.DUMMYFUNCTION("""COMPUTED_VALUE"""),"2603-FEBSEGVC")</f>
        <v>2603-FEBSEGVC</v>
      </c>
      <c r="E347" s="28" t="str">
        <f>IFERROR(__xludf.DUMMYFUNCTION("""COMPUTED_VALUE"""),"RDV Ministros | Ruth Landerreche 19/2 Comuna 10")</f>
        <v>RDV Ministros | Ruth Landerreche 19/2 Comuna 10</v>
      </c>
      <c r="F347" s="28"/>
    </row>
    <row r="348">
      <c r="A348" s="28" t="str">
        <f>IFERROR(__xludf.DUMMYFUNCTION("""COMPUTED_VALUE"""),"2145-OCTVINGC")</f>
        <v>2145-OCTVINGC</v>
      </c>
      <c r="B348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348" s="29" t="str">
        <f>IFERROR(__xludf.DUMMYFUNCTION("""COMPUTED_VALUE"""),"Pieza")</f>
        <v>Pieza</v>
      </c>
      <c r="D348" s="28" t="str">
        <f>IFERROR(__xludf.DUMMYFUNCTION("""COMPUTED_VALUE"""),"2602-FEBSEGVC")</f>
        <v>2602-FEBSEGVC</v>
      </c>
      <c r="E348" s="28" t="str">
        <f>IFERROR(__xludf.DUMMYFUNCTION("""COMPUTED_VALUE"""),"RDV Ministros | Gabino Tapia 19/2 Comuna 8")</f>
        <v>RDV Ministros | Gabino Tapia 19/2 Comuna 8</v>
      </c>
      <c r="F348" s="28"/>
    </row>
    <row r="349">
      <c r="A349" s="28" t="str">
        <f>IFERROR(__xludf.DUMMYFUNCTION("""COMPUTED_VALUE"""),"2597-FEBJDGAG")</f>
        <v>2597-FEBJDGAG</v>
      </c>
      <c r="B349" s="28" t="str">
        <f>IFERROR(__xludf.DUMMYFUNCTION("""COMPUTED_VALUE"""),"RDV JM | 21/02 Floresta")</f>
        <v>RDV JM | 21/02 Floresta</v>
      </c>
      <c r="C349" s="29" t="str">
        <f>IFERROR(__xludf.DUMMYFUNCTION("""COMPUTED_VALUE"""),"Pieza")</f>
        <v>Pieza</v>
      </c>
      <c r="D349" s="28" t="str">
        <f>IFERROR(__xludf.DUMMYFUNCTION("""COMPUTED_VALUE"""),"2612-FEBINFGC")</f>
        <v>2612-FEBINFGC</v>
      </c>
      <c r="E349" s="28" t="str">
        <f>IFERROR(__xludf.DUMMYFUNCTION("""COMPUTED_VALUE""")," INFRAESTRUCTURA | Cortes y desvíos por año nuevo chino - Belgrano")</f>
        <v> INFRAESTRUCTURA | Cortes y desvíos por año nuevo chino - Belgrano</v>
      </c>
      <c r="F349" s="28"/>
    </row>
    <row r="350">
      <c r="A350" s="28" t="str">
        <f>IFERROR(__xludf.DUMMYFUNCTION("""COMPUTED_VALUE"""),"2600-FEBSEGVC")</f>
        <v>2600-FEBSEGVC</v>
      </c>
      <c r="B350" s="28" t="str">
        <f>IFERROR(__xludf.DUMMYFUNCTION("""COMPUTED_VALUE"""),"RDV Ministros | Horacio Giménez 19/2 Comuna 11")</f>
        <v>RDV Ministros | Horacio Giménez 19/2 Comuna 11</v>
      </c>
      <c r="C350" s="29" t="str">
        <f>IFERROR(__xludf.DUMMYFUNCTION("""COMPUTED_VALUE"""),"Pieza")</f>
        <v>Pieza</v>
      </c>
      <c r="D350" s="28" t="str">
        <f>IFERROR(__xludf.DUMMYFUNCTION("""COMPUTED_VALUE"""),"2567-FEBJDGAG")</f>
        <v>2567-FEBJDGAG</v>
      </c>
      <c r="E350" s="28" t="str">
        <f>IFERROR(__xludf.DUMMYFUNCTION("""COMPUTED_VALUE"""),"RDV JM 11/2 Villa del Parque")</f>
        <v>RDV JM 11/2 Villa del Parque</v>
      </c>
      <c r="F350" s="28"/>
    </row>
    <row r="351">
      <c r="A351" s="28" t="str">
        <f>IFERROR(__xludf.DUMMYFUNCTION("""COMPUTED_VALUE"""),"2601-FEBSEGVC")</f>
        <v>2601-FEBSEGVC</v>
      </c>
      <c r="B351" s="28" t="str">
        <f>IFERROR(__xludf.DUMMYFUNCTION("""COMPUTED_VALUE"""),"RDV Ministros | Maximiliano Piñeiro 19/2 Comuna 9")</f>
        <v>RDV Ministros | Maximiliano Piñeiro 19/2 Comuna 9</v>
      </c>
      <c r="C351" s="29" t="str">
        <f>IFERROR(__xludf.DUMMYFUNCTION("""COMPUTED_VALUE"""),"Pieza")</f>
        <v>Pieza</v>
      </c>
      <c r="D351" s="28" t="str">
        <f>IFERROR(__xludf.DUMMYFUNCTION("""COMPUTED_VALUE"""),"2546-ENEEDUGC")</f>
        <v>2546-ENEEDUGC</v>
      </c>
      <c r="E351" s="28" t="str">
        <f>IFERROR(__xludf.DUMMYFUNCTION("""COMPUTED_VALUE"""),"Tecnica Superior")</f>
        <v>Tecnica Superior</v>
      </c>
      <c r="F351" s="28"/>
    </row>
    <row r="352">
      <c r="A352" s="28" t="str">
        <f>IFERROR(__xludf.DUMMYFUNCTION("""COMPUTED_VALUE"""),"2545-ENEEDUGC")</f>
        <v>2545-ENEEDUGC</v>
      </c>
      <c r="B352" s="28" t="str">
        <f>IFERROR(__xludf.DUMMYFUNCTION("""COMPUTED_VALUE"""),"Formacion profesional")</f>
        <v>Formacion profesional</v>
      </c>
      <c r="C352" s="29" t="str">
        <f>IFERROR(__xludf.DUMMYFUNCTION("""COMPUTED_VALUE"""),"Pieza")</f>
        <v>Pieza</v>
      </c>
      <c r="D352" s="28" t="str">
        <f>IFERROR(__xludf.DUMMYFUNCTION("""COMPUTED_VALUE"""),"2546-ENEEDUGC")</f>
        <v>2546-ENEEDUGC</v>
      </c>
      <c r="E352" s="28" t="str">
        <f>IFERROR(__xludf.DUMMYFUNCTION("""COMPUTED_VALUE"""),"Tecnica Superior")</f>
        <v>Tecnica Superior</v>
      </c>
      <c r="F352" s="28"/>
    </row>
    <row r="353">
      <c r="A353" s="28" t="str">
        <f>IFERROR(__xludf.DUMMYFUNCTION("""COMPUTED_VALUE"""),"2593-FEBSEGGC")</f>
        <v>2593-FEBSEGGC</v>
      </c>
      <c r="B353" s="28" t="str">
        <f>IFERROR(__xludf.DUMMYFUNCTION("""COMPUTED_VALUE"""),"CAMPAÑA GCBA | SEGURIDAD | Un año sin manteros en Flores")</f>
        <v>CAMPAÑA GCBA | SEGURIDAD | Un año sin manteros en Flores</v>
      </c>
      <c r="C353" s="29" t="str">
        <f>IFERROR(__xludf.DUMMYFUNCTION("""COMPUTED_VALUE"""),"Pieza")</f>
        <v>Pieza</v>
      </c>
      <c r="D353" s="28" t="str">
        <f>IFERROR(__xludf.DUMMYFUNCTION("""COMPUTED_VALUE"""),"2568-FEBJDGAG")</f>
        <v>2568-FEBJDGAG</v>
      </c>
      <c r="E353" s="28" t="str">
        <f>IFERROR(__xludf.DUMMYFUNCTION("""COMPUTED_VALUE"""),"RDV JM 12/2 Villa Soldati")</f>
        <v>RDV JM 12/2 Villa Soldati</v>
      </c>
      <c r="F353" s="28"/>
    </row>
    <row r="354">
      <c r="A354" s="28" t="str">
        <f>IFERROR(__xludf.DUMMYFUNCTION("""COMPUTED_VALUE"""),"2617-FEBSEGGC")</f>
        <v>2617-FEBSEGGC</v>
      </c>
      <c r="B354" s="28" t="str">
        <f>IFERROR(__xludf.DUMMYFUNCTION("""COMPUTED_VALUE"""),"CAMPAÑA GCBA | Seguridad | Desalojo en PH Palermo - Ravignani 1779")</f>
        <v>CAMPAÑA GCBA | Seguridad | Desalojo en PH Palermo - Ravignani 1779</v>
      </c>
      <c r="C354" s="29" t="str">
        <f>IFERROR(__xludf.DUMMYFUNCTION("""COMPUTED_VALUE"""),"Pieza")</f>
        <v>Pieza</v>
      </c>
      <c r="D354" s="28" t="str">
        <f>IFERROR(__xludf.DUMMYFUNCTION("""COMPUTED_VALUE"""),"2605-FEBJDGVC")</f>
        <v>2605-FEBJDGVC</v>
      </c>
      <c r="E354" s="28" t="str">
        <f>IFERROR(__xludf.DUMMYFUNCTION("""COMPUTED_VALUE"""),"RDV MINISTROS | Gabriel Sanchez Zinny 20/2")</f>
        <v>RDV MINISTROS | Gabriel Sanchez Zinny 20/2</v>
      </c>
      <c r="F354" s="28"/>
    </row>
    <row r="355">
      <c r="A355" s="28" t="str">
        <f>IFERROR(__xludf.DUMMYFUNCTION("""COMPUTED_VALUE"""),"2564-FEBSEGVC")</f>
        <v>2564-FEBSEGVC</v>
      </c>
      <c r="B355" s="28" t="str">
        <f>IFERROR(__xludf.DUMMYFUNCTION("""COMPUTED_VALUE"""),"RDV MINISTROS |  RUTH LANDERRECHE 12/2")</f>
        <v>RDV MINISTROS |  RUTH LANDERRECHE 12/2</v>
      </c>
      <c r="C355" s="29" t="str">
        <f>IFERROR(__xludf.DUMMYFUNCTION("""COMPUTED_VALUE"""),"Pieza")</f>
        <v>Pieza</v>
      </c>
      <c r="D355" s="28" t="str">
        <f>IFERROR(__xludf.DUMMYFUNCTION("""COMPUTED_VALUE"""),"2576-FEBDIGGC")</f>
        <v>2576-FEBDIGGC</v>
      </c>
      <c r="E355" s="28" t="str">
        <f>IFERROR(__xludf.DUMMYFUNCTION("""COMPUTED_VALUE"""),"Pauta Canal de YouTube | El Eternauta")</f>
        <v>Pauta Canal de YouTube | El Eternauta</v>
      </c>
      <c r="F355" s="28"/>
    </row>
    <row r="356">
      <c r="A356" s="28" t="str">
        <f>IFERROR(__xludf.DUMMYFUNCTION("""COMPUTED_VALUE"""),"2499-ENEEPHGC")</f>
        <v>2499-ENEEPHGC</v>
      </c>
      <c r="B356" s="28" t="str">
        <f>IFERROR(__xludf.DUMMYFUNCTION("""COMPUTED_VALUE"""),"CAMPAÑA GCBA | CONVIVENCIA | Cuidado de perros")</f>
        <v>CAMPAÑA GCBA | CONVIVENCIA | Cuidado de perros</v>
      </c>
      <c r="C356" s="29" t="str">
        <f>IFERROR(__xludf.DUMMYFUNCTION("""COMPUTED_VALUE"""),"Pieza")</f>
        <v>Pieza</v>
      </c>
      <c r="D356" s="28" t="str">
        <f>IFERROR(__xludf.DUMMYFUNCTION("""COMPUTED_VALUE"""),"2622-FEBEPHCG")</f>
        <v>2622-FEBEPHCG</v>
      </c>
      <c r="E356" s="28" t="str">
        <f>IFERROR(__xludf.DUMMYFUNCTION("""COMPUTED_VALUE"""),"CONTENIDO ADICIONAL GCBA | MEPHU | NO RECOLECCIÓN POR PARO NACIONAL")</f>
        <v>CONTENIDO ADICIONAL GCBA | MEPHU | NO RECOLECCIÓN POR PARO NACIONAL</v>
      </c>
      <c r="F356" s="28"/>
    </row>
    <row r="357">
      <c r="A357" s="28" t="str">
        <f>IFERROR(__xludf.DUMMYFUNCTION("""COMPUTED_VALUE"""),"2567-FEBJDGAG")</f>
        <v>2567-FEBJDGAG</v>
      </c>
      <c r="B357" s="28" t="str">
        <f>IFERROR(__xludf.DUMMYFUNCTION("""COMPUTED_VALUE"""),"RDV JM 11/2 Villa del Parque")</f>
        <v>RDV JM 11/2 Villa del Parque</v>
      </c>
      <c r="C357" s="29" t="str">
        <f>IFERROR(__xludf.DUMMYFUNCTION("""COMPUTED_VALUE"""),"Pieza")</f>
        <v>Pieza</v>
      </c>
      <c r="D357" s="28" t="str">
        <f>IFERROR(__xludf.DUMMYFUNCTION("""COMPUTED_VALUE"""),"2496-ENEVINGC")</f>
        <v>2496-ENEVINGC</v>
      </c>
      <c r="E35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57" s="28"/>
    </row>
    <row r="358">
      <c r="A358" s="28" t="str">
        <f>IFERROR(__xludf.DUMMYFUNCTION("""COMPUTED_VALUE"""),"2567-FEBJDGAG")</f>
        <v>2567-FEBJDGAG</v>
      </c>
      <c r="B358" s="28" t="str">
        <f>IFERROR(__xludf.DUMMYFUNCTION("""COMPUTED_VALUE"""),"RDV JM 11/2 Villa del Parque")</f>
        <v>RDV JM 11/2 Villa del Parque</v>
      </c>
      <c r="C358" s="29" t="str">
        <f>IFERROR(__xludf.DUMMYFUNCTION("""COMPUTED_VALUE"""),"Pieza")</f>
        <v>Pieza</v>
      </c>
      <c r="D358" s="28" t="str">
        <f>IFERROR(__xludf.DUMMYFUNCTION("""COMPUTED_VALUE"""),"2496-ENEVINGC")</f>
        <v>2496-ENEVINGC</v>
      </c>
      <c r="E35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58" s="28"/>
    </row>
    <row r="359">
      <c r="A359" s="28" t="str">
        <f>IFERROR(__xludf.DUMMYFUNCTION("""COMPUTED_VALUE"""),"2585-FEBEPHGC")</f>
        <v>2585-FEBEPHGC</v>
      </c>
      <c r="B359" s="28" t="str">
        <f>IFERROR(__xludf.DUMMYFUNCTION("""COMPUTED_VALUE"""),"CAMPAÑA GCBA | MEPHU | FIN DE OBRA CALLE TUCUMÁN")</f>
        <v>CAMPAÑA GCBA | MEPHU | FIN DE OBRA CALLE TUCUMÁN</v>
      </c>
      <c r="C359" s="29" t="str">
        <f>IFERROR(__xludf.DUMMYFUNCTION("""COMPUTED_VALUE"""),"Pieza")</f>
        <v>Pieza</v>
      </c>
      <c r="D359" s="28" t="str">
        <f>IFERROR(__xludf.DUMMYFUNCTION("""COMPUTED_VALUE"""),"2496-ENEVINGC")</f>
        <v>2496-ENEVINGC</v>
      </c>
      <c r="E35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59" s="28"/>
    </row>
    <row r="360">
      <c r="A360" s="28" t="str">
        <f>IFERROR(__xludf.DUMMYFUNCTION("""COMPUTED_VALUE"""),"2578-FEBSALVC")</f>
        <v>2578-FEBSALVC</v>
      </c>
      <c r="B360" s="28" t="str">
        <f>IFERROR(__xludf.DUMMYFUNCTION("""COMPUTED_VALUE"""),"RDV Ministros | Fernán Quirós - 13/02")</f>
        <v>RDV Ministros | Fernán Quirós - 13/02</v>
      </c>
      <c r="C360" s="29" t="str">
        <f>IFERROR(__xludf.DUMMYFUNCTION("""COMPUTED_VALUE"""),"Pieza")</f>
        <v>Pieza</v>
      </c>
      <c r="D360" s="28" t="str">
        <f>IFERROR(__xludf.DUMMYFUNCTION("""COMPUTED_VALUE"""),"2592-FEBSEGGC")</f>
        <v>2592-FEBSEGGC</v>
      </c>
      <c r="E360" s="28" t="str">
        <f>IFERROR(__xludf.DUMMYFUNCTION("""COMPUTED_VALUE"""),"CAMPAÑA GCBA | SEGURIDAD | Megaoperativo motochorros PDLC")</f>
        <v>CAMPAÑA GCBA | SEGURIDAD | Megaoperativo motochorros PDLC</v>
      </c>
      <c r="F360" s="28"/>
    </row>
    <row r="361">
      <c r="A361" s="28" t="str">
        <f>IFERROR(__xludf.DUMMYFUNCTION("""COMPUTED_VALUE"""),"2598-FEBEPHVC")</f>
        <v>2598-FEBEPHVC</v>
      </c>
      <c r="B361" s="28" t="str">
        <f>IFERROR(__xludf.DUMMYFUNCTION("""COMPUTED_VALUE"""),"RDV MINISTROS | IGNACIO BAISTROCCHI 18/2 COMUNA 12")</f>
        <v>RDV MINISTROS | IGNACIO BAISTROCCHI 18/2 COMUNA 12</v>
      </c>
      <c r="C361" s="29" t="str">
        <f>IFERROR(__xludf.DUMMYFUNCTION("""COMPUTED_VALUE"""),"Pieza")</f>
        <v>Pieza</v>
      </c>
      <c r="D361" s="28" t="str">
        <f>IFERROR(__xludf.DUMMYFUNCTION("""COMPUTED_VALUE"""),"2592-FEBSEGGC")</f>
        <v>2592-FEBSEGGC</v>
      </c>
      <c r="E361" s="28" t="str">
        <f>IFERROR(__xludf.DUMMYFUNCTION("""COMPUTED_VALUE"""),"CAMPAÑA GCBA | SEGURIDAD | Megaoperativo motochorros PDLC")</f>
        <v>CAMPAÑA GCBA | SEGURIDAD | Megaoperativo motochorros PDLC</v>
      </c>
      <c r="F361" s="28"/>
    </row>
    <row r="362">
      <c r="A362" s="28" t="str">
        <f>IFERROR(__xludf.DUMMYFUNCTION("""COMPUTED_VALUE"""),"2596-FEBJDGAG")</f>
        <v>2596-FEBJDGAG</v>
      </c>
      <c r="B362" s="28" t="str">
        <f>IFERROR(__xludf.DUMMYFUNCTION("""COMPUTED_VALUE"""),"RDV JM | 20/02 Villa Luro")</f>
        <v>RDV JM | 20/02 Villa Luro</v>
      </c>
      <c r="C362" s="29" t="str">
        <f>IFERROR(__xludf.DUMMYFUNCTION("""COMPUTED_VALUE"""),"Pieza")</f>
        <v>Pieza</v>
      </c>
      <c r="D362" s="28" t="str">
        <f>IFERROR(__xludf.DUMMYFUNCTION("""COMPUTED_VALUE"""),"2624-FEBEDUVC")</f>
        <v>2624-FEBEDUVC</v>
      </c>
      <c r="E362" s="28" t="str">
        <f>IFERROR(__xludf.DUMMYFUNCTION("""COMPUTED_VALUE"""),"RDV MINISTROS | Mercedes Miguel, Comuna 12 23/2")</f>
        <v>RDV MINISTROS | Mercedes Miguel, Comuna 12 23/2</v>
      </c>
      <c r="F362" s="28"/>
    </row>
    <row r="363">
      <c r="A363" s="28" t="str">
        <f>IFERROR(__xludf.DUMMYFUNCTION("""COMPUTED_VALUE"""),"2599-FEBDHHVC")</f>
        <v>2599-FEBDHHVC</v>
      </c>
      <c r="B363" s="28" t="str">
        <f>IFERROR(__xludf.DUMMYFUNCTION("""COMPUTED_VALUE"""),"RDV Ministros | Gabriel Mraida - 20/02")</f>
        <v>RDV Ministros | Gabriel Mraida - 20/02</v>
      </c>
      <c r="C363" s="29" t="str">
        <f>IFERROR(__xludf.DUMMYFUNCTION("""COMPUTED_VALUE"""),"Pieza")</f>
        <v>Pieza</v>
      </c>
      <c r="D363" s="28" t="str">
        <f>IFERROR(__xludf.DUMMYFUNCTION("""COMPUTED_VALUE"""),"2630-FEBFESGC")</f>
        <v>2630-FEBFESGC</v>
      </c>
      <c r="E363" s="28" t="str">
        <f>IFERROR(__xludf.DUMMYFUNCTION("""COMPUTED_VALUE"""),"Verano BA | Material post año nuevo chino")</f>
        <v>Verano BA | Material post año nuevo chino</v>
      </c>
      <c r="F363" s="28"/>
    </row>
    <row r="364">
      <c r="A364" s="28" t="str">
        <f>IFERROR(__xludf.DUMMYFUNCTION("""COMPUTED_VALUE"""),"2604-FEBINFVC")</f>
        <v>2604-FEBINFVC</v>
      </c>
      <c r="B364" s="28" t="str">
        <f>IFERROR(__xludf.DUMMYFUNCTION("""COMPUTED_VALUE"""),"RDV MINISTROS | Pablo Bereciartua 18/2 COMUNA 14")</f>
        <v>RDV MINISTROS | Pablo Bereciartua 18/2 COMUNA 14</v>
      </c>
      <c r="C364" s="29" t="str">
        <f>IFERROR(__xludf.DUMMYFUNCTION("""COMPUTED_VALUE"""),"Pieza")</f>
        <v>Pieza</v>
      </c>
      <c r="D364" s="28" t="str">
        <f>IFERROR(__xludf.DUMMYFUNCTION("""COMPUTED_VALUE"""),"2630-FEBFESGC")</f>
        <v>2630-FEBFESGC</v>
      </c>
      <c r="E364" s="28" t="str">
        <f>IFERROR(__xludf.DUMMYFUNCTION("""COMPUTED_VALUE"""),"Verano BA | Material post año nuevo chino")</f>
        <v>Verano BA | Material post año nuevo chino</v>
      </c>
      <c r="F364" s="28"/>
    </row>
    <row r="365">
      <c r="A365" s="28" t="str">
        <f>IFERROR(__xludf.DUMMYFUNCTION("""COMPUTED_VALUE"""),"2608-FEBAMBVC")</f>
        <v>2608-FEBAMBVC</v>
      </c>
      <c r="B365" s="28" t="str">
        <f>IFERROR(__xludf.DUMMYFUNCTION("""COMPUTED_VALUE"""),"RDV Ministros | Clara Muzzio - 18/02")</f>
        <v>RDV Ministros | Clara Muzzio - 18/02</v>
      </c>
      <c r="C365" s="29" t="str">
        <f>IFERROR(__xludf.DUMMYFUNCTION("""COMPUTED_VALUE"""),"Pieza")</f>
        <v>Pieza</v>
      </c>
      <c r="D365" s="28" t="str">
        <f>IFERROR(__xludf.DUMMYFUNCTION("""COMPUTED_VALUE"""),"2559-FEBSALGC")</f>
        <v>2559-FEBSALGC</v>
      </c>
      <c r="E365" s="28" t="str">
        <f>IFERROR(__xludf.DUMMYFUNCTION("""COMPUTED_VALUE"""),"Vacunación Calendario Escolar 2026")</f>
        <v>Vacunación Calendario Escolar 2026</v>
      </c>
      <c r="F365" s="28"/>
    </row>
    <row r="366">
      <c r="A366" s="28" t="str">
        <f>IFERROR(__xludf.DUMMYFUNCTION("""COMPUTED_VALUE"""),"2628-FEBCULVC")</f>
        <v>2628-FEBCULVC</v>
      </c>
      <c r="B366" s="28" t="str">
        <f>IFERROR(__xludf.DUMMYFUNCTION("""COMPUTED_VALUE"""),"RDV Ministros | Gabriela Ricardes 23/2 Comuna 3")</f>
        <v>RDV Ministros | Gabriela Ricardes 23/2 Comuna 3</v>
      </c>
      <c r="C366" s="29" t="str">
        <f>IFERROR(__xludf.DUMMYFUNCTION("""COMPUTED_VALUE"""),"Pieza")</f>
        <v>Pieza</v>
      </c>
      <c r="D366" s="28" t="str">
        <f>IFERROR(__xludf.DUMMYFUNCTION("""COMPUTED_VALUE"""),"2559-FEBSALGC")</f>
        <v>2559-FEBSALGC</v>
      </c>
      <c r="E366" s="28" t="str">
        <f>IFERROR(__xludf.DUMMYFUNCTION("""COMPUTED_VALUE"""),"Vacunación Calendario Escolar 2026")</f>
        <v>Vacunación Calendario Escolar 2026</v>
      </c>
      <c r="F366" s="28"/>
    </row>
    <row r="367">
      <c r="A367" s="28" t="str">
        <f>IFERROR(__xludf.DUMMYFUNCTION("""COMPUTED_VALUE"""),"2555-FEBSALGC")</f>
        <v>2555-FEBSALGC</v>
      </c>
      <c r="B367" s="28" t="str">
        <f>IFERROR(__xludf.DUMMYFUNCTION("""COMPUTED_VALUE"""),"Hospital Muñiz - Finalización de obra")</f>
        <v>Hospital Muñiz - Finalización de obra</v>
      </c>
      <c r="C367" s="29" t="str">
        <f>IFERROR(__xludf.DUMMYFUNCTION("""COMPUTED_VALUE"""),"Pieza")</f>
        <v>Pieza</v>
      </c>
      <c r="D367" s="28" t="str">
        <f>IFERROR(__xludf.DUMMYFUNCTION("""COMPUTED_VALUE"""),"2628-FEBCULVC")</f>
        <v>2628-FEBCULVC</v>
      </c>
      <c r="E367" s="28" t="str">
        <f>IFERROR(__xludf.DUMMYFUNCTION("""COMPUTED_VALUE"""),"RDV Ministros | Gabriela Ricardes 23/2 Comuna 3")</f>
        <v>RDV Ministros | Gabriela Ricardes 23/2 Comuna 3</v>
      </c>
      <c r="F367" s="28"/>
    </row>
    <row r="368">
      <c r="A368" s="28" t="str">
        <f>IFERROR(__xludf.DUMMYFUNCTION("""COMPUTED_VALUE"""),"1895-SEPEPHGC")</f>
        <v>1895-SEPEPHGC</v>
      </c>
      <c r="B368" s="28" t="str">
        <f>IFERROR(__xludf.DUMMYFUNCTION("""COMPUTED_VALUE"""),"PIEZAS M2 | MEPHU | REPAVIMENTACIÓN")</f>
        <v>PIEZAS M2 | MEPHU | REPAVIMENTACIÓN</v>
      </c>
      <c r="C368" s="29" t="str">
        <f>IFERROR(__xludf.DUMMYFUNCTION("""COMPUTED_VALUE"""),"Pieza")</f>
        <v>Pieza</v>
      </c>
      <c r="D368" s="28" t="str">
        <f>IFERROR(__xludf.DUMMYFUNCTION("""COMPUTED_VALUE"""),"2544-ENEEDUGC")</f>
        <v>2544-ENEEDUGC</v>
      </c>
      <c r="E368" s="28" t="str">
        <f>IFERROR(__xludf.DUMMYFUNCTION("""COMPUTED_VALUE"""),"Educación NO formal")</f>
        <v>Educación NO formal</v>
      </c>
      <c r="F368" s="28"/>
    </row>
    <row r="369">
      <c r="A369" s="28" t="str">
        <f>IFERROR(__xludf.DUMMYFUNCTION("""COMPUTED_VALUE"""),"2580-FEBSEGGC")</f>
        <v>2580-FEBSEGGC</v>
      </c>
      <c r="B369" s="28" t="str">
        <f>IFERROR(__xludf.DUMMYFUNCTION("""COMPUTED_VALUE"""),"CAMPAÑA GCBA | SEGURIDAD | Desalojo en Palermo")</f>
        <v>CAMPAÑA GCBA | SEGURIDAD | Desalojo en Palermo</v>
      </c>
      <c r="C369" s="29" t="str">
        <f>IFERROR(__xludf.DUMMYFUNCTION("""COMPUTED_VALUE"""),"Pieza")</f>
        <v>Pieza</v>
      </c>
      <c r="D369" s="28" t="str">
        <f>IFERROR(__xludf.DUMMYFUNCTION("""COMPUTED_VALUE"""),"2629-FEBJDGVC")</f>
        <v>2629-FEBJDGVC</v>
      </c>
      <c r="E369" s="28" t="str">
        <f>IFERROR(__xludf.DUMMYFUNCTION("""COMPUTED_VALUE"""),"RDV MINISTROS | GABRIEL SÁNCHEZ ZINNY 25/2 BARRACAS")</f>
        <v>RDV MINISTROS | GABRIEL SÁNCHEZ ZINNY 25/2 BARRACAS</v>
      </c>
      <c r="F369" s="28"/>
    </row>
    <row r="370">
      <c r="A370" s="28" t="str">
        <f>IFERROR(__xludf.DUMMYFUNCTION("""COMPUTED_VALUE"""),"2563-FEBSEGVC")</f>
        <v>2563-FEBSEGVC</v>
      </c>
      <c r="B370" s="28" t="str">
        <f>IFERROR(__xludf.DUMMYFUNCTION("""COMPUTED_VALUE"""),"RDV MINISTROS |  HORACIO GIMENEZ 12/2")</f>
        <v>RDV MINISTROS |  HORACIO GIMENEZ 12/2</v>
      </c>
      <c r="C370" s="29" t="str">
        <f>IFERROR(__xludf.DUMMYFUNCTION("""COMPUTED_VALUE"""),"Pieza")</f>
        <v>Pieza</v>
      </c>
      <c r="D370" s="28" t="str">
        <f>IFERROR(__xludf.DUMMYFUNCTION("""COMPUTED_VALUE"""),"2577-FEBSALGC")</f>
        <v>2577-FEBSALGC</v>
      </c>
      <c r="E370" s="28" t="str">
        <f>IFERROR(__xludf.DUMMYFUNCTION("""COMPUTED_VALUE"""),"IREP - Inicio de obra")</f>
        <v>IREP - Inicio de obra</v>
      </c>
      <c r="F370" s="28"/>
    </row>
    <row r="371">
      <c r="A371" s="28" t="str">
        <f>IFERROR(__xludf.DUMMYFUNCTION("""COMPUTED_VALUE"""),"2605-FEBJDGVC")</f>
        <v>2605-FEBJDGVC</v>
      </c>
      <c r="B371" s="28" t="str">
        <f>IFERROR(__xludf.DUMMYFUNCTION("""COMPUTED_VALUE"""),"RDV MINISTROS | Gabriel Sanchez Zinny 20/2")</f>
        <v>RDV MINISTROS | Gabriel Sanchez Zinny 20/2</v>
      </c>
      <c r="C371" s="29" t="str">
        <f>IFERROR(__xludf.DUMMYFUNCTION("""COMPUTED_VALUE"""),"Pieza")</f>
        <v>Pieza</v>
      </c>
      <c r="D371" s="28" t="str">
        <f>IFERROR(__xludf.DUMMYFUNCTION("""COMPUTED_VALUE"""),"2577-FEBSALGC")</f>
        <v>2577-FEBSALGC</v>
      </c>
      <c r="E371" s="28" t="str">
        <f>IFERROR(__xludf.DUMMYFUNCTION("""COMPUTED_VALUE"""),"IREP - Inicio de obra")</f>
        <v>IREP - Inicio de obra</v>
      </c>
      <c r="F371" s="28"/>
    </row>
    <row r="372">
      <c r="A372" s="28" t="str">
        <f>IFERROR(__xludf.DUMMYFUNCTION("""COMPUTED_VALUE"""),"2586-FEBFESGC")</f>
        <v>2586-FEBFESGC</v>
      </c>
      <c r="B372" s="28" t="str">
        <f>IFERROR(__xludf.DUMMYFUNCTION("""COMPUTED_VALUE"""),"Verano BA | Ciudad Joven BA Verano edición febrero")</f>
        <v>Verano BA | Ciudad Joven BA Verano edición febrero</v>
      </c>
      <c r="C372" s="29" t="str">
        <f>IFERROR(__xludf.DUMMYFUNCTION("""COMPUTED_VALUE"""),"Pieza")</f>
        <v>Pieza</v>
      </c>
      <c r="D372" s="28" t="str">
        <f>IFERROR(__xludf.DUMMYFUNCTION("""COMPUTED_VALUE"""),"2585-FEBEPHGC")</f>
        <v>2585-FEBEPHGC</v>
      </c>
      <c r="E372" s="28" t="str">
        <f>IFERROR(__xludf.DUMMYFUNCTION("""COMPUTED_VALUE"""),"CAMPAÑA GCBA | MEPHU | FIN DE OBRA CALLE TUCUMÁN")</f>
        <v>CAMPAÑA GCBA | MEPHU | FIN DE OBRA CALLE TUCUMÁN</v>
      </c>
      <c r="F372" s="28"/>
    </row>
    <row r="373">
      <c r="A373" s="28" t="str">
        <f>IFERROR(__xludf.DUMMYFUNCTION("""COMPUTED_VALUE"""),"2624-FEBEDUVC")</f>
        <v>2624-FEBEDUVC</v>
      </c>
      <c r="B373" s="28" t="str">
        <f>IFERROR(__xludf.DUMMYFUNCTION("""COMPUTED_VALUE"""),"RDV MINISTROS | Mercedes Miguel, Comuna 12 23/2")</f>
        <v>RDV MINISTROS | Mercedes Miguel, Comuna 12 23/2</v>
      </c>
      <c r="C373" s="29" t="str">
        <f>IFERROR(__xludf.DUMMYFUNCTION("""COMPUTED_VALUE"""),"Pieza")</f>
        <v>Pieza</v>
      </c>
      <c r="D373" s="28" t="str">
        <f>IFERROR(__xludf.DUMMYFUNCTION("""COMPUTED_VALUE"""),"2636-FEBJDGAG")</f>
        <v>2636-FEBJDGAG</v>
      </c>
      <c r="E373" s="28" t="str">
        <f>IFERROR(__xludf.DUMMYFUNCTION("""COMPUTED_VALUE"""),"RDV JM | Parque Chas 27/2")</f>
        <v>RDV JM | Parque Chas 27/2</v>
      </c>
      <c r="F373" s="28"/>
    </row>
    <row r="374">
      <c r="A374" s="28" t="str">
        <f>IFERROR(__xludf.DUMMYFUNCTION("""COMPUTED_VALUE"""),"2562-FEBSEGVC")</f>
        <v>2562-FEBSEGVC</v>
      </c>
      <c r="B374" s="28" t="str">
        <f>IFERROR(__xludf.DUMMYFUNCTION("""COMPUTED_VALUE"""),"RDV MINISTROS |  MAXIMILIANO PIÑEIRO 12/2")</f>
        <v>RDV MINISTROS |  MAXIMILIANO PIÑEIRO 12/2</v>
      </c>
      <c r="C374" s="29" t="str">
        <f>IFERROR(__xludf.DUMMYFUNCTION("""COMPUTED_VALUE"""),"Pieza")</f>
        <v>Pieza</v>
      </c>
      <c r="D374" s="28" t="str">
        <f>IFERROR(__xludf.DUMMYFUNCTION("""COMPUTED_VALUE"""),"2625-FEBDECVC")</f>
        <v>2625-FEBDECVC</v>
      </c>
      <c r="E374" s="28" t="str">
        <f>IFERROR(__xludf.DUMMYFUNCTION("""COMPUTED_VALUE"""),"RDV MINISTROS | Lombardi, Piragine, Tapia Comuna 23/2 EJE CENTRO")</f>
        <v>RDV MINISTROS | Lombardi, Piragine, Tapia Comuna 23/2 EJE CENTRO</v>
      </c>
      <c r="F374" s="28"/>
    </row>
    <row r="375">
      <c r="A375" s="28" t="str">
        <f>IFERROR(__xludf.DUMMYFUNCTION("""COMPUTED_VALUE"""),"2544-ENEEDUGC")</f>
        <v>2544-ENEEDUGC</v>
      </c>
      <c r="B375" s="28" t="str">
        <f>IFERROR(__xludf.DUMMYFUNCTION("""COMPUTED_VALUE"""),"Educación NO formal")</f>
        <v>Educación NO formal</v>
      </c>
      <c r="C375" s="29" t="str">
        <f>IFERROR(__xludf.DUMMYFUNCTION("""COMPUTED_VALUE"""),"Pieza")</f>
        <v>Pieza</v>
      </c>
      <c r="D375" s="28" t="str">
        <f>IFERROR(__xludf.DUMMYFUNCTION("""COMPUTED_VALUE"""),"2634-FEBSEGVC")</f>
        <v>2634-FEBSEGVC</v>
      </c>
      <c r="E375" s="28" t="str">
        <f>IFERROR(__xludf.DUMMYFUNCTION("""COMPUTED_VALUE"""),"RDV Ministros | Gabino Tapia 26/2 Comuna 14")</f>
        <v>RDV Ministros | Gabino Tapia 26/2 Comuna 14</v>
      </c>
      <c r="F375" s="28"/>
    </row>
    <row r="376">
      <c r="A376" s="28" t="str">
        <f>IFERROR(__xludf.DUMMYFUNCTION("""COMPUTED_VALUE"""),"2033-SEPEPHGC")</f>
        <v>2033-SEPEPHGC</v>
      </c>
      <c r="B376" s="28" t="str">
        <f>IFERROR(__xludf.DUMMYFUNCTION("""COMPUTED_VALUE"""),"M2 PODA")</f>
        <v>M2 PODA</v>
      </c>
      <c r="C376" s="29" t="str">
        <f>IFERROR(__xludf.DUMMYFUNCTION("""COMPUTED_VALUE"""),"Pieza")</f>
        <v>Pieza</v>
      </c>
      <c r="D376" s="28" t="str">
        <f>IFERROR(__xludf.DUMMYFUNCTION("""COMPUTED_VALUE"""),"2635-FEBSEGVC")</f>
        <v>2635-FEBSEGVC</v>
      </c>
      <c r="E376" s="28" t="str">
        <f>IFERROR(__xludf.DUMMYFUNCTION("""COMPUTED_VALUE"""),"RDV Ministros | Ruth Landerreche 26/2 Comuna 15")</f>
        <v>RDV Ministros | Ruth Landerreche 26/2 Comuna 15</v>
      </c>
      <c r="F376" s="28"/>
    </row>
    <row r="377">
      <c r="A377" s="28" t="str">
        <f>IFERROR(__xludf.DUMMYFUNCTION("""COMPUTED_VALUE"""),"2568-FEBJDGAG")</f>
        <v>2568-FEBJDGAG</v>
      </c>
      <c r="B377" s="28" t="str">
        <f>IFERROR(__xludf.DUMMYFUNCTION("""COMPUTED_VALUE"""),"RDV JM 12/2 Villa Soldati")</f>
        <v>RDV JM 12/2 Villa Soldati</v>
      </c>
      <c r="C377" s="29" t="str">
        <f>IFERROR(__xludf.DUMMYFUNCTION("""COMPUTED_VALUE"""),"Pieza")</f>
        <v>Pieza</v>
      </c>
      <c r="D377" s="28" t="str">
        <f>IFERROR(__xludf.DUMMYFUNCTION("""COMPUTED_VALUE"""),"2633-FEBSEGVC")</f>
        <v>2633-FEBSEGVC</v>
      </c>
      <c r="E377" s="28" t="str">
        <f>IFERROR(__xludf.DUMMYFUNCTION("""COMPUTED_VALUE"""),"RDV Ministros | Horacio Gimenez 26/2 Comuna 13")</f>
        <v>RDV Ministros | Horacio Gimenez 26/2 Comuna 13</v>
      </c>
      <c r="F377" s="28"/>
    </row>
    <row r="378">
      <c r="A378" s="28" t="str">
        <f>IFERROR(__xludf.DUMMYFUNCTION("""COMPUTED_VALUE"""),"2568-FEBJDGAG")</f>
        <v>2568-FEBJDGAG</v>
      </c>
      <c r="B378" s="28" t="str">
        <f>IFERROR(__xludf.DUMMYFUNCTION("""COMPUTED_VALUE"""),"RDV JM 12/2 Villa Soldati")</f>
        <v>RDV JM 12/2 Villa Soldati</v>
      </c>
      <c r="C378" s="29" t="str">
        <f>IFERROR(__xludf.DUMMYFUNCTION("""COMPUTED_VALUE"""),"Pieza")</f>
        <v>Pieza</v>
      </c>
      <c r="D378" s="28" t="str">
        <f>IFERROR(__xludf.DUMMYFUNCTION("""COMPUTED_VALUE"""),"2638-FEBEMEGC")</f>
        <v>2638-FEBEMEGC</v>
      </c>
      <c r="E378" s="28" t="str">
        <f>IFERROR(__xludf.DUMMYFUNCTION("""COMPUTED_VALUE"""),"Alerta Amarilla | 23/02")</f>
        <v>Alerta Amarilla | 23/02</v>
      </c>
      <c r="F378" s="28"/>
    </row>
    <row r="379">
      <c r="A379" s="28" t="str">
        <f>IFERROR(__xludf.DUMMYFUNCTION("""COMPUTED_VALUE"""),"2625-FEBDECVC")</f>
        <v>2625-FEBDECVC</v>
      </c>
      <c r="B379" s="28" t="str">
        <f>IFERROR(__xludf.DUMMYFUNCTION("""COMPUTED_VALUE"""),"RDV MINISTROS | Lombardi, Piragine, Tapia Comuna 23/2 EJE CENTRO")</f>
        <v>RDV MINISTROS | Lombardi, Piragine, Tapia Comuna 23/2 EJE CENTRO</v>
      </c>
      <c r="C379" s="29" t="str">
        <f>IFERROR(__xludf.DUMMYFUNCTION("""COMPUTED_VALUE"""),"Pieza")</f>
        <v>Pieza</v>
      </c>
      <c r="D379" s="28" t="str">
        <f>IFERROR(__xludf.DUMMYFUNCTION("""COMPUTED_VALUE"""),"2632-FEBSEGVC")</f>
        <v>2632-FEBSEGVC</v>
      </c>
      <c r="E379" s="28" t="str">
        <f>IFERROR(__xludf.DUMMYFUNCTION("""COMPUTED_VALUE"""),"RDV Ministros | Maximiliano Piñeiro 26/2 Comuna 12")</f>
        <v>RDV Ministros | Maximiliano Piñeiro 26/2 Comuna 12</v>
      </c>
      <c r="F379" s="28"/>
    </row>
    <row r="380">
      <c r="A380" s="28" t="str">
        <f>IFERROR(__xludf.DUMMYFUNCTION("""COMPUTED_VALUE"""),"2498-ENEEPHGC")</f>
        <v>2498-ENEEPHGC</v>
      </c>
      <c r="B380" s="28" t="str">
        <f>IFERROR(__xludf.DUMMYFUNCTION("""COMPUTED_VALUE"""),"CAMPAÑA GCBA | CONVIVENCIA | Genérica")</f>
        <v>CAMPAÑA GCBA | CONVIVENCIA | Genérica</v>
      </c>
      <c r="C380" s="29" t="str">
        <f>IFERROR(__xludf.DUMMYFUNCTION("""COMPUTED_VALUE"""),"Pieza")</f>
        <v>Pieza</v>
      </c>
      <c r="D380" s="28" t="str">
        <f>IFERROR(__xludf.DUMMYFUNCTION("""COMPUTED_VALUE"""),"2617-FEBSEGGC")</f>
        <v>2617-FEBSEGGC</v>
      </c>
      <c r="E380" s="28" t="str">
        <f>IFERROR(__xludf.DUMMYFUNCTION("""COMPUTED_VALUE"""),"CAMPAÑA GCBA | Seguridad | Desalojo en PH Palermo - Ravignani 1779")</f>
        <v>CAMPAÑA GCBA | Seguridad | Desalojo en PH Palermo - Ravignani 1779</v>
      </c>
      <c r="F380" s="28"/>
    </row>
    <row r="381">
      <c r="A381" s="28" t="str">
        <f>IFERROR(__xludf.DUMMYFUNCTION("""COMPUTED_VALUE"""),"2498-ENEEPHGC")</f>
        <v>2498-ENEEPHGC</v>
      </c>
      <c r="B381" s="28" t="str">
        <f>IFERROR(__xludf.DUMMYFUNCTION("""COMPUTED_VALUE"""),"CAMPAÑA GCBA | CONVIVENCIA | Genérica")</f>
        <v>CAMPAÑA GCBA | CONVIVENCIA | Genérica</v>
      </c>
      <c r="C381" s="29" t="str">
        <f>IFERROR(__xludf.DUMMYFUNCTION("""COMPUTED_VALUE"""),"Pieza")</f>
        <v>Pieza</v>
      </c>
      <c r="D381" s="28" t="str">
        <f>IFERROR(__xludf.DUMMYFUNCTION("""COMPUTED_VALUE"""),"2617-FEBSEGGC")</f>
        <v>2617-FEBSEGGC</v>
      </c>
      <c r="E381" s="28" t="str">
        <f>IFERROR(__xludf.DUMMYFUNCTION("""COMPUTED_VALUE"""),"CAMPAÑA GCBA | Seguridad | Desalojo en PH Palermo - Ravignani 1779")</f>
        <v>CAMPAÑA GCBA | Seguridad | Desalojo en PH Palermo - Ravignani 1779</v>
      </c>
      <c r="F381" s="28"/>
    </row>
    <row r="382">
      <c r="A382" s="28" t="str">
        <f>IFERROR(__xludf.DUMMYFUNCTION("""COMPUTED_VALUE"""),"2602-FEBSEGVC")</f>
        <v>2602-FEBSEGVC</v>
      </c>
      <c r="B382" s="28" t="str">
        <f>IFERROR(__xludf.DUMMYFUNCTION("""COMPUTED_VALUE"""),"RDV Ministros | Gabino Tapia 19/2 Comuna 8")</f>
        <v>RDV Ministros | Gabino Tapia 19/2 Comuna 8</v>
      </c>
      <c r="C382" s="29" t="str">
        <f>IFERROR(__xludf.DUMMYFUNCTION("""COMPUTED_VALUE"""),"Pieza")</f>
        <v>Pieza</v>
      </c>
      <c r="D382" s="28" t="str">
        <f>IFERROR(__xludf.DUMMYFUNCTION("""COMPUTED_VALUE"""),"2631-FEBINFGC")</f>
        <v>2631-FEBINFGC</v>
      </c>
      <c r="E382" s="28" t="str">
        <f>IFERROR(__xludf.DUMMYFUNCTION("""COMPUTED_VALUE"""),"CAMPAÑA GCBA | Infraestructura | Reapertura estación Plaza Italia")</f>
        <v>CAMPAÑA GCBA | Infraestructura | Reapertura estación Plaza Italia</v>
      </c>
      <c r="F382" s="28"/>
    </row>
    <row r="383">
      <c r="A383" s="28" t="str">
        <f>IFERROR(__xludf.DUMMYFUNCTION("""COMPUTED_VALUE"""),"1964-SEPEPHGC")</f>
        <v>1964-SEPEPHGC</v>
      </c>
      <c r="B383" s="28" t="str">
        <f>IFERROR(__xludf.DUMMYFUNCTION("""COMPUTED_VALUE"""),"MEPHU RECAMBIO TECNOLÓGICO M2")</f>
        <v>MEPHU RECAMBIO TECNOLÓGICO M2</v>
      </c>
      <c r="C383" s="29" t="str">
        <f>IFERROR(__xludf.DUMMYFUNCTION("""COMPUTED_VALUE"""),"Pieza")</f>
        <v>Pieza</v>
      </c>
      <c r="D383" s="28" t="str">
        <f>IFERROR(__xludf.DUMMYFUNCTION("""COMPUTED_VALUE"""),"2631-FEBINFGC")</f>
        <v>2631-FEBINFGC</v>
      </c>
      <c r="E383" s="28" t="str">
        <f>IFERROR(__xludf.DUMMYFUNCTION("""COMPUTED_VALUE"""),"CAMPAÑA GCBA | Infraestructura | Reapertura estación Plaza Italia")</f>
        <v>CAMPAÑA GCBA | Infraestructura | Reapertura estación Plaza Italia</v>
      </c>
      <c r="F383" s="28"/>
    </row>
    <row r="384">
      <c r="A384" s="28" t="str">
        <f>IFERROR(__xludf.DUMMYFUNCTION("""COMPUTED_VALUE"""),"1943-SEPEPHGC")</f>
        <v>1943-SEPEPHGC</v>
      </c>
      <c r="B384" s="28" t="str">
        <f>IFERROR(__xludf.DUMMYFUNCTION("""COMPUTED_VALUE"""),"DGPLES | MEPHU  | READOQUINADO")</f>
        <v>DGPLES | MEPHU  | READOQUINADO</v>
      </c>
      <c r="C384" s="29" t="str">
        <f>IFERROR(__xludf.DUMMYFUNCTION("""COMPUTED_VALUE"""),"Pieza")</f>
        <v>Pieza</v>
      </c>
      <c r="D384" s="28" t="str">
        <f>IFERROR(__xludf.DUMMYFUNCTION("""COMPUTED_VALUE"""),"2637-FEBJDGVC")</f>
        <v>2637-FEBJDGVC</v>
      </c>
      <c r="E384" s="28" t="str">
        <f>IFERROR(__xludf.DUMMYFUNCTION("""COMPUTED_VALUE"""),"RDV MINISTROS | GABRIEL SÁNCHEZ ZINNY 28/2 NÚÑEZ")</f>
        <v>RDV MINISTROS | GABRIEL SÁNCHEZ ZINNY 28/2 NÚÑEZ</v>
      </c>
      <c r="F384" s="28"/>
    </row>
    <row r="385">
      <c r="A385" s="28" t="str">
        <f>IFERROR(__xludf.DUMMYFUNCTION("""COMPUTED_VALUE"""),"1946-SEPEPHGC")</f>
        <v>1946-SEPEPHGC</v>
      </c>
      <c r="B385" s="28" t="str">
        <f>IFERROR(__xludf.DUMMYFUNCTION("""COMPUTED_VALUE"""),"CAMPAÑA GCBA | MEPHU  | PLUVIALES")</f>
        <v>CAMPAÑA GCBA | MEPHU  | PLUVIALES</v>
      </c>
      <c r="C385" s="29" t="str">
        <f>IFERROR(__xludf.DUMMYFUNCTION("""COMPUTED_VALUE"""),"Pieza")</f>
        <v>Pieza</v>
      </c>
      <c r="D385" s="28" t="str">
        <f>IFERROR(__xludf.DUMMYFUNCTION("""COMPUTED_VALUE"""),"2583-FEBSALGC")</f>
        <v>2583-FEBSALGC</v>
      </c>
      <c r="E385" s="28" t="str">
        <f>IFERROR(__xludf.DUMMYFUNCTION("""COMPUTED_VALUE"""),"Durante de obra - Htal. Rocca")</f>
        <v>Durante de obra - Htal. Rocca</v>
      </c>
      <c r="F385" s="28"/>
    </row>
    <row r="386">
      <c r="A386" s="28" t="str">
        <f>IFERROR(__xludf.DUMMYFUNCTION("""COMPUTED_VALUE"""),"1895-SEPEPHGC")</f>
        <v>1895-SEPEPHGC</v>
      </c>
      <c r="B386" s="28" t="str">
        <f>IFERROR(__xludf.DUMMYFUNCTION("""COMPUTED_VALUE"""),"PIEZAS M2 | MEPHU | REPAVIMENTACIÓN")</f>
        <v>PIEZAS M2 | MEPHU | REPAVIMENTACIÓN</v>
      </c>
      <c r="C386" s="29" t="str">
        <f>IFERROR(__xludf.DUMMYFUNCTION("""COMPUTED_VALUE"""),"Pieza")</f>
        <v>Pieza</v>
      </c>
      <c r="D386" s="28" t="str">
        <f>IFERROR(__xludf.DUMMYFUNCTION("""COMPUTED_VALUE"""),"2583-FEBSALGC")</f>
        <v>2583-FEBSALGC</v>
      </c>
      <c r="E386" s="28" t="str">
        <f>IFERROR(__xludf.DUMMYFUNCTION("""COMPUTED_VALUE"""),"Durante de obra - Htal. Rocca")</f>
        <v>Durante de obra - Htal. Rocca</v>
      </c>
      <c r="F386" s="28"/>
    </row>
    <row r="387">
      <c r="A387" s="28" t="str">
        <f>IFERROR(__xludf.DUMMYFUNCTION("""COMPUTED_VALUE"""),"2519-ENEINFGC")</f>
        <v>2519-ENEINFGC</v>
      </c>
      <c r="B387" s="28" t="str">
        <f>IFERROR(__xludf.DUMMYFUNCTION("""COMPUTED_VALUE"""),"Infraestructura I Cortes y desvíos en Larralde")</f>
        <v>Infraestructura I Cortes y desvíos en Larralde</v>
      </c>
      <c r="C387" s="29" t="str">
        <f>IFERROR(__xludf.DUMMYFUNCTION("""COMPUTED_VALUE"""),"Pieza")</f>
        <v>Pieza</v>
      </c>
      <c r="D387" s="28" t="str">
        <f>IFERROR(__xludf.DUMMYFUNCTION("""COMPUTED_VALUE"""),"2627-FEBSALVC")</f>
        <v>2627-FEBSALVC</v>
      </c>
      <c r="E387" s="28" t="str">
        <f>IFERROR(__xludf.DUMMYFUNCTION("""COMPUTED_VALUE"""),"RDV Ministros | Fernán Quirós - 27/02")</f>
        <v>RDV Ministros | Fernán Quirós - 27/02</v>
      </c>
      <c r="F387" s="28"/>
    </row>
    <row r="388">
      <c r="A388" s="28" t="str">
        <f>IFERROR(__xludf.DUMMYFUNCTION("""COMPUTED_VALUE"""),"2595-FEBJDGAG")</f>
        <v>2595-FEBJDGAG</v>
      </c>
      <c r="B388" s="28" t="str">
        <f>IFERROR(__xludf.DUMMYFUNCTION("""COMPUTED_VALUE"""),"RDV JM | 19/02 Villa Lugano")</f>
        <v>RDV JM | 19/02 Villa Lugano</v>
      </c>
      <c r="C388" s="29" t="str">
        <f>IFERROR(__xludf.DUMMYFUNCTION("""COMPUTED_VALUE"""),"Pieza")</f>
        <v>Pieza</v>
      </c>
      <c r="D388" s="28" t="str">
        <f>IFERROR(__xludf.DUMMYFUNCTION("""COMPUTED_VALUE"""),"2496-ENEVINGC")</f>
        <v>2496-ENEVINGC</v>
      </c>
      <c r="E38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88" s="28"/>
    </row>
    <row r="389">
      <c r="A389" s="28" t="str">
        <f>IFERROR(__xludf.DUMMYFUNCTION("""COMPUTED_VALUE"""),"2595-FEBJDGAG")</f>
        <v>2595-FEBJDGAG</v>
      </c>
      <c r="B389" s="28" t="str">
        <f>IFERROR(__xludf.DUMMYFUNCTION("""COMPUTED_VALUE"""),"RDV JM | 19/02 Villa Lugano")</f>
        <v>RDV JM | 19/02 Villa Lugano</v>
      </c>
      <c r="C389" s="29" t="str">
        <f>IFERROR(__xludf.DUMMYFUNCTION("""COMPUTED_VALUE"""),"Pieza")</f>
        <v>Pieza</v>
      </c>
      <c r="D389" s="28" t="str">
        <f>IFERROR(__xludf.DUMMYFUNCTION("""COMPUTED_VALUE"""),"2496-ENEVINGC")</f>
        <v>2496-ENEVINGC</v>
      </c>
      <c r="E38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389" s="28"/>
    </row>
    <row r="390">
      <c r="A390" s="28" t="str">
        <f>IFERROR(__xludf.DUMMYFUNCTION("""COMPUTED_VALUE"""),"1946-SEPEPHGC")</f>
        <v>1946-SEPEPHGC</v>
      </c>
      <c r="B390" s="28" t="str">
        <f>IFERROR(__xludf.DUMMYFUNCTION("""COMPUTED_VALUE"""),"CAMPAÑA GCBA | MEPHU  | PLUVIALES")</f>
        <v>CAMPAÑA GCBA | MEPHU  | PLUVIALES</v>
      </c>
      <c r="C390" s="29" t="str">
        <f>IFERROR(__xludf.DUMMYFUNCTION("""COMPUTED_VALUE"""),"Pieza")</f>
        <v>Pieza</v>
      </c>
      <c r="D390" s="28" t="str">
        <f>IFERROR(__xludf.DUMMYFUNCTION("""COMPUTED_VALUE"""),"2618-FEBFESGC")</f>
        <v>2618-FEBFESGC</v>
      </c>
      <c r="E390" s="28" t="str">
        <f>IFERROR(__xludf.DUMMYFUNCTION("""COMPUTED_VALUE"""),"Verano BA | Festival Nación Urbana")</f>
        <v>Verano BA | Festival Nación Urbana</v>
      </c>
      <c r="F390" s="28"/>
    </row>
    <row r="391">
      <c r="A391" s="28" t="str">
        <f>IFERROR(__xludf.DUMMYFUNCTION("""COMPUTED_VALUE"""),"1942-SEPEPHGC")</f>
        <v>1942-SEPEPHGC</v>
      </c>
      <c r="B391" s="28" t="str">
        <f>IFERROR(__xludf.DUMMYFUNCTION("""COMPUTED_VALUE"""),"DGPLES | MEPHU  | REPARACIÓN DE VEREDAS")</f>
        <v>DGPLES | MEPHU  | REPARACIÓN DE VEREDAS</v>
      </c>
      <c r="C391" s="29" t="str">
        <f>IFERROR(__xludf.DUMMYFUNCTION("""COMPUTED_VALUE"""),"Pieza")</f>
        <v>Pieza</v>
      </c>
      <c r="D391" s="28" t="str">
        <f>IFERROR(__xludf.DUMMYFUNCTION("""COMPUTED_VALUE"""),"2618-FEBFESGC")</f>
        <v>2618-FEBFESGC</v>
      </c>
      <c r="E391" s="28" t="str">
        <f>IFERROR(__xludf.DUMMYFUNCTION("""COMPUTED_VALUE"""),"Verano BA | Festival Nación Urbana")</f>
        <v>Verano BA | Festival Nación Urbana</v>
      </c>
      <c r="F391" s="28"/>
    </row>
    <row r="392">
      <c r="A392" s="28" t="str">
        <f>IFERROR(__xludf.DUMMYFUNCTION("""COMPUTED_VALUE"""),"2573-FEBSEGGC")</f>
        <v>2573-FEBSEGGC</v>
      </c>
      <c r="B392" s="28" t="str">
        <f>IFERROR(__xludf.DUMMYFUNCTION("""COMPUTED_VALUE"""),"CAMPAÑA GCBA | SEGURIDAD |  Desalojo en Balvanera")</f>
        <v>CAMPAÑA GCBA | SEGURIDAD |  Desalojo en Balvanera</v>
      </c>
      <c r="C392" s="29" t="str">
        <f>IFERROR(__xludf.DUMMYFUNCTION("""COMPUTED_VALUE"""),"Pieza")</f>
        <v>Pieza</v>
      </c>
      <c r="D392" s="28" t="str">
        <f>IFERROR(__xludf.DUMMYFUNCTION("""COMPUTED_VALUE"""),"2618-FEBFESGC")</f>
        <v>2618-FEBFESGC</v>
      </c>
      <c r="E392" s="28" t="str">
        <f>IFERROR(__xludf.DUMMYFUNCTION("""COMPUTED_VALUE"""),"Verano BA | Festival Nación Urbana")</f>
        <v>Verano BA | Festival Nación Urbana</v>
      </c>
      <c r="F392" s="28"/>
    </row>
    <row r="393">
      <c r="A393" s="28" t="str">
        <f>IFERROR(__xludf.DUMMYFUNCTION("""COMPUTED_VALUE"""),"2593-FEBSEGGC")</f>
        <v>2593-FEBSEGGC</v>
      </c>
      <c r="B393" s="28" t="str">
        <f>IFERROR(__xludf.DUMMYFUNCTION("""COMPUTED_VALUE"""),"CAMPAÑA GCBA | SEGURIDAD | Un año sin manteros en Flores")</f>
        <v>CAMPAÑA GCBA | SEGURIDAD | Un año sin manteros en Flores</v>
      </c>
      <c r="C393" s="29" t="str">
        <f>IFERROR(__xludf.DUMMYFUNCTION("""COMPUTED_VALUE"""),"Pieza")</f>
        <v>Pieza</v>
      </c>
      <c r="D393" s="28" t="str">
        <f>IFERROR(__xludf.DUMMYFUNCTION("""COMPUTED_VALUE"""),"2595-FEBJDGAG")</f>
        <v>2595-FEBJDGAG</v>
      </c>
      <c r="E393" s="28" t="str">
        <f>IFERROR(__xludf.DUMMYFUNCTION("""COMPUTED_VALUE"""),"RDV JM | 19/02 Villa Lugano")</f>
        <v>RDV JM | 19/02 Villa Lugano</v>
      </c>
      <c r="F393" s="28"/>
    </row>
    <row r="394">
      <c r="A394" s="28" t="str">
        <f>IFERROR(__xludf.DUMMYFUNCTION("""COMPUTED_VALUE"""),"2600-FEBSEGVC")</f>
        <v>2600-FEBSEGVC</v>
      </c>
      <c r="B394" s="28" t="str">
        <f>IFERROR(__xludf.DUMMYFUNCTION("""COMPUTED_VALUE"""),"RDV Ministros | Horacio Giménez 19/2 Comuna 11")</f>
        <v>RDV Ministros | Horacio Giménez 19/2 Comuna 11</v>
      </c>
      <c r="C394" s="29" t="str">
        <f>IFERROR(__xludf.DUMMYFUNCTION("""COMPUTED_VALUE"""),"Pieza")</f>
        <v>Pieza</v>
      </c>
      <c r="D394" s="28" t="str">
        <f>IFERROR(__xludf.DUMMYFUNCTION("""COMPUTED_VALUE"""),"2646-FEBAMBVC")</f>
        <v>2646-FEBAMBVC</v>
      </c>
      <c r="E394" s="28" t="str">
        <f>IFERROR(__xludf.DUMMYFUNCTION("""COMPUTED_VALUE"""),"RDV Ministros | Clara Muzzio - 27/2")</f>
        <v>RDV Ministros | Clara Muzzio - 27/2</v>
      </c>
      <c r="F394" s="28"/>
    </row>
    <row r="395">
      <c r="A395" s="28" t="str">
        <f>IFERROR(__xludf.DUMMYFUNCTION("""COMPUTED_VALUE"""),"2601-FEBSEGVC")</f>
        <v>2601-FEBSEGVC</v>
      </c>
      <c r="B395" s="28" t="str">
        <f>IFERROR(__xludf.DUMMYFUNCTION("""COMPUTED_VALUE"""),"RDV Ministros | Maximiliano Piñeiro 19/2 Comuna 9")</f>
        <v>RDV Ministros | Maximiliano Piñeiro 19/2 Comuna 9</v>
      </c>
      <c r="C395" s="29" t="str">
        <f>IFERROR(__xludf.DUMMYFUNCTION("""COMPUTED_VALUE"""),"Pieza")</f>
        <v>Pieza</v>
      </c>
      <c r="D395" s="28" t="str">
        <f>IFERROR(__xludf.DUMMYFUNCTION("""COMPUTED_VALUE"""),"2644-FEBINFGC")</f>
        <v>2644-FEBINFGC</v>
      </c>
      <c r="E395" s="28" t="str">
        <f>IFERROR(__xludf.DUMMYFUNCTION("""COMPUTED_VALUE"""),"CAMPAÑA GCBA | Infraestructura | Reapertura estación Uruguay")</f>
        <v>CAMPAÑA GCBA | Infraestructura | Reapertura estación Uruguay</v>
      </c>
      <c r="F395" s="28"/>
    </row>
    <row r="396">
      <c r="A396" s="28" t="str">
        <f>IFERROR(__xludf.DUMMYFUNCTION("""COMPUTED_VALUE"""),"2597-FEBJDGAG")</f>
        <v>2597-FEBJDGAG</v>
      </c>
      <c r="B396" s="28" t="str">
        <f>IFERROR(__xludf.DUMMYFUNCTION("""COMPUTED_VALUE"""),"RDV JM | 21/02 Floresta")</f>
        <v>RDV JM | 21/02 Floresta</v>
      </c>
      <c r="C396" s="29" t="str">
        <f>IFERROR(__xludf.DUMMYFUNCTION("""COMPUTED_VALUE"""),"Pieza")</f>
        <v>Pieza</v>
      </c>
      <c r="D396" s="28" t="str">
        <f>IFERROR(__xludf.DUMMYFUNCTION("""COMPUTED_VALUE"""),"2644-FEBINFGC")</f>
        <v>2644-FEBINFGC</v>
      </c>
      <c r="E396" s="28" t="str">
        <f>IFERROR(__xludf.DUMMYFUNCTION("""COMPUTED_VALUE"""),"CAMPAÑA GCBA | Infraestructura | Reapertura estación Uruguay")</f>
        <v>CAMPAÑA GCBA | Infraestructura | Reapertura estación Uruguay</v>
      </c>
      <c r="F396" s="28"/>
    </row>
    <row r="397">
      <c r="A397" s="28" t="str">
        <f>IFERROR(__xludf.DUMMYFUNCTION("""COMPUTED_VALUE"""),"2629-FEBJDGVC")</f>
        <v>2629-FEBJDGVC</v>
      </c>
      <c r="B397" s="28" t="str">
        <f>IFERROR(__xludf.DUMMYFUNCTION("""COMPUTED_VALUE"""),"RDV MINISTROS | GABRIEL SÁNCHEZ ZINNY 25/2 BARRACAS")</f>
        <v>RDV MINISTROS | GABRIEL SÁNCHEZ ZINNY 25/2 BARRACAS</v>
      </c>
      <c r="C397" s="29" t="str">
        <f>IFERROR(__xludf.DUMMYFUNCTION("""COMPUTED_VALUE"""),"Pieza")</f>
        <v>Pieza</v>
      </c>
      <c r="D397" s="28" t="str">
        <f>IFERROR(__xludf.DUMMYFUNCTION("""COMPUTED_VALUE"""),"2613-FEBDUDGC")</f>
        <v>2613-FEBDUDGC</v>
      </c>
      <c r="E397" s="28" t="str">
        <f>IFERROR(__xludf.DUMMYFUNCTION("""COMPUTED_VALUE"""),"DEPORTES Carrera 5K en Puerto Madero")</f>
        <v>DEPORTES Carrera 5K en Puerto Madero</v>
      </c>
      <c r="F397" s="28"/>
    </row>
    <row r="398">
      <c r="A398" s="28" t="str">
        <f>IFERROR(__xludf.DUMMYFUNCTION("""COMPUTED_VALUE"""),"2033-SEPEPHGC")</f>
        <v>2033-SEPEPHGC</v>
      </c>
      <c r="B398" s="28" t="str">
        <f>IFERROR(__xludf.DUMMYFUNCTION("""COMPUTED_VALUE"""),"M2 PODA")</f>
        <v>M2 PODA</v>
      </c>
      <c r="C398" s="29" t="str">
        <f>IFERROR(__xludf.DUMMYFUNCTION("""COMPUTED_VALUE"""),"Pieza")</f>
        <v>Pieza</v>
      </c>
      <c r="D398" s="28" t="str">
        <f>IFERROR(__xludf.DUMMYFUNCTION("""COMPUTED_VALUE"""),"2613-FEBDUDGC")</f>
        <v>2613-FEBDUDGC</v>
      </c>
      <c r="E398" s="28" t="str">
        <f>IFERROR(__xludf.DUMMYFUNCTION("""COMPUTED_VALUE"""),"DEPORTES Carrera 5K en Puerto Madero")</f>
        <v>DEPORTES Carrera 5K en Puerto Madero</v>
      </c>
      <c r="F398" s="28"/>
    </row>
    <row r="399">
      <c r="A399" s="28" t="str">
        <f>IFERROR(__xludf.DUMMYFUNCTION("""COMPUTED_VALUE"""),"2033-SEPEPHGC")</f>
        <v>2033-SEPEPHGC</v>
      </c>
      <c r="B399" s="28" t="str">
        <f>IFERROR(__xludf.DUMMYFUNCTION("""COMPUTED_VALUE"""),"M2 PODA")</f>
        <v>M2 PODA</v>
      </c>
      <c r="C399" s="29" t="str">
        <f>IFERROR(__xludf.DUMMYFUNCTION("""COMPUTED_VALUE"""),"Pieza")</f>
        <v>Pieza</v>
      </c>
      <c r="D399" s="28" t="str">
        <f>IFERROR(__xludf.DUMMYFUNCTION("""COMPUTED_VALUE"""),"2623-FEBAMBGC")</f>
        <v>2623-FEBAMBGC</v>
      </c>
      <c r="E399" s="28" t="str">
        <f>IFERROR(__xludf.DUMMYFUNCTION("""COMPUTED_VALUE"""),"Puntos Verdes Fijos y Móviles")</f>
        <v>Puntos Verdes Fijos y Móviles</v>
      </c>
      <c r="F399" s="28"/>
    </row>
    <row r="400">
      <c r="A400" s="28" t="str">
        <f>IFERROR(__xludf.DUMMYFUNCTION("""COMPUTED_VALUE"""),"1896-SEPEPHGC")</f>
        <v>1896-SEPEPHGC</v>
      </c>
      <c r="B400" s="28" t="str">
        <f>IFERROR(__xludf.DUMMYFUNCTION("""COMPUTED_VALUE"""),"PIEZAS M2 | MEPHU | LIMPIEZA INTENSIVA")</f>
        <v>PIEZAS M2 | MEPHU | LIMPIEZA INTENSIVA</v>
      </c>
      <c r="C400" s="29" t="str">
        <f>IFERROR(__xludf.DUMMYFUNCTION("""COMPUTED_VALUE"""),"Pieza")</f>
        <v>Pieza</v>
      </c>
      <c r="D400" s="28" t="str">
        <f>IFERROR(__xludf.DUMMYFUNCTION("""COMPUTED_VALUE"""),"2623-FEBAMBGC")</f>
        <v>2623-FEBAMBGC</v>
      </c>
      <c r="E400" s="28" t="str">
        <f>IFERROR(__xludf.DUMMYFUNCTION("""COMPUTED_VALUE"""),"Puntos Verdes Fijos y Móviles")</f>
        <v>Puntos Verdes Fijos y Móviles</v>
      </c>
      <c r="F400" s="28"/>
    </row>
    <row r="401">
      <c r="A401" s="28" t="str">
        <f>IFERROR(__xludf.DUMMYFUNCTION("""COMPUTED_VALUE"""),"2109-OCTEPHGC")</f>
        <v>2109-OCTEPHGC</v>
      </c>
      <c r="B401" s="28" t="str">
        <f>IFERROR(__xludf.DUMMYFUNCTION("""COMPUTED_VALUE"""),"LIMPIEZA DE FACHADAS | M2")</f>
        <v>LIMPIEZA DE FACHADAS | M2</v>
      </c>
      <c r="C401" s="29" t="str">
        <f>IFERROR(__xludf.DUMMYFUNCTION("""COMPUTED_VALUE"""),"Pieza")</f>
        <v>Pieza</v>
      </c>
      <c r="D401" s="28" t="str">
        <f>IFERROR(__xludf.DUMMYFUNCTION("""COMPUTED_VALUE"""),"2589-FEBSALGJ")</f>
        <v>2589-FEBSALGJ</v>
      </c>
      <c r="E401" s="28" t="str">
        <f>IFERROR(__xludf.DUMMYFUNCTION("""COMPUTED_VALUE"""),"Nuevo CEMAR 3")</f>
        <v>Nuevo CEMAR 3</v>
      </c>
      <c r="F401" s="28"/>
    </row>
    <row r="402">
      <c r="A402" s="28" t="str">
        <f>IFERROR(__xludf.DUMMYFUNCTION("""COMPUTED_VALUE"""),"2599-FEBDHHVC")</f>
        <v>2599-FEBDHHVC</v>
      </c>
      <c r="B402" s="28" t="str">
        <f>IFERROR(__xludf.DUMMYFUNCTION("""COMPUTED_VALUE"""),"RDV Ministros | Gabriel Mraida - 20/02")</f>
        <v>RDV Ministros | Gabriel Mraida - 20/02</v>
      </c>
      <c r="C402" s="29" t="str">
        <f>IFERROR(__xludf.DUMMYFUNCTION("""COMPUTED_VALUE"""),"Pieza")</f>
        <v>Pieza</v>
      </c>
      <c r="D402" s="28" t="str">
        <f>IFERROR(__xludf.DUMMYFUNCTION("""COMPUTED_VALUE"""),"2589-FEBSALGJ")</f>
        <v>2589-FEBSALGJ</v>
      </c>
      <c r="E402" s="28" t="str">
        <f>IFERROR(__xludf.DUMMYFUNCTION("""COMPUTED_VALUE"""),"Nuevo CEMAR 3")</f>
        <v>Nuevo CEMAR 3</v>
      </c>
      <c r="F402" s="28"/>
    </row>
    <row r="403">
      <c r="A403" s="28" t="str">
        <f>IFERROR(__xludf.DUMMYFUNCTION("""COMPUTED_VALUE"""),"2625-FEBDECVC")</f>
        <v>2625-FEBDECVC</v>
      </c>
      <c r="B403" s="28" t="str">
        <f>IFERROR(__xludf.DUMMYFUNCTION("""COMPUTED_VALUE"""),"RDV MINISTROS | Lombardi, Piragine, Tapia Comuna 23/2 EJE CENTRO")</f>
        <v>RDV MINISTROS | Lombardi, Piragine, Tapia Comuna 23/2 EJE CENTRO</v>
      </c>
      <c r="C403" s="29" t="str">
        <f>IFERROR(__xludf.DUMMYFUNCTION("""COMPUTED_VALUE"""),"Pieza")</f>
        <v>Pieza</v>
      </c>
      <c r="D403" s="28" t="str">
        <f>IFERROR(__xludf.DUMMYFUNCTION("""COMPUTED_VALUE"""),"2660-FEBEPHGC")</f>
        <v>2660-FEBEPHGC</v>
      </c>
      <c r="E403" s="28" t="str">
        <f>IFERROR(__xludf.DUMMYFUNCTION("""COMPUTED_VALUE"""),"RDV MINISTROS | IGNACIO BAISTROCCHI 3/3 COMUNA 15")</f>
        <v>RDV MINISTROS | IGNACIO BAISTROCCHI 3/3 COMUNA 15</v>
      </c>
      <c r="F403" s="28"/>
    </row>
    <row r="404">
      <c r="A404" s="28" t="str">
        <f>IFERROR(__xludf.DUMMYFUNCTION("""COMPUTED_VALUE"""),"2628-FEBCULVC")</f>
        <v>2628-FEBCULVC</v>
      </c>
      <c r="B404" s="28" t="str">
        <f>IFERROR(__xludf.DUMMYFUNCTION("""COMPUTED_VALUE"""),"RDV Ministros | Gabriela Ricardes 23/2 Comuna 3")</f>
        <v>RDV Ministros | Gabriela Ricardes 23/2 Comuna 3</v>
      </c>
      <c r="C404" s="29" t="str">
        <f>IFERROR(__xludf.DUMMYFUNCTION("""COMPUTED_VALUE"""),"Pieza")</f>
        <v>Pieza</v>
      </c>
      <c r="D404" s="28" t="str">
        <f>IFERROR(__xludf.DUMMYFUNCTION("""COMPUTED_VALUE"""),"2596-FEBJDGAG")</f>
        <v>2596-FEBJDGAG</v>
      </c>
      <c r="E404" s="28" t="str">
        <f>IFERROR(__xludf.DUMMYFUNCTION("""COMPUTED_VALUE"""),"RDV JM | 20/02 Villa Luro")</f>
        <v>RDV JM | 20/02 Villa Luro</v>
      </c>
      <c r="F404" s="28"/>
    </row>
    <row r="405">
      <c r="A405" s="28" t="str">
        <f>IFERROR(__xludf.DUMMYFUNCTION("""COMPUTED_VALUE"""),"2624-FEBEDUVC")</f>
        <v>2624-FEBEDUVC</v>
      </c>
      <c r="B405" s="28" t="str">
        <f>IFERROR(__xludf.DUMMYFUNCTION("""COMPUTED_VALUE"""),"RDV MINISTROS | Mercedes Miguel, Comuna 12 23/2")</f>
        <v>RDV MINISTROS | Mercedes Miguel, Comuna 12 23/2</v>
      </c>
      <c r="C405" s="29" t="str">
        <f>IFERROR(__xludf.DUMMYFUNCTION("""COMPUTED_VALUE"""),"Pieza")</f>
        <v>Pieza</v>
      </c>
      <c r="D405" s="28" t="str">
        <f>IFERROR(__xludf.DUMMYFUNCTION("""COMPUTED_VALUE"""),"")</f>
        <v/>
      </c>
      <c r="E405" s="28" t="str">
        <f>IFERROR(__xludf.DUMMYFUNCTION("""COMPUTED_VALUE"""),"")</f>
        <v/>
      </c>
      <c r="F405" s="28"/>
    </row>
    <row r="406">
      <c r="A406" s="28" t="str">
        <f>IFERROR(__xludf.DUMMYFUNCTION("""COMPUTED_VALUE"""),"2627-FEBSALVC")</f>
        <v>2627-FEBSALVC</v>
      </c>
      <c r="B406" s="28" t="str">
        <f>IFERROR(__xludf.DUMMYFUNCTION("""COMPUTED_VALUE"""),"RDV Ministros | Fernán Quirós - 27/02")</f>
        <v>RDV Ministros | Fernán Quirós - 27/02</v>
      </c>
      <c r="C406" s="29" t="str">
        <f>IFERROR(__xludf.DUMMYFUNCTION("""COMPUTED_VALUE"""),"Pieza")</f>
        <v>Pieza</v>
      </c>
      <c r="D406" s="28" t="str">
        <f>IFERROR(__xludf.DUMMYFUNCTION("""COMPUTED_VALUE"""),"2597-FEBJDGAG")</f>
        <v>2597-FEBJDGAG</v>
      </c>
      <c r="E406" s="28" t="str">
        <f>IFERROR(__xludf.DUMMYFUNCTION("""COMPUTED_VALUE"""),"RDV JM | 21/02 Floresta")</f>
        <v>RDV JM | 21/02 Floresta</v>
      </c>
      <c r="F406" s="28"/>
    </row>
    <row r="407">
      <c r="A407" s="28" t="str">
        <f>IFERROR(__xludf.DUMMYFUNCTION("""COMPUTED_VALUE"""),"2634-FEBSEGVC")</f>
        <v>2634-FEBSEGVC</v>
      </c>
      <c r="B407" s="28" t="str">
        <f>IFERROR(__xludf.DUMMYFUNCTION("""COMPUTED_VALUE"""),"RDV Ministros | Gabino Tapia 26/2 Comuna 14")</f>
        <v>RDV Ministros | Gabino Tapia 26/2 Comuna 14</v>
      </c>
      <c r="C407" s="29" t="str">
        <f>IFERROR(__xludf.DUMMYFUNCTION("""COMPUTED_VALUE"""),"Pieza")</f>
        <v>Pieza</v>
      </c>
      <c r="D407" s="28" t="str">
        <f>IFERROR(__xludf.DUMMYFUNCTION("""COMPUTED_VALUE"""),"2658-FEBJDGVC")</f>
        <v>2658-FEBJDGVC</v>
      </c>
      <c r="E407" s="28" t="str">
        <f>IFERROR(__xludf.DUMMYFUNCTION("""COMPUTED_VALUE"""),"RDV MINISTROS | GABRIEL SÁNCHEZ ZINNY 2/3 RECOLETA")</f>
        <v>RDV MINISTROS | GABRIEL SÁNCHEZ ZINNY 2/3 RECOLETA</v>
      </c>
      <c r="F407" s="28"/>
    </row>
    <row r="408">
      <c r="A408" s="28" t="str">
        <f>IFERROR(__xludf.DUMMYFUNCTION("""COMPUTED_VALUE"""),"2636-FEBJDGAG")</f>
        <v>2636-FEBJDGAG</v>
      </c>
      <c r="B408" s="28" t="str">
        <f>IFERROR(__xludf.DUMMYFUNCTION("""COMPUTED_VALUE"""),"RDV JM | Parque Chas 27/2")</f>
        <v>RDV JM | Parque Chas 27/2</v>
      </c>
      <c r="C408" s="29" t="str">
        <f>IFERROR(__xludf.DUMMYFUNCTION("""COMPUTED_VALUE"""),"Pieza")</f>
        <v>Pieza</v>
      </c>
      <c r="D408" s="28" t="str">
        <f>IFERROR(__xludf.DUMMYFUNCTION("""COMPUTED_VALUE"""),"2645-FEBINFGC")</f>
        <v>2645-FEBINFGC</v>
      </c>
      <c r="E408" s="28" t="str">
        <f>IFERROR(__xludf.DUMMYFUNCTION("""COMPUTED_VALUE"""),"CAMPAÑA GCBA | INFRAESTRUCTURA | Cambio de sentido calle Culpina")</f>
        <v>CAMPAÑA GCBA | INFRAESTRUCTURA | Cambio de sentido calle Culpina</v>
      </c>
      <c r="F408" s="28"/>
    </row>
    <row r="409">
      <c r="A409" s="28" t="str">
        <f>IFERROR(__xludf.DUMMYFUNCTION("""COMPUTED_VALUE"""),"2632-FEBSEGVC")</f>
        <v>2632-FEBSEGVC</v>
      </c>
      <c r="B409" s="28" t="str">
        <f>IFERROR(__xludf.DUMMYFUNCTION("""COMPUTED_VALUE"""),"RDV Ministros | Maximiliano Piñeiro 26/2 Comuna 12")</f>
        <v>RDV Ministros | Maximiliano Piñeiro 26/2 Comuna 12</v>
      </c>
      <c r="C409" s="29" t="str">
        <f>IFERROR(__xludf.DUMMYFUNCTION("""COMPUTED_VALUE"""),"Pieza")</f>
        <v>Pieza</v>
      </c>
      <c r="D409" s="28" t="str">
        <f>IFERROR(__xludf.DUMMYFUNCTION("""COMPUTED_VALUE"""),"2496-ENEVINGC")</f>
        <v>2496-ENEVINGC</v>
      </c>
      <c r="E40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09" s="28"/>
    </row>
    <row r="410">
      <c r="A410" s="28" t="str">
        <f>IFERROR(__xludf.DUMMYFUNCTION("""COMPUTED_VALUE"""),"2633-FEBSEGVC")</f>
        <v>2633-FEBSEGVC</v>
      </c>
      <c r="B410" s="28" t="str">
        <f>IFERROR(__xludf.DUMMYFUNCTION("""COMPUTED_VALUE"""),"RDV Ministros | Horacio Gimenez 26/2 Comuna 13")</f>
        <v>RDV Ministros | Horacio Gimenez 26/2 Comuna 13</v>
      </c>
      <c r="C410" s="29" t="str">
        <f>IFERROR(__xludf.DUMMYFUNCTION("""COMPUTED_VALUE"""),"Pieza")</f>
        <v>Pieza</v>
      </c>
      <c r="D410" s="28" t="str">
        <f>IFERROR(__xludf.DUMMYFUNCTION("""COMPUTED_VALUE"""),"2651-FEBINFGC")</f>
        <v>2651-FEBINFGC</v>
      </c>
      <c r="E410" s="28" t="str">
        <f>IFERROR(__xludf.DUMMYFUNCTION("""COMPUTED_VALUE"""),"CAMPAÑA GCBA | Infraestructura | Cierre estación Tribunales")</f>
        <v>CAMPAÑA GCBA | Infraestructura | Cierre estación Tribunales</v>
      </c>
      <c r="F410" s="28"/>
    </row>
    <row r="411">
      <c r="A411" s="28" t="str">
        <f>IFERROR(__xludf.DUMMYFUNCTION("""COMPUTED_VALUE"""),"2559-FEBSALGC")</f>
        <v>2559-FEBSALGC</v>
      </c>
      <c r="B411" s="28" t="str">
        <f>IFERROR(__xludf.DUMMYFUNCTION("""COMPUTED_VALUE"""),"Vacunación Calendario Escolar 2026")</f>
        <v>Vacunación Calendario Escolar 2026</v>
      </c>
      <c r="C411" s="29" t="str">
        <f>IFERROR(__xludf.DUMMYFUNCTION("""COMPUTED_VALUE"""),"Pieza")</f>
        <v>Pieza</v>
      </c>
      <c r="D411" s="28" t="str">
        <f>IFERROR(__xludf.DUMMYFUNCTION("""COMPUTED_VALUE"""),"2651-FEBINFGC")</f>
        <v>2651-FEBINFGC</v>
      </c>
      <c r="E411" s="28" t="str">
        <f>IFERROR(__xludf.DUMMYFUNCTION("""COMPUTED_VALUE"""),"CAMPAÑA GCBA | Infraestructura | Cierre estación Tribunales")</f>
        <v>CAMPAÑA GCBA | Infraestructura | Cierre estación Tribunales</v>
      </c>
      <c r="F411" s="28"/>
    </row>
    <row r="412">
      <c r="A412" s="28" t="str">
        <f>IFERROR(__xludf.DUMMYFUNCTION("""COMPUTED_VALUE"""),"2631-FEBINFGC")</f>
        <v>2631-FEBINFGC</v>
      </c>
      <c r="B412" s="28" t="str">
        <f>IFERROR(__xludf.DUMMYFUNCTION("""COMPUTED_VALUE"""),"CAMPAÑA GCBA | Infraestructura | Reapertura estación Plaza Italia")</f>
        <v>CAMPAÑA GCBA | Infraestructura | Reapertura estación Plaza Italia</v>
      </c>
      <c r="C412" s="29" t="str">
        <f>IFERROR(__xludf.DUMMYFUNCTION("""COMPUTED_VALUE"""),"Pieza")</f>
        <v>Pieza</v>
      </c>
      <c r="D412" s="28" t="str">
        <f>IFERROR(__xludf.DUMMYFUNCTION("""COMPUTED_VALUE"""),"2654-FEBJDGAG")</f>
        <v>2654-FEBJDGAG</v>
      </c>
      <c r="E412" s="28" t="str">
        <f>IFERROR(__xludf.DUMMYFUNCTION("""COMPUTED_VALUE"""),"RDV JM | 4/3 VILLA GENERAL MITRE")</f>
        <v>RDV JM | 4/3 VILLA GENERAL MITRE</v>
      </c>
      <c r="F412" s="28"/>
    </row>
    <row r="413">
      <c r="A413" s="28" t="str">
        <f>IFERROR(__xludf.DUMMYFUNCTION("""COMPUTED_VALUE"""),"2631-FEBINFGC")</f>
        <v>2631-FEBINFGC</v>
      </c>
      <c r="B413" s="28" t="str">
        <f>IFERROR(__xludf.DUMMYFUNCTION("""COMPUTED_VALUE"""),"CAMPAÑA GCBA | Infraestructura | Reapertura estación Plaza Italia")</f>
        <v>CAMPAÑA GCBA | Infraestructura | Reapertura estación Plaza Italia</v>
      </c>
      <c r="C413" s="29" t="str">
        <f>IFERROR(__xludf.DUMMYFUNCTION("""COMPUTED_VALUE"""),"Pieza")</f>
        <v>Pieza</v>
      </c>
      <c r="D413" s="28" t="str">
        <f>IFERROR(__xludf.DUMMYFUNCTION("""COMPUTED_VALUE"""),"2656-FEBINFVC")</f>
        <v>2656-FEBINFVC</v>
      </c>
      <c r="E413" s="28" t="str">
        <f>IFERROR(__xludf.DUMMYFUNCTION("""COMPUTED_VALUE"""),"RDV MINISTROS | PABLO BERECIARTUA 2/3 COMUNA 5")</f>
        <v>RDV MINISTROS | PABLO BERECIARTUA 2/3 COMUNA 5</v>
      </c>
      <c r="F413" s="28"/>
    </row>
    <row r="414">
      <c r="A414" s="28" t="str">
        <f>IFERROR(__xludf.DUMMYFUNCTION("""COMPUTED_VALUE"""),"2605-FEBJDGVC")</f>
        <v>2605-FEBJDGVC</v>
      </c>
      <c r="B414" s="28" t="str">
        <f>IFERROR(__xludf.DUMMYFUNCTION("""COMPUTED_VALUE"""),"RDV MINISTROS | Gabriel Sanchez Zinny 20/2")</f>
        <v>RDV MINISTROS | Gabriel Sanchez Zinny 20/2</v>
      </c>
      <c r="C414" s="29" t="str">
        <f>IFERROR(__xludf.DUMMYFUNCTION("""COMPUTED_VALUE"""),"Pieza")</f>
        <v>Pieza</v>
      </c>
      <c r="D414" s="28" t="str">
        <f>IFERROR(__xludf.DUMMYFUNCTION("""COMPUTED_VALUE"""),"2657-FEBVINVC")</f>
        <v>2657-FEBVINVC</v>
      </c>
      <c r="E414" s="28" t="str">
        <f>IFERROR(__xludf.DUMMYFUNCTION("""COMPUTED_VALUE"""),"RDV MINISTROS | EZEQUIEL SABOR 2/3 COMUNA 6")</f>
        <v>RDV MINISTROS | EZEQUIEL SABOR 2/3 COMUNA 6</v>
      </c>
      <c r="F414" s="28"/>
    </row>
    <row r="415">
      <c r="A415" s="28" t="str">
        <f>IFERROR(__xludf.DUMMYFUNCTION("""COMPUTED_VALUE"""),"2545-ENEEDUGC")</f>
        <v>2545-ENEEDUGC</v>
      </c>
      <c r="B415" s="28" t="str">
        <f>IFERROR(__xludf.DUMMYFUNCTION("""COMPUTED_VALUE"""),"Formacion profesional")</f>
        <v>Formacion profesional</v>
      </c>
      <c r="C415" s="29" t="str">
        <f>IFERROR(__xludf.DUMMYFUNCTION("""COMPUTED_VALUE"""),"Pieza")</f>
        <v>Pieza</v>
      </c>
      <c r="D415" s="28" t="str">
        <f>IFERROR(__xludf.DUMMYFUNCTION("""COMPUTED_VALUE"""),"Falta ID")</f>
        <v>Falta ID</v>
      </c>
      <c r="E415" s="28"/>
      <c r="F415" s="28"/>
    </row>
    <row r="416">
      <c r="A416" s="28" t="str">
        <f>IFERROR(__xludf.DUMMYFUNCTION("""COMPUTED_VALUE"""),"2592-FEBSEGGC")</f>
        <v>2592-FEBSEGGC</v>
      </c>
      <c r="B416" s="28" t="str">
        <f>IFERROR(__xludf.DUMMYFUNCTION("""COMPUTED_VALUE"""),"CAMPAÑA GCBA | SEGURIDAD | Megaoperativo motochorros PDLC")</f>
        <v>CAMPAÑA GCBA | SEGURIDAD | Megaoperativo motochorros PDLC</v>
      </c>
      <c r="C416" s="29" t="str">
        <f>IFERROR(__xludf.DUMMYFUNCTION("""COMPUTED_VALUE"""),"Pieza")</f>
        <v>Pieza</v>
      </c>
      <c r="D416" s="28" t="str">
        <f>IFERROR(__xludf.DUMMYFUNCTION("""COMPUTED_VALUE"""),"2583-FEBSALGC")</f>
        <v>2583-FEBSALGC</v>
      </c>
      <c r="E416" s="28" t="str">
        <f>IFERROR(__xludf.DUMMYFUNCTION("""COMPUTED_VALUE"""),"Durante de obra - Htal. Rocca")</f>
        <v>Durante de obra - Htal. Rocca</v>
      </c>
      <c r="F416" s="28"/>
    </row>
    <row r="417">
      <c r="A417" s="28" t="str">
        <f>IFERROR(__xludf.DUMMYFUNCTION("""COMPUTED_VALUE"""),"2497-ENEVINGC")</f>
        <v>2497-ENEVINGC</v>
      </c>
      <c r="B417" s="28" t="str">
        <f>IFERROR(__xludf.DUMMYFUNCTION("""COMPUTED_VALUE"""),"CAMPAÑA GCBA | VINCULO CIUDADANO | Mas servicios en tu barrio 2026: Palermo 27/02")</f>
        <v>CAMPAÑA GCBA | VINCULO CIUDADANO | Mas servicios en tu barrio 2026: Palermo 27/02</v>
      </c>
      <c r="C417" s="29" t="str">
        <f>IFERROR(__xludf.DUMMYFUNCTION("""COMPUTED_VALUE"""),"Pieza")</f>
        <v>Pieza</v>
      </c>
      <c r="D417" s="28" t="str">
        <f>IFERROR(__xludf.DUMMYFUNCTION("""COMPUTED_VALUE"""),"2583-FEBSALGC")</f>
        <v>2583-FEBSALGC</v>
      </c>
      <c r="E417" s="28" t="str">
        <f>IFERROR(__xludf.DUMMYFUNCTION("""COMPUTED_VALUE"""),"Durante de obra - Htal. Rocca")</f>
        <v>Durante de obra - Htal. Rocca</v>
      </c>
      <c r="F417" s="28"/>
    </row>
    <row r="418">
      <c r="A418" s="28" t="str">
        <f>IFERROR(__xludf.DUMMYFUNCTION("""COMPUTED_VALUE"""),"2596-FEBJDGAG")</f>
        <v>2596-FEBJDGAG</v>
      </c>
      <c r="B418" s="28" t="str">
        <f>IFERROR(__xludf.DUMMYFUNCTION("""COMPUTED_VALUE"""),"RDV JM | 20/02 Villa Luro")</f>
        <v>RDV JM | 20/02 Villa Luro</v>
      </c>
      <c r="C418" s="29" t="str">
        <f>IFERROR(__xludf.DUMMYFUNCTION("""COMPUTED_VALUE"""),"Pieza")</f>
        <v>Pieza</v>
      </c>
      <c r="D418" s="28" t="str">
        <f>IFERROR(__xludf.DUMMYFUNCTION("""COMPUTED_VALUE"""),"2585-FEBEPHGC")</f>
        <v>2585-FEBEPHGC</v>
      </c>
      <c r="E418" s="28" t="str">
        <f>IFERROR(__xludf.DUMMYFUNCTION("""COMPUTED_VALUE"""),"CAMPAÑA GCBA | MEPHU | FIN DE OBRA CALLE TUCUMÁN")</f>
        <v>CAMPAÑA GCBA | MEPHU | FIN DE OBRA CALLE TUCUMÁN</v>
      </c>
      <c r="F418" s="28"/>
    </row>
    <row r="419">
      <c r="A419" s="28" t="str">
        <f>IFERROR(__xludf.DUMMYFUNCTION("""COMPUTED_VALUE"""),"2596-FEBJDGAG")</f>
        <v>2596-FEBJDGAG</v>
      </c>
      <c r="B419" s="28" t="str">
        <f>IFERROR(__xludf.DUMMYFUNCTION("""COMPUTED_VALUE"""),"RDV JM | 20/02 Villa Luro")</f>
        <v>RDV JM | 20/02 Villa Luro</v>
      </c>
      <c r="C419" s="29" t="str">
        <f>IFERROR(__xludf.DUMMYFUNCTION("""COMPUTED_VALUE"""),"Pieza")</f>
        <v>Pieza</v>
      </c>
      <c r="D419" s="28" t="str">
        <f>IFERROR(__xludf.DUMMYFUNCTION("""COMPUTED_VALUE"""),"2592-FEBSEGGC")</f>
        <v>2592-FEBSEGGC</v>
      </c>
      <c r="E419" s="28" t="str">
        <f>IFERROR(__xludf.DUMMYFUNCTION("""COMPUTED_VALUE"""),"CAMPAÑA GCBA | SEGURIDAD | Megaoperativo motochorros PDLC")</f>
        <v>CAMPAÑA GCBA | SEGURIDAD | Megaoperativo motochorros PDLC</v>
      </c>
      <c r="F419" s="28"/>
    </row>
    <row r="420">
      <c r="A420" s="28" t="str">
        <f>IFERROR(__xludf.DUMMYFUNCTION("""COMPUTED_VALUE"""),"2619-FEBPCCVC")</f>
        <v>2619-FEBPCCVC</v>
      </c>
      <c r="B420" s="28" t="str">
        <f>IFERROR(__xludf.DUMMYFUNCTION("""COMPUTED_VALUE"""),"Voluntarios | Donación de Sangre")</f>
        <v>Voluntarios | Donación de Sangre</v>
      </c>
      <c r="C420" s="29" t="str">
        <f>IFERROR(__xludf.DUMMYFUNCTION("""COMPUTED_VALUE"""),"Pieza")</f>
        <v>Pieza</v>
      </c>
      <c r="D420" s="28" t="str">
        <f>IFERROR(__xludf.DUMMYFUNCTION("""COMPUTED_VALUE"""),"2592-FEBSEGGC")</f>
        <v>2592-FEBSEGGC</v>
      </c>
      <c r="E420" s="28" t="str">
        <f>IFERROR(__xludf.DUMMYFUNCTION("""COMPUTED_VALUE"""),"CAMPAÑA GCBA | SEGURIDAD | Megaoperativo motochorros PDLC")</f>
        <v>CAMPAÑA GCBA | SEGURIDAD | Megaoperativo motochorros PDLC</v>
      </c>
      <c r="F420" s="28"/>
    </row>
    <row r="421">
      <c r="A421" s="28" t="str">
        <f>IFERROR(__xludf.DUMMYFUNCTION("""COMPUTED_VALUE"""),"2618-FEBFESGC")</f>
        <v>2618-FEBFESGC</v>
      </c>
      <c r="B421" s="28" t="str">
        <f>IFERROR(__xludf.DUMMYFUNCTION("""COMPUTED_VALUE"""),"Verano BA | Festival Nación Urbana")</f>
        <v>Verano BA | Festival Nación Urbana</v>
      </c>
      <c r="C421" s="29" t="str">
        <f>IFERROR(__xludf.DUMMYFUNCTION("""COMPUTED_VALUE"""),"Pieza")</f>
        <v>Pieza</v>
      </c>
      <c r="D421" s="28" t="str">
        <f>IFERROR(__xludf.DUMMYFUNCTION("""COMPUTED_VALUE"""),"2415-DICINFGC")</f>
        <v>2415-DICINFGC</v>
      </c>
      <c r="E421" s="28" t="str">
        <f>IFERROR(__xludf.DUMMYFUNCTION("""COMPUTED_VALUE"""),"INFRAESTRUCTURA | Cortes y Desvíos del finde 13 y 14 Dic")</f>
        <v>INFRAESTRUCTURA | Cortes y Desvíos del finde 13 y 14 Dic</v>
      </c>
      <c r="F421" s="29" t="str">
        <f>IFERROR(__xludf.DUMMYFUNCTION("""COMPUTED_VALUE"""),"https://fb.me/adspreview/facebook/1OAFpHtWtwxdixl")</f>
        <v>https://fb.me/adspreview/facebook/1OAFpHtWtwxdixl</v>
      </c>
    </row>
    <row r="422">
      <c r="A422" s="28" t="str">
        <f>IFERROR(__xludf.DUMMYFUNCTION("""COMPUTED_VALUE"""),"2577-FEBSALGC")</f>
        <v>2577-FEBSALGC</v>
      </c>
      <c r="B422" s="28" t="str">
        <f>IFERROR(__xludf.DUMMYFUNCTION("""COMPUTED_VALUE"""),"IREP - Inicio de obra")</f>
        <v>IREP - Inicio de obra</v>
      </c>
      <c r="C422" s="29" t="str">
        <f>IFERROR(__xludf.DUMMYFUNCTION("""COMPUTED_VALUE"""),"Pieza")</f>
        <v>Pieza</v>
      </c>
      <c r="D422" s="28" t="str">
        <f>IFERROR(__xludf.DUMMYFUNCTION("""COMPUTED_VALUE"""),"2519-ENEINFGC")</f>
        <v>2519-ENEINFGC</v>
      </c>
      <c r="E422" s="28" t="str">
        <f>IFERROR(__xludf.DUMMYFUNCTION("""COMPUTED_VALUE"""),"Infraestructura I Cortes y desvíos en Larralde")</f>
        <v>Infraestructura I Cortes y desvíos en Larralde</v>
      </c>
      <c r="F422" s="28"/>
    </row>
    <row r="423">
      <c r="A423" s="28" t="str">
        <f>IFERROR(__xludf.DUMMYFUNCTION("""COMPUTED_VALUE"""),"2597-FEBJDGAG")</f>
        <v>2597-FEBJDGAG</v>
      </c>
      <c r="B423" s="28" t="str">
        <f>IFERROR(__xludf.DUMMYFUNCTION("""COMPUTED_VALUE"""),"RDV JM | 21/02 Floresta")</f>
        <v>RDV JM | 21/02 Floresta</v>
      </c>
      <c r="C423" s="29" t="str">
        <f>IFERROR(__xludf.DUMMYFUNCTION("""COMPUTED_VALUE"""),"Pieza")</f>
        <v>Pieza</v>
      </c>
      <c r="D423" s="28" t="str">
        <f>IFERROR(__xludf.DUMMYFUNCTION("""COMPUTED_VALUE"""),"2623-FEBAMBGC")</f>
        <v>2623-FEBAMBGC</v>
      </c>
      <c r="E423" s="28" t="str">
        <f>IFERROR(__xludf.DUMMYFUNCTION("""COMPUTED_VALUE"""),"Puntos Verdes Fijos y Móviles")</f>
        <v>Puntos Verdes Fijos y Móviles</v>
      </c>
      <c r="F423" s="28"/>
    </row>
    <row r="424">
      <c r="A424" s="28" t="str">
        <f>IFERROR(__xludf.DUMMYFUNCTION("""COMPUTED_VALUE"""),"2597-FEBJDGAG")</f>
        <v>2597-FEBJDGAG</v>
      </c>
      <c r="B424" s="28" t="str">
        <f>IFERROR(__xludf.DUMMYFUNCTION("""COMPUTED_VALUE"""),"RDV JM | 21/02 Floresta")</f>
        <v>RDV JM | 21/02 Floresta</v>
      </c>
      <c r="C424" s="29" t="str">
        <f>IFERROR(__xludf.DUMMYFUNCTION("""COMPUTED_VALUE"""),"Pieza")</f>
        <v>Pieza</v>
      </c>
      <c r="D424" s="28" t="str">
        <f>IFERROR(__xludf.DUMMYFUNCTION("""COMPUTED_VALUE"""),"2623-FEBAMBGC")</f>
        <v>2623-FEBAMBGC</v>
      </c>
      <c r="E424" s="28" t="str">
        <f>IFERROR(__xludf.DUMMYFUNCTION("""COMPUTED_VALUE"""),"Puntos Verdes Fijos y Móviles")</f>
        <v>Puntos Verdes Fijos y Móviles</v>
      </c>
      <c r="F424" s="28"/>
    </row>
    <row r="425">
      <c r="A425" s="28" t="str">
        <f>IFERROR(__xludf.DUMMYFUNCTION("""COMPUTED_VALUE"""),"2624-FEBEDUVC")</f>
        <v>2624-FEBEDUVC</v>
      </c>
      <c r="B425" s="28" t="str">
        <f>IFERROR(__xludf.DUMMYFUNCTION("""COMPUTED_VALUE"""),"RDV MINISTROS | Mercedes Miguel, Comuna 12 23/2")</f>
        <v>RDV MINISTROS | Mercedes Miguel, Comuna 12 23/2</v>
      </c>
      <c r="C425" s="29" t="str">
        <f>IFERROR(__xludf.DUMMYFUNCTION("""COMPUTED_VALUE"""),"Pieza")</f>
        <v>Pieza</v>
      </c>
      <c r="D425" s="28" t="str">
        <f>IFERROR(__xludf.DUMMYFUNCTION("""COMPUTED_VALUE"""),"2644-FEBINFGC")</f>
        <v>2644-FEBINFGC</v>
      </c>
      <c r="E425" s="28" t="str">
        <f>IFERROR(__xludf.DUMMYFUNCTION("""COMPUTED_VALUE"""),"CAMPAÑA GCBA | Infraestructura | Reapertura estación Uruguay")</f>
        <v>CAMPAÑA GCBA | Infraestructura | Reapertura estación Uruguay</v>
      </c>
      <c r="F425" s="28"/>
    </row>
    <row r="426">
      <c r="A426" s="28" t="str">
        <f>IFERROR(__xludf.DUMMYFUNCTION("""COMPUTED_VALUE"""),"2629-FEBJDGVC")</f>
        <v>2629-FEBJDGVC</v>
      </c>
      <c r="B426" s="28" t="str">
        <f>IFERROR(__xludf.DUMMYFUNCTION("""COMPUTED_VALUE"""),"RDV MINISTROS | GABRIEL SÁNCHEZ ZINNY 25/2 BARRACAS")</f>
        <v>RDV MINISTROS | GABRIEL SÁNCHEZ ZINNY 25/2 BARRACAS</v>
      </c>
      <c r="C426" s="29" t="str">
        <f>IFERROR(__xludf.DUMMYFUNCTION("""COMPUTED_VALUE"""),"Pieza")</f>
        <v>Pieza</v>
      </c>
      <c r="D426" s="28" t="str">
        <f>IFERROR(__xludf.DUMMYFUNCTION("""COMPUTED_VALUE"""),"2644-FEBINFGC")</f>
        <v>2644-FEBINFGC</v>
      </c>
      <c r="E426" s="28" t="str">
        <f>IFERROR(__xludf.DUMMYFUNCTION("""COMPUTED_VALUE"""),"CAMPAÑA GCBA | Infraestructura | Reapertura estación Uruguay")</f>
        <v>CAMPAÑA GCBA | Infraestructura | Reapertura estación Uruguay</v>
      </c>
      <c r="F426" s="28"/>
    </row>
    <row r="427">
      <c r="A427" s="28" t="str">
        <f>IFERROR(__xludf.DUMMYFUNCTION("""COMPUTED_VALUE"""),"2628-FEBCULVC")</f>
        <v>2628-FEBCULVC</v>
      </c>
      <c r="B427" s="28" t="str">
        <f>IFERROR(__xludf.DUMMYFUNCTION("""COMPUTED_VALUE"""),"RDV Ministros | Gabriela Ricardes 23/2 Comuna 3")</f>
        <v>RDV Ministros | Gabriela Ricardes 23/2 Comuna 3</v>
      </c>
      <c r="C427" s="29" t="str">
        <f>IFERROR(__xludf.DUMMYFUNCTION("""COMPUTED_VALUE"""),"Pieza")</f>
        <v>Pieza</v>
      </c>
      <c r="D427" s="28" t="str">
        <f>IFERROR(__xludf.DUMMYFUNCTION("""COMPUTED_VALUE"""),"2498-ENEEPHGC")</f>
        <v>2498-ENEEPHGC</v>
      </c>
      <c r="E427" s="28" t="str">
        <f>IFERROR(__xludf.DUMMYFUNCTION("""COMPUTED_VALUE"""),"CAMPAÑA GCBA | CONVIVENCIA | Genérica")</f>
        <v>CAMPAÑA GCBA | CONVIVENCIA | Genérica</v>
      </c>
      <c r="F427" s="28"/>
    </row>
    <row r="428">
      <c r="A428" s="28" t="str">
        <f>IFERROR(__xludf.DUMMYFUNCTION("""COMPUTED_VALUE"""),"2644-FEBINFGC")</f>
        <v>2644-FEBINFGC</v>
      </c>
      <c r="B428" s="28" t="str">
        <f>IFERROR(__xludf.DUMMYFUNCTION("""COMPUTED_VALUE"""),"CAMPAÑA GCBA | Infraestructura | Reapertura estación Uruguay")</f>
        <v>CAMPAÑA GCBA | Infraestructura | Reapertura estación Uruguay</v>
      </c>
      <c r="C428" s="29" t="str">
        <f>IFERROR(__xludf.DUMMYFUNCTION("""COMPUTED_VALUE"""),"Pieza")</f>
        <v>Pieza</v>
      </c>
      <c r="D428" s="28" t="str">
        <f>IFERROR(__xludf.DUMMYFUNCTION("""COMPUTED_VALUE"""),"2498-ENEEPHGC")</f>
        <v>2498-ENEEPHGC</v>
      </c>
      <c r="E428" s="28" t="str">
        <f>IFERROR(__xludf.DUMMYFUNCTION("""COMPUTED_VALUE"""),"CAMPAÑA GCBA | CONVIVENCIA | Genérica")</f>
        <v>CAMPAÑA GCBA | CONVIVENCIA | Genérica</v>
      </c>
      <c r="F428" s="28"/>
    </row>
    <row r="429">
      <c r="A429" s="28" t="str">
        <f>IFERROR(__xludf.DUMMYFUNCTION("""COMPUTED_VALUE"""),"2033-SEPEPHGC")</f>
        <v>2033-SEPEPHGC</v>
      </c>
      <c r="B429" s="28" t="str">
        <f>IFERROR(__xludf.DUMMYFUNCTION("""COMPUTED_VALUE"""),"M2 PODA")</f>
        <v>M2 PODA</v>
      </c>
      <c r="C429" s="29" t="str">
        <f>IFERROR(__xludf.DUMMYFUNCTION("""COMPUTED_VALUE"""),"Pieza")</f>
        <v>Pieza</v>
      </c>
      <c r="D429" s="28" t="str">
        <f>IFERROR(__xludf.DUMMYFUNCTION("""COMPUTED_VALUE"""),"2593-FEBSEGGC")</f>
        <v>2593-FEBSEGGC</v>
      </c>
      <c r="E429" s="28" t="str">
        <f>IFERROR(__xludf.DUMMYFUNCTION("""COMPUTED_VALUE"""),"CAMPAÑA GCBA | SEGURIDAD | Un año sin manteros en Flores")</f>
        <v>CAMPAÑA GCBA | SEGURIDAD | Un año sin manteros en Flores</v>
      </c>
      <c r="F429" s="28"/>
    </row>
    <row r="430">
      <c r="A430" s="28" t="str">
        <f>IFERROR(__xludf.DUMMYFUNCTION("""COMPUTED_VALUE"""),"2592-FEBSEGGC")</f>
        <v>2592-FEBSEGGC</v>
      </c>
      <c r="B430" s="28" t="str">
        <f>IFERROR(__xludf.DUMMYFUNCTION("""COMPUTED_VALUE"""),"CAMPAÑA GCBA | SEGURIDAD | Megaoperativo motochorros PDLC")</f>
        <v>CAMPAÑA GCBA | SEGURIDAD | Megaoperativo motochorros PDLC</v>
      </c>
      <c r="C430" s="29" t="str">
        <f>IFERROR(__xludf.DUMMYFUNCTION("""COMPUTED_VALUE"""),"Pieza")</f>
        <v>Pieza</v>
      </c>
      <c r="D430" s="28" t="str">
        <f>IFERROR(__xludf.DUMMYFUNCTION("""COMPUTED_VALUE"""),"2593-FEBSEGGC")</f>
        <v>2593-FEBSEGGC</v>
      </c>
      <c r="E430" s="28" t="str">
        <f>IFERROR(__xludf.DUMMYFUNCTION("""COMPUTED_VALUE"""),"CAMPAÑA GCBA | SEGURIDAD | Un año sin manteros en Flores")</f>
        <v>CAMPAÑA GCBA | SEGURIDAD | Un año sin manteros en Flores</v>
      </c>
      <c r="F430" s="28"/>
    </row>
    <row r="431">
      <c r="A431" s="28" t="str">
        <f>IFERROR(__xludf.DUMMYFUNCTION("""COMPUTED_VALUE"""),"2592-FEBSEGGC")</f>
        <v>2592-FEBSEGGC</v>
      </c>
      <c r="B431" s="28" t="str">
        <f>IFERROR(__xludf.DUMMYFUNCTION("""COMPUTED_VALUE"""),"CAMPAÑA GCBA | SEGURIDAD | Megaoperativo motochorros PDLC")</f>
        <v>CAMPAÑA GCBA | SEGURIDAD | Megaoperativo motochorros PDLC</v>
      </c>
      <c r="C431" s="29" t="str">
        <f>IFERROR(__xludf.DUMMYFUNCTION("""COMPUTED_VALUE"""),"Pieza")</f>
        <v>Pieza</v>
      </c>
      <c r="D431" s="28" t="str">
        <f>IFERROR(__xludf.DUMMYFUNCTION("""COMPUTED_VALUE"""),"2546-ENEEDUGC")</f>
        <v>2546-ENEEDUGC</v>
      </c>
      <c r="E431" s="28" t="str">
        <f>IFERROR(__xludf.DUMMYFUNCTION("""COMPUTED_VALUE"""),"Tecnica Superior")</f>
        <v>Tecnica Superior</v>
      </c>
      <c r="F431" s="28"/>
    </row>
    <row r="432">
      <c r="A432" s="28" t="str">
        <f>IFERROR(__xludf.DUMMYFUNCTION("""COMPUTED_VALUE"""),"2617-FEBSEGGC")</f>
        <v>2617-FEBSEGGC</v>
      </c>
      <c r="B432" s="28" t="str">
        <f>IFERROR(__xludf.DUMMYFUNCTION("""COMPUTED_VALUE"""),"CAMPAÑA GCBA | Seguridad | Desalojo en PH Palermo - Ravignani 1779")</f>
        <v>CAMPAÑA GCBA | Seguridad | Desalojo en PH Palermo - Ravignani 1779</v>
      </c>
      <c r="C432" s="29" t="str">
        <f>IFERROR(__xludf.DUMMYFUNCTION("""COMPUTED_VALUE"""),"Pieza")</f>
        <v>Pieza</v>
      </c>
      <c r="D432" s="28" t="str">
        <f>IFERROR(__xludf.DUMMYFUNCTION("""COMPUTED_VALUE"""),"2546-ENEEDUGC")</f>
        <v>2546-ENEEDUGC</v>
      </c>
      <c r="E432" s="28" t="str">
        <f>IFERROR(__xludf.DUMMYFUNCTION("""COMPUTED_VALUE"""),"Tecnica Superior")</f>
        <v>Tecnica Superior</v>
      </c>
      <c r="F432" s="28"/>
    </row>
    <row r="433">
      <c r="A433" s="28" t="str">
        <f>IFERROR(__xludf.DUMMYFUNCTION("""COMPUTED_VALUE"""),"2637-FEBJDGVC")</f>
        <v>2637-FEBJDGVC</v>
      </c>
      <c r="B433" s="28" t="str">
        <f>IFERROR(__xludf.DUMMYFUNCTION("""COMPUTED_VALUE"""),"RDV MINISTROS | GABRIEL SÁNCHEZ ZINNY 28/2 NÚÑEZ")</f>
        <v>RDV MINISTROS | GABRIEL SÁNCHEZ ZINNY 28/2 NÚÑEZ</v>
      </c>
      <c r="C433" s="29" t="str">
        <f>IFERROR(__xludf.DUMMYFUNCTION("""COMPUTED_VALUE"""),"Pieza")</f>
        <v>Pieza</v>
      </c>
      <c r="D433" s="28" t="str">
        <f>IFERROR(__xludf.DUMMYFUNCTION("""COMPUTED_VALUE"""),"2499-ENEEPHGC")</f>
        <v>2499-ENEEPHGC</v>
      </c>
      <c r="E433" s="28" t="str">
        <f>IFERROR(__xludf.DUMMYFUNCTION("""COMPUTED_VALUE"""),"CAMPAÑA GCBA | CONVIVENCIA | Cuidado de perros")</f>
        <v>CAMPAÑA GCBA | CONVIVENCIA | Cuidado de perros</v>
      </c>
      <c r="F433" s="28"/>
    </row>
    <row r="434">
      <c r="A434" s="28" t="str">
        <f>IFERROR(__xludf.DUMMYFUNCTION("""COMPUTED_VALUE"""),"1921-SEPAMBGC")</f>
        <v>1921-SEPAMBGC</v>
      </c>
      <c r="B434" s="28" t="str">
        <f>IFERROR(__xludf.DUMMYFUNCTION("""COMPUTED_VALUE"""),"Vacunación Antirrabica Animales")</f>
        <v>Vacunación Antirrabica Animales</v>
      </c>
      <c r="C434" s="29" t="str">
        <f>IFERROR(__xludf.DUMMYFUNCTION("""COMPUTED_VALUE"""),"Pieza")</f>
        <v>Pieza</v>
      </c>
      <c r="D434" s="28" t="str">
        <f>IFERROR(__xludf.DUMMYFUNCTION("""COMPUTED_VALUE"""),"2499-ENEEPHGC")</f>
        <v>2499-ENEEPHGC</v>
      </c>
      <c r="E434" s="28" t="str">
        <f>IFERROR(__xludf.DUMMYFUNCTION("""COMPUTED_VALUE"""),"CAMPAÑA GCBA | CONVIVENCIA | Cuidado de perros")</f>
        <v>CAMPAÑA GCBA | CONVIVENCIA | Cuidado de perros</v>
      </c>
      <c r="F434" s="28"/>
    </row>
    <row r="435">
      <c r="A435" s="28" t="str">
        <f>IFERROR(__xludf.DUMMYFUNCTION("""COMPUTED_VALUE"""),"2646-FEBAMBVC")</f>
        <v>2646-FEBAMBVC</v>
      </c>
      <c r="B435" s="28" t="str">
        <f>IFERROR(__xludf.DUMMYFUNCTION("""COMPUTED_VALUE"""),"RDV Ministros | Clara Muzzio - 27/2")</f>
        <v>RDV Ministros | Clara Muzzio - 27/2</v>
      </c>
      <c r="C435" s="29" t="str">
        <f>IFERROR(__xludf.DUMMYFUNCTION("""COMPUTED_VALUE"""),"Pieza")</f>
        <v>Pieza</v>
      </c>
      <c r="D435" s="28" t="str">
        <f>IFERROR(__xludf.DUMMYFUNCTION("""COMPUTED_VALUE"""),"2573-FEBSEGGC")</f>
        <v>2573-FEBSEGGC</v>
      </c>
      <c r="E435" s="28" t="str">
        <f>IFERROR(__xludf.DUMMYFUNCTION("""COMPUTED_VALUE"""),"CAMPAÑA GCBA | SEGURIDAD |  Desalojo en Balvanera")</f>
        <v>CAMPAÑA GCBA | SEGURIDAD |  Desalojo en Balvanera</v>
      </c>
      <c r="F435" s="28"/>
    </row>
    <row r="436">
      <c r="A436" s="28" t="str">
        <f>IFERROR(__xludf.DUMMYFUNCTION("""COMPUTED_VALUE"""),"2633-FEBSEGVC")</f>
        <v>2633-FEBSEGVC</v>
      </c>
      <c r="B436" s="28" t="str">
        <f>IFERROR(__xludf.DUMMYFUNCTION("""COMPUTED_VALUE"""),"RDV Ministros | Horacio Gimenez 26/2 Comuna 13")</f>
        <v>RDV Ministros | Horacio Gimenez 26/2 Comuna 13</v>
      </c>
      <c r="C436" s="29" t="str">
        <f>IFERROR(__xludf.DUMMYFUNCTION("""COMPUTED_VALUE"""),"Pieza")</f>
        <v>Pieza</v>
      </c>
      <c r="D436" s="28" t="str">
        <f>IFERROR(__xludf.DUMMYFUNCTION("""COMPUTED_VALUE"""),"2573-FEBSEGGC")</f>
        <v>2573-FEBSEGGC</v>
      </c>
      <c r="E436" s="28" t="str">
        <f>IFERROR(__xludf.DUMMYFUNCTION("""COMPUTED_VALUE"""),"CAMPAÑA GCBA | SEGURIDAD |  Desalojo en Balvanera")</f>
        <v>CAMPAÑA GCBA | SEGURIDAD |  Desalojo en Balvanera</v>
      </c>
      <c r="F436" s="28"/>
    </row>
    <row r="437">
      <c r="A437" s="28" t="str">
        <f>IFERROR(__xludf.DUMMYFUNCTION("""COMPUTED_VALUE"""),"2634-FEBSEGVC")</f>
        <v>2634-FEBSEGVC</v>
      </c>
      <c r="B437" s="28" t="str">
        <f>IFERROR(__xludf.DUMMYFUNCTION("""COMPUTED_VALUE"""),"RDV Ministros | Gabino Tapia 26/2 Comuna 14")</f>
        <v>RDV Ministros | Gabino Tapia 26/2 Comuna 14</v>
      </c>
      <c r="C437" s="29" t="str">
        <f>IFERROR(__xludf.DUMMYFUNCTION("""COMPUTED_VALUE"""),"Pieza")</f>
        <v>Pieza</v>
      </c>
      <c r="D437" s="28" t="str">
        <f>IFERROR(__xludf.DUMMYFUNCTION("""COMPUTED_VALUE"""),"2577-FEBSALGC")</f>
        <v>2577-FEBSALGC</v>
      </c>
      <c r="E437" s="28" t="str">
        <f>IFERROR(__xludf.DUMMYFUNCTION("""COMPUTED_VALUE"""),"IREP - Inicio de obra")</f>
        <v>IREP - Inicio de obra</v>
      </c>
      <c r="F437" s="28"/>
    </row>
    <row r="438">
      <c r="A438" s="28" t="str">
        <f>IFERROR(__xludf.DUMMYFUNCTION("""COMPUTED_VALUE"""),"2632-FEBSEGVC")</f>
        <v>2632-FEBSEGVC</v>
      </c>
      <c r="B438" s="28" t="str">
        <f>IFERROR(__xludf.DUMMYFUNCTION("""COMPUTED_VALUE"""),"RDV Ministros | Maximiliano Piñeiro 26/2 Comuna 12")</f>
        <v>RDV Ministros | Maximiliano Piñeiro 26/2 Comuna 12</v>
      </c>
      <c r="C438" s="29" t="str">
        <f>IFERROR(__xludf.DUMMYFUNCTION("""COMPUTED_VALUE"""),"Pieza")</f>
        <v>Pieza</v>
      </c>
      <c r="D438" s="28" t="str">
        <f>IFERROR(__xludf.DUMMYFUNCTION("""COMPUTED_VALUE"""),"2577-FEBSALGC")</f>
        <v>2577-FEBSALGC</v>
      </c>
      <c r="E438" s="28" t="str">
        <f>IFERROR(__xludf.DUMMYFUNCTION("""COMPUTED_VALUE"""),"IREP - Inicio de obra")</f>
        <v>IREP - Inicio de obra</v>
      </c>
      <c r="F438" s="28"/>
    </row>
    <row r="439">
      <c r="A439" s="28" t="str">
        <f>IFERROR(__xludf.DUMMYFUNCTION("""COMPUTED_VALUE"""),"2635-FEBSEGVC")</f>
        <v>2635-FEBSEGVC</v>
      </c>
      <c r="B439" s="28" t="str">
        <f>IFERROR(__xludf.DUMMYFUNCTION("""COMPUTED_VALUE"""),"RDV Ministros | Ruth Landerreche 26/2 Comuna 15")</f>
        <v>RDV Ministros | Ruth Landerreche 26/2 Comuna 15</v>
      </c>
      <c r="C439" s="29" t="str">
        <f>IFERROR(__xludf.DUMMYFUNCTION("""COMPUTED_VALUE"""),"Pieza")</f>
        <v>Pieza</v>
      </c>
      <c r="D439" s="28" t="str">
        <f>IFERROR(__xludf.DUMMYFUNCTION("""COMPUTED_VALUE"""),"2559-FEBSALGC")</f>
        <v>2559-FEBSALGC</v>
      </c>
      <c r="E439" s="28" t="str">
        <f>IFERROR(__xludf.DUMMYFUNCTION("""COMPUTED_VALUE"""),"Vacunación Calendario Escolar 2026")</f>
        <v>Vacunación Calendario Escolar 2026</v>
      </c>
      <c r="F439" s="28"/>
    </row>
    <row r="440">
      <c r="A440" s="28" t="str">
        <f>IFERROR(__xludf.DUMMYFUNCTION("""COMPUTED_VALUE"""),"2640-FEBVINGC")</f>
        <v>2640-FEBVINGC</v>
      </c>
      <c r="B440" s="28" t="str">
        <f>IFERROR(__xludf.DUMMYFUNCTION("""COMPUTED_VALUE"""),"CAMPAÑA GCBA | VINCULO CIUDADANO | Mas servicios en tu barrio 2026: Retiro 03/03 y 04/03")</f>
        <v>CAMPAÑA GCBA | VINCULO CIUDADANO | Mas servicios en tu barrio 2026: Retiro 03/03 y 04/03</v>
      </c>
      <c r="C440" s="29" t="str">
        <f>IFERROR(__xludf.DUMMYFUNCTION("""COMPUTED_VALUE"""),"Pieza")</f>
        <v>Pieza</v>
      </c>
      <c r="D440" s="28" t="str">
        <f>IFERROR(__xludf.DUMMYFUNCTION("""COMPUTED_VALUE"""),"2559-FEBSALGC")</f>
        <v>2559-FEBSALGC</v>
      </c>
      <c r="E440" s="28" t="str">
        <f>IFERROR(__xludf.DUMMYFUNCTION("""COMPUTED_VALUE"""),"Vacunación Calendario Escolar 2026")</f>
        <v>Vacunación Calendario Escolar 2026</v>
      </c>
      <c r="F440" s="28"/>
    </row>
    <row r="441">
      <c r="A441" s="28" t="str">
        <f>IFERROR(__xludf.DUMMYFUNCTION("""COMPUTED_VALUE"""),"2584-FEBPCCVC")</f>
        <v>2584-FEBPCCVC</v>
      </c>
      <c r="B441" s="28" t="str">
        <f>IFERROR(__xludf.DUMMYFUNCTION("""COMPUTED_VALUE"""),"Votación - Priorización de nombre PBN Fomentista")</f>
        <v>Votación - Priorización de nombre PBN Fomentista</v>
      </c>
      <c r="C441" s="29" t="str">
        <f>IFERROR(__xludf.DUMMYFUNCTION("""COMPUTED_VALUE"""),"Pieza")</f>
        <v>Pieza</v>
      </c>
      <c r="D441" s="28" t="str">
        <f>IFERROR(__xludf.DUMMYFUNCTION("""COMPUTED_VALUE"""),"2500-ENEEPHGC")</f>
        <v>2500-ENEEPHGC</v>
      </c>
      <c r="E441" s="28" t="str">
        <f>IFERROR(__xludf.DUMMYFUNCTION("""COMPUTED_VALUE"""),"CAMPAÑA GCBA | CONVIVENCIA | Doble Fila")</f>
        <v>CAMPAÑA GCBA | CONVIVENCIA | Doble Fila</v>
      </c>
      <c r="F441" s="28"/>
    </row>
    <row r="442">
      <c r="A442" s="28" t="str">
        <f>IFERROR(__xludf.DUMMYFUNCTION("""COMPUTED_VALUE"""),"2636-FEBJDGAG")</f>
        <v>2636-FEBJDGAG</v>
      </c>
      <c r="B442" s="28" t="str">
        <f>IFERROR(__xludf.DUMMYFUNCTION("""COMPUTED_VALUE"""),"RDV JM | Parque Chas 27/2")</f>
        <v>RDV JM | Parque Chas 27/2</v>
      </c>
      <c r="C442" s="29" t="str">
        <f>IFERROR(__xludf.DUMMYFUNCTION("""COMPUTED_VALUE"""),"Pieza")</f>
        <v>Pieza</v>
      </c>
      <c r="D442" s="28" t="str">
        <f>IFERROR(__xludf.DUMMYFUNCTION("""COMPUTED_VALUE"""),"2500-ENEEPHGC")</f>
        <v>2500-ENEEPHGC</v>
      </c>
      <c r="E442" s="28" t="str">
        <f>IFERROR(__xludf.DUMMYFUNCTION("""COMPUTED_VALUE"""),"CAMPAÑA GCBA | CONVIVENCIA | Doble Fila")</f>
        <v>CAMPAÑA GCBA | CONVIVENCIA | Doble Fila</v>
      </c>
      <c r="F442" s="28"/>
    </row>
    <row r="443">
      <c r="A443" s="28" t="str">
        <f>IFERROR(__xludf.DUMMYFUNCTION("""COMPUTED_VALUE"""),"2629-FEBJDGVC")</f>
        <v>2629-FEBJDGVC</v>
      </c>
      <c r="B443" s="28" t="str">
        <f>IFERROR(__xludf.DUMMYFUNCTION("""COMPUTED_VALUE"""),"RDV MINISTROS | GABRIEL SÁNCHEZ ZINNY 25/2 BARRACAS")</f>
        <v>RDV MINISTROS | GABRIEL SÁNCHEZ ZINNY 25/2 BARRACAS</v>
      </c>
      <c r="C443" s="29" t="str">
        <f>IFERROR(__xludf.DUMMYFUNCTION("""COMPUTED_VALUE"""),"Pieza")</f>
        <v>Pieza</v>
      </c>
      <c r="D443" s="28" t="str">
        <f>IFERROR(__xludf.DUMMYFUNCTION("""COMPUTED_VALUE"""),"2500-ENEEPHGC")</f>
        <v>2500-ENEEPHGC</v>
      </c>
      <c r="E443" s="28" t="str">
        <f>IFERROR(__xludf.DUMMYFUNCTION("""COMPUTED_VALUE"""),"CAMPAÑA GCBA | CONVIVENCIA | Doble Fila")</f>
        <v>CAMPAÑA GCBA | CONVIVENCIA | Doble Fila</v>
      </c>
      <c r="F443" s="28"/>
    </row>
    <row r="444">
      <c r="A444" s="28" t="str">
        <f>IFERROR(__xludf.DUMMYFUNCTION("""COMPUTED_VALUE"""),"2594-FEBAMBVC")</f>
        <v>2594-FEBAMBVC</v>
      </c>
      <c r="B444" s="28" t="str">
        <f>IFERROR(__xludf.DUMMYFUNCTION("""COMPUTED_VALUE"""),"RDV Ministros | Clara Muzzio - 4/3 - San Telmo")</f>
        <v>RDV Ministros | Clara Muzzio - 4/3 - San Telmo</v>
      </c>
      <c r="C444" s="29" t="str">
        <f>IFERROR(__xludf.DUMMYFUNCTION("""COMPUTED_VALUE"""),"Pieza")</f>
        <v>Pieza</v>
      </c>
      <c r="D444" s="28" t="str">
        <f>IFERROR(__xludf.DUMMYFUNCTION("""COMPUTED_VALUE"""),"2568-FEBJDGAG")</f>
        <v>2568-FEBJDGAG</v>
      </c>
      <c r="E444" s="28" t="str">
        <f>IFERROR(__xludf.DUMMYFUNCTION("""COMPUTED_VALUE"""),"RDV JM 12/2 Villa Soldati")</f>
        <v>RDV JM 12/2 Villa Soldati</v>
      </c>
      <c r="F444" s="28"/>
    </row>
    <row r="445">
      <c r="A445" s="28" t="str">
        <f>IFERROR(__xludf.DUMMYFUNCTION("""COMPUTED_VALUE"""),"2627-FEBSALVC")</f>
        <v>2627-FEBSALVC</v>
      </c>
      <c r="B445" s="28" t="str">
        <f>IFERROR(__xludf.DUMMYFUNCTION("""COMPUTED_VALUE"""),"RDV Ministros | Fernán Quirós - 27/02")</f>
        <v>RDV Ministros | Fernán Quirós - 27/02</v>
      </c>
      <c r="C445" s="29" t="str">
        <f>IFERROR(__xludf.DUMMYFUNCTION("""COMPUTED_VALUE"""),"Pieza")</f>
        <v>Pieza</v>
      </c>
      <c r="D445" s="28" t="str">
        <f>IFERROR(__xludf.DUMMYFUNCTION("""COMPUTED_VALUE"""),"2631-FEBINFGC")</f>
        <v>2631-FEBINFGC</v>
      </c>
      <c r="E445" s="28" t="str">
        <f>IFERROR(__xludf.DUMMYFUNCTION("""COMPUTED_VALUE"""),"CAMPAÑA GCBA | Infraestructura | Reapertura estación Plaza Italia")</f>
        <v>CAMPAÑA GCBA | Infraestructura | Reapertura estación Plaza Italia</v>
      </c>
      <c r="F445" s="28"/>
    </row>
    <row r="446">
      <c r="A446" s="28" t="str">
        <f>IFERROR(__xludf.DUMMYFUNCTION("""COMPUTED_VALUE"""),"2650-FEBVINGC")</f>
        <v>2650-FEBVINGC</v>
      </c>
      <c r="B446" s="28" t="str">
        <f>IFERROR(__xludf.DUMMYFUNCTION("""COMPUTED_VALUE"""),"CAMPAÑA GCBA | VINCULO CIUDADANO | Mas servicios en tu barrio 2026: Flores 02/03")</f>
        <v>CAMPAÑA GCBA | VINCULO CIUDADANO | Mas servicios en tu barrio 2026: Flores 02/03</v>
      </c>
      <c r="C446" s="29" t="str">
        <f>IFERROR(__xludf.DUMMYFUNCTION("""COMPUTED_VALUE"""),"Pieza")</f>
        <v>Pieza</v>
      </c>
      <c r="D446" s="28" t="str">
        <f>IFERROR(__xludf.DUMMYFUNCTION("""COMPUTED_VALUE"""),"2631-FEBINFGC")</f>
        <v>2631-FEBINFGC</v>
      </c>
      <c r="E446" s="28" t="str">
        <f>IFERROR(__xludf.DUMMYFUNCTION("""COMPUTED_VALUE"""),"CAMPAÑA GCBA | Infraestructura | Reapertura estación Plaza Italia")</f>
        <v>CAMPAÑA GCBA | Infraestructura | Reapertura estación Plaza Italia</v>
      </c>
      <c r="F446" s="28"/>
    </row>
    <row r="447">
      <c r="A447" s="28" t="str">
        <f>IFERROR(__xludf.DUMMYFUNCTION("""COMPUTED_VALUE"""),"2647-FEBPCCVC")</f>
        <v>2647-FEBPCCVC</v>
      </c>
      <c r="B447" s="28" t="str">
        <f>IFERROR(__xludf.DUMMYFUNCTION("""COMPUTED_VALUE"""),"Experiencia BA: Capacitación de RCP")</f>
        <v>Experiencia BA: Capacitación de RCP</v>
      </c>
      <c r="C447" s="29" t="str">
        <f>IFERROR(__xludf.DUMMYFUNCTION("""COMPUTED_VALUE"""),"Pieza")</f>
        <v>Pieza</v>
      </c>
      <c r="D447" s="28" t="str">
        <f>IFERROR(__xludf.DUMMYFUNCTION("""COMPUTED_VALUE"""),"2645-FEBINFGC")</f>
        <v>2645-FEBINFGC</v>
      </c>
      <c r="E447" s="28" t="str">
        <f>IFERROR(__xludf.DUMMYFUNCTION("""COMPUTED_VALUE"""),"CAMPAÑA GCBA | INFRAESTRUCTURA | Cambio de sentido calle Culpina")</f>
        <v>CAMPAÑA GCBA | INFRAESTRUCTURA | Cambio de sentido calle Culpina</v>
      </c>
      <c r="F447" s="28"/>
    </row>
    <row r="448">
      <c r="A448" s="28" t="str">
        <f>IFERROR(__xludf.DUMMYFUNCTION("""COMPUTED_VALUE"""),"2634-FEBSEGVC")</f>
        <v>2634-FEBSEGVC</v>
      </c>
      <c r="B448" s="28" t="str">
        <f>IFERROR(__xludf.DUMMYFUNCTION("""COMPUTED_VALUE"""),"RDV Ministros | Gabino Tapia 26/2 Comuna 14")</f>
        <v>RDV Ministros | Gabino Tapia 26/2 Comuna 14</v>
      </c>
      <c r="C448" s="29" t="str">
        <f>IFERROR(__xludf.DUMMYFUNCTION("""COMPUTED_VALUE"""),"Pieza")</f>
        <v>Pieza</v>
      </c>
      <c r="D448" s="28" t="str">
        <f>IFERROR(__xludf.DUMMYFUNCTION("""COMPUTED_VALUE"""),"2651-FEBINFGC")</f>
        <v>2651-FEBINFGC</v>
      </c>
      <c r="E448" s="28" t="str">
        <f>IFERROR(__xludf.DUMMYFUNCTION("""COMPUTED_VALUE"""),"CAMPAÑA GCBA | Infraestructura | Cierre estación Tribunales")</f>
        <v>CAMPAÑA GCBA | Infraestructura | Cierre estación Tribunales</v>
      </c>
      <c r="F448" s="28"/>
    </row>
    <row r="449">
      <c r="A449" s="28" t="str">
        <f>IFERROR(__xludf.DUMMYFUNCTION("""COMPUTED_VALUE"""),"2632-FEBSEGVC")</f>
        <v>2632-FEBSEGVC</v>
      </c>
      <c r="B449" s="28" t="str">
        <f>IFERROR(__xludf.DUMMYFUNCTION("""COMPUTED_VALUE"""),"RDV Ministros | Maximiliano Piñeiro 26/2 Comuna 12")</f>
        <v>RDV Ministros | Maximiliano Piñeiro 26/2 Comuna 12</v>
      </c>
      <c r="C449" s="29" t="str">
        <f>IFERROR(__xludf.DUMMYFUNCTION("""COMPUTED_VALUE"""),"Pieza")</f>
        <v>Pieza</v>
      </c>
      <c r="D449" s="28" t="str">
        <f>IFERROR(__xludf.DUMMYFUNCTION("""COMPUTED_VALUE"""),"2651-FEBINFGC")</f>
        <v>2651-FEBINFGC</v>
      </c>
      <c r="E449" s="28" t="str">
        <f>IFERROR(__xludf.DUMMYFUNCTION("""COMPUTED_VALUE"""),"CAMPAÑA GCBA | Infraestructura | Cierre estación Tribunales")</f>
        <v>CAMPAÑA GCBA | Infraestructura | Cierre estación Tribunales</v>
      </c>
      <c r="F449" s="28"/>
    </row>
    <row r="450">
      <c r="A450" s="28" t="str">
        <f>IFERROR(__xludf.DUMMYFUNCTION("""COMPUTED_VALUE"""),"2633-FEBSEGVC")</f>
        <v>2633-FEBSEGVC</v>
      </c>
      <c r="B450" s="28" t="str">
        <f>IFERROR(__xludf.DUMMYFUNCTION("""COMPUTED_VALUE"""),"RDV Ministros | Horacio Gimenez 26/2 Comuna 13")</f>
        <v>RDV Ministros | Horacio Gimenez 26/2 Comuna 13</v>
      </c>
      <c r="C450" s="29" t="str">
        <f>IFERROR(__xludf.DUMMYFUNCTION("""COMPUTED_VALUE"""),"Pieza")</f>
        <v>Pieza</v>
      </c>
      <c r="D450" s="28" t="str">
        <f>IFERROR(__xludf.DUMMYFUNCTION("""COMPUTED_VALUE"""),"2496-ENEVINGC")</f>
        <v>2496-ENEVINGC</v>
      </c>
      <c r="E45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50" s="28"/>
    </row>
    <row r="451">
      <c r="A451" s="28" t="str">
        <f>IFERROR(__xludf.DUMMYFUNCTION("""COMPUTED_VALUE"""),"2645-FEBINFGC")</f>
        <v>2645-FEBINFGC</v>
      </c>
      <c r="B451" s="28" t="str">
        <f>IFERROR(__xludf.DUMMYFUNCTION("""COMPUTED_VALUE"""),"CAMPAÑA GCBA | INFRAESTRUCTURA | Cambio de sentido calle Culpina")</f>
        <v>CAMPAÑA GCBA | INFRAESTRUCTURA | Cambio de sentido calle Culpina</v>
      </c>
      <c r="C451" s="29" t="str">
        <f>IFERROR(__xludf.DUMMYFUNCTION("""COMPUTED_VALUE"""),"Pieza")</f>
        <v>Pieza</v>
      </c>
      <c r="D451" s="28" t="str">
        <f>IFERROR(__xludf.DUMMYFUNCTION("""COMPUTED_VALUE"""),"2589-FEBSALGJ")</f>
        <v>2589-FEBSALGJ</v>
      </c>
      <c r="E451" s="28" t="str">
        <f>IFERROR(__xludf.DUMMYFUNCTION("""COMPUTED_VALUE"""),"Nuevo CEMAR 3")</f>
        <v>Nuevo CEMAR 3</v>
      </c>
      <c r="F451" s="28"/>
    </row>
    <row r="452">
      <c r="A452" s="28" t="str">
        <f>IFERROR(__xludf.DUMMYFUNCTION("""COMPUTED_VALUE"""),"2656-FEBINFVC")</f>
        <v>2656-FEBINFVC</v>
      </c>
      <c r="B452" s="28" t="str">
        <f>IFERROR(__xludf.DUMMYFUNCTION("""COMPUTED_VALUE"""),"RDV MINISTROS | PABLO BERECIARTUA 2/3 COMUNA 5")</f>
        <v>RDV MINISTROS | PABLO BERECIARTUA 2/3 COMUNA 5</v>
      </c>
      <c r="C452" s="29" t="str">
        <f>IFERROR(__xludf.DUMMYFUNCTION("""COMPUTED_VALUE"""),"Pieza")</f>
        <v>Pieza</v>
      </c>
      <c r="D452" s="28" t="str">
        <f>IFERROR(__xludf.DUMMYFUNCTION("""COMPUTED_VALUE"""),"2589-FEBSALGJ")</f>
        <v>2589-FEBSALGJ</v>
      </c>
      <c r="E452" s="28" t="str">
        <f>IFERROR(__xludf.DUMMYFUNCTION("""COMPUTED_VALUE"""),"Nuevo CEMAR 3")</f>
        <v>Nuevo CEMAR 3</v>
      </c>
      <c r="F452" s="28"/>
    </row>
    <row r="453">
      <c r="A453" s="28" t="str">
        <f>IFERROR(__xludf.DUMMYFUNCTION("""COMPUTED_VALUE"""),"2583-FEBSALGC")</f>
        <v>2583-FEBSALGC</v>
      </c>
      <c r="B453" s="28" t="str">
        <f>IFERROR(__xludf.DUMMYFUNCTION("""COMPUTED_VALUE"""),"Durante de obra - Htal. Rocca")</f>
        <v>Durante de obra - Htal. Rocca</v>
      </c>
      <c r="C453" s="29" t="str">
        <f>IFERROR(__xludf.DUMMYFUNCTION("""COMPUTED_VALUE"""),"Pieza")</f>
        <v>Pieza</v>
      </c>
      <c r="D453" s="28" t="str">
        <f>IFERROR(__xludf.DUMMYFUNCTION("""COMPUTED_VALUE"""),"2595-FEBJDGAG")</f>
        <v>2595-FEBJDGAG</v>
      </c>
      <c r="E453" s="28" t="str">
        <f>IFERROR(__xludf.DUMMYFUNCTION("""COMPUTED_VALUE"""),"RDV JM | 19/02 Villa Lugano")</f>
        <v>RDV JM | 19/02 Villa Lugano</v>
      </c>
      <c r="F453" s="28"/>
    </row>
    <row r="454">
      <c r="A454" s="28" t="str">
        <f>IFERROR(__xludf.DUMMYFUNCTION("""COMPUTED_VALUE"""),"2651-FEBINFGC")</f>
        <v>2651-FEBINFGC</v>
      </c>
      <c r="B454" s="28" t="str">
        <f>IFERROR(__xludf.DUMMYFUNCTION("""COMPUTED_VALUE"""),"CAMPAÑA GCBA | Infraestructura | Cierre estación Tribunales")</f>
        <v>CAMPAÑA GCBA | Infraestructura | Cierre estación Tribunales</v>
      </c>
      <c r="C454" s="29" t="str">
        <f>IFERROR(__xludf.DUMMYFUNCTION("""COMPUTED_VALUE"""),"Pieza")</f>
        <v>Pieza</v>
      </c>
      <c r="D454" s="28" t="str">
        <f>IFERROR(__xludf.DUMMYFUNCTION("""COMPUTED_VALUE"""),"2617-FEBSEGGC")</f>
        <v>2617-FEBSEGGC</v>
      </c>
      <c r="E454" s="28" t="str">
        <f>IFERROR(__xludf.DUMMYFUNCTION("""COMPUTED_VALUE"""),"CAMPAÑA GCBA | Seguridad | Desalojo en PH Palermo - Ravignani 1779")</f>
        <v>CAMPAÑA GCBA | Seguridad | Desalojo en PH Palermo - Ravignani 1779</v>
      </c>
      <c r="F454" s="28"/>
    </row>
    <row r="455">
      <c r="A455" s="28" t="str">
        <f>IFERROR(__xludf.DUMMYFUNCTION("""COMPUTED_VALUE"""),"2594-FEBAMBVC")</f>
        <v>2594-FEBAMBVC</v>
      </c>
      <c r="B455" s="28" t="str">
        <f>IFERROR(__xludf.DUMMYFUNCTION("""COMPUTED_VALUE"""),"RDV Ministros | Clara Muzzio - 4/3 - San Telmo")</f>
        <v>RDV Ministros | Clara Muzzio - 4/3 - San Telmo</v>
      </c>
      <c r="C455" s="29" t="str">
        <f>IFERROR(__xludf.DUMMYFUNCTION("""COMPUTED_VALUE"""),"Pieza")</f>
        <v>Pieza</v>
      </c>
      <c r="D455" s="28" t="str">
        <f>IFERROR(__xludf.DUMMYFUNCTION("""COMPUTED_VALUE"""),"2617-FEBSEGGC")</f>
        <v>2617-FEBSEGGC</v>
      </c>
      <c r="E455" s="28" t="str">
        <f>IFERROR(__xludf.DUMMYFUNCTION("""COMPUTED_VALUE"""),"CAMPAÑA GCBA | Seguridad | Desalojo en PH Palermo - Ravignani 1779")</f>
        <v>CAMPAÑA GCBA | Seguridad | Desalojo en PH Palermo - Ravignani 1779</v>
      </c>
      <c r="F455" s="28"/>
    </row>
    <row r="456">
      <c r="A456" s="28" t="str">
        <f>IFERROR(__xludf.DUMMYFUNCTION("""COMPUTED_VALUE"""),"2589-FEBSALGJ")</f>
        <v>2589-FEBSALGJ</v>
      </c>
      <c r="B456" s="28" t="str">
        <f>IFERROR(__xludf.DUMMYFUNCTION("""COMPUTED_VALUE"""),"Nuevo CEMAR 3")</f>
        <v>Nuevo CEMAR 3</v>
      </c>
      <c r="C456" s="29" t="str">
        <f>IFERROR(__xludf.DUMMYFUNCTION("""COMPUTED_VALUE"""),"Pieza")</f>
        <v>Pieza</v>
      </c>
      <c r="D456" s="28" t="str">
        <f>IFERROR(__xludf.DUMMYFUNCTION("""COMPUTED_VALUE"""),"2654-FEBJDGAG")</f>
        <v>2654-FEBJDGAG</v>
      </c>
      <c r="E456" s="28" t="str">
        <f>IFERROR(__xludf.DUMMYFUNCTION("""COMPUTED_VALUE"""),"RDV JM | 4/3 VILLA GENERAL MITRE")</f>
        <v>RDV JM | 4/3 VILLA GENERAL MITRE</v>
      </c>
      <c r="F456" s="28"/>
    </row>
    <row r="457">
      <c r="A457" s="28" t="str">
        <f>IFERROR(__xludf.DUMMYFUNCTION("""COMPUTED_VALUE"""),"1943-SEPEPHGC")</f>
        <v>1943-SEPEPHGC</v>
      </c>
      <c r="B457" s="28" t="str">
        <f>IFERROR(__xludf.DUMMYFUNCTION("""COMPUTED_VALUE"""),"DGPLES | MEPHU  | READOQUINADO")</f>
        <v>DGPLES | MEPHU  | READOQUINADO</v>
      </c>
      <c r="C457" s="29" t="str">
        <f>IFERROR(__xludf.DUMMYFUNCTION("""COMPUTED_VALUE"""),"Pieza")</f>
        <v>Pieza</v>
      </c>
      <c r="D457" s="28" t="str">
        <f>IFERROR(__xludf.DUMMYFUNCTION("""COMPUTED_VALUE"""),"2496-ENEVINGC")</f>
        <v>2496-ENEVINGC</v>
      </c>
      <c r="E45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57" s="28"/>
    </row>
    <row r="458">
      <c r="A458" s="28" t="str">
        <f>IFERROR(__xludf.DUMMYFUNCTION("""COMPUTED_VALUE"""),"1964-SEPEPHGC")</f>
        <v>1964-SEPEPHGC</v>
      </c>
      <c r="B458" s="28" t="str">
        <f>IFERROR(__xludf.DUMMYFUNCTION("""COMPUTED_VALUE"""),"MEPHU RECAMBIO TECNOLÓGICO M2")</f>
        <v>MEPHU RECAMBIO TECNOLÓGICO M2</v>
      </c>
      <c r="C458" s="29" t="str">
        <f>IFERROR(__xludf.DUMMYFUNCTION("""COMPUTED_VALUE"""),"Pieza")</f>
        <v>Pieza</v>
      </c>
      <c r="D458" s="28" t="str">
        <f>IFERROR(__xludf.DUMMYFUNCTION("""COMPUTED_VALUE"""),"2496-ENEVINGC")</f>
        <v>2496-ENEVINGC</v>
      </c>
      <c r="E45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458" s="28"/>
    </row>
    <row r="459">
      <c r="A459" s="28" t="str">
        <f>IFERROR(__xludf.DUMMYFUNCTION("""COMPUTED_VALUE"""),"1895-SEPEPHGC")</f>
        <v>1895-SEPEPHGC</v>
      </c>
      <c r="B459" s="28" t="str">
        <f>IFERROR(__xludf.DUMMYFUNCTION("""COMPUTED_VALUE"""),"PIEZAS M2 | MEPHU | REPAVIMENTACIÓN")</f>
        <v>PIEZAS M2 | MEPHU | REPAVIMENTACIÓN</v>
      </c>
      <c r="C459" s="29" t="str">
        <f>IFERROR(__xludf.DUMMYFUNCTION("""COMPUTED_VALUE"""),"Pieza")</f>
        <v>Pieza</v>
      </c>
      <c r="D459" s="28" t="str">
        <f>IFERROR(__xludf.DUMMYFUNCTION("""COMPUTED_VALUE"""),"2658-FEBJDGVC")</f>
        <v>2658-FEBJDGVC</v>
      </c>
      <c r="E459" s="28" t="str">
        <f>IFERROR(__xludf.DUMMYFUNCTION("""COMPUTED_VALUE"""),"RDV MINISTROS | GABRIEL SÁNCHEZ ZINNY 2/3 RECOLETA")</f>
        <v>RDV MINISTROS | GABRIEL SÁNCHEZ ZINNY 2/3 RECOLETA</v>
      </c>
      <c r="F459" s="28"/>
    </row>
    <row r="460">
      <c r="A460" s="28" t="str">
        <f>IFERROR(__xludf.DUMMYFUNCTION("""COMPUTED_VALUE"""),"1942-SEPEPHGC")</f>
        <v>1942-SEPEPHGC</v>
      </c>
      <c r="B460" s="28" t="str">
        <f>IFERROR(__xludf.DUMMYFUNCTION("""COMPUTED_VALUE"""),"DGPLES | MEPHU  | REPARACIÓN DE VEREDAS")</f>
        <v>DGPLES | MEPHU  | REPARACIÓN DE VEREDAS</v>
      </c>
      <c r="C460" s="29" t="str">
        <f>IFERROR(__xludf.DUMMYFUNCTION("""COMPUTED_VALUE"""),"Pieza")</f>
        <v>Pieza</v>
      </c>
      <c r="D460" s="28" t="str">
        <f>IFERROR(__xludf.DUMMYFUNCTION("""COMPUTED_VALUE"""),"2662-FEBSEGVC")</f>
        <v>2662-FEBSEGVC</v>
      </c>
      <c r="E460" s="28" t="str">
        <f>IFERROR(__xludf.DUMMYFUNCTION("""COMPUTED_VALUE"""),"RDV Ministros | Ruth Landerreche 5/3 Comuna 1 Sur")</f>
        <v>RDV Ministros | Ruth Landerreche 5/3 Comuna 1 Sur</v>
      </c>
      <c r="F460" s="28"/>
    </row>
    <row r="461">
      <c r="A461" s="28" t="str">
        <f>IFERROR(__xludf.DUMMYFUNCTION("""COMPUTED_VALUE"""),"2661-FEBFESGC")</f>
        <v>2661-FEBFESGC</v>
      </c>
      <c r="B461" s="28" t="str">
        <f>IFERROR(__xludf.DUMMYFUNCTION("""COMPUTED_VALUE"""),"Verano BA | Verano en las Plazas | Parque Lezama")</f>
        <v>Verano BA | Verano en las Plazas | Parque Lezama</v>
      </c>
      <c r="C461" s="29" t="str">
        <f>IFERROR(__xludf.DUMMYFUNCTION("""COMPUTED_VALUE"""),"Pieza")</f>
        <v>Pieza</v>
      </c>
      <c r="D461" s="28" t="str">
        <f>IFERROR(__xludf.DUMMYFUNCTION("""COMPUTED_VALUE"""),"2664-FEBSEGVC")</f>
        <v>2664-FEBSEGVC</v>
      </c>
      <c r="E461" s="28" t="str">
        <f>IFERROR(__xludf.DUMMYFUNCTION("""COMPUTED_VALUE"""),"RDV Ministros | Horacio Giménez 5/3 Comuna 2")</f>
        <v>RDV Ministros | Horacio Giménez 5/3 Comuna 2</v>
      </c>
      <c r="F461" s="28"/>
    </row>
    <row r="462">
      <c r="A462" s="28" t="str">
        <f>IFERROR(__xludf.DUMMYFUNCTION("""COMPUTED_VALUE"""),"1896-SEPEPHGC")</f>
        <v>1896-SEPEPHGC</v>
      </c>
      <c r="B462" s="28" t="str">
        <f>IFERROR(__xludf.DUMMYFUNCTION("""COMPUTED_VALUE"""),"PIEZAS M2 | MEPHU | LIMPIEZA INTENSIVA")</f>
        <v>PIEZAS M2 | MEPHU | LIMPIEZA INTENSIVA</v>
      </c>
      <c r="C462" s="28" t="str">
        <f>IFERROR(__xludf.DUMMYFUNCTION("""COMPUTED_VALUE"""),"Pieza")</f>
        <v>Pieza</v>
      </c>
      <c r="D462" s="28" t="str">
        <f>IFERROR(__xludf.DUMMYFUNCTION("""COMPUTED_VALUE"""),"2594-FEBAMBVC")</f>
        <v>2594-FEBAMBVC</v>
      </c>
      <c r="E462" s="28" t="str">
        <f>IFERROR(__xludf.DUMMYFUNCTION("""COMPUTED_VALUE"""),"RDV Ministros | Clara Muzzio - 4/3 - San Telmo")</f>
        <v>RDV Ministros | Clara Muzzio - 4/3 - San Telmo</v>
      </c>
      <c r="F462" s="28"/>
    </row>
    <row r="463">
      <c r="A463" s="28" t="str">
        <f>IFERROR(__xludf.DUMMYFUNCTION("""COMPUTED_VALUE"""),"2637-FEBJDGVC")</f>
        <v>2637-FEBJDGVC</v>
      </c>
      <c r="B463" s="28" t="str">
        <f>IFERROR(__xludf.DUMMYFUNCTION("""COMPUTED_VALUE"""),"RDV MINISTROS | GABRIEL SÁNCHEZ ZINNY 28/2 NÚÑEZ")</f>
        <v>RDV MINISTROS | GABRIEL SÁNCHEZ ZINNY 28/2 NÚÑEZ</v>
      </c>
      <c r="C463" s="29" t="str">
        <f>IFERROR(__xludf.DUMMYFUNCTION("""COMPUTED_VALUE"""),"Pieza")</f>
        <v>Pieza</v>
      </c>
      <c r="D463" s="28" t="str">
        <f>IFERROR(__xludf.DUMMYFUNCTION("""COMPUTED_VALUE"""),"2594-FEBAMBVC")</f>
        <v>2594-FEBAMBVC</v>
      </c>
      <c r="E463" s="28" t="str">
        <f>IFERROR(__xludf.DUMMYFUNCTION("""COMPUTED_VALUE"""),"RDV Ministros | Clara Muzzio - 4/3 - San Telmo")</f>
        <v>RDV Ministros | Clara Muzzio - 4/3 - San Telmo</v>
      </c>
      <c r="F463" s="28"/>
    </row>
    <row r="464">
      <c r="A464" s="28" t="str">
        <f>IFERROR(__xludf.DUMMYFUNCTION("""COMPUTED_VALUE"""),"2657-FEBVINVC")</f>
        <v>2657-FEBVINVC</v>
      </c>
      <c r="B464" s="28" t="str">
        <f>IFERROR(__xludf.DUMMYFUNCTION("""COMPUTED_VALUE"""),"RDV MINISTROS | EZEQUIEL SABOR 2/3 COMUNA 6")</f>
        <v>RDV MINISTROS | EZEQUIEL SABOR 2/3 COMUNA 6</v>
      </c>
      <c r="C464" s="29" t="str">
        <f>IFERROR(__xludf.DUMMYFUNCTION("""COMPUTED_VALUE"""),"Pieza")</f>
        <v>Pieza</v>
      </c>
      <c r="D464" s="28" t="str">
        <f>IFERROR(__xludf.DUMMYFUNCTION("""COMPUTED_VALUE"""),"2643-FEBDECGC")</f>
        <v>2643-FEBDECGC</v>
      </c>
      <c r="E464" s="28" t="str">
        <f>IFERROR(__xludf.DUMMYFUNCTION("""COMPUTED_VALUE"""),"Noche de las Hamburgeserias")</f>
        <v>Noche de las Hamburgeserias</v>
      </c>
      <c r="F464" s="28"/>
    </row>
    <row r="465">
      <c r="A465" s="28" t="str">
        <f>IFERROR(__xludf.DUMMYFUNCTION("""COMPUTED_VALUE"""),"2635-FEBSEGVC")</f>
        <v>2635-FEBSEGVC</v>
      </c>
      <c r="B465" s="28" t="str">
        <f>IFERROR(__xludf.DUMMYFUNCTION("""COMPUTED_VALUE"""),"RDV Ministros | Ruth Landerreche 26/2 Comuna 15")</f>
        <v>RDV Ministros | Ruth Landerreche 26/2 Comuna 15</v>
      </c>
      <c r="C465" s="29" t="str">
        <f>IFERROR(__xludf.DUMMYFUNCTION("""COMPUTED_VALUE"""),"Pieza")</f>
        <v>Pieza</v>
      </c>
      <c r="D465" s="28" t="str">
        <f>IFERROR(__xludf.DUMMYFUNCTION("""COMPUTED_VALUE"""),"2618-FEBFESGC")</f>
        <v>2618-FEBFESGC</v>
      </c>
      <c r="E465" s="28" t="str">
        <f>IFERROR(__xludf.DUMMYFUNCTION("""COMPUTED_VALUE"""),"Verano BA | Festival Nación Urbana")</f>
        <v>Verano BA | Festival Nación Urbana</v>
      </c>
      <c r="F465" s="28"/>
    </row>
    <row r="466">
      <c r="A466" s="28" t="str">
        <f>IFERROR(__xludf.DUMMYFUNCTION("""COMPUTED_VALUE"""),"2658-FEBJDGVC")</f>
        <v>2658-FEBJDGVC</v>
      </c>
      <c r="B466" s="28" t="str">
        <f>IFERROR(__xludf.DUMMYFUNCTION("""COMPUTED_VALUE"""),"RDV MINISTROS | GABRIEL SÁNCHEZ ZINNY 2/3 RECOLETA")</f>
        <v>RDV MINISTROS | GABRIEL SÁNCHEZ ZINNY 2/3 RECOLETA</v>
      </c>
      <c r="C466" s="29" t="str">
        <f>IFERROR(__xludf.DUMMYFUNCTION("""COMPUTED_VALUE"""),"Pieza")</f>
        <v>Pieza</v>
      </c>
      <c r="D466" s="28" t="str">
        <f>IFERROR(__xludf.DUMMYFUNCTION("""COMPUTED_VALUE"""),"2618-FEBFESGC")</f>
        <v>2618-FEBFESGC</v>
      </c>
      <c r="E466" s="28" t="str">
        <f>IFERROR(__xludf.DUMMYFUNCTION("""COMPUTED_VALUE"""),"Verano BA | Festival Nación Urbana")</f>
        <v>Verano BA | Festival Nación Urbana</v>
      </c>
      <c r="F466" s="28"/>
    </row>
    <row r="467">
      <c r="A467" s="28" t="str">
        <f>IFERROR(__xludf.DUMMYFUNCTION("""COMPUTED_VALUE"""),"2660-FEBEPHGC")</f>
        <v>2660-FEBEPHGC</v>
      </c>
      <c r="B467" s="28" t="str">
        <f>IFERROR(__xludf.DUMMYFUNCTION("""COMPUTED_VALUE"""),"RDV MINISTROS | IGNACIO BAISTROCCHI 3/3 COMUNA 15")</f>
        <v>RDV MINISTROS | IGNACIO BAISTROCCHI 3/3 COMUNA 15</v>
      </c>
      <c r="C467" s="29" t="str">
        <f>IFERROR(__xludf.DUMMYFUNCTION("""COMPUTED_VALUE"""),"Pieza")</f>
        <v>Pieza</v>
      </c>
      <c r="D467" s="28" t="str">
        <f>IFERROR(__xludf.DUMMYFUNCTION("""COMPUTED_VALUE"""),"2618-FEBFESGC")</f>
        <v>2618-FEBFESGC</v>
      </c>
      <c r="E467" s="28" t="str">
        <f>IFERROR(__xludf.DUMMYFUNCTION("""COMPUTED_VALUE"""),"Verano BA | Festival Nación Urbana")</f>
        <v>Verano BA | Festival Nación Urbana</v>
      </c>
      <c r="F467" s="28"/>
    </row>
    <row r="468">
      <c r="A468" s="28" t="str">
        <f>IFERROR(__xludf.DUMMYFUNCTION("""COMPUTED_VALUE"""),"2646-FEBAMBVC")</f>
        <v>2646-FEBAMBVC</v>
      </c>
      <c r="B468" s="28" t="str">
        <f>IFERROR(__xludf.DUMMYFUNCTION("""COMPUTED_VALUE"""),"RDV Ministros | Clara Muzzio - 27/2")</f>
        <v>RDV Ministros | Clara Muzzio - 27/2</v>
      </c>
      <c r="C468" s="29" t="str">
        <f>IFERROR(__xludf.DUMMYFUNCTION("""COMPUTED_VALUE"""),"Pieza")</f>
        <v>Pieza</v>
      </c>
      <c r="D468" s="28" t="str">
        <f>IFERROR(__xludf.DUMMYFUNCTION("""COMPUTED_VALUE"""),"2665-FEBSEGVC")</f>
        <v>2665-FEBSEGVC</v>
      </c>
      <c r="E468" s="28" t="str">
        <f>IFERROR(__xludf.DUMMYFUNCTION("""COMPUTED_VALUE"""),"RDV Ministros | Gabino Tapia 5/3 Comuna 3")</f>
        <v>RDV Ministros | Gabino Tapia 5/3 Comuna 3</v>
      </c>
      <c r="F468" s="28"/>
    </row>
    <row r="469">
      <c r="A469" s="28" t="str">
        <f>IFERROR(__xludf.DUMMYFUNCTION("""COMPUTED_VALUE"""),"2657-FEBVINVC")</f>
        <v>2657-FEBVINVC</v>
      </c>
      <c r="B469" s="28" t="str">
        <f>IFERROR(__xludf.DUMMYFUNCTION("""COMPUTED_VALUE"""),"RDV MINISTROS | EZEQUIEL SABOR 2/3 COMUNA 6")</f>
        <v>RDV MINISTROS | EZEQUIEL SABOR 2/3 COMUNA 6</v>
      </c>
      <c r="C469" s="29" t="str">
        <f>IFERROR(__xludf.DUMMYFUNCTION("""COMPUTED_VALUE"""),"Pieza")</f>
        <v>Pieza</v>
      </c>
      <c r="D469" s="28" t="str">
        <f>IFERROR(__xludf.DUMMYFUNCTION("""COMPUTED_VALUE"""),"2671-FEBJDGVC")</f>
        <v>2671-FEBJDGVC</v>
      </c>
      <c r="E469" s="28"/>
      <c r="F469" s="28"/>
    </row>
    <row r="470">
      <c r="A470" s="28" t="str">
        <f>IFERROR(__xludf.DUMMYFUNCTION("""COMPUTED_VALUE"""),"2658-FEBJDGVC")</f>
        <v>2658-FEBJDGVC</v>
      </c>
      <c r="B470" s="28" t="str">
        <f>IFERROR(__xludf.DUMMYFUNCTION("""COMPUTED_VALUE"""),"RDV MINISTROS | GABRIEL SÁNCHEZ ZINNY 2/3 RECOLETA")</f>
        <v>RDV MINISTROS | GABRIEL SÁNCHEZ ZINNY 2/3 RECOLETA</v>
      </c>
      <c r="C470" s="29" t="str">
        <f>IFERROR(__xludf.DUMMYFUNCTION("""COMPUTED_VALUE"""),"Pieza")</f>
        <v>Pieza</v>
      </c>
      <c r="D470" s="28" t="str">
        <f>IFERROR(__xludf.DUMMYFUNCTION("""COMPUTED_VALUE"""),"2480-ENEINFGC")</f>
        <v>2480-ENEINFGC</v>
      </c>
      <c r="E470" s="28" t="str">
        <f>IFERROR(__xludf.DUMMYFUNCTION("""COMPUTED_VALUE"""),"Campaña GCBA | Infraestructura: Obras en La Boca: calle Necochea")</f>
        <v>Campaña GCBA | Infraestructura: Obras en La Boca: calle Necochea</v>
      </c>
      <c r="F470" s="28"/>
    </row>
    <row r="471">
      <c r="A471" s="28" t="str">
        <f>IFERROR(__xludf.DUMMYFUNCTION("""COMPUTED_VALUE"""),"2656-FEBINFVC")</f>
        <v>2656-FEBINFVC</v>
      </c>
      <c r="B471" s="28" t="str">
        <f>IFERROR(__xludf.DUMMYFUNCTION("""COMPUTED_VALUE"""),"RDV MINISTROS | PABLO BERECIARTUA 2/3 COMUNA 5")</f>
        <v>RDV MINISTROS | PABLO BERECIARTUA 2/3 COMUNA 5</v>
      </c>
      <c r="C471" s="29" t="str">
        <f>IFERROR(__xludf.DUMMYFUNCTION("""COMPUTED_VALUE"""),"Pieza")</f>
        <v>Pieza</v>
      </c>
      <c r="D471" s="28" t="str">
        <f>IFERROR(__xludf.DUMMYFUNCTION("""COMPUTED_VALUE"""),"2614-FEBDUDGC")</f>
        <v>2614-FEBDUDGC</v>
      </c>
      <c r="E471" s="28" t="str">
        <f>IFERROR(__xludf.DUMMYFUNCTION("""COMPUTED_VALUE"""),"DEPORTES CALLEJERO DE BUENOS AIRES de TC2000")</f>
        <v>DEPORTES CALLEJERO DE BUENOS AIRES de TC2000</v>
      </c>
      <c r="F471" s="28"/>
    </row>
    <row r="472">
      <c r="A472" s="28" t="str">
        <f>IFERROR(__xludf.DUMMYFUNCTION("""COMPUTED_VALUE"""),"2641-FEBVINGC")</f>
        <v>2641-FEBVINGC</v>
      </c>
      <c r="B472" s="28" t="str">
        <f>IFERROR(__xludf.DUMMYFUNCTION("""COMPUTED_VALUE"""),"CAMPAÑA GCBA | VINCULO CIUDADANO | Mas servicios en tu barrio 2026: Balvanera 05/03 y 06/03")</f>
        <v>CAMPAÑA GCBA | VINCULO CIUDADANO | Mas servicios en tu barrio 2026: Balvanera 05/03 y 06/03</v>
      </c>
      <c r="C472" s="29" t="str">
        <f>IFERROR(__xludf.DUMMYFUNCTION("""COMPUTED_VALUE"""),"Pieza")</f>
        <v>Pieza</v>
      </c>
      <c r="D472" s="28" t="str">
        <f>IFERROR(__xludf.DUMMYFUNCTION("""COMPUTED_VALUE"""),"2614-FEBDUDGC")</f>
        <v>2614-FEBDUDGC</v>
      </c>
      <c r="E472" s="28" t="str">
        <f>IFERROR(__xludf.DUMMYFUNCTION("""COMPUTED_VALUE"""),"DEPORTES CALLEJERO DE BUENOS AIRES de TC2000")</f>
        <v>DEPORTES CALLEJERO DE BUENOS AIRES de TC2000</v>
      </c>
      <c r="F472" s="28"/>
    </row>
    <row r="473">
      <c r="A473" s="28" t="str">
        <f>IFERROR(__xludf.DUMMYFUNCTION("""COMPUTED_VALUE"""),"2603-FEBSEGVC")</f>
        <v>2603-FEBSEGVC</v>
      </c>
      <c r="B473" s="28" t="str">
        <f>IFERROR(__xludf.DUMMYFUNCTION("""COMPUTED_VALUE"""),"RDV Ministros | Ruth Landerreche 19/2 Comuna 10")</f>
        <v>RDV Ministros | Ruth Landerreche 19/2 Comuna 10</v>
      </c>
      <c r="C473" s="29" t="str">
        <f>IFERROR(__xludf.DUMMYFUNCTION("""COMPUTED_VALUE"""),"Pieza")</f>
        <v>Pieza</v>
      </c>
      <c r="D473" s="28" t="str">
        <f>IFERROR(__xludf.DUMMYFUNCTION("""COMPUTED_VALUE"""),"2676-MARAMBGC")</f>
        <v>2676-MARAMBGC</v>
      </c>
      <c r="E473" s="28" t="str">
        <f>IFERROR(__xludf.DUMMYFUNCTION("""COMPUTED_VALUE"""),"RDV Ministros | Clara Muzzio - 6/03")</f>
        <v>RDV Ministros | Clara Muzzio - 6/03</v>
      </c>
      <c r="F473" s="28"/>
    </row>
    <row r="474">
      <c r="A474" s="28" t="str">
        <f>IFERROR(__xludf.DUMMYFUNCTION("""COMPUTED_VALUE"""),"2660-FEBEPHGC")</f>
        <v>2660-FEBEPHGC</v>
      </c>
      <c r="B474" s="28" t="str">
        <f>IFERROR(__xludf.DUMMYFUNCTION("""COMPUTED_VALUE"""),"RDV MINISTROS | IGNACIO BAISTROCCHI 3/3 COMUNA 15")</f>
        <v>RDV MINISTROS | IGNACIO BAISTROCCHI 3/3 COMUNA 15</v>
      </c>
      <c r="C474" s="29" t="str">
        <f>IFERROR(__xludf.DUMMYFUNCTION("""COMPUTED_VALUE"""),"Pieza")</f>
        <v>Pieza</v>
      </c>
      <c r="D474" s="28" t="str">
        <f>IFERROR(__xludf.DUMMYFUNCTION("""COMPUTED_VALUE"""),"2587-FEBCULGC")</f>
        <v>2587-FEBCULGC</v>
      </c>
      <c r="E474" s="28" t="str">
        <f>IFERROR(__xludf.DUMMYFUNCTION("""COMPUTED_VALUE"""),"Campaña Suscripciones 2026")</f>
        <v>Campaña Suscripciones 2026</v>
      </c>
      <c r="F474" s="28"/>
    </row>
    <row r="475">
      <c r="A475" s="28" t="str">
        <f>IFERROR(__xludf.DUMMYFUNCTION("""COMPUTED_VALUE"""),"2623-FEBAMBGC")</f>
        <v>2623-FEBAMBGC</v>
      </c>
      <c r="B475" s="28" t="str">
        <f>IFERROR(__xludf.DUMMYFUNCTION("""COMPUTED_VALUE"""),"Puntos Verdes Fijos y Móviles")</f>
        <v>Puntos Verdes Fijos y Móviles</v>
      </c>
      <c r="C475" s="29" t="str">
        <f>IFERROR(__xludf.DUMMYFUNCTION("""COMPUTED_VALUE"""),"Pieza")</f>
        <v>Pieza</v>
      </c>
      <c r="D475" s="28" t="str">
        <f>IFERROR(__xludf.DUMMYFUNCTION("""COMPUTED_VALUE"""),"2587-FEBCULGC")</f>
        <v>2587-FEBCULGC</v>
      </c>
      <c r="E475" s="28" t="str">
        <f>IFERROR(__xludf.DUMMYFUNCTION("""COMPUTED_VALUE"""),"Campaña Suscripciones 2026")</f>
        <v>Campaña Suscripciones 2026</v>
      </c>
      <c r="F475" s="28"/>
    </row>
    <row r="476">
      <c r="A476" s="28" t="str">
        <f>IFERROR(__xludf.DUMMYFUNCTION("""COMPUTED_VALUE"""),"2662-FEBSEGVC")</f>
        <v>2662-FEBSEGVC</v>
      </c>
      <c r="B476" s="28" t="str">
        <f>IFERROR(__xludf.DUMMYFUNCTION("""COMPUTED_VALUE"""),"RDV Ministros | Ruth Landerreche 5/3 Comuna 1 Sur")</f>
        <v>RDV Ministros | Ruth Landerreche 5/3 Comuna 1 Sur</v>
      </c>
      <c r="C476" s="29" t="str">
        <f>IFERROR(__xludf.DUMMYFUNCTION("""COMPUTED_VALUE"""),"Pieza")</f>
        <v>Pieza</v>
      </c>
      <c r="D476" s="28" t="str">
        <f>IFERROR(__xludf.DUMMYFUNCTION("""COMPUTED_VALUE"""),"2667-FEBAMBVC")</f>
        <v>2667-FEBAMBVC</v>
      </c>
      <c r="E476" s="28" t="str">
        <f>IFERROR(__xludf.DUMMYFUNCTION("""COMPUTED_VALUE"""),"RDV Ministros | Gabriel Mraida - 6/03")</f>
        <v>RDV Ministros | Gabriel Mraida - 6/03</v>
      </c>
      <c r="F476" s="28"/>
    </row>
    <row r="477">
      <c r="A477" s="28" t="str">
        <f>IFERROR(__xludf.DUMMYFUNCTION("""COMPUTED_VALUE"""),"1921-SEPAMBGC")</f>
        <v>1921-SEPAMBGC</v>
      </c>
      <c r="B477" s="28" t="str">
        <f>IFERROR(__xludf.DUMMYFUNCTION("""COMPUTED_VALUE"""),"Vacunación Antirrabica Animales")</f>
        <v>Vacunación Antirrabica Animales</v>
      </c>
      <c r="C477" s="29" t="str">
        <f>IFERROR(__xludf.DUMMYFUNCTION("""COMPUTED_VALUE"""),"Pieza")</f>
        <v>Pieza</v>
      </c>
      <c r="D477" s="28" t="str">
        <f>IFERROR(__xludf.DUMMYFUNCTION("""COMPUTED_VALUE"""),"2582-FEBSALGC")</f>
        <v>2582-FEBSALGC</v>
      </c>
      <c r="E477" s="28" t="str">
        <f>IFERROR(__xludf.DUMMYFUNCTION("""COMPUTED_VALUE"""),"Htal. Tornu - Remodelación Sala Tomografía")</f>
        <v>Htal. Tornu - Remodelación Sala Tomografía</v>
      </c>
      <c r="F477" s="28"/>
    </row>
    <row r="478">
      <c r="A478" s="28" t="str">
        <f>IFERROR(__xludf.DUMMYFUNCTION("""COMPUTED_VALUE"""),"1946-SEPEPHGC")</f>
        <v>1946-SEPEPHGC</v>
      </c>
      <c r="B478" s="28" t="str">
        <f>IFERROR(__xludf.DUMMYFUNCTION("""COMPUTED_VALUE"""),"CAMPAÑA GCBA | MEPHU  | PLUVIALES")</f>
        <v>CAMPAÑA GCBA | MEPHU  | PLUVIALES</v>
      </c>
      <c r="C478" s="29" t="str">
        <f>IFERROR(__xludf.DUMMYFUNCTION("""COMPUTED_VALUE"""),"Pieza")</f>
        <v>Pieza</v>
      </c>
      <c r="D478" s="28" t="str">
        <f>IFERROR(__xludf.DUMMYFUNCTION("""COMPUTED_VALUE"""),"2582-FEBSALGC")</f>
        <v>2582-FEBSALGC</v>
      </c>
      <c r="E478" s="28" t="str">
        <f>IFERROR(__xludf.DUMMYFUNCTION("""COMPUTED_VALUE"""),"Htal. Tornu - Remodelación Sala Tomografía")</f>
        <v>Htal. Tornu - Remodelación Sala Tomografía</v>
      </c>
      <c r="F478" s="28"/>
    </row>
    <row r="479">
      <c r="A479" s="28" t="str">
        <f>IFERROR(__xludf.DUMMYFUNCTION("""COMPUTED_VALUE"""),"2594-FEBAMBVC")</f>
        <v>2594-FEBAMBVC</v>
      </c>
      <c r="B479" s="28" t="str">
        <f>IFERROR(__xludf.DUMMYFUNCTION("""COMPUTED_VALUE"""),"RDV Ministros | Clara Muzzio - 4/3 - San Telmo")</f>
        <v>RDV Ministros | Clara Muzzio - 4/3 - San Telmo</v>
      </c>
      <c r="C479" s="29" t="str">
        <f>IFERROR(__xludf.DUMMYFUNCTION("""COMPUTED_VALUE"""),"Pieza")</f>
        <v>Pieza</v>
      </c>
      <c r="D479" s="28" t="str">
        <f>IFERROR(__xludf.DUMMYFUNCTION("""COMPUTED_VALUE"""),"2596-FEBJDGAG")</f>
        <v>2596-FEBJDGAG</v>
      </c>
      <c r="E479" s="28" t="str">
        <f>IFERROR(__xludf.DUMMYFUNCTION("""COMPUTED_VALUE"""),"RDV JM | 20/02 Villa Luro")</f>
        <v>RDV JM | 20/02 Villa Luro</v>
      </c>
      <c r="F479" s="28"/>
    </row>
    <row r="480">
      <c r="A480" s="28" t="str">
        <f>IFERROR(__xludf.DUMMYFUNCTION("""COMPUTED_VALUE"""),"2663-FEBSEGVC")</f>
        <v>2663-FEBSEGVC</v>
      </c>
      <c r="B480" s="28" t="str">
        <f>IFERROR(__xludf.DUMMYFUNCTION("""COMPUTED_VALUE"""),"RDV Ministros | Maximiliano Piñeiro 5/3 Comuna 1 Norte")</f>
        <v>RDV Ministros | Maximiliano Piñeiro 5/3 Comuna 1 Norte</v>
      </c>
      <c r="C480" s="29" t="str">
        <f>IFERROR(__xludf.DUMMYFUNCTION("""COMPUTED_VALUE"""),"Pieza")</f>
        <v>Pieza</v>
      </c>
      <c r="D480" s="28" t="str">
        <f>IFERROR(__xludf.DUMMYFUNCTION("""COMPUTED_VALUE"""),"2663-FEBSEGVC")</f>
        <v>2663-FEBSEGVC</v>
      </c>
      <c r="E480" s="28" t="str">
        <f>IFERROR(__xludf.DUMMYFUNCTION("""COMPUTED_VALUE"""),"RDV Ministros | Maximiliano Piñeiro 5/3 Comuna 1 Norte")</f>
        <v>RDV Ministros | Maximiliano Piñeiro 5/3 Comuna 1 Norte</v>
      </c>
      <c r="F480" s="28"/>
    </row>
    <row r="481">
      <c r="A481" s="28" t="str">
        <f>IFERROR(__xludf.DUMMYFUNCTION("""COMPUTED_VALUE"""),"2665-FEBSEGVC")</f>
        <v>2665-FEBSEGVC</v>
      </c>
      <c r="B481" s="28" t="str">
        <f>IFERROR(__xludf.DUMMYFUNCTION("""COMPUTED_VALUE"""),"RDV Ministros | Gabino Tapia 5/3 Comuna 3")</f>
        <v>RDV Ministros | Gabino Tapia 5/3 Comuna 3</v>
      </c>
      <c r="C481" s="29" t="str">
        <f>IFERROR(__xludf.DUMMYFUNCTION("""COMPUTED_VALUE"""),"Pieza")</f>
        <v>Pieza</v>
      </c>
      <c r="D481" s="28" t="str">
        <f>IFERROR(__xludf.DUMMYFUNCTION("""COMPUTED_VALUE"""),"2677-MAREDUCG")</f>
        <v>2677-MAREDUCG</v>
      </c>
      <c r="E481" s="28" t="str">
        <f>IFERROR(__xludf.DUMMYFUNCTION("""COMPUTED_VALUE"""),"Comienzo Ciclo Lectivo en la Ciudad")</f>
        <v>Comienzo Ciclo Lectivo en la Ciudad</v>
      </c>
      <c r="F481" s="28"/>
    </row>
    <row r="482">
      <c r="A482" s="28" t="str">
        <f>IFERROR(__xludf.DUMMYFUNCTION("""COMPUTED_VALUE"""),"2654-FEBJDGAG")</f>
        <v>2654-FEBJDGAG</v>
      </c>
      <c r="B482" s="28" t="str">
        <f>IFERROR(__xludf.DUMMYFUNCTION("""COMPUTED_VALUE"""),"RDV JM | 4/3 VILLA GENERAL MITRE")</f>
        <v>RDV JM | 4/3 VILLA GENERAL MITRE</v>
      </c>
      <c r="C482" s="29" t="str">
        <f>IFERROR(__xludf.DUMMYFUNCTION("""COMPUTED_VALUE"""),"Pieza")</f>
        <v>Pieza</v>
      </c>
      <c r="D482" s="28" t="str">
        <f>IFERROR(__xludf.DUMMYFUNCTION("""COMPUTED_VALUE"""),"2597-FEBJDGAG")</f>
        <v>2597-FEBJDGAG</v>
      </c>
      <c r="E482" s="28" t="str">
        <f>IFERROR(__xludf.DUMMYFUNCTION("""COMPUTED_VALUE"""),"RDV JM | 21/02 Floresta")</f>
        <v>RDV JM | 21/02 Floresta</v>
      </c>
      <c r="F482" s="28"/>
    </row>
    <row r="483">
      <c r="A483" s="28" t="str">
        <f>IFERROR(__xludf.DUMMYFUNCTION("""COMPUTED_VALUE"""),"2637-FEBJDGVC")</f>
        <v>2637-FEBJDGVC</v>
      </c>
      <c r="B483" s="28" t="str">
        <f>IFERROR(__xludf.DUMMYFUNCTION("""COMPUTED_VALUE"""),"RDV MINISTROS | GABRIEL SÁNCHEZ ZINNY 28/2 NÚÑEZ")</f>
        <v>RDV MINISTROS | GABRIEL SÁNCHEZ ZINNY 28/2 NÚÑEZ</v>
      </c>
      <c r="C483" s="29" t="str">
        <f>IFERROR(__xludf.DUMMYFUNCTION("""COMPUTED_VALUE"""),"Pieza")</f>
        <v>Pieza</v>
      </c>
      <c r="D483" s="28" t="str">
        <f>IFERROR(__xludf.DUMMYFUNCTION("""COMPUTED_VALUE"""),"2620-FEBFESGC")</f>
        <v>2620-FEBFESGC</v>
      </c>
      <c r="E483" s="28" t="str">
        <f>IFERROR(__xludf.DUMMYFUNCTION("""COMPUTED_VALUE"""),"Materiales POST Verano en BA GENERICOS")</f>
        <v>Materiales POST Verano en BA GENERICOS</v>
      </c>
      <c r="F483" s="28"/>
    </row>
    <row r="484">
      <c r="A484" s="28" t="str">
        <f>IFERROR(__xludf.DUMMYFUNCTION("""COMPUTED_VALUE"""),"2664-FEBSEGVC")</f>
        <v>2664-FEBSEGVC</v>
      </c>
      <c r="B484" s="28" t="str">
        <f>IFERROR(__xludf.DUMMYFUNCTION("""COMPUTED_VALUE"""),"RDV Ministros | Horacio Giménez 5/3 Comuna 2")</f>
        <v>RDV Ministros | Horacio Giménez 5/3 Comuna 2</v>
      </c>
      <c r="C484" s="29" t="str">
        <f>IFERROR(__xludf.DUMMYFUNCTION("""COMPUTED_VALUE"""),"PIeza")</f>
        <v>PIeza</v>
      </c>
      <c r="D484" s="28" t="str">
        <f>IFERROR(__xludf.DUMMYFUNCTION("""COMPUTED_VALUE"""),"2620-FEBFESGC")</f>
        <v>2620-FEBFESGC</v>
      </c>
      <c r="E484" s="28" t="str">
        <f>IFERROR(__xludf.DUMMYFUNCTION("""COMPUTED_VALUE"""),"Materiales POST Verano en BA GENERICOS")</f>
        <v>Materiales POST Verano en BA GENERICOS</v>
      </c>
      <c r="F484" s="28"/>
    </row>
    <row r="485">
      <c r="A485" s="28" t="str">
        <f>IFERROR(__xludf.DUMMYFUNCTION("""COMPUTED_VALUE"""),"2642-FEBVINGC")</f>
        <v>2642-FEBVINGC</v>
      </c>
      <c r="B485" s="28" t="str">
        <f>IFERROR(__xludf.DUMMYFUNCTION("""COMPUTED_VALUE"""),"CAMPAÑA GCBA | VINCULO CIUDADANO | Mas servicios en tu barrio 2026: Versalles 07/03")</f>
        <v>CAMPAÑA GCBA | VINCULO CIUDADANO | Mas servicios en tu barrio 2026: Versalles 07/03</v>
      </c>
      <c r="C485" s="29" t="str">
        <f>IFERROR(__xludf.DUMMYFUNCTION("""COMPUTED_VALUE"""),"Pieza")</f>
        <v>Pieza</v>
      </c>
      <c r="D485" s="28" t="str">
        <f>IFERROR(__xludf.DUMMYFUNCTION("""COMPUTED_VALUE"""),"2684-MARJDGVC")</f>
        <v>2684-MARJDGVC</v>
      </c>
      <c r="E485" s="28" t="str">
        <f>IFERROR(__xludf.DUMMYFUNCTION("""COMPUTED_VALUE"""),"RDV MINISTROS | GABRIEL SÁNCHEZ ZINNY 9/3 VILLA REAL")</f>
        <v>RDV MINISTROS | GABRIEL SÁNCHEZ ZINNY 9/3 VILLA REAL</v>
      </c>
      <c r="F485" s="28"/>
    </row>
    <row r="486">
      <c r="A486" s="28" t="str">
        <f>IFERROR(__xludf.DUMMYFUNCTION("""COMPUTED_VALUE"""),"2643-FEBDECGC")</f>
        <v>2643-FEBDECGC</v>
      </c>
      <c r="B486" s="28" t="str">
        <f>IFERROR(__xludf.DUMMYFUNCTION("""COMPUTED_VALUE"""),"Noche de las Hamburgeserias")</f>
        <v>Noche de las Hamburgeserias</v>
      </c>
      <c r="C486" s="29" t="str">
        <f>IFERROR(__xludf.DUMMYFUNCTION("""COMPUTED_VALUE"""),"Pieza")</f>
        <v>Pieza</v>
      </c>
      <c r="D486" s="28" t="str">
        <f>IFERROR(__xludf.DUMMYFUNCTION("""COMPUTED_VALUE"""),"2683-MARDECVC")</f>
        <v>2683-MARDECVC</v>
      </c>
      <c r="E486" s="28" t="str">
        <f>IFERROR(__xludf.DUMMYFUNCTION("""COMPUTED_VALUE"""),"RDV MINISTROS| TAPIA-PIRAGINE-LOMBARDI 9/3 EJE SUR")</f>
        <v>RDV MINISTROS| TAPIA-PIRAGINE-LOMBARDI 9/3 EJE SUR</v>
      </c>
      <c r="F486" s="28"/>
    </row>
    <row r="487">
      <c r="A487" s="28" t="str">
        <f>IFERROR(__xludf.DUMMYFUNCTION("""COMPUTED_VALUE"""),"2648-FEBPCCVC")</f>
        <v>2648-FEBPCCVC</v>
      </c>
      <c r="B487" s="28" t="str">
        <f>IFERROR(__xludf.DUMMYFUNCTION("""COMPUTED_VALUE"""),"Experiencia BA: Brigada canina K")</f>
        <v>Experiencia BA: Brigada canina K</v>
      </c>
      <c r="C487" s="29" t="str">
        <f>IFERROR(__xludf.DUMMYFUNCTION("""COMPUTED_VALUE"""),"Pieza")</f>
        <v>Pieza</v>
      </c>
      <c r="D487" s="28" t="str">
        <f>IFERROR(__xludf.DUMMYFUNCTION("""COMPUTED_VALUE"""),"2636-FEBJDGAG")</f>
        <v>2636-FEBJDGAG</v>
      </c>
      <c r="E487" s="28" t="str">
        <f>IFERROR(__xludf.DUMMYFUNCTION("""COMPUTED_VALUE"""),"RDV JM | Parque Chas 27/2")</f>
        <v>RDV JM | Parque Chas 27/2</v>
      </c>
      <c r="F487" s="28"/>
    </row>
    <row r="488">
      <c r="A488" s="28" t="str">
        <f>IFERROR(__xludf.DUMMYFUNCTION("""COMPUTED_VALUE"""),"2480-ENEINFGC")</f>
        <v>2480-ENEINFGC</v>
      </c>
      <c r="B488" s="28" t="str">
        <f>IFERROR(__xludf.DUMMYFUNCTION("""COMPUTED_VALUE"""),"Campaña GCBA | Infraestructura: Obras en La Boca: calle Necochea")</f>
        <v>Campaña GCBA | Infraestructura: Obras en La Boca: calle Necochea</v>
      </c>
      <c r="C488" s="29" t="str">
        <f>IFERROR(__xludf.DUMMYFUNCTION("""COMPUTED_VALUE"""),"Pieza")</f>
        <v>Pieza</v>
      </c>
      <c r="D488" s="28" t="str">
        <f>IFERROR(__xludf.DUMMYFUNCTION("""COMPUTED_VALUE"""),"2692-MARJDGAG")</f>
        <v>2692-MARJDGAG</v>
      </c>
      <c r="E488" s="28" t="str">
        <f>IFERROR(__xludf.DUMMYFUNCTION("""COMPUTED_VALUE"""),"RDV JM 11/03 PARQUE AVELLANEDA")</f>
        <v>RDV JM 11/03 PARQUE AVELLANEDA</v>
      </c>
      <c r="F488" s="28"/>
    </row>
    <row r="489">
      <c r="A489" s="28" t="str">
        <f>IFERROR(__xludf.DUMMYFUNCTION("""COMPUTED_VALUE"""),"2656-FEBINFVC")</f>
        <v>2656-FEBINFVC</v>
      </c>
      <c r="B489" s="28" t="str">
        <f>IFERROR(__xludf.DUMMYFUNCTION("""COMPUTED_VALUE"""),"RDV MINISTROS | PABLO BERECIARTUA 2/3 COMUNA 5")</f>
        <v>RDV MINISTROS | PABLO BERECIARTUA 2/3 COMUNA 5</v>
      </c>
      <c r="C489" s="29" t="str">
        <f>IFERROR(__xludf.DUMMYFUNCTION("""COMPUTED_VALUE"""),"Pieza")</f>
        <v>Pieza</v>
      </c>
      <c r="D489" s="28" t="str">
        <f>IFERROR(__xludf.DUMMYFUNCTION("""COMPUTED_VALUE"""),"2694-MARJDGAG")</f>
        <v>2694-MARJDGAG</v>
      </c>
      <c r="E489" s="28" t="str">
        <f>IFERROR(__xludf.DUMMYFUNCTION("""COMPUTED_VALUE"""),"RDV JM 13/3 VÉLEZ SARSFIELD")</f>
        <v>RDV JM 13/3 VÉLEZ SARSFIELD</v>
      </c>
      <c r="F489" s="28"/>
    </row>
    <row r="490">
      <c r="A490" s="28" t="str">
        <f>IFERROR(__xludf.DUMMYFUNCTION("""COMPUTED_VALUE"""),"2636-FEBJDGAG")</f>
        <v>2636-FEBJDGAG</v>
      </c>
      <c r="B490" s="28" t="str">
        <f>IFERROR(__xludf.DUMMYFUNCTION("""COMPUTED_VALUE"""),"RDV JM | Parque Chas 27/2")</f>
        <v>RDV JM | Parque Chas 27/2</v>
      </c>
      <c r="C490" s="29" t="str">
        <f>IFERROR(__xludf.DUMMYFUNCTION("""COMPUTED_VALUE"""),"Pieza")</f>
        <v>Pieza</v>
      </c>
      <c r="D490" s="28" t="str">
        <f>IFERROR(__xludf.DUMMYFUNCTION("""COMPUTED_VALUE"""),"2691-MAREDUVC")</f>
        <v>2691-MAREDUVC</v>
      </c>
      <c r="E490" s="28" t="str">
        <f>IFERROR(__xludf.DUMMYFUNCTION("""COMPUTED_VALUE"""),"RDV MINISTROS | MERCEDES MIGUEL 10/3 COMUNA 13")</f>
        <v>RDV MINISTROS | MERCEDES MIGUEL 10/3 COMUNA 13</v>
      </c>
      <c r="F490" s="28"/>
    </row>
    <row r="491">
      <c r="A491" s="28" t="str">
        <f>IFERROR(__xludf.DUMMYFUNCTION("""COMPUTED_VALUE"""),"2636-FEBJDGAG")</f>
        <v>2636-FEBJDGAG</v>
      </c>
      <c r="B491" s="28" t="str">
        <f>IFERROR(__xludf.DUMMYFUNCTION("""COMPUTED_VALUE"""),"RDV JM | Parque Chas 27/2")</f>
        <v>RDV JM | Parque Chas 27/2</v>
      </c>
      <c r="C491" s="29" t="str">
        <f>IFERROR(__xludf.DUMMYFUNCTION("""COMPUTED_VALUE"""),"Pieza")</f>
        <v>Pieza</v>
      </c>
      <c r="D491" s="28" t="str">
        <f>IFERROR(__xludf.DUMMYFUNCTION("""COMPUTED_VALUE"""),"2504-ENEFESGC")</f>
        <v>2504-ENEFESGC</v>
      </c>
      <c r="E491" s="28" t="str">
        <f>IFERROR(__xludf.DUMMYFUNCTION("""COMPUTED_VALUE"""),"La Ciudad Más Linda del Mundo | Etapa 2")</f>
        <v>La Ciudad Más Linda del Mundo | Etapa 2</v>
      </c>
      <c r="F491" s="28"/>
    </row>
    <row r="492">
      <c r="A492" s="28" t="str">
        <f>IFERROR(__xludf.DUMMYFUNCTION("""COMPUTED_VALUE"""),"2671-MARJDGVC")</f>
        <v>2671-MARJDGVC</v>
      </c>
      <c r="B492" s="28" t="str">
        <f>IFERROR(__xludf.DUMMYFUNCTION("""COMPUTED_VALUE"""),"RDV MINISTROS | GABRIEL SÁNCHEZ ZINNY 6/3 VILLA SANTA")</f>
        <v>RDV MINISTROS | GABRIEL SÁNCHEZ ZINNY 6/3 VILLA SANTA</v>
      </c>
      <c r="C492" s="29" t="str">
        <f>IFERROR(__xludf.DUMMYFUNCTION("""COMPUTED_VALUE"""),"Pieza")</f>
        <v>Pieza</v>
      </c>
      <c r="D492" s="28" t="str">
        <f>IFERROR(__xludf.DUMMYFUNCTION("""COMPUTED_VALUE"""),"2701-MARJDGVC")</f>
        <v>2701-MARJDGVC</v>
      </c>
      <c r="E492" s="28" t="str">
        <f>IFERROR(__xludf.DUMMYFUNCTION("""COMPUTED_VALUE"""),"RDV MINISTROS | GABRIEL SÁNCHEZ ZINNY 10/3 VILLA RIACHUELO")</f>
        <v>RDV MINISTROS | GABRIEL SÁNCHEZ ZINNY 10/3 VILLA RIACHUELO</v>
      </c>
      <c r="F492" s="28"/>
    </row>
    <row r="493">
      <c r="A493" s="28" t="str">
        <f>IFERROR(__xludf.DUMMYFUNCTION("""COMPUTED_VALUE"""),"2654-FEBJDGAG")</f>
        <v>2654-FEBJDGAG</v>
      </c>
      <c r="B493" s="28" t="str">
        <f>IFERROR(__xludf.DUMMYFUNCTION("""COMPUTED_VALUE"""),"RDV JM | 4/3 VILLA GENERAL MITRE")</f>
        <v>RDV JM | 4/3 VILLA GENERAL MITRE</v>
      </c>
      <c r="C493" s="29" t="str">
        <f>IFERROR(__xludf.DUMMYFUNCTION("""COMPUTED_VALUE"""),"Pieza")</f>
        <v>Pieza</v>
      </c>
      <c r="D493" s="28" t="str">
        <f>IFERROR(__xludf.DUMMYFUNCTION("""COMPUTED_VALUE"""),"2700-MARINFGC")</f>
        <v>2700-MARINFGC</v>
      </c>
      <c r="E493" s="28" t="str">
        <f>IFERROR(__xludf.DUMMYFUNCTION("""COMPUTED_VALUE"""),"Infraestructura | Cortes y desvíos en el Campo Argentino de Polo por evento masivo")</f>
        <v>Infraestructura | Cortes y desvíos en el Campo Argentino de Polo por evento masivo</v>
      </c>
      <c r="F493" s="28"/>
    </row>
    <row r="494">
      <c r="A494" s="28" t="str">
        <f>IFERROR(__xludf.DUMMYFUNCTION("""COMPUTED_VALUE"""),"2667-FEBAMBVC")</f>
        <v>2667-FEBAMBVC</v>
      </c>
      <c r="B494" s="28" t="str">
        <f>IFERROR(__xludf.DUMMYFUNCTION("""COMPUTED_VALUE"""),"RDV Ministros | Gabriel Mraida - 6/03")</f>
        <v>RDV Ministros | Gabriel Mraida - 6/03</v>
      </c>
      <c r="C494" s="29" t="str">
        <f>IFERROR(__xludf.DUMMYFUNCTION("""COMPUTED_VALUE"""),"Pieza")</f>
        <v>Pieza</v>
      </c>
      <c r="D494" s="28" t="str">
        <f>IFERROR(__xludf.DUMMYFUNCTION("""COMPUTED_VALUE"""),"2654-FEBJDGAG")</f>
        <v>2654-FEBJDGAG</v>
      </c>
      <c r="E494" s="28" t="str">
        <f>IFERROR(__xludf.DUMMYFUNCTION("""COMPUTED_VALUE"""),"RDV JM | 4/3 VILLA GENERAL MITRE")</f>
        <v>RDV JM | 4/3 VILLA GENERAL MITRE</v>
      </c>
      <c r="F494" s="28"/>
    </row>
    <row r="495">
      <c r="A495" s="28" t="str">
        <f>IFERROR(__xludf.DUMMYFUNCTION("""COMPUTED_VALUE"""),"2662-FEBSEGVC")</f>
        <v>2662-FEBSEGVC</v>
      </c>
      <c r="B495" s="28" t="str">
        <f>IFERROR(__xludf.DUMMYFUNCTION("""COMPUTED_VALUE"""),"RDV Ministros | Ruth Landerreche 5/3 Comuna 1 Sur")</f>
        <v>RDV Ministros | Ruth Landerreche 5/3 Comuna 1 Sur</v>
      </c>
      <c r="C495" s="29" t="str">
        <f>IFERROR(__xludf.DUMMYFUNCTION("""COMPUTED_VALUE"""),"Pieza")</f>
        <v>Pieza</v>
      </c>
      <c r="D495" s="28" t="str">
        <f>IFERROR(__xludf.DUMMYFUNCTION("""COMPUTED_VALUE"""),"2775-MARSEGGJ")</f>
        <v>2775-MARSEGGJ</v>
      </c>
      <c r="E495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495" s="28"/>
    </row>
    <row r="496">
      <c r="A496" s="28" t="str">
        <f>IFERROR(__xludf.DUMMYFUNCTION("""COMPUTED_VALUE"""),"2658-FEBJDGVC")</f>
        <v>2658-FEBJDGVC</v>
      </c>
      <c r="B496" s="28" t="str">
        <f>IFERROR(__xludf.DUMMYFUNCTION("""COMPUTED_VALUE"""),"RDV MINISTROS | GABRIEL SÁNCHEZ ZINNY 2/3 RECOLETA")</f>
        <v>RDV MINISTROS | GABRIEL SÁNCHEZ ZINNY 2/3 RECOLETA</v>
      </c>
      <c r="C496" s="29" t="str">
        <f>IFERROR(__xludf.DUMMYFUNCTION("""COMPUTED_VALUE"""),"Pieza")</f>
        <v>Pieza</v>
      </c>
      <c r="D496" s="28" t="str">
        <f>IFERROR(__xludf.DUMMYFUNCTION("""COMPUTED_VALUE"""),"2775-MARSEGGJ")</f>
        <v>2775-MARSEGGJ</v>
      </c>
      <c r="E496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496" s="28"/>
    </row>
    <row r="497">
      <c r="A497" s="28" t="str">
        <f>IFERROR(__xludf.DUMMYFUNCTION("""COMPUTED_VALUE"""),"2582-FEBSALGC")</f>
        <v>2582-FEBSALGC</v>
      </c>
      <c r="B497" s="28" t="str">
        <f>IFERROR(__xludf.DUMMYFUNCTION("""COMPUTED_VALUE"""),"Htal. Tornu - Remodelación Sala Tomografía")</f>
        <v>Htal. Tornu - Remodelación Sala Tomografía</v>
      </c>
      <c r="C497" s="29" t="str">
        <f>IFERROR(__xludf.DUMMYFUNCTION("""COMPUTED_VALUE"""),"Pieza")</f>
        <v>Pieza</v>
      </c>
      <c r="D497" s="28" t="str">
        <f>IFERROR(__xludf.DUMMYFUNCTION("""COMPUTED_VALUE"""),"2696-MARINFGC")</f>
        <v>2696-MARINFGC</v>
      </c>
      <c r="E497" s="28" t="str">
        <f>IFERROR(__xludf.DUMMYFUNCTION("""COMPUTED_VALUE"""),"INFRAESTRUCTURA I Cortes por Circuito Callejero TC2000")</f>
        <v>INFRAESTRUCTURA I Cortes por Circuito Callejero TC2000</v>
      </c>
      <c r="F497" s="28"/>
    </row>
    <row r="498">
      <c r="A498" s="28" t="str">
        <f>IFERROR(__xludf.DUMMYFUNCTION("""COMPUTED_VALUE"""),"2663-FEBSEGVC")</f>
        <v>2663-FEBSEGVC</v>
      </c>
      <c r="B498" s="28" t="str">
        <f>IFERROR(__xludf.DUMMYFUNCTION("""COMPUTED_VALUE"""),"RDV Ministros | Maximiliano Piñeiro 5/3 Comuna 1 Norte")</f>
        <v>RDV Ministros | Maximiliano Piñeiro 5/3 Comuna 1 Norte</v>
      </c>
      <c r="C498" s="29" t="str">
        <f>IFERROR(__xludf.DUMMYFUNCTION("""COMPUTED_VALUE"""),"Pieza")</f>
        <v>Pieza</v>
      </c>
      <c r="D498" s="28" t="str">
        <f>IFERROR(__xludf.DUMMYFUNCTION("""COMPUTED_VALUE"""),"2688-MARSEGVC")</f>
        <v>2688-MARSEGVC</v>
      </c>
      <c r="E498" s="28" t="str">
        <f>IFERROR(__xludf.DUMMYFUNCTION("""COMPUTED_VALUE"""),"RDV MINISTROS |  Maximiliano Piñeiro 12/3 Comuna 7")</f>
        <v>RDV MINISTROS |  Maximiliano Piñeiro 12/3 Comuna 7</v>
      </c>
      <c r="F498" s="28"/>
    </row>
    <row r="499">
      <c r="A499" s="28" t="str">
        <f>IFERROR(__xludf.DUMMYFUNCTION("""COMPUTED_VALUE"""),"2665-FEBSEGVC")</f>
        <v>2665-FEBSEGVC</v>
      </c>
      <c r="B499" s="28" t="str">
        <f>IFERROR(__xludf.DUMMYFUNCTION("""COMPUTED_VALUE"""),"RDV Ministros | Gabino Tapia 5/3 Comuna 3")</f>
        <v>RDV Ministros | Gabino Tapia 5/3 Comuna 3</v>
      </c>
      <c r="C499" s="29" t="str">
        <f>IFERROR(__xludf.DUMMYFUNCTION("""COMPUTED_VALUE"""),"Pieza")</f>
        <v>Pieza</v>
      </c>
      <c r="D499" s="28" t="str">
        <f>IFERROR(__xludf.DUMMYFUNCTION("""COMPUTED_VALUE"""),"2686-MARSEGVC")</f>
        <v>2686-MARSEGVC</v>
      </c>
      <c r="E499" s="28" t="str">
        <f>IFERROR(__xludf.DUMMYFUNCTION("""COMPUTED_VALUE"""),"RDV MINISTROS |  Francisco Quintana 12/3 Comuna 5")</f>
        <v>RDV MINISTROS |  Francisco Quintana 12/3 Comuna 5</v>
      </c>
      <c r="F499" s="28"/>
    </row>
    <row r="500">
      <c r="A500" s="28" t="str">
        <f>IFERROR(__xludf.DUMMYFUNCTION("""COMPUTED_VALUE"""),"2664-FEBSEGVC")</f>
        <v>2664-FEBSEGVC</v>
      </c>
      <c r="B500" s="28" t="str">
        <f>IFERROR(__xludf.DUMMYFUNCTION("""COMPUTED_VALUE"""),"RDV Ministros | Horacio Giménez 5/3 Comuna 2")</f>
        <v>RDV Ministros | Horacio Giménez 5/3 Comuna 2</v>
      </c>
      <c r="C500" s="29" t="str">
        <f>IFERROR(__xludf.DUMMYFUNCTION("""COMPUTED_VALUE"""),"Pieza")</f>
        <v>Pieza</v>
      </c>
      <c r="D500" s="28" t="str">
        <f>IFERROR(__xludf.DUMMYFUNCTION("""COMPUTED_VALUE"""),"2687-MARSEGVC")</f>
        <v>2687-MARSEGVC</v>
      </c>
      <c r="E500" s="28" t="str">
        <f>IFERROR(__xludf.DUMMYFUNCTION("""COMPUTED_VALUE"""),"RDV MINISTROS |  Ruth Landerrche 12/3 Comuna 6")</f>
        <v>RDV MINISTROS |  Ruth Landerrche 12/3 Comuna 6</v>
      </c>
      <c r="F500" s="28"/>
    </row>
    <row r="501">
      <c r="A501" s="28" t="str">
        <f>IFERROR(__xludf.DUMMYFUNCTION("""COMPUTED_VALUE"""),"2676-MARAMBGC")</f>
        <v>2676-MARAMBGC</v>
      </c>
      <c r="B501" s="28" t="str">
        <f>IFERROR(__xludf.DUMMYFUNCTION("""COMPUTED_VALUE"""),"RDV Ministros | Clara Muzzio - 6/03")</f>
        <v>RDV Ministros | Clara Muzzio - 6/03</v>
      </c>
      <c r="C501" s="29" t="str">
        <f>IFERROR(__xludf.DUMMYFUNCTION("""COMPUTED_VALUE"""),"Pieza")</f>
        <v>Pieza</v>
      </c>
      <c r="D501" s="28" t="str">
        <f>IFERROR(__xludf.DUMMYFUNCTION("""COMPUTED_VALUE"""),"2685-MARSEGVC")</f>
        <v>2685-MARSEGVC</v>
      </c>
      <c r="E501" s="28" t="str">
        <f>IFERROR(__xludf.DUMMYFUNCTION("""COMPUTED_VALUE"""),"RDV MINISTROS |  Horacio Gimenez 12/3 Comuna 4")</f>
        <v>RDV MINISTROS |  Horacio Gimenez 12/3 Comuna 4</v>
      </c>
      <c r="F501" s="28"/>
    </row>
    <row r="502">
      <c r="A502" s="28" t="str">
        <f>IFERROR(__xludf.DUMMYFUNCTION("""COMPUTED_VALUE"""),"2660-FEBEPHGC")</f>
        <v>2660-FEBEPHGC</v>
      </c>
      <c r="B502" s="28" t="str">
        <f>IFERROR(__xludf.DUMMYFUNCTION("""COMPUTED_VALUE"""),"RDV MINISTROS | IGNACIO BAISTROCCHI 3/3 COMUNA 15")</f>
        <v>RDV MINISTROS | IGNACIO BAISTROCCHI 3/3 COMUNA 15</v>
      </c>
      <c r="C502" s="29" t="str">
        <f>IFERROR(__xludf.DUMMYFUNCTION("""COMPUTED_VALUE"""),"Pieza")</f>
        <v>Pieza</v>
      </c>
      <c r="D502" s="28" t="str">
        <f>IFERROR(__xludf.DUMMYFUNCTION("""COMPUTED_VALUE"""),"2611-FEBSALGC")</f>
        <v>2611-FEBSALGC</v>
      </c>
      <c r="E502" s="28" t="str">
        <f>IFERROR(__xludf.DUMMYFUNCTION("""COMPUTED_VALUE"""),"Innovación y tecnología en Salud")</f>
        <v>Innovación y tecnología en Salud</v>
      </c>
      <c r="F502" s="28"/>
    </row>
    <row r="503">
      <c r="A503" s="28" t="str">
        <f>IFERROR(__xludf.DUMMYFUNCTION("""COMPUTED_VALUE"""),"2690-MARINFGC")</f>
        <v>2690-MARINFGC</v>
      </c>
      <c r="B503" s="28" t="str">
        <f>IFERROR(__xludf.DUMMYFUNCTION("""COMPUTED_VALUE"""),"Infraestructura I Obras M2: Trambus Marzo | conexión Nueva Pompeya con Aeroparque")</f>
        <v>Infraestructura I Obras M2: Trambus Marzo | conexión Nueva Pompeya con Aeroparque</v>
      </c>
      <c r="C503" s="29" t="str">
        <f>IFERROR(__xludf.DUMMYFUNCTION("""COMPUTED_VALUE"""),"Pieza")</f>
        <v>Pieza</v>
      </c>
      <c r="D503" s="28" t="str">
        <f>IFERROR(__xludf.DUMMYFUNCTION("""COMPUTED_VALUE"""),"2689-MARSALVC")</f>
        <v>2689-MARSALVC</v>
      </c>
      <c r="E503" s="28" t="str">
        <f>IFERROR(__xludf.DUMMYFUNCTION("""COMPUTED_VALUE"""),"RDV Ministros | Fernán Quirós - 13/03")</f>
        <v>RDV Ministros | Fernán Quirós - 13/03</v>
      </c>
      <c r="F503" s="28"/>
    </row>
    <row r="504">
      <c r="A504" s="28" t="str">
        <f>IFERROR(__xludf.DUMMYFUNCTION("""COMPUTED_VALUE"""),"2594-FEBAMBVC")</f>
        <v>2594-FEBAMBVC</v>
      </c>
      <c r="B504" s="28" t="str">
        <f>IFERROR(__xludf.DUMMYFUNCTION("""COMPUTED_VALUE"""),"RDV Ministros | Clara Muzzio - 4/3 - San Telmo")</f>
        <v>RDV Ministros | Clara Muzzio - 4/3 - San Telmo</v>
      </c>
      <c r="C504" s="29" t="str">
        <f>IFERROR(__xludf.DUMMYFUNCTION("""COMPUTED_VALUE"""),"Pieza")</f>
        <v>Pieza</v>
      </c>
      <c r="D504" s="28" t="str">
        <f>IFERROR(__xludf.DUMMYFUNCTION("""COMPUTED_VALUE"""),"2695-MARPCCVC")</f>
        <v>2695-MARPCCVC</v>
      </c>
      <c r="E504" s="28" t="str">
        <f>IFERROR(__xludf.DUMMYFUNCTION("""COMPUTED_VALUE"""),"PC Marzo | Verano en la Ciudad Pauta")</f>
        <v>PC Marzo | Verano en la Ciudad Pauta</v>
      </c>
      <c r="F504" s="28"/>
    </row>
    <row r="505">
      <c r="A505" s="28" t="str">
        <f>IFERROR(__xludf.DUMMYFUNCTION("""COMPUTED_VALUE"""),"2670-FEBINFGC")</f>
        <v>2670-FEBINFGC</v>
      </c>
      <c r="B505" s="28" t="str">
        <f>IFERROR(__xludf.DUMMYFUNCTION("""COMPUTED_VALUE""")," Infraestructura| Extensión línea 102: revisión de flyer + mail")</f>
        <v> Infraestructura| Extensión línea 102: revisión de flyer + mail</v>
      </c>
      <c r="C505" s="29" t="str">
        <f>IFERROR(__xludf.DUMMYFUNCTION("""COMPUTED_VALUE"""),"Pieza")</f>
        <v>Pieza</v>
      </c>
      <c r="D505" s="28" t="str">
        <f>IFERROR(__xludf.DUMMYFUNCTION("""COMPUTED_VALUE"""),"2695-MARPCCVC")</f>
        <v>2695-MARPCCVC</v>
      </c>
      <c r="E505" s="28" t="str">
        <f>IFERROR(__xludf.DUMMYFUNCTION("""COMPUTED_VALUE"""),"PC Marzo | Verano en la Ciudad Pauta")</f>
        <v>PC Marzo | Verano en la Ciudad Pauta</v>
      </c>
      <c r="F505" s="28"/>
    </row>
    <row r="506">
      <c r="A506" s="28" t="str">
        <f>IFERROR(__xludf.DUMMYFUNCTION("""COMPUTED_VALUE"""),"2482-ENEINFGC")</f>
        <v>2482-ENEINFGC</v>
      </c>
      <c r="B506" s="28" t="str">
        <f>IFERROR(__xludf.DUMMYFUNCTION("""COMPUTED_VALUE"""),"VTV - Recordatorio de turno 2026")</f>
        <v>VTV - Recordatorio de turno 2026</v>
      </c>
      <c r="C506" s="29" t="str">
        <f>IFERROR(__xludf.DUMMYFUNCTION("""COMPUTED_VALUE"""),"Pieza")</f>
        <v>Pieza</v>
      </c>
      <c r="D506" s="28" t="str">
        <f>IFERROR(__xludf.DUMMYFUNCTION("""COMPUTED_VALUE"""),"2703-MARJDGVC")</f>
        <v>2703-MARJDGVC</v>
      </c>
      <c r="E506" s="28" t="str">
        <f>IFERROR(__xludf.DUMMYFUNCTION("""COMPUTED_VALUE"""),"RDV MINISTROS | GABRIEL SÁNCHEZ ZINNY 13/3 SAN TELMO")</f>
        <v>RDV MINISTROS | GABRIEL SÁNCHEZ ZINNY 13/3 SAN TELMO</v>
      </c>
      <c r="F506" s="28"/>
    </row>
    <row r="507">
      <c r="A507" s="28" t="str">
        <f>IFERROR(__xludf.DUMMYFUNCTION("""COMPUTED_VALUE"""),"2482-ENEINFGC")</f>
        <v>2482-ENEINFGC</v>
      </c>
      <c r="B507" s="28" t="str">
        <f>IFERROR(__xludf.DUMMYFUNCTION("""COMPUTED_VALUE"""),"VTV - Recordatorio de turno 2026")</f>
        <v>VTV - Recordatorio de turno 2026</v>
      </c>
      <c r="C507" s="29" t="str">
        <f>IFERROR(__xludf.DUMMYFUNCTION("""COMPUTED_VALUE"""),"Pieza")</f>
        <v>Pieza</v>
      </c>
      <c r="D507" s="28" t="str">
        <f>IFERROR(__xludf.DUMMYFUNCTION("""COMPUTED_VALUE"""),"2697-MARJDGAG")</f>
        <v>2697-MARJDGAG</v>
      </c>
      <c r="E507" s="28" t="str">
        <f>IFERROR(__xludf.DUMMYFUNCTION("""COMPUTED_VALUE"""),"RDV JM TEMÁTICA | TE CUENTO BS AS  14/03 SEGURIDAD EJE OESTE")</f>
        <v>RDV JM TEMÁTICA | TE CUENTO BS AS  14/03 SEGURIDAD EJE OESTE</v>
      </c>
      <c r="F507" s="28"/>
    </row>
    <row r="508">
      <c r="A508" s="28" t="str">
        <f>IFERROR(__xludf.DUMMYFUNCTION("""COMPUTED_VALUE"""),"2671-MARJDGVC")</f>
        <v>2671-MARJDGVC</v>
      </c>
      <c r="B508" s="28" t="str">
        <f>IFERROR(__xludf.DUMMYFUNCTION("""COMPUTED_VALUE"""),"RDV MINISTROS | GABRIEL SÁNCHEZ ZINNY 6/3 VILLA SANTA")</f>
        <v>RDV MINISTROS | GABRIEL SÁNCHEZ ZINNY 6/3 VILLA SANTA</v>
      </c>
      <c r="C508" s="29" t="str">
        <f>IFERROR(__xludf.DUMMYFUNCTION("""COMPUTED_VALUE"""),"Pieza")</f>
        <v>Pieza</v>
      </c>
      <c r="D508" s="28" t="str">
        <f>IFERROR(__xludf.DUMMYFUNCTION("""COMPUTED_VALUE"""),"2697-MARJDGAG")</f>
        <v>2697-MARJDGAG</v>
      </c>
      <c r="E508" s="28" t="str">
        <f>IFERROR(__xludf.DUMMYFUNCTION("""COMPUTED_VALUE"""),"RDV JM TEMÁTICA | TE CUENTO BS AS  14/03 SEGURIDAD EJE OESTE")</f>
        <v>RDV JM TEMÁTICA | TE CUENTO BS AS  14/03 SEGURIDAD EJE OESTE</v>
      </c>
      <c r="F508" s="28"/>
    </row>
    <row r="509">
      <c r="A509" s="28" t="str">
        <f>IFERROR(__xludf.DUMMYFUNCTION("""COMPUTED_VALUE"""),"2684-MARJDGVC")</f>
        <v>2684-MARJDGVC</v>
      </c>
      <c r="B509" s="28" t="str">
        <f>IFERROR(__xludf.DUMMYFUNCTION("""COMPUTED_VALUE"""),"RDV MINISTROS | GABRIEL SÁNCHEZ ZINNY 9/3 VILLA REAL")</f>
        <v>RDV MINISTROS | GABRIEL SÁNCHEZ ZINNY 9/3 VILLA REAL</v>
      </c>
      <c r="C509" s="29" t="str">
        <f>IFERROR(__xludf.DUMMYFUNCTION("""COMPUTED_VALUE"""),"Pieza")</f>
        <v>Pieza</v>
      </c>
      <c r="D509" s="28" t="str">
        <f>IFERROR(__xludf.DUMMYFUNCTION("""COMPUTED_VALUE"""),"2666-FEBINFGC")</f>
        <v>2666-FEBINFGC</v>
      </c>
      <c r="E509" s="28" t="str">
        <f>IFERROR(__xludf.DUMMYFUNCTION("""COMPUTED_VALUE"""),"Infraestructura I PBN Álvarez Thomas: inicio de obra")</f>
        <v>Infraestructura I PBN Álvarez Thomas: inicio de obra</v>
      </c>
      <c r="F509" s="28"/>
    </row>
    <row r="510">
      <c r="A510" s="28" t="str">
        <f>IFERROR(__xludf.DUMMYFUNCTION("""COMPUTED_VALUE"""),"2678-MARTURGC")</f>
        <v>2678-MARTURGC</v>
      </c>
      <c r="B510" s="28" t="str">
        <f>IFERROR(__xludf.DUMMYFUNCTION("""COMPUTED_VALUE"""),"Turismo con mascotas")</f>
        <v>Turismo con mascotas</v>
      </c>
      <c r="C510" s="29" t="str">
        <f>IFERROR(__xludf.DUMMYFUNCTION("""COMPUTED_VALUE"""),"Pieza")</f>
        <v>Pieza</v>
      </c>
      <c r="D510" s="28" t="str">
        <f>IFERROR(__xludf.DUMMYFUNCTION("""COMPUTED_VALUE"""),"2666-FEBINFGC")</f>
        <v>2666-FEBINFGC</v>
      </c>
      <c r="E510" s="28" t="str">
        <f>IFERROR(__xludf.DUMMYFUNCTION("""COMPUTED_VALUE"""),"Infraestructura I PBN Álvarez Thomas: inicio de obra")</f>
        <v>Infraestructura I PBN Álvarez Thomas: inicio de obra</v>
      </c>
      <c r="F510" s="28"/>
    </row>
    <row r="511">
      <c r="A511" s="28" t="str">
        <f>IFERROR(__xludf.DUMMYFUNCTION("""COMPUTED_VALUE"""),"2678-MARTURGC")</f>
        <v>2678-MARTURGC</v>
      </c>
      <c r="B511" s="28" t="str">
        <f>IFERROR(__xludf.DUMMYFUNCTION("""COMPUTED_VALUE"""),"Turismo con mascotas")</f>
        <v>Turismo con mascotas</v>
      </c>
      <c r="C511" s="29" t="str">
        <f>IFERROR(__xludf.DUMMYFUNCTION("""COMPUTED_VALUE"""),"Pieza")</f>
        <v>Pieza</v>
      </c>
      <c r="D511" s="28" t="str">
        <f>IFERROR(__xludf.DUMMYFUNCTION("""COMPUTED_VALUE"""),"2613-FEBDUDGC")</f>
        <v>2613-FEBDUDGC</v>
      </c>
      <c r="E511" s="28" t="str">
        <f>IFERROR(__xludf.DUMMYFUNCTION("""COMPUTED_VALUE"""),"DEPORTES Carrera 5K en Puerto Madero")</f>
        <v>DEPORTES Carrera 5K en Puerto Madero</v>
      </c>
      <c r="F511" s="28"/>
    </row>
    <row r="512">
      <c r="A512" s="28" t="str">
        <f>IFERROR(__xludf.DUMMYFUNCTION("""COMPUTED_VALUE"""),"2678-MARTURGC")</f>
        <v>2678-MARTURGC</v>
      </c>
      <c r="B512" s="28" t="str">
        <f>IFERROR(__xludf.DUMMYFUNCTION("""COMPUTED_VALUE"""),"Turismo con mascotas")</f>
        <v>Turismo con mascotas</v>
      </c>
      <c r="C512" s="29" t="str">
        <f>IFERROR(__xludf.DUMMYFUNCTION("""COMPUTED_VALUE"""),"Pieza")</f>
        <v>Pieza</v>
      </c>
      <c r="D512" s="28" t="str">
        <f>IFERROR(__xludf.DUMMYFUNCTION("""COMPUTED_VALUE"""),"2613-FEBDUDGC")</f>
        <v>2613-FEBDUDGC</v>
      </c>
      <c r="E512" s="28" t="str">
        <f>IFERROR(__xludf.DUMMYFUNCTION("""COMPUTED_VALUE"""),"DEPORTES Carrera 5K en Puerto Madero")</f>
        <v>DEPORTES Carrera 5K en Puerto Madero</v>
      </c>
      <c r="F512" s="28"/>
    </row>
    <row r="513">
      <c r="A513" s="28" t="str">
        <f>IFERROR(__xludf.DUMMYFUNCTION("""COMPUTED_VALUE"""),"2033-SEPEPHGC")</f>
        <v>2033-SEPEPHGC</v>
      </c>
      <c r="B513" s="28" t="str">
        <f>IFERROR(__xludf.DUMMYFUNCTION("""COMPUTED_VALUE"""),"M2 PODA")</f>
        <v>M2 PODA</v>
      </c>
      <c r="C513" s="29" t="str">
        <f>IFERROR(__xludf.DUMMYFUNCTION("""COMPUTED_VALUE"""),"Pieza")</f>
        <v>Pieza</v>
      </c>
      <c r="D513" s="28" t="str">
        <f>IFERROR(__xludf.DUMMYFUNCTION("""COMPUTED_VALUE"""),"2675-MARINFGC")</f>
        <v>2675-MARINFGC</v>
      </c>
      <c r="E513" s="28" t="str">
        <f>IFERROR(__xludf.DUMMYFUNCTION("""COMPUTED_VALUE""")," Infraestructura | Anillo Pampa: cortes y desvíos")</f>
        <v> Infraestructura | Anillo Pampa: cortes y desvíos</v>
      </c>
      <c r="F513" s="28"/>
    </row>
    <row r="514">
      <c r="A514" s="28" t="str">
        <f>IFERROR(__xludf.DUMMYFUNCTION("""COMPUTED_VALUE"""),"2667-FEBAMBVC")</f>
        <v>2667-FEBAMBVC</v>
      </c>
      <c r="B514" s="28" t="str">
        <f>IFERROR(__xludf.DUMMYFUNCTION("""COMPUTED_VALUE"""),"RDV Ministros | Gabriel Mraida - 6/03")</f>
        <v>RDV Ministros | Gabriel Mraida - 6/03</v>
      </c>
      <c r="C514" s="29" t="str">
        <f>IFERROR(__xludf.DUMMYFUNCTION("""COMPUTED_VALUE"""),"Pieza")</f>
        <v>Pieza</v>
      </c>
      <c r="D514" s="28" t="str">
        <f>IFERROR(__xludf.DUMMYFUNCTION("""COMPUTED_VALUE"""),"2702-MARJDGVC")</f>
        <v>2702-MARJDGVC</v>
      </c>
      <c r="E514" s="28" t="str">
        <f>IFERROR(__xludf.DUMMYFUNCTION("""COMPUTED_VALUE"""),"RDV MINISTROS | GABRIEL SÁNCHEZ ZINNY 14/3 SAAVEDRA")</f>
        <v>RDV MINISTROS | GABRIEL SÁNCHEZ ZINNY 14/3 SAAVEDRA</v>
      </c>
      <c r="F514" s="28"/>
    </row>
    <row r="515">
      <c r="A515" s="28" t="str">
        <f>IFERROR(__xludf.DUMMYFUNCTION("""COMPUTED_VALUE"""),"2672-MARPCCVC")</f>
        <v>2672-MARPCCVC</v>
      </c>
      <c r="B515" s="28" t="str">
        <f>IFERROR(__xludf.DUMMYFUNCTION("""COMPUTED_VALUE"""),"Parque Ferroviario Palermo")</f>
        <v>Parque Ferroviario Palermo</v>
      </c>
      <c r="C515" s="29" t="str">
        <f>IFERROR(__xludf.DUMMYFUNCTION("""COMPUTED_VALUE"""),"Pieza")</f>
        <v>Pieza</v>
      </c>
      <c r="D515" s="28" t="str">
        <f>IFERROR(__xludf.DUMMYFUNCTION("""COMPUTED_VALUE"""),"2529-ENESEGGC")</f>
        <v>2529-ENESEGGC</v>
      </c>
      <c r="E515" s="28" t="str">
        <f>IFERROR(__xludf.DUMMYFUNCTION("""COMPUTED_VALUE"""),"CAMPAÑA GCBA | SEGURIDAD | Nuevo equipamiento PDLC")</f>
        <v>CAMPAÑA GCBA | SEGURIDAD | Nuevo equipamiento PDLC</v>
      </c>
      <c r="F515" s="28"/>
    </row>
    <row r="516">
      <c r="A516" s="28" t="str">
        <f>IFERROR(__xludf.DUMMYFUNCTION("""COMPUTED_VALUE"""),"2668-FEBPCCVC")</f>
        <v>2668-FEBPCCVC</v>
      </c>
      <c r="B516" s="28" t="str">
        <f>IFERROR(__xludf.DUMMYFUNCTION("""COMPUTED_VALUE"""),"Visita de obra Ramal Castañon")</f>
        <v>Visita de obra Ramal Castañon</v>
      </c>
      <c r="C516" s="29" t="str">
        <f>IFERROR(__xludf.DUMMYFUNCTION("""COMPUTED_VALUE"""),"Pieza")</f>
        <v>Pieza</v>
      </c>
      <c r="D516" s="28" t="str">
        <f>IFERROR(__xludf.DUMMYFUNCTION("""COMPUTED_VALUE"""),"2529-ENESEGGC")</f>
        <v>2529-ENESEGGC</v>
      </c>
      <c r="E516" s="28" t="str">
        <f>IFERROR(__xludf.DUMMYFUNCTION("""COMPUTED_VALUE"""),"CAMPAÑA GCBA | SEGURIDAD | Nuevo equipamiento PDLC")</f>
        <v>CAMPAÑA GCBA | SEGURIDAD | Nuevo equipamiento PDLC</v>
      </c>
      <c r="F516" s="28"/>
    </row>
    <row r="517">
      <c r="A517" s="28" t="str">
        <f>IFERROR(__xludf.DUMMYFUNCTION("""COMPUTED_VALUE"""),"2669-FEBPCCVC")</f>
        <v>2669-FEBPCCVC</v>
      </c>
      <c r="B517" s="28" t="str">
        <f>IFERROR(__xludf.DUMMYFUNCTION("""COMPUTED_VALUE"""),"Eventos Masivos Velez")</f>
        <v>Eventos Masivos Velez</v>
      </c>
      <c r="C517" s="29" t="str">
        <f>IFERROR(__xludf.DUMMYFUNCTION("""COMPUTED_VALUE"""),"Pieza")</f>
        <v>Pieza</v>
      </c>
      <c r="D517" s="28" t="str">
        <f>IFERROR(__xludf.DUMMYFUNCTION("""COMPUTED_VALUE"""),"2145-OCTVINGC")</f>
        <v>2145-OCTVINGC</v>
      </c>
      <c r="E517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517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518">
      <c r="A518" s="28" t="str">
        <f>IFERROR(__xludf.DUMMYFUNCTION("""COMPUTED_VALUE"""),"2614-FEBDUDGC")</f>
        <v>2614-FEBDUDGC</v>
      </c>
      <c r="B518" s="28" t="str">
        <f>IFERROR(__xludf.DUMMYFUNCTION("""COMPUTED_VALUE"""),"DEPORTES CALLEJERO DE BUENOS AIRES de TC2000")</f>
        <v>DEPORTES CALLEJERO DE BUENOS AIRES de TC2000</v>
      </c>
      <c r="C518" s="29" t="str">
        <f>IFERROR(__xludf.DUMMYFUNCTION("""COMPUTED_VALUE"""),"Pieza")</f>
        <v>Pieza</v>
      </c>
      <c r="D518" s="28" t="str">
        <f>IFERROR(__xludf.DUMMYFUNCTION("""COMPUTED_VALUE"""),"2697-MARJDGAG")</f>
        <v>2697-MARJDGAG</v>
      </c>
      <c r="E518" s="28" t="str">
        <f>IFERROR(__xludf.DUMMYFUNCTION("""COMPUTED_VALUE"""),"RDV JM TEMÁTICA | TE CUENTO BS AS  14/03 SEGURIDAD EJE OESTE")</f>
        <v>RDV JM TEMÁTICA | TE CUENTO BS AS  14/03 SEGURIDAD EJE OESTE</v>
      </c>
      <c r="F518" s="28"/>
    </row>
    <row r="519">
      <c r="A519" s="28" t="str">
        <f>IFERROR(__xludf.DUMMYFUNCTION("""COMPUTED_VALUE"""),"2683-MARDECVC")</f>
        <v>2683-MARDECVC</v>
      </c>
      <c r="B519" s="28" t="str">
        <f>IFERROR(__xludf.DUMMYFUNCTION("""COMPUTED_VALUE"""),"RDV MINISTROS| TAPIA-PIRAGINE-LOMBARDI 9/3 EJE SUR")</f>
        <v>RDV MINISTROS| TAPIA-PIRAGINE-LOMBARDI 9/3 EJE SUR</v>
      </c>
      <c r="C519" s="29" t="str">
        <f>IFERROR(__xludf.DUMMYFUNCTION("""COMPUTED_VALUE"""),"Pieza")</f>
        <v>Pieza</v>
      </c>
      <c r="D519" s="28" t="str">
        <f>IFERROR(__xludf.DUMMYFUNCTION("""COMPUTED_VALUE"""),"2697-MARJDGAG")</f>
        <v>2697-MARJDGAG</v>
      </c>
      <c r="E519" s="28" t="str">
        <f>IFERROR(__xludf.DUMMYFUNCTION("""COMPUTED_VALUE"""),"RDV JM TEMÁTICA | TE CUENTO BS AS  14/03 SEGURIDAD EJE OESTE")</f>
        <v>RDV JM TEMÁTICA | TE CUENTO BS AS  14/03 SEGURIDAD EJE OESTE</v>
      </c>
      <c r="F519" s="28"/>
    </row>
    <row r="520">
      <c r="A520" s="28" t="str">
        <f>IFERROR(__xludf.DUMMYFUNCTION("""COMPUTED_VALUE"""),"2694-MARJDGAG")</f>
        <v>2694-MARJDGAG</v>
      </c>
      <c r="B520" s="28" t="str">
        <f>IFERROR(__xludf.DUMMYFUNCTION("""COMPUTED_VALUE"""),"RDV JM 13/3 VÉLEZ SARSFIELD")</f>
        <v>RDV JM 13/3 VÉLEZ SARSFIELD</v>
      </c>
      <c r="C520" s="29" t="str">
        <f>IFERROR(__xludf.DUMMYFUNCTION("""COMPUTED_VALUE"""),"Pieza")</f>
        <v>Pieza</v>
      </c>
      <c r="D520" s="28" t="str">
        <f>IFERROR(__xludf.DUMMYFUNCTION("""COMPUTED_VALUE"""),"2504-ENEFESGC")</f>
        <v>2504-ENEFESGC</v>
      </c>
      <c r="E520" s="28" t="str">
        <f>IFERROR(__xludf.DUMMYFUNCTION("""COMPUTED_VALUE"""),"La Ciudad Más Linda del Mundo | Etapa 2")</f>
        <v>La Ciudad Más Linda del Mundo | Etapa 2</v>
      </c>
      <c r="F520" s="28"/>
    </row>
    <row r="521">
      <c r="A521" s="28" t="str">
        <f>IFERROR(__xludf.DUMMYFUNCTION("""COMPUTED_VALUE"""),"2663-FEBSEGVC")</f>
        <v>2663-FEBSEGVC</v>
      </c>
      <c r="B521" s="28" t="str">
        <f>IFERROR(__xludf.DUMMYFUNCTION("""COMPUTED_VALUE"""),"RDV Ministros | Maximiliano Piñeiro 5/3 Comuna 1 Norte")</f>
        <v>RDV Ministros | Maximiliano Piñeiro 5/3 Comuna 1 Norte</v>
      </c>
      <c r="C521" s="29" t="str">
        <f>IFERROR(__xludf.DUMMYFUNCTION("""COMPUTED_VALUE"""),"Pieza")</f>
        <v>Pieza</v>
      </c>
      <c r="D521" s="28" t="str">
        <f>IFERROR(__xludf.DUMMYFUNCTION("""COMPUTED_VALUE"""),"2718-MARINFGC")</f>
        <v>2718-MARINFGC</v>
      </c>
      <c r="E521" s="28" t="str">
        <f>IFERROR(__xludf.DUMMYFUNCTION("""COMPUTED_VALUE"""),"Infraestructura | Cortes y desvíos por evento masivo en Vélez CHAYANNE")</f>
        <v>Infraestructura | Cortes y desvíos por evento masivo en Vélez CHAYANNE</v>
      </c>
      <c r="F521" s="28"/>
    </row>
    <row r="522">
      <c r="A522" s="28" t="str">
        <f>IFERROR(__xludf.DUMMYFUNCTION("""COMPUTED_VALUE"""),"2700-MARINFGC")</f>
        <v>2700-MARINFGC</v>
      </c>
      <c r="B522" s="28" t="str">
        <f>IFERROR(__xludf.DUMMYFUNCTION("""COMPUTED_VALUE"""),"Infraestructura | Cortes y desvíos en el Campo Argentino de Polo por evento masivo")</f>
        <v>Infraestructura | Cortes y desvíos en el Campo Argentino de Polo por evento masivo</v>
      </c>
      <c r="C522" s="29" t="str">
        <f>IFERROR(__xludf.DUMMYFUNCTION("""COMPUTED_VALUE"""),"Pieza")</f>
        <v>Pieza</v>
      </c>
      <c r="D522" s="28" t="str">
        <f>IFERROR(__xludf.DUMMYFUNCTION("""COMPUTED_VALUE"""),"2721-MARINFGC")</f>
        <v>2721-MARINFGC</v>
      </c>
      <c r="E522" s="28" t="str">
        <f>IFERROR(__xludf.DUMMYFUNCTION("""COMPUTED_VALUE"""),"Infraestructura | Cambio de recorrido del Bus eléctrico: Usina del Árte")</f>
        <v>Infraestructura | Cambio de recorrido del Bus eléctrico: Usina del Árte</v>
      </c>
      <c r="F522" s="28"/>
    </row>
    <row r="523">
      <c r="A523" s="28" t="str">
        <f>IFERROR(__xludf.DUMMYFUNCTION("""COMPUTED_VALUE"""),"2696-MARINFGC")</f>
        <v>2696-MARINFGC</v>
      </c>
      <c r="B523" s="28" t="str">
        <f>IFERROR(__xludf.DUMMYFUNCTION("""COMPUTED_VALUE"""),"INFRAESTRUCTURA I Cortes por Circuito Callejero TC2000")</f>
        <v>INFRAESTRUCTURA I Cortes por Circuito Callejero TC2000</v>
      </c>
      <c r="C523" s="29" t="str">
        <f>IFERROR(__xludf.DUMMYFUNCTION("""COMPUTED_VALUE"""),"Pieza")</f>
        <v>Pieza</v>
      </c>
      <c r="D523" s="28" t="str">
        <f>IFERROR(__xludf.DUMMYFUNCTION("""COMPUTED_VALUE"""),"2721-MARINFGC")</f>
        <v>2721-MARINFGC</v>
      </c>
      <c r="E523" s="28" t="str">
        <f>IFERROR(__xludf.DUMMYFUNCTION("""COMPUTED_VALUE"""),"Infraestructura | Cambio de recorrido del Bus eléctrico: Usina del Árte")</f>
        <v>Infraestructura | Cambio de recorrido del Bus eléctrico: Usina del Árte</v>
      </c>
      <c r="F523" s="28"/>
    </row>
    <row r="524">
      <c r="A524" s="28" t="str">
        <f>IFERROR(__xludf.DUMMYFUNCTION("""COMPUTED_VALUE"""),"2665-FEBSEGVC")</f>
        <v>2665-FEBSEGVC</v>
      </c>
      <c r="B524" s="28" t="str">
        <f>IFERROR(__xludf.DUMMYFUNCTION("""COMPUTED_VALUE"""),"RDV Ministros | Gabino Tapia 5/3 Comuna 3")</f>
        <v>RDV Ministros | Gabino Tapia 5/3 Comuna 3</v>
      </c>
      <c r="C524" s="29" t="str">
        <f>IFERROR(__xludf.DUMMYFUNCTION("""COMPUTED_VALUE"""),"Pieza")</f>
        <v>Pieza</v>
      </c>
      <c r="D524" s="28" t="str">
        <f>IFERROR(__xludf.DUMMYFUNCTION("""COMPUTED_VALUE"""),"2682-MARSEGGJ")</f>
        <v>2682-MARSEGGJ</v>
      </c>
      <c r="E524" s="28" t="str">
        <f>IFERROR(__xludf.DUMMYFUNCTION("""COMPUTED_VALUE"""),"18 meses sin manteros en Once")</f>
        <v>18 meses sin manteros en Once</v>
      </c>
      <c r="F524" s="28"/>
    </row>
    <row r="525">
      <c r="A525" s="28" t="str">
        <f>IFERROR(__xludf.DUMMYFUNCTION("""COMPUTED_VALUE"""),"2684-MARJDGVC")</f>
        <v>2684-MARJDGVC</v>
      </c>
      <c r="B525" s="28" t="str">
        <f>IFERROR(__xludf.DUMMYFUNCTION("""COMPUTED_VALUE"""),"RDV MINISTROS | GABRIEL SÁNCHEZ ZINNY 9/3 VILLA REAL")</f>
        <v>RDV MINISTROS | GABRIEL SÁNCHEZ ZINNY 9/3 VILLA REAL</v>
      </c>
      <c r="C525" s="29" t="str">
        <f>IFERROR(__xludf.DUMMYFUNCTION("""COMPUTED_VALUE"""),"Pieza")</f>
        <v>Pieza</v>
      </c>
      <c r="D525" s="28" t="str">
        <f>IFERROR(__xludf.DUMMYFUNCTION("""COMPUTED_VALUE"""),"2682-MARSEGGJ")</f>
        <v>2682-MARSEGGJ</v>
      </c>
      <c r="E525" s="28" t="str">
        <f>IFERROR(__xludf.DUMMYFUNCTION("""COMPUTED_VALUE"""),"18 meses sin manteros en Once")</f>
        <v>18 meses sin manteros en Once</v>
      </c>
      <c r="F525" s="28"/>
    </row>
    <row r="526">
      <c r="A526" s="28" t="str">
        <f>IFERROR(__xludf.DUMMYFUNCTION("""COMPUTED_VALUE"""),"2624-FEBEDUVC")</f>
        <v>2624-FEBEDUVC</v>
      </c>
      <c r="B526" s="28" t="str">
        <f>IFERROR(__xludf.DUMMYFUNCTION("""COMPUTED_VALUE"""),"RDV MINISTROS | Mercedes Miguel, Comuna 12 23/2")</f>
        <v>RDV MINISTROS | Mercedes Miguel, Comuna 12 23/2</v>
      </c>
      <c r="C526" s="29" t="str">
        <f>IFERROR(__xludf.DUMMYFUNCTION("""COMPUTED_VALUE"""),"Pieza")</f>
        <v>Pieza</v>
      </c>
      <c r="D526" s="28" t="str">
        <f>IFERROR(__xludf.DUMMYFUNCTION("""COMPUTED_VALUE"""),"2730-MARPCCVC")</f>
        <v>2730-MARPCCVC</v>
      </c>
      <c r="E526" s="28" t="str">
        <f>IFERROR(__xludf.DUMMYFUNCTION("""COMPUTED_VALUE"""),"PC Marzo | Experiencia Subte H")</f>
        <v>PC Marzo | Experiencia Subte H</v>
      </c>
      <c r="F526" s="28"/>
    </row>
    <row r="527">
      <c r="A527" s="28" t="str">
        <f>IFERROR(__xludf.DUMMYFUNCTION("""COMPUTED_VALUE"""),"2701-MARJDGVC")</f>
        <v>2701-MARJDGVC</v>
      </c>
      <c r="B527" s="28" t="str">
        <f>IFERROR(__xludf.DUMMYFUNCTION("""COMPUTED_VALUE"""),"RDV MINISTROS | GABRIEL SÁNCHEZ ZINNY 10/3 VILLA RIACHUELO")</f>
        <v>RDV MINISTROS | GABRIEL SÁNCHEZ ZINNY 10/3 VILLA RIACHUELO</v>
      </c>
      <c r="C527" s="29" t="str">
        <f>IFERROR(__xludf.DUMMYFUNCTION("""COMPUTED_VALUE"""),"Pieza")</f>
        <v>Pieza</v>
      </c>
      <c r="D527" s="28" t="str">
        <f>IFERROR(__xludf.DUMMYFUNCTION("""COMPUTED_VALUE"""),"2730-MARPCCVC")</f>
        <v>2730-MARPCCVC</v>
      </c>
      <c r="E527" s="28" t="str">
        <f>IFERROR(__xludf.DUMMYFUNCTION("""COMPUTED_VALUE"""),"PC Marzo | Experiencia Subte H")</f>
        <v>PC Marzo | Experiencia Subte H</v>
      </c>
      <c r="F527" s="28"/>
    </row>
    <row r="528">
      <c r="A528" s="28" t="str">
        <f>IFERROR(__xludf.DUMMYFUNCTION("""COMPUTED_VALUE"""),"2033-SEPEPHGC")</f>
        <v>2033-SEPEPHGC</v>
      </c>
      <c r="B528" s="28" t="str">
        <f>IFERROR(__xludf.DUMMYFUNCTION("""COMPUTED_VALUE"""),"M2 PODA")</f>
        <v>M2 PODA</v>
      </c>
      <c r="C528" s="29" t="str">
        <f>IFERROR(__xludf.DUMMYFUNCTION("""COMPUTED_VALUE"""),"Pieza")</f>
        <v>Pieza</v>
      </c>
      <c r="D528" s="28" t="str">
        <f>IFERROR(__xludf.DUMMYFUNCTION("""COMPUTED_VALUE"""),"2714-MAREPHGC")</f>
        <v>2714-MAREPHGC</v>
      </c>
      <c r="E528" s="28" t="str">
        <f>IFERROR(__xludf.DUMMYFUNCTION("""COMPUTED_VALUE"""),"RDV MINISTROS | IGNACIO BAISTROCCHI 16/3 COMUNA 1")</f>
        <v>RDV MINISTROS | IGNACIO BAISTROCCHI 16/3 COMUNA 1</v>
      </c>
      <c r="F528" s="28"/>
    </row>
    <row r="529">
      <c r="A529" s="28" t="str">
        <f>IFERROR(__xludf.DUMMYFUNCTION("""COMPUTED_VALUE"""),"2033-SEPEPHGC")</f>
        <v>2033-SEPEPHGC</v>
      </c>
      <c r="B529" s="28" t="str">
        <f>IFERROR(__xludf.DUMMYFUNCTION("""COMPUTED_VALUE"""),"M2 PODA")</f>
        <v>M2 PODA</v>
      </c>
      <c r="C529" s="29" t="str">
        <f>IFERROR(__xludf.DUMMYFUNCTION("""COMPUTED_VALUE"""),"Pieza")</f>
        <v>Pieza</v>
      </c>
      <c r="D529" s="28" t="str">
        <f>IFERROR(__xludf.DUMMYFUNCTION("""COMPUTED_VALUE"""),"2720-MARINFGC")</f>
        <v>2720-MARINFGC</v>
      </c>
      <c r="E529" s="28" t="str">
        <f>IFERROR(__xludf.DUMMYFUNCTION("""COMPUTED_VALUE"""),"INFRAESTRUCTURA | Cortes y desvíos: derrumbe en PP")</f>
        <v>INFRAESTRUCTURA | Cortes y desvíos: derrumbe en PP</v>
      </c>
      <c r="F529" s="28"/>
    </row>
    <row r="530">
      <c r="A530" s="28" t="str">
        <f>IFERROR(__xludf.DUMMYFUNCTION("""COMPUTED_VALUE"""),"1895-SEPEPHGC")</f>
        <v>1895-SEPEPHGC</v>
      </c>
      <c r="B530" s="28" t="str">
        <f>IFERROR(__xludf.DUMMYFUNCTION("""COMPUTED_VALUE"""),"PIEZAS M2 | MEPHU | REPAVIMENTACIÓN")</f>
        <v>PIEZAS M2 | MEPHU | REPAVIMENTACIÓN</v>
      </c>
      <c r="C530" s="29" t="str">
        <f>IFERROR(__xludf.DUMMYFUNCTION("""COMPUTED_VALUE"""),"Pieza")</f>
        <v>Pieza</v>
      </c>
      <c r="D530" s="28" t="str">
        <f>IFERROR(__xludf.DUMMYFUNCTION("""COMPUTED_VALUE"""),"2723-MARJDGAG")</f>
        <v>2723-MARJDGAG</v>
      </c>
      <c r="E530" s="28" t="str">
        <f>IFERROR(__xludf.DUMMYFUNCTION("""COMPUTED_VALUE"""),"RDV JM 18/3 LA BOCA")</f>
        <v>RDV JM 18/3 LA BOCA</v>
      </c>
      <c r="F530" s="28"/>
    </row>
    <row r="531">
      <c r="A531" s="28" t="str">
        <f>IFERROR(__xludf.DUMMYFUNCTION("""COMPUTED_VALUE"""),"1942-SEPEPHGC")</f>
        <v>1942-SEPEPHGC</v>
      </c>
      <c r="B531" s="28" t="str">
        <f>IFERROR(__xludf.DUMMYFUNCTION("""COMPUTED_VALUE"""),"DGPLES | MEPHU  | REPARACIÓN DE VEREDAS")</f>
        <v>DGPLES | MEPHU  | REPARACIÓN DE VEREDAS</v>
      </c>
      <c r="C531" s="29" t="str">
        <f>IFERROR(__xludf.DUMMYFUNCTION("""COMPUTED_VALUE"""),"Pieza")</f>
        <v>Pieza</v>
      </c>
      <c r="D531" s="28" t="str">
        <f>IFERROR(__xludf.DUMMYFUNCTION("""COMPUTED_VALUE"""),"2722-MARJDGAG")</f>
        <v>2722-MARJDGAG</v>
      </c>
      <c r="E531" s="28" t="str">
        <f>IFERROR(__xludf.DUMMYFUNCTION("""COMPUTED_VALUE"""),"RDV JM 16/3 VILLA ORTUZAR")</f>
        <v>RDV JM 16/3 VILLA ORTUZAR</v>
      </c>
      <c r="F531" s="28"/>
    </row>
    <row r="532">
      <c r="A532" s="28" t="str">
        <f>IFERROR(__xludf.DUMMYFUNCTION("""COMPUTED_VALUE"""),"1896-SEPEPHGC")</f>
        <v>1896-SEPEPHGC</v>
      </c>
      <c r="B532" s="28" t="str">
        <f>IFERROR(__xludf.DUMMYFUNCTION("""COMPUTED_VALUE"""),"PIEZAS M2 | MEPHU | LIMPIEZA INTENSIVA")</f>
        <v>PIEZAS M2 | MEPHU | LIMPIEZA INTENSIVA</v>
      </c>
      <c r="C532" s="29" t="str">
        <f>IFERROR(__xludf.DUMMYFUNCTION("""COMPUTED_VALUE"""),"Pieza")</f>
        <v>Pieza</v>
      </c>
      <c r="D532" s="28" t="str">
        <f>IFERROR(__xludf.DUMMYFUNCTION("""COMPUTED_VALUE"""),"2680-MARINFGC")</f>
        <v>2680-MARINFGC</v>
      </c>
      <c r="E532" s="28" t="str">
        <f>IFERROR(__xludf.DUMMYFUNCTION("""COMPUTED_VALUE"""),"Apertura Estación Congreso Línea A")</f>
        <v>Apertura Estación Congreso Línea A</v>
      </c>
      <c r="F532" s="28"/>
    </row>
    <row r="533">
      <c r="A533" s="28" t="str">
        <f>IFERROR(__xludf.DUMMYFUNCTION("""COMPUTED_VALUE"""),"1946-SEPEPHGC")</f>
        <v>1946-SEPEPHGC</v>
      </c>
      <c r="B533" s="28" t="str">
        <f>IFERROR(__xludf.DUMMYFUNCTION("""COMPUTED_VALUE"""),"CAMPAÑA GCBA | MEPHU  | PLUVIALES")</f>
        <v>CAMPAÑA GCBA | MEPHU  | PLUVIALES</v>
      </c>
      <c r="C533" s="29" t="str">
        <f>IFERROR(__xludf.DUMMYFUNCTION("""COMPUTED_VALUE"""),"Pieza")</f>
        <v>Pieza</v>
      </c>
      <c r="D533" s="28" t="str">
        <f>IFERROR(__xludf.DUMMYFUNCTION("""COMPUTED_VALUE"""),"2680-MARINFGC")</f>
        <v>2680-MARINFGC</v>
      </c>
      <c r="E533" s="28" t="str">
        <f>IFERROR(__xludf.DUMMYFUNCTION("""COMPUTED_VALUE"""),"Apertura Estación Congreso Línea A")</f>
        <v>Apertura Estación Congreso Línea A</v>
      </c>
      <c r="F533" s="28"/>
    </row>
    <row r="534">
      <c r="A534" s="28" t="str">
        <f>IFERROR(__xludf.DUMMYFUNCTION("""COMPUTED_VALUE"""),"1964-SEPEPHGC")</f>
        <v>1964-SEPEPHGC</v>
      </c>
      <c r="B534" s="28" t="str">
        <f>IFERROR(__xludf.DUMMYFUNCTION("""COMPUTED_VALUE"""),"MEPHU RECAMBIO TECNOLÓGICO M2")</f>
        <v>MEPHU RECAMBIO TECNOLÓGICO M2</v>
      </c>
      <c r="C534" s="29" t="str">
        <f>IFERROR(__xludf.DUMMYFUNCTION("""COMPUTED_VALUE"""),"Pieza")</f>
        <v>Pieza</v>
      </c>
      <c r="D534" s="28" t="str">
        <f>IFERROR(__xludf.DUMMYFUNCTION("""COMPUTED_VALUE"""),"2715-MARINFVC")</f>
        <v>2715-MARINFVC</v>
      </c>
      <c r="E534" s="28" t="str">
        <f>IFERROR(__xludf.DUMMYFUNCTION("""COMPUTED_VALUE"""),"RDV MINISTROS | PABLO BERECIARTUA 18/3 COMUNA 3")</f>
        <v>RDV MINISTROS | PABLO BERECIARTUA 18/3 COMUNA 3</v>
      </c>
      <c r="F534" s="28"/>
    </row>
    <row r="535">
      <c r="A535" s="28" t="str">
        <f>IFERROR(__xludf.DUMMYFUNCTION("""COMPUTED_VALUE"""),"1943-SEPEPHGC")</f>
        <v>1943-SEPEPHGC</v>
      </c>
      <c r="B535" s="28" t="str">
        <f>IFERROR(__xludf.DUMMYFUNCTION("""COMPUTED_VALUE"""),"DGPLES | MEPHU  | READOQUINADO")</f>
        <v>DGPLES | MEPHU  | READOQUINADO</v>
      </c>
      <c r="C535" s="29" t="str">
        <f>IFERROR(__xludf.DUMMYFUNCTION("""COMPUTED_VALUE"""),"Pieza")</f>
        <v>Pieza</v>
      </c>
      <c r="D535" s="28" t="str">
        <f>IFERROR(__xludf.DUMMYFUNCTION("""COMPUTED_VALUE"""),"2735-MARSEGGJ")</f>
        <v>2735-MARSEGGJ</v>
      </c>
      <c r="E535" s="28" t="str">
        <f>IFERROR(__xludf.DUMMYFUNCTION("""COMPUTED_VALUE"""),"CAMPAÑA JM + GCBA | SEGURIDAD | 600 desalojos en la Ciudad")</f>
        <v>CAMPAÑA JM + GCBA | SEGURIDAD | 600 desalojos en la Ciudad</v>
      </c>
      <c r="F535" s="28"/>
    </row>
    <row r="536">
      <c r="A536" s="28" t="str">
        <f>IFERROR(__xludf.DUMMYFUNCTION("""COMPUTED_VALUE"""),"2654-FEBJDGAG")</f>
        <v>2654-FEBJDGAG</v>
      </c>
      <c r="B536" s="28" t="str">
        <f>IFERROR(__xludf.DUMMYFUNCTION("""COMPUTED_VALUE"""),"RDV JM | 4/3 VILLA GENERAL MITRE")</f>
        <v>RDV JM | 4/3 VILLA GENERAL MITRE</v>
      </c>
      <c r="C536" s="29" t="str">
        <f>IFERROR(__xludf.DUMMYFUNCTION("""COMPUTED_VALUE"""),"Pieza")</f>
        <v>Pieza</v>
      </c>
      <c r="D536" s="28" t="str">
        <f>IFERROR(__xludf.DUMMYFUNCTION("""COMPUTED_VALUE"""),"2735-MARSEGGJ")</f>
        <v>2735-MARSEGGJ</v>
      </c>
      <c r="E536" s="28" t="str">
        <f>IFERROR(__xludf.DUMMYFUNCTION("""COMPUTED_VALUE"""),"CAMPAÑA JM + GCBA | SEGURIDAD | 600 desalojos en la Ciudad")</f>
        <v>CAMPAÑA JM + GCBA | SEGURIDAD | 600 desalojos en la Ciudad</v>
      </c>
      <c r="F536" s="28"/>
    </row>
    <row r="537">
      <c r="A537" s="28" t="str">
        <f>IFERROR(__xludf.DUMMYFUNCTION("""COMPUTED_VALUE"""),"2654-FEBJDGAG")</f>
        <v>2654-FEBJDGAG</v>
      </c>
      <c r="B537" s="28" t="str">
        <f>IFERROR(__xludf.DUMMYFUNCTION("""COMPUTED_VALUE"""),"RDV JM | 4/3 VILLA GENERAL MITRE")</f>
        <v>RDV JM | 4/3 VILLA GENERAL MITRE</v>
      </c>
      <c r="C537" s="29" t="str">
        <f>IFERROR(__xludf.DUMMYFUNCTION("""COMPUTED_VALUE"""),"Pieza")</f>
        <v>Pieza</v>
      </c>
      <c r="D537" s="28" t="str">
        <f>IFERROR(__xludf.DUMMYFUNCTION("""COMPUTED_VALUE"""),"2731-MARINFGC")</f>
        <v>2731-MARINFGC</v>
      </c>
      <c r="E537" s="28" t="str">
        <f>IFERROR(__xludf.DUMMYFUNCTION("""COMPUTED_VALUE"""),"Infraestructura I Corte por evento deportivo")</f>
        <v>Infraestructura I Corte por evento deportivo</v>
      </c>
      <c r="F537" s="28"/>
    </row>
    <row r="538">
      <c r="A538" s="28" t="str">
        <f>IFERROR(__xludf.DUMMYFUNCTION("""COMPUTED_VALUE"""),"2692-MARJDGAG")</f>
        <v>2692-MARJDGAG</v>
      </c>
      <c r="B538" s="28" t="str">
        <f>IFERROR(__xludf.DUMMYFUNCTION("""COMPUTED_VALUE"""),"RDV JM 11/03 PARQUE AVELLANEDA")</f>
        <v>RDV JM 11/03 PARQUE AVELLANEDA</v>
      </c>
      <c r="C538" s="29" t="str">
        <f>IFERROR(__xludf.DUMMYFUNCTION("""COMPUTED_VALUE"""),"Pieza")</f>
        <v>Pieza</v>
      </c>
      <c r="D538" s="28" t="str">
        <f>IFERROR(__xludf.DUMMYFUNCTION("""COMPUTED_VALUE"""),"2719-MARJDGVC")</f>
        <v>2719-MARJDGVC</v>
      </c>
      <c r="E538" s="28" t="str">
        <f>IFERROR(__xludf.DUMMYFUNCTION("""COMPUTED_VALUE"""),"RDV MINISTROS | GABRIEL SÁNCHEZ ZINNY 19/3 PARQUE CHAS")</f>
        <v>RDV MINISTROS | GABRIEL SÁNCHEZ ZINNY 19/3 PARQUE CHAS</v>
      </c>
      <c r="F538" s="28"/>
    </row>
    <row r="539">
      <c r="A539" s="28" t="str">
        <f>IFERROR(__xludf.DUMMYFUNCTION("""COMPUTED_VALUE"""),"2683-MARDECVC")</f>
        <v>2683-MARDECVC</v>
      </c>
      <c r="B539" s="28" t="str">
        <f>IFERROR(__xludf.DUMMYFUNCTION("""COMPUTED_VALUE"""),"RDV MINISTROS| TAPIA-PIRAGINE-LOMBARDI 9/3 EJE SUR")</f>
        <v>RDV MINISTROS| TAPIA-PIRAGINE-LOMBARDI 9/3 EJE SUR</v>
      </c>
      <c r="C539" s="29" t="str">
        <f>IFERROR(__xludf.DUMMYFUNCTION("""COMPUTED_VALUE"""),"Pieza")</f>
        <v>Pieza</v>
      </c>
      <c r="D539" s="28" t="str">
        <f>IFERROR(__xludf.DUMMYFUNCTION("""COMPUTED_VALUE"""),"2729-MARSEGVC")</f>
        <v>2729-MARSEGVC</v>
      </c>
      <c r="E539" s="28" t="str">
        <f>IFERROR(__xludf.DUMMYFUNCTION("""COMPUTED_VALUE"""),"RDV Ministros | Ruth Landerreche 19/3 Comuna 11")</f>
        <v>RDV Ministros | Ruth Landerreche 19/3 Comuna 11</v>
      </c>
      <c r="F539" s="28"/>
    </row>
    <row r="540">
      <c r="A540" s="28" t="str">
        <f>IFERROR(__xludf.DUMMYFUNCTION("""COMPUTED_VALUE"""),"2687-MARSEGVC")</f>
        <v>2687-MARSEGVC</v>
      </c>
      <c r="B540" s="28" t="str">
        <f>IFERROR(__xludf.DUMMYFUNCTION("""COMPUTED_VALUE"""),"RDV MINISTROS |  Ruth Landerrche 12/3 Comuna 6")</f>
        <v>RDV MINISTROS |  Ruth Landerrche 12/3 Comuna 6</v>
      </c>
      <c r="C540" s="29" t="str">
        <f>IFERROR(__xludf.DUMMYFUNCTION("""COMPUTED_VALUE"""),"Pieza")</f>
        <v>Pieza</v>
      </c>
      <c r="D540" s="28" t="str">
        <f>IFERROR(__xludf.DUMMYFUNCTION("""COMPUTED_VALUE"""),"2726-MARSEGVC")</f>
        <v>2726-MARSEGVC</v>
      </c>
      <c r="E540" s="28" t="str">
        <f>IFERROR(__xludf.DUMMYFUNCTION("""COMPUTED_VALUE"""),"RDV Ministros | Maximiliano Piñeiro 19/3 Comuna 8")</f>
        <v>RDV Ministros | Maximiliano Piñeiro 19/3 Comuna 8</v>
      </c>
      <c r="F540" s="28"/>
    </row>
    <row r="541">
      <c r="A541" s="28" t="str">
        <f>IFERROR(__xludf.DUMMYFUNCTION("""COMPUTED_VALUE"""),"2686-MARSEGVC")</f>
        <v>2686-MARSEGVC</v>
      </c>
      <c r="B541" s="28" t="str">
        <f>IFERROR(__xludf.DUMMYFUNCTION("""COMPUTED_VALUE"""),"RDV MINISTROS |  Francisco Quintana 12/3 Comuna 5")</f>
        <v>RDV MINISTROS |  Francisco Quintana 12/3 Comuna 5</v>
      </c>
      <c r="C541" s="29" t="str">
        <f>IFERROR(__xludf.DUMMYFUNCTION("""COMPUTED_VALUE"""),"Pieza")</f>
        <v>Pieza</v>
      </c>
      <c r="D541" s="28" t="str">
        <f>IFERROR(__xludf.DUMMYFUNCTION("""COMPUTED_VALUE"""),"2727-MARSEGVC")</f>
        <v>2727-MARSEGVC</v>
      </c>
      <c r="E541" s="28" t="str">
        <f>IFERROR(__xludf.DUMMYFUNCTION("""COMPUTED_VALUE"""),"RDV Ministros | Horacio Giménez 19/3 Comuna 9")</f>
        <v>RDV Ministros | Horacio Giménez 19/3 Comuna 9</v>
      </c>
      <c r="F541" s="28"/>
    </row>
    <row r="542">
      <c r="A542" s="28" t="str">
        <f>IFERROR(__xludf.DUMMYFUNCTION("""COMPUTED_VALUE"""),"2574-FEBTURGC")</f>
        <v>2574-FEBTURGC</v>
      </c>
      <c r="B542" s="28" t="str">
        <f>IFERROR(__xludf.DUMMYFUNCTION("""COMPUTED_VALUE"""),"Envío Relevamiento intereses | Capacitaciones 2026 | Jueves 12/02")</f>
        <v>Envío Relevamiento intereses | Capacitaciones 2026 | Jueves 12/02</v>
      </c>
      <c r="C542" s="29" t="str">
        <f>IFERROR(__xludf.DUMMYFUNCTION("""COMPUTED_VALUE"""),"Pieza")</f>
        <v>Pieza</v>
      </c>
      <c r="D542" s="28" t="str">
        <f>IFERROR(__xludf.DUMMYFUNCTION("""COMPUTED_VALUE"""),"2728-MARSEGVC")</f>
        <v>2728-MARSEGVC</v>
      </c>
      <c r="E542" s="28" t="str">
        <f>IFERROR(__xludf.DUMMYFUNCTION("""COMPUTED_VALUE"""),"RDV Ministros | Gabino Tapia 19/3 Comuna 10")</f>
        <v>RDV Ministros | Gabino Tapia 19/3 Comuna 10</v>
      </c>
      <c r="F542" s="28"/>
    </row>
    <row r="543">
      <c r="A543" s="28" t="str">
        <f>IFERROR(__xludf.DUMMYFUNCTION("""COMPUTED_VALUE"""),"2697-MARJDGAG")</f>
        <v>2697-MARJDGAG</v>
      </c>
      <c r="B543" s="28" t="str">
        <f>IFERROR(__xludf.DUMMYFUNCTION("""COMPUTED_VALUE"""),"RDV JM TEMÁTICA | TE CUENTO BS AS  14/03 SEGURIDAD EJE OESTE")</f>
        <v>RDV JM TEMÁTICA | TE CUENTO BS AS  14/03 SEGURIDAD EJE OESTE</v>
      </c>
      <c r="C543" s="29" t="str">
        <f>IFERROR(__xludf.DUMMYFUNCTION("""COMPUTED_VALUE"""),"Pieza")</f>
        <v>Pieza</v>
      </c>
      <c r="D543" s="28" t="str">
        <f>IFERROR(__xludf.DUMMYFUNCTION("""COMPUTED_VALUE"""),"2674-MARSALGC")</f>
        <v>2674-MARSALGC</v>
      </c>
      <c r="E543" s="28" t="str">
        <f>IFERROR(__xludf.DUMMYFUNCTION("""COMPUTED_VALUE"""),"Fin de obra - Ampliación CESAC 46")</f>
        <v>Fin de obra - Ampliación CESAC 46</v>
      </c>
      <c r="F543" s="28"/>
    </row>
    <row r="544">
      <c r="A544" s="28" t="str">
        <f>IFERROR(__xludf.DUMMYFUNCTION("""COMPUTED_VALUE"""),"2671-MARJDGVC")</f>
        <v>2671-MARJDGVC</v>
      </c>
      <c r="B544" s="28" t="str">
        <f>IFERROR(__xludf.DUMMYFUNCTION("""COMPUTED_VALUE"""),"RDV MINISTROS | GABRIEL SÁNCHEZ ZINNY 6/3 VILLA SANTA")</f>
        <v>RDV MINISTROS | GABRIEL SÁNCHEZ ZINNY 6/3 VILLA SANTA</v>
      </c>
      <c r="C544" s="29" t="str">
        <f>IFERROR(__xludf.DUMMYFUNCTION("""COMPUTED_VALUE"""),"Pieza")</f>
        <v>Pieza</v>
      </c>
      <c r="D544" s="28" t="str">
        <f>IFERROR(__xludf.DUMMYFUNCTION("""COMPUTED_VALUE"""),"1871-AGOEDUGC")</f>
        <v>1871-AGOEDUGC</v>
      </c>
      <c r="E544" s="28" t="str">
        <f>IFERROR(__xludf.DUMMYFUNCTION("""COMPUTED_VALUE"""),"Campaña GCBA | Educación | TUMO")</f>
        <v>Campaña GCBA | Educación | TUMO</v>
      </c>
      <c r="F544" s="29" t="str">
        <f>IFERROR(__xludf.DUMMYFUNCTION("""COMPUTED_VALUE"""),"https://www.facebook.com/reel/818777800864033")</f>
        <v>https://www.facebook.com/reel/818777800864033</v>
      </c>
    </row>
    <row r="545">
      <c r="A545" s="28" t="str">
        <f>IFERROR(__xludf.DUMMYFUNCTION("""COMPUTED_VALUE"""),"2624-FEBEDUVC")</f>
        <v>2624-FEBEDUVC</v>
      </c>
      <c r="B545" s="28" t="str">
        <f>IFERROR(__xludf.DUMMYFUNCTION("""COMPUTED_VALUE"""),"RDV MINISTROS | Mercedes Miguel, Comuna 12 23/2")</f>
        <v>RDV MINISTROS | Mercedes Miguel, Comuna 12 23/2</v>
      </c>
      <c r="C545" s="29" t="str">
        <f>IFERROR(__xludf.DUMMYFUNCTION("""COMPUTED_VALUE"""),"Pieza")</f>
        <v>Pieza</v>
      </c>
      <c r="D545" s="28" t="str">
        <f>IFERROR(__xludf.DUMMYFUNCTION("""COMPUTED_VALUE"""),"1871-AGOEDUGC")</f>
        <v>1871-AGOEDUGC</v>
      </c>
      <c r="E545" s="28" t="str">
        <f>IFERROR(__xludf.DUMMYFUNCTION("""COMPUTED_VALUE"""),"Campaña GCBA | Educación | TUMO")</f>
        <v>Campaña GCBA | Educación | TUMO</v>
      </c>
      <c r="F545" s="29" t="str">
        <f>IFERROR(__xludf.DUMMYFUNCTION("""COMPUTED_VALUE"""),"https://www.facebook.com/reel/818777800864033")</f>
        <v>https://www.facebook.com/reel/818777800864033</v>
      </c>
    </row>
    <row r="546">
      <c r="A546" s="28" t="str">
        <f>IFERROR(__xludf.DUMMYFUNCTION("""COMPUTED_VALUE"""),"2701-MARJDGVC")</f>
        <v>2701-MARJDGVC</v>
      </c>
      <c r="B546" s="28" t="str">
        <f>IFERROR(__xludf.DUMMYFUNCTION("""COMPUTED_VALUE"""),"RDV MINISTROS | GABRIEL SÁNCHEZ ZINNY 10/3 VILLA RIACHUELO")</f>
        <v>RDV MINISTROS | GABRIEL SÁNCHEZ ZINNY 10/3 VILLA RIACHUELO</v>
      </c>
      <c r="C546" s="29" t="str">
        <f>IFERROR(__xludf.DUMMYFUNCTION("""COMPUTED_VALUE"""),"Pieza")</f>
        <v>Pieza</v>
      </c>
      <c r="D546" s="28" t="str">
        <f>IFERROR(__xludf.DUMMYFUNCTION("""COMPUTED_VALUE"""),"1871-AGOEDUGC")</f>
        <v>1871-AGOEDUGC</v>
      </c>
      <c r="E546" s="28" t="str">
        <f>IFERROR(__xludf.DUMMYFUNCTION("""COMPUTED_VALUE"""),"Campaña GCBA | Educación | TUMO")</f>
        <v>Campaña GCBA | Educación | TUMO</v>
      </c>
      <c r="F546" s="29" t="str">
        <f>IFERROR(__xludf.DUMMYFUNCTION("""COMPUTED_VALUE"""),"https://www.facebook.com/reel/818777800864033")</f>
        <v>https://www.facebook.com/reel/818777800864033</v>
      </c>
    </row>
    <row r="547">
      <c r="A547" s="28" t="str">
        <f>IFERROR(__xludf.DUMMYFUNCTION("""COMPUTED_VALUE"""),"2685-MARSEGVC")</f>
        <v>2685-MARSEGVC</v>
      </c>
      <c r="B547" s="28" t="str">
        <f>IFERROR(__xludf.DUMMYFUNCTION("""COMPUTED_VALUE"""),"RDV MINISTROS |  Horacio Gimenez 12/3 Comuna 4")</f>
        <v>RDV MINISTROS |  Horacio Gimenez 12/3 Comuna 4</v>
      </c>
      <c r="C547" s="29" t="str">
        <f>IFERROR(__xludf.DUMMYFUNCTION("""COMPUTED_VALUE"""),"Pieza")</f>
        <v>Pieza</v>
      </c>
      <c r="D547" s="28" t="str">
        <f>IFERROR(__xludf.DUMMYFUNCTION("""COMPUTED_VALUE"""),"1871-AGOEDUGC")</f>
        <v>1871-AGOEDUGC</v>
      </c>
      <c r="E547" s="28" t="str">
        <f>IFERROR(__xludf.DUMMYFUNCTION("""COMPUTED_VALUE"""),"Campaña GCBA | Educación | TUMO")</f>
        <v>Campaña GCBA | Educación | TUMO</v>
      </c>
      <c r="F547" s="29" t="str">
        <f>IFERROR(__xludf.DUMMYFUNCTION("""COMPUTED_VALUE"""),"https://www.facebook.com/reel/818777800864033")</f>
        <v>https://www.facebook.com/reel/818777800864033</v>
      </c>
    </row>
    <row r="548">
      <c r="A548" s="28" t="str">
        <f>IFERROR(__xludf.DUMMYFUNCTION("""COMPUTED_VALUE"""),"1942-SEPEPHGC")</f>
        <v>1942-SEPEPHGC</v>
      </c>
      <c r="B548" s="28" t="str">
        <f>IFERROR(__xludf.DUMMYFUNCTION("""COMPUTED_VALUE"""),"DGPLES | MEPHU  | REPARACIÓN DE VEREDAS")</f>
        <v>DGPLES | MEPHU  | REPARACIÓN DE VEREDAS</v>
      </c>
      <c r="C548" s="29" t="str">
        <f>IFERROR(__xludf.DUMMYFUNCTION("""COMPUTED_VALUE"""),"Pieza")</f>
        <v>Pieza</v>
      </c>
      <c r="D548" s="28" t="str">
        <f>IFERROR(__xludf.DUMMYFUNCTION("""COMPUTED_VALUE"""),"1871-AGOEDUGC")</f>
        <v>1871-AGOEDUGC</v>
      </c>
      <c r="E548" s="28" t="str">
        <f>IFERROR(__xludf.DUMMYFUNCTION("""COMPUTED_VALUE"""),"Campaña GCBA | Educación | TUMO")</f>
        <v>Campaña GCBA | Educación | TUMO</v>
      </c>
      <c r="F548" s="29" t="str">
        <f>IFERROR(__xludf.DUMMYFUNCTION("""COMPUTED_VALUE"""),"https://www.facebook.com/reel/818777800864033")</f>
        <v>https://www.facebook.com/reel/818777800864033</v>
      </c>
    </row>
    <row r="549">
      <c r="A549" s="28" t="str">
        <f>IFERROR(__xludf.DUMMYFUNCTION("""COMPUTED_VALUE"""),"1943-SEPEPHGC")</f>
        <v>1943-SEPEPHGC</v>
      </c>
      <c r="B549" s="28" t="str">
        <f>IFERROR(__xludf.DUMMYFUNCTION("""COMPUTED_VALUE"""),"DGPLES | MEPHU  | READOQUINADO")</f>
        <v>DGPLES | MEPHU  | READOQUINADO</v>
      </c>
      <c r="C549" s="29" t="str">
        <f>IFERROR(__xludf.DUMMYFUNCTION("""COMPUTED_VALUE"""),"Pieza")</f>
        <v>Pieza</v>
      </c>
      <c r="D549" s="28" t="str">
        <f>IFERROR(__xludf.DUMMYFUNCTION("""COMPUTED_VALUE"""),"1871-AGOEDUGC")</f>
        <v>1871-AGOEDUGC</v>
      </c>
      <c r="E549" s="28" t="str">
        <f>IFERROR(__xludf.DUMMYFUNCTION("""COMPUTED_VALUE"""),"Campaña GCBA | Educación | TUMO")</f>
        <v>Campaña GCBA | Educación | TUMO</v>
      </c>
      <c r="F549" s="29" t="str">
        <f>IFERROR(__xludf.DUMMYFUNCTION("""COMPUTED_VALUE"""),"https://www.facebook.com/reel/818777800864033")</f>
        <v>https://www.facebook.com/reel/818777800864033</v>
      </c>
    </row>
    <row r="550">
      <c r="A550" s="28" t="str">
        <f>IFERROR(__xludf.DUMMYFUNCTION("""COMPUTED_VALUE"""),"2688-MARSEGVC")</f>
        <v>2688-MARSEGVC</v>
      </c>
      <c r="B550" s="28" t="str">
        <f>IFERROR(__xludf.DUMMYFUNCTION("""COMPUTED_VALUE"""),"RDV MINISTROS |  Maximiliano Piñeiro 12/3 Comuna 7")</f>
        <v>RDV MINISTROS |  Maximiliano Piñeiro 12/3 Comuna 7</v>
      </c>
      <c r="C550" s="29" t="str">
        <f>IFERROR(__xludf.DUMMYFUNCTION("""COMPUTED_VALUE"""),"Pieza")</f>
        <v>Pieza</v>
      </c>
      <c r="D550" s="28" t="str">
        <f>IFERROR(__xludf.DUMMYFUNCTION("""COMPUTED_VALUE"""),"2692-MARJDGAG")</f>
        <v>2692-MARJDGAG</v>
      </c>
      <c r="E550" s="28" t="str">
        <f>IFERROR(__xludf.DUMMYFUNCTION("""COMPUTED_VALUE"""),"RDV JM 11/03 PARQUE AVELLANEDA")</f>
        <v>RDV JM 11/03 PARQUE AVELLANEDA</v>
      </c>
      <c r="F550" s="28"/>
    </row>
    <row r="551">
      <c r="A551" s="28" t="str">
        <f>IFERROR(__xludf.DUMMYFUNCTION("""COMPUTED_VALUE"""),"2664-FEBSEGVC")</f>
        <v>2664-FEBSEGVC</v>
      </c>
      <c r="B551" s="28" t="str">
        <f>IFERROR(__xludf.DUMMYFUNCTION("""COMPUTED_VALUE"""),"RDV Ministros | Horacio Giménez 5/3 Comuna 2")</f>
        <v>RDV Ministros | Horacio Giménez 5/3 Comuna 2</v>
      </c>
      <c r="C551" s="29" t="str">
        <f>IFERROR(__xludf.DUMMYFUNCTION("""COMPUTED_VALUE"""),"Pieza")</f>
        <v>Pieza</v>
      </c>
      <c r="D551" s="28" t="str">
        <f>IFERROR(__xludf.DUMMYFUNCTION("""COMPUTED_VALUE"""),"2322-NOVEDUGC")</f>
        <v>2322-NOVEDUGC</v>
      </c>
      <c r="E551" s="28" t="str">
        <f>IFERROR(__xludf.DUMMYFUNCTION("""COMPUTED_VALUE"""),"TUMO Parque de la Innovación")</f>
        <v>TUMO Parque de la Innovación</v>
      </c>
      <c r="F551" s="29" t="str">
        <f>IFERROR(__xludf.DUMMYFUNCTION("""COMPUTED_VALUE"""),"https://www.facebook.com/reel/1259490412867632")</f>
        <v>https://www.facebook.com/reel/1259490412867632</v>
      </c>
    </row>
    <row r="552">
      <c r="A552" s="28" t="str">
        <f>IFERROR(__xludf.DUMMYFUNCTION("""COMPUTED_VALUE"""),"2676-MARAMBGC")</f>
        <v>2676-MARAMBGC</v>
      </c>
      <c r="B552" s="28" t="str">
        <f>IFERROR(__xludf.DUMMYFUNCTION("""COMPUTED_VALUE"""),"RDV Ministros | Clara Muzzio - 6/03")</f>
        <v>RDV Ministros | Clara Muzzio - 6/03</v>
      </c>
      <c r="C552" s="29" t="str">
        <f>IFERROR(__xludf.DUMMYFUNCTION("""COMPUTED_VALUE"""),"Pieza")</f>
        <v>Pieza</v>
      </c>
      <c r="D552" s="28" t="str">
        <f>IFERROR(__xludf.DUMMYFUNCTION("""COMPUTED_VALUE"""),"2322-NOVEDUGC")</f>
        <v>2322-NOVEDUGC</v>
      </c>
      <c r="E552" s="28" t="str">
        <f>IFERROR(__xludf.DUMMYFUNCTION("""COMPUTED_VALUE"""),"TUMO Parque de la Innovación")</f>
        <v>TUMO Parque de la Innovación</v>
      </c>
      <c r="F552" s="29" t="str">
        <f>IFERROR(__xludf.DUMMYFUNCTION("""COMPUTED_VALUE"""),"https://www.facebook.com/reel/1259490412867632")</f>
        <v>https://www.facebook.com/reel/1259490412867632</v>
      </c>
    </row>
    <row r="553">
      <c r="A553" s="28" t="str">
        <f>IFERROR(__xludf.DUMMYFUNCTION("""COMPUTED_VALUE"""),"2667-FEBAMBVC")</f>
        <v>2667-FEBAMBVC</v>
      </c>
      <c r="B553" s="28" t="str">
        <f>IFERROR(__xludf.DUMMYFUNCTION("""COMPUTED_VALUE"""),"RDV Ministros | Gabriel Mraida - 6/03")</f>
        <v>RDV Ministros | Gabriel Mraida - 6/03</v>
      </c>
      <c r="C553" s="29" t="str">
        <f>IFERROR(__xludf.DUMMYFUNCTION("""COMPUTED_VALUE"""),"Pieza")</f>
        <v>Pieza</v>
      </c>
      <c r="D553" s="28" t="str">
        <f>IFERROR(__xludf.DUMMYFUNCTION("""COMPUTED_VALUE"""),"2717-MARDHHVC")</f>
        <v>2717-MARDHHVC</v>
      </c>
      <c r="E553" s="28" t="str">
        <f>IFERROR(__xludf.DUMMYFUNCTION("""COMPUTED_VALUE"""),"RDV Ministros | Gabriel Mraida - 20/03")</f>
        <v>RDV Ministros | Gabriel Mraida - 20/03</v>
      </c>
      <c r="F553" s="28"/>
    </row>
    <row r="554">
      <c r="A554" s="28" t="str">
        <f>IFERROR(__xludf.DUMMYFUNCTION("""COMPUTED_VALUE"""),"2697-MARJDGAG")</f>
        <v>2697-MARJDGAG</v>
      </c>
      <c r="B554" s="28" t="str">
        <f>IFERROR(__xludf.DUMMYFUNCTION("""COMPUTED_VALUE"""),"RDV JM TEMÁTICA | TE CUENTO BS AS  14/03 SEGURIDAD EJE OESTE")</f>
        <v>RDV JM TEMÁTICA | TE CUENTO BS AS  14/03 SEGURIDAD EJE OESTE</v>
      </c>
      <c r="C554" s="29" t="str">
        <f>IFERROR(__xludf.DUMMYFUNCTION("""COMPUTED_VALUE"""),"Pieza")</f>
        <v>Pieza</v>
      </c>
      <c r="D554" s="28" t="str">
        <f>IFERROR(__xludf.DUMMYFUNCTION("""COMPUTED_VALUE"""),"2736-MARJDGVC")</f>
        <v>2736-MARJDGVC</v>
      </c>
      <c r="E554" s="28" t="str">
        <f>IFERROR(__xludf.DUMMYFUNCTION("""COMPUTED_VALUE"""),"RDV MINISTROS | GABRIEL SÁNCHEZ ZINNY 20/3 PUERTO MADERO")</f>
        <v>RDV MINISTROS | GABRIEL SÁNCHEZ ZINNY 20/3 PUERTO MADERO</v>
      </c>
      <c r="F554" s="28"/>
    </row>
    <row r="555">
      <c r="A555" s="28" t="str">
        <f>IFERROR(__xludf.DUMMYFUNCTION("""COMPUTED_VALUE"""),"2515-ENEINFGJ")</f>
        <v>2515-ENEINFGJ</v>
      </c>
      <c r="B555" s="28" t="str">
        <f>IFERROR(__xludf.DUMMYFUNCTION("""COMPUTED_VALUE"""),"Infraestructura I Anillo Pampa: Inicio de obra + Cortes")</f>
        <v>Infraestructura I Anillo Pampa: Inicio de obra + Cortes</v>
      </c>
      <c r="C555" s="29" t="str">
        <f>IFERROR(__xludf.DUMMYFUNCTION("""COMPUTED_VALUE"""),"Pieza")</f>
        <v>Pieza</v>
      </c>
      <c r="D555" s="28" t="str">
        <f>IFERROR(__xludf.DUMMYFUNCTION("""COMPUTED_VALUE"""),"2653-FEBFESGC")</f>
        <v>2653-FEBFESGC</v>
      </c>
      <c r="E555" s="28" t="str">
        <f>IFERROR(__xludf.DUMMYFUNCTION("""COMPUTED_VALUE"""),"Pascuas en Buenos Aires")</f>
        <v>Pascuas en Buenos Aires</v>
      </c>
      <c r="F555" s="28"/>
    </row>
    <row r="556">
      <c r="A556" s="28" t="str">
        <f>IFERROR(__xludf.DUMMYFUNCTION("""COMPUTED_VALUE"""),"2703-MARJDGVC")</f>
        <v>2703-MARJDGVC</v>
      </c>
      <c r="B556" s="28" t="str">
        <f>IFERROR(__xludf.DUMMYFUNCTION("""COMPUTED_VALUE"""),"RDV MINISTROS | GABRIEL SÁNCHEZ ZINNY 13/3 SAN TELMO")</f>
        <v>RDV MINISTROS | GABRIEL SÁNCHEZ ZINNY 13/3 SAN TELMO</v>
      </c>
      <c r="C556" s="29" t="str">
        <f>IFERROR(__xludf.DUMMYFUNCTION("""COMPUTED_VALUE"""),"Pieza")</f>
        <v>Pieza</v>
      </c>
      <c r="D556" s="28" t="str">
        <f>IFERROR(__xludf.DUMMYFUNCTION("""COMPUTED_VALUE"""),"2653-FEBFESGC")</f>
        <v>2653-FEBFESGC</v>
      </c>
      <c r="E556" s="28" t="str">
        <f>IFERROR(__xludf.DUMMYFUNCTION("""COMPUTED_VALUE"""),"Pascuas en Buenos Aires")</f>
        <v>Pascuas en Buenos Aires</v>
      </c>
      <c r="F556" s="28"/>
    </row>
    <row r="557">
      <c r="A557" s="28" t="str">
        <f>IFERROR(__xludf.DUMMYFUNCTION("""COMPUTED_VALUE"""),"2689-MARSALVC")</f>
        <v>2689-MARSALVC</v>
      </c>
      <c r="B557" s="28" t="str">
        <f>IFERROR(__xludf.DUMMYFUNCTION("""COMPUTED_VALUE"""),"RDV Ministros | Fernán Quirós - 13/03")</f>
        <v>RDV Ministros | Fernán Quirós - 13/03</v>
      </c>
      <c r="C557" s="29" t="str">
        <f>IFERROR(__xludf.DUMMYFUNCTION("""COMPUTED_VALUE"""),"Pieza")</f>
        <v>Pieza</v>
      </c>
      <c r="D557" s="28" t="str">
        <f>IFERROR(__xludf.DUMMYFUNCTION("""COMPUTED_VALUE"""),"2653-FEBFESGC")</f>
        <v>2653-FEBFESGC</v>
      </c>
      <c r="E557" s="28" t="str">
        <f>IFERROR(__xludf.DUMMYFUNCTION("""COMPUTED_VALUE"""),"Pascuas en Buenos Aires")</f>
        <v>Pascuas en Buenos Aires</v>
      </c>
      <c r="F557" s="28"/>
    </row>
    <row r="558">
      <c r="A558" s="28" t="str">
        <f>IFERROR(__xludf.DUMMYFUNCTION("""COMPUTED_VALUE"""),"1921-SEPAMBGC")</f>
        <v>1921-SEPAMBGC</v>
      </c>
      <c r="B558" s="28" t="str">
        <f>IFERROR(__xludf.DUMMYFUNCTION("""COMPUTED_VALUE"""),"Vacunación Antirrabica Animales")</f>
        <v>Vacunación Antirrabica Animales</v>
      </c>
      <c r="C558" s="29" t="str">
        <f>IFERROR(__xludf.DUMMYFUNCTION("""COMPUTED_VALUE"""),"Pieza")</f>
        <v>Pieza</v>
      </c>
      <c r="D558" s="28" t="str">
        <f>IFERROR(__xludf.DUMMYFUNCTION("""COMPUTED_VALUE"""),"2653-FEBFESGC")</f>
        <v>2653-FEBFESGC</v>
      </c>
      <c r="E558" s="28" t="str">
        <f>IFERROR(__xludf.DUMMYFUNCTION("""COMPUTED_VALUE"""),"Pascuas en Buenos Aires")</f>
        <v>Pascuas en Buenos Aires</v>
      </c>
      <c r="F558" s="28"/>
    </row>
    <row r="559">
      <c r="A559" s="28" t="str">
        <f>IFERROR(__xludf.DUMMYFUNCTION("""COMPUTED_VALUE"""),"2704-MAREPHGC")</f>
        <v>2704-MAREPHGC</v>
      </c>
      <c r="B559" s="28" t="str">
        <f>IFERROR(__xludf.DUMMYFUNCTION("""COMPUTED_VALUE"""),"CAMPAÑA GCBA | MEPHU | CD inicio de obras del Botánico")</f>
        <v>CAMPAÑA GCBA | MEPHU | CD inicio de obras del Botánico</v>
      </c>
      <c r="C559" s="29" t="str">
        <f>IFERROR(__xludf.DUMMYFUNCTION("""COMPUTED_VALUE"""),"Pieza")</f>
        <v>Pieza</v>
      </c>
      <c r="D559" s="28" t="str">
        <f>IFERROR(__xludf.DUMMYFUNCTION("""COMPUTED_VALUE"""),"2706-MARINFGC")</f>
        <v>2706-MARINFGC</v>
      </c>
      <c r="E559" s="28" t="str">
        <f>IFERROR(__xludf.DUMMYFUNCTION("""COMPUTED_VALUE""")," Infraestructura I Cambio de sentido Caranday")</f>
        <v> Infraestructura I Cambio de sentido Caranday</v>
      </c>
      <c r="F559" s="28"/>
    </row>
    <row r="560">
      <c r="A560" s="28" t="str">
        <f>IFERROR(__xludf.DUMMYFUNCTION("""COMPUTED_VALUE"""),"2662-FEBSEGVC")</f>
        <v>2662-FEBSEGVC</v>
      </c>
      <c r="B560" s="28" t="str">
        <f>IFERROR(__xludf.DUMMYFUNCTION("""COMPUTED_VALUE"""),"RDV Ministros | Ruth Landerreche 5/3 Comuna 1 Sur")</f>
        <v>RDV Ministros | Ruth Landerreche 5/3 Comuna 1 Sur</v>
      </c>
      <c r="C560" s="29" t="str">
        <f>IFERROR(__xludf.DUMMYFUNCTION("""COMPUTED_VALUE"""),"Pieza")</f>
        <v>Pieza</v>
      </c>
      <c r="D560" s="28" t="str">
        <f>IFERROR(__xludf.DUMMYFUNCTION("""COMPUTED_VALUE"""),"2741-MAREMECG")</f>
        <v>2741-MAREMECG</v>
      </c>
      <c r="E560" s="28" t="str">
        <f>IFERROR(__xludf.DUMMYFUNCTION("""COMPUTED_VALUE"""),"Alerta Amarilla 17/03")</f>
        <v>Alerta Amarilla 17/03</v>
      </c>
      <c r="F560" s="28"/>
    </row>
    <row r="561">
      <c r="A561" s="28" t="str">
        <f>IFERROR(__xludf.DUMMYFUNCTION("""COMPUTED_VALUE"""),"2687-MARSEGVC")</f>
        <v>2687-MARSEGVC</v>
      </c>
      <c r="B561" s="28" t="str">
        <f>IFERROR(__xludf.DUMMYFUNCTION("""COMPUTED_VALUE"""),"RDV MINISTROS |  Ruth Landerrche 12/3 Comuna 6")</f>
        <v>RDV MINISTROS |  Ruth Landerrche 12/3 Comuna 6</v>
      </c>
      <c r="C561" s="29" t="str">
        <f>IFERROR(__xludf.DUMMYFUNCTION("""COMPUTED_VALUE"""),"Pieza")</f>
        <v>Pieza</v>
      </c>
      <c r="D561" s="28" t="str">
        <f>IFERROR(__xludf.DUMMYFUNCTION("""COMPUTED_VALUE"""),"2740-MARAMBVC")</f>
        <v>2740-MARAMBVC</v>
      </c>
      <c r="E561" s="28" t="str">
        <f>IFERROR(__xludf.DUMMYFUNCTION("""COMPUTED_VALUE"""),"RDV Ministros | Clara Muzzio - 20/03")</f>
        <v>RDV Ministros | Clara Muzzio - 20/03</v>
      </c>
      <c r="F561" s="28"/>
    </row>
    <row r="562">
      <c r="A562" s="28" t="str">
        <f>IFERROR(__xludf.DUMMYFUNCTION("""COMPUTED_VALUE"""),"2716-MARINFGC")</f>
        <v>2716-MARINFGC</v>
      </c>
      <c r="B562" s="28" t="str">
        <f>IFERROR(__xludf.DUMMYFUNCTION("""COMPUTED_VALUE"""),"CORTES y desvios  PBN Álvarez Thomas")</f>
        <v>CORTES y desvios  PBN Álvarez Thomas</v>
      </c>
      <c r="C562" s="29" t="str">
        <f>IFERROR(__xludf.DUMMYFUNCTION("""COMPUTED_VALUE"""),"Pieza")</f>
        <v>Pieza</v>
      </c>
      <c r="D562" s="28" t="str">
        <f>IFERROR(__xludf.DUMMYFUNCTION("""COMPUTED_VALUE"""),"2740-MARAMBVC")</f>
        <v>2740-MARAMBVC</v>
      </c>
      <c r="E562" s="28" t="str">
        <f>IFERROR(__xludf.DUMMYFUNCTION("""COMPUTED_VALUE"""),"RDV Ministros | Clara Muzzio - 20/03")</f>
        <v>RDV Ministros | Clara Muzzio - 20/03</v>
      </c>
      <c r="F562" s="28"/>
    </row>
    <row r="563">
      <c r="A563" s="28" t="str">
        <f>IFERROR(__xludf.DUMMYFUNCTION("""COMPUTED_VALUE"""),"2686-MARSEGVC")</f>
        <v>2686-MARSEGVC</v>
      </c>
      <c r="B563" s="28" t="str">
        <f>IFERROR(__xludf.DUMMYFUNCTION("""COMPUTED_VALUE"""),"RDV MINISTROS |  Francisco Quintana 12/3 Comuna 5")</f>
        <v>RDV MINISTROS |  Francisco Quintana 12/3 Comuna 5</v>
      </c>
      <c r="C563" s="29" t="str">
        <f>IFERROR(__xludf.DUMMYFUNCTION("""COMPUTED_VALUE"""),"Pieza")</f>
        <v>Pieza</v>
      </c>
      <c r="D563" s="28" t="str">
        <f>IFERROR(__xludf.DUMMYFUNCTION("""COMPUTED_VALUE"""),"2716-MARINFGC")</f>
        <v>2716-MARINFGC</v>
      </c>
      <c r="E563" s="28" t="str">
        <f>IFERROR(__xludf.DUMMYFUNCTION("""COMPUTED_VALUE"""),"CORTES y desvios  PBN Álvarez Thomas")</f>
        <v>CORTES y desvios  PBN Álvarez Thomas</v>
      </c>
      <c r="F563" s="28"/>
    </row>
    <row r="564">
      <c r="A564" s="28" t="str">
        <f>IFERROR(__xludf.DUMMYFUNCTION("""COMPUTED_VALUE"""),"2701-MARJDGVC")</f>
        <v>2701-MARJDGVC</v>
      </c>
      <c r="B564" s="28" t="str">
        <f>IFERROR(__xludf.DUMMYFUNCTION("""COMPUTED_VALUE"""),"RDV MINISTROS | GABRIEL SÁNCHEZ ZINNY 10/3 VILLA RIACHUELO")</f>
        <v>RDV MINISTROS | GABRIEL SÁNCHEZ ZINNY 10/3 VILLA RIACHUELO</v>
      </c>
      <c r="C564" s="29" t="str">
        <f>IFERROR(__xludf.DUMMYFUNCTION("""COMPUTED_VALUE"""),"Pieza")</f>
        <v>Pieza</v>
      </c>
      <c r="D564" s="28" t="str">
        <f>IFERROR(__xludf.DUMMYFUNCTION("""COMPUTED_VALUE"""),"2732-MARINFGC")</f>
        <v>2732-MARINFGC</v>
      </c>
      <c r="E564" s="28" t="str">
        <f>IFERROR(__xludf.DUMMYFUNCTION("""COMPUTED_VALUE"""),"Infraestructura I Cortes en Dellepiane por obras (fin de semana largo marzo)")</f>
        <v>Infraestructura I Cortes en Dellepiane por obras (fin de semana largo marzo)</v>
      </c>
      <c r="F564" s="28"/>
    </row>
    <row r="565">
      <c r="A565" s="28" t="str">
        <f>IFERROR(__xludf.DUMMYFUNCTION("""COMPUTED_VALUE"""),"2702-MARJDGVC")</f>
        <v>2702-MARJDGVC</v>
      </c>
      <c r="B565" s="28" t="str">
        <f>IFERROR(__xludf.DUMMYFUNCTION("""COMPUTED_VALUE"""),"RDV MINISTROS | GABRIEL SÁNCHEZ ZINNY 14/3 SAAVEDRA")</f>
        <v>RDV MINISTROS | GABRIEL SÁNCHEZ ZINNY 14/3 SAAVEDRA</v>
      </c>
      <c r="C565" s="29" t="str">
        <f>IFERROR(__xludf.DUMMYFUNCTION("""COMPUTED_VALUE"""),"Pieza")</f>
        <v>Pieza</v>
      </c>
      <c r="D565" s="28" t="str">
        <f>IFERROR(__xludf.DUMMYFUNCTION("""COMPUTED_VALUE"""),"2673-MARSALGC")</f>
        <v>2673-MARSALGC</v>
      </c>
      <c r="E565" s="28" t="str">
        <f>IFERROR(__xludf.DUMMYFUNCTION("""COMPUTED_VALUE"""),"Mejoras en Centros de Salud")</f>
        <v>Mejoras en Centros de Salud</v>
      </c>
      <c r="F565" s="28"/>
    </row>
    <row r="566">
      <c r="A566" s="28" t="str">
        <f>IFERROR(__xludf.DUMMYFUNCTION("""COMPUTED_VALUE"""),"2685-MARSEGVC")</f>
        <v>2685-MARSEGVC</v>
      </c>
      <c r="B566" s="28" t="str">
        <f>IFERROR(__xludf.DUMMYFUNCTION("""COMPUTED_VALUE"""),"RDV MINISTROS |  Horacio Gimenez 12/3 Comuna 4")</f>
        <v>RDV MINISTROS |  Horacio Gimenez 12/3 Comuna 4</v>
      </c>
      <c r="C566" s="29" t="str">
        <f>IFERROR(__xludf.DUMMYFUNCTION("""COMPUTED_VALUE"""),"Pieza")</f>
        <v>Pieza</v>
      </c>
      <c r="D566" s="28" t="str">
        <f>IFERROR(__xludf.DUMMYFUNCTION("""COMPUTED_VALUE"""),"2673-MARSALGC")</f>
        <v>2673-MARSALGC</v>
      </c>
      <c r="E566" s="28" t="str">
        <f>IFERROR(__xludf.DUMMYFUNCTION("""COMPUTED_VALUE"""),"Mejoras en Centros de Salud")</f>
        <v>Mejoras en Centros de Salud</v>
      </c>
      <c r="F566" s="28"/>
    </row>
    <row r="567">
      <c r="A567" s="28" t="str">
        <f>IFERROR(__xludf.DUMMYFUNCTION("""COMPUTED_VALUE"""),"2682-MARSEGGJ")</f>
        <v>2682-MARSEGGJ</v>
      </c>
      <c r="B567" s="28" t="str">
        <f>IFERROR(__xludf.DUMMYFUNCTION("""COMPUTED_VALUE"""),"18 meses sin manteros en Once")</f>
        <v>18 meses sin manteros en Once</v>
      </c>
      <c r="C567" s="29" t="str">
        <f>IFERROR(__xludf.DUMMYFUNCTION("""COMPUTED_VALUE"""),"Pieza")</f>
        <v>Pieza</v>
      </c>
      <c r="D567" s="28" t="str">
        <f>IFERROR(__xludf.DUMMYFUNCTION("""COMPUTED_VALUE"""),"2750-MARSALVC")</f>
        <v>2750-MARSALVC</v>
      </c>
      <c r="E567" s="28" t="str">
        <f>IFERROR(__xludf.DUMMYFUNCTION("""COMPUTED_VALUE"""),"RDV Ministros | Fernán Quirós - 25/03")</f>
        <v>RDV Ministros | Fernán Quirós - 25/03</v>
      </c>
      <c r="F567" s="28"/>
    </row>
    <row r="568">
      <c r="A568" s="28" t="str">
        <f>IFERROR(__xludf.DUMMYFUNCTION("""COMPUTED_VALUE"""),"2688-MARSEGVC")</f>
        <v>2688-MARSEGVC</v>
      </c>
      <c r="B568" s="28" t="str">
        <f>IFERROR(__xludf.DUMMYFUNCTION("""COMPUTED_VALUE"""),"RDV MINISTROS |  Maximiliano Piñeiro 12/3 Comuna 7")</f>
        <v>RDV MINISTROS |  Maximiliano Piñeiro 12/3 Comuna 7</v>
      </c>
      <c r="C568" s="29" t="str">
        <f>IFERROR(__xludf.DUMMYFUNCTION("""COMPUTED_VALUE"""),"Pieza")</f>
        <v>Pieza</v>
      </c>
      <c r="D568" s="28" t="str">
        <f>IFERROR(__xludf.DUMMYFUNCTION("""COMPUTED_VALUE"""),"2757-MARJDGVC")</f>
        <v>2757-MARJDGVC</v>
      </c>
      <c r="E568" s="28" t="str">
        <f>IFERROR(__xludf.DUMMYFUNCTION("""COMPUTED_VALUE"""),"RDV MINISTROS | GABRIEL SÁNCHEZ ZINNY 25/3 CABALLITO")</f>
        <v>RDV MINISTROS | GABRIEL SÁNCHEZ ZINNY 25/3 CABALLITO</v>
      </c>
      <c r="F568" s="28"/>
    </row>
    <row r="569">
      <c r="A569" s="28" t="str">
        <f>IFERROR(__xludf.DUMMYFUNCTION("""COMPUTED_VALUE"""),"2692-MARJDGAG")</f>
        <v>2692-MARJDGAG</v>
      </c>
      <c r="B569" s="28" t="str">
        <f>IFERROR(__xludf.DUMMYFUNCTION("""COMPUTED_VALUE"""),"RDV JM 11/03 PARQUE AVELLANEDA")</f>
        <v>RDV JM 11/03 PARQUE AVELLANEDA</v>
      </c>
      <c r="C569" s="29" t="str">
        <f>IFERROR(__xludf.DUMMYFUNCTION("""COMPUTED_VALUE"""),"Pieza")</f>
        <v>Pieza</v>
      </c>
      <c r="D569" s="28" t="str">
        <f>IFERROR(__xludf.DUMMYFUNCTION("""COMPUTED_VALUE"""),"2752-MARCULVC")</f>
        <v>2752-MARCULVC</v>
      </c>
      <c r="E569" s="28" t="str">
        <f>IFERROR(__xludf.DUMMYFUNCTION("""COMPUTED_VALUE"""),"RDV Ministros| Gabriela Ricardes 25/3 Comuna 1")</f>
        <v>RDV Ministros| Gabriela Ricardes 25/3 Comuna 1</v>
      </c>
      <c r="F569" s="28"/>
    </row>
    <row r="570">
      <c r="A570" s="28" t="str">
        <f>IFERROR(__xludf.DUMMYFUNCTION("""COMPUTED_VALUE"""),"2683-MARDECVC")</f>
        <v>2683-MARDECVC</v>
      </c>
      <c r="B570" s="28" t="str">
        <f>IFERROR(__xludf.DUMMYFUNCTION("""COMPUTED_VALUE"""),"RDV MINISTROS| TAPIA-PIRAGINE-LOMBARDI 9/3 EJE SUR")</f>
        <v>RDV MINISTROS| TAPIA-PIRAGINE-LOMBARDI 9/3 EJE SUR</v>
      </c>
      <c r="C570" s="29" t="str">
        <f>IFERROR(__xludf.DUMMYFUNCTION("""COMPUTED_VALUE"""),"Pieza")</f>
        <v>Pieza</v>
      </c>
      <c r="D570" s="28" t="str">
        <f>IFERROR(__xludf.DUMMYFUNCTION("""COMPUTED_VALUE"""),"2758-MARINFGC")</f>
        <v>2758-MARINFGC</v>
      </c>
      <c r="E570" s="28" t="str">
        <f>IFERROR(__xludf.DUMMYFUNCTION("""COMPUTED_VALUE""")," INFRAESTRUCTURA  | Cortes y desvíos por evento en River: AC/DC")</f>
        <v> INFRAESTRUCTURA  | Cortes y desvíos por evento en River: AC/DC</v>
      </c>
      <c r="F570" s="28"/>
    </row>
    <row r="571">
      <c r="A571" s="28" t="str">
        <f>IFERROR(__xludf.DUMMYFUNCTION("""COMPUTED_VALUE"""),"2668-FEBPCCVC")</f>
        <v>2668-FEBPCCVC</v>
      </c>
      <c r="B571" s="28" t="str">
        <f>IFERROR(__xludf.DUMMYFUNCTION("""COMPUTED_VALUE"""),"Visita de obra Ramal Castañon")</f>
        <v>Visita de obra Ramal Castañon</v>
      </c>
      <c r="C571" s="29" t="str">
        <f>IFERROR(__xludf.DUMMYFUNCTION("""COMPUTED_VALUE"""),"Pieza")</f>
        <v>Pieza</v>
      </c>
      <c r="D571" s="28" t="str">
        <f>IFERROR(__xludf.DUMMYFUNCTION("""COMPUTED_VALUE"""),"2751-MARAMBVC")</f>
        <v>2751-MARAMBVC</v>
      </c>
      <c r="E571" s="28" t="str">
        <f>IFERROR(__xludf.DUMMYFUNCTION("""COMPUTED_VALUE"""),"RDV Ministros | Clara Muzzio - 25/03")</f>
        <v>RDV Ministros | Clara Muzzio - 25/03</v>
      </c>
      <c r="F571" s="28"/>
    </row>
    <row r="572">
      <c r="A572" s="28" t="str">
        <f>IFERROR(__xludf.DUMMYFUNCTION("""COMPUTED_VALUE"""),"2697-MARJDGAG")</f>
        <v>2697-MARJDGAG</v>
      </c>
      <c r="B572" s="28" t="str">
        <f>IFERROR(__xludf.DUMMYFUNCTION("""COMPUTED_VALUE"""),"RDV JM TEMÁTICA | TE CUENTO BS AS  14/03 SEGURIDAD EJE OESTE")</f>
        <v>RDV JM TEMÁTICA | TE CUENTO BS AS  14/03 SEGURIDAD EJE OESTE</v>
      </c>
      <c r="C572" s="29" t="str">
        <f>IFERROR(__xludf.DUMMYFUNCTION("""COMPUTED_VALUE"""),"Pieza")</f>
        <v>Pieza</v>
      </c>
      <c r="D572" s="28" t="str">
        <f>IFERROR(__xludf.DUMMYFUNCTION("""COMPUTED_VALUE"""),"2739-MARSEGGJ")</f>
        <v>2739-MARSEGGJ</v>
      </c>
      <c r="E572" s="28" t="str">
        <f>IFERROR(__xludf.DUMMYFUNCTION("""COMPUTED_VALUE"""),"CAMPAÑA JM + GCBA | SEGURIDAD | Operativo de Seguridad en Subte")</f>
        <v>CAMPAÑA JM + GCBA | SEGURIDAD | Operativo de Seguridad en Subte</v>
      </c>
      <c r="F572" s="28"/>
    </row>
    <row r="573">
      <c r="A573" s="28" t="str">
        <f>IFERROR(__xludf.DUMMYFUNCTION("""COMPUTED_VALUE"""),"2145-OCTVINGC")</f>
        <v>2145-OCTVINGC</v>
      </c>
      <c r="B573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573" s="29" t="str">
        <f>IFERROR(__xludf.DUMMYFUNCTION("""COMPUTED_VALUE"""),"Pieza")</f>
        <v>Pieza</v>
      </c>
      <c r="D573" s="28" t="str">
        <f>IFERROR(__xludf.DUMMYFUNCTION("""COMPUTED_VALUE"""),"2739-MARSEGGJ")</f>
        <v>2739-MARSEGGJ</v>
      </c>
      <c r="E573" s="28" t="str">
        <f>IFERROR(__xludf.DUMMYFUNCTION("""COMPUTED_VALUE"""),"CAMPAÑA JM + GCBA | SEGURIDAD | Operativo de Seguridad en Subte")</f>
        <v>CAMPAÑA JM + GCBA | SEGURIDAD | Operativo de Seguridad en Subte</v>
      </c>
      <c r="F573" s="28"/>
    </row>
    <row r="574">
      <c r="A574" s="28" t="str">
        <f>IFERROR(__xludf.DUMMYFUNCTION("""COMPUTED_VALUE"""),"2694-MARJDGAG")</f>
        <v>2694-MARJDGAG</v>
      </c>
      <c r="B574" s="28" t="str">
        <f>IFERROR(__xludf.DUMMYFUNCTION("""COMPUTED_VALUE"""),"RDV JM 13/3 VÉLEZ SARSFIELD")</f>
        <v>RDV JM 13/3 VÉLEZ SARSFIELD</v>
      </c>
      <c r="C574" s="29" t="str">
        <f>IFERROR(__xludf.DUMMYFUNCTION("""COMPUTED_VALUE"""),"Pieza")</f>
        <v>Pieza</v>
      </c>
      <c r="D574" s="28" t="str">
        <f>IFERROR(__xludf.DUMMYFUNCTION("""COMPUTED_VALUE"""),"2746-MARDECGC")</f>
        <v>2746-MARDECGC</v>
      </c>
      <c r="E574" s="28" t="str">
        <f>IFERROR(__xludf.DUMMYFUNCTION("""COMPUTED_VALUE"""),"Anuncio Créditos Hipotecarios")</f>
        <v>Anuncio Créditos Hipotecarios</v>
      </c>
      <c r="F574" s="28"/>
    </row>
    <row r="575">
      <c r="A575" s="28" t="str">
        <f>IFERROR(__xludf.DUMMYFUNCTION("""COMPUTED_VALUE"""),"2703-MARJDGVC")</f>
        <v>2703-MARJDGVC</v>
      </c>
      <c r="B575" s="28" t="str">
        <f>IFERROR(__xludf.DUMMYFUNCTION("""COMPUTED_VALUE"""),"RDV MINISTROS | GABRIEL SÁNCHEZ ZINNY 13/3 SAN TELMO")</f>
        <v>RDV MINISTROS | GABRIEL SÁNCHEZ ZINNY 13/3 SAN TELMO</v>
      </c>
      <c r="C575" s="29" t="str">
        <f>IFERROR(__xludf.DUMMYFUNCTION("""COMPUTED_VALUE"""),"Pieza")</f>
        <v>Pieza</v>
      </c>
      <c r="D575" s="28" t="str">
        <f>IFERROR(__xludf.DUMMYFUNCTION("""COMPUTED_VALUE"""),"2746-MARDECGC")</f>
        <v>2746-MARDECGC</v>
      </c>
      <c r="E575" s="28" t="str">
        <f>IFERROR(__xludf.DUMMYFUNCTION("""COMPUTED_VALUE"""),"Anuncio Créditos Hipotecarios")</f>
        <v>Anuncio Créditos Hipotecarios</v>
      </c>
      <c r="F575" s="28"/>
    </row>
    <row r="576">
      <c r="A576" s="28" t="str">
        <f>IFERROR(__xludf.DUMMYFUNCTION("""COMPUTED_VALUE"""),"2682-MARSEGGJ")</f>
        <v>2682-MARSEGGJ</v>
      </c>
      <c r="B576" s="28" t="str">
        <f>IFERROR(__xludf.DUMMYFUNCTION("""COMPUTED_VALUE"""),"18 meses sin manteros en Once")</f>
        <v>18 meses sin manteros en Once</v>
      </c>
      <c r="C576" s="29" t="str">
        <f>IFERROR(__xludf.DUMMYFUNCTION("""COMPUTED_VALUE"""),"Pieza")</f>
        <v>Pieza</v>
      </c>
      <c r="D576" s="28" t="str">
        <f>IFERROR(__xludf.DUMMYFUNCTION("""COMPUTED_VALUE"""),"2746-MARDECGC")</f>
        <v>2746-MARDECGC</v>
      </c>
      <c r="E576" s="28" t="str">
        <f>IFERROR(__xludf.DUMMYFUNCTION("""COMPUTED_VALUE"""),"Anuncio Créditos Hipotecarios")</f>
        <v>Anuncio Créditos Hipotecarios</v>
      </c>
      <c r="F576" s="28"/>
    </row>
    <row r="577">
      <c r="A577" s="28" t="str">
        <f>IFERROR(__xludf.DUMMYFUNCTION("""COMPUTED_VALUE"""),"2689-MARSALVC")</f>
        <v>2689-MARSALVC</v>
      </c>
      <c r="B577" s="28" t="str">
        <f>IFERROR(__xludf.DUMMYFUNCTION("""COMPUTED_VALUE"""),"RDV Ministros | Fernán Quirós - 13/03")</f>
        <v>RDV Ministros | Fernán Quirós - 13/03</v>
      </c>
      <c r="C577" s="29" t="str">
        <f>IFERROR(__xludf.DUMMYFUNCTION("""COMPUTED_VALUE"""),"Pieza")</f>
        <v>Pieza</v>
      </c>
      <c r="D577" s="28" t="str">
        <f>IFERROR(__xludf.DUMMYFUNCTION("""COMPUTED_VALUE"""),"2746-MARDECGC")</f>
        <v>2746-MARDECGC</v>
      </c>
      <c r="E577" s="28" t="str">
        <f>IFERROR(__xludf.DUMMYFUNCTION("""COMPUTED_VALUE"""),"Anuncio Créditos Hipotecarios")</f>
        <v>Anuncio Créditos Hipotecarios</v>
      </c>
      <c r="F577" s="28"/>
    </row>
    <row r="578">
      <c r="A578" s="28" t="str">
        <f>IFERROR(__xludf.DUMMYFUNCTION("""COMPUTED_VALUE"""),"2693-MARSALGC")</f>
        <v>2693-MARSALGC</v>
      </c>
      <c r="B578" s="28" t="str">
        <f>IFERROR(__xludf.DUMMYFUNCTION("""COMPUTED_VALUE""")," SIGEHOS - Envío Medicación e Insumos (MEI)")</f>
        <v> SIGEHOS - Envío Medicación e Insumos (MEI)</v>
      </c>
      <c r="C578" s="29" t="str">
        <f>IFERROR(__xludf.DUMMYFUNCTION("""COMPUTED_VALUE"""),"Pieza")</f>
        <v>Pieza</v>
      </c>
      <c r="D578" s="28" t="str">
        <f>IFERROR(__xludf.DUMMYFUNCTION("""COMPUTED_VALUE"""),"2739-MARSEGGJ")</f>
        <v>2739-MARSEGGJ</v>
      </c>
      <c r="E578" s="28" t="str">
        <f>IFERROR(__xludf.DUMMYFUNCTION("""COMPUTED_VALUE"""),"CAMPAÑA JM + GCBA | SEGURIDAD | Operativo de Seguridad en Subte")</f>
        <v>CAMPAÑA JM + GCBA | SEGURIDAD | Operativo de Seguridad en Subte</v>
      </c>
      <c r="F578" s="28"/>
    </row>
    <row r="579">
      <c r="A579" s="28" t="str">
        <f>IFERROR(__xludf.DUMMYFUNCTION("""COMPUTED_VALUE"""),"2714-MAREPHGC")</f>
        <v>2714-MAREPHGC</v>
      </c>
      <c r="B579" s="28" t="str">
        <f>IFERROR(__xludf.DUMMYFUNCTION("""COMPUTED_VALUE"""),"RDV MINISTROS | IGNACIO BAISTROCCHI 16/3 COMUNA 1")</f>
        <v>RDV MINISTROS | IGNACIO BAISTROCCHI 16/3 COMUNA 1</v>
      </c>
      <c r="C579" s="29" t="str">
        <f>IFERROR(__xludf.DUMMYFUNCTION("""COMPUTED_VALUE"""),"Pieza")</f>
        <v>Pieza</v>
      </c>
      <c r="D579" s="28" t="str">
        <f>IFERROR(__xludf.DUMMYFUNCTION("""COMPUTED_VALUE"""),"2754-MARSEGVC")</f>
        <v>2754-MARSEGVC</v>
      </c>
      <c r="E579" s="28" t="str">
        <f>IFERROR(__xludf.DUMMYFUNCTION("""COMPUTED_VALUE"""),"RDV Ministros| Ruth Landerreche 26/3 Comuna 13")</f>
        <v>RDV Ministros| Ruth Landerreche 26/3 Comuna 13</v>
      </c>
      <c r="F579" s="28"/>
    </row>
    <row r="580">
      <c r="A580" s="28" t="str">
        <f>IFERROR(__xludf.DUMMYFUNCTION("""COMPUTED_VALUE"""),"2692-MARJDGAG")</f>
        <v>2692-MARJDGAG</v>
      </c>
      <c r="B580" s="28" t="str">
        <f>IFERROR(__xludf.DUMMYFUNCTION("""COMPUTED_VALUE"""),"RDV JM 11/03 PARQUE AVELLANEDA")</f>
        <v>RDV JM 11/03 PARQUE AVELLANEDA</v>
      </c>
      <c r="C580" s="29" t="str">
        <f>IFERROR(__xludf.DUMMYFUNCTION("""COMPUTED_VALUE"""),"Pieza")</f>
        <v>Pieza</v>
      </c>
      <c r="D580" s="28" t="str">
        <f>IFERROR(__xludf.DUMMYFUNCTION("""COMPUTED_VALUE"""),"2756-MARSEGVC")</f>
        <v>2756-MARSEGVC</v>
      </c>
      <c r="E580" s="28" t="str">
        <f>IFERROR(__xludf.DUMMYFUNCTION("""COMPUTED_VALUE"""),"RDV Ministros| Gabino Tapia 26/3 Comuna 15")</f>
        <v>RDV Ministros| Gabino Tapia 26/3 Comuna 15</v>
      </c>
      <c r="F580" s="28"/>
    </row>
    <row r="581">
      <c r="A581" s="28" t="str">
        <f>IFERROR(__xludf.DUMMYFUNCTION("""COMPUTED_VALUE"""),"2692-MARJDGAG")</f>
        <v>2692-MARJDGAG</v>
      </c>
      <c r="B581" s="28" t="str">
        <f>IFERROR(__xludf.DUMMYFUNCTION("""COMPUTED_VALUE"""),"RDV JM 11/03 PARQUE AVELLANEDA")</f>
        <v>RDV JM 11/03 PARQUE AVELLANEDA</v>
      </c>
      <c r="C581" s="29" t="str">
        <f>IFERROR(__xludf.DUMMYFUNCTION("""COMPUTED_VALUE"""),"Pieza")</f>
        <v>Pieza</v>
      </c>
      <c r="D581" s="28" t="str">
        <f>IFERROR(__xludf.DUMMYFUNCTION("""COMPUTED_VALUE"""),"2753-MARSEGVC")</f>
        <v>2753-MARSEGVC</v>
      </c>
      <c r="E581" s="28" t="str">
        <f>IFERROR(__xludf.DUMMYFUNCTION("""COMPUTED_VALUE"""),"RDV Ministros| Horacio Gimenez 26/3 Comuna 12")</f>
        <v>RDV Ministros| Horacio Gimenez 26/3 Comuna 12</v>
      </c>
      <c r="F581" s="28"/>
    </row>
    <row r="582">
      <c r="A582" s="28" t="str">
        <f>IFERROR(__xludf.DUMMYFUNCTION("""COMPUTED_VALUE"""),"2614-FEBDUDGC")</f>
        <v>2614-FEBDUDGC</v>
      </c>
      <c r="B582" s="28" t="str">
        <f>IFERROR(__xludf.DUMMYFUNCTION("""COMPUTED_VALUE"""),"DEPORTES CALLEJERO DE BUENOS AIRES de TC2000")</f>
        <v>DEPORTES CALLEJERO DE BUENOS AIRES de TC2000</v>
      </c>
      <c r="C582" s="29" t="str">
        <f>IFERROR(__xludf.DUMMYFUNCTION("""COMPUTED_VALUE"""),"Pieza")</f>
        <v>Pieza</v>
      </c>
      <c r="D582" s="28" t="str">
        <f>IFERROR(__xludf.DUMMYFUNCTION("""COMPUTED_VALUE"""),"2755-MARSEGVC")</f>
        <v>2755-MARSEGVC</v>
      </c>
      <c r="E582" s="28" t="str">
        <f>IFERROR(__xludf.DUMMYFUNCTION("""COMPUTED_VALUE"""),"RDV Ministros| Maximiliano Piñeiro 26/3 Comuna 14")</f>
        <v>RDV Ministros| Maximiliano Piñeiro 26/3 Comuna 14</v>
      </c>
      <c r="F582" s="28"/>
    </row>
    <row r="583">
      <c r="A583" s="28" t="str">
        <f>IFERROR(__xludf.DUMMYFUNCTION("""COMPUTED_VALUE"""),"2614-FEBDUDGC")</f>
        <v>2614-FEBDUDGC</v>
      </c>
      <c r="B583" s="28" t="str">
        <f>IFERROR(__xludf.DUMMYFUNCTION("""COMPUTED_VALUE"""),"DEPORTES CALLEJERO DE BUENOS AIRES de TC2000")</f>
        <v>DEPORTES CALLEJERO DE BUENOS AIRES de TC2000</v>
      </c>
      <c r="C583" s="29" t="str">
        <f>IFERROR(__xludf.DUMMYFUNCTION("""COMPUTED_VALUE"""),"Pieza")</f>
        <v>Pieza</v>
      </c>
      <c r="D583" s="28" t="str">
        <f>IFERROR(__xludf.DUMMYFUNCTION("""COMPUTED_VALUE"""),"2722-MARJDGAG")</f>
        <v>2722-MARJDGAG</v>
      </c>
      <c r="E583" s="28" t="str">
        <f>IFERROR(__xludf.DUMMYFUNCTION("""COMPUTED_VALUE"""),"RDV JM 16/3 VILLA ORTUZAR")</f>
        <v>RDV JM 16/3 VILLA ORTUZAR</v>
      </c>
      <c r="F583" s="28"/>
    </row>
    <row r="584">
      <c r="A584" s="28" t="str">
        <f>IFERROR(__xludf.DUMMYFUNCTION("""COMPUTED_VALUE"""),"2613-FEBDUDGC")</f>
        <v>2613-FEBDUDGC</v>
      </c>
      <c r="B584" s="28" t="str">
        <f>IFERROR(__xludf.DUMMYFUNCTION("""COMPUTED_VALUE"""),"DEPORTES Carrera 5K en Puerto Madero")</f>
        <v>DEPORTES Carrera 5K en Puerto Madero</v>
      </c>
      <c r="C584" s="29" t="str">
        <f>IFERROR(__xludf.DUMMYFUNCTION("""COMPUTED_VALUE"""),"Pieza")</f>
        <v>Pieza</v>
      </c>
      <c r="D584" s="28" t="str">
        <f>IFERROR(__xludf.DUMMYFUNCTION("""COMPUTED_VALUE"""),"2763-MARJDGAG")</f>
        <v>2763-MARJDGAG</v>
      </c>
      <c r="E584" s="28" t="str">
        <f>IFERROR(__xludf.DUMMYFUNCTION("""COMPUTED_VALUE"""),"RDV JM TEMÁTICA | TE CUENTO BS AS 26/03 MOVILIDAD EJE SUR")</f>
        <v>RDV JM TEMÁTICA | TE CUENTO BS AS 26/03 MOVILIDAD EJE SUR</v>
      </c>
      <c r="F584" s="28"/>
    </row>
    <row r="585">
      <c r="A585" s="28" t="str">
        <f>IFERROR(__xludf.DUMMYFUNCTION("""COMPUTED_VALUE"""),"2707-MARPCCVC")</f>
        <v>2707-MARPCCVC</v>
      </c>
      <c r="B585" s="28" t="str">
        <f>IFERROR(__xludf.DUMMYFUNCTION("""COMPUTED_VALUE"""),"Visita al taller Subte  H - Parque Patricios")</f>
        <v>Visita al taller Subte  H - Parque Patricios</v>
      </c>
      <c r="C585" s="29" t="str">
        <f>IFERROR(__xludf.DUMMYFUNCTION("""COMPUTED_VALUE"""),"Pieza")</f>
        <v>Pieza</v>
      </c>
      <c r="D585" s="28" t="str">
        <f>IFERROR(__xludf.DUMMYFUNCTION("""COMPUTED_VALUE"""),"2763-MARJDGAG")</f>
        <v>2763-MARJDGAG</v>
      </c>
      <c r="E585" s="28" t="str">
        <f>IFERROR(__xludf.DUMMYFUNCTION("""COMPUTED_VALUE"""),"RDV JM TEMÁTICA | TE CUENTO BS AS 26/03 MOVILIDAD EJE SUR")</f>
        <v>RDV JM TEMÁTICA | TE CUENTO BS AS 26/03 MOVILIDAD EJE SUR</v>
      </c>
      <c r="F585" s="28"/>
    </row>
    <row r="586">
      <c r="A586" s="28" t="str">
        <f>IFERROR(__xludf.DUMMYFUNCTION("""COMPUTED_VALUE"""),"2709-MARPCCVC")</f>
        <v>2709-MARPCCVC</v>
      </c>
      <c r="B586" s="28" t="str">
        <f>IFERROR(__xludf.DUMMYFUNCTION("""COMPUTED_VALUE"""),"ExBA Taller de educación financiera  18/3")</f>
        <v>ExBA Taller de educación financiera  18/3</v>
      </c>
      <c r="C586" s="29" t="str">
        <f>IFERROR(__xludf.DUMMYFUNCTION("""COMPUTED_VALUE"""),"Pieza")</f>
        <v>Pieza</v>
      </c>
      <c r="D586" s="28" t="str">
        <f>IFERROR(__xludf.DUMMYFUNCTION("""COMPUTED_VALUE"""),"2653-FEBFESGC")</f>
        <v>2653-FEBFESGC</v>
      </c>
      <c r="E586" s="28" t="str">
        <f>IFERROR(__xludf.DUMMYFUNCTION("""COMPUTED_VALUE"""),"Pascuas en Buenos Aires")</f>
        <v>Pascuas en Buenos Aires</v>
      </c>
      <c r="F586" s="28"/>
    </row>
    <row r="587">
      <c r="A587" s="28" t="str">
        <f>IFERROR(__xludf.DUMMYFUNCTION("""COMPUTED_VALUE"""),"2710-MARPCCVC")</f>
        <v>2710-MARPCCVC</v>
      </c>
      <c r="B587" s="28" t="str">
        <f>IFERROR(__xludf.DUMMYFUNCTION("""COMPUTED_VALUE"""),"ExBA Circuito Riachulo 26/3 y 9/4")</f>
        <v>ExBA Circuito Riachulo 26/3 y 9/4</v>
      </c>
      <c r="C587" s="29" t="str">
        <f>IFERROR(__xludf.DUMMYFUNCTION("""COMPUTED_VALUE"""),"Pieza")</f>
        <v>Pieza</v>
      </c>
      <c r="D587" s="28" t="str">
        <f>IFERROR(__xludf.DUMMYFUNCTION("""COMPUTED_VALUE"""),"2763-MARJDGAG")</f>
        <v>2763-MARJDGAG</v>
      </c>
      <c r="E587" s="28" t="str">
        <f>IFERROR(__xludf.DUMMYFUNCTION("""COMPUTED_VALUE"""),"RDV JM TEMÁTICA | TE CUENTO BS AS 26/03 MOVILIDAD EJE SUR")</f>
        <v>RDV JM TEMÁTICA | TE CUENTO BS AS 26/03 MOVILIDAD EJE SUR</v>
      </c>
      <c r="F587" s="28"/>
    </row>
    <row r="588">
      <c r="A588" s="28" t="str">
        <f>IFERROR(__xludf.DUMMYFUNCTION("""COMPUTED_VALUE"""),"2680-MARINFGC")</f>
        <v>2680-MARINFGC</v>
      </c>
      <c r="B588" s="28" t="str">
        <f>IFERROR(__xludf.DUMMYFUNCTION("""COMPUTED_VALUE"""),"Apertura Estación Congreso Línea A")</f>
        <v>Apertura Estación Congreso Línea A</v>
      </c>
      <c r="C588" s="29" t="str">
        <f>IFERROR(__xludf.DUMMYFUNCTION("""COMPUTED_VALUE"""),"Pieza")</f>
        <v>Pieza</v>
      </c>
      <c r="D588" s="28" t="str">
        <f>IFERROR(__xludf.DUMMYFUNCTION("""COMPUTED_VALUE"""),"2763-MARJDGAG")</f>
        <v>2763-MARJDGAG</v>
      </c>
      <c r="E588" s="28" t="str">
        <f>IFERROR(__xludf.DUMMYFUNCTION("""COMPUTED_VALUE"""),"RDV JM TEMÁTICA | TE CUENTO BS AS 26/03 MOVILIDAD EJE SUR")</f>
        <v>RDV JM TEMÁTICA | TE CUENTO BS AS 26/03 MOVILIDAD EJE SUR</v>
      </c>
      <c r="F588" s="28"/>
    </row>
    <row r="589">
      <c r="A589" s="28" t="str">
        <f>IFERROR(__xludf.DUMMYFUNCTION("""COMPUTED_VALUE"""),"2697-MARJDGAG")</f>
        <v>2697-MARJDGAG</v>
      </c>
      <c r="B589" s="28" t="str">
        <f>IFERROR(__xludf.DUMMYFUNCTION("""COMPUTED_VALUE"""),"RDV JM TEMÁTICA | TE CUENTO BS AS  14/03 SEGURIDAD EJE OESTE")</f>
        <v>RDV JM TEMÁTICA | TE CUENTO BS AS  14/03 SEGURIDAD EJE OESTE</v>
      </c>
      <c r="C589" s="29" t="str">
        <f>IFERROR(__xludf.DUMMYFUNCTION("""COMPUTED_VALUE"""),"Pieza")</f>
        <v>Pieza</v>
      </c>
      <c r="D589" s="28" t="str">
        <f>IFERROR(__xludf.DUMMYFUNCTION("""COMPUTED_VALUE"""),"2762-MARJDGAG")</f>
        <v>2762-MARJDGAG</v>
      </c>
      <c r="E589" s="28" t="str">
        <f>IFERROR(__xludf.DUMMYFUNCTION("""COMPUTED_VALUE"""),"RDV JM | 25/3 CHACARITA")</f>
        <v>RDV JM | 25/3 CHACARITA</v>
      </c>
      <c r="F589" s="28"/>
    </row>
    <row r="590">
      <c r="A590" s="28" t="str">
        <f>IFERROR(__xludf.DUMMYFUNCTION("""COMPUTED_VALUE"""),"2686-MARSEGVC")</f>
        <v>2686-MARSEGVC</v>
      </c>
      <c r="B590" s="28" t="str">
        <f>IFERROR(__xludf.DUMMYFUNCTION("""COMPUTED_VALUE"""),"RDV MINISTROS |  Francisco Quintana 12/3 Comuna 5")</f>
        <v>RDV MINISTROS |  Francisco Quintana 12/3 Comuna 5</v>
      </c>
      <c r="C590" s="29" t="str">
        <f>IFERROR(__xludf.DUMMYFUNCTION("""COMPUTED_VALUE"""),"Pieza")</f>
        <v>Pieza</v>
      </c>
      <c r="D590" s="28" t="str">
        <f>IFERROR(__xludf.DUMMYFUNCTION("""COMPUTED_VALUE"""),"2761-MARJDGAG")</f>
        <v>2761-MARJDGAG</v>
      </c>
      <c r="E590" s="28" t="str">
        <f>IFERROR(__xludf.DUMMYFUNCTION("""COMPUTED_VALUE"""),"RDV JM | 23/3 VILLA PUEYRREDÓN")</f>
        <v>RDV JM | 23/3 VILLA PUEYRREDÓN</v>
      </c>
      <c r="F590" s="28"/>
    </row>
    <row r="591">
      <c r="A591" s="28" t="str">
        <f>IFERROR(__xludf.DUMMYFUNCTION("""COMPUTED_VALUE"""),"2715-MARINFVC")</f>
        <v>2715-MARINFVC</v>
      </c>
      <c r="B591" s="28" t="str">
        <f>IFERROR(__xludf.DUMMYFUNCTION("""COMPUTED_VALUE"""),"RDV MINISTROS | PABLO BERECIARTUA 18/3 COMUNA 3")</f>
        <v>RDV MINISTROS | PABLO BERECIARTUA 18/3 COMUNA 3</v>
      </c>
      <c r="C591" s="29" t="str">
        <f>IFERROR(__xludf.DUMMYFUNCTION("""COMPUTED_VALUE"""),"Pieza")</f>
        <v>Pieza</v>
      </c>
      <c r="D591" s="28" t="str">
        <f>IFERROR(__xludf.DUMMYFUNCTION("""COMPUTED_VALUE"""),"2766-MARPCCVC")</f>
        <v>2766-MARPCCVC</v>
      </c>
      <c r="E591" s="28" t="str">
        <f>IFERROR(__xludf.DUMMYFUNCTION("""COMPUTED_VALUE"""),"Jornada de adopción de mascotas")</f>
        <v>Jornada de adopción de mascotas</v>
      </c>
      <c r="F591" s="28"/>
    </row>
    <row r="592">
      <c r="A592" s="28" t="str">
        <f>IFERROR(__xludf.DUMMYFUNCTION("""COMPUTED_VALUE"""),"2721-MARINFGC")</f>
        <v>2721-MARINFGC</v>
      </c>
      <c r="B592" s="28" t="str">
        <f>IFERROR(__xludf.DUMMYFUNCTION("""COMPUTED_VALUE"""),"Infraestructura | Cambio de recorrido del Bus eléctrico: Usina del Árte")</f>
        <v>Infraestructura | Cambio de recorrido del Bus eléctrico: Usina del Árte</v>
      </c>
      <c r="C592" s="29" t="str">
        <f>IFERROR(__xludf.DUMMYFUNCTION("""COMPUTED_VALUE"""),"Pieza")</f>
        <v>Pieza</v>
      </c>
      <c r="D592" s="28" t="str">
        <f>IFERROR(__xludf.DUMMYFUNCTION("""COMPUTED_VALUE"""),"2766-MARPCCVC")</f>
        <v>2766-MARPCCVC</v>
      </c>
      <c r="E592" s="28" t="str">
        <f>IFERROR(__xludf.DUMMYFUNCTION("""COMPUTED_VALUE"""),"Jornada de adopción de mascotas")</f>
        <v>Jornada de adopción de mascotas</v>
      </c>
      <c r="F592" s="28"/>
    </row>
    <row r="593">
      <c r="A593" s="28" t="str">
        <f>IFERROR(__xludf.DUMMYFUNCTION("""COMPUTED_VALUE"""),"2702-MARJDGVC")</f>
        <v>2702-MARJDGVC</v>
      </c>
      <c r="B593" s="28" t="str">
        <f>IFERROR(__xludf.DUMMYFUNCTION("""COMPUTED_VALUE"""),"RDV MINISTROS | GABRIEL SÁNCHEZ ZINNY 14/3 SAAVEDRA")</f>
        <v>RDV MINISTROS | GABRIEL SÁNCHEZ ZINNY 14/3 SAAVEDRA</v>
      </c>
      <c r="C593" s="29" t="str">
        <f>IFERROR(__xludf.DUMMYFUNCTION("""COMPUTED_VALUE"""),"Pieza")</f>
        <v>Pieza</v>
      </c>
      <c r="D593" s="28" t="str">
        <f>IFERROR(__xludf.DUMMYFUNCTION("""COMPUTED_VALUE"""),"2766-MARPCCVC")</f>
        <v>2766-MARPCCVC</v>
      </c>
      <c r="E593" s="28" t="str">
        <f>IFERROR(__xludf.DUMMYFUNCTION("""COMPUTED_VALUE"""),"Jornada de adopción de mascotas")</f>
        <v>Jornada de adopción de mascotas</v>
      </c>
      <c r="F593" s="28"/>
    </row>
    <row r="594">
      <c r="A594" s="28" t="str">
        <f>IFERROR(__xludf.DUMMYFUNCTION("""COMPUTED_VALUE"""),"1896-SEPEPHGC")</f>
        <v>1896-SEPEPHGC</v>
      </c>
      <c r="B594" s="28" t="str">
        <f>IFERROR(__xludf.DUMMYFUNCTION("""COMPUTED_VALUE"""),"PIEZAS M2 | MEPHU | LIMPIEZA INTENSIVA")</f>
        <v>PIEZAS M2 | MEPHU | LIMPIEZA INTENSIVA</v>
      </c>
      <c r="C594" s="29" t="str">
        <f>IFERROR(__xludf.DUMMYFUNCTION("""COMPUTED_VALUE"""),"Pieza")</f>
        <v>Pieza</v>
      </c>
      <c r="D594" s="28" t="str">
        <f>IFERROR(__xludf.DUMMYFUNCTION("""COMPUTED_VALUE"""),"2766-MARPCCVC")</f>
        <v>2766-MARPCCVC</v>
      </c>
      <c r="E594" s="28" t="str">
        <f>IFERROR(__xludf.DUMMYFUNCTION("""COMPUTED_VALUE"""),"Jornada de adopción de mascotas")</f>
        <v>Jornada de adopción de mascotas</v>
      </c>
      <c r="F594" s="28"/>
    </row>
    <row r="595">
      <c r="A595" s="28" t="str">
        <f>IFERROR(__xludf.DUMMYFUNCTION("""COMPUTED_VALUE"""),"2708-MARSALGC")</f>
        <v>2708-MARSALGC</v>
      </c>
      <c r="B595" s="28" t="str">
        <f>IFERROR(__xludf.DUMMYFUNCTION("""COMPUTED_VALUE"""),"Deploy GDE semana del 9/3")</f>
        <v>Deploy GDE semana del 9/3</v>
      </c>
      <c r="C595" s="29" t="str">
        <f>IFERROR(__xludf.DUMMYFUNCTION("""COMPUTED_VALUE"""),"Pieza")</f>
        <v>Pieza</v>
      </c>
      <c r="D595" s="28" t="str">
        <f>IFERROR(__xludf.DUMMYFUNCTION("""COMPUTED_VALUE"""),"2712-MARFESGC")</f>
        <v>2712-MARFESGC</v>
      </c>
      <c r="E595" s="28" t="str">
        <f>IFERROR(__xludf.DUMMYFUNCTION("""COMPUTED_VALUE"""),"Paseo de Pascuas")</f>
        <v>Paseo de Pascuas</v>
      </c>
      <c r="F595" s="28"/>
    </row>
    <row r="596">
      <c r="A596" s="28" t="str">
        <f>IFERROR(__xludf.DUMMYFUNCTION("""COMPUTED_VALUE"""),"1942-SEPEPHGC")</f>
        <v>1942-SEPEPHGC</v>
      </c>
      <c r="B596" s="28" t="str">
        <f>IFERROR(__xludf.DUMMYFUNCTION("""COMPUTED_VALUE"""),"DGPLES | MEPHU  | REPARACIÓN DE VEREDAS")</f>
        <v>DGPLES | MEPHU  | REPARACIÓN DE VEREDAS</v>
      </c>
      <c r="C596" s="29" t="str">
        <f>IFERROR(__xludf.DUMMYFUNCTION("""COMPUTED_VALUE"""),"Pieza")</f>
        <v>Pieza</v>
      </c>
      <c r="D596" s="28" t="str">
        <f>IFERROR(__xludf.DUMMYFUNCTION("""COMPUTED_VALUE"""),"2712-MARFESGC")</f>
        <v>2712-MARFESGC</v>
      </c>
      <c r="E596" s="28" t="str">
        <f>IFERROR(__xludf.DUMMYFUNCTION("""COMPUTED_VALUE"""),"Paseo de Pascuas")</f>
        <v>Paseo de Pascuas</v>
      </c>
      <c r="F596" s="28"/>
    </row>
    <row r="597">
      <c r="A597" s="28" t="str">
        <f>IFERROR(__xludf.DUMMYFUNCTION("""COMPUTED_VALUE"""),"1946-SEPEPHGC")</f>
        <v>1946-SEPEPHGC</v>
      </c>
      <c r="B597" s="28" t="str">
        <f>IFERROR(__xludf.DUMMYFUNCTION("""COMPUTED_VALUE"""),"CAMPAÑA GCBA | MEPHU  | PLUVIALES")</f>
        <v>CAMPAÑA GCBA | MEPHU  | PLUVIALES</v>
      </c>
      <c r="C597" s="29" t="str">
        <f>IFERROR(__xludf.DUMMYFUNCTION("""COMPUTED_VALUE"""),"Pieza")</f>
        <v>Pieza</v>
      </c>
      <c r="D597" s="28" t="str">
        <f>IFERROR(__xludf.DUMMYFUNCTION("""COMPUTED_VALUE"""),"2712-MARFESGC")</f>
        <v>2712-MARFESGC</v>
      </c>
      <c r="E597" s="28" t="str">
        <f>IFERROR(__xludf.DUMMYFUNCTION("""COMPUTED_VALUE"""),"Paseo de Pascuas")</f>
        <v>Paseo de Pascuas</v>
      </c>
      <c r="F597" s="28"/>
    </row>
    <row r="598">
      <c r="A598" s="28" t="str">
        <f>IFERROR(__xludf.DUMMYFUNCTION("""COMPUTED_VALUE"""),"1943-SEPEPHGC")</f>
        <v>1943-SEPEPHGC</v>
      </c>
      <c r="B598" s="28" t="str">
        <f>IFERROR(__xludf.DUMMYFUNCTION("""COMPUTED_VALUE"""),"DGPLES | MEPHU  | READOQUINADO")</f>
        <v>DGPLES | MEPHU  | READOQUINADO</v>
      </c>
      <c r="C598" s="29" t="str">
        <f>IFERROR(__xludf.DUMMYFUNCTION("""COMPUTED_VALUE"""),"Pieza")</f>
        <v>Pieza</v>
      </c>
      <c r="D598" s="28" t="str">
        <f>IFERROR(__xludf.DUMMYFUNCTION("""COMPUTED_VALUE"""),"2711-MARFESGC")</f>
        <v>2711-MARFESGC</v>
      </c>
      <c r="E598" s="28" t="str">
        <f>IFERROR(__xludf.DUMMYFUNCTION("""COMPUTED_VALUE"""),"Pascuas en plazas y anfiteatros")</f>
        <v>Pascuas en plazas y anfiteatros</v>
      </c>
      <c r="F598" s="28"/>
    </row>
    <row r="599">
      <c r="A599" s="28" t="str">
        <f>IFERROR(__xludf.DUMMYFUNCTION("""COMPUTED_VALUE"""),"1964-SEPEPHGC")</f>
        <v>1964-SEPEPHGC</v>
      </c>
      <c r="B599" s="28" t="str">
        <f>IFERROR(__xludf.DUMMYFUNCTION("""COMPUTED_VALUE"""),"MEPHU RECAMBIO TECNOLÓGICO M2")</f>
        <v>MEPHU RECAMBIO TECNOLÓGICO M2</v>
      </c>
      <c r="C599" s="29" t="str">
        <f>IFERROR(__xludf.DUMMYFUNCTION("""COMPUTED_VALUE"""),"Pieza")</f>
        <v>Pieza</v>
      </c>
      <c r="D599" s="28" t="str">
        <f>IFERROR(__xludf.DUMMYFUNCTION("""COMPUTED_VALUE"""),"2711-MARFESGC")</f>
        <v>2711-MARFESGC</v>
      </c>
      <c r="E599" s="28" t="str">
        <f>IFERROR(__xludf.DUMMYFUNCTION("""COMPUTED_VALUE"""),"Pascuas en plazas y anfiteatros")</f>
        <v>Pascuas en plazas y anfiteatros</v>
      </c>
      <c r="F599" s="28"/>
    </row>
    <row r="600">
      <c r="A600" s="28" t="str">
        <f>IFERROR(__xludf.DUMMYFUNCTION("""COMPUTED_VALUE"""),"2722-MARJDGAG")</f>
        <v>2722-MARJDGAG</v>
      </c>
      <c r="B600" s="28" t="str">
        <f>IFERROR(__xludf.DUMMYFUNCTION("""COMPUTED_VALUE"""),"RDV JM 16/3 VILLA ORTUZAR")</f>
        <v>RDV JM 16/3 VILLA ORTUZAR</v>
      </c>
      <c r="C600" s="29" t="str">
        <f>IFERROR(__xludf.DUMMYFUNCTION("""COMPUTED_VALUE"""),"Pieza")</f>
        <v>Pieza</v>
      </c>
      <c r="D600" s="28" t="str">
        <f>IFERROR(__xludf.DUMMYFUNCTION("""COMPUTED_VALUE"""),"2711-MARFESGC")</f>
        <v>2711-MARFESGC</v>
      </c>
      <c r="E600" s="28" t="str">
        <f>IFERROR(__xludf.DUMMYFUNCTION("""COMPUTED_VALUE"""),"Pascuas en plazas y anfiteatros")</f>
        <v>Pascuas en plazas y anfiteatros</v>
      </c>
      <c r="F600" s="28"/>
    </row>
    <row r="601">
      <c r="A601" s="28" t="str">
        <f>IFERROR(__xludf.DUMMYFUNCTION("""COMPUTED_VALUE"""),"2033-SEPEPHGC")</f>
        <v>2033-SEPEPHGC</v>
      </c>
      <c r="B601" s="28" t="str">
        <f>IFERROR(__xludf.DUMMYFUNCTION("""COMPUTED_VALUE"""),"M2 PODA")</f>
        <v>M2 PODA</v>
      </c>
      <c r="C601" s="29" t="str">
        <f>IFERROR(__xludf.DUMMYFUNCTION("""COMPUTED_VALUE"""),"Pieza")</f>
        <v>Pieza</v>
      </c>
      <c r="D601" s="28" t="str">
        <f>IFERROR(__xludf.DUMMYFUNCTION("""COMPUTED_VALUE"""),"2768-MARINNCG")</f>
        <v>2768-MARINNCG</v>
      </c>
      <c r="E601" s="28" t="str">
        <f>IFERROR(__xludf.DUMMYFUNCTION("""COMPUTED_VALUE"""),"Pauta canal de YT | Peajes Inteligentes")</f>
        <v>Pauta canal de YT | Peajes Inteligentes</v>
      </c>
      <c r="F601" s="28"/>
    </row>
    <row r="602">
      <c r="A602" s="28" t="str">
        <f>IFERROR(__xludf.DUMMYFUNCTION("""COMPUTED_VALUE"""),"2714-MAREPHGC")</f>
        <v>2714-MAREPHGC</v>
      </c>
      <c r="B602" s="28" t="str">
        <f>IFERROR(__xludf.DUMMYFUNCTION("""COMPUTED_VALUE"""),"RDV MINISTROS | IGNACIO BAISTROCCHI 16/3 COMUNA 1")</f>
        <v>RDV MINISTROS | IGNACIO BAISTROCCHI 16/3 COMUNA 1</v>
      </c>
      <c r="C602" s="29" t="str">
        <f>IFERROR(__xludf.DUMMYFUNCTION("""COMPUTED_VALUE"""),"Pieza")</f>
        <v>Pieza</v>
      </c>
      <c r="D602" s="28" t="str">
        <f>IFERROR(__xludf.DUMMYFUNCTION("""COMPUTED_VALUE"""),"2768-MARINNCG")</f>
        <v>2768-MARINNCG</v>
      </c>
      <c r="E602" s="28" t="str">
        <f>IFERROR(__xludf.DUMMYFUNCTION("""COMPUTED_VALUE"""),"Pauta canal de YT | Peajes Inteligentes")</f>
        <v>Pauta canal de YT | Peajes Inteligentes</v>
      </c>
      <c r="F602" s="28"/>
    </row>
    <row r="603">
      <c r="A603" s="28" t="str">
        <f>IFERROR(__xludf.DUMMYFUNCTION("""COMPUTED_VALUE"""),"2722-MARJDGAG")</f>
        <v>2722-MARJDGAG</v>
      </c>
      <c r="B603" s="28" t="str">
        <f>IFERROR(__xludf.DUMMYFUNCTION("""COMPUTED_VALUE"""),"RDV JM 16/3 VILLA ORTUZAR")</f>
        <v>RDV JM 16/3 VILLA ORTUZAR</v>
      </c>
      <c r="C603" s="29" t="str">
        <f>IFERROR(__xludf.DUMMYFUNCTION("""COMPUTED_VALUE"""),"Pieza")</f>
        <v>Pieza</v>
      </c>
      <c r="D603" s="28" t="str">
        <f>IFERROR(__xludf.DUMMYFUNCTION("""COMPUTED_VALUE"""),"2759-MARCULGC")</f>
        <v>2759-MARCULGC</v>
      </c>
      <c r="E603" s="28" t="str">
        <f>IFERROR(__xludf.DUMMYFUNCTION("""COMPUTED_VALUE"""),"Entradas a charla de John Malkovich")</f>
        <v>Entradas a charla de John Malkovich</v>
      </c>
      <c r="F603" s="28"/>
    </row>
    <row r="604">
      <c r="A604" s="28" t="str">
        <f>IFERROR(__xludf.DUMMYFUNCTION("""COMPUTED_VALUE"""),"2723-MARJDGAG")</f>
        <v>2723-MARJDGAG</v>
      </c>
      <c r="B604" s="28" t="str">
        <f>IFERROR(__xludf.DUMMYFUNCTION("""COMPUTED_VALUE"""),"RDV JM 18/3 LA BOCA")</f>
        <v>RDV JM 18/3 LA BOCA</v>
      </c>
      <c r="C604" s="29" t="str">
        <f>IFERROR(__xludf.DUMMYFUNCTION("""COMPUTED_VALUE"""),"Pieza")</f>
        <v>Pieza</v>
      </c>
      <c r="D604" s="28" t="str">
        <f>IFERROR(__xludf.DUMMYFUNCTION("""COMPUTED_VALUE"""),"2759-MARCULGC")</f>
        <v>2759-MARCULGC</v>
      </c>
      <c r="E604" s="28" t="str">
        <f>IFERROR(__xludf.DUMMYFUNCTION("""COMPUTED_VALUE"""),"Entradas a charla de John Malkovich")</f>
        <v>Entradas a charla de John Malkovich</v>
      </c>
      <c r="F604" s="28"/>
    </row>
    <row r="605">
      <c r="A605" s="28" t="str">
        <f>IFERROR(__xludf.DUMMYFUNCTION("""COMPUTED_VALUE"""),"2728-MARSEGVC")</f>
        <v>2728-MARSEGVC</v>
      </c>
      <c r="B605" s="28" t="str">
        <f>IFERROR(__xludf.DUMMYFUNCTION("""COMPUTED_VALUE"""),"RDV Ministros | Gabino Tapia 19/3 Comuna 10")</f>
        <v>RDV Ministros | Gabino Tapia 19/3 Comuna 10</v>
      </c>
      <c r="C605" s="29" t="str">
        <f>IFERROR(__xludf.DUMMYFUNCTION("""COMPUTED_VALUE"""),"Pieza")</f>
        <v>Pieza</v>
      </c>
      <c r="D605" s="28" t="str">
        <f>IFERROR(__xludf.DUMMYFUNCTION("""COMPUTED_VALUE"""),"2764-MARJDGVC")</f>
        <v>2764-MARJDGVC</v>
      </c>
      <c r="E605" s="28" t="str">
        <f>IFERROR(__xludf.DUMMYFUNCTION("""COMPUTED_VALUE"""),"RDV MINISTROS | GABRIEL SÁNCHEZ ZINNY 28/3 SAN CRISTÓBAL")</f>
        <v>RDV MINISTROS | GABRIEL SÁNCHEZ ZINNY 28/3 SAN CRISTÓBAL</v>
      </c>
      <c r="F605" s="28"/>
    </row>
    <row r="606">
      <c r="A606" s="28" t="str">
        <f>IFERROR(__xludf.DUMMYFUNCTION("""COMPUTED_VALUE"""),"2697-MARJDGAG")</f>
        <v>2697-MARJDGAG</v>
      </c>
      <c r="B606" s="28" t="str">
        <f>IFERROR(__xludf.DUMMYFUNCTION("""COMPUTED_VALUE"""),"RDV JM TEMÁTICA | TE CUENTO BS AS  14/03 SEGURIDAD EJE OESTE")</f>
        <v>RDV JM TEMÁTICA | TE CUENTO BS AS  14/03 SEGURIDAD EJE OESTE</v>
      </c>
      <c r="C606" s="29" t="str">
        <f>IFERROR(__xludf.DUMMYFUNCTION("""COMPUTED_VALUE"""),"Pieza")</f>
        <v>Pieza</v>
      </c>
      <c r="D606" s="28" t="str">
        <f>IFERROR(__xludf.DUMMYFUNCTION("""COMPUTED_VALUE"""),"2772-MARSALCG")</f>
        <v>2772-MARSALCG</v>
      </c>
      <c r="E606" s="28" t="str">
        <f>IFERROR(__xludf.DUMMYFUNCTION("""COMPUTED_VALUE"""),"Realidad Aumentada en Hospitales")</f>
        <v>Realidad Aumentada en Hospitales</v>
      </c>
      <c r="F606" s="28"/>
    </row>
    <row r="607">
      <c r="A607" s="28" t="str">
        <f>IFERROR(__xludf.DUMMYFUNCTION("""COMPUTED_VALUE"""),"2702-MARJDGVC")</f>
        <v>2702-MARJDGVC</v>
      </c>
      <c r="B607" s="28" t="str">
        <f>IFERROR(__xludf.DUMMYFUNCTION("""COMPUTED_VALUE"""),"RDV MINISTROS | GABRIEL SÁNCHEZ ZINNY 14/3 SAAVEDRA")</f>
        <v>RDV MINISTROS | GABRIEL SÁNCHEZ ZINNY 14/3 SAAVEDRA</v>
      </c>
      <c r="C607" s="29" t="str">
        <f>IFERROR(__xludf.DUMMYFUNCTION("""COMPUTED_VALUE"""),"Pieza")</f>
        <v>Pieza</v>
      </c>
      <c r="D607" s="28" t="str">
        <f>IFERROR(__xludf.DUMMYFUNCTION("""COMPUTED_VALUE"""),"2777-MARJDGVC")</f>
        <v>2777-MARJDGVC</v>
      </c>
      <c r="E607" s="28" t="str">
        <f>IFERROR(__xludf.DUMMYFUNCTION("""COMPUTED_VALUE"""),"RDV MINISTROS | GABRIEL SÁNCHEZ ZINNY 30/3  MATADEROS")</f>
        <v>RDV MINISTROS | GABRIEL SÁNCHEZ ZINNY 30/3  MATADEROS</v>
      </c>
      <c r="F607" s="28"/>
    </row>
    <row r="608">
      <c r="A608" s="28" t="str">
        <f>IFERROR(__xludf.DUMMYFUNCTION("""COMPUTED_VALUE"""),"2727-MARSEGVC")</f>
        <v>2727-MARSEGVC</v>
      </c>
      <c r="B608" s="28" t="str">
        <f>IFERROR(__xludf.DUMMYFUNCTION("""COMPUTED_VALUE"""),"RDV Ministros | Horacio Giménez 19/3 Comuna 9")</f>
        <v>RDV Ministros | Horacio Giménez 19/3 Comuna 9</v>
      </c>
      <c r="C608" s="29" t="str">
        <f>IFERROR(__xludf.DUMMYFUNCTION("""COMPUTED_VALUE"""),"Pieza")</f>
        <v>Pieza</v>
      </c>
      <c r="D608" s="28" t="str">
        <f>IFERROR(__xludf.DUMMYFUNCTION("""COMPUTED_VALUE"""),"2783-MAREDUVC")</f>
        <v>2783-MAREDUVC</v>
      </c>
      <c r="E608" s="28" t="str">
        <f>IFERROR(__xludf.DUMMYFUNCTION("""COMPUTED_VALUE"""),"RDV MINISTROS | MM |  COMUNA 2  || 30/3")</f>
        <v>RDV MINISTROS | MM |  COMUNA 2  || 30/3</v>
      </c>
      <c r="F608" s="28"/>
    </row>
    <row r="609">
      <c r="A609" s="28" t="str">
        <f>IFERROR(__xludf.DUMMYFUNCTION("""COMPUTED_VALUE"""),"2698-MARSEGGJ")</f>
        <v>2698-MARSEGGJ</v>
      </c>
      <c r="B609" s="28" t="str">
        <f>IFERROR(__xludf.DUMMYFUNCTION("""COMPUTED_VALUE"""),"Desalojo en San Cristóbal")</f>
        <v>Desalojo en San Cristóbal</v>
      </c>
      <c r="C609" s="29" t="str">
        <f>IFERROR(__xludf.DUMMYFUNCTION("""COMPUTED_VALUE"""),"Pieza")</f>
        <v>Pieza</v>
      </c>
      <c r="D609" s="28" t="str">
        <f>IFERROR(__xludf.DUMMYFUNCTION("""COMPUTED_VALUE"""),"2761-MARJDGAG")</f>
        <v>2761-MARJDGAG</v>
      </c>
      <c r="E609" s="28" t="str">
        <f>IFERROR(__xludf.DUMMYFUNCTION("""COMPUTED_VALUE"""),"RDV JM | 23/3 VILLA PUEYRREDÓN")</f>
        <v>RDV JM | 23/3 VILLA PUEYRREDÓN</v>
      </c>
      <c r="F609" s="28"/>
    </row>
    <row r="610">
      <c r="A610" s="28" t="str">
        <f>IFERROR(__xludf.DUMMYFUNCTION("""COMPUTED_VALUE"""),"2699-MARTURGC")</f>
        <v>2699-MARTURGC</v>
      </c>
      <c r="B610" s="28" t="str">
        <f>IFERROR(__xludf.DUMMYFUNCTION("""COMPUTED_VALUE"""),"Sondeo Hotelero por fin de semana largo 16/3")</f>
        <v>Sondeo Hotelero por fin de semana largo 16/3</v>
      </c>
      <c r="C610" s="29" t="str">
        <f>IFERROR(__xludf.DUMMYFUNCTION("""COMPUTED_VALUE"""),"Pieza")</f>
        <v>Pieza</v>
      </c>
      <c r="D610" s="28" t="str">
        <f>IFERROR(__xludf.DUMMYFUNCTION("""COMPUTED_VALUE"""),"2788-MARFESGC")</f>
        <v>2788-MARFESGC</v>
      </c>
      <c r="E610" s="28" t="str">
        <f>IFERROR(__xludf.DUMMYFUNCTION("""COMPUTED_VALUE"""),"Evento Experiencia BA")</f>
        <v>Evento Experiencia BA</v>
      </c>
      <c r="F610" s="28"/>
    </row>
    <row r="611">
      <c r="A611" s="28" t="str">
        <f>IFERROR(__xludf.DUMMYFUNCTION("""COMPUTED_VALUE"""),"2689-MARSALVC")</f>
        <v>2689-MARSALVC</v>
      </c>
      <c r="B611" s="28" t="str">
        <f>IFERROR(__xludf.DUMMYFUNCTION("""COMPUTED_VALUE"""),"RDV Ministros | Fernán Quirós - 13/03")</f>
        <v>RDV Ministros | Fernán Quirós - 13/03</v>
      </c>
      <c r="C611" s="29" t="str">
        <f>IFERROR(__xludf.DUMMYFUNCTION("""COMPUTED_VALUE"""),"Pieza")</f>
        <v>Pieza</v>
      </c>
      <c r="D611" s="28" t="str">
        <f>IFERROR(__xludf.DUMMYFUNCTION("""COMPUTED_VALUE"""),"2776-MARVINVC")</f>
        <v>2776-MARVINVC</v>
      </c>
      <c r="E611" s="28" t="str">
        <f>IFERROR(__xludf.DUMMYFUNCTION("""COMPUTED_VALUE"""),"RDV MINISTROS | EZEQUIEL SABOR 30/3 COMUNA 7")</f>
        <v>RDV MINISTROS | EZEQUIEL SABOR 30/3 COMUNA 7</v>
      </c>
      <c r="F611" s="28"/>
    </row>
    <row r="612">
      <c r="A612" s="28" t="str">
        <f>IFERROR(__xludf.DUMMYFUNCTION("""COMPUTED_VALUE"""),"1946-SEPEPHGC")</f>
        <v>1946-SEPEPHGC</v>
      </c>
      <c r="B612" s="28" t="str">
        <f>IFERROR(__xludf.DUMMYFUNCTION("""COMPUTED_VALUE"""),"CAMPAÑA GCBA | MEPHU  | PLUVIALES")</f>
        <v>CAMPAÑA GCBA | MEPHU  | PLUVIALES</v>
      </c>
      <c r="C612" s="29" t="str">
        <f>IFERROR(__xludf.DUMMYFUNCTION("""COMPUTED_VALUE"""),"Pieza")</f>
        <v>Pieza</v>
      </c>
      <c r="D612" s="28" t="str">
        <f>IFERROR(__xludf.DUMMYFUNCTION("""COMPUTED_VALUE"""),"2780-MARINFVC")</f>
        <v>2780-MARINFVC</v>
      </c>
      <c r="E612" s="28" t="str">
        <f>IFERROR(__xludf.DUMMYFUNCTION("""COMPUTED_VALUE"""),"RDV MINISTROS | PABLO BERECIARTUA 1/4 COMUNA 12")</f>
        <v>RDV MINISTROS | PABLO BERECIARTUA 1/4 COMUNA 12</v>
      </c>
      <c r="F612" s="28"/>
    </row>
    <row r="613">
      <c r="A613" s="28" t="str">
        <f>IFERROR(__xludf.DUMMYFUNCTION("""COMPUTED_VALUE"""),"1895-SEPEPHGC")</f>
        <v>1895-SEPEPHGC</v>
      </c>
      <c r="B613" s="28" t="str">
        <f>IFERROR(__xludf.DUMMYFUNCTION("""COMPUTED_VALUE"""),"PIEZAS M2 | MEPHU | REPAVIMENTACIÓN")</f>
        <v>PIEZAS M2 | MEPHU | REPAVIMENTACIÓN</v>
      </c>
      <c r="C613" s="29" t="str">
        <f>IFERROR(__xludf.DUMMYFUNCTION("""COMPUTED_VALUE"""),"Pieza")</f>
        <v>Pieza</v>
      </c>
      <c r="D613" s="28" t="str">
        <f>IFERROR(__xludf.DUMMYFUNCTION("""COMPUTED_VALUE"""),"2787-MARINFGC")</f>
        <v>2787-MARINFGC</v>
      </c>
      <c r="E613" s="28" t="str">
        <f>IFERROR(__xludf.DUMMYFUNCTION("""COMPUTED_VALUE"""),"INFRAESTRUCTURA  | Cortes y desvíos en Velez: Tan Bionica")</f>
        <v>INFRAESTRUCTURA  | Cortes y desvíos en Velez: Tan Bionica</v>
      </c>
      <c r="F613" s="28"/>
    </row>
    <row r="614">
      <c r="A614" s="28" t="str">
        <f>IFERROR(__xludf.DUMMYFUNCTION("""COMPUTED_VALUE"""),"2719-MARJDGVC")</f>
        <v>2719-MARJDGVC</v>
      </c>
      <c r="B614" s="28" t="str">
        <f>IFERROR(__xludf.DUMMYFUNCTION("""COMPUTED_VALUE"""),"RDV MINISTROS | GABRIEL SÁNCHEZ ZINNY 19/3 PARQUE CHAS")</f>
        <v>RDV MINISTROS | GABRIEL SÁNCHEZ ZINNY 19/3 PARQUE CHAS</v>
      </c>
      <c r="C614" s="29" t="str">
        <f>IFERROR(__xludf.DUMMYFUNCTION("""COMPUTED_VALUE"""),"Pieza")</f>
        <v>Pieza</v>
      </c>
      <c r="D614" s="28" t="str">
        <f>IFERROR(__xludf.DUMMYFUNCTION("""COMPUTED_VALUE"""),"2781-MARJDGVC")</f>
        <v>2781-MARJDGVC</v>
      </c>
      <c r="E614" s="28" t="str">
        <f>IFERROR(__xludf.DUMMYFUNCTION("""COMPUTED_VALUE"""),"RDV MINISTROS | GABRIEL SÁNCHEZ ZINNY 1/4  MONTSERRAT")</f>
        <v>RDV MINISTROS | GABRIEL SÁNCHEZ ZINNY 1/4  MONTSERRAT</v>
      </c>
      <c r="F614" s="28"/>
    </row>
    <row r="615">
      <c r="A615" s="28" t="str">
        <f>IFERROR(__xludf.DUMMYFUNCTION("""COMPUTED_VALUE"""),"2729-MARSEGVC")</f>
        <v>2729-MARSEGVC</v>
      </c>
      <c r="B615" s="28" t="str">
        <f>IFERROR(__xludf.DUMMYFUNCTION("""COMPUTED_VALUE"""),"RDV Ministros | Ruth Landerreche 19/3 Comuna 11")</f>
        <v>RDV Ministros | Ruth Landerreche 19/3 Comuna 11</v>
      </c>
      <c r="C615" s="29" t="str">
        <f>IFERROR(__xludf.DUMMYFUNCTION("""COMPUTED_VALUE"""),"Pieza")</f>
        <v>Pieza</v>
      </c>
      <c r="D615" s="28" t="str">
        <f>IFERROR(__xludf.DUMMYFUNCTION("""COMPUTED_VALUE"""),"2786-MARDECAN")</f>
        <v>2786-MARDECAN</v>
      </c>
      <c r="E615" s="28" t="str">
        <f>IFERROR(__xludf.DUMMYFUNCTION("""COMPUTED_VALUE"""),"ANUNCIO JM | DISTRITO IA")</f>
        <v>ANUNCIO JM | DISTRITO IA</v>
      </c>
      <c r="F615" s="28"/>
    </row>
    <row r="616">
      <c r="A616" s="28" t="str">
        <f>IFERROR(__xludf.DUMMYFUNCTION("""COMPUTED_VALUE"""),"2687-MARSEGVC")</f>
        <v>2687-MARSEGVC</v>
      </c>
      <c r="B616" s="28" t="str">
        <f>IFERROR(__xludf.DUMMYFUNCTION("""COMPUTED_VALUE"""),"RDV MINISTROS |  Ruth Landerrche 12/3 Comuna 6")</f>
        <v>RDV MINISTROS |  Ruth Landerrche 12/3 Comuna 6</v>
      </c>
      <c r="C616" s="29" t="str">
        <f>IFERROR(__xludf.DUMMYFUNCTION("""COMPUTED_VALUE"""),"Pieza")</f>
        <v>Pieza</v>
      </c>
      <c r="D616" s="28" t="str">
        <f>IFERROR(__xludf.DUMMYFUNCTION("""COMPUTED_VALUE"""),"2786-MARDECAN")</f>
        <v>2786-MARDECAN</v>
      </c>
      <c r="E616" s="28" t="str">
        <f>IFERROR(__xludf.DUMMYFUNCTION("""COMPUTED_VALUE"""),"ANUNCIO JM | DISTRITO IA")</f>
        <v>ANUNCIO JM | DISTRITO IA</v>
      </c>
      <c r="F616" s="28"/>
    </row>
    <row r="617">
      <c r="A617" s="28" t="str">
        <f>IFERROR(__xludf.DUMMYFUNCTION("""COMPUTED_VALUE"""),"1921-SEPAMBGC")</f>
        <v>1921-SEPAMBGC</v>
      </c>
      <c r="B617" s="28" t="str">
        <f>IFERROR(__xludf.DUMMYFUNCTION("""COMPUTED_VALUE"""),"Vacunación Antirrabica Animales")</f>
        <v>Vacunación Antirrabica Animales</v>
      </c>
      <c r="C617" s="29" t="str">
        <f>IFERROR(__xludf.DUMMYFUNCTION("""COMPUTED_VALUE"""),"Pieza")</f>
        <v>Pieza</v>
      </c>
      <c r="D617" s="28" t="str">
        <f>IFERROR(__xludf.DUMMYFUNCTION("""COMPUTED_VALUE"""),"2698-MARSEGGJ")</f>
        <v>2698-MARSEGGJ</v>
      </c>
      <c r="E617" s="28" t="str">
        <f>IFERROR(__xludf.DUMMYFUNCTION("""COMPUTED_VALUE"""),"Desalojo en San Cristóbal")</f>
        <v>Desalojo en San Cristóbal</v>
      </c>
      <c r="F617" s="28"/>
    </row>
    <row r="618">
      <c r="A618" s="28" t="str">
        <f>IFERROR(__xludf.DUMMYFUNCTION("""COMPUTED_VALUE"""),"2723-MARJDGAG")</f>
        <v>2723-MARJDGAG</v>
      </c>
      <c r="B618" s="28" t="str">
        <f>IFERROR(__xludf.DUMMYFUNCTION("""COMPUTED_VALUE"""),"RDV JM 18/3 LA BOCA")</f>
        <v>RDV JM 18/3 LA BOCA</v>
      </c>
      <c r="C618" s="29" t="str">
        <f>IFERROR(__xludf.DUMMYFUNCTION("""COMPUTED_VALUE"""),"Pieza")</f>
        <v>Pieza</v>
      </c>
      <c r="D618" s="28" t="str">
        <f>IFERROR(__xludf.DUMMYFUNCTION("""COMPUTED_VALUE"""),"2698-MARSEGGJ")</f>
        <v>2698-MARSEGGJ</v>
      </c>
      <c r="E618" s="28" t="str">
        <f>IFERROR(__xludf.DUMMYFUNCTION("""COMPUTED_VALUE"""),"Desalojo en San Cristóbal")</f>
        <v>Desalojo en San Cristóbal</v>
      </c>
      <c r="F618" s="28"/>
    </row>
    <row r="619">
      <c r="A619" s="28" t="str">
        <f>IFERROR(__xludf.DUMMYFUNCTION("""COMPUTED_VALUE"""),"2740-MARAMBVC")</f>
        <v>2740-MARAMBVC</v>
      </c>
      <c r="B619" s="28" t="str">
        <f>IFERROR(__xludf.DUMMYFUNCTION("""COMPUTED_VALUE"""),"RDV Ministros | Clara Muzzio - 20/03")</f>
        <v>RDV Ministros | Clara Muzzio - 20/03</v>
      </c>
      <c r="C619" s="29" t="str">
        <f>IFERROR(__xludf.DUMMYFUNCTION("""COMPUTED_VALUE"""),"Pieza")</f>
        <v>Pieza</v>
      </c>
      <c r="D619" s="28" t="str">
        <f>IFERROR(__xludf.DUMMYFUNCTION("""COMPUTED_VALUE"""),"2778-MARDHHVC")</f>
        <v>2778-MARDHHVC</v>
      </c>
      <c r="E619" s="28" t="str">
        <f>IFERROR(__xludf.DUMMYFUNCTION("""COMPUTED_VALUE"""),"RDV Ministros | Gabriel Mraida - Comuna 15")</f>
        <v>RDV Ministros | Gabriel Mraida - Comuna 15</v>
      </c>
      <c r="F619" s="28"/>
    </row>
    <row r="620">
      <c r="A620" s="28" t="str">
        <f>IFERROR(__xludf.DUMMYFUNCTION("""COMPUTED_VALUE"""),"2715-MARINFVC")</f>
        <v>2715-MARINFVC</v>
      </c>
      <c r="B620" s="28" t="str">
        <f>IFERROR(__xludf.DUMMYFUNCTION("""COMPUTED_VALUE"""),"RDV MINISTROS | PABLO BERECIARTUA 18/3 COMUNA 3")</f>
        <v>RDV MINISTROS | PABLO BERECIARTUA 18/3 COMUNA 3</v>
      </c>
      <c r="C620" s="29" t="str">
        <f>IFERROR(__xludf.DUMMYFUNCTION("""COMPUTED_VALUE"""),"Pieza")</f>
        <v>Pieza</v>
      </c>
      <c r="D620" s="28" t="str">
        <f>IFERROR(__xludf.DUMMYFUNCTION("""COMPUTED_VALUE"""),"2784-MARDECVC")</f>
        <v>2784-MARDECVC</v>
      </c>
      <c r="E620" s="28" t="str">
        <f>IFERROR(__xludf.DUMMYFUNCTION("""COMPUTED_VALUE"""),"RDV MINISTROS | ARENGO,PIRAGINE,LOMBARDI | EJE NORTE | 30/3")</f>
        <v>RDV MINISTROS | ARENGO,PIRAGINE,LOMBARDI | EJE NORTE | 30/3</v>
      </c>
      <c r="F620" s="28"/>
    </row>
    <row r="621">
      <c r="A621" s="28" t="str">
        <f>IFERROR(__xludf.DUMMYFUNCTION("""COMPUTED_VALUE"""),"2589-FEBSALGJ")</f>
        <v>2589-FEBSALGJ</v>
      </c>
      <c r="B621" s="28" t="str">
        <f>IFERROR(__xludf.DUMMYFUNCTION("""COMPUTED_VALUE"""),"Nuevo CEMAR 3")</f>
        <v>Nuevo CEMAR 3</v>
      </c>
      <c r="C621" s="29" t="str">
        <f>IFERROR(__xludf.DUMMYFUNCTION("""COMPUTED_VALUE"""),"Pieza")</f>
        <v>Pieza</v>
      </c>
      <c r="D621" s="28" t="str">
        <f>IFERROR(__xludf.DUMMYFUNCTION("""COMPUTED_VALUE"""),"2784-MARDECVC")</f>
        <v>2784-MARDECVC</v>
      </c>
      <c r="E621" s="28" t="str">
        <f>IFERROR(__xludf.DUMMYFUNCTION("""COMPUTED_VALUE"""),"RDV MINISTROS | ARENGO,PIRAGINE,LOMBARDI | EJE NORTE | 30/3")</f>
        <v>RDV MINISTROS | ARENGO,PIRAGINE,LOMBARDI | EJE NORTE | 30/3</v>
      </c>
      <c r="F621" s="28"/>
    </row>
    <row r="622">
      <c r="A622" s="28" t="str">
        <f>IFERROR(__xludf.DUMMYFUNCTION("""COMPUTED_VALUE"""),"2706-MARINFGC")</f>
        <v>2706-MARINFGC</v>
      </c>
      <c r="B622" s="28" t="str">
        <f>IFERROR(__xludf.DUMMYFUNCTION("""COMPUTED_VALUE""")," Infraestructura I Cambio de sentido Caranday")</f>
        <v> Infraestructura I Cambio de sentido Caranday</v>
      </c>
      <c r="C622" s="29" t="str">
        <f>IFERROR(__xludf.DUMMYFUNCTION("""COMPUTED_VALUE"""),"Pieza")</f>
        <v>Pieza</v>
      </c>
      <c r="D622" s="28" t="str">
        <f>IFERROR(__xludf.DUMMYFUNCTION("""COMPUTED_VALUE"""),"2737-MARSALGJ")</f>
        <v>2737-MARSALGJ</v>
      </c>
      <c r="E622" s="28" t="str">
        <f>IFERROR(__xludf.DUMMYFUNCTION("""COMPUTED_VALUE"""),"CAMPAÑA GCBA/AGENDA JM | SALUD | HTAL. ZUBIZARRETA: RECORRIDA OBRAS")</f>
        <v>CAMPAÑA GCBA/AGENDA JM | SALUD | HTAL. ZUBIZARRETA: RECORRIDA OBRAS</v>
      </c>
      <c r="F622" s="28"/>
    </row>
    <row r="623">
      <c r="A623" s="28" t="str">
        <f>IFERROR(__xludf.DUMMYFUNCTION("""COMPUTED_VALUE"""),"2685-MARSEGVC")</f>
        <v>2685-MARSEGVC</v>
      </c>
      <c r="B623" s="28" t="str">
        <f>IFERROR(__xludf.DUMMYFUNCTION("""COMPUTED_VALUE"""),"RDV MINISTROS |  Horacio Gimenez 12/3 Comuna 4")</f>
        <v>RDV MINISTROS |  Horacio Gimenez 12/3 Comuna 4</v>
      </c>
      <c r="C623" s="29" t="str">
        <f>IFERROR(__xludf.DUMMYFUNCTION("""COMPUTED_VALUE"""),"Pieza")</f>
        <v>Pieza</v>
      </c>
      <c r="D623" s="28" t="str">
        <f>IFERROR(__xludf.DUMMYFUNCTION("""COMPUTED_VALUE"""),"2737-MARSALGJ")</f>
        <v>2737-MARSALGJ</v>
      </c>
      <c r="E623" s="28" t="str">
        <f>IFERROR(__xludf.DUMMYFUNCTION("""COMPUTED_VALUE"""),"CAMPAÑA GCBA/AGENDA JM | SALUD | HTAL. ZUBIZARRETA: RECORRIDA OBRAS")</f>
        <v>CAMPAÑA GCBA/AGENDA JM | SALUD | HTAL. ZUBIZARRETA: RECORRIDA OBRAS</v>
      </c>
      <c r="F623" s="28"/>
    </row>
    <row r="624">
      <c r="A624" s="28" t="str">
        <f>IFERROR(__xludf.DUMMYFUNCTION("""COMPUTED_VALUE"""),"2736-MARJDGVC")</f>
        <v>2736-MARJDGVC</v>
      </c>
      <c r="B624" s="28" t="str">
        <f>IFERROR(__xludf.DUMMYFUNCTION("""COMPUTED_VALUE"""),"RDV MINISTROS | GABRIEL SÁNCHEZ ZINNY 20/3 PUERTO MADERO")</f>
        <v>RDV MINISTROS | GABRIEL SÁNCHEZ ZINNY 20/3 PUERTO MADERO</v>
      </c>
      <c r="C624" s="29" t="str">
        <f>IFERROR(__xludf.DUMMYFUNCTION("""COMPUTED_VALUE"""),"Pieza")</f>
        <v>Pieza</v>
      </c>
      <c r="D624" s="28" t="str">
        <f>IFERROR(__xludf.DUMMYFUNCTION("""COMPUTED_VALUE"""),"2782-MARJDGAG")</f>
        <v>2782-MARJDGAG</v>
      </c>
      <c r="E624" s="28" t="str">
        <f>IFERROR(__xludf.DUMMYFUNCTION("""COMPUTED_VALUE"""),"RDV JM | 30/3 VILLA SANTA RITA")</f>
        <v>RDV JM | 30/3 VILLA SANTA RITA</v>
      </c>
      <c r="F624" s="28"/>
    </row>
    <row r="625">
      <c r="A625" s="28" t="str">
        <f>IFERROR(__xludf.DUMMYFUNCTION("""COMPUTED_VALUE"""),"2703-MARJDGVC")</f>
        <v>2703-MARJDGVC</v>
      </c>
      <c r="B625" s="28" t="str">
        <f>IFERROR(__xludf.DUMMYFUNCTION("""COMPUTED_VALUE"""),"RDV MINISTROS | GABRIEL SÁNCHEZ ZINNY 13/3 SAN TELMO")</f>
        <v>RDV MINISTROS | GABRIEL SÁNCHEZ ZINNY 13/3 SAN TELMO</v>
      </c>
      <c r="C625" s="29" t="str">
        <f>IFERROR(__xludf.DUMMYFUNCTION("""COMPUTED_VALUE"""),"Pieza")</f>
        <v>Pieza</v>
      </c>
      <c r="D625" s="28" t="str">
        <f>IFERROR(__xludf.DUMMYFUNCTION("""COMPUTED_VALUE"""),"2789-MARINFGC")</f>
        <v>2789-MARINFGC</v>
      </c>
      <c r="E625" s="28" t="str">
        <f>IFERROR(__xludf.DUMMYFUNCTION("""COMPUTED_VALUE""")," Infraestructura I Cortes en Dellepiane por obras (30/3)")</f>
        <v> Infraestructura I Cortes en Dellepiane por obras (30/3)</v>
      </c>
      <c r="F625" s="28"/>
    </row>
    <row r="626">
      <c r="A626" s="28" t="str">
        <f>IFERROR(__xludf.DUMMYFUNCTION("""COMPUTED_VALUE"""),"2733-MARSALGC")</f>
        <v>2733-MARSALGC</v>
      </c>
      <c r="B626" s="28" t="str">
        <f>IFERROR(__xludf.DUMMYFUNCTION("""COMPUTED_VALUE"""),"SIGEHOS - Envío Pieza RIS - Semana del 16/03")</f>
        <v>SIGEHOS - Envío Pieza RIS - Semana del 16/03</v>
      </c>
      <c r="C626" s="29" t="str">
        <f>IFERROR(__xludf.DUMMYFUNCTION("""COMPUTED_VALUE"""),"Pieza")</f>
        <v>Pieza</v>
      </c>
      <c r="D626" s="28" t="str">
        <f>IFERROR(__xludf.DUMMYFUNCTION("""COMPUTED_VALUE"""),"2791-MARINFGC")</f>
        <v>2791-MARINFGC</v>
      </c>
      <c r="E626" s="28" t="str">
        <f>IFERROR(__xludf.DUMMYFUNCTION("""COMPUTED_VALUE"""),"Infraestructura I Cortes en AU Illia por obras")</f>
        <v>Infraestructura I Cortes en AU Illia por obras</v>
      </c>
      <c r="F626" s="28"/>
    </row>
    <row r="627">
      <c r="A627" s="28" t="str">
        <f>IFERROR(__xludf.DUMMYFUNCTION("""COMPUTED_VALUE"""),"2688-MARSEGVC")</f>
        <v>2688-MARSEGVC</v>
      </c>
      <c r="B627" s="28" t="str">
        <f>IFERROR(__xludf.DUMMYFUNCTION("""COMPUTED_VALUE"""),"RDV MINISTROS |  Maximiliano Piñeiro 12/3 Comuna 7")</f>
        <v>RDV MINISTROS |  Maximiliano Piñeiro 12/3 Comuna 7</v>
      </c>
      <c r="C627" s="29" t="str">
        <f>IFERROR(__xludf.DUMMYFUNCTION("""COMPUTED_VALUE"""),"Pieza")</f>
        <v>Pieza</v>
      </c>
      <c r="D627" s="28" t="str">
        <f>IFERROR(__xludf.DUMMYFUNCTION("""COMPUTED_VALUE"""),"2790-MARJDGAG")</f>
        <v>2790-MARJDGAG</v>
      </c>
      <c r="E627" s="28" t="str">
        <f>IFERROR(__xludf.DUMMYFUNCTION("""COMPUTED_VALUE"""),"1 A 1 JM | Comuna 2 31/03")</f>
        <v>1 A 1 JM | Comuna 2 31/03</v>
      </c>
      <c r="F627" s="28"/>
    </row>
    <row r="628">
      <c r="A628" s="28" t="str">
        <f>IFERROR(__xludf.DUMMYFUNCTION("""COMPUTED_VALUE"""),"2726-MARSEGVC")</f>
        <v>2726-MARSEGVC</v>
      </c>
      <c r="B628" s="28" t="str">
        <f>IFERROR(__xludf.DUMMYFUNCTION("""COMPUTED_VALUE"""),"RDV Ministros | Maximiliano Piñeiro 19/3 Comuna 8")</f>
        <v>RDV Ministros | Maximiliano Piñeiro 19/3 Comuna 8</v>
      </c>
      <c r="C628" s="29" t="str">
        <f>IFERROR(__xludf.DUMMYFUNCTION("""COMPUTED_VALUE"""),"Pieza")</f>
        <v>Pieza</v>
      </c>
      <c r="D628" s="28" t="str">
        <f>IFERROR(__xludf.DUMMYFUNCTION("""COMPUTED_VALUE"""),"2790-MARJDGAG")</f>
        <v>2790-MARJDGAG</v>
      </c>
      <c r="E628" s="28" t="str">
        <f>IFERROR(__xludf.DUMMYFUNCTION("""COMPUTED_VALUE"""),"1 A 1 JM | Comuna 2 31/03")</f>
        <v>1 A 1 JM | Comuna 2 31/03</v>
      </c>
      <c r="F628" s="28"/>
    </row>
    <row r="629">
      <c r="A629" s="28" t="str">
        <f>IFERROR(__xludf.DUMMYFUNCTION("""COMPUTED_VALUE"""),"2714-MAREPHGC")</f>
        <v>2714-MAREPHGC</v>
      </c>
      <c r="B629" s="28" t="str">
        <f>IFERROR(__xludf.DUMMYFUNCTION("""COMPUTED_VALUE"""),"RDV MINISTROS | IGNACIO BAISTROCCHI 16/3 COMUNA 1")</f>
        <v>RDV MINISTROS | IGNACIO BAISTROCCHI 16/3 COMUNA 1</v>
      </c>
      <c r="C629" s="29" t="str">
        <f>IFERROR(__xludf.DUMMYFUNCTION("""COMPUTED_VALUE"""),"Pieza")</f>
        <v>Pieza</v>
      </c>
      <c r="D629" s="28" t="str">
        <f>IFERROR(__xludf.DUMMYFUNCTION("""COMPUTED_VALUE"""),"2792-MARSEGCG")</f>
        <v>2792-MARSEGCG</v>
      </c>
      <c r="E629" s="28" t="str">
        <f>IFERROR(__xludf.DUMMYFUNCTION("""COMPUTED_VALUE"""),"CONTENIDO ADICIONAL | Seguridad | Video para pauta: Orden en la Villa 31")</f>
        <v>CONTENIDO ADICIONAL | Seguridad | Video para pauta: Orden en la Villa 31</v>
      </c>
      <c r="F629" s="28"/>
    </row>
    <row r="630">
      <c r="A630" s="28" t="str">
        <f>IFERROR(__xludf.DUMMYFUNCTION("""COMPUTED_VALUE"""),"1942-SEPEPHGC")</f>
        <v>1942-SEPEPHGC</v>
      </c>
      <c r="B630" s="28" t="str">
        <f>IFERROR(__xludf.DUMMYFUNCTION("""COMPUTED_VALUE"""),"DGPLES | MEPHU  | REPARACIÓN DE VEREDAS")</f>
        <v>DGPLES | MEPHU  | REPARACIÓN DE VEREDAS</v>
      </c>
      <c r="C630" s="29" t="str">
        <f>IFERROR(__xludf.DUMMYFUNCTION("""COMPUTED_VALUE"""),"Pieza")</f>
        <v>Pieza</v>
      </c>
      <c r="D630" s="28" t="str">
        <f>IFERROR(__xludf.DUMMYFUNCTION("""COMPUTED_VALUE"""),"2792-MARSEGCG")</f>
        <v>2792-MARSEGCG</v>
      </c>
      <c r="E630" s="28" t="str">
        <f>IFERROR(__xludf.DUMMYFUNCTION("""COMPUTED_VALUE"""),"CONTENIDO ADICIONAL | Seguridad | Video para pauta: Orden en la Villa 31")</f>
        <v>CONTENIDO ADICIONAL | Seguridad | Video para pauta: Orden en la Villa 31</v>
      </c>
      <c r="F630" s="28"/>
    </row>
    <row r="631">
      <c r="A631" s="28" t="str">
        <f>IFERROR(__xludf.DUMMYFUNCTION("""COMPUTED_VALUE"""),"1946-SEPEPHGC")</f>
        <v>1946-SEPEPHGC</v>
      </c>
      <c r="B631" s="28" t="str">
        <f>IFERROR(__xludf.DUMMYFUNCTION("""COMPUTED_VALUE"""),"CAMPAÑA GCBA | MEPHU  | PLUVIALES")</f>
        <v>CAMPAÑA GCBA | MEPHU  | PLUVIALES</v>
      </c>
      <c r="C631" s="29" t="str">
        <f>IFERROR(__xludf.DUMMYFUNCTION("""COMPUTED_VALUE"""),"Pieza")</f>
        <v>Pieza</v>
      </c>
      <c r="D631" s="28" t="str">
        <f>IFERROR(__xludf.DUMMYFUNCTION("""COMPUTED_VALUE"""),"2765-MAREDUGC")</f>
        <v>2765-MAREDUGC</v>
      </c>
      <c r="E631" s="28" t="str">
        <f>IFERROR(__xludf.DUMMYFUNCTION("""COMPUTED_VALUE"""),"Campaña Compromiso familiar: sin celulares")</f>
        <v>Campaña Compromiso familiar: sin celulares</v>
      </c>
      <c r="F631" s="28"/>
    </row>
    <row r="632">
      <c r="A632" s="28" t="str">
        <f>IFERROR(__xludf.DUMMYFUNCTION("""COMPUTED_VALUE"""),"2717-MARDHHVC")</f>
        <v>2717-MARDHHVC</v>
      </c>
      <c r="B632" s="28" t="str">
        <f>IFERROR(__xludf.DUMMYFUNCTION("""COMPUTED_VALUE"""),"RDV Ministros | Gabriel Mraida - 20/03")</f>
        <v>RDV Ministros | Gabriel Mraida - 20/03</v>
      </c>
      <c r="C632" s="29" t="str">
        <f>IFERROR(__xludf.DUMMYFUNCTION("""COMPUTED_VALUE"""),"Pieza")</f>
        <v>Pieza</v>
      </c>
      <c r="D632" s="28" t="str">
        <f>IFERROR(__xludf.DUMMYFUNCTION("""COMPUTED_VALUE"""),"2765-MAREDUGC")</f>
        <v>2765-MAREDUGC</v>
      </c>
      <c r="E632" s="28" t="str">
        <f>IFERROR(__xludf.DUMMYFUNCTION("""COMPUTED_VALUE"""),"Campaña Compromiso familiar: sin celulares")</f>
        <v>Campaña Compromiso familiar: sin celulares</v>
      </c>
      <c r="F632" s="28"/>
    </row>
    <row r="633">
      <c r="A633" s="28" t="str">
        <f>IFERROR(__xludf.DUMMYFUNCTION("""COMPUTED_VALUE"""),"2725-MARPCCVC")</f>
        <v>2725-MARPCCVC</v>
      </c>
      <c r="B633" s="28" t="str">
        <f>IFERROR(__xludf.DUMMYFUNCTION("""COMPUTED_VALUE"""),"Encuentro Informativo y de co creación: Área de Desarrollo Prioritario Avellaneda y Entorno")</f>
        <v>Encuentro Informativo y de co creación: Área de Desarrollo Prioritario Avellaneda y Entorno</v>
      </c>
      <c r="C633" s="29" t="str">
        <f>IFERROR(__xludf.DUMMYFUNCTION("""COMPUTED_VALUE"""),"Pieza")</f>
        <v>Pieza</v>
      </c>
      <c r="D633" s="28" t="str">
        <f>IFERROR(__xludf.DUMMYFUNCTION("""COMPUTED_VALUE"""),"2796-MARPCCVC")</f>
        <v>2796-MARPCCVC</v>
      </c>
      <c r="E633" s="28" t="str">
        <f>IFERROR(__xludf.DUMMYFUNCTION("""COMPUTED_VALUE"""),"Feria en Parque Chacabuco por Día de la Salud")</f>
        <v>Feria en Parque Chacabuco por Día de la Salud</v>
      </c>
      <c r="F633" s="28"/>
    </row>
    <row r="634">
      <c r="A634" s="28" t="str">
        <f>IFERROR(__xludf.DUMMYFUNCTION("""COMPUTED_VALUE"""),"2729-MARSEGVC")</f>
        <v>2729-MARSEGVC</v>
      </c>
      <c r="B634" s="28" t="str">
        <f>IFERROR(__xludf.DUMMYFUNCTION("""COMPUTED_VALUE"""),"RDV Ministros | Ruth Landerreche 19/3 Comuna 11")</f>
        <v>RDV Ministros | Ruth Landerreche 19/3 Comuna 11</v>
      </c>
      <c r="C634" s="29" t="str">
        <f>IFERROR(__xludf.DUMMYFUNCTION("""COMPUTED_VALUE"""),"Pieza")</f>
        <v>Pieza</v>
      </c>
      <c r="D634" s="28" t="str">
        <f>IFERROR(__xludf.DUMMYFUNCTION("""COMPUTED_VALUE"""),"2796-MARPCCVC")</f>
        <v>2796-MARPCCVC</v>
      </c>
      <c r="E634" s="28" t="str">
        <f>IFERROR(__xludf.DUMMYFUNCTION("""COMPUTED_VALUE"""),"Feria en Parque Chacabuco por Día de la Salud")</f>
        <v>Feria en Parque Chacabuco por Día de la Salud</v>
      </c>
      <c r="F634" s="28"/>
    </row>
    <row r="635">
      <c r="A635" s="28" t="str">
        <f>IFERROR(__xludf.DUMMYFUNCTION("""COMPUTED_VALUE"""),"2728-MARSEGVC")</f>
        <v>2728-MARSEGVC</v>
      </c>
      <c r="B635" s="28" t="str">
        <f>IFERROR(__xludf.DUMMYFUNCTION("""COMPUTED_VALUE"""),"RDV Ministros | Gabino Tapia 19/3 Comuna 10")</f>
        <v>RDV Ministros | Gabino Tapia 19/3 Comuna 10</v>
      </c>
      <c r="C635" s="29" t="str">
        <f>IFERROR(__xludf.DUMMYFUNCTION("""COMPUTED_VALUE"""),"Pieza")</f>
        <v>Pieza</v>
      </c>
      <c r="D635" s="28" t="str">
        <f>IFERROR(__xludf.DUMMYFUNCTION("""COMPUTED_VALUE"""),"2519-ENEINFGC")</f>
        <v>2519-ENEINFGC</v>
      </c>
      <c r="E635" s="28" t="str">
        <f>IFERROR(__xludf.DUMMYFUNCTION("""COMPUTED_VALUE"""),"Infraestructura I Cortes y desvíos en Larralde")</f>
        <v>Infraestructura I Cortes y desvíos en Larralde</v>
      </c>
      <c r="F635" s="29" t="str">
        <f>IFERROR(__xludf.DUMMYFUNCTION("""COMPUTED_VALUE"""),"https://fb.me/adspreview/facebook/y6VFORCDbB9aJOH")</f>
        <v>https://fb.me/adspreview/facebook/y6VFORCDbB9aJOH</v>
      </c>
    </row>
    <row r="636">
      <c r="A636" s="28" t="str">
        <f>IFERROR(__xludf.DUMMYFUNCTION("""COMPUTED_VALUE"""),"2727-MARSEGVC")</f>
        <v>2727-MARSEGVC</v>
      </c>
      <c r="B636" s="28" t="str">
        <f>IFERROR(__xludf.DUMMYFUNCTION("""COMPUTED_VALUE"""),"RDV Ministros | Horacio Giménez 19/3 Comuna 9")</f>
        <v>RDV Ministros | Horacio Giménez 19/3 Comuna 9</v>
      </c>
      <c r="C636" s="29" t="str">
        <f>IFERROR(__xludf.DUMMYFUNCTION("""COMPUTED_VALUE"""),"Pieza")</f>
        <v>Pieza</v>
      </c>
      <c r="D636" s="28" t="str">
        <f>IFERROR(__xludf.DUMMYFUNCTION("""COMPUTED_VALUE"""),"2809-ABREMEGC")</f>
        <v>2809-ABREMEGC</v>
      </c>
      <c r="E636" s="28" t="str">
        <f>IFERROR(__xludf.DUMMYFUNCTION("""COMPUTED_VALUE"""),"Alerta Amarilla | 01/04")</f>
        <v>Alerta Amarilla | 01/04</v>
      </c>
      <c r="F636" s="29" t="str">
        <f>IFERROR(__xludf.DUMMYFUNCTION("""COMPUTED_VALUE"""),"https://fb.me/adspreview/facebook/2gC1YOO7LmB8gHB")</f>
        <v>https://fb.me/adspreview/facebook/2gC1YOO7LmB8gHB</v>
      </c>
    </row>
    <row r="637">
      <c r="A637" s="28" t="str">
        <f>IFERROR(__xludf.DUMMYFUNCTION("""COMPUTED_VALUE"""),"2739-MARSEGGJ")</f>
        <v>2739-MARSEGGJ</v>
      </c>
      <c r="B637" s="28" t="str">
        <f>IFERROR(__xludf.DUMMYFUNCTION("""COMPUTED_VALUE"""),"CAMPAÑA JM + GCBA | SEGURIDAD | Operativo de Seguridad en Subte")</f>
        <v>CAMPAÑA JM + GCBA | SEGURIDAD | Operativo de Seguridad en Subte</v>
      </c>
      <c r="C637" s="29" t="str">
        <f>IFERROR(__xludf.DUMMYFUNCTION("""COMPUTED_VALUE"""),"Pieza")</f>
        <v>Pieza</v>
      </c>
      <c r="D637" s="28" t="str">
        <f>IFERROR(__xludf.DUMMYFUNCTION("""COMPUTED_VALUE"""),"2759-MARCULGC")</f>
        <v>2759-MARCULGC</v>
      </c>
      <c r="E637" s="28" t="str">
        <f>IFERROR(__xludf.DUMMYFUNCTION("""COMPUTED_VALUE"""),"Entradas a charla de John Malkovich")</f>
        <v>Entradas a charla de John Malkovich</v>
      </c>
      <c r="F637" s="29" t="str">
        <f>IFERROR(__xludf.DUMMYFUNCTION("""COMPUTED_VALUE"""),"https://www.facebook.com/reel/940734668709415")</f>
        <v>https://www.facebook.com/reel/940734668709415</v>
      </c>
    </row>
    <row r="638">
      <c r="A638" s="28" t="str">
        <f>IFERROR(__xludf.DUMMYFUNCTION("""COMPUTED_VALUE"""),"2726-MARSEGVC")</f>
        <v>2726-MARSEGVC</v>
      </c>
      <c r="B638" s="28" t="str">
        <f>IFERROR(__xludf.DUMMYFUNCTION("""COMPUTED_VALUE"""),"RDV Ministros | Maximiliano Piñeiro 19/3 Comuna 8")</f>
        <v>RDV Ministros | Maximiliano Piñeiro 19/3 Comuna 8</v>
      </c>
      <c r="C638" s="29" t="str">
        <f>IFERROR(__xludf.DUMMYFUNCTION("""COMPUTED_VALUE"""),"Pieza")</f>
        <v>Pieza</v>
      </c>
      <c r="D638" s="28" t="str">
        <f>IFERROR(__xludf.DUMMYFUNCTION("""COMPUTED_VALUE"""),"2759-MARCULGC")</f>
        <v>2759-MARCULGC</v>
      </c>
      <c r="E638" s="28" t="str">
        <f>IFERROR(__xludf.DUMMYFUNCTION("""COMPUTED_VALUE"""),"Entradas a charla de John Malkovich")</f>
        <v>Entradas a charla de John Malkovich</v>
      </c>
      <c r="F638" s="29" t="str">
        <f>IFERROR(__xludf.DUMMYFUNCTION("""COMPUTED_VALUE"""),"https://www.facebook.com/reel/940734668709415")</f>
        <v>https://www.facebook.com/reel/940734668709415</v>
      </c>
    </row>
    <row r="639">
      <c r="A639" s="28" t="str">
        <f>IFERROR(__xludf.DUMMYFUNCTION("""COMPUTED_VALUE"""),"2109-OCTEPHGC")</f>
        <v>2109-OCTEPHGC</v>
      </c>
      <c r="B639" s="28" t="str">
        <f>IFERROR(__xludf.DUMMYFUNCTION("""COMPUTED_VALUE"""),"LIMPIEZA DE FACHADAS | M2")</f>
        <v>LIMPIEZA DE FACHADAS | M2</v>
      </c>
      <c r="C639" s="29" t="str">
        <f>IFERROR(__xludf.DUMMYFUNCTION("""COMPUTED_VALUE"""),"Pieza")</f>
        <v>Pieza</v>
      </c>
      <c r="D639" s="28" t="str">
        <f>IFERROR(__xludf.DUMMYFUNCTION("""COMPUTED_VALUE"""),"2804-ABRSALVC")</f>
        <v>2804-ABRSALVC</v>
      </c>
      <c r="E639" s="28" t="str">
        <f>IFERROR(__xludf.DUMMYFUNCTION("""COMPUTED_VALUE"""),"RDV Ministros | Fernán Quirós 7/4")</f>
        <v>RDV Ministros | Fernán Quirós 7/4</v>
      </c>
      <c r="F639" s="29" t="str">
        <f>IFERROR(__xludf.DUMMYFUNCTION("""COMPUTED_VALUE"""),"https://www.facebook.com/baparticipacion/posts/pfbid02RUBMaJ62CajB3ZiaerUP7LxWT4fQZwdFBu1CD5j9gNTftoQtd27fNxQPcswxDdd2l")</f>
        <v>https://www.facebook.com/baparticipacion/posts/pfbid02RUBMaJ62CajB3ZiaerUP7LxWT4fQZwdFBu1CD5j9gNTftoQtd27fNxQPcswxDdd2l</v>
      </c>
    </row>
    <row r="640">
      <c r="A640" s="28" t="str">
        <f>IFERROR(__xludf.DUMMYFUNCTION("""COMPUTED_VALUE"""),"2033-SEPEPHGC")</f>
        <v>2033-SEPEPHGC</v>
      </c>
      <c r="B640" s="28" t="str">
        <f>IFERROR(__xludf.DUMMYFUNCTION("""COMPUTED_VALUE"""),"M2 PODA")</f>
        <v>M2 PODA</v>
      </c>
      <c r="C640" s="29" t="str">
        <f>IFERROR(__xludf.DUMMYFUNCTION("""COMPUTED_VALUE"""),"Pieza")</f>
        <v>Pieza</v>
      </c>
      <c r="D640" s="28" t="str">
        <f>IFERROR(__xludf.DUMMYFUNCTION("""COMPUTED_VALUE"""),"2801-MARSEGVC")</f>
        <v>2801-MARSEGVC</v>
      </c>
      <c r="E640" s="28" t="str">
        <f>IFERROR(__xludf.DUMMYFUNCTION("""COMPUTED_VALUE"""),"RDV MINISTROS | Gabriela Ricardes 7/4 Comuna 10")</f>
        <v>RDV MINISTROS | Gabriela Ricardes 7/4 Comuna 10</v>
      </c>
      <c r="F640" s="29" t="str">
        <f>IFERROR(__xludf.DUMMYFUNCTION("""COMPUTED_VALUE"""),"https://www.facebook.com/baparticipacion/posts/pfbid0qEJVDkM6tZVZ58Uu6pBmkE3n7D6gMe3zzAcvFfipACKprK91q7VNQGgdpEywzXsul")</f>
        <v>https://www.facebook.com/baparticipacion/posts/pfbid0qEJVDkM6tZVZ58Uu6pBmkE3n7D6gMe3zzAcvFfipACKprK91q7VNQGgdpEywzXsul</v>
      </c>
    </row>
    <row r="641">
      <c r="A641" s="28" t="str">
        <f>IFERROR(__xludf.DUMMYFUNCTION("""COMPUTED_VALUE"""),"2033-SEPEPHGC")</f>
        <v>2033-SEPEPHGC</v>
      </c>
      <c r="B641" s="28" t="str">
        <f>IFERROR(__xludf.DUMMYFUNCTION("""COMPUTED_VALUE"""),"M2 PODA")</f>
        <v>M2 PODA</v>
      </c>
      <c r="C641" s="29" t="str">
        <f>IFERROR(__xludf.DUMMYFUNCTION("""COMPUTED_VALUE"""),"Pieza")</f>
        <v>Pieza</v>
      </c>
      <c r="D641" s="28" t="str">
        <f>IFERROR(__xludf.DUMMYFUNCTION("""COMPUTED_VALUE"""),"2805-ABRAMBVC")</f>
        <v>2805-ABRAMBVC</v>
      </c>
      <c r="E641" s="28" t="str">
        <f>IFERROR(__xludf.DUMMYFUNCTION("""COMPUTED_VALUE"""),"RDV Ministros | Clara Muzzio 8/4")</f>
        <v>RDV Ministros | Clara Muzzio 8/4</v>
      </c>
      <c r="F641" s="29" t="str">
        <f>IFERROR(__xludf.DUMMYFUNCTION("""COMPUTED_VALUE"""),"https://www.facebook.com/baparticipacion/posts/pfbid02D4p3c61TC3iLaUufcUgkSy9YMaWZLpCQywL3zSV1MRMjfcFgJzcgDzqwp3kQ2a2Vl")</f>
        <v>https://www.facebook.com/baparticipacion/posts/pfbid02D4p3c61TC3iLaUufcUgkSy9YMaWZLpCQywL3zSV1MRMjfcFgJzcgDzqwp3kQ2a2Vl</v>
      </c>
    </row>
    <row r="642">
      <c r="A642" s="28" t="str">
        <f>IFERROR(__xludf.DUMMYFUNCTION("""COMPUTED_VALUE"""),"2722-MARJDGAG")</f>
        <v>2722-MARJDGAG</v>
      </c>
      <c r="B642" s="28" t="str">
        <f>IFERROR(__xludf.DUMMYFUNCTION("""COMPUTED_VALUE"""),"RDV JM 16/3 VILLA ORTUZAR")</f>
        <v>RDV JM 16/3 VILLA ORTUZAR</v>
      </c>
      <c r="C642" s="29" t="str">
        <f>IFERROR(__xludf.DUMMYFUNCTION("""COMPUTED_VALUE"""),"Pieza")</f>
        <v>Pieza</v>
      </c>
      <c r="D642" s="28" t="str">
        <f>IFERROR(__xludf.DUMMYFUNCTION("""COMPUTED_VALUE"""),"2697-MARJDGAG")</f>
        <v>2697-MARJDGAG</v>
      </c>
      <c r="E642" s="28" t="str">
        <f>IFERROR(__xludf.DUMMYFUNCTION("""COMPUTED_VALUE"""),"RDV JM TEMÁTICA | TE CUENTO BS AS  14/03 SEGURIDAD EJE OESTE")</f>
        <v>RDV JM TEMÁTICA | TE CUENTO BS AS  14/03 SEGURIDAD EJE OESTE</v>
      </c>
      <c r="F642" s="29" t="str">
        <f>IFERROR(__xludf.DUMMYFUNCTION("""COMPUTED_VALUE"""),"https://www.facebook.com/reel/1459856862337213")</f>
        <v>https://www.facebook.com/reel/1459856862337213</v>
      </c>
    </row>
    <row r="643">
      <c r="A643" s="28" t="str">
        <f>IFERROR(__xludf.DUMMYFUNCTION("""COMPUTED_VALUE"""),"2722-MARJDGAG")</f>
        <v>2722-MARJDGAG</v>
      </c>
      <c r="B643" s="28" t="str">
        <f>IFERROR(__xludf.DUMMYFUNCTION("""COMPUTED_VALUE"""),"RDV JM 16/3 VILLA ORTUZAR")</f>
        <v>RDV JM 16/3 VILLA ORTUZAR</v>
      </c>
      <c r="C643" s="29" t="str">
        <f>IFERROR(__xludf.DUMMYFUNCTION("""COMPUTED_VALUE"""),"Pieza")</f>
        <v>Pieza</v>
      </c>
      <c r="D643" s="28" t="str">
        <f>IFERROR(__xludf.DUMMYFUNCTION("""COMPUTED_VALUE"""),"2697-MARJDGAG")</f>
        <v>2697-MARJDGAG</v>
      </c>
      <c r="E643" s="28" t="str">
        <f>IFERROR(__xludf.DUMMYFUNCTION("""COMPUTED_VALUE"""),"RDV JM TEMÁTICA | TE CUENTO BS AS  14/03 SEGURIDAD EJE OESTE")</f>
        <v>RDV JM TEMÁTICA | TE CUENTO BS AS  14/03 SEGURIDAD EJE OESTE</v>
      </c>
      <c r="F643" s="29" t="str">
        <f>IFERROR(__xludf.DUMMYFUNCTION("""COMPUTED_VALUE"""),"https://www.facebook.com/reel/1459856862337213")</f>
        <v>https://www.facebook.com/reel/1459856862337213</v>
      </c>
    </row>
    <row r="644">
      <c r="A644" s="28" t="str">
        <f>IFERROR(__xludf.DUMMYFUNCTION("""COMPUTED_VALUE"""),"2717-MARDHHVC")</f>
        <v>2717-MARDHHVC</v>
      </c>
      <c r="B644" s="28" t="str">
        <f>IFERROR(__xludf.DUMMYFUNCTION("""COMPUTED_VALUE"""),"RDV Ministros | Gabriel Mraida - 20/03")</f>
        <v>RDV Ministros | Gabriel Mraida - 20/03</v>
      </c>
      <c r="C644" s="29" t="str">
        <f>IFERROR(__xludf.DUMMYFUNCTION("""COMPUTED_VALUE"""),"Pieza")</f>
        <v>Pieza</v>
      </c>
      <c r="D644" s="28" t="str">
        <f>IFERROR(__xludf.DUMMYFUNCTION("""COMPUTED_VALUE"""),"2803-MARJDGAG")</f>
        <v>2803-MARJDGAG</v>
      </c>
      <c r="E644" s="28" t="str">
        <f>IFERROR(__xludf.DUMMYFUNCTION("""COMPUTED_VALUE"""),"RDV JM | 8/4 VILLA CRESPO")</f>
        <v>RDV JM | 8/4 VILLA CRESPO</v>
      </c>
      <c r="F644" s="29" t="str">
        <f>IFERROR(__xludf.DUMMYFUNCTION("""COMPUTED_VALUE"""),"https://www.facebook.com/reel/1636840367449927")</f>
        <v>https://www.facebook.com/reel/1636840367449927</v>
      </c>
    </row>
    <row r="645">
      <c r="A645" s="28" t="str">
        <f>IFERROR(__xludf.DUMMYFUNCTION("""COMPUTED_VALUE"""),"2715-MARINFVC")</f>
        <v>2715-MARINFVC</v>
      </c>
      <c r="B645" s="28" t="str">
        <f>IFERROR(__xludf.DUMMYFUNCTION("""COMPUTED_VALUE"""),"RDV MINISTROS | PABLO BERECIARTUA 18/3 COMUNA 3")</f>
        <v>RDV MINISTROS | PABLO BERECIARTUA 18/3 COMUNA 3</v>
      </c>
      <c r="C645" s="29" t="str">
        <f>IFERROR(__xludf.DUMMYFUNCTION("""COMPUTED_VALUE"""),"Pieza")</f>
        <v>Pieza</v>
      </c>
      <c r="D645" s="28" t="str">
        <f>IFERROR(__xludf.DUMMYFUNCTION("""COMPUTED_VALUE"""),"2589-FEBSALGJ")</f>
        <v>2589-FEBSALGJ</v>
      </c>
      <c r="E645" s="28" t="str">
        <f>IFERROR(__xludf.DUMMYFUNCTION("""COMPUTED_VALUE"""),"Nuevo CEMAR 3")</f>
        <v>Nuevo CEMAR 3</v>
      </c>
      <c r="F645" s="29" t="str">
        <f>IFERROR(__xludf.DUMMYFUNCTION("""COMPUTED_VALUE"""),"https://www.facebook.com/GCBA/posts/pfbid0mwHyG3gBLBhdMiXjxx6JZDsZtpQDrcbe9xPb7oS3NoQyBCt27mUGuuSJNkafi86Kl")</f>
        <v>https://www.facebook.com/GCBA/posts/pfbid0mwHyG3gBLBhdMiXjxx6JZDsZtpQDrcbe9xPb7oS3NoQyBCt27mUGuuSJNkafi86Kl</v>
      </c>
    </row>
    <row r="646">
      <c r="A646" s="28" t="str">
        <f>IFERROR(__xludf.DUMMYFUNCTION("""COMPUTED_VALUE"""),"2732-MARINFGC")</f>
        <v>2732-MARINFGC</v>
      </c>
      <c r="B646" s="28" t="str">
        <f>IFERROR(__xludf.DUMMYFUNCTION("""COMPUTED_VALUE"""),"Infraestructura I Cortes en Dellepiane por obras (fin de semana largo marzo)")</f>
        <v>Infraestructura I Cortes en Dellepiane por obras (fin de semana largo marzo)</v>
      </c>
      <c r="C646" s="29" t="str">
        <f>IFERROR(__xludf.DUMMYFUNCTION("""COMPUTED_VALUE"""),"Pieza")</f>
        <v>Pieza</v>
      </c>
      <c r="D646" s="28" t="str">
        <f>IFERROR(__xludf.DUMMYFUNCTION("""COMPUTED_VALUE"""),"2589-FEBSALGJ")</f>
        <v>2589-FEBSALGJ</v>
      </c>
      <c r="E646" s="28" t="str">
        <f>IFERROR(__xludf.DUMMYFUNCTION("""COMPUTED_VALUE"""),"Nuevo CEMAR 3")</f>
        <v>Nuevo CEMAR 3</v>
      </c>
      <c r="F646" s="29" t="str">
        <f>IFERROR(__xludf.DUMMYFUNCTION("""COMPUTED_VALUE"""),"https://www.facebook.com/GCBA/posts/pfbid0mwHyG3gBLBhdMiXjxx6JZDsZtpQDrcbe9xPb7oS3NoQyBCt27mUGuuSJNkafi86Kl")</f>
        <v>https://www.facebook.com/GCBA/posts/pfbid0mwHyG3gBLBhdMiXjxx6JZDsZtpQDrcbe9xPb7oS3NoQyBCt27mUGuuSJNkafi86Kl</v>
      </c>
    </row>
    <row r="647">
      <c r="A647" s="28" t="str">
        <f>IFERROR(__xludf.DUMMYFUNCTION("""COMPUTED_VALUE"""),"2752-MARCULVC")</f>
        <v>2752-MARCULVC</v>
      </c>
      <c r="B647" s="28" t="str">
        <f>IFERROR(__xludf.DUMMYFUNCTION("""COMPUTED_VALUE"""),"RDV Ministros| Gabriela Ricardes 25/3 Comuna 1")</f>
        <v>RDV Ministros| Gabriela Ricardes 25/3 Comuna 1</v>
      </c>
      <c r="C647" s="29" t="str">
        <f>IFERROR(__xludf.DUMMYFUNCTION("""COMPUTED_VALUE"""),"Pieza")</f>
        <v>Pieza</v>
      </c>
      <c r="D647" s="28" t="str">
        <f>IFERROR(__xludf.DUMMYFUNCTION("""COMPUTED_VALUE"""),"2673-MARSALGC")</f>
        <v>2673-MARSALGC</v>
      </c>
      <c r="E647" s="28" t="str">
        <f>IFERROR(__xludf.DUMMYFUNCTION("""COMPUTED_VALUE"""),"Mejoras en Centros de Salud")</f>
        <v>Mejoras en Centros de Salud</v>
      </c>
      <c r="F647" s="29" t="str">
        <f>IFERROR(__xludf.DUMMYFUNCTION("""COMPUTED_VALUE"""),"https://www.facebook.com/GCBA/posts/pfbid02yTL8QYVQjhPNn2CQSSoWcymxB3Qbgpc8fHQVTk6cW7ZCwdrN1mPWUWZWLmLEfs8Fl")</f>
        <v>https://www.facebook.com/GCBA/posts/pfbid02yTL8QYVQjhPNn2CQSSoWcymxB3Qbgpc8fHQVTk6cW7ZCwdrN1mPWUWZWLmLEfs8Fl</v>
      </c>
    </row>
    <row r="648">
      <c r="A648" s="28" t="str">
        <f>IFERROR(__xludf.DUMMYFUNCTION("""COMPUTED_VALUE"""),"2756-MARSEGVC")</f>
        <v>2756-MARSEGVC</v>
      </c>
      <c r="B648" s="28" t="str">
        <f>IFERROR(__xludf.DUMMYFUNCTION("""COMPUTED_VALUE"""),"RDV Ministros| Gabino Tapia 26/3 Comuna 15")</f>
        <v>RDV Ministros| Gabino Tapia 26/3 Comuna 15</v>
      </c>
      <c r="C648" s="29" t="str">
        <f>IFERROR(__xludf.DUMMYFUNCTION("""COMPUTED_VALUE"""),"Pieza")</f>
        <v>Pieza</v>
      </c>
      <c r="D648" s="28" t="str">
        <f>IFERROR(__xludf.DUMMYFUNCTION("""COMPUTED_VALUE"""),"2673-MARSALGC")</f>
        <v>2673-MARSALGC</v>
      </c>
      <c r="E648" s="28" t="str">
        <f>IFERROR(__xludf.DUMMYFUNCTION("""COMPUTED_VALUE"""),"Mejoras en Centros de Salud")</f>
        <v>Mejoras en Centros de Salud</v>
      </c>
      <c r="F648" s="29" t="str">
        <f>IFERROR(__xludf.DUMMYFUNCTION("""COMPUTED_VALUE"""),"https://www.facebook.com/GCBA/posts/pfbid02yTL8QYVQjhPNn2CQSSoWcymxB3Qbgpc8fHQVTk6cW7ZCwdrN1mPWUWZWLmLEfs8Fl")</f>
        <v>https://www.facebook.com/GCBA/posts/pfbid02yTL8QYVQjhPNn2CQSSoWcymxB3Qbgpc8fHQVTk6cW7ZCwdrN1mPWUWZWLmLEfs8Fl</v>
      </c>
    </row>
    <row r="649">
      <c r="A649" s="28" t="str">
        <f>IFERROR(__xludf.DUMMYFUNCTION("""COMPUTED_VALUE"""),"2736-MARJDGVC")</f>
        <v>2736-MARJDGVC</v>
      </c>
      <c r="B649" s="28" t="str">
        <f>IFERROR(__xludf.DUMMYFUNCTION("""COMPUTED_VALUE"""),"RDV MINISTROS | GABRIEL SÁNCHEZ ZINNY 20/3 PUERTO MADERO")</f>
        <v>RDV MINISTROS | GABRIEL SÁNCHEZ ZINNY 20/3 PUERTO MADERO</v>
      </c>
      <c r="C649" s="29" t="str">
        <f>IFERROR(__xludf.DUMMYFUNCTION("""COMPUTED_VALUE"""),"Pieza")</f>
        <v>Pieza</v>
      </c>
      <c r="D649" s="28" t="str">
        <f>IFERROR(__xludf.DUMMYFUNCTION("""COMPUTED_VALUE"""),"2698-MARSEGGJ")</f>
        <v>2698-MARSEGGJ</v>
      </c>
      <c r="E649" s="28" t="str">
        <f>IFERROR(__xludf.DUMMYFUNCTION("""COMPUTED_VALUE"""),"Desalojo en San Cristóbal")</f>
        <v>Desalojo en San Cristóbal</v>
      </c>
      <c r="F649" s="29" t="str">
        <f>IFERROR(__xludf.DUMMYFUNCTION("""COMPUTED_VALUE"""),"https://www.facebook.com/reel/910519168461268")</f>
        <v>https://www.facebook.com/reel/910519168461268</v>
      </c>
    </row>
    <row r="650">
      <c r="A650" s="28" t="str">
        <f>IFERROR(__xludf.DUMMYFUNCTION("""COMPUTED_VALUE"""),"2753-MARSEGVC")</f>
        <v>2753-MARSEGVC</v>
      </c>
      <c r="B650" s="28" t="str">
        <f>IFERROR(__xludf.DUMMYFUNCTION("""COMPUTED_VALUE"""),"RDV Ministros| Horacio Gimenez 26/3 Comuna 12")</f>
        <v>RDV Ministros| Horacio Gimenez 26/3 Comuna 12</v>
      </c>
      <c r="C650" s="29" t="str">
        <f>IFERROR(__xludf.DUMMYFUNCTION("""COMPUTED_VALUE"""),"Pieza")</f>
        <v>Pieza</v>
      </c>
      <c r="D650" s="28" t="str">
        <f>IFERROR(__xludf.DUMMYFUNCTION("""COMPUTED_VALUE"""),"2698-MARSEGGJ")</f>
        <v>2698-MARSEGGJ</v>
      </c>
      <c r="E650" s="28" t="str">
        <f>IFERROR(__xludf.DUMMYFUNCTION("""COMPUTED_VALUE"""),"Desalojo en San Cristóbal")</f>
        <v>Desalojo en San Cristóbal</v>
      </c>
      <c r="F650" s="29" t="str">
        <f>IFERROR(__xludf.DUMMYFUNCTION("""COMPUTED_VALUE"""),"https://www.facebook.com/reel/910519168461268")</f>
        <v>https://www.facebook.com/reel/910519168461268</v>
      </c>
    </row>
    <row r="651">
      <c r="A651" s="28" t="str">
        <f>IFERROR(__xludf.DUMMYFUNCTION("""COMPUTED_VALUE"""),"2674-MARSALGC")</f>
        <v>2674-MARSALGC</v>
      </c>
      <c r="B651" s="28" t="str">
        <f>IFERROR(__xludf.DUMMYFUNCTION("""COMPUTED_VALUE"""),"Fin de obra - Ampliación CESAC 46")</f>
        <v>Fin de obra - Ampliación CESAC 46</v>
      </c>
      <c r="C651" s="29" t="str">
        <f>IFERROR(__xludf.DUMMYFUNCTION("""COMPUTED_VALUE"""),"Pieza")</f>
        <v>Pieza</v>
      </c>
      <c r="D651" s="28" t="str">
        <f>IFERROR(__xludf.DUMMYFUNCTION("""COMPUTED_VALUE"""),"2653-FEBFESGC")</f>
        <v>2653-FEBFESGC</v>
      </c>
      <c r="E651" s="28" t="str">
        <f>IFERROR(__xludf.DUMMYFUNCTION("""COMPUTED_VALUE"""),"Pascuas en Buenos Aires")</f>
        <v>Pascuas en Buenos Aires</v>
      </c>
      <c r="F651" s="29" t="str">
        <f>IFERROR(__xludf.DUMMYFUNCTION("""COMPUTED_VALUE"""),"https://www.facebook.com/reel/1312790364159946")</f>
        <v>https://www.facebook.com/reel/1312790364159946</v>
      </c>
    </row>
    <row r="652">
      <c r="A652" s="28" t="str">
        <f>IFERROR(__xludf.DUMMYFUNCTION("""COMPUTED_VALUE"""),"2750-MARSALVC")</f>
        <v>2750-MARSALVC</v>
      </c>
      <c r="B652" s="28" t="str">
        <f>IFERROR(__xludf.DUMMYFUNCTION("""COMPUTED_VALUE"""),"RDV Ministros | Fernán Quirós - 25/03")</f>
        <v>RDV Ministros | Fernán Quirós - 25/03</v>
      </c>
      <c r="C652" s="29" t="str">
        <f>IFERROR(__xludf.DUMMYFUNCTION("""COMPUTED_VALUE"""),"Pieza")</f>
        <v>Pieza</v>
      </c>
      <c r="D652" s="28" t="str">
        <f>IFERROR(__xludf.DUMMYFUNCTION("""COMPUTED_VALUE"""),"2653-FEBFESGC")</f>
        <v>2653-FEBFESGC</v>
      </c>
      <c r="E652" s="28" t="str">
        <f>IFERROR(__xludf.DUMMYFUNCTION("""COMPUTED_VALUE"""),"Pascuas en Buenos Aires")</f>
        <v>Pascuas en Buenos Aires</v>
      </c>
      <c r="F652" s="29" t="str">
        <f>IFERROR(__xludf.DUMMYFUNCTION("""COMPUTED_VALUE"""),"https://www.facebook.com/reel/1312790364159946")</f>
        <v>https://www.facebook.com/reel/1312790364159946</v>
      </c>
    </row>
    <row r="653">
      <c r="A653" s="28" t="str">
        <f>IFERROR(__xludf.DUMMYFUNCTION("""COMPUTED_VALUE"""),"2755-MARSEGVC")</f>
        <v>2755-MARSEGVC</v>
      </c>
      <c r="B653" s="28" t="str">
        <f>IFERROR(__xludf.DUMMYFUNCTION("""COMPUTED_VALUE"""),"RDV Ministros| Maximiliano Piñeiro 26/3 Comuna 14")</f>
        <v>RDV Ministros| Maximiliano Piñeiro 26/3 Comuna 14</v>
      </c>
      <c r="C653" s="29" t="str">
        <f>IFERROR(__xludf.DUMMYFUNCTION("""COMPUTED_VALUE"""),"Pieza")</f>
        <v>Pieza</v>
      </c>
      <c r="D653" s="28" t="str">
        <f>IFERROR(__xludf.DUMMYFUNCTION("""COMPUTED_VALUE"""),"2653-FEBFESGC")</f>
        <v>2653-FEBFESGC</v>
      </c>
      <c r="E653" s="28" t="str">
        <f>IFERROR(__xludf.DUMMYFUNCTION("""COMPUTED_VALUE"""),"Pascuas en Buenos Aires")</f>
        <v>Pascuas en Buenos Aires</v>
      </c>
      <c r="F653" s="29" t="str">
        <f>IFERROR(__xludf.DUMMYFUNCTION("""COMPUTED_VALUE"""),"https://www.facebook.com/reel/1312790364159946")</f>
        <v>https://www.facebook.com/reel/1312790364159946</v>
      </c>
    </row>
    <row r="654">
      <c r="A654" s="28" t="str">
        <f>IFERROR(__xludf.DUMMYFUNCTION("""COMPUTED_VALUE"""),"2719-MARJDGVC")</f>
        <v>2719-MARJDGVC</v>
      </c>
      <c r="B654" s="28" t="str">
        <f>IFERROR(__xludf.DUMMYFUNCTION("""COMPUTED_VALUE"""),"RDV MINISTROS | GABRIEL SÁNCHEZ ZINNY 19/3 PARQUE CHAS")</f>
        <v>RDV MINISTROS | GABRIEL SÁNCHEZ ZINNY 19/3 PARQUE CHAS</v>
      </c>
      <c r="C654" s="29" t="str">
        <f>IFERROR(__xludf.DUMMYFUNCTION("""COMPUTED_VALUE"""),"Pieza")</f>
        <v>Pieza</v>
      </c>
      <c r="D654" s="28" t="str">
        <f>IFERROR(__xludf.DUMMYFUNCTION("""COMPUTED_VALUE"""),"2653-FEBFESGC")</f>
        <v>2653-FEBFESGC</v>
      </c>
      <c r="E654" s="28" t="str">
        <f>IFERROR(__xludf.DUMMYFUNCTION("""COMPUTED_VALUE"""),"Pascuas en Buenos Aires")</f>
        <v>Pascuas en Buenos Aires</v>
      </c>
      <c r="F654" s="29" t="str">
        <f>IFERROR(__xludf.DUMMYFUNCTION("""COMPUTED_VALUE"""),"https://www.facebook.com/reel/1312790364159946")</f>
        <v>https://www.facebook.com/reel/1312790364159946</v>
      </c>
    </row>
    <row r="655">
      <c r="A655" s="28" t="str">
        <f>IFERROR(__xludf.DUMMYFUNCTION("""COMPUTED_VALUE"""),"2751-MARAMBVC")</f>
        <v>2751-MARAMBVC</v>
      </c>
      <c r="B655" s="28" t="str">
        <f>IFERROR(__xludf.DUMMYFUNCTION("""COMPUTED_VALUE"""),"RDV Ministros | Clara Muzzio - 25/03")</f>
        <v>RDV Ministros | Clara Muzzio - 25/03</v>
      </c>
      <c r="C655" s="29" t="str">
        <f>IFERROR(__xludf.DUMMYFUNCTION("""COMPUTED_VALUE"""),"Pieza")</f>
        <v>Pieza</v>
      </c>
      <c r="D655" s="28" t="str">
        <f>IFERROR(__xludf.DUMMYFUNCTION("""COMPUTED_VALUE"""),"2653-FEBFESGC")</f>
        <v>2653-FEBFESGC</v>
      </c>
      <c r="E655" s="28" t="str">
        <f>IFERROR(__xludf.DUMMYFUNCTION("""COMPUTED_VALUE"""),"Pascuas en Buenos Aires")</f>
        <v>Pascuas en Buenos Aires</v>
      </c>
      <c r="F655" s="29" t="str">
        <f>IFERROR(__xludf.DUMMYFUNCTION("""COMPUTED_VALUE"""),"https://www.facebook.com/reel/1312790364159946")</f>
        <v>https://www.facebook.com/reel/1312790364159946</v>
      </c>
    </row>
    <row r="656">
      <c r="A656" s="28" t="str">
        <f>IFERROR(__xludf.DUMMYFUNCTION("""COMPUTED_VALUE"""),"2751-MARAMBVC")</f>
        <v>2751-MARAMBVC</v>
      </c>
      <c r="B656" s="28" t="str">
        <f>IFERROR(__xludf.DUMMYFUNCTION("""COMPUTED_VALUE"""),"RDV Ministros | Clara Muzzio - 25/03")</f>
        <v>RDV Ministros | Clara Muzzio - 25/03</v>
      </c>
      <c r="C656" s="29" t="str">
        <f>IFERROR(__xludf.DUMMYFUNCTION("""COMPUTED_VALUE"""),"Pieza")</f>
        <v>Pieza</v>
      </c>
      <c r="D656" s="28" t="str">
        <f>IFERROR(__xludf.DUMMYFUNCTION("""COMPUTED_VALUE"""),"2712-MARFESGC")</f>
        <v>2712-MARFESGC</v>
      </c>
      <c r="E656" s="28" t="str">
        <f>IFERROR(__xludf.DUMMYFUNCTION("""COMPUTED_VALUE"""),"Paseo de Pascuas")</f>
        <v>Paseo de Pascuas</v>
      </c>
      <c r="F656" s="29" t="str">
        <f>IFERROR(__xludf.DUMMYFUNCTION("""COMPUTED_VALUE"""),"https://www.facebook.com/reel/918709524201295/")</f>
        <v>https://www.facebook.com/reel/918709524201295/</v>
      </c>
    </row>
    <row r="657">
      <c r="A657" s="28" t="str">
        <f>IFERROR(__xludf.DUMMYFUNCTION("""COMPUTED_VALUE"""),"2754-MARSEGVC")</f>
        <v>2754-MARSEGVC</v>
      </c>
      <c r="B657" s="28" t="str">
        <f>IFERROR(__xludf.DUMMYFUNCTION("""COMPUTED_VALUE"""),"RDV Ministros| Ruth Landerreche 26/3 Comuna 13")</f>
        <v>RDV Ministros| Ruth Landerreche 26/3 Comuna 13</v>
      </c>
      <c r="C657" s="29" t="str">
        <f>IFERROR(__xludf.DUMMYFUNCTION("""COMPUTED_VALUE"""),"Pieza")</f>
        <v>Pieza</v>
      </c>
      <c r="D657" s="28" t="str">
        <f>IFERROR(__xludf.DUMMYFUNCTION("""COMPUTED_VALUE"""),"2712-MARFESGC")</f>
        <v>2712-MARFESGC</v>
      </c>
      <c r="E657" s="28" t="str">
        <f>IFERROR(__xludf.DUMMYFUNCTION("""COMPUTED_VALUE"""),"Paseo de Pascuas")</f>
        <v>Paseo de Pascuas</v>
      </c>
      <c r="F657" s="29" t="str">
        <f>IFERROR(__xludf.DUMMYFUNCTION("""COMPUTED_VALUE"""),"https://www.facebook.com/reel/918709524201295/")</f>
        <v>https://www.facebook.com/reel/918709524201295/</v>
      </c>
    </row>
    <row r="658">
      <c r="A658" s="28" t="str">
        <f>IFERROR(__xludf.DUMMYFUNCTION("""COMPUTED_VALUE"""),"2762-MARJDGAG")</f>
        <v>2762-MARJDGAG</v>
      </c>
      <c r="B658" s="28" t="str">
        <f>IFERROR(__xludf.DUMMYFUNCTION("""COMPUTED_VALUE"""),"RDV JM | 25/3 CHACARITA")</f>
        <v>RDV JM | 25/3 CHACARITA</v>
      </c>
      <c r="C658" s="29" t="str">
        <f>IFERROR(__xludf.DUMMYFUNCTION("""COMPUTED_VALUE"""),"Pieza")</f>
        <v>Pieza</v>
      </c>
      <c r="D658" s="28" t="str">
        <f>IFERROR(__xludf.DUMMYFUNCTION("""COMPUTED_VALUE"""),"2712-MARFESGC")</f>
        <v>2712-MARFESGC</v>
      </c>
      <c r="E658" s="28" t="str">
        <f>IFERROR(__xludf.DUMMYFUNCTION("""COMPUTED_VALUE"""),"Paseo de Pascuas")</f>
        <v>Paseo de Pascuas</v>
      </c>
      <c r="F658" s="29" t="str">
        <f>IFERROR(__xludf.DUMMYFUNCTION("""COMPUTED_VALUE"""),"https://www.facebook.com/reel/918709524201295/")</f>
        <v>https://www.facebook.com/reel/918709524201295/</v>
      </c>
    </row>
    <row r="659">
      <c r="A659" s="28" t="str">
        <f>IFERROR(__xludf.DUMMYFUNCTION("""COMPUTED_VALUE"""),"2728-MARSEGVC")</f>
        <v>2728-MARSEGVC</v>
      </c>
      <c r="B659" s="28" t="str">
        <f>IFERROR(__xludf.DUMMYFUNCTION("""COMPUTED_VALUE"""),"RDV Ministros | Gabino Tapia 19/3 Comuna 10")</f>
        <v>RDV Ministros | Gabino Tapia 19/3 Comuna 10</v>
      </c>
      <c r="C659" s="29" t="str">
        <f>IFERROR(__xludf.DUMMYFUNCTION("""COMPUTED_VALUE"""),"Pieza")</f>
        <v>Pieza</v>
      </c>
      <c r="D659" s="28" t="str">
        <f>IFERROR(__xludf.DUMMYFUNCTION("""COMPUTED_VALUE"""),"2796-MARPCCVC")</f>
        <v>2796-MARPCCVC</v>
      </c>
      <c r="E659" s="28" t="str">
        <f>IFERROR(__xludf.DUMMYFUNCTION("""COMPUTED_VALUE"""),"Feria en Parque Chacabuco por Día de la Salud")</f>
        <v>Feria en Parque Chacabuco por Día de la Salud</v>
      </c>
      <c r="F659" s="29" t="str">
        <f>IFERROR(__xludf.DUMMYFUNCTION("""COMPUTED_VALUE"""),"https://www.instagram.com/p/DWjXX-FjCmy/#advertiser")</f>
        <v>https://www.instagram.com/p/DWjXX-FjCmy/#advertiser</v>
      </c>
    </row>
    <row r="660">
      <c r="A660" s="28" t="str">
        <f>IFERROR(__xludf.DUMMYFUNCTION("""COMPUTED_VALUE"""),"2763-MARJDGAG")</f>
        <v>2763-MARJDGAG</v>
      </c>
      <c r="B660" s="28" t="str">
        <f>IFERROR(__xludf.DUMMYFUNCTION("""COMPUTED_VALUE"""),"RDV JM TEMÁTICA | TE CUENTO BS AS 26/03 MOVILIDAD EJE SUR")</f>
        <v>RDV JM TEMÁTICA | TE CUENTO BS AS 26/03 MOVILIDAD EJE SUR</v>
      </c>
      <c r="C660" s="29" t="str">
        <f>IFERROR(__xludf.DUMMYFUNCTION("""COMPUTED_VALUE"""),"Pieza")</f>
        <v>Pieza</v>
      </c>
      <c r="D660" s="28" t="str">
        <f>IFERROR(__xludf.DUMMYFUNCTION("""COMPUTED_VALUE"""),"2796-MARPCCVC")</f>
        <v>2796-MARPCCVC</v>
      </c>
      <c r="E660" s="28" t="str">
        <f>IFERROR(__xludf.DUMMYFUNCTION("""COMPUTED_VALUE"""),"Feria en Parque Chacabuco por Día de la Salud")</f>
        <v>Feria en Parque Chacabuco por Día de la Salud</v>
      </c>
      <c r="F660" s="29" t="str">
        <f>IFERROR(__xludf.DUMMYFUNCTION("""COMPUTED_VALUE"""),"https://www.facebook.com/baparticipacion/posts/pfbid02da3a8AdbaVJubp9KDYQpuTrFRGh2kMrrQLKjUSNFpwQWHhedTbKhzT8CUqrtGS7l")</f>
        <v>https://www.facebook.com/baparticipacion/posts/pfbid02da3a8AdbaVJubp9KDYQpuTrFRGh2kMrrQLKjUSNFpwQWHhedTbKhzT8CUqrtGS7l</v>
      </c>
    </row>
    <row r="661">
      <c r="A661" s="28" t="str">
        <f>IFERROR(__xludf.DUMMYFUNCTION("""COMPUTED_VALUE"""),"2763-MARJDGAG")</f>
        <v>2763-MARJDGAG</v>
      </c>
      <c r="B661" s="28" t="str">
        <f>IFERROR(__xludf.DUMMYFUNCTION("""COMPUTED_VALUE"""),"RDV JM TEMÁTICA | TE CUENTO BS AS 26/03 MOVILIDAD EJE SUR")</f>
        <v>RDV JM TEMÁTICA | TE CUENTO BS AS 26/03 MOVILIDAD EJE SUR</v>
      </c>
      <c r="C661" s="29" t="str">
        <f>IFERROR(__xludf.DUMMYFUNCTION("""COMPUTED_VALUE"""),"Pieza")</f>
        <v>Pieza</v>
      </c>
      <c r="D661" s="28" t="str">
        <f>IFERROR(__xludf.DUMMYFUNCTION("""COMPUTED_VALUE"""),"2711-MARFESGC")</f>
        <v>2711-MARFESGC</v>
      </c>
      <c r="E661" s="28" t="str">
        <f>IFERROR(__xludf.DUMMYFUNCTION("""COMPUTED_VALUE"""),"Pascuas en plazas y anfiteatros")</f>
        <v>Pascuas en plazas y anfiteatros</v>
      </c>
      <c r="F661" s="29" t="str">
        <f>IFERROR(__xludf.DUMMYFUNCTION("""COMPUTED_VALUE"""),"https://www.facebook.com/reel/918709524201295/")</f>
        <v>https://www.facebook.com/reel/918709524201295/</v>
      </c>
    </row>
    <row r="662">
      <c r="A662" s="28" t="str">
        <f>IFERROR(__xludf.DUMMYFUNCTION("""COMPUTED_VALUE"""),"2763-MARJDGAG")</f>
        <v>2763-MARJDGAG</v>
      </c>
      <c r="B662" s="28" t="str">
        <f>IFERROR(__xludf.DUMMYFUNCTION("""COMPUTED_VALUE"""),"RDV JM TEMÁTICA | TE CUENTO BS AS 26/03 MOVILIDAD EJE SUR")</f>
        <v>RDV JM TEMÁTICA | TE CUENTO BS AS 26/03 MOVILIDAD EJE SUR</v>
      </c>
      <c r="C662" s="29" t="str">
        <f>IFERROR(__xludf.DUMMYFUNCTION("""COMPUTED_VALUE"""),"Pieza")</f>
        <v>Pieza</v>
      </c>
      <c r="D662" s="28" t="str">
        <f>IFERROR(__xludf.DUMMYFUNCTION("""COMPUTED_VALUE"""),"2711-MARFESGC")</f>
        <v>2711-MARFESGC</v>
      </c>
      <c r="E662" s="28" t="str">
        <f>IFERROR(__xludf.DUMMYFUNCTION("""COMPUTED_VALUE"""),"Pascuas en plazas y anfiteatros")</f>
        <v>Pascuas en plazas y anfiteatros</v>
      </c>
      <c r="F662" s="29" t="str">
        <f>IFERROR(__xludf.DUMMYFUNCTION("""COMPUTED_VALUE"""),"https://www.facebook.com/reel/1494046322141701")</f>
        <v>https://www.facebook.com/reel/1494046322141701</v>
      </c>
    </row>
    <row r="663">
      <c r="A663" s="28" t="str">
        <f>IFERROR(__xludf.DUMMYFUNCTION("""COMPUTED_VALUE"""),"2759-MARCULGC")</f>
        <v>2759-MARCULGC</v>
      </c>
      <c r="B663" s="28" t="str">
        <f>IFERROR(__xludf.DUMMYFUNCTION("""COMPUTED_VALUE"""),"Entradas a charla de John Malkovich")</f>
        <v>Entradas a charla de John Malkovich</v>
      </c>
      <c r="C663" s="29" t="str">
        <f>IFERROR(__xludf.DUMMYFUNCTION("""COMPUTED_VALUE"""),"Pieza")</f>
        <v>Pieza</v>
      </c>
      <c r="D663" s="28" t="str">
        <f>IFERROR(__xludf.DUMMYFUNCTION("""COMPUTED_VALUE"""),"2711-MARFESGC")</f>
        <v>2711-MARFESGC</v>
      </c>
      <c r="E663" s="28" t="str">
        <f>IFERROR(__xludf.DUMMYFUNCTION("""COMPUTED_VALUE"""),"Pascuas en plazas y anfiteatros")</f>
        <v>Pascuas en plazas y anfiteatros</v>
      </c>
      <c r="F663" s="29" t="str">
        <f>IFERROR(__xludf.DUMMYFUNCTION("""COMPUTED_VALUE"""),"https://www.facebook.com/reel/1494046322141701")</f>
        <v>https://www.facebook.com/reel/1494046322141701</v>
      </c>
    </row>
    <row r="664">
      <c r="A664" s="28" t="str">
        <f>IFERROR(__xludf.DUMMYFUNCTION("""COMPUTED_VALUE"""),"2698-MARSEGGJ")</f>
        <v>2698-MARSEGGJ</v>
      </c>
      <c r="B664" s="28" t="str">
        <f>IFERROR(__xludf.DUMMYFUNCTION("""COMPUTED_VALUE"""),"Desalojo en San Cristóbal")</f>
        <v>Desalojo en San Cristóbal</v>
      </c>
      <c r="C664" s="29" t="str">
        <f>IFERROR(__xludf.DUMMYFUNCTION("""COMPUTED_VALUE"""),"Pieza")</f>
        <v>Pieza</v>
      </c>
      <c r="D664" s="28" t="str">
        <f>IFERROR(__xludf.DUMMYFUNCTION("""COMPUTED_VALUE"""),"2765-MAREDUGC")</f>
        <v>2765-MAREDUGC</v>
      </c>
      <c r="E664" s="28" t="str">
        <f>IFERROR(__xludf.DUMMYFUNCTION("""COMPUTED_VALUE"""),"Campaña Compromiso familiar: sin celulares")</f>
        <v>Campaña Compromiso familiar: sin celulares</v>
      </c>
      <c r="F664" s="29" t="str">
        <f>IFERROR(__xludf.DUMMYFUNCTION("""COMPUTED_VALUE"""),"https://www.facebook.com/reel/1282014836715009")</f>
        <v>https://www.facebook.com/reel/1282014836715009</v>
      </c>
    </row>
    <row r="665">
      <c r="A665" s="28" t="str">
        <f>IFERROR(__xludf.DUMMYFUNCTION("""COMPUTED_VALUE"""),"2727-MARSEGVC")</f>
        <v>2727-MARSEGVC</v>
      </c>
      <c r="B665" s="28" t="str">
        <f>IFERROR(__xludf.DUMMYFUNCTION("""COMPUTED_VALUE"""),"RDV Ministros | Horacio Giménez 19/3 Comuna 9")</f>
        <v>RDV Ministros | Horacio Giménez 19/3 Comuna 9</v>
      </c>
      <c r="C665" s="29" t="str">
        <f>IFERROR(__xludf.DUMMYFUNCTION("""COMPUTED_VALUE"""),"Pieza")</f>
        <v>Pieza</v>
      </c>
      <c r="D665" s="28" t="str">
        <f>IFERROR(__xludf.DUMMYFUNCTION("""COMPUTED_VALUE"""),"2765-MAREDUGC")</f>
        <v>2765-MAREDUGC</v>
      </c>
      <c r="E665" s="28" t="str">
        <f>IFERROR(__xludf.DUMMYFUNCTION("""COMPUTED_VALUE"""),"Campaña Compromiso familiar: sin celulares")</f>
        <v>Campaña Compromiso familiar: sin celulares</v>
      </c>
      <c r="F665" s="29" t="str">
        <f>IFERROR(__xludf.DUMMYFUNCTION("""COMPUTED_VALUE"""),"https://www.facebook.com/reel/1282014836715009")</f>
        <v>https://www.facebook.com/reel/1282014836715009</v>
      </c>
    </row>
    <row r="666">
      <c r="A666" s="28" t="str">
        <f>IFERROR(__xludf.DUMMYFUNCTION("""COMPUTED_VALUE"""),"2757-MARJDGVC")</f>
        <v>2757-MARJDGVC</v>
      </c>
      <c r="B666" s="28" t="str">
        <f>IFERROR(__xludf.DUMMYFUNCTION("""COMPUTED_VALUE"""),"RDV MINISTROS | GABRIEL SÁNCHEZ ZINNY 25/3 CABALLITO")</f>
        <v>RDV MINISTROS | GABRIEL SÁNCHEZ ZINNY 25/3 CABALLITO</v>
      </c>
      <c r="C666" s="29" t="str">
        <f>IFERROR(__xludf.DUMMYFUNCTION("""COMPUTED_VALUE"""),"Pieza")</f>
        <v>Pieza</v>
      </c>
      <c r="D666" s="28" t="str">
        <f>IFERROR(__xludf.DUMMYFUNCTION("""COMPUTED_VALUE"""),"2737-MARSALGJ")</f>
        <v>2737-MARSALGJ</v>
      </c>
      <c r="E666" s="28" t="str">
        <f>IFERROR(__xludf.DUMMYFUNCTION("""COMPUTED_VALUE"""),"CAMPAÑA GCBA/AGENDA JM | SALUD | HTAL. ZUBIZARRETA: RECORRIDA OBRAS")</f>
        <v>CAMPAÑA GCBA/AGENDA JM | SALUD | HTAL. ZUBIZARRETA: RECORRIDA OBRAS</v>
      </c>
      <c r="F666" s="29" t="str">
        <f>IFERROR(__xludf.DUMMYFUNCTION("""COMPUTED_VALUE"""),"https://www.facebook.com/reel/26100083526350437")</f>
        <v>https://www.facebook.com/reel/26100083526350437</v>
      </c>
    </row>
    <row r="667">
      <c r="A667" s="28" t="str">
        <f>IFERROR(__xludf.DUMMYFUNCTION("""COMPUTED_VALUE"""),"1896-SEPEPHGC")</f>
        <v>1896-SEPEPHGC</v>
      </c>
      <c r="B667" s="28" t="str">
        <f>IFERROR(__xludf.DUMMYFUNCTION("""COMPUTED_VALUE"""),"PIEZAS M2 | MEPHU | LIMPIEZA INTENSIVA")</f>
        <v>PIEZAS M2 | MEPHU | LIMPIEZA INTENSIVA</v>
      </c>
      <c r="C667" s="29" t="str">
        <f>IFERROR(__xludf.DUMMYFUNCTION("""COMPUTED_VALUE"""),"Pieza")</f>
        <v>Pieza</v>
      </c>
      <c r="D667" s="28" t="str">
        <f>IFERROR(__xludf.DUMMYFUNCTION("""COMPUTED_VALUE"""),"2737-MARSALGJ")</f>
        <v>2737-MARSALGJ</v>
      </c>
      <c r="E667" s="28" t="str">
        <f>IFERROR(__xludf.DUMMYFUNCTION("""COMPUTED_VALUE"""),"CAMPAÑA GCBA/AGENDA JM | SALUD | HTAL. ZUBIZARRETA: RECORRIDA OBRAS")</f>
        <v>CAMPAÑA GCBA/AGENDA JM | SALUD | HTAL. ZUBIZARRETA: RECORRIDA OBRAS</v>
      </c>
      <c r="F667" s="29" t="str">
        <f>IFERROR(__xludf.DUMMYFUNCTION("""COMPUTED_VALUE"""),"https://www.facebook.com/reel/26100083526350437")</f>
        <v>https://www.facebook.com/reel/26100083526350437</v>
      </c>
    </row>
    <row r="668">
      <c r="A668" s="28" t="str">
        <f>IFERROR(__xludf.DUMMYFUNCTION("""COMPUTED_VALUE"""),"1895-SEPEPHGC")</f>
        <v>1895-SEPEPHGC</v>
      </c>
      <c r="B668" s="28" t="str">
        <f>IFERROR(__xludf.DUMMYFUNCTION("""COMPUTED_VALUE"""),"PIEZAS M2 | MEPHU | REPAVIMENTACIÓN")</f>
        <v>PIEZAS M2 | MEPHU | REPAVIMENTACIÓN</v>
      </c>
      <c r="C668" s="29" t="str">
        <f>IFERROR(__xludf.DUMMYFUNCTION("""COMPUTED_VALUE"""),"Pieza")</f>
        <v>Pieza</v>
      </c>
      <c r="D668" s="28" t="str">
        <f>IFERROR(__xludf.DUMMYFUNCTION("""COMPUTED_VALUE"""),"2739-MARSEGGJ")</f>
        <v>2739-MARSEGGJ</v>
      </c>
      <c r="E668" s="28" t="str">
        <f>IFERROR(__xludf.DUMMYFUNCTION("""COMPUTED_VALUE"""),"CAMPAÑA JM + GCBA | SEGURIDAD | Operativo de Seguridad en Subte")</f>
        <v>CAMPAÑA JM + GCBA | SEGURIDAD | Operativo de Seguridad en Subte</v>
      </c>
      <c r="F668" s="29" t="str">
        <f>IFERROR(__xludf.DUMMYFUNCTION("""COMPUTED_VALUE"""),"https://www.facebook.com/reel/1971602930230218")</f>
        <v>https://www.facebook.com/reel/1971602930230218</v>
      </c>
    </row>
    <row r="669">
      <c r="A669" s="28" t="str">
        <f>IFERROR(__xludf.DUMMYFUNCTION("""COMPUTED_VALUE"""),"1964-SEPEPHGC")</f>
        <v>1964-SEPEPHGC</v>
      </c>
      <c r="B669" s="28" t="str">
        <f>IFERROR(__xludf.DUMMYFUNCTION("""COMPUTED_VALUE"""),"MEPHU RECAMBIO TECNOLÓGICO M2")</f>
        <v>MEPHU RECAMBIO TECNOLÓGICO M2</v>
      </c>
      <c r="C669" s="29" t="str">
        <f>IFERROR(__xludf.DUMMYFUNCTION("""COMPUTED_VALUE"""),"Pieza")</f>
        <v>Pieza</v>
      </c>
      <c r="D669" s="28" t="str">
        <f>IFERROR(__xludf.DUMMYFUNCTION("""COMPUTED_VALUE"""),"2739-MARSEGGJ")</f>
        <v>2739-MARSEGGJ</v>
      </c>
      <c r="E669" s="28" t="str">
        <f>IFERROR(__xludf.DUMMYFUNCTION("""COMPUTED_VALUE"""),"CAMPAÑA JM + GCBA | SEGURIDAD | Operativo de Seguridad en Subte")</f>
        <v>CAMPAÑA JM + GCBA | SEGURIDAD | Operativo de Seguridad en Subte</v>
      </c>
      <c r="F669" s="29" t="str">
        <f>IFERROR(__xludf.DUMMYFUNCTION("""COMPUTED_VALUE"""),"https://www.facebook.com/reel/1971602930230218")</f>
        <v>https://www.facebook.com/reel/1971602930230218</v>
      </c>
    </row>
    <row r="670">
      <c r="A670" s="28" t="str">
        <f>IFERROR(__xludf.DUMMYFUNCTION("""COMPUTED_VALUE"""),"1943-SEPEPHGC")</f>
        <v>1943-SEPEPHGC</v>
      </c>
      <c r="B670" s="28" t="str">
        <f>IFERROR(__xludf.DUMMYFUNCTION("""COMPUTED_VALUE"""),"DGPLES | MEPHU  | READOQUINADO")</f>
        <v>DGPLES | MEPHU  | READOQUINADO</v>
      </c>
      <c r="C670" s="29" t="str">
        <f>IFERROR(__xludf.DUMMYFUNCTION("""COMPUTED_VALUE"""),"Pieza")</f>
        <v>Pieza</v>
      </c>
      <c r="D670" s="28" t="str">
        <f>IFERROR(__xludf.DUMMYFUNCTION("""COMPUTED_VALUE"""),"2739-MARSEGGJ")</f>
        <v>2739-MARSEGGJ</v>
      </c>
      <c r="E670" s="28" t="str">
        <f>IFERROR(__xludf.DUMMYFUNCTION("""COMPUTED_VALUE"""),"CAMPAÑA JM + GCBA | SEGURIDAD | Operativo de Seguridad en Subte")</f>
        <v>CAMPAÑA JM + GCBA | SEGURIDAD | Operativo de Seguridad en Subte</v>
      </c>
      <c r="F670" s="29" t="str">
        <f>IFERROR(__xludf.DUMMYFUNCTION("""COMPUTED_VALUE"""),"https://www.facebook.com/reel/1971602930230218")</f>
        <v>https://www.facebook.com/reel/1971602930230218</v>
      </c>
    </row>
    <row r="671">
      <c r="A671" s="28" t="str">
        <f>IFERROR(__xludf.DUMMYFUNCTION("""COMPUTED_VALUE"""),"1942-SEPEPHGC")</f>
        <v>1942-SEPEPHGC</v>
      </c>
      <c r="B671" s="28" t="str">
        <f>IFERROR(__xludf.DUMMYFUNCTION("""COMPUTED_VALUE"""),"DGPLES | MEPHU  | REPARACIÓN DE VEREDAS")</f>
        <v>DGPLES | MEPHU  | REPARACIÓN DE VEREDAS</v>
      </c>
      <c r="C671" s="29" t="str">
        <f>IFERROR(__xludf.DUMMYFUNCTION("""COMPUTED_VALUE"""),"Pieza")</f>
        <v>Pieza</v>
      </c>
      <c r="D671" s="28" t="str">
        <f>IFERROR(__xludf.DUMMYFUNCTION("""COMPUTED_VALUE"""),"2768-MARINNCG")</f>
        <v>2768-MARINNCG</v>
      </c>
      <c r="E671" s="28" t="str">
        <f>IFERROR(__xludf.DUMMYFUNCTION("""COMPUTED_VALUE"""),"Pauta canal de YT | Peajes Inteligentes")</f>
        <v>Pauta canal de YT | Peajes Inteligentes</v>
      </c>
      <c r="F671" s="29" t="str">
        <f>IFERROR(__xludf.DUMMYFUNCTION("""COMPUTED_VALUE"""),"https://www.facebook.com/reel/1464940425134717")</f>
        <v>https://www.facebook.com/reel/1464940425134717</v>
      </c>
    </row>
    <row r="672">
      <c r="A672" s="28" t="str">
        <f>IFERROR(__xludf.DUMMYFUNCTION("""COMPUTED_VALUE"""),"2749-MARTURGC")</f>
        <v>2749-MARTURGC</v>
      </c>
      <c r="B672" s="28" t="str">
        <f>IFERROR(__xludf.DUMMYFUNCTION("""COMPUTED_VALUE"""),"Informe mensual Observatorio Turismo 20/3")</f>
        <v>Informe mensual Observatorio Turismo 20/3</v>
      </c>
      <c r="C672" s="29" t="str">
        <f>IFERROR(__xludf.DUMMYFUNCTION("""COMPUTED_VALUE"""),"Pieza")</f>
        <v>Pieza</v>
      </c>
      <c r="D672" s="28" t="str">
        <f>IFERROR(__xludf.DUMMYFUNCTION("""COMPUTED_VALUE"""),"2768-MARINNCG")</f>
        <v>2768-MARINNCG</v>
      </c>
      <c r="E672" s="28" t="str">
        <f>IFERROR(__xludf.DUMMYFUNCTION("""COMPUTED_VALUE"""),"Pauta canal de YT | Peajes Inteligentes")</f>
        <v>Pauta canal de YT | Peajes Inteligentes</v>
      </c>
      <c r="F672" s="29" t="str">
        <f>IFERROR(__xludf.DUMMYFUNCTION("""COMPUTED_VALUE"""),"https://www.facebook.com/reel/1464940425134717")</f>
        <v>https://www.facebook.com/reel/1464940425134717</v>
      </c>
    </row>
    <row r="673">
      <c r="A673" s="28" t="str">
        <f>IFERROR(__xludf.DUMMYFUNCTION("""COMPUTED_VALUE"""),"1942-SEPEPHGC")</f>
        <v>1942-SEPEPHGC</v>
      </c>
      <c r="B673" s="28" t="str">
        <f>IFERROR(__xludf.DUMMYFUNCTION("""COMPUTED_VALUE"""),"DGPLES | MEPHU  | REPARACIÓN DE VEREDAS")</f>
        <v>DGPLES | MEPHU  | REPARACIÓN DE VEREDAS</v>
      </c>
      <c r="C673" s="29" t="str">
        <f>IFERROR(__xludf.DUMMYFUNCTION("""COMPUTED_VALUE"""),"Pieza")</f>
        <v>Pieza</v>
      </c>
      <c r="D673" s="28" t="str">
        <f>IFERROR(__xludf.DUMMYFUNCTION("""COMPUTED_VALUE"""),"2800-MARJDGVC")</f>
        <v>2800-MARJDGVC</v>
      </c>
      <c r="E673" s="28" t="str">
        <f>IFERROR(__xludf.DUMMYFUNCTION("""COMPUTED_VALUE"""),"RDV MINISTROS | GABRIEL SÁNCHEZ ZINNY 6/4  SAN CRISTOBAL")</f>
        <v>RDV MINISTROS | GABRIEL SÁNCHEZ ZINNY 6/4  SAN CRISTOBAL</v>
      </c>
      <c r="F673" s="29" t="str">
        <f>IFERROR(__xludf.DUMMYFUNCTION("""COMPUTED_VALUE"""),"https://www.facebook.com/baparticipacion/posts/pfbid025eXMMaMRR3xtuDzYFXpTi4Ew9wWyJ4dFKqVhL6K7ZPYi2WqphriDmGj6njpAB1uGl")</f>
        <v>https://www.facebook.com/baparticipacion/posts/pfbid025eXMMaMRR3xtuDzYFXpTi4Ew9wWyJ4dFKqVhL6K7ZPYi2WqphriDmGj6njpAB1uGl</v>
      </c>
    </row>
    <row r="674">
      <c r="A674" s="28" t="str">
        <f>IFERROR(__xludf.DUMMYFUNCTION("""COMPUTED_VALUE"""),"2767-MARSALGC")</f>
        <v>2767-MARSALGC</v>
      </c>
      <c r="B674" s="28" t="str">
        <f>IFERROR(__xludf.DUMMYFUNCTION("""COMPUTED_VALUE"""),"Primer envío Medicación e Insumos (MEI)")</f>
        <v>Primer envío Medicación e Insumos (MEI)</v>
      </c>
      <c r="C674" s="29" t="str">
        <f>IFERROR(__xludf.DUMMYFUNCTION("""COMPUTED_VALUE"""),"Pieza")</f>
        <v>Pieza</v>
      </c>
      <c r="D674" s="28" t="str">
        <f>IFERROR(__xludf.DUMMYFUNCTION("""COMPUTED_VALUE"""),"2798-MARJDGAG")</f>
        <v>2798-MARJDGAG</v>
      </c>
      <c r="E674" s="28" t="str">
        <f>IFERROR(__xludf.DUMMYFUNCTION("""COMPUTED_VALUE"""),"RDV JM TEMÁTICA | TE CUENTO BS AS 09/04 SALUD EJE OESTE")</f>
        <v>RDV JM TEMÁTICA | TE CUENTO BS AS 09/04 SALUD EJE OESTE</v>
      </c>
      <c r="F674" s="29" t="str">
        <f>IFERROR(__xludf.DUMMYFUNCTION("""COMPUTED_VALUE"""),"https://www.facebook.com/GCBA/posts/pfbid02kJAqNJQKHkr6HnTWhtj4EoMmoQkvchXoGoksdB483aiZM8mHCyBfuzEiebUqSfgCl")</f>
        <v>https://www.facebook.com/GCBA/posts/pfbid02kJAqNJQKHkr6HnTWhtj4EoMmoQkvchXoGoksdB483aiZM8mHCyBfuzEiebUqSfgCl</v>
      </c>
    </row>
    <row r="675">
      <c r="A675" s="28" t="str">
        <f>IFERROR(__xludf.DUMMYFUNCTION("""COMPUTED_VALUE"""),"2767-MARSALGC")</f>
        <v>2767-MARSALGC</v>
      </c>
      <c r="B675" s="28" t="str">
        <f>IFERROR(__xludf.DUMMYFUNCTION("""COMPUTED_VALUE"""),"Primer envío Medicación e Insumos (MEI)")</f>
        <v>Primer envío Medicación e Insumos (MEI)</v>
      </c>
      <c r="C675" s="29" t="str">
        <f>IFERROR(__xludf.DUMMYFUNCTION("""COMPUTED_VALUE"""),"Pieza")</f>
        <v>Pieza</v>
      </c>
      <c r="D675" s="28" t="str">
        <f>IFERROR(__xludf.DUMMYFUNCTION("""COMPUTED_VALUE"""),"2798-MARJDGAG")</f>
        <v>2798-MARJDGAG</v>
      </c>
      <c r="E675" s="28" t="str">
        <f>IFERROR(__xludf.DUMMYFUNCTION("""COMPUTED_VALUE"""),"RDV JM TEMÁTICA | TE CUENTO BS AS 09/04 SALUD EJE OESTE")</f>
        <v>RDV JM TEMÁTICA | TE CUENTO BS AS 09/04 SALUD EJE OESTE</v>
      </c>
      <c r="F675" s="29" t="str">
        <f>IFERROR(__xludf.DUMMYFUNCTION("""COMPUTED_VALUE"""),"https://www.facebook.com/GCBA/posts/pfbid02kJAqNJQKHkr6HnTWhtj4EoMmoQkvchXoGoksdB483aiZM8mHCyBfuzEiebUqSfgCl")</f>
        <v>https://www.facebook.com/GCBA/posts/pfbid02kJAqNJQKHkr6HnTWhtj4EoMmoQkvchXoGoksdB483aiZM8mHCyBfuzEiebUqSfgCl</v>
      </c>
    </row>
    <row r="676">
      <c r="A676" s="28" t="str">
        <f>IFERROR(__xludf.DUMMYFUNCTION("""COMPUTED_VALUE"""),"2611-FEBSALGC")</f>
        <v>2611-FEBSALGC</v>
      </c>
      <c r="B676" s="28" t="str">
        <f>IFERROR(__xludf.DUMMYFUNCTION("""COMPUTED_VALUE"""),"Innovación y tecnología en Salud")</f>
        <v>Innovación y tecnología en Salud</v>
      </c>
      <c r="C676" s="29" t="str">
        <f>IFERROR(__xludf.DUMMYFUNCTION("""COMPUTED_VALUE"""),"Pieza")</f>
        <v>Pieza</v>
      </c>
      <c r="D676" s="28" t="str">
        <f>IFERROR(__xludf.DUMMYFUNCTION("""COMPUTED_VALUE"""),"2786-MARDECAN")</f>
        <v>2786-MARDECAN</v>
      </c>
      <c r="E676" s="28" t="str">
        <f>IFERROR(__xludf.DUMMYFUNCTION("""COMPUTED_VALUE"""),"ANUNCIO JM | DISTRITO IA")</f>
        <v>ANUNCIO JM | DISTRITO IA</v>
      </c>
      <c r="F676" s="29" t="str">
        <f>IFERROR(__xludf.DUMMYFUNCTION("""COMPUTED_VALUE"""),"https://www.facebook.com/GCBA/posts/pfbid0UoUsjmb5AksB2ppUvAXqiJUnUxKFuacLpdYuzz6z6SwzHxXvxhdEuBRbYDVGohwhl")</f>
        <v>https://www.facebook.com/GCBA/posts/pfbid0UoUsjmb5AksB2ppUvAXqiJUnUxKFuacLpdYuzz6z6SwzHxXvxhdEuBRbYDVGohwhl</v>
      </c>
    </row>
    <row r="677">
      <c r="A677" s="28" t="str">
        <f>IFERROR(__xludf.DUMMYFUNCTION("""COMPUTED_VALUE"""),"2719-MARJDGVC")</f>
        <v>2719-MARJDGVC</v>
      </c>
      <c r="B677" s="28" t="str">
        <f>IFERROR(__xludf.DUMMYFUNCTION("""COMPUTED_VALUE"""),"RDV MINISTROS | GABRIEL SÁNCHEZ ZINNY 19/3 PARQUE CHAS")</f>
        <v>RDV MINISTROS | GABRIEL SÁNCHEZ ZINNY 19/3 PARQUE CHAS</v>
      </c>
      <c r="C677" s="29" t="str">
        <f>IFERROR(__xludf.DUMMYFUNCTION("""COMPUTED_VALUE"""),"Pieza")</f>
        <v>Pieza</v>
      </c>
      <c r="D677" s="28" t="str">
        <f>IFERROR(__xludf.DUMMYFUNCTION("""COMPUTED_VALUE"""),"2786-MARDECAN")</f>
        <v>2786-MARDECAN</v>
      </c>
      <c r="E677" s="28" t="str">
        <f>IFERROR(__xludf.DUMMYFUNCTION("""COMPUTED_VALUE"""),"ANUNCIO JM | DISTRITO IA")</f>
        <v>ANUNCIO JM | DISTRITO IA</v>
      </c>
      <c r="F677" s="29" t="str">
        <f>IFERROR(__xludf.DUMMYFUNCTION("""COMPUTED_VALUE"""),"https://www.facebook.com/GCBA/posts/pfbid0UoUsjmb5AksB2ppUvAXqiJUnUxKFuacLpdYuzz6z6SwzHxXvxhdEuBRbYDVGohwhl")</f>
        <v>https://www.facebook.com/GCBA/posts/pfbid0UoUsjmb5AksB2ppUvAXqiJUnUxKFuacLpdYuzz6z6SwzHxXvxhdEuBRbYDVGohwhl</v>
      </c>
    </row>
    <row r="678">
      <c r="A678" s="28" t="str">
        <f>IFERROR(__xludf.DUMMYFUNCTION("""COMPUTED_VALUE"""),"2761-MARJDGAG")</f>
        <v>2761-MARJDGAG</v>
      </c>
      <c r="B678" s="28" t="str">
        <f>IFERROR(__xludf.DUMMYFUNCTION("""COMPUTED_VALUE"""),"RDV JM | 23/3 VILLA PUEYRREDÓN")</f>
        <v>RDV JM | 23/3 VILLA PUEYRREDÓN</v>
      </c>
      <c r="C678" s="29" t="str">
        <f>IFERROR(__xludf.DUMMYFUNCTION("""COMPUTED_VALUE"""),"Pieza")</f>
        <v>Pieza</v>
      </c>
      <c r="D678" s="28" t="str">
        <f>IFERROR(__xludf.DUMMYFUNCTION("""COMPUTED_VALUE"""),"2761-MARJDGAG")</f>
        <v>2761-MARJDGAG</v>
      </c>
      <c r="E678" s="28" t="str">
        <f>IFERROR(__xludf.DUMMYFUNCTION("""COMPUTED_VALUE"""),"RDV JM | 23/3 VILLA PUEYRREDÓN")</f>
        <v>RDV JM | 23/3 VILLA PUEYRREDÓN</v>
      </c>
      <c r="F678" s="29" t="str">
        <f>IFERROR(__xludf.DUMMYFUNCTION("""COMPUTED_VALUE"""),"https://www.facebook.com/reel/1268940337902073")</f>
        <v>https://www.facebook.com/reel/1268940337902073</v>
      </c>
    </row>
    <row r="679">
      <c r="A679" s="28" t="str">
        <f>IFERROR(__xludf.DUMMYFUNCTION("""COMPUTED_VALUE"""),"2743-MARPCCVC")</f>
        <v>2743-MARPCCVC</v>
      </c>
      <c r="B679" s="28" t="str">
        <f>IFERROR(__xludf.DUMMYFUNCTION("""COMPUTED_VALUE"""),"Visitas al monumento Las Nereidas")</f>
        <v>Visitas al monumento Las Nereidas</v>
      </c>
      <c r="C679" s="29" t="str">
        <f>IFERROR(__xludf.DUMMYFUNCTION("""COMPUTED_VALUE"""),"Pieza")</f>
        <v>Pieza</v>
      </c>
      <c r="D679" s="28" t="str">
        <f>IFERROR(__xludf.DUMMYFUNCTION("""COMPUTED_VALUE"""),"2792-MARSEGCG")</f>
        <v>2792-MARSEGCG</v>
      </c>
      <c r="E679" s="28" t="str">
        <f>IFERROR(__xludf.DUMMYFUNCTION("""COMPUTED_VALUE"""),"CONTENIDO ADICIONAL | Seguridad | Video para pauta: Orden en la Villa 31")</f>
        <v>CONTENIDO ADICIONAL | Seguridad | Video para pauta: Orden en la Villa 31</v>
      </c>
      <c r="F679" s="29" t="str">
        <f>IFERROR(__xludf.DUMMYFUNCTION("""COMPUTED_VALUE"""),"https://www.facebook.com/reel/921265827604557")</f>
        <v>https://www.facebook.com/reel/921265827604557</v>
      </c>
    </row>
    <row r="680">
      <c r="A680" s="28" t="str">
        <f>IFERROR(__xludf.DUMMYFUNCTION("""COMPUTED_VALUE"""),"2745-MARPCCVC")</f>
        <v>2745-MARPCCVC</v>
      </c>
      <c r="B680" s="28" t="str">
        <f>IFERROR(__xludf.DUMMYFUNCTION("""COMPUTED_VALUE"""),"Voluntarios | Jornada de adopción perros y gatos")</f>
        <v>Voluntarios | Jornada de adopción perros y gatos</v>
      </c>
      <c r="C680" s="29" t="str">
        <f>IFERROR(__xludf.DUMMYFUNCTION("""COMPUTED_VALUE"""),"Pieza")</f>
        <v>Pieza</v>
      </c>
      <c r="D680" s="28" t="str">
        <f>IFERROR(__xludf.DUMMYFUNCTION("""COMPUTED_VALUE"""),"2792-MARSEGCG")</f>
        <v>2792-MARSEGCG</v>
      </c>
      <c r="E680" s="28" t="str">
        <f>IFERROR(__xludf.DUMMYFUNCTION("""COMPUTED_VALUE"""),"CONTENIDO ADICIONAL | Seguridad | Video para pauta: Orden en la Villa 31")</f>
        <v>CONTENIDO ADICIONAL | Seguridad | Video para pauta: Orden en la Villa 31</v>
      </c>
      <c r="F680" s="29" t="str">
        <f>IFERROR(__xludf.DUMMYFUNCTION("""COMPUTED_VALUE"""),"https://www.facebook.com/reel/921265827604557")</f>
        <v>https://www.facebook.com/reel/921265827604557</v>
      </c>
    </row>
    <row r="681">
      <c r="A681" s="28" t="str">
        <f>IFERROR(__xludf.DUMMYFUNCTION("""COMPUTED_VALUE"""),"2614-FEBDUDGC")</f>
        <v>2614-FEBDUDGC</v>
      </c>
      <c r="B681" s="28" t="str">
        <f>IFERROR(__xludf.DUMMYFUNCTION("""COMPUTED_VALUE"""),"DEPORTES CALLEJERO DE BUENOS AIRES de TC2000")</f>
        <v>DEPORTES CALLEJERO DE BUENOS AIRES de TC2000</v>
      </c>
      <c r="C681" s="29" t="str">
        <f>IFERROR(__xludf.DUMMYFUNCTION("""COMPUTED_VALUE"""),"Pieza")</f>
        <v>Pieza</v>
      </c>
      <c r="D681" s="28" t="str">
        <f>IFERROR(__xludf.DUMMYFUNCTION("""COMPUTED_VALUE"""),"2809-ABREMEGC")</f>
        <v>2809-ABREMEGC</v>
      </c>
      <c r="E681" s="28" t="str">
        <f>IFERROR(__xludf.DUMMYFUNCTION("""COMPUTED_VALUE"""),"Alerta Amarilla | 01/04")</f>
        <v>Alerta Amarilla | 01/04</v>
      </c>
      <c r="F681" s="29" t="str">
        <f>IFERROR(__xludf.DUMMYFUNCTION("""COMPUTED_VALUE"""),"https://fb.me/adspreview/facebook/24epCKCVRwVMKpl")</f>
        <v>https://fb.me/adspreview/facebook/24epCKCVRwVMKpl</v>
      </c>
    </row>
    <row r="682">
      <c r="A682" s="28" t="str">
        <f>IFERROR(__xludf.DUMMYFUNCTION("""COMPUTED_VALUE"""),"2736-MARJDGVC")</f>
        <v>2736-MARJDGVC</v>
      </c>
      <c r="B682" s="28" t="str">
        <f>IFERROR(__xludf.DUMMYFUNCTION("""COMPUTED_VALUE"""),"RDV MINISTROS | GABRIEL SÁNCHEZ ZINNY 20/3 PUERTO MADERO")</f>
        <v>RDV MINISTROS | GABRIEL SÁNCHEZ ZINNY 20/3 PUERTO MADERO</v>
      </c>
      <c r="C682" s="29" t="str">
        <f>IFERROR(__xludf.DUMMYFUNCTION("""COMPUTED_VALUE"""),"Pieza")</f>
        <v>Pieza</v>
      </c>
      <c r="D682" s="28" t="str">
        <f>IFERROR(__xludf.DUMMYFUNCTION("""COMPUTED_VALUE"""),"2802-MARJDGAG")</f>
        <v>2802-MARJDGAG</v>
      </c>
      <c r="E682" s="28" t="str">
        <f>IFERROR(__xludf.DUMMYFUNCTION("""COMPUTED_VALUE"""),"RDV JM | 10/4 BALVANERA")</f>
        <v>RDV JM | 10/4 BALVANERA</v>
      </c>
      <c r="F682" s="29" t="str">
        <f>IFERROR(__xludf.DUMMYFUNCTION("""COMPUTED_VALUE"""),"https://www.facebook.com/reel/968389505611109")</f>
        <v>https://www.facebook.com/reel/968389505611109</v>
      </c>
    </row>
    <row r="683">
      <c r="A683" s="28" t="str">
        <f>IFERROR(__xludf.DUMMYFUNCTION("""COMPUTED_VALUE"""),"2735-MARSEGGJ")</f>
        <v>2735-MARSEGGJ</v>
      </c>
      <c r="B683" s="28" t="str">
        <f>IFERROR(__xludf.DUMMYFUNCTION("""COMPUTED_VALUE"""),"CAMPAÑA JM + GCBA | SEGURIDAD | 600 desalojos en la Ciudad")</f>
        <v>CAMPAÑA JM + GCBA | SEGURIDAD | 600 desalojos en la Ciudad</v>
      </c>
      <c r="C683" s="29" t="str">
        <f>IFERROR(__xludf.DUMMYFUNCTION("""COMPUTED_VALUE"""),"Pieza")</f>
        <v>Pieza</v>
      </c>
      <c r="D683" s="28" t="str">
        <f>IFERROR(__xludf.DUMMYFUNCTION("""COMPUTED_VALUE"""),"2504-ENEFESGC")</f>
        <v>2504-ENEFESGC</v>
      </c>
      <c r="E683" s="28" t="str">
        <f>IFERROR(__xludf.DUMMYFUNCTION("""COMPUTED_VALUE"""),"La Ciudad Más Linda del Mundo | Etapa 2")</f>
        <v>La Ciudad Más Linda del Mundo | Etapa 2</v>
      </c>
      <c r="F683" s="28"/>
    </row>
    <row r="684">
      <c r="A684" s="28" t="str">
        <f>IFERROR(__xludf.DUMMYFUNCTION("""COMPUTED_VALUE"""),"2735-MARSEGGJ")</f>
        <v>2735-MARSEGGJ</v>
      </c>
      <c r="B684" s="28" t="str">
        <f>IFERROR(__xludf.DUMMYFUNCTION("""COMPUTED_VALUE"""),"CAMPAÑA JM + GCBA | SEGURIDAD | 600 desalojos en la Ciudad")</f>
        <v>CAMPAÑA JM + GCBA | SEGURIDAD | 600 desalojos en la Ciudad</v>
      </c>
      <c r="C684" s="29" t="str">
        <f>IFERROR(__xludf.DUMMYFUNCTION("""COMPUTED_VALUE"""),"Pieza")</f>
        <v>Pieza</v>
      </c>
      <c r="D684" s="28" t="str">
        <f>IFERROR(__xludf.DUMMYFUNCTION("""COMPUTED_VALUE"""),"2806-ABRSEGVC")</f>
        <v>2806-ABRSEGVC</v>
      </c>
      <c r="E684" s="28" t="str">
        <f>IFERROR(__xludf.DUMMYFUNCTION("""COMPUTED_VALUE"""),"RDV Ministros | Ruth Landerreche 9/4 Comuna 1 Norte")</f>
        <v>RDV Ministros | Ruth Landerreche 9/4 Comuna 1 Norte</v>
      </c>
      <c r="F684" s="29" t="str">
        <f>IFERROR(__xludf.DUMMYFUNCTION("""COMPUTED_VALUE"""),"https://www.facebook.com/baparticipacion/posts/pfbid02W7pSHStUWAuVKanDN3fimepsME7cCDqvUC8LutXXxMXHYJdFubCRQ9vL8A6WTUMZl")</f>
        <v>https://www.facebook.com/baparticipacion/posts/pfbid02W7pSHStUWAuVKanDN3fimepsME7cCDqvUC8LutXXxMXHYJdFubCRQ9vL8A6WTUMZl</v>
      </c>
    </row>
    <row r="685">
      <c r="A685" s="28" t="str">
        <f>IFERROR(__xludf.DUMMYFUNCTION("""COMPUTED_VALUE"""),"2726-MARSEGVC")</f>
        <v>2726-MARSEGVC</v>
      </c>
      <c r="B685" s="28" t="str">
        <f>IFERROR(__xludf.DUMMYFUNCTION("""COMPUTED_VALUE"""),"RDV Ministros | Maximiliano Piñeiro 19/3 Comuna 8")</f>
        <v>RDV Ministros | Maximiliano Piñeiro 19/3 Comuna 8</v>
      </c>
      <c r="C685" s="29" t="str">
        <f>IFERROR(__xludf.DUMMYFUNCTION("""COMPUTED_VALUE"""),"Pieza")</f>
        <v>Pieza</v>
      </c>
      <c r="D685" s="28" t="str">
        <f>IFERROR(__xludf.DUMMYFUNCTION("""COMPUTED_VALUE"""),"2807-ABRSEGVC")</f>
        <v>2807-ABRSEGVC</v>
      </c>
      <c r="E685" s="28" t="str">
        <f>IFERROR(__xludf.DUMMYFUNCTION("""COMPUTED_VALUE"""),"RDV Ministros | Gabino Tapia  9/4 Comuna 1 Sur")</f>
        <v>RDV Ministros | Gabino Tapia  9/4 Comuna 1 Sur</v>
      </c>
      <c r="F685" s="29" t="str">
        <f>IFERROR(__xludf.DUMMYFUNCTION("""COMPUTED_VALUE"""),"https://www.facebook.com/baparticipacion/posts/pfbid02DivgCpQoC2fB8rwvnUqqNXsH435uSvuKmTJWpHsUiWMVXZoqfLQpDKiziP5Rd3yQl")</f>
        <v>https://www.facebook.com/baparticipacion/posts/pfbid02DivgCpQoC2fB8rwvnUqqNXsH435uSvuKmTJWpHsUiWMVXZoqfLQpDKiziP5Rd3yQl</v>
      </c>
    </row>
    <row r="686">
      <c r="A686" s="28" t="str">
        <f>IFERROR(__xludf.DUMMYFUNCTION("""COMPUTED_VALUE"""),"2773-MARDECAN")</f>
        <v>2773-MARDECAN</v>
      </c>
      <c r="B686" s="28" t="str">
        <f>IFERROR(__xludf.DUMMYFUNCTION("""COMPUTED_VALUE"""),"Eliminación del Impuesto de Sellos")</f>
        <v>Eliminación del Impuesto de Sellos</v>
      </c>
      <c r="C686" s="29" t="str">
        <f>IFERROR(__xludf.DUMMYFUNCTION("""COMPUTED_VALUE"""),"Pieza")</f>
        <v>Pieza</v>
      </c>
      <c r="D686" s="28" t="str">
        <f>IFERROR(__xludf.DUMMYFUNCTION("""COMPUTED_VALUE"""),"2808-ABRSEGVC")</f>
        <v>2808-ABRSEGVC</v>
      </c>
      <c r="E686" s="28" t="str">
        <f>IFERROR(__xludf.DUMMYFUNCTION("""COMPUTED_VALUE"""),"RDV Ministros | Maximilia Piñeiro 9/4 Comuna 2")</f>
        <v>RDV Ministros | Maximilia Piñeiro 9/4 Comuna 2</v>
      </c>
      <c r="F686" s="29" t="str">
        <f>IFERROR(__xludf.DUMMYFUNCTION("""COMPUTED_VALUE"""),"https://www.facebook.com/baparticipacion/posts/pfbid0onKVqtxQyKuaY6vdX5cuEeKkdaUBMSx3oBipA1aaj3zAZ1AbiGza2kvH4bRfBxDcl")</f>
        <v>https://www.facebook.com/baparticipacion/posts/pfbid0onKVqtxQyKuaY6vdX5cuEeKkdaUBMSx3oBipA1aaj3zAZ1AbiGza2kvH4bRfBxDcl</v>
      </c>
    </row>
    <row r="687">
      <c r="A687" s="28" t="str">
        <f>IFERROR(__xludf.DUMMYFUNCTION("""COMPUTED_VALUE"""),"2717-MARDHHVC")</f>
        <v>2717-MARDHHVC</v>
      </c>
      <c r="B687" s="28" t="str">
        <f>IFERROR(__xludf.DUMMYFUNCTION("""COMPUTED_VALUE"""),"RDV Ministros | Gabriel Mraida - 20/03")</f>
        <v>RDV Ministros | Gabriel Mraida - 20/03</v>
      </c>
      <c r="C687" s="29" t="str">
        <f>IFERROR(__xludf.DUMMYFUNCTION("""COMPUTED_VALUE"""),"Pieza")</f>
        <v>Pieza</v>
      </c>
      <c r="D687" s="28" t="str">
        <f>IFERROR(__xludf.DUMMYFUNCTION("""COMPUTED_VALUE"""),"2782-MARJDGAG")</f>
        <v>2782-MARJDGAG</v>
      </c>
      <c r="E687" s="28" t="str">
        <f>IFERROR(__xludf.DUMMYFUNCTION("""COMPUTED_VALUE"""),"RDV JM | 30/3 VILLA SANTA RITA")</f>
        <v>RDV JM | 30/3 VILLA SANTA RITA</v>
      </c>
      <c r="F687" s="29" t="str">
        <f>IFERROR(__xludf.DUMMYFUNCTION("""COMPUTED_VALUE"""),"https://www.facebook.com/reel/1114032057551449")</f>
        <v>https://www.facebook.com/reel/1114032057551449</v>
      </c>
    </row>
    <row r="688">
      <c r="A688" s="28" t="str">
        <f>IFERROR(__xludf.DUMMYFUNCTION("""COMPUTED_VALUE"""),"2761-MARJDGAG")</f>
        <v>2761-MARJDGAG</v>
      </c>
      <c r="B688" s="28" t="str">
        <f>IFERROR(__xludf.DUMMYFUNCTION("""COMPUTED_VALUE"""),"RDV JM | 23/3 VILLA PUEYRREDÓN")</f>
        <v>RDV JM | 23/3 VILLA PUEYRREDÓN</v>
      </c>
      <c r="C688" s="29" t="str">
        <f>IFERROR(__xludf.DUMMYFUNCTION("""COMPUTED_VALUE"""),"Pieza")</f>
        <v>Pieza</v>
      </c>
      <c r="D688" s="28" t="str">
        <f>IFERROR(__xludf.DUMMYFUNCTION("""COMPUTED_VALUE"""),"2810-ABRSEGVC")</f>
        <v>2810-ABRSEGVC</v>
      </c>
      <c r="E688" s="28" t="str">
        <f>IFERROR(__xludf.DUMMYFUNCTION("""COMPUTED_VALUE"""),"RDV Ministros | Horacio Giménez 9/4 Comuna 3")</f>
        <v>RDV Ministros | Horacio Giménez 9/4 Comuna 3</v>
      </c>
      <c r="F688" s="29" t="str">
        <f>IFERROR(__xludf.DUMMYFUNCTION("""COMPUTED_VALUE"""),"https://www.facebook.com/baparticipacion/posts/pfbid0kSaekN4E3crjZQsVx9VCKmGYdJREhLpffevxyskotGVh6WeB1QTfyfTdLHN2WyrMl")</f>
        <v>https://www.facebook.com/baparticipacion/posts/pfbid0kSaekN4E3crjZQsVx9VCKmGYdJREhLpffevxyskotGVh6WeB1QTfyfTdLHN2WyrMl</v>
      </c>
    </row>
    <row r="689">
      <c r="A689" s="28" t="str">
        <f>IFERROR(__xludf.DUMMYFUNCTION("""COMPUTED_VALUE"""),"2763-MARJDGAG")</f>
        <v>2763-MARJDGAG</v>
      </c>
      <c r="B689" s="28" t="str">
        <f>IFERROR(__xludf.DUMMYFUNCTION("""COMPUTED_VALUE"""),"RDV JM TEMÁTICA | TE CUENTO BS AS 26/03 MOVILIDAD EJE SUR")</f>
        <v>RDV JM TEMÁTICA | TE CUENTO BS AS 26/03 MOVILIDAD EJE SUR</v>
      </c>
      <c r="C689" s="29" t="str">
        <f>IFERROR(__xludf.DUMMYFUNCTION("""COMPUTED_VALUE"""),"Pieza")</f>
        <v>Pieza</v>
      </c>
      <c r="D689" s="28" t="str">
        <f>IFERROR(__xludf.DUMMYFUNCTION("""COMPUTED_VALUE"""),"2720-MARINFGC")</f>
        <v>2720-MARINFGC</v>
      </c>
      <c r="E689" s="28" t="str">
        <f>IFERROR(__xludf.DUMMYFUNCTION("""COMPUTED_VALUE"""),"INFRAESTRUCTURA | Cortes y desvíos: derrumbe en PP")</f>
        <v>INFRAESTRUCTURA | Cortes y desvíos: derrumbe en PP</v>
      </c>
      <c r="F689" s="29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690">
      <c r="A690" s="28" t="str">
        <f>IFERROR(__xludf.DUMMYFUNCTION("""COMPUTED_VALUE"""),"2762-MARJDGAG")</f>
        <v>2762-MARJDGAG</v>
      </c>
      <c r="B690" s="28" t="str">
        <f>IFERROR(__xludf.DUMMYFUNCTION("""COMPUTED_VALUE"""),"RDV JM | 25/3 CHACARITA")</f>
        <v>RDV JM | 25/3 CHACARITA</v>
      </c>
      <c r="C690" s="29" t="str">
        <f>IFERROR(__xludf.DUMMYFUNCTION("""COMPUTED_VALUE"""),"Pieza")</f>
        <v>Pieza</v>
      </c>
      <c r="D690" s="28" t="str">
        <f>IFERROR(__xludf.DUMMYFUNCTION("""COMPUTED_VALUE"""),"2762-MARJDGAG")</f>
        <v>2762-MARJDGAG</v>
      </c>
      <c r="E690" s="28" t="str">
        <f>IFERROR(__xludf.DUMMYFUNCTION("""COMPUTED_VALUE"""),"RDV JM | 25/3 CHACARITA")</f>
        <v>RDV JM | 25/3 CHACARITA</v>
      </c>
      <c r="F690" s="29" t="str">
        <f>IFERROR(__xludf.DUMMYFUNCTION("""COMPUTED_VALUE"""),"https://www.facebook.com/reel/835748646212389")</f>
        <v>https://www.facebook.com/reel/835748646212389</v>
      </c>
    </row>
    <row r="691">
      <c r="A691" s="28" t="str">
        <f>IFERROR(__xludf.DUMMYFUNCTION("""COMPUTED_VALUE"""),"2752-MARCULVC")</f>
        <v>2752-MARCULVC</v>
      </c>
      <c r="B691" s="28" t="str">
        <f>IFERROR(__xludf.DUMMYFUNCTION("""COMPUTED_VALUE"""),"RDV Ministros| Gabriela Ricardes 25/3 Comuna 1")</f>
        <v>RDV Ministros| Gabriela Ricardes 25/3 Comuna 1</v>
      </c>
      <c r="C691" s="29" t="str">
        <f>IFERROR(__xludf.DUMMYFUNCTION("""COMPUTED_VALUE"""),"Pieza")</f>
        <v>Pieza</v>
      </c>
      <c r="D691" s="28" t="str">
        <f>IFERROR(__xludf.DUMMYFUNCTION("""COMPUTED_VALUE"""),"2775-MARSEGGJ")</f>
        <v>2775-MARSEGGJ</v>
      </c>
      <c r="E691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691" s="29" t="str">
        <f>IFERROR(__xludf.DUMMYFUNCTION("""COMPUTED_VALUE"""),"https://www.facebook.com/reel/1476952487457454")</f>
        <v>https://www.facebook.com/reel/1476952487457454</v>
      </c>
    </row>
    <row r="692">
      <c r="A692" s="28" t="str">
        <f>IFERROR(__xludf.DUMMYFUNCTION("""COMPUTED_VALUE"""),"2757-MARJDGVC")</f>
        <v>2757-MARJDGVC</v>
      </c>
      <c r="B692" s="28" t="str">
        <f>IFERROR(__xludf.DUMMYFUNCTION("""COMPUTED_VALUE"""),"RDV MINISTROS | GABRIEL SÁNCHEZ ZINNY 25/3 CABALLITO")</f>
        <v>RDV MINISTROS | GABRIEL SÁNCHEZ ZINNY 25/3 CABALLITO</v>
      </c>
      <c r="C692" s="29" t="str">
        <f>IFERROR(__xludf.DUMMYFUNCTION("""COMPUTED_VALUE"""),"Pieza")</f>
        <v>Pieza</v>
      </c>
      <c r="D692" s="28" t="str">
        <f>IFERROR(__xludf.DUMMYFUNCTION("""COMPUTED_VALUE"""),"2775-MARSEGGJ")</f>
        <v>2775-MARSEGGJ</v>
      </c>
      <c r="E692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692" s="29" t="str">
        <f>IFERROR(__xludf.DUMMYFUNCTION("""COMPUTED_VALUE"""),"https://www.facebook.com/reel/1476952487457454")</f>
        <v>https://www.facebook.com/reel/1476952487457454</v>
      </c>
    </row>
    <row r="693">
      <c r="A693" s="28" t="str">
        <f>IFERROR(__xludf.DUMMYFUNCTION("""COMPUTED_VALUE"""),"2750-MARSALVC")</f>
        <v>2750-MARSALVC</v>
      </c>
      <c r="B693" s="28" t="str">
        <f>IFERROR(__xludf.DUMMYFUNCTION("""COMPUTED_VALUE"""),"RDV Ministros | Fernán Quirós - 25/03")</f>
        <v>RDV Ministros | Fernán Quirós - 25/03</v>
      </c>
      <c r="C693" s="29" t="str">
        <f>IFERROR(__xludf.DUMMYFUNCTION("""COMPUTED_VALUE"""),"Pieza")</f>
        <v>Pieza</v>
      </c>
      <c r="D693" s="28" t="str">
        <f>IFERROR(__xludf.DUMMYFUNCTION("""COMPUTED_VALUE"""),"2738-MARCULGC")</f>
        <v>2738-MARCULGC</v>
      </c>
      <c r="E693" s="28" t="str">
        <f>IFERROR(__xludf.DUMMYFUNCTION("""COMPUTED_VALUE"""),"Bafici 2026")</f>
        <v>Bafici 2026</v>
      </c>
      <c r="F693" s="29" t="str">
        <f>IFERROR(__xludf.DUMMYFUNCTION("""COMPUTED_VALUE"""),"https://www.facebook.com/reel/1095770269437604")</f>
        <v>https://www.facebook.com/reel/1095770269437604</v>
      </c>
    </row>
    <row r="694">
      <c r="A694" s="28" t="str">
        <f>IFERROR(__xludf.DUMMYFUNCTION("""COMPUTED_VALUE"""),"2754-MARSEGVC")</f>
        <v>2754-MARSEGVC</v>
      </c>
      <c r="B694" s="28" t="str">
        <f>IFERROR(__xludf.DUMMYFUNCTION("""COMPUTED_VALUE"""),"RDV Ministros| Ruth Landerreche 26/3 Comuna 13")</f>
        <v>RDV Ministros| Ruth Landerreche 26/3 Comuna 13</v>
      </c>
      <c r="C694" s="29" t="str">
        <f>IFERROR(__xludf.DUMMYFUNCTION("""COMPUTED_VALUE"""),"Pieza")</f>
        <v>Pieza</v>
      </c>
      <c r="D694" s="28" t="str">
        <f>IFERROR(__xludf.DUMMYFUNCTION("""COMPUTED_VALUE"""),"2738-MARCULGC")</f>
        <v>2738-MARCULGC</v>
      </c>
      <c r="E694" s="28" t="str">
        <f>IFERROR(__xludf.DUMMYFUNCTION("""COMPUTED_VALUE"""),"Bafici 2026")</f>
        <v>Bafici 2026</v>
      </c>
      <c r="F694" s="29" t="str">
        <f>IFERROR(__xludf.DUMMYFUNCTION("""COMPUTED_VALUE"""),"https://www.facebook.com/reel/1095770269437604")</f>
        <v>https://www.facebook.com/reel/1095770269437604</v>
      </c>
    </row>
    <row r="695">
      <c r="A695" s="28" t="str">
        <f>IFERROR(__xludf.DUMMYFUNCTION("""COMPUTED_VALUE"""),"2756-MARSEGVC")</f>
        <v>2756-MARSEGVC</v>
      </c>
      <c r="B695" s="28" t="str">
        <f>IFERROR(__xludf.DUMMYFUNCTION("""COMPUTED_VALUE"""),"RDV Ministros| Gabino Tapia 26/3 Comuna 15")</f>
        <v>RDV Ministros| Gabino Tapia 26/3 Comuna 15</v>
      </c>
      <c r="C695" s="29" t="str">
        <f>IFERROR(__xludf.DUMMYFUNCTION("""COMPUTED_VALUE"""),"Pieza")</f>
        <v>Pieza</v>
      </c>
      <c r="D695" s="28" t="str">
        <f>IFERROR(__xludf.DUMMYFUNCTION("""COMPUTED_VALUE"""),"2763-MARJDGAG")</f>
        <v>2763-MARJDGAG</v>
      </c>
      <c r="E695" s="28" t="str">
        <f>IFERROR(__xludf.DUMMYFUNCTION("""COMPUTED_VALUE"""),"RDV JM TEMÁTICA | TE CUENTO BS AS 26/03 MOVILIDAD EJE SUR")</f>
        <v>RDV JM TEMÁTICA | TE CUENTO BS AS 26/03 MOVILIDAD EJE SUR</v>
      </c>
      <c r="F695" s="29" t="str">
        <f>IFERROR(__xludf.DUMMYFUNCTION("""COMPUTED_VALUE"""),"https://www.facebook.com/reel/2680911642277655")</f>
        <v>https://www.facebook.com/reel/2680911642277655</v>
      </c>
    </row>
    <row r="696">
      <c r="A696" s="28" t="str">
        <f>IFERROR(__xludf.DUMMYFUNCTION("""COMPUTED_VALUE"""),"2763-MARJDGAG")</f>
        <v>2763-MARJDGAG</v>
      </c>
      <c r="B696" s="28" t="str">
        <f>IFERROR(__xludf.DUMMYFUNCTION("""COMPUTED_VALUE"""),"RDV JM TEMÁTICA | TE CUENTO BS AS 26/03 MOVILIDAD EJE SUR")</f>
        <v>RDV JM TEMÁTICA | TE CUENTO BS AS 26/03 MOVILIDAD EJE SUR</v>
      </c>
      <c r="C696" s="29" t="str">
        <f>IFERROR(__xludf.DUMMYFUNCTION("""COMPUTED_VALUE"""),"Pieza")</f>
        <v>Pieza</v>
      </c>
      <c r="D696" s="28" t="str">
        <f>IFERROR(__xludf.DUMMYFUNCTION("""COMPUTED_VALUE"""),"2763-MARJDGAG")</f>
        <v>2763-MARJDGAG</v>
      </c>
      <c r="E696" s="28" t="str">
        <f>IFERROR(__xludf.DUMMYFUNCTION("""COMPUTED_VALUE"""),"RDV JM TEMÁTICA | TE CUENTO BS AS 26/03 MOVILIDAD EJE SUR")</f>
        <v>RDV JM TEMÁTICA | TE CUENTO BS AS 26/03 MOVILIDAD EJE SUR</v>
      </c>
      <c r="F696" s="29" t="str">
        <f>IFERROR(__xludf.DUMMYFUNCTION("""COMPUTED_VALUE"""),"https://www.facebook.com/reel/2680911642277655")</f>
        <v>https://www.facebook.com/reel/2680911642277655</v>
      </c>
    </row>
    <row r="697">
      <c r="A697" s="28" t="str">
        <f>IFERROR(__xludf.DUMMYFUNCTION("""COMPUTED_VALUE"""),"2145-OCTVINGC")</f>
        <v>2145-OCTVINGC</v>
      </c>
      <c r="B697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697" s="29" t="str">
        <f>IFERROR(__xludf.DUMMYFUNCTION("""COMPUTED_VALUE"""),"Pieza")</f>
        <v>Pieza</v>
      </c>
      <c r="D697" s="28" t="str">
        <f>IFERROR(__xludf.DUMMYFUNCTION("""COMPUTED_VALUE"""),"2817-ABRAMBVC")</f>
        <v>2817-ABRAMBVC</v>
      </c>
      <c r="E697" s="28" t="str">
        <f>IFERROR(__xludf.DUMMYFUNCTION("""COMPUTED_VALUE"""),"Alta Interna | RDV Ministros | Clara Muzzio - Reunión Temática - 10/4")</f>
        <v>Alta Interna | RDV Ministros | Clara Muzzio - Reunión Temática - 10/4</v>
      </c>
      <c r="F697" s="29" t="str">
        <f>IFERROR(__xludf.DUMMYFUNCTION("""COMPUTED_VALUE"""),"https://www.facebook.com/baparticipacion/posts/pfbid02KZUeu6698ybfHTdaJoen8nwGxjQMYPVAUZo6TqMhxiRskpv9L6Z7oJ5rhfhFrU8Sl")</f>
        <v>https://www.facebook.com/baparticipacion/posts/pfbid02KZUeu6698ybfHTdaJoen8nwGxjQMYPVAUZo6TqMhxiRskpv9L6Z7oJ5rhfhFrU8Sl</v>
      </c>
    </row>
    <row r="698">
      <c r="A698" s="28" t="str">
        <f>IFERROR(__xludf.DUMMYFUNCTION("""COMPUTED_VALUE"""),"2759-MARCULGC")</f>
        <v>2759-MARCULGC</v>
      </c>
      <c r="B698" s="28" t="str">
        <f>IFERROR(__xludf.DUMMYFUNCTION("""COMPUTED_VALUE"""),"Entradas a charla de John Malkovich")</f>
        <v>Entradas a charla de John Malkovich</v>
      </c>
      <c r="C698" s="29" t="str">
        <f>IFERROR(__xludf.DUMMYFUNCTION("""COMPUTED_VALUE"""),"Pieza")</f>
        <v>Pieza</v>
      </c>
      <c r="D698" s="28" t="str">
        <f>IFERROR(__xludf.DUMMYFUNCTION("""COMPUTED_VALUE"""),"2817-ABRAMBVC")</f>
        <v>2817-ABRAMBVC</v>
      </c>
      <c r="E698" s="28" t="str">
        <f>IFERROR(__xludf.DUMMYFUNCTION("""COMPUTED_VALUE"""),"Alta Interna | RDV Ministros | Clara Muzzio - Reunión Temática - 10/4")</f>
        <v>Alta Interna | RDV Ministros | Clara Muzzio - Reunión Temática - 10/4</v>
      </c>
      <c r="F698" s="29" t="str">
        <f>IFERROR(__xludf.DUMMYFUNCTION("""COMPUTED_VALUE"""),"https://www.facebook.com/baparticipacion/posts/pfbid02KZUeu6698ybfHTdaJoen8nwGxjQMYPVAUZo6TqMhxiRskpv9L6Z7oJ5rhfhFrU8Sl")</f>
        <v>https://www.facebook.com/baparticipacion/posts/pfbid02KZUeu6698ybfHTdaJoen8nwGxjQMYPVAUZo6TqMhxiRskpv9L6Z7oJ5rhfhFrU8Sl</v>
      </c>
    </row>
    <row r="699">
      <c r="A699" s="28" t="str">
        <f>IFERROR(__xludf.DUMMYFUNCTION("""COMPUTED_VALUE"""),"2753-MARSEGVC")</f>
        <v>2753-MARSEGVC</v>
      </c>
      <c r="B699" s="28" t="str">
        <f>IFERROR(__xludf.DUMMYFUNCTION("""COMPUTED_VALUE"""),"RDV Ministros| Horacio Gimenez 26/3 Comuna 12")</f>
        <v>RDV Ministros| Horacio Gimenez 26/3 Comuna 12</v>
      </c>
      <c r="C699" s="29" t="str">
        <f>IFERROR(__xludf.DUMMYFUNCTION("""COMPUTED_VALUE"""),"Pieza")</f>
        <v>Pieza</v>
      </c>
      <c r="D699" s="28" t="str">
        <f>IFERROR(__xludf.DUMMYFUNCTION("""COMPUTED_VALUE"""),"2816-ABRJDGAG")</f>
        <v>2816-ABRJDGAG</v>
      </c>
      <c r="E699" s="28" t="str">
        <f>IFERROR(__xludf.DUMMYFUNCTION("""COMPUTED_VALUE"""),"1 A 1 JM | Comuna 6 10/04")</f>
        <v>1 A 1 JM | Comuna 6 10/04</v>
      </c>
      <c r="F699" s="29" t="str">
        <f>IFERROR(__xludf.DUMMYFUNCTION("""COMPUTED_VALUE"""),"https://www.facebook.com/GCBA/posts/pfbid02qaBDzBApaakXi9SjeBNn6xUvgrazcp7PbQLusMapiN1AqwWSP4P9owjRg47fKsvxl")</f>
        <v>https://www.facebook.com/GCBA/posts/pfbid02qaBDzBApaakXi9SjeBNn6xUvgrazcp7PbQLusMapiN1AqwWSP4P9owjRg47fKsvxl</v>
      </c>
    </row>
    <row r="700">
      <c r="A700" s="28" t="str">
        <f>IFERROR(__xludf.DUMMYFUNCTION("""COMPUTED_VALUE"""),"2764-MARJDGVC")</f>
        <v>2764-MARJDGVC</v>
      </c>
      <c r="B700" s="28" t="str">
        <f>IFERROR(__xludf.DUMMYFUNCTION("""COMPUTED_VALUE"""),"RDV MINISTROS | GABRIEL SÁNCHEZ ZINNY 28/3 SAN CRISTÓBAL")</f>
        <v>RDV MINISTROS | GABRIEL SÁNCHEZ ZINNY 28/3 SAN CRISTÓBAL</v>
      </c>
      <c r="C700" s="29" t="str">
        <f>IFERROR(__xludf.DUMMYFUNCTION("""COMPUTED_VALUE"""),"Pieza")</f>
        <v>Pieza</v>
      </c>
      <c r="D700" s="28" t="str">
        <f>IFERROR(__xludf.DUMMYFUNCTION("""COMPUTED_VALUE"""),"2819-ABRSEGGJ")</f>
        <v>2819-ABRSEGGJ</v>
      </c>
      <c r="E700" s="28" t="str">
        <f>IFERROR(__xludf.DUMMYFUNCTION("""COMPUTED_VALUE"""),"GCBA + JM | SEGURIDAD | Desalojo de propiedad Anchoris 183")</f>
        <v>GCBA + JM | SEGURIDAD | Desalojo de propiedad Anchoris 183</v>
      </c>
      <c r="F700" s="29" t="str">
        <f>IFERROR(__xludf.DUMMYFUNCTION("""COMPUTED_VALUE"""),"https://www.facebook.com/reel/1441473893755475")</f>
        <v>https://www.facebook.com/reel/1441473893755475</v>
      </c>
    </row>
    <row r="701">
      <c r="A701" s="28" t="str">
        <f>IFERROR(__xludf.DUMMYFUNCTION("""COMPUTED_VALUE"""),"2739-MARSEGGJ")</f>
        <v>2739-MARSEGGJ</v>
      </c>
      <c r="B701" s="28" t="str">
        <f>IFERROR(__xludf.DUMMYFUNCTION("""COMPUTED_VALUE"""),"CAMPAÑA JM + GCBA | SEGURIDAD | Operativo de Seguridad en Subte")</f>
        <v>CAMPAÑA JM + GCBA | SEGURIDAD | Operativo de Seguridad en Subte</v>
      </c>
      <c r="C701" s="29" t="str">
        <f>IFERROR(__xludf.DUMMYFUNCTION("""COMPUTED_VALUE"""),"Pieza")</f>
        <v>Pieza</v>
      </c>
      <c r="D701" s="28" t="str">
        <f>IFERROR(__xludf.DUMMYFUNCTION("""COMPUTED_VALUE"""),"2819-ABRSEGGJ")</f>
        <v>2819-ABRSEGGJ</v>
      </c>
      <c r="E701" s="28" t="str">
        <f>IFERROR(__xludf.DUMMYFUNCTION("""COMPUTED_VALUE"""),"GCBA + JM | SEGURIDAD | Desalojo de propiedad Anchoris 183")</f>
        <v>GCBA + JM | SEGURIDAD | Desalojo de propiedad Anchoris 183</v>
      </c>
      <c r="F701" s="29" t="str">
        <f>IFERROR(__xludf.DUMMYFUNCTION("""COMPUTED_VALUE"""),"https://www.facebook.com/reel/1441473893755475")</f>
        <v>https://www.facebook.com/reel/1441473893755475</v>
      </c>
    </row>
    <row r="702">
      <c r="A702" s="28" t="str">
        <f>IFERROR(__xludf.DUMMYFUNCTION("""COMPUTED_VALUE"""),"2750-MARSALVC")</f>
        <v>2750-MARSALVC</v>
      </c>
      <c r="B702" s="28" t="str">
        <f>IFERROR(__xludf.DUMMYFUNCTION("""COMPUTED_VALUE"""),"RDV Ministros | Fernán Quirós - 25/03")</f>
        <v>RDV Ministros | Fernán Quirós - 25/03</v>
      </c>
      <c r="C702" s="29" t="str">
        <f>IFERROR(__xludf.DUMMYFUNCTION("""COMPUTED_VALUE"""),"Pieza")</f>
        <v>Pieza</v>
      </c>
      <c r="D702" s="28" t="str">
        <f>IFERROR(__xludf.DUMMYFUNCTION("""COMPUTED_VALUE"""),"2819-ABRSEGGJ")</f>
        <v>2819-ABRSEGGJ</v>
      </c>
      <c r="E702" s="28" t="str">
        <f>IFERROR(__xludf.DUMMYFUNCTION("""COMPUTED_VALUE"""),"GCBA + JM | SEGURIDAD | Desalojo de propiedad Anchoris 183")</f>
        <v>GCBA + JM | SEGURIDAD | Desalojo de propiedad Anchoris 183</v>
      </c>
      <c r="F702" s="29" t="str">
        <f>IFERROR(__xludf.DUMMYFUNCTION("""COMPUTED_VALUE"""),"https://www.facebook.com/reel/1441473893755475")</f>
        <v>https://www.facebook.com/reel/1441473893755475</v>
      </c>
    </row>
    <row r="703">
      <c r="A703" s="28" t="str">
        <f>IFERROR(__xludf.DUMMYFUNCTION("""COMPUTED_VALUE"""),"2755-MARSEGVC")</f>
        <v>2755-MARSEGVC</v>
      </c>
      <c r="B703" s="28" t="str">
        <f>IFERROR(__xludf.DUMMYFUNCTION("""COMPUTED_VALUE"""),"RDV Ministros| Maximiliano Piñeiro 26/3 Comuna 14")</f>
        <v>RDV Ministros| Maximiliano Piñeiro 26/3 Comuna 14</v>
      </c>
      <c r="C703" s="29" t="str">
        <f>IFERROR(__xludf.DUMMYFUNCTION("""COMPUTED_VALUE"""),"Pieza")</f>
        <v>Pieza</v>
      </c>
      <c r="D703" s="28" t="str">
        <f>IFERROR(__xludf.DUMMYFUNCTION("""COMPUTED_VALUE"""),"2797-MARSALGJ")</f>
        <v>2797-MARSALGJ</v>
      </c>
      <c r="E703" s="28" t="str">
        <f>IFERROR(__xludf.DUMMYFUNCTION("""COMPUTED_VALUE"""),"Recorrida: Hospital Pirovano")</f>
        <v>Recorrida: Hospital Pirovano</v>
      </c>
      <c r="F703" s="29" t="str">
        <f>IFERROR(__xludf.DUMMYFUNCTION("""COMPUTED_VALUE"""),"https://www.facebook.com/reel/1297000715746820")</f>
        <v>https://www.facebook.com/reel/1297000715746820</v>
      </c>
    </row>
    <row r="704">
      <c r="A704" s="28" t="str">
        <f>IFERROR(__xludf.DUMMYFUNCTION("""COMPUTED_VALUE"""),"2770-MARSALGC")</f>
        <v>2770-MARSALGC</v>
      </c>
      <c r="B704" s="28" t="str">
        <f>IFERROR(__xludf.DUMMYFUNCTION("""COMPUTED_VALUE"""),"Segundo envío Medicación e Insumos (MEI)")</f>
        <v>Segundo envío Medicación e Insumos (MEI)</v>
      </c>
      <c r="C704" s="29" t="str">
        <f>IFERROR(__xludf.DUMMYFUNCTION("""COMPUTED_VALUE"""),"Pieza")</f>
        <v>Pieza</v>
      </c>
      <c r="D704" s="28" t="str">
        <f>IFERROR(__xludf.DUMMYFUNCTION("""COMPUTED_VALUE"""),"2797-MARSALGJ")</f>
        <v>2797-MARSALGJ</v>
      </c>
      <c r="E704" s="28" t="str">
        <f>IFERROR(__xludf.DUMMYFUNCTION("""COMPUTED_VALUE"""),"Recorrida: Hospital Pirovano")</f>
        <v>Recorrida: Hospital Pirovano</v>
      </c>
      <c r="F704" s="29" t="str">
        <f>IFERROR(__xludf.DUMMYFUNCTION("""COMPUTED_VALUE"""),"https://www.facebook.com/reel/1297000715746820")</f>
        <v>https://www.facebook.com/reel/1297000715746820</v>
      </c>
    </row>
    <row r="705">
      <c r="A705" s="28" t="str">
        <f>IFERROR(__xludf.DUMMYFUNCTION("""COMPUTED_VALUE"""),"2770-MARSALGC")</f>
        <v>2770-MARSALGC</v>
      </c>
      <c r="B705" s="28" t="str">
        <f>IFERROR(__xludf.DUMMYFUNCTION("""COMPUTED_VALUE"""),"Segundo envío Medicación e Insumos (MEI)")</f>
        <v>Segundo envío Medicación e Insumos (MEI)</v>
      </c>
      <c r="C705" s="29" t="str">
        <f>IFERROR(__xludf.DUMMYFUNCTION("""COMPUTED_VALUE"""),"Pieza")</f>
        <v>Pieza</v>
      </c>
      <c r="D705" s="28" t="str">
        <f>IFERROR(__xludf.DUMMYFUNCTION("""COMPUTED_VALUE"""),"2797-MARSALGJ")</f>
        <v>2797-MARSALGJ</v>
      </c>
      <c r="E705" s="28" t="str">
        <f>IFERROR(__xludf.DUMMYFUNCTION("""COMPUTED_VALUE"""),"Recorrida: Hospital Pirovano")</f>
        <v>Recorrida: Hospital Pirovano</v>
      </c>
      <c r="F705" s="29" t="str">
        <f>IFERROR(__xludf.DUMMYFUNCTION("""COMPUTED_VALUE"""),"https://www.facebook.com/reel/1297000715746820")</f>
        <v>https://www.facebook.com/reel/1297000715746820</v>
      </c>
    </row>
    <row r="706">
      <c r="A706" s="28" t="str">
        <f>IFERROR(__xludf.DUMMYFUNCTION("""COMPUTED_VALUE"""),"2723-MARJDGAG")</f>
        <v>2723-MARJDGAG</v>
      </c>
      <c r="B706" s="28" t="str">
        <f>IFERROR(__xludf.DUMMYFUNCTION("""COMPUTED_VALUE"""),"RDV JM 18/3 LA BOCA")</f>
        <v>RDV JM 18/3 LA BOCA</v>
      </c>
      <c r="C706" s="29" t="str">
        <f>IFERROR(__xludf.DUMMYFUNCTION("""COMPUTED_VALUE"""),"Pieza")</f>
        <v>Pieza</v>
      </c>
      <c r="D706" s="28" t="str">
        <f>IFERROR(__xludf.DUMMYFUNCTION("""COMPUTED_VALUE"""),"2496-ENEVINGC")</f>
        <v>2496-ENEVINGC</v>
      </c>
      <c r="E70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6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07">
      <c r="A707" s="28" t="str">
        <f>IFERROR(__xludf.DUMMYFUNCTION("""COMPUTED_VALUE"""),"2723-MARJDGAG")</f>
        <v>2723-MARJDGAG</v>
      </c>
      <c r="B707" s="28" t="str">
        <f>IFERROR(__xludf.DUMMYFUNCTION("""COMPUTED_VALUE"""),"RDV JM 18/3 LA BOCA")</f>
        <v>RDV JM 18/3 LA BOCA</v>
      </c>
      <c r="C707" s="29" t="str">
        <f>IFERROR(__xludf.DUMMYFUNCTION("""COMPUTED_VALUE"""),"Pieza")</f>
        <v>Pieza</v>
      </c>
      <c r="D707" s="28" t="str">
        <f>IFERROR(__xludf.DUMMYFUNCTION("""COMPUTED_VALUE"""),"2496-ENEVINGC")</f>
        <v>2496-ENEVINGC</v>
      </c>
      <c r="E70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7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08">
      <c r="A708" s="28" t="str">
        <f>IFERROR(__xludf.DUMMYFUNCTION("""COMPUTED_VALUE"""),"2729-MARSEGVC")</f>
        <v>2729-MARSEGVC</v>
      </c>
      <c r="B708" s="28" t="str">
        <f>IFERROR(__xludf.DUMMYFUNCTION("""COMPUTED_VALUE"""),"RDV Ministros | Ruth Landerreche 19/3 Comuna 11")</f>
        <v>RDV Ministros | Ruth Landerreche 19/3 Comuna 11</v>
      </c>
      <c r="C708" s="29" t="str">
        <f>IFERROR(__xludf.DUMMYFUNCTION("""COMPUTED_VALUE"""),"Pieza")</f>
        <v>Pieza</v>
      </c>
      <c r="D708" s="28" t="str">
        <f>IFERROR(__xludf.DUMMYFUNCTION("""COMPUTED_VALUE"""),"2496-ENEVINGC")</f>
        <v>2496-ENEVINGC</v>
      </c>
      <c r="E70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8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09">
      <c r="A709" s="28" t="str">
        <f>IFERROR(__xludf.DUMMYFUNCTION("""COMPUTED_VALUE"""),"2782-MARJDGAG")</f>
        <v>2782-MARJDGAG</v>
      </c>
      <c r="B709" s="28" t="str">
        <f>IFERROR(__xludf.DUMMYFUNCTION("""COMPUTED_VALUE"""),"RDV JM | 30/3 VILLA SANTA RITA")</f>
        <v>RDV JM | 30/3 VILLA SANTA RITA</v>
      </c>
      <c r="C709" s="29" t="str">
        <f>IFERROR(__xludf.DUMMYFUNCTION("""COMPUTED_VALUE"""),"Pieza")</f>
        <v>Pieza</v>
      </c>
      <c r="D709" s="28" t="str">
        <f>IFERROR(__xludf.DUMMYFUNCTION("""COMPUTED_VALUE"""),"2496-ENEVINGC")</f>
        <v>2496-ENEVINGC</v>
      </c>
      <c r="E70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09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0">
      <c r="A710" s="28" t="str">
        <f>IFERROR(__xludf.DUMMYFUNCTION("""COMPUTED_VALUE"""),"2757-MARJDGVC")</f>
        <v>2757-MARJDGVC</v>
      </c>
      <c r="B710" s="28" t="str">
        <f>IFERROR(__xludf.DUMMYFUNCTION("""COMPUTED_VALUE"""),"RDV MINISTROS | GABRIEL SÁNCHEZ ZINNY 25/3 CABALLITO")</f>
        <v>RDV MINISTROS | GABRIEL SÁNCHEZ ZINNY 25/3 CABALLITO</v>
      </c>
      <c r="C710" s="29" t="str">
        <f>IFERROR(__xludf.DUMMYFUNCTION("""COMPUTED_VALUE"""),"Pieza")</f>
        <v>Pieza</v>
      </c>
      <c r="D710" s="28" t="str">
        <f>IFERROR(__xludf.DUMMYFUNCTION("""COMPUTED_VALUE"""),"2496-ENEVINGC")</f>
        <v>2496-ENEVINGC</v>
      </c>
      <c r="E71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10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1">
      <c r="A711" s="28" t="str">
        <f>IFERROR(__xludf.DUMMYFUNCTION("""COMPUTED_VALUE"""),"2653-FEBFESGC")</f>
        <v>2653-FEBFESGC</v>
      </c>
      <c r="B711" s="28" t="str">
        <f>IFERROR(__xludf.DUMMYFUNCTION("""COMPUTED_VALUE"""),"Pascuas en Buenos Aires")</f>
        <v>Pascuas en Buenos Aires</v>
      </c>
      <c r="C711" s="29" t="str">
        <f>IFERROR(__xludf.DUMMYFUNCTION("""COMPUTED_VALUE"""),"Pieza")</f>
        <v>Pieza</v>
      </c>
      <c r="D711" s="28" t="str">
        <f>IFERROR(__xludf.DUMMYFUNCTION("""COMPUTED_VALUE"""),"2496-ENEVINGC")</f>
        <v>2496-ENEVINGC</v>
      </c>
      <c r="E71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11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2">
      <c r="A712" s="28" t="str">
        <f>IFERROR(__xludf.DUMMYFUNCTION("""COMPUTED_VALUE"""),"2764-MARJDGVC")</f>
        <v>2764-MARJDGVC</v>
      </c>
      <c r="B712" s="28" t="str">
        <f>IFERROR(__xludf.DUMMYFUNCTION("""COMPUTED_VALUE"""),"RDV MINISTROS | GABRIEL SÁNCHEZ ZINNY 28/3 SAN CRISTÓBAL")</f>
        <v>RDV MINISTROS | GABRIEL SÁNCHEZ ZINNY 28/3 SAN CRISTÓBAL</v>
      </c>
      <c r="C712" s="29" t="str">
        <f>IFERROR(__xludf.DUMMYFUNCTION("""COMPUTED_VALUE"""),"Pieza")</f>
        <v>Pieza</v>
      </c>
      <c r="D712" s="28" t="str">
        <f>IFERROR(__xludf.DUMMYFUNCTION("""COMPUTED_VALUE"""),"2496-ENEVINGC")</f>
        <v>2496-ENEVINGC</v>
      </c>
      <c r="E71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12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13">
      <c r="A713" s="28" t="str">
        <f>IFERROR(__xludf.DUMMYFUNCTION("""COMPUTED_VALUE"""),"2739-MARSEGGJ")</f>
        <v>2739-MARSEGGJ</v>
      </c>
      <c r="B713" s="28" t="str">
        <f>IFERROR(__xludf.DUMMYFUNCTION("""COMPUTED_VALUE"""),"CAMPAÑA JM + GCBA | SEGURIDAD | Operativo de Seguridad en Subte")</f>
        <v>CAMPAÑA JM + GCBA | SEGURIDAD | Operativo de Seguridad en Subte</v>
      </c>
      <c r="C713" s="29" t="str">
        <f>IFERROR(__xludf.DUMMYFUNCTION("""COMPUTED_VALUE"""),"Pieza")</f>
        <v>Pieza</v>
      </c>
      <c r="D713" s="28" t="str">
        <f>IFERROR(__xludf.DUMMYFUNCTION("""COMPUTED_VALUE"""),"2790-MARJDGAG")</f>
        <v>2790-MARJDGAG</v>
      </c>
      <c r="E713" s="28" t="str">
        <f>IFERROR(__xludf.DUMMYFUNCTION("""COMPUTED_VALUE"""),"1 A 1 JM | Comuna 2 31/03")</f>
        <v>1 A 1 JM | Comuna 2 31/03</v>
      </c>
      <c r="F713" s="29" t="str">
        <f>IFERROR(__xludf.DUMMYFUNCTION("""COMPUTED_VALUE"""),"https://www.facebook.com/reel/1413275993901408")</f>
        <v>https://www.facebook.com/reel/1413275993901408</v>
      </c>
    </row>
    <row r="714">
      <c r="A714" s="28" t="str">
        <f>IFERROR(__xludf.DUMMYFUNCTION("""COMPUTED_VALUE"""),"2777-MARJDGVC")</f>
        <v>2777-MARJDGVC</v>
      </c>
      <c r="B714" s="28" t="str">
        <f>IFERROR(__xludf.DUMMYFUNCTION("""COMPUTED_VALUE"""),"RDV MINISTROS | GABRIEL SÁNCHEZ ZINNY 30/3  MATADEROS")</f>
        <v>RDV MINISTROS | GABRIEL SÁNCHEZ ZINNY 30/3  MATADEROS</v>
      </c>
      <c r="C714" s="29" t="str">
        <f>IFERROR(__xludf.DUMMYFUNCTION("""COMPUTED_VALUE"""),"Pieza")</f>
        <v>Pieza</v>
      </c>
      <c r="D714" s="28" t="str">
        <f>IFERROR(__xludf.DUMMYFUNCTION("""COMPUTED_VALUE"""),"2723-MARJDGAG")</f>
        <v>2723-MARJDGAG</v>
      </c>
      <c r="E714" s="28" t="str">
        <f>IFERROR(__xludf.DUMMYFUNCTION("""COMPUTED_VALUE"""),"RDV JM 18/3 LA BOCA")</f>
        <v>RDV JM 18/3 LA BOCA</v>
      </c>
      <c r="F714" s="29" t="str">
        <f>IFERROR(__xludf.DUMMYFUNCTION("""COMPUTED_VALUE"""),"https://www.facebook.com/reel/1384952746985012")</f>
        <v>https://www.facebook.com/reel/1384952746985012</v>
      </c>
    </row>
    <row r="715">
      <c r="A715" s="28" t="str">
        <f>IFERROR(__xludf.DUMMYFUNCTION("""COMPUTED_VALUE"""),"2783-MAREDUVC")</f>
        <v>2783-MAREDUVC</v>
      </c>
      <c r="B715" s="28" t="str">
        <f>IFERROR(__xludf.DUMMYFUNCTION("""COMPUTED_VALUE"""),"RDV MINISTROS | MM |  COMUNA 2  || 30/3")</f>
        <v>RDV MINISTROS | MM |  COMUNA 2  || 30/3</v>
      </c>
      <c r="C715" s="29" t="str">
        <f>IFERROR(__xludf.DUMMYFUNCTION("""COMPUTED_VALUE"""),"Pieza")</f>
        <v>Pieza</v>
      </c>
      <c r="D715" s="28" t="str">
        <f>IFERROR(__xludf.DUMMYFUNCTION("""COMPUTED_VALUE"""),"2803-MARJDGAG")</f>
        <v>2803-MARJDGAG</v>
      </c>
      <c r="E715" s="28" t="str">
        <f>IFERROR(__xludf.DUMMYFUNCTION("""COMPUTED_VALUE"""),"RDV JM | 8/4 VILLA CRESPO")</f>
        <v>RDV JM | 8/4 VILLA CRESPO</v>
      </c>
      <c r="F715" s="29" t="str">
        <f>IFERROR(__xludf.DUMMYFUNCTION("""COMPUTED_VALUE"""),"https://www.facebook.com/reel/1573178958142824")</f>
        <v>https://www.facebook.com/reel/1573178958142824</v>
      </c>
    </row>
    <row r="716">
      <c r="A716" s="28" t="str">
        <f>IFERROR(__xludf.DUMMYFUNCTION("""COMPUTED_VALUE"""),"2673-MARSALGC")</f>
        <v>2673-MARSALGC</v>
      </c>
      <c r="B716" s="28" t="str">
        <f>IFERROR(__xludf.DUMMYFUNCTION("""COMPUTED_VALUE"""),"Mejoras en Centros de Salud")</f>
        <v>Mejoras en Centros de Salud</v>
      </c>
      <c r="C716" s="29" t="str">
        <f>IFERROR(__xludf.DUMMYFUNCTION("""COMPUTED_VALUE"""),"Pieza")</f>
        <v>Pieza</v>
      </c>
      <c r="D716" s="28" t="str">
        <f>IFERROR(__xludf.DUMMYFUNCTION("""COMPUTED_VALUE"""),"2830-ABRJDGVC")</f>
        <v>2830-ABRJDGVC</v>
      </c>
      <c r="E716" s="28" t="str">
        <f>IFERROR(__xludf.DUMMYFUNCTION("""COMPUTED_VALUE"""),"RDV MINISTROS | GABRIEL SÁNCHEZ ZINNY 14/4  RETIRO")</f>
        <v>RDV MINISTROS | GABRIEL SÁNCHEZ ZINNY 14/4  RETIRO</v>
      </c>
      <c r="F716" s="29" t="str">
        <f>IFERROR(__xludf.DUMMYFUNCTION("""COMPUTED_VALUE"""),"https://www.facebook.com/baparticipacion/posts/pfbid02YRVUqWgcq9vykKsseVnPrFPvU3JAquodw9G3ixGSq1yrcVoABoHnYHW3xZpxs6v5l")</f>
        <v>https://www.facebook.com/baparticipacion/posts/pfbid02YRVUqWgcq9vykKsseVnPrFPvU3JAquodw9G3ixGSq1yrcVoABoHnYHW3xZpxs6v5l</v>
      </c>
    </row>
    <row r="717">
      <c r="A717" s="28" t="str">
        <f>IFERROR(__xludf.DUMMYFUNCTION("""COMPUTED_VALUE"""),"2751-MARAMBVC")</f>
        <v>2751-MARAMBVC</v>
      </c>
      <c r="B717" s="28" t="str">
        <f>IFERROR(__xludf.DUMMYFUNCTION("""COMPUTED_VALUE"""),"RDV Ministros | Clara Muzzio - 25/03")</f>
        <v>RDV Ministros | Clara Muzzio - 25/03</v>
      </c>
      <c r="C717" s="29" t="str">
        <f>IFERROR(__xludf.DUMMYFUNCTION("""COMPUTED_VALUE"""),"Pieza")</f>
        <v>Pieza</v>
      </c>
      <c r="D717" s="28" t="str">
        <f>IFERROR(__xludf.DUMMYFUNCTION("""COMPUTED_VALUE"""),"2841-ABRJDGAG")</f>
        <v>2841-ABRJDGAG</v>
      </c>
      <c r="E717" s="28" t="str">
        <f>IFERROR(__xludf.DUMMYFUNCTION("""COMPUTED_VALUE"""),"RDV JM | 15/4 PARQUE CHACABUCO")</f>
        <v>RDV JM | 15/4 PARQUE CHACABUCO</v>
      </c>
      <c r="F717" s="29" t="str">
        <f>IFERROR(__xludf.DUMMYFUNCTION("""COMPUTED_VALUE"""),"https://www.facebook.com/reel/1430192845027079")</f>
        <v>https://www.facebook.com/reel/1430192845027079</v>
      </c>
    </row>
    <row r="718">
      <c r="A718" s="28" t="str">
        <f>IFERROR(__xludf.DUMMYFUNCTION("""COMPUTED_VALUE"""),"2761-MARJDGAG")</f>
        <v>2761-MARJDGAG</v>
      </c>
      <c r="B718" s="28" t="str">
        <f>IFERROR(__xludf.DUMMYFUNCTION("""COMPUTED_VALUE"""),"RDV JM | 23/3 VILLA PUEYRREDÓN")</f>
        <v>RDV JM | 23/3 VILLA PUEYRREDÓN</v>
      </c>
      <c r="C718" s="29" t="str">
        <f>IFERROR(__xludf.DUMMYFUNCTION("""COMPUTED_VALUE"""),"Pieza")</f>
        <v>Pieza</v>
      </c>
      <c r="D718" s="28" t="str">
        <f>IFERROR(__xludf.DUMMYFUNCTION("""COMPUTED_VALUE"""),"2828-ABRDHHVC")</f>
        <v>2828-ABRDHHVC</v>
      </c>
      <c r="E718" s="28" t="str">
        <f>IFERROR(__xludf.DUMMYFUNCTION("""COMPUTED_VALUE"""),"RDV Ministros | Gabriel Mraida - 15/4")</f>
        <v>RDV Ministros | Gabriel Mraida - 15/4</v>
      </c>
      <c r="F718" s="29" t="str">
        <f>IFERROR(__xludf.DUMMYFUNCTION("""COMPUTED_VALUE"""),"https://www.facebook.com/baparticipacion/posts/pfbid0UjssYKKcNNnjMP4wc9VnxyE2iRb1qJMDHDBAqV42U4dF3szvJTKxo9ksjwZTjkZvl")</f>
        <v>https://www.facebook.com/baparticipacion/posts/pfbid0UjssYKKcNNnjMP4wc9VnxyE2iRb1qJMDHDBAqV42U4dF3szvJTKxo9ksjwZTjkZvl</v>
      </c>
    </row>
    <row r="719">
      <c r="A719" s="28" t="str">
        <f>IFERROR(__xludf.DUMMYFUNCTION("""COMPUTED_VALUE"""),"2761-MARJDGAG")</f>
        <v>2761-MARJDGAG</v>
      </c>
      <c r="B719" s="28" t="str">
        <f>IFERROR(__xludf.DUMMYFUNCTION("""COMPUTED_VALUE"""),"RDV JM | 23/3 VILLA PUEYRREDÓN")</f>
        <v>RDV JM | 23/3 VILLA PUEYRREDÓN</v>
      </c>
      <c r="C719" s="29" t="str">
        <f>IFERROR(__xludf.DUMMYFUNCTION("""COMPUTED_VALUE"""),"Pieza")</f>
        <v>Pieza</v>
      </c>
      <c r="D719" s="28" t="str">
        <f>IFERROR(__xludf.DUMMYFUNCTION("""COMPUTED_VALUE"""),"2829-ABREPHVC")</f>
        <v>2829-ABREPHVC</v>
      </c>
      <c r="E719" s="28" t="str">
        <f>IFERROR(__xludf.DUMMYFUNCTION("""COMPUTED_VALUE"""),"RDV MINISTROS | IGNACIO BAISTROCCHI 13/4 COMUNA 3")</f>
        <v>RDV MINISTROS | IGNACIO BAISTROCCHI 13/4 COMUNA 3</v>
      </c>
      <c r="F719" s="29" t="str">
        <f>IFERROR(__xludf.DUMMYFUNCTION("""COMPUTED_VALUE"""),"https://www.facebook.com/baparticipacion/posts/pfbid02GLBYpkMkpgWMkCjsDo6d1qPvK3Fkx2kgUm6iEaXxovXXzd3UA7HdqNKbZdBWQaXtl")</f>
        <v>https://www.facebook.com/baparticipacion/posts/pfbid02GLBYpkMkpgWMkCjsDo6d1qPvK3Fkx2kgUm6iEaXxovXXzd3UA7HdqNKbZdBWQaXtl</v>
      </c>
    </row>
    <row r="720">
      <c r="A720" s="28" t="str">
        <f>IFERROR(__xludf.DUMMYFUNCTION("""COMPUTED_VALUE"""),"2774-MARDECAN")</f>
        <v>2774-MARDECAN</v>
      </c>
      <c r="B720" s="28" t="str">
        <f>IFERROR(__xludf.DUMMYFUNCTION("""COMPUTED_VALUE"""),"Exención de impuestos al sector gastronómico y hotelero")</f>
        <v>Exención de impuestos al sector gastronómico y hotelero</v>
      </c>
      <c r="C720" s="29" t="str">
        <f>IFERROR(__xludf.DUMMYFUNCTION("""COMPUTED_VALUE"""),"Pieza")</f>
        <v>Pieza</v>
      </c>
      <c r="D720" s="28" t="str">
        <f>IFERROR(__xludf.DUMMYFUNCTION("""COMPUTED_VALUE"""),"2811-ABRINFGC")</f>
        <v>2811-ABRINFGC</v>
      </c>
      <c r="E720" s="28" t="str">
        <f>IFERROR(__xludf.DUMMYFUNCTION("""COMPUTED_VALUE""")," INFRAESTRUCTURA | AU Dellepiane: durante de obra | Abril 2026")</f>
        <v> INFRAESTRUCTURA | AU Dellepiane: durante de obra | Abril 2026</v>
      </c>
      <c r="F720" s="29" t="str">
        <f>IFERROR(__xludf.DUMMYFUNCTION("""COMPUTED_VALUE"""),"https://www.facebook.com/GCBA/posts/pfbid0DZRfNQeZrb83xQQThogTYk4iP8kcW2amjyuLxfjmWuqZ8ndhe4MCUQ8gWzU3EDial")</f>
        <v>https://www.facebook.com/GCBA/posts/pfbid0DZRfNQeZrb83xQQThogTYk4iP8kcW2amjyuLxfjmWuqZ8ndhe4MCUQ8gWzU3EDial</v>
      </c>
    </row>
    <row r="721">
      <c r="A721" s="28" t="str">
        <f>IFERROR(__xludf.DUMMYFUNCTION("""COMPUTED_VALUE"""),"2774-MARDECAN")</f>
        <v>2774-MARDECAN</v>
      </c>
      <c r="B721" s="28" t="str">
        <f>IFERROR(__xludf.DUMMYFUNCTION("""COMPUTED_VALUE"""),"Exención de impuestos al sector gastronómico y hotelero")</f>
        <v>Exención de impuestos al sector gastronómico y hotelero</v>
      </c>
      <c r="C721" s="29" t="str">
        <f>IFERROR(__xludf.DUMMYFUNCTION("""COMPUTED_VALUE"""),"Pieza")</f>
        <v>Pieza</v>
      </c>
      <c r="D721" s="28" t="str">
        <f>IFERROR(__xludf.DUMMYFUNCTION("""COMPUTED_VALUE"""),"2811-ABRINFGC")</f>
        <v>2811-ABRINFGC</v>
      </c>
      <c r="E721" s="28" t="str">
        <f>IFERROR(__xludf.DUMMYFUNCTION("""COMPUTED_VALUE""")," INFRAESTRUCTURA | AU Dellepiane: durante de obra | Abril 2026")</f>
        <v> INFRAESTRUCTURA | AU Dellepiane: durante de obra | Abril 2026</v>
      </c>
      <c r="F721" s="29" t="str">
        <f>IFERROR(__xludf.DUMMYFUNCTION("""COMPUTED_VALUE"""),"https://www.facebook.com/GCBA/posts/pfbid0DZRfNQeZrb83xQQThogTYk4iP8kcW2amjyuLxfjmWuqZ8ndhe4MCUQ8gWzU3EDial")</f>
        <v>https://www.facebook.com/GCBA/posts/pfbid0DZRfNQeZrb83xQQThogTYk4iP8kcW2amjyuLxfjmWuqZ8ndhe4MCUQ8gWzU3EDial</v>
      </c>
    </row>
    <row r="722">
      <c r="A722" s="28" t="str">
        <f>IFERROR(__xludf.DUMMYFUNCTION("""COMPUTED_VALUE"""),"2774-MARDECAN")</f>
        <v>2774-MARDECAN</v>
      </c>
      <c r="B722" s="28" t="str">
        <f>IFERROR(__xludf.DUMMYFUNCTION("""COMPUTED_VALUE"""),"Exención de impuestos al sector gastronómico y hotelero")</f>
        <v>Exención de impuestos al sector gastronómico y hotelero</v>
      </c>
      <c r="C722" s="29" t="str">
        <f>IFERROR(__xludf.DUMMYFUNCTION("""COMPUTED_VALUE"""),"Pieza")</f>
        <v>Pieza</v>
      </c>
      <c r="D722" s="28" t="str">
        <f>IFERROR(__xludf.DUMMYFUNCTION("""COMPUTED_VALUE"""),"2845-ABRINFGC")</f>
        <v>2845-ABRINFGC</v>
      </c>
      <c r="E722" s="28" t="str">
        <f>IFERROR(__xludf.DUMMYFUNCTION("""COMPUTED_VALUE"""),"Infraestructura I Cortes de tránsito por evento deportivo LAS TEMPORADAS")</f>
        <v>Infraestructura I Cortes de tránsito por evento deportivo LAS TEMPORADAS</v>
      </c>
      <c r="F722" s="29" t="str">
        <f>IFERROR(__xludf.DUMMYFUNCTION("""COMPUTED_VALUE"""),"https://fb.me/adspreview/facebook/2dJpeAUOaCB7apk")</f>
        <v>https://fb.me/adspreview/facebook/2dJpeAUOaCB7apk</v>
      </c>
    </row>
    <row r="723">
      <c r="A723" s="28" t="str">
        <f>IFERROR(__xludf.DUMMYFUNCTION("""COMPUTED_VALUE"""),"2762-MARJDGAG")</f>
        <v>2762-MARJDGAG</v>
      </c>
      <c r="B723" s="28" t="str">
        <f>IFERROR(__xludf.DUMMYFUNCTION("""COMPUTED_VALUE"""),"RDV JM | 25/3 CHACARITA")</f>
        <v>RDV JM | 25/3 CHACARITA</v>
      </c>
      <c r="C723" s="29" t="str">
        <f>IFERROR(__xludf.DUMMYFUNCTION("""COMPUTED_VALUE"""),"Pieza")</f>
        <v>Pieza</v>
      </c>
      <c r="D723" s="28" t="str">
        <f>IFERROR(__xludf.DUMMYFUNCTION("""COMPUTED_VALUE"""),"2713-MARSALGC")</f>
        <v>2713-MARSALGC</v>
      </c>
      <c r="E723" s="28" t="str">
        <f>IFERROR(__xludf.DUMMYFUNCTION("""COMPUTED_VALUE"""),"Hospital Álvarez - Recorrida de obras")</f>
        <v>Hospital Álvarez - Recorrida de obras</v>
      </c>
      <c r="F723" s="29" t="str">
        <f>IFERROR(__xludf.DUMMYFUNCTION("""COMPUTED_VALUE"""),"https://www.facebook.com/reel/1974761746764395")</f>
        <v>https://www.facebook.com/reel/1974761746764395</v>
      </c>
    </row>
    <row r="724">
      <c r="A724" s="28" t="str">
        <f>IFERROR(__xludf.DUMMYFUNCTION("""COMPUTED_VALUE"""),"2762-MARJDGAG")</f>
        <v>2762-MARJDGAG</v>
      </c>
      <c r="B724" s="28" t="str">
        <f>IFERROR(__xludf.DUMMYFUNCTION("""COMPUTED_VALUE"""),"RDV JM | 25/3 CHACARITA")</f>
        <v>RDV JM | 25/3 CHACARITA</v>
      </c>
      <c r="C724" s="29" t="str">
        <f>IFERROR(__xludf.DUMMYFUNCTION("""COMPUTED_VALUE"""),"Pieza")</f>
        <v>Pieza</v>
      </c>
      <c r="D724" s="28" t="str">
        <f>IFERROR(__xludf.DUMMYFUNCTION("""COMPUTED_VALUE"""),"2713-MARSALGC")</f>
        <v>2713-MARSALGC</v>
      </c>
      <c r="E724" s="28" t="str">
        <f>IFERROR(__xludf.DUMMYFUNCTION("""COMPUTED_VALUE"""),"Hospital Álvarez - Recorrida de obras")</f>
        <v>Hospital Álvarez - Recorrida de obras</v>
      </c>
      <c r="F724" s="29" t="str">
        <f>IFERROR(__xludf.DUMMYFUNCTION("""COMPUTED_VALUE"""),"https://www.facebook.com/reel/1974761746764395")</f>
        <v>https://www.facebook.com/reel/1974761746764395</v>
      </c>
    </row>
    <row r="725">
      <c r="A725" s="28" t="str">
        <f>IFERROR(__xludf.DUMMYFUNCTION("""COMPUTED_VALUE"""),"2784-MARDECVC")</f>
        <v>2784-MARDECVC</v>
      </c>
      <c r="B725" s="28" t="str">
        <f>IFERROR(__xludf.DUMMYFUNCTION("""COMPUTED_VALUE"""),"RDV MINISTROS | ARENGO,PIRAGINE,LOMBARDI | EJE NORTE | 30/3")</f>
        <v>RDV MINISTROS | ARENGO,PIRAGINE,LOMBARDI | EJE NORTE | 30/3</v>
      </c>
      <c r="C725" s="29" t="str">
        <f>IFERROR(__xludf.DUMMYFUNCTION("""COMPUTED_VALUE"""),"Pieza")</f>
        <v>Pieza</v>
      </c>
      <c r="D725" s="28" t="str">
        <f>IFERROR(__xludf.DUMMYFUNCTION("""COMPUTED_VALUE"""),"2713-MARSALGC")</f>
        <v>2713-MARSALGC</v>
      </c>
      <c r="E725" s="28" t="str">
        <f>IFERROR(__xludf.DUMMYFUNCTION("""COMPUTED_VALUE"""),"Hospital Álvarez - Recorrida de obras")</f>
        <v>Hospital Álvarez - Recorrida de obras</v>
      </c>
      <c r="F725" s="29" t="str">
        <f>IFERROR(__xludf.DUMMYFUNCTION("""COMPUTED_VALUE"""),"https://www.facebook.com/reel/1974761746764395")</f>
        <v>https://www.facebook.com/reel/1974761746764395</v>
      </c>
    </row>
    <row r="726">
      <c r="A726" s="28" t="str">
        <f>IFERROR(__xludf.DUMMYFUNCTION("""COMPUTED_VALUE"""),"2776-MARVINVC")</f>
        <v>2776-MARVINVC</v>
      </c>
      <c r="B726" s="28" t="str">
        <f>IFERROR(__xludf.DUMMYFUNCTION("""COMPUTED_VALUE"""),"RDV MINISTROS | EZEQUIEL SABOR 30/3 COMUNA 7")</f>
        <v>RDV MINISTROS | EZEQUIEL SABOR 30/3 COMUNA 7</v>
      </c>
      <c r="C726" s="29" t="str">
        <f>IFERROR(__xludf.DUMMYFUNCTION("""COMPUTED_VALUE"""),"Pieza")</f>
        <v>Pieza</v>
      </c>
      <c r="D726" s="28" t="str">
        <f>IFERROR(__xludf.DUMMYFUNCTION("""COMPUTED_VALUE"""),"2705-MARHYFGC")</f>
        <v>2705-MARHYFGC</v>
      </c>
      <c r="E726" s="28" t="str">
        <f>IFERROR(__xludf.DUMMYFUNCTION("""COMPUTED_VALUE"""),"Agip - ABL")</f>
        <v>Agip - ABL</v>
      </c>
      <c r="F726" s="29" t="str">
        <f>IFERROR(__xludf.DUMMYFUNCTION("""COMPUTED_VALUE"""),"https://www.facebook.com/reel/1445769290004552")</f>
        <v>https://www.facebook.com/reel/1445769290004552</v>
      </c>
    </row>
    <row r="727">
      <c r="A727" s="28" t="str">
        <f>IFERROR(__xludf.DUMMYFUNCTION("""COMPUTED_VALUE"""),"1921-SEPAMBGC")</f>
        <v>1921-SEPAMBGC</v>
      </c>
      <c r="B727" s="28" t="str">
        <f>IFERROR(__xludf.DUMMYFUNCTION("""COMPUTED_VALUE"""),"Vacunación Antirrabica Animales")</f>
        <v>Vacunación Antirrabica Animales</v>
      </c>
      <c r="C727" s="29" t="str">
        <f>IFERROR(__xludf.DUMMYFUNCTION("""COMPUTED_VALUE"""),"Pieza")</f>
        <v>Pieza</v>
      </c>
      <c r="D727" s="28" t="str">
        <f>IFERROR(__xludf.DUMMYFUNCTION("""COMPUTED_VALUE"""),"2705-MARHYFGC")</f>
        <v>2705-MARHYFGC</v>
      </c>
      <c r="E727" s="28" t="str">
        <f>IFERROR(__xludf.DUMMYFUNCTION("""COMPUTED_VALUE"""),"Agip - ABL")</f>
        <v>Agip - ABL</v>
      </c>
      <c r="F727" s="29" t="str">
        <f>IFERROR(__xludf.DUMMYFUNCTION("""COMPUTED_VALUE"""),"https://www.facebook.com/reel/1445769290004552")</f>
        <v>https://www.facebook.com/reel/1445769290004552</v>
      </c>
    </row>
    <row r="728">
      <c r="A728" s="28" t="str">
        <f>IFERROR(__xludf.DUMMYFUNCTION("""COMPUTED_VALUE"""),"1921-SEPAMBGC")</f>
        <v>1921-SEPAMBGC</v>
      </c>
      <c r="B728" s="28" t="str">
        <f>IFERROR(__xludf.DUMMYFUNCTION("""COMPUTED_VALUE"""),"Vacunación Antirrabica Animales")</f>
        <v>Vacunación Antirrabica Animales</v>
      </c>
      <c r="C728" s="29" t="str">
        <f>IFERROR(__xludf.DUMMYFUNCTION("""COMPUTED_VALUE"""),"Pieza")</f>
        <v>Pieza</v>
      </c>
      <c r="D728" s="28" t="str">
        <f>IFERROR(__xludf.DUMMYFUNCTION("""COMPUTED_VALUE"""),"2834-ABRSEGVC")</f>
        <v>2834-ABRSEGVC</v>
      </c>
      <c r="E728" s="28" t="str">
        <f>IFERROR(__xludf.DUMMYFUNCTION("""COMPUTED_VALUE"""),"RDV MINISTROS | Gabino Tapia 16/4 Comuna 6")</f>
        <v>RDV MINISTROS | Gabino Tapia 16/4 Comuna 6</v>
      </c>
      <c r="F728" s="29" t="str">
        <f>IFERROR(__xludf.DUMMYFUNCTION("""COMPUTED_VALUE"""),"https://www.facebook.com/baparticipacion/posts/pfbid083zAfc3nNeS5Eqp7S1h3sXJAHVZ85HXeAHzorPa2k6QAc4RY9ex2S3XdfhzYgt1Ml")</f>
        <v>https://www.facebook.com/baparticipacion/posts/pfbid083zAfc3nNeS5Eqp7S1h3sXJAHVZ85HXeAHzorPa2k6QAc4RY9ex2S3XdfhzYgt1Ml</v>
      </c>
    </row>
    <row r="729">
      <c r="A729" s="28" t="str">
        <f>IFERROR(__xludf.DUMMYFUNCTION("""COMPUTED_VALUE"""),"2752-MARCULVC")</f>
        <v>2752-MARCULVC</v>
      </c>
      <c r="B729" s="28" t="str">
        <f>IFERROR(__xludf.DUMMYFUNCTION("""COMPUTED_VALUE"""),"RDV Ministros| Gabriela Ricardes 25/3 Comuna 1")</f>
        <v>RDV Ministros| Gabriela Ricardes 25/3 Comuna 1</v>
      </c>
      <c r="C729" s="29" t="str">
        <f>IFERROR(__xludf.DUMMYFUNCTION("""COMPUTED_VALUE"""),"Pieza")</f>
        <v>Pieza</v>
      </c>
      <c r="D729" s="28" t="str">
        <f>IFERROR(__xludf.DUMMYFUNCTION("""COMPUTED_VALUE"""),"2831-ABRSEGVC")</f>
        <v>2831-ABRSEGVC</v>
      </c>
      <c r="E729" s="28" t="str">
        <f>IFERROR(__xludf.DUMMYFUNCTION("""COMPUTED_VALUE"""),"RDV MINISTROS | Maximiliano Piñeiro 16/4 Comuna 4")</f>
        <v>RDV MINISTROS | Maximiliano Piñeiro 16/4 Comuna 4</v>
      </c>
      <c r="F729" s="29" t="str">
        <f>IFERROR(__xludf.DUMMYFUNCTION("""COMPUTED_VALUE"""),"https://www.facebook.com/baparticipacion/posts/pfbid0ZNryPVEWwptixW2udVwy57jBnx2ZYBpc5reETSdaQPu1dtAQD4Wd1QTEiBXG2Kdul")</f>
        <v>https://www.facebook.com/baparticipacion/posts/pfbid0ZNryPVEWwptixW2udVwy57jBnx2ZYBpc5reETSdaQPu1dtAQD4Wd1QTEiBXG2Kdul</v>
      </c>
    </row>
    <row r="730">
      <c r="A730" s="28" t="str">
        <f>IFERROR(__xludf.DUMMYFUNCTION("""COMPUTED_VALUE"""),"2756-MARSEGVC")</f>
        <v>2756-MARSEGVC</v>
      </c>
      <c r="B730" s="28" t="str">
        <f>IFERROR(__xludf.DUMMYFUNCTION("""COMPUTED_VALUE"""),"RDV Ministros| Gabino Tapia 26/3 Comuna 15")</f>
        <v>RDV Ministros| Gabino Tapia 26/3 Comuna 15</v>
      </c>
      <c r="C730" s="29" t="str">
        <f>IFERROR(__xludf.DUMMYFUNCTION("""COMPUTED_VALUE"""),"Pieza")</f>
        <v>Pieza</v>
      </c>
      <c r="D730" s="28" t="str">
        <f>IFERROR(__xludf.DUMMYFUNCTION("""COMPUTED_VALUE"""),"2833-ABRSEGVC")</f>
        <v>2833-ABRSEGVC</v>
      </c>
      <c r="E730" s="28" t="str">
        <f>IFERROR(__xludf.DUMMYFUNCTION("""COMPUTED_VALUE"""),"RDV MINISTROS | Ruth Landerreche 16/4 Comuna 5")</f>
        <v>RDV MINISTROS | Ruth Landerreche 16/4 Comuna 5</v>
      </c>
      <c r="F730" s="29" t="str">
        <f>IFERROR(__xludf.DUMMYFUNCTION("""COMPUTED_VALUE"""),"https://www.facebook.com/baparticipacion/posts/pfbid025EiXLdTesVNC45LnEp63AusvMG7DbCeSrJur6BFVkh6LDHS5tmrVPgPUZNLQWkAwl")</f>
        <v>https://www.facebook.com/baparticipacion/posts/pfbid025EiXLdTesVNC45LnEp63AusvMG7DbCeSrJur6BFVkh6LDHS5tmrVPgPUZNLQWkAwl</v>
      </c>
    </row>
    <row r="731">
      <c r="A731" s="28" t="str">
        <f>IFERROR(__xludf.DUMMYFUNCTION("""COMPUTED_VALUE"""),"2780-MARINFVC")</f>
        <v>2780-MARINFVC</v>
      </c>
      <c r="B731" s="28" t="str">
        <f>IFERROR(__xludf.DUMMYFUNCTION("""COMPUTED_VALUE"""),"RDV MINISTROS | PABLO BERECIARTUA 1/4 COMUNA 12")</f>
        <v>RDV MINISTROS | PABLO BERECIARTUA 1/4 COMUNA 12</v>
      </c>
      <c r="C731" s="29" t="str">
        <f>IFERROR(__xludf.DUMMYFUNCTION("""COMPUTED_VALUE"""),"Pieza")</f>
        <v>Pieza</v>
      </c>
      <c r="D731" s="28" t="str">
        <f>IFERROR(__xludf.DUMMYFUNCTION("""COMPUTED_VALUE"""),"2835-ABRSEGVC")</f>
        <v>2835-ABRSEGVC</v>
      </c>
      <c r="E731" s="28" t="str">
        <f>IFERROR(__xludf.DUMMYFUNCTION("""COMPUTED_VALUE"""),"RDV MINISTROS | Horacio Giménez 16/4 Comuna 7")</f>
        <v>RDV MINISTROS | Horacio Giménez 16/4 Comuna 7</v>
      </c>
      <c r="F731" s="29" t="str">
        <f>IFERROR(__xludf.DUMMYFUNCTION("""COMPUTED_VALUE"""),"https://www.facebook.com/baparticipacion/posts/pfbid02GaNy9rqMfsWNqVtKyk7cAG7YPM1x6zjFDkpX4NVkpqD7L6ytK7EqqXfmCBRHBocdl")</f>
        <v>https://www.facebook.com/baparticipacion/posts/pfbid02GaNy9rqMfsWNqVtKyk7cAG7YPM1x6zjFDkpX4NVkpqD7L6ytK7EqqXfmCBRHBocdl</v>
      </c>
    </row>
    <row r="732">
      <c r="A732" s="28" t="str">
        <f>IFERROR(__xludf.DUMMYFUNCTION("""COMPUTED_VALUE"""),"2145-OCTVINGC")</f>
        <v>2145-OCTVINGC</v>
      </c>
      <c r="B732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732" s="29" t="str">
        <f>IFERROR(__xludf.DUMMYFUNCTION("""COMPUTED_VALUE"""),"Pieza")</f>
        <v>Pieza</v>
      </c>
      <c r="D732" s="28" t="str">
        <f>IFERROR(__xludf.DUMMYFUNCTION("""COMPUTED_VALUE"""),"2853-ABRINFGC")</f>
        <v>2853-ABRINFGC</v>
      </c>
      <c r="E732" s="28" t="str">
        <f>IFERROR(__xludf.DUMMYFUNCTION("""COMPUTED_VALUE"""),"Infraestructura I Corte AU Illia por obras")</f>
        <v>Infraestructura I Corte AU Illia por obras</v>
      </c>
      <c r="F732" s="29" t="str">
        <f>IFERROR(__xludf.DUMMYFUNCTION("""COMPUTED_VALUE"""),"https://fb.me/adspreview/facebook/21gIh31pujWSpw4")</f>
        <v>https://fb.me/adspreview/facebook/21gIh31pujWSpw4</v>
      </c>
    </row>
    <row r="733">
      <c r="A733" s="28" t="str">
        <f>IFERROR(__xludf.DUMMYFUNCTION("""COMPUTED_VALUE"""),"2758-MARINFGC")</f>
        <v>2758-MARINFGC</v>
      </c>
      <c r="B733" s="28" t="str">
        <f>IFERROR(__xludf.DUMMYFUNCTION("""COMPUTED_VALUE""")," INFRAESTRUCTURA  | Cortes y desvíos por evento en River: AC/DC")</f>
        <v> INFRAESTRUCTURA  | Cortes y desvíos por evento en River: AC/DC</v>
      </c>
      <c r="C733" s="29" t="str">
        <f>IFERROR(__xludf.DUMMYFUNCTION("""COMPUTED_VALUE"""),"Pieza")</f>
        <v>Pieza</v>
      </c>
      <c r="D733" s="28" t="str">
        <f>IFERROR(__xludf.DUMMYFUNCTION("""COMPUTED_VALUE"""),"2843-ABRJDGAG")</f>
        <v>2843-ABRJDGAG</v>
      </c>
      <c r="E733" s="28" t="str">
        <f>IFERROR(__xludf.DUMMYFUNCTION("""COMPUTED_VALUE"""),"1 A 1 JM | Comuna 1 17/04")</f>
        <v>1 A 1 JM | Comuna 1 17/04</v>
      </c>
      <c r="F733" s="29" t="str">
        <f>IFERROR(__xludf.DUMMYFUNCTION("""COMPUTED_VALUE"""),"https://www.facebook.com/GCBA/posts/pfbid0dTC8Lpqi6cP6mAMw4ceVVAx4C7fS6XDo5PzuFWLRgZkCGzvHMGB3PVJGmHyuSHS3l")</f>
        <v>https://www.facebook.com/GCBA/posts/pfbid0dTC8Lpqi6cP6mAMw4ceVVAx4C7fS6XDo5PzuFWLRgZkCGzvHMGB3PVJGmHyuSHS3l</v>
      </c>
    </row>
    <row r="734">
      <c r="A734" s="28" t="str">
        <f>IFERROR(__xludf.DUMMYFUNCTION("""COMPUTED_VALUE"""),"2753-MARSEGVC")</f>
        <v>2753-MARSEGVC</v>
      </c>
      <c r="B734" s="28" t="str">
        <f>IFERROR(__xludf.DUMMYFUNCTION("""COMPUTED_VALUE"""),"RDV Ministros| Horacio Gimenez 26/3 Comuna 12")</f>
        <v>RDV Ministros| Horacio Gimenez 26/3 Comuna 12</v>
      </c>
      <c r="C734" s="29" t="str">
        <f>IFERROR(__xludf.DUMMYFUNCTION("""COMPUTED_VALUE"""),"Pieza")</f>
        <v>Pieza</v>
      </c>
      <c r="D734" s="28" t="str">
        <f>IFERROR(__xludf.DUMMYFUNCTION("""COMPUTED_VALUE"""),"2798-MARJDGAG")</f>
        <v>2798-MARJDGAG</v>
      </c>
      <c r="E734" s="28" t="str">
        <f>IFERROR(__xludf.DUMMYFUNCTION("""COMPUTED_VALUE"""),"RDV JM TEMÁTICA | TE CUENTO BS AS 09/04 SALUD EJE OESTE")</f>
        <v>RDV JM TEMÁTICA | TE CUENTO BS AS 09/04 SALUD EJE OESTE</v>
      </c>
      <c r="F734" s="29" t="str">
        <f>IFERROR(__xludf.DUMMYFUNCTION("""COMPUTED_VALUE"""),"https://www.facebook.com/reel/1285830060203901")</f>
        <v>https://www.facebook.com/reel/1285830060203901</v>
      </c>
    </row>
    <row r="735">
      <c r="A735" s="28" t="str">
        <f>IFERROR(__xludf.DUMMYFUNCTION("""COMPUTED_VALUE"""),"1896-SEPEPHGC")</f>
        <v>1896-SEPEPHGC</v>
      </c>
      <c r="B735" s="28" t="str">
        <f>IFERROR(__xludf.DUMMYFUNCTION("""COMPUTED_VALUE"""),"PIEZAS M2 | MEPHU | LIMPIEZA INTENSIVA")</f>
        <v>PIEZAS M2 | MEPHU | LIMPIEZA INTENSIVA</v>
      </c>
      <c r="C735" s="29" t="str">
        <f>IFERROR(__xludf.DUMMYFUNCTION("""COMPUTED_VALUE"""),"Pieza")</f>
        <v>Pieza</v>
      </c>
      <c r="D735" s="28" t="str">
        <f>IFERROR(__xludf.DUMMYFUNCTION("""COMPUTED_VALUE"""),"2798-MARJDGAG")</f>
        <v>2798-MARJDGAG</v>
      </c>
      <c r="E735" s="28" t="str">
        <f>IFERROR(__xludf.DUMMYFUNCTION("""COMPUTED_VALUE"""),"RDV JM TEMÁTICA | TE CUENTO BS AS 09/04 SALUD EJE OESTE")</f>
        <v>RDV JM TEMÁTICA | TE CUENTO BS AS 09/04 SALUD EJE OESTE</v>
      </c>
      <c r="F735" s="29" t="str">
        <f>IFERROR(__xludf.DUMMYFUNCTION("""COMPUTED_VALUE"""),"https://www.facebook.com/reel/1285830060203901")</f>
        <v>https://www.facebook.com/reel/1285830060203901</v>
      </c>
    </row>
    <row r="736">
      <c r="A736" s="28" t="str">
        <f>IFERROR(__xludf.DUMMYFUNCTION("""COMPUTED_VALUE"""),"1942-SEPEPHGC")</f>
        <v>1942-SEPEPHGC</v>
      </c>
      <c r="B736" s="28" t="str">
        <f>IFERROR(__xludf.DUMMYFUNCTION("""COMPUTED_VALUE"""),"DGPLES | MEPHU  | REPARACIÓN DE VEREDAS")</f>
        <v>DGPLES | MEPHU  | REPARACIÓN DE VEREDAS</v>
      </c>
      <c r="C736" s="29" t="str">
        <f>IFERROR(__xludf.DUMMYFUNCTION("""COMPUTED_VALUE"""),"Pieza")</f>
        <v>Pieza</v>
      </c>
      <c r="D736" s="28" t="str">
        <f>IFERROR(__xludf.DUMMYFUNCTION("""COMPUTED_VALUE"""),"2842-ABRJDGAG")</f>
        <v>2842-ABRJDGAG</v>
      </c>
      <c r="E736" s="28" t="str">
        <f>IFERROR(__xludf.DUMMYFUNCTION("""COMPUTED_VALUE"""),"RDV JM TEMÁTICA | TE CUENTO BS AS 16/04 EDUCACIÓN EJE NORTE")</f>
        <v>RDV JM TEMÁTICA | TE CUENTO BS AS 16/04 EDUCACIÓN EJE NORTE</v>
      </c>
      <c r="F736" s="29" t="str">
        <f>IFERROR(__xludf.DUMMYFUNCTION("""COMPUTED_VALUE"""),"https://www.facebook.com/GCBA/posts/pfbid0rZJ4fPo7YnA9AeScq2R7cxcdv5KyU4Q5Vbs7jAwpryZn8LuSdd5z1Z6QyCncHxsil")</f>
        <v>https://www.facebook.com/GCBA/posts/pfbid0rZJ4fPo7YnA9AeScq2R7cxcdv5KyU4Q5Vbs7jAwpryZn8LuSdd5z1Z6QyCncHxsil</v>
      </c>
    </row>
    <row r="737">
      <c r="A737" s="28" t="str">
        <f>IFERROR(__xludf.DUMMYFUNCTION("""COMPUTED_VALUE"""),"1895-SEPEPHGC")</f>
        <v>1895-SEPEPHGC</v>
      </c>
      <c r="B737" s="28" t="str">
        <f>IFERROR(__xludf.DUMMYFUNCTION("""COMPUTED_VALUE"""),"PIEZAS M2 | MEPHU | REPAVIMENTACIÓN")</f>
        <v>PIEZAS M2 | MEPHU | REPAVIMENTACIÓN</v>
      </c>
      <c r="C737" s="29" t="str">
        <f>IFERROR(__xludf.DUMMYFUNCTION("""COMPUTED_VALUE"""),"Pieza")</f>
        <v>Pieza</v>
      </c>
      <c r="D737" s="28" t="str">
        <f>IFERROR(__xludf.DUMMYFUNCTION("""COMPUTED_VALUE"""),"2842-ABRJDGAG")</f>
        <v>2842-ABRJDGAG</v>
      </c>
      <c r="E737" s="28" t="str">
        <f>IFERROR(__xludf.DUMMYFUNCTION("""COMPUTED_VALUE"""),"RDV JM TEMÁTICA | TE CUENTO BS AS 16/04 EDUCACIÓN EJE NORTE")</f>
        <v>RDV JM TEMÁTICA | TE CUENTO BS AS 16/04 EDUCACIÓN EJE NORTE</v>
      </c>
      <c r="F737" s="29" t="str">
        <f>IFERROR(__xludf.DUMMYFUNCTION("""COMPUTED_VALUE"""),"https://www.facebook.com/GCBA/posts/pfbid0rZJ4fPo7YnA9AeScq2R7cxcdv5KyU4Q5Vbs7jAwpryZn8LuSdd5z1Z6QyCncHxsil")</f>
        <v>https://www.facebook.com/GCBA/posts/pfbid0rZJ4fPo7YnA9AeScq2R7cxcdv5KyU4Q5Vbs7jAwpryZn8LuSdd5z1Z6QyCncHxsil</v>
      </c>
    </row>
    <row r="738">
      <c r="A738" s="28" t="str">
        <f>IFERROR(__xludf.DUMMYFUNCTION("""COMPUTED_VALUE"""),"1943-SEPEPHGC")</f>
        <v>1943-SEPEPHGC</v>
      </c>
      <c r="B738" s="28" t="str">
        <f>IFERROR(__xludf.DUMMYFUNCTION("""COMPUTED_VALUE"""),"DGPLES | MEPHU  | READOQUINADO")</f>
        <v>DGPLES | MEPHU  | READOQUINADO</v>
      </c>
      <c r="C738" s="29" t="str">
        <f>IFERROR(__xludf.DUMMYFUNCTION("""COMPUTED_VALUE"""),"Pieza")</f>
        <v>Pieza</v>
      </c>
      <c r="D738" s="28" t="str">
        <f>IFERROR(__xludf.DUMMYFUNCTION("""COMPUTED_VALUE"""),"2851-ABRJDGVC")</f>
        <v>2851-ABRJDGVC</v>
      </c>
      <c r="E738" s="28" t="str">
        <f>IFERROR(__xludf.DUMMYFUNCTION("""COMPUTED_VALUE"""),"RDV MINISTROS | GABRIEL SÁNCHEZ ZINNY 17/4 PALERMO")</f>
        <v>RDV MINISTROS | GABRIEL SÁNCHEZ ZINNY 17/4 PALERMO</v>
      </c>
      <c r="F738" s="29" t="str">
        <f>IFERROR(__xludf.DUMMYFUNCTION("""COMPUTED_VALUE"""),"https://www.facebook.com/baparticipacion/posts/pfbid0KU21EBFa9ohX5iTUwZQc18vqoPQ3yh1diytwSNduJyoSMoRhK6eudsgtSDcy3udMl")</f>
        <v>https://www.facebook.com/baparticipacion/posts/pfbid0KU21EBFa9ohX5iTUwZQc18vqoPQ3yh1diytwSNduJyoSMoRhK6eudsgtSDcy3udMl</v>
      </c>
    </row>
    <row r="739">
      <c r="A739" s="28" t="str">
        <f>IFERROR(__xludf.DUMMYFUNCTION("""COMPUTED_VALUE"""),"1964-SEPEPHGC")</f>
        <v>1964-SEPEPHGC</v>
      </c>
      <c r="B739" s="28" t="str">
        <f>IFERROR(__xludf.DUMMYFUNCTION("""COMPUTED_VALUE"""),"MEPHU RECAMBIO TECNOLÓGICO M2")</f>
        <v>MEPHU RECAMBIO TECNOLÓGICO M2</v>
      </c>
      <c r="C739" s="29" t="str">
        <f>IFERROR(__xludf.DUMMYFUNCTION("""COMPUTED_VALUE"""),"Pieza")</f>
        <v>Pieza</v>
      </c>
      <c r="D739" s="28" t="str">
        <f>IFERROR(__xludf.DUMMYFUNCTION("""COMPUTED_VALUE"""),"2652-FEBCDNNAGC")</f>
        <v>2652-FEBCDNNAGC</v>
      </c>
      <c r="E739" s="28" t="str">
        <f>IFERROR(__xludf.DUMMYFUNCTION("""COMPUTED_VALUE"""),"Programa ABRAZAR")</f>
        <v>Programa ABRAZAR</v>
      </c>
      <c r="F739" s="29" t="str">
        <f>IFERROR(__xludf.DUMMYFUNCTION("""COMPUTED_VALUE"""),"https://www.facebook.com/GCBA/posts/pfbid02yGxP3HnpYHFD9KgthW4dZJADq6KNSb78N1gpPo3Qyn5rcWTEddUtRf8A7kPqvWe6l")</f>
        <v>https://www.facebook.com/GCBA/posts/pfbid02yGxP3HnpYHFD9KgthW4dZJADq6KNSb78N1gpPo3Qyn5rcWTEddUtRf8A7kPqvWe6l</v>
      </c>
    </row>
    <row r="740">
      <c r="A740" s="28" t="str">
        <f>IFERROR(__xludf.DUMMYFUNCTION("""COMPUTED_VALUE"""),"2755-MARSEGVC")</f>
        <v>2755-MARSEGVC</v>
      </c>
      <c r="B740" s="28" t="str">
        <f>IFERROR(__xludf.DUMMYFUNCTION("""COMPUTED_VALUE"""),"RDV Ministros| Maximiliano Piñeiro 26/3 Comuna 14")</f>
        <v>RDV Ministros| Maximiliano Piñeiro 26/3 Comuna 14</v>
      </c>
      <c r="C740" s="29" t="str">
        <f>IFERROR(__xludf.DUMMYFUNCTION("""COMPUTED_VALUE"""),"Pieza")</f>
        <v>Pieza</v>
      </c>
      <c r="D740" s="28" t="str">
        <f>IFERROR(__xludf.DUMMYFUNCTION("""COMPUTED_VALUE"""),"2652-FEBCDNNAGC")</f>
        <v>2652-FEBCDNNAGC</v>
      </c>
      <c r="E740" s="28" t="str">
        <f>IFERROR(__xludf.DUMMYFUNCTION("""COMPUTED_VALUE"""),"Programa ABRAZAR")</f>
        <v>Programa ABRAZAR</v>
      </c>
      <c r="F740" s="29" t="str">
        <f>IFERROR(__xludf.DUMMYFUNCTION("""COMPUTED_VALUE"""),"https://www.facebook.com/GCBA/posts/pfbid02yGxP3HnpYHFD9KgthW4dZJADq6KNSb78N1gpPo3Qyn5rcWTEddUtRf8A7kPqvWe6l")</f>
        <v>https://www.facebook.com/GCBA/posts/pfbid02yGxP3HnpYHFD9KgthW4dZJADq6KNSb78N1gpPo3Qyn5rcWTEddUtRf8A7kPqvWe6l</v>
      </c>
    </row>
    <row r="741">
      <c r="A741" s="28" t="str">
        <f>IFERROR(__xludf.DUMMYFUNCTION("""COMPUTED_VALUE"""),"1896-SEPEPHGC")</f>
        <v>1896-SEPEPHGC</v>
      </c>
      <c r="B741" s="28" t="str">
        <f>IFERROR(__xludf.DUMMYFUNCTION("""COMPUTED_VALUE"""),"PIEZAS M2 | MEPHU | LIMPIEZA INTENSIVA")</f>
        <v>PIEZAS M2 | MEPHU | LIMPIEZA INTENSIVA</v>
      </c>
      <c r="C741" s="29" t="str">
        <f>IFERROR(__xludf.DUMMYFUNCTION("""COMPUTED_VALUE"""),"Pieza")</f>
        <v>Pieza</v>
      </c>
      <c r="D741" s="28" t="str">
        <f>IFERROR(__xludf.DUMMYFUNCTION("""COMPUTED_VALUE"""),"2856-ABRPCCVC")</f>
        <v>2856-ABRPCCVC</v>
      </c>
      <c r="E741" s="28" t="str">
        <f>IFERROR(__xludf.DUMMYFUNCTION("""COMPUTED_VALUE"""),"Día Mundia del la Salud Post")</f>
        <v>Día Mundia del la Salud Post</v>
      </c>
      <c r="F741" s="29" t="str">
        <f>IFERROR(__xludf.DUMMYFUNCTION("""COMPUTED_VALUE"""),"https://www.facebook.com/baparticipacion/posts/pfbid02aS24Hkz9QALBv87g781wnbe4o3cNyAz4sbbsfiF9EtiQJzY3iyNNpAMCJRdAs3PEl")</f>
        <v>https://www.facebook.com/baparticipacion/posts/pfbid02aS24Hkz9QALBv87g781wnbe4o3cNyAz4sbbsfiF9EtiQJzY3iyNNpAMCJRdAs3PEl</v>
      </c>
    </row>
    <row r="742">
      <c r="A742" s="28" t="str">
        <f>IFERROR(__xludf.DUMMYFUNCTION("""COMPUTED_VALUE"""),"2778-MARDHHVC")</f>
        <v>2778-MARDHHVC</v>
      </c>
      <c r="B742" s="28" t="str">
        <f>IFERROR(__xludf.DUMMYFUNCTION("""COMPUTED_VALUE"""),"RDV Ministros | Gabriel Mraida - Comuna 15")</f>
        <v>RDV Ministros | Gabriel Mraida - Comuna 15</v>
      </c>
      <c r="C742" s="29" t="str">
        <f>IFERROR(__xludf.DUMMYFUNCTION("""COMPUTED_VALUE"""),"Pieza ")</f>
        <v>Pieza </v>
      </c>
      <c r="D742" s="28" t="str">
        <f>IFERROR(__xludf.DUMMYFUNCTION("""COMPUTED_VALUE"""),"2856-ABRPCCVC")</f>
        <v>2856-ABRPCCVC</v>
      </c>
      <c r="E742" s="28" t="str">
        <f>IFERROR(__xludf.DUMMYFUNCTION("""COMPUTED_VALUE"""),"Día Mundia del la Salud Post")</f>
        <v>Día Mundia del la Salud Post</v>
      </c>
      <c r="F742" s="29" t="str">
        <f>IFERROR(__xludf.DUMMYFUNCTION("""COMPUTED_VALUE"""),"https://www.instagram.com/p/DXHz066jLGU/#advertiser")</f>
        <v>https://www.instagram.com/p/DXHz066jLGU/#advertiser</v>
      </c>
    </row>
    <row r="743">
      <c r="A743" s="28" t="str">
        <f>IFERROR(__xludf.DUMMYFUNCTION("""COMPUTED_VALUE"""),"2781-MARJDGVC")</f>
        <v>2781-MARJDGVC</v>
      </c>
      <c r="B743" s="28" t="str">
        <f>IFERROR(__xludf.DUMMYFUNCTION("""COMPUTED_VALUE"""),"RDV MINISTROS | GABRIEL SÁNCHEZ ZINNY 1/4  MONTSERRAT")</f>
        <v>RDV MINISTROS | GABRIEL SÁNCHEZ ZINNY 1/4  MONTSERRAT</v>
      </c>
      <c r="C743" s="29" t="str">
        <f>IFERROR(__xludf.DUMMYFUNCTION("""COMPUTED_VALUE"""),"Pieza ")</f>
        <v>Pieza </v>
      </c>
      <c r="D743" s="28" t="str">
        <f>IFERROR(__xludf.DUMMYFUNCTION("""COMPUTED_VALUE"""),"2744-MARSALGC")</f>
        <v>2744-MARSALGC</v>
      </c>
      <c r="E743" s="28" t="str">
        <f>IFERROR(__xludf.DUMMYFUNCTION("""COMPUTED_VALUE"""),"Vacunación Antigripal 2026")</f>
        <v>Vacunación Antigripal 2026</v>
      </c>
      <c r="F743" s="29" t="str">
        <f>IFERROR(__xludf.DUMMYFUNCTION("""COMPUTED_VALUE"""),"https://www.facebook.com/reel/1862137061117644")</f>
        <v>https://www.facebook.com/reel/1862137061117644</v>
      </c>
    </row>
    <row r="744">
      <c r="A744" s="28" t="str">
        <f>IFERROR(__xludf.DUMMYFUNCTION("""COMPUTED_VALUE"""),"2789-MARINFGC")</f>
        <v>2789-MARINFGC</v>
      </c>
      <c r="B744" s="28" t="str">
        <f>IFERROR(__xludf.DUMMYFUNCTION("""COMPUTED_VALUE""")," Infraestructura I Cortes en Dellepiane por obras (30/3)")</f>
        <v> Infraestructura I Cortes en Dellepiane por obras (30/3)</v>
      </c>
      <c r="C744" s="29" t="str">
        <f>IFERROR(__xludf.DUMMYFUNCTION("""COMPUTED_VALUE"""),"Pieza")</f>
        <v>Pieza</v>
      </c>
      <c r="D744" s="28" t="str">
        <f>IFERROR(__xludf.DUMMYFUNCTION("""COMPUTED_VALUE"""),"2744-MARSALGC")</f>
        <v>2744-MARSALGC</v>
      </c>
      <c r="E744" s="28" t="str">
        <f>IFERROR(__xludf.DUMMYFUNCTION("""COMPUTED_VALUE"""),"Vacunación Antigripal 2026")</f>
        <v>Vacunación Antigripal 2026</v>
      </c>
      <c r="F744" s="29" t="str">
        <f>IFERROR(__xludf.DUMMYFUNCTION("""COMPUTED_VALUE"""),"https://www.facebook.com/reel/1862137061117644")</f>
        <v>https://www.facebook.com/reel/1862137061117644</v>
      </c>
    </row>
    <row r="745">
      <c r="A745" s="28" t="str">
        <f>IFERROR(__xludf.DUMMYFUNCTION("""COMPUTED_VALUE"""),"2791-MARINFGC")</f>
        <v>2791-MARINFGC</v>
      </c>
      <c r="B745" s="28" t="str">
        <f>IFERROR(__xludf.DUMMYFUNCTION("""COMPUTED_VALUE"""),"Infraestructura I Cortes en AU Illia por obras")</f>
        <v>Infraestructura I Cortes en AU Illia por obras</v>
      </c>
      <c r="C745" s="29" t="str">
        <f>IFERROR(__xludf.DUMMYFUNCTION("""COMPUTED_VALUE"""),"Pieza")</f>
        <v>Pieza</v>
      </c>
      <c r="D745" s="28" t="str">
        <f>IFERROR(__xludf.DUMMYFUNCTION("""COMPUTED_VALUE"""),"2866-ABRAMBVC")</f>
        <v>2866-ABRAMBVC</v>
      </c>
      <c r="E745" s="28" t="str">
        <f>IFERROR(__xludf.DUMMYFUNCTION("""COMPUTED_VALUE"""),"RDV Ministros | Clara Muzzio - 17/4  - Temática")</f>
        <v>RDV Ministros | Clara Muzzio - 17/4  - Temática</v>
      </c>
      <c r="F745" s="29" t="str">
        <f>IFERROR(__xludf.DUMMYFUNCTION("""COMPUTED_VALUE"""),"https://www.facebook.com/baparticipacion/posts/pfbid02dYYU4mZbzbHf5X6ZFcqJ8TJYAY5MCT3iFADCVgrDQgaZbbd7b6zgxeegzcn8zGMLl")</f>
        <v>https://www.facebook.com/baparticipacion/posts/pfbid02dYYU4mZbzbHf5X6ZFcqJ8TJYAY5MCT3iFADCVgrDQgaZbbd7b6zgxeegzcn8zGMLl</v>
      </c>
    </row>
    <row r="746">
      <c r="A746" s="28" t="str">
        <f>IFERROR(__xludf.DUMMYFUNCTION("""COMPUTED_VALUE"""),"2773-MARDECAN")</f>
        <v>2773-MARDECAN</v>
      </c>
      <c r="B746" s="28" t="str">
        <f>IFERROR(__xludf.DUMMYFUNCTION("""COMPUTED_VALUE"""),"Eliminación del Impuesto de Sellos")</f>
        <v>Eliminación del Impuesto de Sellos</v>
      </c>
      <c r="C746" s="29" t="str">
        <f>IFERROR(__xludf.DUMMYFUNCTION("""COMPUTED_VALUE"""),"Pieza")</f>
        <v>Pieza</v>
      </c>
      <c r="D746" s="28" t="str">
        <f>IFERROR(__xludf.DUMMYFUNCTION("""COMPUTED_VALUE"""),"2866-ABRAMBVC")</f>
        <v>2866-ABRAMBVC</v>
      </c>
      <c r="E746" s="28" t="str">
        <f>IFERROR(__xludf.DUMMYFUNCTION("""COMPUTED_VALUE"""),"RDV Ministros | Clara Muzzio - 17/4  - Temática")</f>
        <v>RDV Ministros | Clara Muzzio - 17/4  - Temática</v>
      </c>
      <c r="F746" s="29" t="str">
        <f>IFERROR(__xludf.DUMMYFUNCTION("""COMPUTED_VALUE"""),"https://www.facebook.com/baparticipacion/posts/pfbid02dYYU4mZbzbHf5X6ZFcqJ8TJYAY5MCT3iFADCVgrDQgaZbbd7b6zgxeegzcn8zGMLl")</f>
        <v>https://www.facebook.com/baparticipacion/posts/pfbid02dYYU4mZbzbHf5X6ZFcqJ8TJYAY5MCT3iFADCVgrDQgaZbbd7b6zgxeegzcn8zGMLl</v>
      </c>
    </row>
    <row r="747">
      <c r="A747" s="28" t="str">
        <f>IFERROR(__xludf.DUMMYFUNCTION("""COMPUTED_VALUE"""),"2773-MARDECAN")</f>
        <v>2773-MARDECAN</v>
      </c>
      <c r="B747" s="28" t="str">
        <f>IFERROR(__xludf.DUMMYFUNCTION("""COMPUTED_VALUE"""),"Eliminación del Impuesto de Sellos")</f>
        <v>Eliminación del Impuesto de Sellos</v>
      </c>
      <c r="C747" s="29" t="str">
        <f>IFERROR(__xludf.DUMMYFUNCTION("""COMPUTED_VALUE"""),"Pieza")</f>
        <v>Pieza</v>
      </c>
      <c r="D747" s="28" t="str">
        <f>IFERROR(__xludf.DUMMYFUNCTION("""COMPUTED_VALUE"""),"2816-ABRJDGAG")</f>
        <v>2816-ABRJDGAG</v>
      </c>
      <c r="E747" s="28" t="str">
        <f>IFERROR(__xludf.DUMMYFUNCTION("""COMPUTED_VALUE"""),"1 A 1 JM | Comuna 6 10/04")</f>
        <v>1 A 1 JM | Comuna 6 10/04</v>
      </c>
      <c r="F747" s="29" t="str">
        <f>IFERROR(__xludf.DUMMYFUNCTION("""COMPUTED_VALUE"""),"https://www.facebook.com/reel/1291131632992651")</f>
        <v>https://www.facebook.com/reel/1291131632992651</v>
      </c>
    </row>
    <row r="748">
      <c r="A748" s="28" t="str">
        <f>IFERROR(__xludf.DUMMYFUNCTION("""COMPUTED_VALUE"""),"2773-MARDECAN")</f>
        <v>2773-MARDECAN</v>
      </c>
      <c r="B748" s="28" t="str">
        <f>IFERROR(__xludf.DUMMYFUNCTION("""COMPUTED_VALUE"""),"Eliminación del Impuesto de Sellos")</f>
        <v>Eliminación del Impuesto de Sellos</v>
      </c>
      <c r="C748" s="29" t="str">
        <f>IFERROR(__xludf.DUMMYFUNCTION("""COMPUTED_VALUE"""),"Pieza")</f>
        <v>Pieza</v>
      </c>
      <c r="D748" s="28" t="str">
        <f>IFERROR(__xludf.DUMMYFUNCTION("""COMPUTED_VALUE"""),"2865-ABRINFGC")</f>
        <v>2865-ABRINFGC</v>
      </c>
      <c r="E748" s="28" t="str">
        <f>IFERROR(__xludf.DUMMYFUNCTION("""COMPUTED_VALUE"""),"Infraestructura | Cortes y desvíos por show de Ricky Martin")</f>
        <v>Infraestructura | Cortes y desvíos por show de Ricky Martin</v>
      </c>
      <c r="F748" s="29" t="str">
        <f>IFERROR(__xludf.DUMMYFUNCTION("""COMPUTED_VALUE"""),"https://fb.me/adspreview/facebook/1SWH8f44c3Zvh9M")</f>
        <v>https://fb.me/adspreview/facebook/1SWH8f44c3Zvh9M</v>
      </c>
    </row>
    <row r="749">
      <c r="A749" s="28" t="str">
        <f>IFERROR(__xludf.DUMMYFUNCTION("""COMPUTED_VALUE"""),"2782-MARJDGAG")</f>
        <v>2782-MARJDGAG</v>
      </c>
      <c r="B749" s="28" t="str">
        <f>IFERROR(__xludf.DUMMYFUNCTION("""COMPUTED_VALUE"""),"RDV JM | 30/3 VILLA SANTA RITA")</f>
        <v>RDV JM | 30/3 VILLA SANTA RITA</v>
      </c>
      <c r="C749" s="29" t="str">
        <f>IFERROR(__xludf.DUMMYFUNCTION("""COMPUTED_VALUE"""),"Pieza")</f>
        <v>Pieza</v>
      </c>
      <c r="D749" s="28" t="str">
        <f>IFERROR(__xludf.DUMMYFUNCTION("""COMPUTED_VALUE"""),"2854-ABRINFGC")</f>
        <v>2854-ABRINFGC</v>
      </c>
      <c r="E749" s="28" t="str">
        <f>IFERROR(__xludf.DUMMYFUNCTION("""COMPUTED_VALUE"""),"Infraestructura I Cortes AU La Plata - Buenos Aires")</f>
        <v>Infraestructura I Cortes AU La Plata - Buenos Aires</v>
      </c>
      <c r="F749" s="29" t="str">
        <f>IFERROR(__xludf.DUMMYFUNCTION("""COMPUTED_VALUE"""),"https://fb.me/adspreview/facebook/23HuMg8PbM643Dh")</f>
        <v>https://fb.me/adspreview/facebook/23HuMg8PbM643Dh</v>
      </c>
    </row>
    <row r="750">
      <c r="A750" s="28" t="str">
        <f>IFERROR(__xludf.DUMMYFUNCTION("""COMPUTED_VALUE"""),"2784-MARDECVC")</f>
        <v>2784-MARDECVC</v>
      </c>
      <c r="B750" s="28" t="str">
        <f>IFERROR(__xludf.DUMMYFUNCTION("""COMPUTED_VALUE"""),"RDV MINISTROS | ARENGO,PIRAGINE,LOMBARDI | EJE NORTE | 30/3")</f>
        <v>RDV MINISTROS | ARENGO,PIRAGINE,LOMBARDI | EJE NORTE | 30/3</v>
      </c>
      <c r="C750" s="29" t="str">
        <f>IFERROR(__xludf.DUMMYFUNCTION("""COMPUTED_VALUE"""),"Pieza")</f>
        <v>Pieza</v>
      </c>
      <c r="D750" s="28" t="str">
        <f>IFERROR(__xludf.DUMMYFUNCTION("""COMPUTED_VALUE"""),"2496-ENEVINGC")</f>
        <v>2496-ENEVINGC</v>
      </c>
      <c r="E75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0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1">
      <c r="A751" s="28" t="str">
        <f>IFERROR(__xludf.DUMMYFUNCTION("""COMPUTED_VALUE"""),"2776-MARVINVC")</f>
        <v>2776-MARVINVC</v>
      </c>
      <c r="B751" s="28" t="str">
        <f>IFERROR(__xludf.DUMMYFUNCTION("""COMPUTED_VALUE"""),"RDV MINISTROS | EZEQUIEL SABOR 30/3 COMUNA 7")</f>
        <v>RDV MINISTROS | EZEQUIEL SABOR 30/3 COMUNA 7</v>
      </c>
      <c r="C751" s="29" t="str">
        <f>IFERROR(__xludf.DUMMYFUNCTION("""COMPUTED_VALUE"""),"Pieza")</f>
        <v>Pieza</v>
      </c>
      <c r="D751" s="28" t="str">
        <f>IFERROR(__xludf.DUMMYFUNCTION("""COMPUTED_VALUE"""),"2496-ENEVINGC")</f>
        <v>2496-ENEVINGC</v>
      </c>
      <c r="E75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1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2">
      <c r="A752" s="28" t="str">
        <f>IFERROR(__xludf.DUMMYFUNCTION("""COMPUTED_VALUE"""),"2777-MARJDGVC")</f>
        <v>2777-MARJDGVC</v>
      </c>
      <c r="B752" s="28" t="str">
        <f>IFERROR(__xludf.DUMMYFUNCTION("""COMPUTED_VALUE"""),"RDV MINISTROS | GABRIEL SÁNCHEZ ZINNY 30/3  MATADEROS")</f>
        <v>RDV MINISTROS | GABRIEL SÁNCHEZ ZINNY 30/3  MATADEROS</v>
      </c>
      <c r="C752" s="29" t="str">
        <f>IFERROR(__xludf.DUMMYFUNCTION("""COMPUTED_VALUE"""),"Pieza")</f>
        <v>Pieza</v>
      </c>
      <c r="D752" s="28" t="str">
        <f>IFERROR(__xludf.DUMMYFUNCTION("""COMPUTED_VALUE"""),"2496-ENEVINGC")</f>
        <v>2496-ENEVINGC</v>
      </c>
      <c r="E75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2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3">
      <c r="A753" s="28" t="str">
        <f>IFERROR(__xludf.DUMMYFUNCTION("""COMPUTED_VALUE"""),"2783-MAREDUVC")</f>
        <v>2783-MAREDUVC</v>
      </c>
      <c r="B753" s="28" t="str">
        <f>IFERROR(__xludf.DUMMYFUNCTION("""COMPUTED_VALUE"""),"RDV MINISTROS | MM |  COMUNA 2  || 30/3")</f>
        <v>RDV MINISTROS | MM |  COMUNA 2  || 30/3</v>
      </c>
      <c r="C753" s="29" t="str">
        <f>IFERROR(__xludf.DUMMYFUNCTION("""COMPUTED_VALUE"""),"Pieza")</f>
        <v>Pieza</v>
      </c>
      <c r="D753" s="28" t="str">
        <f>IFERROR(__xludf.DUMMYFUNCTION("""COMPUTED_VALUE"""),"2496-ENEVINGC")</f>
        <v>2496-ENEVINGC</v>
      </c>
      <c r="E75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3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4">
      <c r="A754" s="28" t="str">
        <f>IFERROR(__xludf.DUMMYFUNCTION("""COMPUTED_VALUE"""),"2712-MARFESGC")</f>
        <v>2712-MARFESGC</v>
      </c>
      <c r="B754" s="28" t="str">
        <f>IFERROR(__xludf.DUMMYFUNCTION("""COMPUTED_VALUE"""),"Paseo de Pascuas")</f>
        <v>Paseo de Pascuas</v>
      </c>
      <c r="C754" s="29" t="str">
        <f>IFERROR(__xludf.DUMMYFUNCTION("""COMPUTED_VALUE"""),"Pieza")</f>
        <v>Pieza</v>
      </c>
      <c r="D754" s="28" t="str">
        <f>IFERROR(__xludf.DUMMYFUNCTION("""COMPUTED_VALUE"""),"2496-ENEVINGC")</f>
        <v>2496-ENEVINGC</v>
      </c>
      <c r="E75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754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755">
      <c r="A755" s="28" t="str">
        <f>IFERROR(__xludf.DUMMYFUNCTION("""COMPUTED_VALUE"""),"2792-MARSEGCG")</f>
        <v>2792-MARSEGCG</v>
      </c>
      <c r="B755" s="28" t="str">
        <f>IFERROR(__xludf.DUMMYFUNCTION("""COMPUTED_VALUE"""),"CONTENIDO ADICIONAL | Seguridad | Video para pauta: Orden en la Villa 31")</f>
        <v>CONTENIDO ADICIONAL | Seguridad | Video para pauta: Orden en la Villa 31</v>
      </c>
      <c r="C755" s="29" t="str">
        <f>IFERROR(__xludf.DUMMYFUNCTION("""COMPUTED_VALUE"""),"Pieza")</f>
        <v>Pieza</v>
      </c>
      <c r="D755" s="28" t="str">
        <f>IFERROR(__xludf.DUMMYFUNCTION("""COMPUTED_VALUE"""),"2744-MARSALGC")</f>
        <v>2744-MARSALGC</v>
      </c>
      <c r="E755" s="28" t="str">
        <f>IFERROR(__xludf.DUMMYFUNCTION("""COMPUTED_VALUE"""),"Vacunación Antigripal 2026")</f>
        <v>Vacunación Antigripal 2026</v>
      </c>
      <c r="F755" s="29" t="str">
        <f>IFERROR(__xludf.DUMMYFUNCTION("""COMPUTED_VALUE"""),"https://www.facebook.com/GCBA/posts/pfbid0Ftr1BFEuMXZgZzkvxNATehYJWtz65Zwo14oK7wZCTVKGiuhbS8vtnqUWXP8AP9dSl")</f>
        <v>https://www.facebook.com/GCBA/posts/pfbid0Ftr1BFEuMXZgZzkvxNATehYJWtz65Zwo14oK7wZCTVKGiuhbS8vtnqUWXP8AP9dSl</v>
      </c>
    </row>
    <row r="756">
      <c r="A756" s="28" t="str">
        <f>IFERROR(__xludf.DUMMYFUNCTION("""COMPUTED_VALUE"""),"2792-MARSEGCG")</f>
        <v>2792-MARSEGCG</v>
      </c>
      <c r="B756" s="28" t="str">
        <f>IFERROR(__xludf.DUMMYFUNCTION("""COMPUTED_VALUE"""),"CONTENIDO ADICIONAL | Seguridad | Video para pauta: Orden en la Villa 31")</f>
        <v>CONTENIDO ADICIONAL | Seguridad | Video para pauta: Orden en la Villa 31</v>
      </c>
      <c r="C756" s="29" t="str">
        <f>IFERROR(__xludf.DUMMYFUNCTION("""COMPUTED_VALUE"""),"Pieza")</f>
        <v>Pieza</v>
      </c>
      <c r="D756" s="28" t="str">
        <f>IFERROR(__xludf.DUMMYFUNCTION("""COMPUTED_VALUE"""),"2867-ABRINFGC")</f>
        <v>2867-ABRINFGC</v>
      </c>
      <c r="E756" s="28" t="str">
        <f>IFERROR(__xludf.DUMMYFUNCTION("""COMPUTED_VALUE"""),"DGPLES | Infraestructura | Cortes en Ferro por show de Las Pastillas del Abuelo")</f>
        <v>DGPLES | Infraestructura | Cortes en Ferro por show de Las Pastillas del Abuelo</v>
      </c>
      <c r="F756" s="29" t="str">
        <f>IFERROR(__xludf.DUMMYFUNCTION("""COMPUTED_VALUE"""),"https://fb.me/adspreview/facebook/23PWppQrHRi6nAk")</f>
        <v>https://fb.me/adspreview/facebook/23PWppQrHRi6nAk</v>
      </c>
    </row>
    <row r="757">
      <c r="A757" s="28" t="str">
        <f>IFERROR(__xludf.DUMMYFUNCTION("""COMPUTED_VALUE"""),"2760-MARTURGC")</f>
        <v>2760-MARTURGC</v>
      </c>
      <c r="B757" s="28" t="str">
        <f>IFERROR(__xludf.DUMMYFUNCTION("""COMPUTED_VALUE"""),"Sondeo por Semana Santa")</f>
        <v>Sondeo por Semana Santa</v>
      </c>
      <c r="C757" s="29" t="str">
        <f>IFERROR(__xludf.DUMMYFUNCTION("""COMPUTED_VALUE"""),"Pieza")</f>
        <v>Pieza</v>
      </c>
      <c r="D757" s="28" t="str">
        <f>IFERROR(__xludf.DUMMYFUNCTION("""COMPUTED_VALUE"""),"2679-MARINFGC")</f>
        <v>2679-MARINFGC</v>
      </c>
      <c r="E757" s="28" t="str">
        <f>IFERROR(__xludf.DUMMYFUNCTION("""COMPUTED_VALUE"""),"Infraestructura I Fin de obra Av. Pérez Galdós")</f>
        <v>Infraestructura I Fin de obra Av. Pérez Galdós</v>
      </c>
      <c r="F757" s="29" t="str">
        <f>IFERROR(__xludf.DUMMYFUNCTION("""COMPUTED_VALUE"""),"https://www.facebook.com/photo?fbid=1447021517457493&amp;set=p.1447021517457493")</f>
        <v>https://www.facebook.com/photo?fbid=1447021517457493&amp;set=p.1447021517457493</v>
      </c>
    </row>
    <row r="758">
      <c r="A758" s="28" t="str">
        <f>IFERROR(__xludf.DUMMYFUNCTION("""COMPUTED_VALUE"""),"2734-MARSALGC")</f>
        <v>2734-MARSALGC</v>
      </c>
      <c r="B758" s="28" t="str">
        <f>IFERROR(__xludf.DUMMYFUNCTION("""COMPUTED_VALUE"""),"Encuesta de Clima Laboral ""Nuestro Latido""")</f>
        <v>Encuesta de Clima Laboral "Nuestro Latido"</v>
      </c>
      <c r="C758" s="29" t="str">
        <f>IFERROR(__xludf.DUMMYFUNCTION("""COMPUTED_VALUE"""),"Pieza")</f>
        <v>Pieza</v>
      </c>
      <c r="D758" s="28" t="str">
        <f>IFERROR(__xludf.DUMMYFUNCTION("""COMPUTED_VALUE"""),"2872-ABRINFGC")</f>
        <v>2872-ABRINFGC</v>
      </c>
      <c r="E758" s="28" t="str">
        <f>IFERROR(__xludf.DUMMYFUNCTION("""COMPUTED_VALUE"""),"INFRAESTRUCTURA | Cortes y desvíos por evento Homenaje al Papa Francisco - Cura DJ")</f>
        <v>INFRAESTRUCTURA | Cortes y desvíos por evento Homenaje al Papa Francisco - Cura DJ</v>
      </c>
      <c r="F758" s="29" t="str">
        <f>IFERROR(__xludf.DUMMYFUNCTION("""COMPUTED_VALUE"""),"https://fb.me/adspreview/facebook/25924LzCyb9nNj7")</f>
        <v>https://fb.me/adspreview/facebook/25924LzCyb9nNj7</v>
      </c>
    </row>
    <row r="759">
      <c r="A759" s="28" t="str">
        <f>IFERROR(__xludf.DUMMYFUNCTION("""COMPUTED_VALUE"""),"2784-MARDECVC")</f>
        <v>2784-MARDECVC</v>
      </c>
      <c r="B759" s="28" t="str">
        <f>IFERROR(__xludf.DUMMYFUNCTION("""COMPUTED_VALUE"""),"RDV MINISTROS | ARENGO,PIRAGINE,LOMBARDI | EJE NORTE | 30/3")</f>
        <v>RDV MINISTROS | ARENGO,PIRAGINE,LOMBARDI | EJE NORTE | 30/3</v>
      </c>
      <c r="C759" s="29" t="str">
        <f>IFERROR(__xludf.DUMMYFUNCTION("""COMPUTED_VALUE"""),"Pieza")</f>
        <v>Pieza</v>
      </c>
      <c r="D759" s="28" t="str">
        <f>IFERROR(__xludf.DUMMYFUNCTION("""COMPUTED_VALUE"""),"2873-ABRINFGC")</f>
        <v>2873-ABRINFGC</v>
      </c>
      <c r="E759" s="28" t="str">
        <f>IFERROR(__xludf.DUMMYFUNCTION("""COMPUTED_VALUE"""),"Infraestructura I Cortes de tránsito por evento deportivo")</f>
        <v>Infraestructura I Cortes de tránsito por evento deportivo</v>
      </c>
      <c r="F759" s="29" t="str">
        <f>IFERROR(__xludf.DUMMYFUNCTION("""COMPUTED_VALUE"""),"https://fb.me/adspreview/facebook/25gmQAFKJnaEZvw")</f>
        <v>https://fb.me/adspreview/facebook/25gmQAFKJnaEZvw</v>
      </c>
    </row>
    <row r="760">
      <c r="A760" s="28" t="str">
        <f>IFERROR(__xludf.DUMMYFUNCTION("""COMPUTED_VALUE"""),"2776-MARVINVC")</f>
        <v>2776-MARVINVC</v>
      </c>
      <c r="B760" s="28" t="str">
        <f>IFERROR(__xludf.DUMMYFUNCTION("""COMPUTED_VALUE"""),"RDV MINISTROS | EZEQUIEL SABOR 30/3 COMUNA 7")</f>
        <v>RDV MINISTROS | EZEQUIEL SABOR 30/3 COMUNA 7</v>
      </c>
      <c r="C760" s="29" t="str">
        <f>IFERROR(__xludf.DUMMYFUNCTION("""COMPUTED_VALUE"""),"Pieza")</f>
        <v>Pieza</v>
      </c>
      <c r="D760" s="28" t="str">
        <f>IFERROR(__xludf.DUMMYFUNCTION("""COMPUTED_VALUE"""),"2820-ABRSALGC")</f>
        <v>2820-ABRSALGC</v>
      </c>
      <c r="E760" s="28" t="str">
        <f>IFERROR(__xludf.DUMMYFUNCTION("""COMPUTED_VALUE"""),"CESAC 51 - Durante de Obra")</f>
        <v>CESAC 51 - Durante de Obra</v>
      </c>
      <c r="F760" s="29" t="str">
        <f>IFERROR(__xludf.DUMMYFUNCTION("""COMPUTED_VALUE"""),"https://www.facebook.com/GCBA/posts/pfbid0E16AtoNWBXLpWUXesZd3cPNQWebLVihxqQHLM15qSupdZQf2fk4wY3XMMtcEtzkfl")</f>
        <v>https://www.facebook.com/GCBA/posts/pfbid0E16AtoNWBXLpWUXesZd3cPNQWebLVihxqQHLM15qSupdZQf2fk4wY3XMMtcEtzkfl</v>
      </c>
    </row>
    <row r="761">
      <c r="A761" s="28" t="str">
        <f>IFERROR(__xludf.DUMMYFUNCTION("""COMPUTED_VALUE"""),"2782-MARJDGAG")</f>
        <v>2782-MARJDGAG</v>
      </c>
      <c r="B761" s="28" t="str">
        <f>IFERROR(__xludf.DUMMYFUNCTION("""COMPUTED_VALUE"""),"RDV JM | 30/3 VILLA SANTA RITA")</f>
        <v>RDV JM | 30/3 VILLA SANTA RITA</v>
      </c>
      <c r="C761" s="29" t="str">
        <f>IFERROR(__xludf.DUMMYFUNCTION("""COMPUTED_VALUE"""),"Pieza")</f>
        <v>Pieza</v>
      </c>
      <c r="D761" s="28" t="str">
        <f>IFERROR(__xludf.DUMMYFUNCTION("""COMPUTED_VALUE"""),"2820-ABRSALGC")</f>
        <v>2820-ABRSALGC</v>
      </c>
      <c r="E761" s="28" t="str">
        <f>IFERROR(__xludf.DUMMYFUNCTION("""COMPUTED_VALUE"""),"CESAC 51 - Durante de Obra")</f>
        <v>CESAC 51 - Durante de Obra</v>
      </c>
      <c r="F761" s="29" t="str">
        <f>IFERROR(__xludf.DUMMYFUNCTION("""COMPUTED_VALUE"""),"https://www.facebook.com/GCBA/posts/pfbid0E16AtoNWBXLpWUXesZd3cPNQWebLVihxqQHLM15qSupdZQf2fk4wY3XMMtcEtzkfl")</f>
        <v>https://www.facebook.com/GCBA/posts/pfbid0E16AtoNWBXLpWUXesZd3cPNQWebLVihxqQHLM15qSupdZQf2fk4wY3XMMtcEtzkfl</v>
      </c>
    </row>
    <row r="762">
      <c r="A762" s="28" t="str">
        <f>IFERROR(__xludf.DUMMYFUNCTION("""COMPUTED_VALUE"""),"2782-MARJDGAG")</f>
        <v>2782-MARJDGAG</v>
      </c>
      <c r="B762" s="28" t="str">
        <f>IFERROR(__xludf.DUMMYFUNCTION("""COMPUTED_VALUE"""),"RDV JM | 30/3 VILLA SANTA RITA")</f>
        <v>RDV JM | 30/3 VILLA SANTA RITA</v>
      </c>
      <c r="C762" s="29" t="str">
        <f>IFERROR(__xludf.DUMMYFUNCTION("""COMPUTED_VALUE"""),"Pieza")</f>
        <v>Pieza</v>
      </c>
      <c r="D762" s="28" t="str">
        <f>IFERROR(__xludf.DUMMYFUNCTION("""COMPUTED_VALUE"""),"2820-ABRSALGC")</f>
        <v>2820-ABRSALGC</v>
      </c>
      <c r="E762" s="28" t="str">
        <f>IFERROR(__xludf.DUMMYFUNCTION("""COMPUTED_VALUE"""),"CESAC 51 - Durante de Obra")</f>
        <v>CESAC 51 - Durante de Obra</v>
      </c>
      <c r="F762" s="29" t="str">
        <f>IFERROR(__xludf.DUMMYFUNCTION("""COMPUTED_VALUE"""),"https://www.facebook.com/GCBA/posts/pfbid0E16AtoNWBXLpWUXesZd3cPNQWebLVihxqQHLM15qSupdZQf2fk4wY3XMMtcEtzkfl")</f>
        <v>https://www.facebook.com/GCBA/posts/pfbid0E16AtoNWBXLpWUXesZd3cPNQWebLVihxqQHLM15qSupdZQf2fk4wY3XMMtcEtzkfl</v>
      </c>
    </row>
    <row r="763">
      <c r="A763" s="28" t="str">
        <f>IFERROR(__xludf.DUMMYFUNCTION("""COMPUTED_VALUE"""),"2780-MARINFVC")</f>
        <v>2780-MARINFVC</v>
      </c>
      <c r="B763" s="28" t="str">
        <f>IFERROR(__xludf.DUMMYFUNCTION("""COMPUTED_VALUE"""),"RDV MINISTROS | PABLO BERECIARTUA 1/4 COMUNA 12")</f>
        <v>RDV MINISTROS | PABLO BERECIARTUA 1/4 COMUNA 12</v>
      </c>
      <c r="C763" s="29" t="str">
        <f>IFERROR(__xludf.DUMMYFUNCTION("""COMPUTED_VALUE"""),"Pieza")</f>
        <v>Pieza</v>
      </c>
      <c r="D763" s="28" t="str">
        <f>IFERROR(__xludf.DUMMYFUNCTION("""COMPUTED_VALUE"""),"2878-FEBVINVC")</f>
        <v>2878-FEBVINVC</v>
      </c>
      <c r="E763" s="28" t="str">
        <f>IFERROR(__xludf.DUMMYFUNCTION("""COMPUTED_VALUE"""),"RDV MINISTROS | EZEQUIEL SABOR 20/4 COMUNA 1")</f>
        <v>RDV MINISTROS | EZEQUIEL SABOR 20/4 COMUNA 1</v>
      </c>
      <c r="F763" s="29" t="str">
        <f>IFERROR(__xludf.DUMMYFUNCTION("""COMPUTED_VALUE"""),"https://www.facebook.com/baparticipacion/posts/pfbid0GzWuf7Ap7Y7Pi378gVersFXJagxXrdxWYBrV99tEWcMDBYws33j1RDahyAyJsMVAl")</f>
        <v>https://www.facebook.com/baparticipacion/posts/pfbid0GzWuf7Ap7Y7Pi378gVersFXJagxXrdxWYBrV99tEWcMDBYws33j1RDahyAyJsMVAl</v>
      </c>
    </row>
    <row r="764">
      <c r="A764" s="28" t="str">
        <f>IFERROR(__xludf.DUMMYFUNCTION("""COMPUTED_VALUE"""),"2589-FEBSALGJ")</f>
        <v>2589-FEBSALGJ</v>
      </c>
      <c r="B764" s="28" t="str">
        <f>IFERROR(__xludf.DUMMYFUNCTION("""COMPUTED_VALUE"""),"Nuevo CEMAR 3")</f>
        <v>Nuevo CEMAR 3</v>
      </c>
      <c r="C764" s="29" t="str">
        <f>IFERROR(__xludf.DUMMYFUNCTION("""COMPUTED_VALUE"""),"Pieza")</f>
        <v>Pieza</v>
      </c>
      <c r="D764" s="28" t="str">
        <f>IFERROR(__xludf.DUMMYFUNCTION("""COMPUTED_VALUE"""),"2886-ABRDECGC")</f>
        <v>2886-ABRDECGC</v>
      </c>
      <c r="E764" s="28" t="str">
        <f>IFERROR(__xludf.DUMMYFUNCTION("""COMPUTED_VALUE"""),"CAFECITO BA ABRIL")</f>
        <v>CAFECITO BA ABRIL</v>
      </c>
      <c r="F764" s="29" t="str">
        <f>IFERROR(__xludf.DUMMYFUNCTION("""COMPUTED_VALUE"""),"https://www.facebook.com/GCBA/posts/pfbid054fnijeMDNVJV1K4PTsWQtpWYmhmsHdb2niaFKoc9N1b8LPNcda5napYbUXdJbdql")</f>
        <v>https://www.facebook.com/GCBA/posts/pfbid054fnijeMDNVJV1K4PTsWQtpWYmhmsHdb2niaFKoc9N1b8LPNcda5napYbUXdJbdql</v>
      </c>
    </row>
    <row r="765">
      <c r="A765" s="28" t="str">
        <f>IFERROR(__xludf.DUMMYFUNCTION("""COMPUTED_VALUE"""),"2589-FEBSALGJ")</f>
        <v>2589-FEBSALGJ</v>
      </c>
      <c r="B765" s="28" t="str">
        <f>IFERROR(__xludf.DUMMYFUNCTION("""COMPUTED_VALUE"""),"Nuevo CEMAR 3")</f>
        <v>Nuevo CEMAR 3</v>
      </c>
      <c r="C765" s="29" t="str">
        <f>IFERROR(__xludf.DUMMYFUNCTION("""COMPUTED_VALUE"""),"Pieza")</f>
        <v>Pieza</v>
      </c>
      <c r="D765" s="28" t="str">
        <f>IFERROR(__xludf.DUMMYFUNCTION("""COMPUTED_VALUE"""),"2886-ABRDECGC")</f>
        <v>2886-ABRDECGC</v>
      </c>
      <c r="E765" s="28" t="str">
        <f>IFERROR(__xludf.DUMMYFUNCTION("""COMPUTED_VALUE"""),"CAFECITO BA ABRIL")</f>
        <v>CAFECITO BA ABRIL</v>
      </c>
      <c r="F765" s="29" t="str">
        <f>IFERROR(__xludf.DUMMYFUNCTION("""COMPUTED_VALUE"""),"https://www.facebook.com/GCBA/posts/pfbid054fnijeMDNVJV1K4PTsWQtpWYmhmsHdb2niaFKoc9N1b8LPNcda5napYbUXdJbdql")</f>
        <v>https://www.facebook.com/GCBA/posts/pfbid054fnijeMDNVJV1K4PTsWQtpWYmhmsHdb2niaFKoc9N1b8LPNcda5napYbUXdJbdql</v>
      </c>
    </row>
    <row r="766">
      <c r="A766" s="28" t="str">
        <f>IFERROR(__xludf.DUMMYFUNCTION("""COMPUTED_VALUE"""),"2777-MARJDGVC")</f>
        <v>2777-MARJDGVC</v>
      </c>
      <c r="B766" s="28" t="str">
        <f>IFERROR(__xludf.DUMMYFUNCTION("""COMPUTED_VALUE"""),"RDV MINISTROS | GABRIEL SÁNCHEZ ZINNY 30/3  MATADEROS")</f>
        <v>RDV MINISTROS | GABRIEL SÁNCHEZ ZINNY 30/3  MATADEROS</v>
      </c>
      <c r="C766" s="29" t="str">
        <f>IFERROR(__xludf.DUMMYFUNCTION("""COMPUTED_VALUE"""),"Pieza")</f>
        <v>Pieza</v>
      </c>
      <c r="D766" s="28" t="str">
        <f>IFERROR(__xludf.DUMMYFUNCTION("""COMPUTED_VALUE"""),"2889-ABRSALVC")</f>
        <v>2889-ABRSALVC</v>
      </c>
      <c r="E766" s="28" t="str">
        <f>IFERROR(__xludf.DUMMYFUNCTION("""COMPUTED_VALUE"""),"RDV Ministros |  Fernán Quirós - 21/4")</f>
        <v>RDV Ministros |  Fernán Quirós - 21/4</v>
      </c>
      <c r="F766" s="29" t="str">
        <f>IFERROR(__xludf.DUMMYFUNCTION("""COMPUTED_VALUE"""),"https://www.facebook.com/baparticipacion/posts/pfbid02M8tPjxSc2H8DjmzfToUw7QqZxQaiiMtFjRaLwGMPpFzkeya6D1oUxgYPVd57Szw8l")</f>
        <v>https://www.facebook.com/baparticipacion/posts/pfbid02M8tPjxSc2H8DjmzfToUw7QqZxQaiiMtFjRaLwGMPpFzkeya6D1oUxgYPVd57Szw8l</v>
      </c>
    </row>
    <row r="767">
      <c r="A767" s="28" t="str">
        <f>IFERROR(__xludf.DUMMYFUNCTION("""COMPUTED_VALUE"""),"2783-MAREDUVC")</f>
        <v>2783-MAREDUVC</v>
      </c>
      <c r="B767" s="28" t="str">
        <f>IFERROR(__xludf.DUMMYFUNCTION("""COMPUTED_VALUE"""),"RDV MINISTROS | MM |  COMUNA 2  || 30/3")</f>
        <v>RDV MINISTROS | MM |  COMUNA 2  || 30/3</v>
      </c>
      <c r="C767" s="29" t="str">
        <f>IFERROR(__xludf.DUMMYFUNCTION("""COMPUTED_VALUE"""),"Pieza")</f>
        <v>Pieza</v>
      </c>
      <c r="D767" s="28" t="str">
        <f>IFERROR(__xludf.DUMMYFUNCTION("""COMPUTED_VALUE"""),"2879-ABRJDGVC")</f>
        <v>2879-ABRJDGVC</v>
      </c>
      <c r="E767" s="28" t="str">
        <f>IFERROR(__xludf.DUMMYFUNCTION("""COMPUTED_VALUE"""),"RDV MINISTROS | GABRIEL SÁNCHEZ ZINNY 21/4  VILLA PUEYRREDÓN")</f>
        <v>RDV MINISTROS | GABRIEL SÁNCHEZ ZINNY 21/4  VILLA PUEYRREDÓN</v>
      </c>
      <c r="F767" s="29" t="str">
        <f>IFERROR(__xludf.DUMMYFUNCTION("""COMPUTED_VALUE"""),"https://www.facebook.com/baparticipacion/posts/pfbid02gLwQJ8rUUwQKTwkFGuLMEizLGGHtJvgGnM1hRJbj39URHPCysj85vKBzjs8hXcYql")</f>
        <v>https://www.facebook.com/baparticipacion/posts/pfbid02gLwQJ8rUUwQKTwkFGuLMEizLGGHtJvgGnM1hRJbj39URHPCysj85vKBzjs8hXcYql</v>
      </c>
    </row>
    <row r="768">
      <c r="A768" s="28" t="str">
        <f>IFERROR(__xludf.DUMMYFUNCTION("""COMPUTED_VALUE"""),"2792-MARSEGCG")</f>
        <v>2792-MARSEGCG</v>
      </c>
      <c r="B768" s="28" t="str">
        <f>IFERROR(__xludf.DUMMYFUNCTION("""COMPUTED_VALUE"""),"CONTENIDO ADICIONAL | Seguridad | Video para pauta: Orden en la Villa 31")</f>
        <v>CONTENIDO ADICIONAL | Seguridad | Video para pauta: Orden en la Villa 31</v>
      </c>
      <c r="C768" s="29" t="str">
        <f>IFERROR(__xludf.DUMMYFUNCTION("""COMPUTED_VALUE"""),"Pieza")</f>
        <v>Pieza</v>
      </c>
      <c r="D768" s="28" t="str">
        <f>IFERROR(__xludf.DUMMYFUNCTION("""COMPUTED_VALUE"""),"2899-ABRINFGC")</f>
        <v>2899-ABRINFGC</v>
      </c>
      <c r="E768" s="28" t="str">
        <f>IFERROR(__xludf.DUMMYFUNCTION("""COMPUTED_VALUE"""),"APERTURA ESTACIÓN MALABIA LÍNEA E")</f>
        <v>APERTURA ESTACIÓN MALABIA LÍNEA E</v>
      </c>
      <c r="F768" s="29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769">
      <c r="A769" s="28" t="str">
        <f>IFERROR(__xludf.DUMMYFUNCTION("""COMPUTED_VALUE"""),"2737-MARSALGJ")</f>
        <v>2737-MARSALGJ</v>
      </c>
      <c r="B769" s="28" t="str">
        <f>IFERROR(__xludf.DUMMYFUNCTION("""COMPUTED_VALUE"""),"CAMPAÑA GCBA/AGENDA JM | SALUD | HTAL. ZUBIZARRETA: RECORRIDA OBRAS")</f>
        <v>CAMPAÑA GCBA/AGENDA JM | SALUD | HTAL. ZUBIZARRETA: RECORRIDA OBRAS</v>
      </c>
      <c r="C769" s="29" t="str">
        <f>IFERROR(__xludf.DUMMYFUNCTION("""COMPUTED_VALUE"""),"Pieza")</f>
        <v>Pieza</v>
      </c>
      <c r="D769" s="28" t="str">
        <f>IFERROR(__xludf.DUMMYFUNCTION("""COMPUTED_VALUE"""),"2899-ABRINFGC")</f>
        <v>2899-ABRINFGC</v>
      </c>
      <c r="E769" s="28" t="str">
        <f>IFERROR(__xludf.DUMMYFUNCTION("""COMPUTED_VALUE"""),"APERTURA ESTACIÓN MALABIA LÍNEA E")</f>
        <v>APERTURA ESTACIÓN MALABIA LÍNEA E</v>
      </c>
      <c r="F769" s="29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770">
      <c r="A770" s="28" t="str">
        <f>IFERROR(__xludf.DUMMYFUNCTION("""COMPUTED_VALUE"""),"2778-MARDHHVC")</f>
        <v>2778-MARDHHVC</v>
      </c>
      <c r="B770" s="28" t="str">
        <f>IFERROR(__xludf.DUMMYFUNCTION("""COMPUTED_VALUE"""),"RDV Ministros | Gabriel Mraida - Comuna 15")</f>
        <v>RDV Ministros | Gabriel Mraida - Comuna 15</v>
      </c>
      <c r="C770" s="29" t="str">
        <f>IFERROR(__xludf.DUMMYFUNCTION("""COMPUTED_VALUE"""),"Pieza")</f>
        <v>Pieza</v>
      </c>
      <c r="D770" s="28" t="str">
        <f>IFERROR(__xludf.DUMMYFUNCTION("""COMPUTED_VALUE"""),"2827-ABREPHGC")</f>
        <v>2827-ABREPHGC</v>
      </c>
      <c r="E770" s="28" t="str">
        <f>IFERROR(__xludf.DUMMYFUNCTION("""COMPUTED_VALUE"""),"CAMPAÑA GCBA | MEPHU | CAMPAÑA GRANDES GENERADORES")</f>
        <v>CAMPAÑA GCBA | MEPHU | CAMPAÑA GRANDES GENERADORES</v>
      </c>
      <c r="F770" s="29" t="str">
        <f>IFERROR(__xludf.DUMMYFUNCTION("""COMPUTED_VALUE"""),"https://www.facebook.com/GCBA/posts/pfbid0HDjJ7ADLmVV9qRNGYyC1QmhZKHE6gr3HcD2wiXfT8Uf1PBKo7aaWtbNktXYwgoBCl")</f>
        <v>https://www.facebook.com/GCBA/posts/pfbid0HDjJ7ADLmVV9qRNGYyC1QmhZKHE6gr3HcD2wiXfT8Uf1PBKo7aaWtbNktXYwgoBCl</v>
      </c>
    </row>
    <row r="771">
      <c r="A771" s="28" t="str">
        <f>IFERROR(__xludf.DUMMYFUNCTION("""COMPUTED_VALUE"""),"2778-MARDHHVC")</f>
        <v>2778-MARDHHVC</v>
      </c>
      <c r="B771" s="28" t="str">
        <f>IFERROR(__xludf.DUMMYFUNCTION("""COMPUTED_VALUE"""),"RDV Ministros | Gabriel Mraida - Comuna 15")</f>
        <v>RDV Ministros | Gabriel Mraida - Comuna 15</v>
      </c>
      <c r="C771" s="29" t="str">
        <f>IFERROR(__xludf.DUMMYFUNCTION("""COMPUTED_VALUE"""),"Pieza")</f>
        <v>Pieza</v>
      </c>
      <c r="D771" s="28" t="str">
        <f>IFERROR(__xludf.DUMMYFUNCTION("""COMPUTED_VALUE"""),"2827-ABREPHGC")</f>
        <v>2827-ABREPHGC</v>
      </c>
      <c r="E771" s="28" t="str">
        <f>IFERROR(__xludf.DUMMYFUNCTION("""COMPUTED_VALUE"""),"CAMPAÑA GCBA | MEPHU | CAMPAÑA GRANDES GENERADORES")</f>
        <v>CAMPAÑA GCBA | MEPHU | CAMPAÑA GRANDES GENERADORES</v>
      </c>
      <c r="F771" s="29" t="str">
        <f>IFERROR(__xludf.DUMMYFUNCTION("""COMPUTED_VALUE"""),"https://www.facebook.com/GCBA/posts/pfbid0YsvPWYb967LiLYq3YMQEez25Q4opZik9cFdh4KmKrjVeJYAXhZE23CYTkhPCpZLBl")</f>
        <v>https://www.facebook.com/GCBA/posts/pfbid0YsvPWYb967LiLYq3YMQEez25Q4opZik9cFdh4KmKrjVeJYAXhZE23CYTkhPCpZLBl</v>
      </c>
    </row>
    <row r="772">
      <c r="A772" s="28" t="str">
        <f>IFERROR(__xludf.DUMMYFUNCTION("""COMPUTED_VALUE"""),"2781-MARJDGVC")</f>
        <v>2781-MARJDGVC</v>
      </c>
      <c r="B772" s="28" t="str">
        <f>IFERROR(__xludf.DUMMYFUNCTION("""COMPUTED_VALUE"""),"RDV MINISTROS | GABRIEL SÁNCHEZ ZINNY 1/4  MONTSERRAT")</f>
        <v>RDV MINISTROS | GABRIEL SÁNCHEZ ZINNY 1/4  MONTSERRAT</v>
      </c>
      <c r="C772" s="29" t="str">
        <f>IFERROR(__xludf.DUMMYFUNCTION("""COMPUTED_VALUE"""),"Pieza")</f>
        <v>Pieza</v>
      </c>
      <c r="D772" s="28" t="str">
        <f>IFERROR(__xludf.DUMMYFUNCTION("""COMPUTED_VALUE"""),"2827-ABREPHGC")</f>
        <v>2827-ABREPHGC</v>
      </c>
      <c r="E772" s="28" t="str">
        <f>IFERROR(__xludf.DUMMYFUNCTION("""COMPUTED_VALUE"""),"CAMPAÑA GCBA | MEPHU | CAMPAÑA GRANDES GENERADORES")</f>
        <v>CAMPAÑA GCBA | MEPHU | CAMPAÑA GRANDES GENERADORES</v>
      </c>
      <c r="F772" s="29" t="str">
        <f>IFERROR(__xludf.DUMMYFUNCTION("""COMPUTED_VALUE"""),"https://www.facebook.com/GCBA/posts/pfbid0ZPqxQ5PPTm9UmBiJCsU8TTjQDHdxdeEADshmKbkrJSQe2HQ3HDkVDugjGhY9jRzSl")</f>
        <v>https://www.facebook.com/GCBA/posts/pfbid0ZPqxQ5PPTm9UmBiJCsU8TTjQDHdxdeEADshmKbkrJSQe2HQ3HDkVDugjGhY9jRzSl</v>
      </c>
    </row>
    <row r="773">
      <c r="A773" s="28" t="str">
        <f>IFERROR(__xludf.DUMMYFUNCTION("""COMPUTED_VALUE"""),"2794-MARPCCVC")</f>
        <v>2794-MARPCCVC</v>
      </c>
      <c r="B773" s="28" t="str">
        <f>IFERROR(__xludf.DUMMYFUNCTION("""COMPUTED_VALUE"""),"Día de la Salud")</f>
        <v>Día de la Salud</v>
      </c>
      <c r="C773" s="29" t="str">
        <f>IFERROR(__xludf.DUMMYFUNCTION("""COMPUTED_VALUE"""),"Pieza")</f>
        <v>Pieza</v>
      </c>
      <c r="D773" s="28" t="str">
        <f>IFERROR(__xludf.DUMMYFUNCTION("""COMPUTED_VALUE"""),"2827-ABREPHGC")</f>
        <v>2827-ABREPHGC</v>
      </c>
      <c r="E773" s="28" t="str">
        <f>IFERROR(__xludf.DUMMYFUNCTION("""COMPUTED_VALUE"""),"CAMPAÑA GCBA | MEPHU | CAMPAÑA GRANDES GENERADORES")</f>
        <v>CAMPAÑA GCBA | MEPHU | CAMPAÑA GRANDES GENERADORES</v>
      </c>
      <c r="F773" s="29" t="str">
        <f>IFERROR(__xludf.DUMMYFUNCTION("""COMPUTED_VALUE"""),"https://www.facebook.com/reel/938662309035633")</f>
        <v>https://www.facebook.com/reel/938662309035633</v>
      </c>
    </row>
    <row r="774">
      <c r="A774" s="28" t="str">
        <f>IFERROR(__xludf.DUMMYFUNCTION("""COMPUTED_VALUE"""),"2794-MARPCCVC")</f>
        <v>2794-MARPCCVC</v>
      </c>
      <c r="B774" s="28" t="str">
        <f>IFERROR(__xludf.DUMMYFUNCTION("""COMPUTED_VALUE"""),"Día de la Salud")</f>
        <v>Día de la Salud</v>
      </c>
      <c r="C774" s="29" t="str">
        <f>IFERROR(__xludf.DUMMYFUNCTION("""COMPUTED_VALUE"""),"Pieza")</f>
        <v>Pieza</v>
      </c>
      <c r="D774" s="28" t="str">
        <f>IFERROR(__xludf.DUMMYFUNCTION("""COMPUTED_VALUE"""),"2875-ABRDECVC")</f>
        <v>2875-ABRDECVC</v>
      </c>
      <c r="E774" s="28" t="str">
        <f>IFERROR(__xludf.DUMMYFUNCTION("""COMPUTED_VALUE"""),"RDV Hernán Lombardi, Gustavo Arengo Piragine y Gabino Tapia, Eje Oeste 20/4")</f>
        <v>RDV Hernán Lombardi, Gustavo Arengo Piragine y Gabino Tapia, Eje Oeste 20/4</v>
      </c>
      <c r="F774" s="29" t="str">
        <f>IFERROR(__xludf.DUMMYFUNCTION("""COMPUTED_VALUE"""),"https://www.facebook.com/baparticipacion/posts/pfbid02U9UYVFgSW2u5YjDU3i6PnjkKoDXdwit5RC5jce6zaVMsps6G5JLhHCz2o19MJc7Yl")</f>
        <v>https://www.facebook.com/baparticipacion/posts/pfbid02U9UYVFgSW2u5YjDU3i6PnjkKoDXdwit5RC5jce6zaVMsps6G5JLhHCz2o19MJc7Yl</v>
      </c>
    </row>
    <row r="775">
      <c r="A775" s="28" t="str">
        <f>IFERROR(__xludf.DUMMYFUNCTION("""COMPUTED_VALUE"""),"2801-MARSEGVC")</f>
        <v>2801-MARSEGVC</v>
      </c>
      <c r="B775" s="28" t="str">
        <f>IFERROR(__xludf.DUMMYFUNCTION("""COMPUTED_VALUE"""),"RDV MINISTROS | Gabriela Ricardes 7/4 Comuna 10")</f>
        <v>RDV MINISTROS | Gabriela Ricardes 7/4 Comuna 10</v>
      </c>
      <c r="C775" s="29" t="str">
        <f>IFERROR(__xludf.DUMMYFUNCTION("""COMPUTED_VALUE"""),"Pieza")</f>
        <v>Pieza</v>
      </c>
      <c r="D775" s="28" t="str">
        <f>IFERROR(__xludf.DUMMYFUNCTION("""COMPUTED_VALUE"""),"2875-ABRDECVC")</f>
        <v>2875-ABRDECVC</v>
      </c>
      <c r="E775" s="28" t="str">
        <f>IFERROR(__xludf.DUMMYFUNCTION("""COMPUTED_VALUE"""),"RDV Hernán Lombardi, Gustavo Arengo Piragine y Gabino Tapia, Eje Oeste 20/4")</f>
        <v>RDV Hernán Lombardi, Gustavo Arengo Piragine y Gabino Tapia, Eje Oeste 20/4</v>
      </c>
      <c r="F775" s="29" t="str">
        <f>IFERROR(__xludf.DUMMYFUNCTION("""COMPUTED_VALUE"""),"https://www.facebook.com/baparticipacion/posts/pfbid02U9UYVFgSW2u5YjDU3i6PnjkKoDXdwit5RC5jce6zaVMsps6G5JLhHCz2o19MJc7Yl")</f>
        <v>https://www.facebook.com/baparticipacion/posts/pfbid02U9UYVFgSW2u5YjDU3i6PnjkKoDXdwit5RC5jce6zaVMsps6G5JLhHCz2o19MJc7Yl</v>
      </c>
    </row>
    <row r="776">
      <c r="A776" s="28" t="str">
        <f>IFERROR(__xludf.DUMMYFUNCTION("""COMPUTED_VALUE"""),"2711-MARFESGC")</f>
        <v>2711-MARFESGC</v>
      </c>
      <c r="B776" s="28" t="str">
        <f>IFERROR(__xludf.DUMMYFUNCTION("""COMPUTED_VALUE"""),"Pascuas en plazas y anfiteatros")</f>
        <v>Pascuas en plazas y anfiteatros</v>
      </c>
      <c r="C776" s="29" t="str">
        <f>IFERROR(__xludf.DUMMYFUNCTION("""COMPUTED_VALUE"""),"Pieza")</f>
        <v>Pieza</v>
      </c>
      <c r="D776" s="28" t="str">
        <f>IFERROR(__xludf.DUMMYFUNCTION("""COMPUTED_VALUE"""),"2877-FEBINFVC")</f>
        <v>2877-FEBINFVC</v>
      </c>
      <c r="E776" s="28" t="str">
        <f>IFERROR(__xludf.DUMMYFUNCTION("""COMPUTED_VALUE"""),"RDV MINISTROS | PABLO BERECIARTUA 20/4 COMUNA 9")</f>
        <v>RDV MINISTROS | PABLO BERECIARTUA 20/4 COMUNA 9</v>
      </c>
      <c r="F776" s="29" t="str">
        <f>IFERROR(__xludf.DUMMYFUNCTION("""COMPUTED_VALUE"""),"https://www.facebook.com/baparticipacion/posts/pfbid0shocE44xmL2Vp7Tf1bcMpEmtkzJXvuTJnqoAci9tyUQJmP8yW437B7GM7q2rMt3kl")</f>
        <v>https://www.facebook.com/baparticipacion/posts/pfbid0shocE44xmL2Vp7Tf1bcMpEmtkzJXvuTJnqoAci9tyUQJmP8yW437B7GM7q2rMt3kl</v>
      </c>
    </row>
    <row r="777">
      <c r="A777" s="28" t="str">
        <f>IFERROR(__xludf.DUMMYFUNCTION("""COMPUTED_VALUE"""),"2711-MARFESGC")</f>
        <v>2711-MARFESGC</v>
      </c>
      <c r="B777" s="28" t="str">
        <f>IFERROR(__xludf.DUMMYFUNCTION("""COMPUTED_VALUE"""),"Pascuas en plazas y anfiteatros")</f>
        <v>Pascuas en plazas y anfiteatros</v>
      </c>
      <c r="C777" s="29" t="str">
        <f>IFERROR(__xludf.DUMMYFUNCTION("""COMPUTED_VALUE"""),"Pieza")</f>
        <v>Pieza</v>
      </c>
      <c r="D777" s="28" t="str">
        <f>IFERROR(__xludf.DUMMYFUNCTION("""COMPUTED_VALUE"""),"2876-FEBEDUVC")</f>
        <v>2876-FEBEDUVC</v>
      </c>
      <c r="E777" s="28" t="str">
        <f>IFERROR(__xludf.DUMMYFUNCTION("""COMPUTED_VALUE"""),"RDV Mercedes Miguel 22/4 comuna 15")</f>
        <v>RDV Mercedes Miguel 22/4 comuna 15</v>
      </c>
      <c r="F777" s="29" t="str">
        <f>IFERROR(__xludf.DUMMYFUNCTION("""COMPUTED_VALUE"""),"https://www.facebook.com/baparticipacion/posts/pfbid0Fhhy13Y6LkU2Q3Wm5cDG4VYaX1PgEnrdEEetNVL2En6mtQsunAJvqMKkT1xXePNql")</f>
        <v>https://www.facebook.com/baparticipacion/posts/pfbid0Fhhy13Y6LkU2Q3Wm5cDG4VYaX1PgEnrdEEetNVL2En6mtQsunAJvqMKkT1xXePNql</v>
      </c>
    </row>
    <row r="778">
      <c r="A778" s="28" t="str">
        <f>IFERROR(__xludf.DUMMYFUNCTION("""COMPUTED_VALUE"""),"2800-MARJDGVC")</f>
        <v>2800-MARJDGVC</v>
      </c>
      <c r="B778" s="28" t="str">
        <f>IFERROR(__xludf.DUMMYFUNCTION("""COMPUTED_VALUE"""),"RDV MINISTROS | GABRIEL SÁNCHEZ ZINNY 6/4  SAN CRISTOBAL")</f>
        <v>RDV MINISTROS | GABRIEL SÁNCHEZ ZINNY 6/4  SAN CRISTOBAL</v>
      </c>
      <c r="C778" s="29" t="str">
        <f>IFERROR(__xludf.DUMMYFUNCTION("""COMPUTED_VALUE"""),"Pieza")</f>
        <v>Pieza</v>
      </c>
      <c r="D778" s="28" t="str">
        <f>IFERROR(__xludf.DUMMYFUNCTION("""COMPUTED_VALUE"""),"2881-ABRCULVC")</f>
        <v>2881-ABRCULVC</v>
      </c>
      <c r="E778" s="28" t="str">
        <f>IFERROR(__xludf.DUMMYFUNCTION("""COMPUTED_VALUE"""),"RDV MINISTROS | Gabriela Ricardes 22/4 Comuna 14")</f>
        <v>RDV MINISTROS | Gabriela Ricardes 22/4 Comuna 14</v>
      </c>
      <c r="F778" s="29" t="str">
        <f>IFERROR(__xludf.DUMMYFUNCTION("""COMPUTED_VALUE"""),"https://www.facebook.com/baparticipacion/posts/pfbid023kLA75ppgyAUB3JBniZYYWvaAcZEGdPafxcfYGXSZUC7duoVETcQ7eGLZT9WFWk4l")</f>
        <v>https://www.facebook.com/baparticipacion/posts/pfbid023kLA75ppgyAUB3JBniZYYWvaAcZEGdPafxcfYGXSZUC7duoVETcQ7eGLZT9WFWk4l</v>
      </c>
    </row>
    <row r="779">
      <c r="A779" s="28" t="str">
        <f>IFERROR(__xludf.DUMMYFUNCTION("""COMPUTED_VALUE"""),"1895-SEPEPHGC")</f>
        <v>1895-SEPEPHGC</v>
      </c>
      <c r="B779" s="28" t="str">
        <f>IFERROR(__xludf.DUMMYFUNCTION("""COMPUTED_VALUE"""),"PIEZAS M2 | MEPHU | REPAVIMENTACIÓN")</f>
        <v>PIEZAS M2 | MEPHU | REPAVIMENTACIÓN</v>
      </c>
      <c r="C779" s="29" t="str">
        <f>IFERROR(__xludf.DUMMYFUNCTION("""COMPUTED_VALUE"""),"Pieza")</f>
        <v>Pieza</v>
      </c>
      <c r="D779" s="28" t="str">
        <f>IFERROR(__xludf.DUMMYFUNCTION("""COMPUTED_VALUE"""),"2895-ABRAMBGC")</f>
        <v>2895-ABRAMBGC</v>
      </c>
      <c r="E779" s="28" t="str">
        <f>IFERROR(__xludf.DUMMYFUNCTION("""COMPUTED_VALUE"""),"RDV Ministros | Clara Muzzio - 22/4")</f>
        <v>RDV Ministros | Clara Muzzio - 22/4</v>
      </c>
      <c r="F779" s="29" t="str">
        <f>IFERROR(__xludf.DUMMYFUNCTION("""COMPUTED_VALUE"""),"https://www.facebook.com/baparticipacion/posts/pfbid026g3Uz2gbNkm5uvV6VthN6oicMxWbg3GjhLLUX2GDNFuTZHzqY6MqveU9jfBMid9ul")</f>
        <v>https://www.facebook.com/baparticipacion/posts/pfbid026g3Uz2gbNkm5uvV6VthN6oicMxWbg3GjhLLUX2GDNFuTZHzqY6MqveU9jfBMid9ul</v>
      </c>
    </row>
    <row r="780">
      <c r="A780" s="28" t="str">
        <f>IFERROR(__xludf.DUMMYFUNCTION("""COMPUTED_VALUE"""),"2804-ABRSALVC")</f>
        <v>2804-ABRSALVC</v>
      </c>
      <c r="B780" s="28" t="str">
        <f>IFERROR(__xludf.DUMMYFUNCTION("""COMPUTED_VALUE"""),"RDV Ministros | Fernán Quirós 7/4")</f>
        <v>RDV Ministros | Fernán Quirós 7/4</v>
      </c>
      <c r="C780" s="29" t="str">
        <f>IFERROR(__xludf.DUMMYFUNCTION("""COMPUTED_VALUE"""),"Pieza")</f>
        <v>Pieza</v>
      </c>
      <c r="D780" s="28" t="str">
        <f>IFERROR(__xludf.DUMMYFUNCTION("""COMPUTED_VALUE"""),"2874-ABRSEGGJ")</f>
        <v>2874-ABRSEGGJ</v>
      </c>
      <c r="E780" s="28" t="str">
        <f>IFERROR(__xludf.DUMMYFUNCTION("""COMPUTED_VALUE"""),"CAMPAÑA JM + GCBA | SEGURIDAD | Desalojo cuatro propiedades en Constitución")</f>
        <v>CAMPAÑA JM + GCBA | SEGURIDAD | Desalojo cuatro propiedades en Constitución</v>
      </c>
      <c r="F780" s="29" t="str">
        <f>IFERROR(__xludf.DUMMYFUNCTION("""COMPUTED_VALUE"""),"https://www.facebook.com/reel/4417118131938305")</f>
        <v>https://www.facebook.com/reel/4417118131938305</v>
      </c>
    </row>
    <row r="781">
      <c r="A781" s="28" t="str">
        <f>IFERROR(__xludf.DUMMYFUNCTION("""COMPUTED_VALUE"""),"2803-MARJDGAG")</f>
        <v>2803-MARJDGAG</v>
      </c>
      <c r="B781" s="28" t="str">
        <f>IFERROR(__xludf.DUMMYFUNCTION("""COMPUTED_VALUE"""),"RDV JM | 8/4 VILLA CRESPO")</f>
        <v>RDV JM | 8/4 VILLA CRESPO</v>
      </c>
      <c r="C781" s="29" t="str">
        <f>IFERROR(__xludf.DUMMYFUNCTION("""COMPUTED_VALUE"""),"pieza")</f>
        <v>pieza</v>
      </c>
      <c r="D781" s="28" t="str">
        <f>IFERROR(__xludf.DUMMYFUNCTION("""COMPUTED_VALUE"""),"2874-ABRSEGGJ")</f>
        <v>2874-ABRSEGGJ</v>
      </c>
      <c r="E781" s="28" t="str">
        <f>IFERROR(__xludf.DUMMYFUNCTION("""COMPUTED_VALUE"""),"CAMPAÑA JM + GCBA | SEGURIDAD | Desalojo cuatro propiedades en Constitución")</f>
        <v>CAMPAÑA JM + GCBA | SEGURIDAD | Desalojo cuatro propiedades en Constitución</v>
      </c>
      <c r="F781" s="29" t="str">
        <f>IFERROR(__xludf.DUMMYFUNCTION("""COMPUTED_VALUE"""),"https://www.facebook.com/reel/4417118131938305")</f>
        <v>https://www.facebook.com/reel/4417118131938305</v>
      </c>
    </row>
    <row r="782">
      <c r="A782" s="28" t="str">
        <f>IFERROR(__xludf.DUMMYFUNCTION("""COMPUTED_VALUE"""),"2798-MARJDGAG")</f>
        <v>2798-MARJDGAG</v>
      </c>
      <c r="B782" s="28" t="str">
        <f>IFERROR(__xludf.DUMMYFUNCTION("""COMPUTED_VALUE"""),"RDV JM TEMÁTICA | TE CUENTO BS AS 09/04 SALUD EJE OESTE")</f>
        <v>RDV JM TEMÁTICA | TE CUENTO BS AS 09/04 SALUD EJE OESTE</v>
      </c>
      <c r="C782" s="29" t="str">
        <f>IFERROR(__xludf.DUMMYFUNCTION("""COMPUTED_VALUE"""),"Pieza")</f>
        <v>Pieza</v>
      </c>
      <c r="D782" s="28" t="str">
        <f>IFERROR(__xludf.DUMMYFUNCTION("""COMPUTED_VALUE"""),"2874-ABRSEGGJ")</f>
        <v>2874-ABRSEGGJ</v>
      </c>
      <c r="E782" s="28" t="str">
        <f>IFERROR(__xludf.DUMMYFUNCTION("""COMPUTED_VALUE"""),"CAMPAÑA JM + GCBA | SEGURIDAD | Desalojo cuatro propiedades en Constitución")</f>
        <v>CAMPAÑA JM + GCBA | SEGURIDAD | Desalojo cuatro propiedades en Constitución</v>
      </c>
      <c r="F782" s="29" t="str">
        <f>IFERROR(__xludf.DUMMYFUNCTION("""COMPUTED_VALUE"""),"https://www.facebook.com/reel/4417118131938305")</f>
        <v>https://www.facebook.com/reel/4417118131938305</v>
      </c>
    </row>
    <row r="783">
      <c r="A783" s="28" t="str">
        <f>IFERROR(__xludf.DUMMYFUNCTION("""COMPUTED_VALUE"""),"2805-ABRAMBVC")</f>
        <v>2805-ABRAMBVC</v>
      </c>
      <c r="B783" s="28" t="str">
        <f>IFERROR(__xludf.DUMMYFUNCTION("""COMPUTED_VALUE"""),"RDV Ministros | Clara Muzzio 8/4")</f>
        <v>RDV Ministros | Clara Muzzio 8/4</v>
      </c>
      <c r="C783" s="29" t="str">
        <f>IFERROR(__xludf.DUMMYFUNCTION("""COMPUTED_VALUE"""),"Pieza")</f>
        <v>Pieza</v>
      </c>
      <c r="D783" s="28" t="str">
        <f>IFERROR(__xludf.DUMMYFUNCTION("""COMPUTED_VALUE"""),"2841-ABRJDGAG")</f>
        <v>2841-ABRJDGAG</v>
      </c>
      <c r="E783" s="28" t="str">
        <f>IFERROR(__xludf.DUMMYFUNCTION("""COMPUTED_VALUE"""),"RDV JM | 15/4 PARQUE CHACABUCO")</f>
        <v>RDV JM | 15/4 PARQUE CHACABUCO</v>
      </c>
      <c r="F783" s="29" t="str">
        <f>IFERROR(__xludf.DUMMYFUNCTION("""COMPUTED_VALUE"""),"https://www.facebook.com/reel/1480870606821675/")</f>
        <v>https://www.facebook.com/reel/1480870606821675/</v>
      </c>
    </row>
    <row r="784">
      <c r="A784" s="28" t="str">
        <f>IFERROR(__xludf.DUMMYFUNCTION("""COMPUTED_VALUE"""),"2747-MAREPHGC")</f>
        <v>2747-MAREPHGC</v>
      </c>
      <c r="B784" s="28" t="str">
        <f>IFERROR(__xludf.DUMMYFUNCTION("""COMPUTED_VALUE"""),"CAMPAÑA GCBA | MEPHU | CD durante de las obras en Mataderos")</f>
        <v>CAMPAÑA GCBA | MEPHU | CD durante de las obras en Mataderos</v>
      </c>
      <c r="C784" s="29" t="str">
        <f>IFERROR(__xludf.DUMMYFUNCTION("""COMPUTED_VALUE"""),"Pieza")</f>
        <v>Pieza</v>
      </c>
      <c r="D784" s="28" t="str">
        <f>IFERROR(__xludf.DUMMYFUNCTION("""COMPUTED_VALUE"""),"2902-ABRINFGC")</f>
        <v>2902-ABRINFGC</v>
      </c>
      <c r="E784" s="28" t="str">
        <f>IFERROR(__xludf.DUMMYFUNCTION("""COMPUTED_VALUE""")," INFRAESTRUCTURA | Corte AU Perito Moreno desde General Paz por obras")</f>
        <v> INFRAESTRUCTURA | Corte AU Perito Moreno desde General Paz por obras</v>
      </c>
      <c r="F784" s="29" t="str">
        <f>IFERROR(__xludf.DUMMYFUNCTION("""COMPUTED_VALUE"""),"https://fb.me/adspreview/facebook/1U1zeapxpCivxwe")</f>
        <v>https://fb.me/adspreview/facebook/1U1zeapxpCivxwe</v>
      </c>
    </row>
    <row r="785">
      <c r="A785" s="28" t="str">
        <f>IFERROR(__xludf.DUMMYFUNCTION("""COMPUTED_VALUE"""),"2780-MARINFVC")</f>
        <v>2780-MARINFVC</v>
      </c>
      <c r="B785" s="28" t="str">
        <f>IFERROR(__xludf.DUMMYFUNCTION("""COMPUTED_VALUE"""),"RDV MINISTROS | PABLO BERECIARTUA 1/4 COMUNA 12")</f>
        <v>RDV MINISTROS | PABLO BERECIARTUA 1/4 COMUNA 12</v>
      </c>
      <c r="C785" s="29" t="str">
        <f>IFERROR(__xludf.DUMMYFUNCTION("""COMPUTED_VALUE"""),"Pieza")</f>
        <v>Pieza</v>
      </c>
      <c r="D785" s="28" t="str">
        <f>IFERROR(__xludf.DUMMYFUNCTION("""COMPUTED_VALUE"""),"2901-ABRINFGC")</f>
        <v>2901-ABRINFGC</v>
      </c>
      <c r="E785" s="28" t="str">
        <f>IFERROR(__xludf.DUMMYFUNCTION("""COMPUTED_VALUE""")," Infraestructura I Corte AU Illia por obras")</f>
        <v> Infraestructura I Corte AU Illia por obras</v>
      </c>
      <c r="F785" s="29" t="str">
        <f>IFERROR(__xludf.DUMMYFUNCTION("""COMPUTED_VALUE"""),"https://fb.me/adspreview/facebook/28Yf2et3oSUA5wW")</f>
        <v>https://fb.me/adspreview/facebook/28Yf2et3oSUA5wW</v>
      </c>
    </row>
    <row r="786">
      <c r="A786" s="28" t="str">
        <f>IFERROR(__xludf.DUMMYFUNCTION("""COMPUTED_VALUE"""),"1946-SEPEPHGC")</f>
        <v>1946-SEPEPHGC</v>
      </c>
      <c r="B786" s="28" t="str">
        <f>IFERROR(__xludf.DUMMYFUNCTION("""COMPUTED_VALUE"""),"CAMPAÑA GCBA | MEPHU  | PLUVIALES")</f>
        <v>CAMPAÑA GCBA | MEPHU  | PLUVIALES</v>
      </c>
      <c r="C786" s="29" t="str">
        <f>IFERROR(__xludf.DUMMYFUNCTION("""COMPUTED_VALUE"""),"Pieza")</f>
        <v>Pieza</v>
      </c>
      <c r="D786" s="28" t="str">
        <f>IFERROR(__xludf.DUMMYFUNCTION("""COMPUTED_VALUE"""),"2887-ABRJDGGC")</f>
        <v>2887-ABRJDGGC</v>
      </c>
      <c r="E786" s="28" t="str">
        <f>IFERROR(__xludf.DUMMYFUNCTION("""COMPUTED_VALUE"""),"1 A 1 JM | Comuna 15 23/04")</f>
        <v>1 A 1 JM | Comuna 15 23/04</v>
      </c>
      <c r="F786" s="29" t="str">
        <f>IFERROR(__xludf.DUMMYFUNCTION("""COMPUTED_VALUE"""),"https://www.facebook.com/GCBA/posts/pfbid03uqGShkH3wDvPES2L1MKqxUrozrLNQSBWNBChNAwiwT9xs68ezppMcmScRX5Y3VPl")</f>
        <v>https://www.facebook.com/GCBA/posts/pfbid03uqGShkH3wDvPES2L1MKqxUrozrLNQSBWNBChNAwiwT9xs68ezppMcmScRX5Y3VPl</v>
      </c>
    </row>
    <row r="787">
      <c r="A787" s="28" t="str">
        <f>IFERROR(__xludf.DUMMYFUNCTION("""COMPUTED_VALUE"""),"1895-SEPEPHGC")</f>
        <v>1895-SEPEPHGC</v>
      </c>
      <c r="B787" s="28" t="str">
        <f>IFERROR(__xludf.DUMMYFUNCTION("""COMPUTED_VALUE"""),"PIEZAS M2 | MEPHU | REPAVIMENTACIÓN")</f>
        <v>PIEZAS M2 | MEPHU | REPAVIMENTACIÓN</v>
      </c>
      <c r="C787" s="29" t="str">
        <f>IFERROR(__xludf.DUMMYFUNCTION("""COMPUTED_VALUE"""),"Pieza")</f>
        <v>Pieza</v>
      </c>
      <c r="D787" s="28" t="str">
        <f>IFERROR(__xludf.DUMMYFUNCTION("""COMPUTED_VALUE"""),"2904-ABRDIGCG")</f>
        <v>2904-ABRDIGCG</v>
      </c>
      <c r="E787" s="28" t="str">
        <f>IFERROR(__xludf.DUMMYFUNCTION("""COMPUTED_VALUE"""),"Centro de Control Inteligente de Autopistas")</f>
        <v>Centro de Control Inteligente de Autopistas</v>
      </c>
      <c r="F787" s="29" t="str">
        <f>IFERROR(__xludf.DUMMYFUNCTION("""COMPUTED_VALUE"""),"https://www.facebook.com/reel/1524051432758941")</f>
        <v>https://www.facebook.com/reel/1524051432758941</v>
      </c>
    </row>
    <row r="788">
      <c r="A788" s="28" t="str">
        <f>IFERROR(__xludf.DUMMYFUNCTION("""COMPUTED_VALUE"""),"1896-SEPEPHGC")</f>
        <v>1896-SEPEPHGC</v>
      </c>
      <c r="B788" s="28" t="str">
        <f>IFERROR(__xludf.DUMMYFUNCTION("""COMPUTED_VALUE"""),"PIEZAS M2 | MEPHU | LIMPIEZA INTENSIVA")</f>
        <v>PIEZAS M2 | MEPHU | LIMPIEZA INTENSIVA</v>
      </c>
      <c r="C788" s="29" t="str">
        <f>IFERROR(__xludf.DUMMYFUNCTION("""COMPUTED_VALUE"""),"Pieza")</f>
        <v>Pieza</v>
      </c>
      <c r="D788" s="28" t="str">
        <f>IFERROR(__xludf.DUMMYFUNCTION("""COMPUTED_VALUE"""),"2904-ABRDIGCG")</f>
        <v>2904-ABRDIGCG</v>
      </c>
      <c r="E788" s="28" t="str">
        <f>IFERROR(__xludf.DUMMYFUNCTION("""COMPUTED_VALUE"""),"Centro de Control Inteligente de Autopistas")</f>
        <v>Centro de Control Inteligente de Autopistas</v>
      </c>
      <c r="F788" s="29" t="str">
        <f>IFERROR(__xludf.DUMMYFUNCTION("""COMPUTED_VALUE"""),"https://www.facebook.com/reel/1524051432758941")</f>
        <v>https://www.facebook.com/reel/1524051432758941</v>
      </c>
    </row>
    <row r="789">
      <c r="A789" s="28" t="str">
        <f>IFERROR(__xludf.DUMMYFUNCTION("""COMPUTED_VALUE"""),"2781-MARJDGVC")</f>
        <v>2781-MARJDGVC</v>
      </c>
      <c r="B789" s="28" t="str">
        <f>IFERROR(__xludf.DUMMYFUNCTION("""COMPUTED_VALUE"""),"RDV MINISTROS | GABRIEL SÁNCHEZ ZINNY 1/4  MONTSERRAT")</f>
        <v>RDV MINISTROS | GABRIEL SÁNCHEZ ZINNY 1/4  MONTSERRAT</v>
      </c>
      <c r="C789" s="29" t="str">
        <f>IFERROR(__xludf.DUMMYFUNCTION("""COMPUTED_VALUE"""),"Pieza")</f>
        <v>Pieza</v>
      </c>
      <c r="D789" s="28" t="str">
        <f>IFERROR(__xludf.DUMMYFUNCTION("""COMPUTED_VALUE"""),"2815-ABRCULGC")</f>
        <v>2815-ABRCULGC</v>
      </c>
      <c r="E789" s="28" t="str">
        <f>IFERROR(__xludf.DUMMYFUNCTION("""COMPUTED_VALUE"""),"Feria del Libro 2026")</f>
        <v>Feria del Libro 2026</v>
      </c>
      <c r="F789" s="29" t="str">
        <f>IFERROR(__xludf.DUMMYFUNCTION("""COMPUTED_VALUE"""),"https://www.facebook.com/reel/1004337665882718")</f>
        <v>https://www.facebook.com/reel/1004337665882718</v>
      </c>
    </row>
    <row r="790">
      <c r="A790" s="28" t="str">
        <f>IFERROR(__xludf.DUMMYFUNCTION("""COMPUTED_VALUE"""),"2800-MARJDGVC")</f>
        <v>2800-MARJDGVC</v>
      </c>
      <c r="B790" s="28" t="str">
        <f>IFERROR(__xludf.DUMMYFUNCTION("""COMPUTED_VALUE"""),"RDV MINISTROS | GABRIEL SÁNCHEZ ZINNY 6/4  SAN CRISTOBAL")</f>
        <v>RDV MINISTROS | GABRIEL SÁNCHEZ ZINNY 6/4  SAN CRISTOBAL</v>
      </c>
      <c r="C790" s="29" t="str">
        <f>IFERROR(__xludf.DUMMYFUNCTION("""COMPUTED_VALUE"""),"Pieza")</f>
        <v>Pieza</v>
      </c>
      <c r="D790" s="28" t="str">
        <f>IFERROR(__xludf.DUMMYFUNCTION("""COMPUTED_VALUE"""),"2905-ABRJDGAG")</f>
        <v>2905-ABRJDGAG</v>
      </c>
      <c r="E790" s="28" t="str">
        <f>IFERROR(__xludf.DUMMYFUNCTION("""COMPUTED_VALUE"""),"RDV JM | 24/4 BALVANERA")</f>
        <v>RDV JM | 24/4 BALVANERA</v>
      </c>
      <c r="F790" s="29" t="str">
        <f>IFERROR(__xludf.DUMMYFUNCTION("""COMPUTED_VALUE"""),"https://www.facebook.com/reel/1993562261536011")</f>
        <v>https://www.facebook.com/reel/1993562261536011</v>
      </c>
    </row>
    <row r="791">
      <c r="A791" s="28" t="str">
        <f>IFERROR(__xludf.DUMMYFUNCTION("""COMPUTED_VALUE"""),"2799-MARPCCVC")</f>
        <v>2799-MARPCCVC</v>
      </c>
      <c r="B791" s="28" t="str">
        <f>IFERROR(__xludf.DUMMYFUNCTION("""COMPUTED_VALUE"""),"Puesta en valor Club Soldati")</f>
        <v>Puesta en valor Club Soldati</v>
      </c>
      <c r="C791" s="29" t="str">
        <f>IFERROR(__xludf.DUMMYFUNCTION("""COMPUTED_VALUE"""),"Pieza")</f>
        <v>Pieza</v>
      </c>
      <c r="D791" s="28" t="str">
        <f>IFERROR(__xludf.DUMMYFUNCTION("""COMPUTED_VALUE"""),"2815-ABRCULGC")</f>
        <v>2815-ABRCULGC</v>
      </c>
      <c r="E791" s="28" t="str">
        <f>IFERROR(__xludf.DUMMYFUNCTION("""COMPUTED_VALUE"""),"Feria del Libro 2026")</f>
        <v>Feria del Libro 2026</v>
      </c>
      <c r="F791" s="29" t="str">
        <f>IFERROR(__xludf.DUMMYFUNCTION("""COMPUTED_VALUE"""),"https://www.facebook.com/reel/1004337665882718")</f>
        <v>https://www.facebook.com/reel/1004337665882718</v>
      </c>
    </row>
    <row r="792">
      <c r="A792" s="28" t="str">
        <f>IFERROR(__xludf.DUMMYFUNCTION("""COMPUTED_VALUE"""),"2806-ABRSEGVC")</f>
        <v>2806-ABRSEGVC</v>
      </c>
      <c r="B792" s="28" t="str">
        <f>IFERROR(__xludf.DUMMYFUNCTION("""COMPUTED_VALUE"""),"RDV Ministros | Ruth Landerreche 9/4 Comuna 1 Norte")</f>
        <v>RDV Ministros | Ruth Landerreche 9/4 Comuna 1 Norte</v>
      </c>
      <c r="C792" s="29" t="str">
        <f>IFERROR(__xludf.DUMMYFUNCTION("""COMPUTED_VALUE"""),"Pieza")</f>
        <v>Pieza</v>
      </c>
      <c r="D792" s="28" t="str">
        <f>IFERROR(__xludf.DUMMYFUNCTION("""COMPUTED_VALUE"""),"2884-ABRSEGVC")</f>
        <v>2884-ABRSEGVC</v>
      </c>
      <c r="E792" s="28" t="str">
        <f>IFERROR(__xludf.DUMMYFUNCTION("""COMPUTED_VALUE"""),"RDV MINISTROS | Horacio Giménez 23/4 Comuna 10")</f>
        <v>RDV MINISTROS | Horacio Giménez 23/4 Comuna 10</v>
      </c>
      <c r="F792" s="29" t="str">
        <f>IFERROR(__xludf.DUMMYFUNCTION("""COMPUTED_VALUE"""),"https://www.facebook.com/baparticipacion/posts/pfbid02eHMU8DRFv5G7uj3fSY81NkcpYcFi9JTxfeNqhYnvkBPVgfv5NXU5kdufEvM2rof3l")</f>
        <v>https://www.facebook.com/baparticipacion/posts/pfbid02eHMU8DRFv5G7uj3fSY81NkcpYcFi9JTxfeNqhYnvkBPVgfv5NXU5kdufEvM2rof3l</v>
      </c>
    </row>
    <row r="793">
      <c r="A793" s="28" t="str">
        <f>IFERROR(__xludf.DUMMYFUNCTION("""COMPUTED_VALUE"""),"2801-MARSEGVC")</f>
        <v>2801-MARSEGVC</v>
      </c>
      <c r="B793" s="28" t="str">
        <f>IFERROR(__xludf.DUMMYFUNCTION("""COMPUTED_VALUE"""),"RDV MINISTROS | Gabriela Ricardes 7/4 Comuna 10")</f>
        <v>RDV MINISTROS | Gabriela Ricardes 7/4 Comuna 10</v>
      </c>
      <c r="C793" s="29" t="str">
        <f>IFERROR(__xludf.DUMMYFUNCTION("""COMPUTED_VALUE"""),"Pieza")</f>
        <v>Pieza</v>
      </c>
      <c r="D793" s="28" t="str">
        <f>IFERROR(__xludf.DUMMYFUNCTION("""COMPUTED_VALUE"""),"2883-ABRSEGVC")</f>
        <v>2883-ABRSEGVC</v>
      </c>
      <c r="E793" s="28" t="str">
        <f>IFERROR(__xludf.DUMMYFUNCTION("""COMPUTED_VALUE"""),"RDV MINISTROS | Maximiliano Piñeiro 23/4 Comuna 9")</f>
        <v>RDV MINISTROS | Maximiliano Piñeiro 23/4 Comuna 9</v>
      </c>
      <c r="F793" s="29" t="str">
        <f>IFERROR(__xludf.DUMMYFUNCTION("""COMPUTED_VALUE"""),"https://www.facebook.com/baparticipacion/posts/pfbid02yG5kr92pnz4PNTvonpNcoGVwjaaR1Nrpx57TxisAnuiWH4bComAFZDpSEKbgBcwql")</f>
        <v>https://www.facebook.com/baparticipacion/posts/pfbid02yG5kr92pnz4PNTvonpNcoGVwjaaR1Nrpx57TxisAnuiWH4bComAFZDpSEKbgBcwql</v>
      </c>
    </row>
    <row r="794">
      <c r="A794" s="28" t="str">
        <f>IFERROR(__xludf.DUMMYFUNCTION("""COMPUTED_VALUE"""),"2807-ABRSEGVC")</f>
        <v>2807-ABRSEGVC</v>
      </c>
      <c r="B794" s="28" t="str">
        <f>IFERROR(__xludf.DUMMYFUNCTION("""COMPUTED_VALUE"""),"RDV Ministros | Gabino Tapia  9/4 Comuna 1 Sur")</f>
        <v>RDV Ministros | Gabino Tapia  9/4 Comuna 1 Sur</v>
      </c>
      <c r="C794" s="29" t="str">
        <f>IFERROR(__xludf.DUMMYFUNCTION("""COMPUTED_VALUE"""),"Pieza")</f>
        <v>Pieza</v>
      </c>
      <c r="D794" s="28" t="str">
        <f>IFERROR(__xludf.DUMMYFUNCTION("""COMPUTED_VALUE"""),"2882-ABRSEGVC")</f>
        <v>2882-ABRSEGVC</v>
      </c>
      <c r="E794" s="28" t="str">
        <f>IFERROR(__xludf.DUMMYFUNCTION("""COMPUTED_VALUE"""),"RDV MINISTROS | Ruth Landerreche 23/4 Comuna 8")</f>
        <v>RDV MINISTROS | Ruth Landerreche 23/4 Comuna 8</v>
      </c>
      <c r="F794" s="29" t="str">
        <f>IFERROR(__xludf.DUMMYFUNCTION("""COMPUTED_VALUE"""),"https://www.facebook.com/baparticipacion/posts/pfbid02nk9JT1CS1a3bwqK9m4xA2WAJPiPVaUrd6moFywPNX5UVzJ31Y1z7mZVRDeT3Tshcl")</f>
        <v>https://www.facebook.com/baparticipacion/posts/pfbid02nk9JT1CS1a3bwqK9m4xA2WAJPiPVaUrd6moFywPNX5UVzJ31Y1z7mZVRDeT3Tshcl</v>
      </c>
    </row>
    <row r="795">
      <c r="A795" s="28" t="str">
        <f>IFERROR(__xludf.DUMMYFUNCTION("""COMPUTED_VALUE"""),"2810-ABRSEGVC")</f>
        <v>2810-ABRSEGVC</v>
      </c>
      <c r="B795" s="28" t="str">
        <f>IFERROR(__xludf.DUMMYFUNCTION("""COMPUTED_VALUE"""),"RDV Ministros | Horacio Giménez 9/4 Comuna 3")</f>
        <v>RDV Ministros | Horacio Giménez 9/4 Comuna 3</v>
      </c>
      <c r="C795" s="29" t="str">
        <f>IFERROR(__xludf.DUMMYFUNCTION("""COMPUTED_VALUE"""),"Pieza")</f>
        <v>Pieza</v>
      </c>
      <c r="D795" s="28" t="str">
        <f>IFERROR(__xludf.DUMMYFUNCTION("""COMPUTED_VALUE"""),"2885-ABRSEGVC")</f>
        <v>2885-ABRSEGVC</v>
      </c>
      <c r="E795" s="28" t="str">
        <f>IFERROR(__xludf.DUMMYFUNCTION("""COMPUTED_VALUE"""),"RDV MINISTROS | Francisco Quintana 23/4 Comuna 11")</f>
        <v>RDV MINISTROS | Francisco Quintana 23/4 Comuna 11</v>
      </c>
      <c r="F795" s="29" t="str">
        <f>IFERROR(__xludf.DUMMYFUNCTION("""COMPUTED_VALUE"""),"https://www.facebook.com/baparticipacion/posts/pfbid02Be94pfg4R6beCoTSePetEMVwLBbqTFd7CU3H6VoGozETniqhyxCakokCAeFUihLAl")</f>
        <v>https://www.facebook.com/baparticipacion/posts/pfbid02Be94pfg4R6beCoTSePetEMVwLBbqTFd7CU3H6VoGozETniqhyxCakokCAeFUihLAl</v>
      </c>
    </row>
    <row r="796">
      <c r="A796" s="28" t="str">
        <f>IFERROR(__xludf.DUMMYFUNCTION("""COMPUTED_VALUE"""),"1964-SEPEPHGC")</f>
        <v>1964-SEPEPHGC</v>
      </c>
      <c r="B796" s="28" t="str">
        <f>IFERROR(__xludf.DUMMYFUNCTION("""COMPUTED_VALUE"""),"MEPHU RECAMBIO TECNOLÓGICO M2")</f>
        <v>MEPHU RECAMBIO TECNOLÓGICO M2</v>
      </c>
      <c r="C796" s="29" t="str">
        <f>IFERROR(__xludf.DUMMYFUNCTION("""COMPUTED_VALUE"""),"Pieza")</f>
        <v>Pieza</v>
      </c>
      <c r="D796" s="28" t="str">
        <f>IFERROR(__xludf.DUMMYFUNCTION("""COMPUTED_VALUE"""),"2812-ABRINFGC")</f>
        <v>2812-ABRINFGC</v>
      </c>
      <c r="E796" s="28" t="str">
        <f>IFERROR(__xludf.DUMMYFUNCTION("""COMPUTED_VALUE""")," Infraestructura | Inicio de obra: calle Brigadier Quiroga")</f>
        <v> Infraestructura | Inicio de obra: calle Brigadier Quiroga</v>
      </c>
      <c r="F796" s="29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797">
      <c r="A797" s="28" t="str">
        <f>IFERROR(__xludf.DUMMYFUNCTION("""COMPUTED_VALUE"""),"1942-SEPEPHGC")</f>
        <v>1942-SEPEPHGC</v>
      </c>
      <c r="B797" s="28" t="str">
        <f>IFERROR(__xludf.DUMMYFUNCTION("""COMPUTED_VALUE"""),"DGPLES | MEPHU  | REPARACIÓN DE VEREDAS")</f>
        <v>DGPLES | MEPHU  | REPARACIÓN DE VEREDAS</v>
      </c>
      <c r="C797" s="29" t="str">
        <f>IFERROR(__xludf.DUMMYFUNCTION("""COMPUTED_VALUE"""),"Pieza")</f>
        <v>Pieza</v>
      </c>
      <c r="D797" s="28" t="str">
        <f>IFERROR(__xludf.DUMMYFUNCTION("""COMPUTED_VALUE"""),"2812-ABRINFGC")</f>
        <v>2812-ABRINFGC</v>
      </c>
      <c r="E797" s="28" t="str">
        <f>IFERROR(__xludf.DUMMYFUNCTION("""COMPUTED_VALUE""")," Infraestructura | Inicio de obra: calle Brigadier Quiroga")</f>
        <v> Infraestructura | Inicio de obra: calle Brigadier Quiroga</v>
      </c>
      <c r="F797" s="29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798">
      <c r="A798" s="28" t="str">
        <f>IFERROR(__xludf.DUMMYFUNCTION("""COMPUTED_VALUE"""),"1946-SEPEPHGC")</f>
        <v>1946-SEPEPHGC</v>
      </c>
      <c r="B798" s="28" t="str">
        <f>IFERROR(__xludf.DUMMYFUNCTION("""COMPUTED_VALUE"""),"CAMPAÑA GCBA | MEPHU  | PLUVIALES")</f>
        <v>CAMPAÑA GCBA | MEPHU  | PLUVIALES</v>
      </c>
      <c r="C798" s="29" t="str">
        <f>IFERROR(__xludf.DUMMYFUNCTION("""COMPUTED_VALUE"""),"Pieza")</f>
        <v>Pieza</v>
      </c>
      <c r="D798" s="28" t="str">
        <f>IFERROR(__xludf.DUMMYFUNCTION("""COMPUTED_VALUE"""),"2812-ABRINFGC")</f>
        <v>2812-ABRINFGC</v>
      </c>
      <c r="E798" s="28" t="str">
        <f>IFERROR(__xludf.DUMMYFUNCTION("""COMPUTED_VALUE""")," Infraestructura | Inicio de obra: calle Brigadier Quiroga")</f>
        <v> Infraestructura | Inicio de obra: calle Brigadier Quiroga</v>
      </c>
      <c r="F798" s="29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799">
      <c r="A799" s="28" t="str">
        <f>IFERROR(__xludf.DUMMYFUNCTION("""COMPUTED_VALUE"""),"2804-ABRSALVC")</f>
        <v>2804-ABRSALVC</v>
      </c>
      <c r="B799" s="28" t="str">
        <f>IFERROR(__xludf.DUMMYFUNCTION("""COMPUTED_VALUE"""),"RDV Ministros | Fernán Quirós 7/4")</f>
        <v>RDV Ministros | Fernán Quirós 7/4</v>
      </c>
      <c r="C799" s="29" t="str">
        <f>IFERROR(__xludf.DUMMYFUNCTION("""COMPUTED_VALUE"""),"Pieza")</f>
        <v>Pieza</v>
      </c>
      <c r="D799" s="28" t="str">
        <f>IFERROR(__xludf.DUMMYFUNCTION("""COMPUTED_VALUE"""),"2322-NOVEDUGC")</f>
        <v>2322-NOVEDUGC</v>
      </c>
      <c r="E799" s="28" t="str">
        <f>IFERROR(__xludf.DUMMYFUNCTION("""COMPUTED_VALUE"""),"TUMO Parque de la Innovación")</f>
        <v>TUMO Parque de la Innovación</v>
      </c>
      <c r="F799" s="29" t="str">
        <f>IFERROR(__xludf.DUMMYFUNCTION("""COMPUTED_VALUE"""),"https://www.facebook.com/reel/1259490412867632")</f>
        <v>https://www.facebook.com/reel/1259490412867632</v>
      </c>
    </row>
    <row r="800">
      <c r="A800" s="28" t="str">
        <f>IFERROR(__xludf.DUMMYFUNCTION("""COMPUTED_VALUE"""),"2808-ABRSEGVC")</f>
        <v>2808-ABRSEGVC</v>
      </c>
      <c r="B800" s="28" t="str">
        <f>IFERROR(__xludf.DUMMYFUNCTION("""COMPUTED_VALUE"""),"RDV Ministros | Maximilia Piñeiro 9/4 Comuna 2")</f>
        <v>RDV Ministros | Maximilia Piñeiro 9/4 Comuna 2</v>
      </c>
      <c r="C800" s="29" t="str">
        <f>IFERROR(__xludf.DUMMYFUNCTION("""COMPUTED_VALUE"""),"Pieza")</f>
        <v>Pieza</v>
      </c>
      <c r="D800" s="28" t="str">
        <f>IFERROR(__xludf.DUMMYFUNCTION("""COMPUTED_VALUE"""),"2322-NOVEDUGC")</f>
        <v>2322-NOVEDUGC</v>
      </c>
      <c r="E800" s="28" t="str">
        <f>IFERROR(__xludf.DUMMYFUNCTION("""COMPUTED_VALUE"""),"TUMO Parque de la Innovación")</f>
        <v>TUMO Parque de la Innovación</v>
      </c>
      <c r="F800" s="29" t="str">
        <f>IFERROR(__xludf.DUMMYFUNCTION("""COMPUTED_VALUE"""),"https://www.facebook.com/reel/1259490412867632")</f>
        <v>https://www.facebook.com/reel/1259490412867632</v>
      </c>
    </row>
    <row r="801">
      <c r="A801" s="28" t="str">
        <f>IFERROR(__xludf.DUMMYFUNCTION("""COMPUTED_VALUE"""),"2798-MARJDGAG")</f>
        <v>2798-MARJDGAG</v>
      </c>
      <c r="B801" s="28" t="str">
        <f>IFERROR(__xludf.DUMMYFUNCTION("""COMPUTED_VALUE"""),"RDV JM TEMÁTICA | TE CUENTO BS AS 09/04 SALUD EJE OESTE")</f>
        <v>RDV JM TEMÁTICA | TE CUENTO BS AS 09/04 SALUD EJE OESTE</v>
      </c>
      <c r="C801" s="29" t="str">
        <f>IFERROR(__xludf.DUMMYFUNCTION("""COMPUTED_VALUE"""),"Pieza")</f>
        <v>Pieza</v>
      </c>
      <c r="D801" s="28" t="str">
        <f>IFERROR(__xludf.DUMMYFUNCTION("""COMPUTED_VALUE"""),"1871-AGOEDUGC")</f>
        <v>1871-AGOEDUGC</v>
      </c>
      <c r="E801" s="28" t="str">
        <f>IFERROR(__xludf.DUMMYFUNCTION("""COMPUTED_VALUE"""),"Campaña GCBA | Educación | TUMO")</f>
        <v>Campaña GCBA | Educación | TUMO</v>
      </c>
      <c r="F801" s="29" t="str">
        <f>IFERROR(__xludf.DUMMYFUNCTION("""COMPUTED_VALUE"""),"https://www.facebook.com/reel/818777800864033")</f>
        <v>https://www.facebook.com/reel/818777800864033</v>
      </c>
    </row>
    <row r="802">
      <c r="A802" s="28" t="str">
        <f>IFERROR(__xludf.DUMMYFUNCTION("""COMPUTED_VALUE"""),"2798-MARJDGAG")</f>
        <v>2798-MARJDGAG</v>
      </c>
      <c r="B802" s="28" t="str">
        <f>IFERROR(__xludf.DUMMYFUNCTION("""COMPUTED_VALUE"""),"RDV JM TEMÁTICA | TE CUENTO BS AS 09/04 SALUD EJE OESTE")</f>
        <v>RDV JM TEMÁTICA | TE CUENTO BS AS 09/04 SALUD EJE OESTE</v>
      </c>
      <c r="C802" s="29" t="str">
        <f>IFERROR(__xludf.DUMMYFUNCTION("""COMPUTED_VALUE"""),"Pieza")</f>
        <v>Pieza</v>
      </c>
      <c r="D802" s="28" t="str">
        <f>IFERROR(__xludf.DUMMYFUNCTION("""COMPUTED_VALUE"""),"1871-AGOEDUGC")</f>
        <v>1871-AGOEDUGC</v>
      </c>
      <c r="E802" s="28" t="str">
        <f>IFERROR(__xludf.DUMMYFUNCTION("""COMPUTED_VALUE"""),"Campaña GCBA | Educación | TUMO")</f>
        <v>Campaña GCBA | Educación | TUMO</v>
      </c>
      <c r="F802" s="29" t="str">
        <f>IFERROR(__xludf.DUMMYFUNCTION("""COMPUTED_VALUE"""),"https://www.facebook.com/reel/818777800864033")</f>
        <v>https://www.facebook.com/reel/818777800864033</v>
      </c>
    </row>
    <row r="803">
      <c r="A803" s="28" t="str">
        <f>IFERROR(__xludf.DUMMYFUNCTION("""COMPUTED_VALUE"""),"2817-ABRAMBVC")</f>
        <v>2817-ABRAMBVC</v>
      </c>
      <c r="B803" s="28" t="str">
        <f>IFERROR(__xludf.DUMMYFUNCTION("""COMPUTED_VALUE"""),"Alta Interna | RDV Ministros | Clara Muzzio - Reunión Temática - 10/4")</f>
        <v>Alta Interna | RDV Ministros | Clara Muzzio - Reunión Temática - 10/4</v>
      </c>
      <c r="C803" s="29" t="str">
        <f>IFERROR(__xludf.DUMMYFUNCTION("""COMPUTED_VALUE"""),"Pieza")</f>
        <v>Pieza</v>
      </c>
      <c r="D803" s="28" t="str">
        <f>IFERROR(__xludf.DUMMYFUNCTION("""COMPUTED_VALUE"""),"1871-AGOEDUGC")</f>
        <v>1871-AGOEDUGC</v>
      </c>
      <c r="E803" s="28" t="str">
        <f>IFERROR(__xludf.DUMMYFUNCTION("""COMPUTED_VALUE"""),"Campaña GCBA | Educación | TUMO")</f>
        <v>Campaña GCBA | Educación | TUMO</v>
      </c>
      <c r="F803" s="29" t="str">
        <f>IFERROR(__xludf.DUMMYFUNCTION("""COMPUTED_VALUE"""),"https://www.facebook.com/reel/818777800864033")</f>
        <v>https://www.facebook.com/reel/818777800864033</v>
      </c>
    </row>
    <row r="804">
      <c r="A804" s="28" t="str">
        <f>IFERROR(__xludf.DUMMYFUNCTION("""COMPUTED_VALUE"""),"2738-MARCULGC")</f>
        <v>2738-MARCULGC</v>
      </c>
      <c r="B804" s="28" t="str">
        <f>IFERROR(__xludf.DUMMYFUNCTION("""COMPUTED_VALUE"""),"Bafici 2026")</f>
        <v>Bafici 2026</v>
      </c>
      <c r="C804" s="29" t="str">
        <f>IFERROR(__xludf.DUMMYFUNCTION("""COMPUTED_VALUE"""),"Pieza")</f>
        <v>Pieza</v>
      </c>
      <c r="D804" s="28" t="str">
        <f>IFERROR(__xludf.DUMMYFUNCTION("""COMPUTED_VALUE"""),"1871-AGOEDUGC")</f>
        <v>1871-AGOEDUGC</v>
      </c>
      <c r="E804" s="28" t="str">
        <f>IFERROR(__xludf.DUMMYFUNCTION("""COMPUTED_VALUE"""),"Campaña GCBA | Educación | TUMO")</f>
        <v>Campaña GCBA | Educación | TUMO</v>
      </c>
      <c r="F804" s="29" t="str">
        <f>IFERROR(__xludf.DUMMYFUNCTION("""COMPUTED_VALUE"""),"https://www.facebook.com/reel/818777800864033")</f>
        <v>https://www.facebook.com/reel/818777800864033</v>
      </c>
    </row>
    <row r="805">
      <c r="A805" s="28" t="str">
        <f>IFERROR(__xludf.DUMMYFUNCTION("""COMPUTED_VALUE"""),"2763-MARJDGAG")</f>
        <v>2763-MARJDGAG</v>
      </c>
      <c r="B805" s="28" t="str">
        <f>IFERROR(__xludf.DUMMYFUNCTION("""COMPUTED_VALUE"""),"RDV JM TEMÁTICA | TE CUENTO BS AS 26/03 MOVILIDAD EJE SUR")</f>
        <v>RDV JM TEMÁTICA | TE CUENTO BS AS 26/03 MOVILIDAD EJE SUR</v>
      </c>
      <c r="C805" s="29" t="str">
        <f>IFERROR(__xludf.DUMMYFUNCTION("""COMPUTED_VALUE"""),"Pieza")</f>
        <v>Pieza</v>
      </c>
      <c r="D805" s="28" t="str">
        <f>IFERROR(__xludf.DUMMYFUNCTION("""COMPUTED_VALUE"""),"1871-AGOEDUGC")</f>
        <v>1871-AGOEDUGC</v>
      </c>
      <c r="E805" s="28" t="str">
        <f>IFERROR(__xludf.DUMMYFUNCTION("""COMPUTED_VALUE"""),"Campaña GCBA | Educación | TUMO")</f>
        <v>Campaña GCBA | Educación | TUMO</v>
      </c>
      <c r="F805" s="29" t="str">
        <f>IFERROR(__xludf.DUMMYFUNCTION("""COMPUTED_VALUE"""),"https://www.facebook.com/reel/818777800864033")</f>
        <v>https://www.facebook.com/reel/818777800864033</v>
      </c>
    </row>
    <row r="806">
      <c r="A806" s="28" t="str">
        <f>IFERROR(__xludf.DUMMYFUNCTION("""COMPUTED_VALUE"""),"2759-MARCULGC")</f>
        <v>2759-MARCULGC</v>
      </c>
      <c r="B806" s="28" t="str">
        <f>IFERROR(__xludf.DUMMYFUNCTION("""COMPUTED_VALUE"""),"Entradas a charla de John Malkovich")</f>
        <v>Entradas a charla de John Malkovich</v>
      </c>
      <c r="C806" s="29" t="str">
        <f>IFERROR(__xludf.DUMMYFUNCTION("""COMPUTED_VALUE"""),"Pieza")</f>
        <v>Pieza</v>
      </c>
      <c r="D806" s="28" t="str">
        <f>IFERROR(__xludf.DUMMYFUNCTION("""COMPUTED_VALUE"""),"1871-AGOEDUGC")</f>
        <v>1871-AGOEDUGC</v>
      </c>
      <c r="E806" s="28" t="str">
        <f>IFERROR(__xludf.DUMMYFUNCTION("""COMPUTED_VALUE"""),"Campaña GCBA | Educación | TUMO")</f>
        <v>Campaña GCBA | Educación | TUMO</v>
      </c>
      <c r="F806" s="29" t="str">
        <f>IFERROR(__xludf.DUMMYFUNCTION("""COMPUTED_VALUE"""),"https://www.facebook.com/reel/818777800864033")</f>
        <v>https://www.facebook.com/reel/818777800864033</v>
      </c>
    </row>
    <row r="807">
      <c r="A807" s="28" t="str">
        <f>IFERROR(__xludf.DUMMYFUNCTION("""COMPUTED_VALUE"""),"2800-MARJDGVC")</f>
        <v>2800-MARJDGVC</v>
      </c>
      <c r="B807" s="28" t="str">
        <f>IFERROR(__xludf.DUMMYFUNCTION("""COMPUTED_VALUE"""),"RDV MINISTROS | GABRIEL SÁNCHEZ ZINNY 6/4  SAN CRISTOBAL")</f>
        <v>RDV MINISTROS | GABRIEL SÁNCHEZ ZINNY 6/4  SAN CRISTOBAL</v>
      </c>
      <c r="C807" s="29" t="str">
        <f>IFERROR(__xludf.DUMMYFUNCTION("""COMPUTED_VALUE"""),"Pieza")</f>
        <v>Pieza</v>
      </c>
      <c r="D807" s="28" t="str">
        <f>IFERROR(__xludf.DUMMYFUNCTION("""COMPUTED_VALUE"""),"2880-ABRJDGVC")</f>
        <v>2880-ABRJDGVC</v>
      </c>
      <c r="E807" s="28" t="str">
        <f>IFERROR(__xludf.DUMMYFUNCTION("""COMPUTED_VALUE"""),"RDV MINISTROS | GABRIEL SÁNCHEZ ZINNY 24/4  BELGRANO")</f>
        <v>RDV MINISTROS | GABRIEL SÁNCHEZ ZINNY 24/4  BELGRANO</v>
      </c>
      <c r="F807" s="29" t="str">
        <f>IFERROR(__xludf.DUMMYFUNCTION("""COMPUTED_VALUE"""),"https://www.facebook.com/baparticipacion/posts/pfbid02RfD5oXgA8P3q6zwVkAp9uJLa6fSFfvvACB7em7W2hGYtZzw9idT2qE5zVd4nGrkfl")</f>
        <v>https://www.facebook.com/baparticipacion/posts/pfbid02RfD5oXgA8P3q6zwVkAp9uJLa6fSFfvvACB7em7W2hGYtZzw9idT2qE5zVd4nGrkfl</v>
      </c>
    </row>
    <row r="808">
      <c r="A808" s="28" t="str">
        <f>IFERROR(__xludf.DUMMYFUNCTION("""COMPUTED_VALUE"""),"1946-SEPEPHGC")</f>
        <v>1946-SEPEPHGC</v>
      </c>
      <c r="B808" s="28" t="str">
        <f>IFERROR(__xludf.DUMMYFUNCTION("""COMPUTED_VALUE"""),"CAMPAÑA GCBA | MEPHU  | PLUVIALES")</f>
        <v>CAMPAÑA GCBA | MEPHU  | PLUVIALES</v>
      </c>
      <c r="C808" s="29" t="str">
        <f>IFERROR(__xludf.DUMMYFUNCTION("""COMPUTED_VALUE"""),"Pieza")</f>
        <v>Pieza</v>
      </c>
      <c r="D808" s="28" t="str">
        <f>IFERROR(__xludf.DUMMYFUNCTION("""COMPUTED_VALUE"""),"2852-ABRINFGC")</f>
        <v>2852-ABRINFGC</v>
      </c>
      <c r="E808" s="28" t="str">
        <f>IFERROR(__xludf.DUMMYFUNCTION("""COMPUTED_VALUE"""),"INFRAESTRUCTURA | Cortes y desvíos por Evento Colapinto")</f>
        <v>INFRAESTRUCTURA | Cortes y desvíos por Evento Colapinto</v>
      </c>
      <c r="F808" s="29" t="str">
        <f>IFERROR(__xludf.DUMMYFUNCTION("""COMPUTED_VALUE"""),"https://www.facebook.com/GCBA/posts/pfbid0vT9BjkE9FtvnueXVa8bYmHyqadrpFHMZciLcgCAjaEUKTjCNojm5Do5ioaeMxA3Hl")</f>
        <v>https://www.facebook.com/GCBA/posts/pfbid0vT9BjkE9FtvnueXVa8bYmHyqadrpFHMZciLcgCAjaEUKTjCNojm5Do5ioaeMxA3Hl</v>
      </c>
    </row>
    <row r="809">
      <c r="A809" s="28" t="str">
        <f>IFERROR(__xludf.DUMMYFUNCTION("""COMPUTED_VALUE"""),"1942-SEPEPHGC")</f>
        <v>1942-SEPEPHGC</v>
      </c>
      <c r="B809" s="28" t="str">
        <f>IFERROR(__xludf.DUMMYFUNCTION("""COMPUTED_VALUE"""),"DGPLES | MEPHU  | REPARACIÓN DE VEREDAS")</f>
        <v>DGPLES | MEPHU  | REPARACIÓN DE VEREDAS</v>
      </c>
      <c r="C809" s="29" t="str">
        <f>IFERROR(__xludf.DUMMYFUNCTION("""COMPUTED_VALUE"""),"Pieza")</f>
        <v>Pieza</v>
      </c>
      <c r="D809" s="28" t="str">
        <f>IFERROR(__xludf.DUMMYFUNCTION("""COMPUTED_VALUE"""),"2852-ABRINFGC")</f>
        <v>2852-ABRINFGC</v>
      </c>
      <c r="E809" s="28" t="str">
        <f>IFERROR(__xludf.DUMMYFUNCTION("""COMPUTED_VALUE"""),"INFRAESTRUCTURA | Cortes y desvíos por Evento Colapinto")</f>
        <v>INFRAESTRUCTURA | Cortes y desvíos por Evento Colapinto</v>
      </c>
      <c r="F809" s="29" t="str">
        <f>IFERROR(__xludf.DUMMYFUNCTION("""COMPUTED_VALUE"""),"https://www.facebook.com/GCBA/posts/pfbid0vT9BjkE9FtvnueXVa8bYmHyqadrpFHMZciLcgCAjaEUKTjCNojm5Do5ioaeMxA3Hl")</f>
        <v>https://www.facebook.com/GCBA/posts/pfbid0vT9BjkE9FtvnueXVa8bYmHyqadrpFHMZciLcgCAjaEUKTjCNojm5Do5ioaeMxA3Hl</v>
      </c>
    </row>
    <row r="810">
      <c r="A810" s="28" t="str">
        <f>IFERROR(__xludf.DUMMYFUNCTION("""COMPUTED_VALUE"""),"2803-MARJDGAG")</f>
        <v>2803-MARJDGAG</v>
      </c>
      <c r="B810" s="28" t="str">
        <f>IFERROR(__xludf.DUMMYFUNCTION("""COMPUTED_VALUE"""),"RDV JM | 8/4 VILLA CRESPO")</f>
        <v>RDV JM | 8/4 VILLA CRESPO</v>
      </c>
      <c r="C810" s="29" t="str">
        <f>IFERROR(__xludf.DUMMYFUNCTION("""COMPUTED_VALUE"""),"Pieza")</f>
        <v>Pieza</v>
      </c>
      <c r="D810" s="28" t="str">
        <f>IFERROR(__xludf.DUMMYFUNCTION("""COMPUTED_VALUE"""),"2903-ABRFESGC")</f>
        <v>2903-ABRFESGC</v>
      </c>
      <c r="E810" s="28" t="str">
        <f>IFERROR(__xludf.DUMMYFUNCTION("""COMPUTED_VALUE"""),"Post DJ Padre Guilherme")</f>
        <v>Post DJ Padre Guilherme</v>
      </c>
      <c r="F810" s="29" t="str">
        <f>IFERROR(__xludf.DUMMYFUNCTION("""COMPUTED_VALUE"""),"https://www.facebook.com/reel/2170033937131074")</f>
        <v>https://www.facebook.com/reel/2170033937131074</v>
      </c>
    </row>
    <row r="811">
      <c r="A811" s="28" t="str">
        <f>IFERROR(__xludf.DUMMYFUNCTION("""COMPUTED_VALUE"""),"2806-ABRSEGVC")</f>
        <v>2806-ABRSEGVC</v>
      </c>
      <c r="B811" s="28" t="str">
        <f>IFERROR(__xludf.DUMMYFUNCTION("""COMPUTED_VALUE"""),"RDV Ministros | Ruth Landerreche 9/4 Comuna 1 Norte")</f>
        <v>RDV Ministros | Ruth Landerreche 9/4 Comuna 1 Norte</v>
      </c>
      <c r="C811" s="29" t="str">
        <f>IFERROR(__xludf.DUMMYFUNCTION("""COMPUTED_VALUE"""),"Pieza")</f>
        <v>Pieza</v>
      </c>
      <c r="D811" s="28" t="str">
        <f>IFERROR(__xludf.DUMMYFUNCTION("""COMPUTED_VALUE"""),"2903-ABRFESGC")</f>
        <v>2903-ABRFESGC</v>
      </c>
      <c r="E811" s="28" t="str">
        <f>IFERROR(__xludf.DUMMYFUNCTION("""COMPUTED_VALUE"""),"Post DJ Padre Guilherme")</f>
        <v>Post DJ Padre Guilherme</v>
      </c>
      <c r="F811" s="29" t="str">
        <f>IFERROR(__xludf.DUMMYFUNCTION("""COMPUTED_VALUE"""),"https://www.facebook.com/reel/2170033937131074")</f>
        <v>https://www.facebook.com/reel/2170033937131074</v>
      </c>
    </row>
    <row r="812">
      <c r="A812" s="28" t="str">
        <f>IFERROR(__xludf.DUMMYFUNCTION("""COMPUTED_VALUE"""),"2818-ABRPCCVC")</f>
        <v>2818-ABRPCCVC</v>
      </c>
      <c r="B812" s="28" t="str">
        <f>IFERROR(__xludf.DUMMYFUNCTION("""COMPUTED_VALUE"""),"Eventos Masivos Ferro")</f>
        <v>Eventos Masivos Ferro</v>
      </c>
      <c r="C812" s="29" t="str">
        <f>IFERROR(__xludf.DUMMYFUNCTION("""COMPUTED_VALUE"""),"Pieza")</f>
        <v>Pieza</v>
      </c>
      <c r="D812" s="28" t="str">
        <f>IFERROR(__xludf.DUMMYFUNCTION("""COMPUTED_VALUE"""),"2846-ABRSALGC")</f>
        <v>2846-ABRSALGC</v>
      </c>
      <c r="E812" s="28" t="str">
        <f>IFERROR(__xludf.DUMMYFUNCTION("""COMPUTED_VALUE"""),"CeSAC 1 - Fin de obra")</f>
        <v>CeSAC 1 - Fin de obra</v>
      </c>
      <c r="F812" s="29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13">
      <c r="A813" s="28" t="str">
        <f>IFERROR(__xludf.DUMMYFUNCTION("""COMPUTED_VALUE"""),"2807-ABRSEGVC")</f>
        <v>2807-ABRSEGVC</v>
      </c>
      <c r="B813" s="28" t="str">
        <f>IFERROR(__xludf.DUMMYFUNCTION("""COMPUTED_VALUE"""),"RDV Ministros | Gabino Tapia  9/4 Comuna 1 Sur")</f>
        <v>RDV Ministros | Gabino Tapia  9/4 Comuna 1 Sur</v>
      </c>
      <c r="C813" s="29" t="str">
        <f>IFERROR(__xludf.DUMMYFUNCTION("""COMPUTED_VALUE"""),"Pieza")</f>
        <v>Pieza</v>
      </c>
      <c r="D813" s="28" t="str">
        <f>IFERROR(__xludf.DUMMYFUNCTION("""COMPUTED_VALUE"""),"2846-ABRSALGC")</f>
        <v>2846-ABRSALGC</v>
      </c>
      <c r="E813" s="28" t="str">
        <f>IFERROR(__xludf.DUMMYFUNCTION("""COMPUTED_VALUE"""),"CeSAC 1 - Fin de obra")</f>
        <v>CeSAC 1 - Fin de obra</v>
      </c>
      <c r="F813" s="29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14">
      <c r="A814" s="28" t="str">
        <f>IFERROR(__xludf.DUMMYFUNCTION("""COMPUTED_VALUE"""),"2801-MARSEGVC")</f>
        <v>2801-MARSEGVC</v>
      </c>
      <c r="B814" s="28" t="str">
        <f>IFERROR(__xludf.DUMMYFUNCTION("""COMPUTED_VALUE"""),"RDV MINISTROS | Gabriela Ricardes 7/4 Comuna 10")</f>
        <v>RDV MINISTROS | Gabriela Ricardes 7/4 Comuna 10</v>
      </c>
      <c r="C814" s="29" t="str">
        <f>IFERROR(__xludf.DUMMYFUNCTION("""COMPUTED_VALUE"""),"Pieza")</f>
        <v>Pieza</v>
      </c>
      <c r="D814" s="28" t="str">
        <f>IFERROR(__xludf.DUMMYFUNCTION("""COMPUTED_VALUE"""),"2913-ABRPCCVC")</f>
        <v>2913-ABRPCCVC</v>
      </c>
      <c r="E814" s="28" t="str">
        <f>IFERROR(__xludf.DUMMYFUNCTION("""COMPUTED_VALUE"""),"Experiencia BA | CityBus")</f>
        <v>Experiencia BA | CityBus</v>
      </c>
      <c r="F814" s="29" t="str">
        <f>IFERROR(__xludf.DUMMYFUNCTION("""COMPUTED_VALUE"""),"https://www.facebook.com/reel/2478921712565121/")</f>
        <v>https://www.facebook.com/reel/2478921712565121/</v>
      </c>
    </row>
    <row r="815">
      <c r="A815" s="28" t="str">
        <f>IFERROR(__xludf.DUMMYFUNCTION("""COMPUTED_VALUE"""),"2810-ABRSEGVC")</f>
        <v>2810-ABRSEGVC</v>
      </c>
      <c r="B815" s="28" t="str">
        <f>IFERROR(__xludf.DUMMYFUNCTION("""COMPUTED_VALUE"""),"RDV Ministros | Horacio Giménez 9/4 Comuna 3")</f>
        <v>RDV Ministros | Horacio Giménez 9/4 Comuna 3</v>
      </c>
      <c r="C815" s="29" t="str">
        <f>IFERROR(__xludf.DUMMYFUNCTION("""COMPUTED_VALUE"""),"Pieza")</f>
        <v>Pieza</v>
      </c>
      <c r="D815" s="28" t="str">
        <f>IFERROR(__xludf.DUMMYFUNCTION("""COMPUTED_VALUE"""),"2913-ABRPCCVC")</f>
        <v>2913-ABRPCCVC</v>
      </c>
      <c r="E815" s="28" t="str">
        <f>IFERROR(__xludf.DUMMYFUNCTION("""COMPUTED_VALUE"""),"Experiencia BA | CityBus")</f>
        <v>Experiencia BA | CityBus</v>
      </c>
      <c r="F815" s="29" t="str">
        <f>IFERROR(__xludf.DUMMYFUNCTION("""COMPUTED_VALUE"""),"https://www.instagram.com/p/DXXhwT3DPUf/#advertiser")</f>
        <v>https://www.instagram.com/p/DXXhwT3DPUf/#advertiser</v>
      </c>
    </row>
    <row r="816">
      <c r="A816" s="28" t="str">
        <f>IFERROR(__xludf.DUMMYFUNCTION("""COMPUTED_VALUE"""),"2804-ABRSALVC")</f>
        <v>2804-ABRSALVC</v>
      </c>
      <c r="B816" s="28" t="str">
        <f>IFERROR(__xludf.DUMMYFUNCTION("""COMPUTED_VALUE"""),"RDV Ministros | Fernán Quirós 7/4")</f>
        <v>RDV Ministros | Fernán Quirós 7/4</v>
      </c>
      <c r="C816" s="29" t="str">
        <f>IFERROR(__xludf.DUMMYFUNCTION("""COMPUTED_VALUE"""),"Pieza")</f>
        <v>Pieza</v>
      </c>
      <c r="D816" s="28" t="str">
        <f>IFERROR(__xludf.DUMMYFUNCTION("""COMPUTED_VALUE"""),"2847-ABRINFGC")</f>
        <v>2847-ABRINFGC</v>
      </c>
      <c r="E816" s="28" t="str">
        <f>IFERROR(__xludf.DUMMYFUNCTION("""COMPUTED_VALUE"""),"Infraestructura I Cambio de sentido Manuel Porcel de Peralta")</f>
        <v>Infraestructura I Cambio de sentido Manuel Porcel de Peralta</v>
      </c>
      <c r="F816" s="29" t="str">
        <f>IFERROR(__xludf.DUMMYFUNCTION("""COMPUTED_VALUE"""),"https://fb.me/adspreview/facebook/2F5N1HlfWgdYQBf")</f>
        <v>https://fb.me/adspreview/facebook/2F5N1HlfWgdYQBf</v>
      </c>
    </row>
    <row r="817">
      <c r="A817" s="28" t="str">
        <f>IFERROR(__xludf.DUMMYFUNCTION("""COMPUTED_VALUE"""),"2808-ABRSEGVC")</f>
        <v>2808-ABRSEGVC</v>
      </c>
      <c r="B817" s="28" t="str">
        <f>IFERROR(__xludf.DUMMYFUNCTION("""COMPUTED_VALUE"""),"RDV Ministros | Maximilia Piñeiro 9/4 Comuna 2")</f>
        <v>RDV Ministros | Maximilia Piñeiro 9/4 Comuna 2</v>
      </c>
      <c r="C817" s="29" t="str">
        <f>IFERROR(__xludf.DUMMYFUNCTION("""COMPUTED_VALUE"""),"Pieza")</f>
        <v>Pieza</v>
      </c>
      <c r="D817" s="28" t="str">
        <f>IFERROR(__xludf.DUMMYFUNCTION("""COMPUTED_VALUE"""),"2914-ABRAMBVC")</f>
        <v>2914-ABRAMBVC</v>
      </c>
      <c r="E817" s="28" t="str">
        <f>IFERROR(__xludf.DUMMYFUNCTION("""COMPUTED_VALUE"""),"RDV Ministros | Clara Muzzio - 24/4 - Temática")</f>
        <v>RDV Ministros | Clara Muzzio - 24/4 - Temática</v>
      </c>
      <c r="F817" s="29" t="str">
        <f>IFERROR(__xludf.DUMMYFUNCTION("""COMPUTED_VALUE"""),"https://www.facebook.com/baparticipacion/posts/pfbid0hwDpoNs6YYRf2X8atuVpFA7YNkjojnRYuAHyU2s44oECEmY4MhgAsFCauC7bfWevl")</f>
        <v>https://www.facebook.com/baparticipacion/posts/pfbid0hwDpoNs6YYRf2X8atuVpFA7YNkjojnRYuAHyU2s44oECEmY4MhgAsFCauC7bfWevl</v>
      </c>
    </row>
    <row r="818">
      <c r="A818" s="28" t="str">
        <f>IFERROR(__xludf.DUMMYFUNCTION("""COMPUTED_VALUE"""),"2798-MARJDGAG")</f>
        <v>2798-MARJDGAG</v>
      </c>
      <c r="B818" s="28" t="str">
        <f>IFERROR(__xludf.DUMMYFUNCTION("""COMPUTED_VALUE"""),"RDV JM TEMÁTICA | TE CUENTO BS AS 09/04 SALUD EJE OESTE")</f>
        <v>RDV JM TEMÁTICA | TE CUENTO BS AS 09/04 SALUD EJE OESTE</v>
      </c>
      <c r="C818" s="29" t="str">
        <f>IFERROR(__xludf.DUMMYFUNCTION("""COMPUTED_VALUE"""),"Pieza")</f>
        <v>Pieza</v>
      </c>
      <c r="D818" s="28" t="str">
        <f>IFERROR(__xludf.DUMMYFUNCTION("""COMPUTED_VALUE"""),"2914-ABRAMBVC")</f>
        <v>2914-ABRAMBVC</v>
      </c>
      <c r="E818" s="28" t="str">
        <f>IFERROR(__xludf.DUMMYFUNCTION("""COMPUTED_VALUE"""),"RDV Ministros | Clara Muzzio - 24/4 - Temática")</f>
        <v>RDV Ministros | Clara Muzzio - 24/4 - Temática</v>
      </c>
      <c r="F818" s="29" t="str">
        <f>IFERROR(__xludf.DUMMYFUNCTION("""COMPUTED_VALUE"""),"https://www.facebook.com/baparticipacion/posts/pfbid0hwDpoNs6YYRf2X8atuVpFA7YNkjojnRYuAHyU2s44oECEmY4MhgAsFCauC7bfWevl")</f>
        <v>https://www.facebook.com/baparticipacion/posts/pfbid0hwDpoNs6YYRf2X8atuVpFA7YNkjojnRYuAHyU2s44oECEmY4MhgAsFCauC7bfWevl</v>
      </c>
    </row>
    <row r="819">
      <c r="A819" s="28" t="str">
        <f>IFERROR(__xludf.DUMMYFUNCTION("""COMPUTED_VALUE"""),"2814-ABRPCCVC")</f>
        <v>2814-ABRPCCVC</v>
      </c>
      <c r="B819" s="28" t="str">
        <f>IFERROR(__xludf.DUMMYFUNCTION("""COMPUTED_VALUE"""),"Visita a la estación de bomberos II")</f>
        <v>Visita a la estación de bomberos II</v>
      </c>
      <c r="C819" s="29" t="str">
        <f>IFERROR(__xludf.DUMMYFUNCTION("""COMPUTED_VALUE"""),"Pieza")</f>
        <v>Pieza</v>
      </c>
      <c r="D819" s="28" t="str">
        <f>IFERROR(__xludf.DUMMYFUNCTION("""COMPUTED_VALUE"""),"2842-ABRJDGAG")</f>
        <v>2842-ABRJDGAG</v>
      </c>
      <c r="E819" s="28" t="str">
        <f>IFERROR(__xludf.DUMMYFUNCTION("""COMPUTED_VALUE"""),"RDV JM TEMÁTICA | TE CUENTO BS AS 16/04 EDUCACIÓN EJE NORTE")</f>
        <v>RDV JM TEMÁTICA | TE CUENTO BS AS 16/04 EDUCACIÓN EJE NORTE</v>
      </c>
      <c r="F819" s="29" t="str">
        <f>IFERROR(__xludf.DUMMYFUNCTION("""COMPUTED_VALUE"""),"https://www.facebook.com/reel/1745174073137004")</f>
        <v>https://www.facebook.com/reel/1745174073137004</v>
      </c>
    </row>
    <row r="820">
      <c r="A820" s="28" t="str">
        <f>IFERROR(__xludf.DUMMYFUNCTION("""COMPUTED_VALUE"""),"2811-ABRINFGC")</f>
        <v>2811-ABRINFGC</v>
      </c>
      <c r="B820" s="28" t="str">
        <f>IFERROR(__xludf.DUMMYFUNCTION("""COMPUTED_VALUE""")," INFRAESTRUCTURA | AU Dellepiane: durante de obra | Abril 2026")</f>
        <v> INFRAESTRUCTURA | AU Dellepiane: durante de obra | Abril 2026</v>
      </c>
      <c r="C820" s="29" t="str">
        <f>IFERROR(__xludf.DUMMYFUNCTION("""COMPUTED_VALUE"""),"Pieza")</f>
        <v>Pieza</v>
      </c>
      <c r="D820" s="28" t="str">
        <f>IFERROR(__xludf.DUMMYFUNCTION("""COMPUTED_VALUE"""),"2813-ABRDUDGC")</f>
        <v>2813-ABRDUDGC</v>
      </c>
      <c r="E820" s="28" t="str">
        <f>IFERROR(__xludf.DUMMYFUNCTION("""COMPUTED_VALUE"""),"Evento Colapinto")</f>
        <v>Evento Colapinto</v>
      </c>
      <c r="F820" s="29" t="str">
        <f>IFERROR(__xludf.DUMMYFUNCTION("""COMPUTED_VALUE"""),"https://www.facebook.com/reel/975781694862173")</f>
        <v>https://www.facebook.com/reel/975781694862173</v>
      </c>
    </row>
    <row r="821">
      <c r="A821" s="28" t="str">
        <f>IFERROR(__xludf.DUMMYFUNCTION("""COMPUTED_VALUE"""),"2832-ABRVINVC")</f>
        <v>2832-ABRVINVC</v>
      </c>
      <c r="B821" s="28" t="str">
        <f>IFERROR(__xludf.DUMMYFUNCTION("""COMPUTED_VALUE"""),"CAMPAÑA GCBA | VINCULO CIUDADANO | Mas servicios en tu barrio 2026: San Telmo 11/4")</f>
        <v>CAMPAÑA GCBA | VINCULO CIUDADANO | Mas servicios en tu barrio 2026: San Telmo 11/4</v>
      </c>
      <c r="C821" s="29" t="str">
        <f>IFERROR(__xludf.DUMMYFUNCTION("""COMPUTED_VALUE"""),"Pieza")</f>
        <v>Pieza</v>
      </c>
      <c r="D821" s="28" t="str">
        <f>IFERROR(__xludf.DUMMYFUNCTION("""COMPUTED_VALUE"""),"2842-ABRJDGAG")</f>
        <v>2842-ABRJDGAG</v>
      </c>
      <c r="E821" s="28" t="str">
        <f>IFERROR(__xludf.DUMMYFUNCTION("""COMPUTED_VALUE"""),"RDV JM TEMÁTICA | TE CUENTO BS AS 16/04 EDUCACIÓN EJE NORTE")</f>
        <v>RDV JM TEMÁTICA | TE CUENTO BS AS 16/04 EDUCACIÓN EJE NORTE</v>
      </c>
      <c r="F821" s="29" t="str">
        <f>IFERROR(__xludf.DUMMYFUNCTION("""COMPUTED_VALUE"""),"https://www.facebook.com/reel/1745174073137004")</f>
        <v>https://www.facebook.com/reel/1745174073137004</v>
      </c>
    </row>
    <row r="822">
      <c r="A822" s="28" t="str">
        <f>IFERROR(__xludf.DUMMYFUNCTION("""COMPUTED_VALUE"""),"2836-ABRVINVC")</f>
        <v>2836-ABRVINVC</v>
      </c>
      <c r="B822" s="28" t="str">
        <f>IFERROR(__xludf.DUMMYFUNCTION("""COMPUTED_VALUE"""),"CAMPAÑA GCBA | VINCULO CIUDADANO | Mas servicios en tu barrio 2026:  Villa Crespo 13/4")</f>
        <v>CAMPAÑA GCBA | VINCULO CIUDADANO | Mas servicios en tu barrio 2026:  Villa Crespo 13/4</v>
      </c>
      <c r="C822" s="29" t="str">
        <f>IFERROR(__xludf.DUMMYFUNCTION("""COMPUTED_VALUE"""),"Pieza")</f>
        <v>Pieza</v>
      </c>
      <c r="D822" s="28" t="str">
        <f>IFERROR(__xludf.DUMMYFUNCTION("""COMPUTED_VALUE"""),"2863-ABRSALGC")</f>
        <v>2863-ABRSALGC</v>
      </c>
      <c r="E822" s="28" t="str">
        <f>IFERROR(__xludf.DUMMYFUNCTION("""COMPUTED_VALUE"""),"CESAC 40 - Fin de obra")</f>
        <v>CESAC 40 - Fin de obra</v>
      </c>
      <c r="F822" s="29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823">
      <c r="A823" s="28" t="str">
        <f>IFERROR(__xludf.DUMMYFUNCTION("""COMPUTED_VALUE"""),"2837-ABRVINVC")</f>
        <v>2837-ABRVINVC</v>
      </c>
      <c r="B823" s="28" t="str">
        <f>IFERROR(__xludf.DUMMYFUNCTION("""COMPUTED_VALUE"""),"CAMPAÑA GCBA | VINCULO CIUDADANO | Mas servicios en tu barrio 2026: La Boca 14/4 y 15/4")</f>
        <v>CAMPAÑA GCBA | VINCULO CIUDADANO | Mas servicios en tu barrio 2026: La Boca 14/4 y 15/4</v>
      </c>
      <c r="C823" s="29" t="str">
        <f>IFERROR(__xludf.DUMMYFUNCTION("""COMPUTED_VALUE"""),"Pieza")</f>
        <v>Pieza</v>
      </c>
      <c r="D823" s="28" t="str">
        <f>IFERROR(__xludf.DUMMYFUNCTION("""COMPUTED_VALUE"""),"2863-ABRSALGC")</f>
        <v>2863-ABRSALGC</v>
      </c>
      <c r="E823" s="28" t="str">
        <f>IFERROR(__xludf.DUMMYFUNCTION("""COMPUTED_VALUE"""),"CESAC 40 - Fin de obra")</f>
        <v>CESAC 40 - Fin de obra</v>
      </c>
      <c r="F823" s="29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824">
      <c r="A824" s="28" t="str">
        <f>IFERROR(__xludf.DUMMYFUNCTION("""COMPUTED_VALUE"""),"2797-MARSALGJ")</f>
        <v>2797-MARSALGJ</v>
      </c>
      <c r="B824" s="28" t="str">
        <f>IFERROR(__xludf.DUMMYFUNCTION("""COMPUTED_VALUE"""),"Recorrida: Hospital Pirovano")</f>
        <v>Recorrida: Hospital Pirovano</v>
      </c>
      <c r="C824" s="29" t="str">
        <f>IFERROR(__xludf.DUMMYFUNCTION("""COMPUTED_VALUE"""),"Pieza")</f>
        <v>Pieza</v>
      </c>
      <c r="D824" s="28" t="str">
        <f>IFERROR(__xludf.DUMMYFUNCTION("""COMPUTED_VALUE"""),"")</f>
        <v/>
      </c>
      <c r="E824" s="28" t="str">
        <f>IFERROR(__xludf.DUMMYFUNCTION("""COMPUTED_VALUE"""),"")</f>
        <v/>
      </c>
      <c r="F824" s="29" t="str">
        <f>IFERROR(__xludf.DUMMYFUNCTION("""COMPUTED_VALUE"""),"https://www.facebook.com/GCBA/posts/pfbid02yZmqzW27WZWmV78Fctq2sNgCipDpR11wQfc5ArDrGXxh4ExLJX9nJtQtEzD3rTDGl")</f>
        <v>https://www.facebook.com/GCBA/posts/pfbid02yZmqzW27WZWmV78Fctq2sNgCipDpR11wQfc5ArDrGXxh4ExLJX9nJtQtEzD3rTDGl</v>
      </c>
    </row>
    <row r="825">
      <c r="A825" s="28" t="str">
        <f>IFERROR(__xludf.DUMMYFUNCTION("""COMPUTED_VALUE"""),"2826-ABRSALGC")</f>
        <v>2826-ABRSALGC</v>
      </c>
      <c r="B825" s="28" t="str">
        <f>IFERROR(__xludf.DUMMYFUNCTION("""COMPUTED_VALUE"""),"Comunicación SIGEHOS - PEL")</f>
        <v>Comunicación SIGEHOS - PEL</v>
      </c>
      <c r="C825" s="29" t="str">
        <f>IFERROR(__xludf.DUMMYFUNCTION("""COMPUTED_VALUE"""),"Pieza")</f>
        <v>Pieza</v>
      </c>
      <c r="D825" s="28" t="str">
        <f>IFERROR(__xludf.DUMMYFUNCTION("""COMPUTED_VALUE"""),"2868-ABRFESGC")</f>
        <v>2868-ABRFESGC</v>
      </c>
      <c r="E825" s="28" t="str">
        <f>IFERROR(__xludf.DUMMYFUNCTION("""COMPUTED_VALUE"""),"Retiro Abierto | Edición Galerias")</f>
        <v>Retiro Abierto | Edición Galerias</v>
      </c>
      <c r="F825" s="29" t="str">
        <f>IFERROR(__xludf.DUMMYFUNCTION("""COMPUTED_VALUE"""),"https://www.facebook.com/reel/837422675431289")</f>
        <v>https://www.facebook.com/reel/837422675431289</v>
      </c>
    </row>
    <row r="826">
      <c r="A826" s="28" t="str">
        <f>IFERROR(__xludf.DUMMYFUNCTION("""COMPUTED_VALUE"""),"2803-MARJDGAG")</f>
        <v>2803-MARJDGAG</v>
      </c>
      <c r="B826" s="28" t="str">
        <f>IFERROR(__xludf.DUMMYFUNCTION("""COMPUTED_VALUE"""),"RDV JM | 8/4 VILLA CRESPO")</f>
        <v>RDV JM | 8/4 VILLA CRESPO</v>
      </c>
      <c r="C826" s="29" t="str">
        <f>IFERROR(__xludf.DUMMYFUNCTION("""COMPUTED_VALUE"""),"Pieza")</f>
        <v>Pieza</v>
      </c>
      <c r="D826" s="28" t="str">
        <f>IFERROR(__xludf.DUMMYFUNCTION("""COMPUTED_VALUE"""),"2868-ABRFESGC")</f>
        <v>2868-ABRFESGC</v>
      </c>
      <c r="E826" s="28" t="str">
        <f>IFERROR(__xludf.DUMMYFUNCTION("""COMPUTED_VALUE"""),"Retiro Abierto | Edición Galerias")</f>
        <v>Retiro Abierto | Edición Galerias</v>
      </c>
      <c r="F826" s="29" t="str">
        <f>IFERROR(__xludf.DUMMYFUNCTION("""COMPUTED_VALUE"""),"https://www.facebook.com/reel/837422675431289")</f>
        <v>https://www.facebook.com/reel/837422675431289</v>
      </c>
    </row>
    <row r="827">
      <c r="A827" s="28" t="str">
        <f>IFERROR(__xludf.DUMMYFUNCTION("""COMPUTED_VALUE"""),"2803-MARJDGAG")</f>
        <v>2803-MARJDGAG</v>
      </c>
      <c r="B827" s="28" t="str">
        <f>IFERROR(__xludf.DUMMYFUNCTION("""COMPUTED_VALUE"""),"RDV JM | 8/4 VILLA CRESPO")</f>
        <v>RDV JM | 8/4 VILLA CRESPO</v>
      </c>
      <c r="C827" s="29" t="str">
        <f>IFERROR(__xludf.DUMMYFUNCTION("""COMPUTED_VALUE"""),"Pieza")</f>
        <v>Pieza</v>
      </c>
      <c r="D827" s="28" t="str">
        <f>IFERROR(__xludf.DUMMYFUNCTION("""COMPUTED_VALUE"""),"2886-ABRDECGC")</f>
        <v>2886-ABRDECGC</v>
      </c>
      <c r="E827" s="28" t="str">
        <f>IFERROR(__xludf.DUMMYFUNCTION("""COMPUTED_VALUE"""),"CAFECITO BA ABRIL")</f>
        <v>CAFECITO BA ABRIL</v>
      </c>
      <c r="F827" s="29" t="str">
        <f>IFERROR(__xludf.DUMMYFUNCTION("""COMPUTED_VALUE"""),"https://www.facebook.com/reel/986912347208909")</f>
        <v>https://www.facebook.com/reel/986912347208909</v>
      </c>
    </row>
    <row r="828">
      <c r="A828" s="28" t="str">
        <f>IFERROR(__xludf.DUMMYFUNCTION("""COMPUTED_VALUE"""),"2805-ABRAMBVC")</f>
        <v>2805-ABRAMBVC</v>
      </c>
      <c r="B828" s="28" t="str">
        <f>IFERROR(__xludf.DUMMYFUNCTION("""COMPUTED_VALUE"""),"RDV Ministros | Clara Muzzio 8/4")</f>
        <v>RDV Ministros | Clara Muzzio 8/4</v>
      </c>
      <c r="C828" s="29" t="str">
        <f>IFERROR(__xludf.DUMMYFUNCTION("""COMPUTED_VALUE"""),"Pieza")</f>
        <v>Pieza</v>
      </c>
      <c r="D828" s="28" t="str">
        <f>IFERROR(__xludf.DUMMYFUNCTION("""COMPUTED_VALUE"""),"2496-ENEVINGC")</f>
        <v>2496-ENEVINGC</v>
      </c>
      <c r="E82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28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29">
      <c r="A829" s="28" t="str">
        <f>IFERROR(__xludf.DUMMYFUNCTION("""COMPUTED_VALUE"""),"2828-ABRDHHVC")</f>
        <v>2828-ABRDHHVC</v>
      </c>
      <c r="B829" s="28" t="str">
        <f>IFERROR(__xludf.DUMMYFUNCTION("""COMPUTED_VALUE"""),"RDV Ministros | Gabriel Mraida - 15/4")</f>
        <v>RDV Ministros | Gabriel Mraida - 15/4</v>
      </c>
      <c r="C829" s="29" t="str">
        <f>IFERROR(__xludf.DUMMYFUNCTION("""COMPUTED_VALUE"""),"Pieza")</f>
        <v>Pieza</v>
      </c>
      <c r="D829" s="28" t="str">
        <f>IFERROR(__xludf.DUMMYFUNCTION("""COMPUTED_VALUE"""),"2496-ENEVINGC")</f>
        <v>2496-ENEVINGC</v>
      </c>
      <c r="E82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29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30">
      <c r="A830" s="28" t="str">
        <f>IFERROR(__xludf.DUMMYFUNCTION("""COMPUTED_VALUE"""),"2807-ABRSEGVC")</f>
        <v>2807-ABRSEGVC</v>
      </c>
      <c r="B830" s="28" t="str">
        <f>IFERROR(__xludf.DUMMYFUNCTION("""COMPUTED_VALUE"""),"RDV Ministros | Gabino Tapia  9/4 Comuna 1 Sur")</f>
        <v>RDV Ministros | Gabino Tapia  9/4 Comuna 1 Sur</v>
      </c>
      <c r="C830" s="29" t="str">
        <f>IFERROR(__xludf.DUMMYFUNCTION("""COMPUTED_VALUE"""),"Pieza")</f>
        <v>Pieza</v>
      </c>
      <c r="D830" s="28" t="str">
        <f>IFERROR(__xludf.DUMMYFUNCTION("""COMPUTED_VALUE"""),"2496-ENEVINGC")</f>
        <v>2496-ENEVINGC</v>
      </c>
      <c r="E83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30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31">
      <c r="A831" s="28" t="str">
        <f>IFERROR(__xludf.DUMMYFUNCTION("""COMPUTED_VALUE"""),"2795-MARINFGC")</f>
        <v>2795-MARINFGC</v>
      </c>
      <c r="B831" s="28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831" s="29" t="str">
        <f>IFERROR(__xludf.DUMMYFUNCTION("""COMPUTED_VALUE"""),"Pieza")</f>
        <v>Pieza</v>
      </c>
      <c r="D831" s="28" t="str">
        <f>IFERROR(__xludf.DUMMYFUNCTION("""COMPUTED_VALUE"""),"2496-ENEVINGC")</f>
        <v>2496-ENEVINGC</v>
      </c>
      <c r="E83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31" s="29" t="str">
        <f>IFERROR(__xludf.DUMMYFUNCTION("""COMPUTED_VALUE"""),"https://www.facebook.com/GCBA/posts/pfbid02BLwc5PnG5EYzbVeS3qNZ6Nb5in3PifakagmTh6BFX3zNQZ1rLsJ3FsQx9JDG2gFdl")</f>
        <v>https://www.facebook.com/GCBA/posts/pfbid02BLwc5PnG5EYzbVeS3qNZ6Nb5in3PifakagmTh6BFX3zNQZ1rLsJ3FsQx9JDG2gFdl</v>
      </c>
    </row>
    <row r="832">
      <c r="A832" s="28" t="str">
        <f>IFERROR(__xludf.DUMMYFUNCTION("""COMPUTED_VALUE"""),"2795-MARINFGC")</f>
        <v>2795-MARINFGC</v>
      </c>
      <c r="B832" s="28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832" s="29" t="str">
        <f>IFERROR(__xludf.DUMMYFUNCTION("""COMPUTED_VALUE"""),"Pieza")</f>
        <v>Pieza</v>
      </c>
      <c r="D832" s="28" t="str">
        <f>IFERROR(__xludf.DUMMYFUNCTION("""COMPUTED_VALUE"""),"2909-ABRJDGAG")</f>
        <v>2909-ABRJDGAG</v>
      </c>
      <c r="E832" s="28" t="str">
        <f>IFERROR(__xludf.DUMMYFUNCTION("""COMPUTED_VALUE"""),"RDV JM Primera Persona | Comuna 1 27/04 Gastón Pauls")</f>
        <v>RDV JM Primera Persona | Comuna 1 27/04 Gastón Pauls</v>
      </c>
      <c r="F832" s="29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3">
      <c r="A833" s="28" t="str">
        <f>IFERROR(__xludf.DUMMYFUNCTION("""COMPUTED_VALUE"""),"2822-ABRFESGC")</f>
        <v>2822-ABRFESGC</v>
      </c>
      <c r="B833" s="28" t="str">
        <f>IFERROR(__xludf.DUMMYFUNCTION("""COMPUTED_VALUE"""),"Circuito Outlets | Ba 24hs")</f>
        <v>Circuito Outlets | Ba 24hs</v>
      </c>
      <c r="C833" s="29" t="str">
        <f>IFERROR(__xludf.DUMMYFUNCTION("""COMPUTED_VALUE"""),"Pieza")</f>
        <v>Pieza</v>
      </c>
      <c r="D833" s="28" t="str">
        <f>IFERROR(__xludf.DUMMYFUNCTION("""COMPUTED_VALUE"""),"2909-ABRJDGAG")</f>
        <v>2909-ABRJDGAG</v>
      </c>
      <c r="E833" s="28" t="str">
        <f>IFERROR(__xludf.DUMMYFUNCTION("""COMPUTED_VALUE"""),"RDV JM Primera Persona | Comuna 1 27/04 Gastón Pauls")</f>
        <v>RDV JM Primera Persona | Comuna 1 27/04 Gastón Pauls</v>
      </c>
      <c r="F833" s="29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4">
      <c r="A834" s="28" t="str">
        <f>IFERROR(__xludf.DUMMYFUNCTION("""COMPUTED_VALUE"""),"2482-ENEINFGC")</f>
        <v>2482-ENEINFGC</v>
      </c>
      <c r="B834" s="28" t="str">
        <f>IFERROR(__xludf.DUMMYFUNCTION("""COMPUTED_VALUE"""),"VTV - Recordatorio de turno 2026")</f>
        <v>VTV - Recordatorio de turno 2026</v>
      </c>
      <c r="C834" s="29" t="str">
        <f>IFERROR(__xludf.DUMMYFUNCTION("""COMPUTED_VALUE"""),"Pieza")</f>
        <v>Pieza</v>
      </c>
      <c r="D834" s="28" t="str">
        <f>IFERROR(__xludf.DUMMYFUNCTION("""COMPUTED_VALUE"""),"2909-ABRJDGAG")</f>
        <v>2909-ABRJDGAG</v>
      </c>
      <c r="E834" s="28" t="str">
        <f>IFERROR(__xludf.DUMMYFUNCTION("""COMPUTED_VALUE"""),"RDV JM Primera Persona | Comuna 1 27/04 Gastón Pauls")</f>
        <v>RDV JM Primera Persona | Comuna 1 27/04 Gastón Pauls</v>
      </c>
      <c r="F834" s="29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5">
      <c r="A835" s="28" t="str">
        <f>IFERROR(__xludf.DUMMYFUNCTION("""COMPUTED_VALUE"""),"2482-ENEINFGC")</f>
        <v>2482-ENEINFGC</v>
      </c>
      <c r="B835" s="28" t="str">
        <f>IFERROR(__xludf.DUMMYFUNCTION("""COMPUTED_VALUE"""),"VTV - Recordatorio de turno 2026")</f>
        <v>VTV - Recordatorio de turno 2026</v>
      </c>
      <c r="C835" s="29" t="str">
        <f>IFERROR(__xludf.DUMMYFUNCTION("""COMPUTED_VALUE"""),"Pieza")</f>
        <v>Pieza</v>
      </c>
      <c r="D835" s="28" t="str">
        <f>IFERROR(__xludf.DUMMYFUNCTION("""COMPUTED_VALUE"""),"2909-ABRJDGAG")</f>
        <v>2909-ABRJDGAG</v>
      </c>
      <c r="E835" s="28" t="str">
        <f>IFERROR(__xludf.DUMMYFUNCTION("""COMPUTED_VALUE"""),"RDV JM Primera Persona | Comuna 1 27/04 Gastón Pauls")</f>
        <v>RDV JM Primera Persona | Comuna 1 27/04 Gastón Pauls</v>
      </c>
      <c r="F835" s="29" t="str">
        <f>IFERROR(__xludf.DUMMYFUNCTION("""COMPUTED_VALUE"""),"https://www.facebook.com/GCBA/posts/pfbid0UXKR5mtRmWYXP5cTzNVa3FmB9ij1evJuxPD588yGyfBNCcZ154rcMRwSRNXUtSDwl")</f>
        <v>https://www.facebook.com/GCBA/posts/pfbid0UXKR5mtRmWYXP5cTzNVa3FmB9ij1evJuxPD588yGyfBNCcZ154rcMRwSRNXUtSDwl</v>
      </c>
    </row>
    <row r="836">
      <c r="A836" s="28" t="str">
        <f>IFERROR(__xludf.DUMMYFUNCTION("""COMPUTED_VALUE"""),"2841-ABRJDGAG")</f>
        <v>2841-ABRJDGAG</v>
      </c>
      <c r="B836" s="28" t="str">
        <f>IFERROR(__xludf.DUMMYFUNCTION("""COMPUTED_VALUE"""),"RDV JM | 15/4 PARQUE CHACABUCO")</f>
        <v>RDV JM | 15/4 PARQUE CHACABUCO</v>
      </c>
      <c r="C836" s="29" t="str">
        <f>IFERROR(__xludf.DUMMYFUNCTION("""COMPUTED_VALUE"""),"Pieza")</f>
        <v>Pieza</v>
      </c>
      <c r="D836" s="28" t="str">
        <f>IFERROR(__xludf.DUMMYFUNCTION("""COMPUTED_VALUE"""),"2785-MARSALGC")</f>
        <v>2785-MARSALGC</v>
      </c>
      <c r="E836" s="28" t="str">
        <f>IFERROR(__xludf.DUMMYFUNCTION("""COMPUTED_VALUE"""),"Centro de Cuidados Integrales")</f>
        <v>Centro de Cuidados Integrales</v>
      </c>
      <c r="F836" s="29" t="str">
        <f>IFERROR(__xludf.DUMMYFUNCTION("""COMPUTED_VALUE"""),"https://www.facebook.com/reel/1330701805649297")</f>
        <v>https://www.facebook.com/reel/1330701805649297</v>
      </c>
    </row>
    <row r="837">
      <c r="A837" s="28" t="str">
        <f>IFERROR(__xludf.DUMMYFUNCTION("""COMPUTED_VALUE"""),"2810-ABRSEGVC")</f>
        <v>2810-ABRSEGVC</v>
      </c>
      <c r="B837" s="28" t="str">
        <f>IFERROR(__xludf.DUMMYFUNCTION("""COMPUTED_VALUE"""),"RDV Ministros | Horacio Giménez 9/4 Comuna 3")</f>
        <v>RDV Ministros | Horacio Giménez 9/4 Comuna 3</v>
      </c>
      <c r="C837" s="29" t="str">
        <f>IFERROR(__xludf.DUMMYFUNCTION("""COMPUTED_VALUE"""),"Pieza")</f>
        <v>Pieza</v>
      </c>
      <c r="D837" s="28" t="str">
        <f>IFERROR(__xludf.DUMMYFUNCTION("""COMPUTED_VALUE"""),"2785-MARSALGC")</f>
        <v>2785-MARSALGC</v>
      </c>
      <c r="E837" s="28" t="str">
        <f>IFERROR(__xludf.DUMMYFUNCTION("""COMPUTED_VALUE"""),"Centro de Cuidados Integrales")</f>
        <v>Centro de Cuidados Integrales</v>
      </c>
      <c r="F837" s="29" t="str">
        <f>IFERROR(__xludf.DUMMYFUNCTION("""COMPUTED_VALUE"""),"https://www.facebook.com/reel/1330701805649297")</f>
        <v>https://www.facebook.com/reel/1330701805649297</v>
      </c>
    </row>
    <row r="838">
      <c r="A838" s="28" t="str">
        <f>IFERROR(__xludf.DUMMYFUNCTION("""COMPUTED_VALUE"""),"2705-MARHYFGC")</f>
        <v>2705-MARHYFGC</v>
      </c>
      <c r="B838" s="28" t="str">
        <f>IFERROR(__xludf.DUMMYFUNCTION("""COMPUTED_VALUE"""),"Agip - ABL")</f>
        <v>Agip - ABL</v>
      </c>
      <c r="C838" s="29" t="str">
        <f>IFERROR(__xludf.DUMMYFUNCTION("""COMPUTED_VALUE"""),"Pieza")</f>
        <v>Pieza</v>
      </c>
      <c r="D838" s="28" t="str">
        <f>IFERROR(__xludf.DUMMYFUNCTION("""COMPUTED_VALUE"""),"2843-ABRJDGAG")</f>
        <v>2843-ABRJDGAG</v>
      </c>
      <c r="E838" s="28" t="str">
        <f>IFERROR(__xludf.DUMMYFUNCTION("""COMPUTED_VALUE"""),"1 A 1 JM | Comuna 1 17/04")</f>
        <v>1 A 1 JM | Comuna 1 17/04</v>
      </c>
      <c r="F838" s="29" t="str">
        <f>IFERROR(__xludf.DUMMYFUNCTION("""COMPUTED_VALUE"""),"https://www.facebook.com/reel/1295138989235506")</f>
        <v>https://www.facebook.com/reel/1295138989235506</v>
      </c>
    </row>
    <row r="839">
      <c r="A839" s="28" t="str">
        <f>IFERROR(__xludf.DUMMYFUNCTION("""COMPUTED_VALUE"""),"2705-MARHYFGC")</f>
        <v>2705-MARHYFGC</v>
      </c>
      <c r="B839" s="28" t="str">
        <f>IFERROR(__xludf.DUMMYFUNCTION("""COMPUTED_VALUE"""),"Agip - ABL")</f>
        <v>Agip - ABL</v>
      </c>
      <c r="C839" s="29" t="str">
        <f>IFERROR(__xludf.DUMMYFUNCTION("""COMPUTED_VALUE"""),"Pieza")</f>
        <v>Pieza</v>
      </c>
      <c r="D839" s="28" t="str">
        <f>IFERROR(__xludf.DUMMYFUNCTION("""COMPUTED_VALUE"""),"2923-ABRJDGVC")</f>
        <v>2923-ABRJDGVC</v>
      </c>
      <c r="E839" s="28" t="str">
        <f>IFERROR(__xludf.DUMMYFUNCTION("""COMPUTED_VALUE"""),"RDV MINISTROS | GABRIEL SÁNCHEZ ZINNY  27/4 VILLA LUGANO")</f>
        <v>RDV MINISTROS | GABRIEL SÁNCHEZ ZINNY  27/4 VILLA LUGANO</v>
      </c>
      <c r="F839" s="29" t="str">
        <f>IFERROR(__xludf.DUMMYFUNCTION("""COMPUTED_VALUE"""),"https://www.facebook.com/baparticipacion/posts/pfbid09GkkAAkqoFPGdoydEHzWi3RWWfTrmQnxpo6ZWXqCf26wuME2jVZEq4GMgRy9rm8yl")</f>
        <v>https://www.facebook.com/baparticipacion/posts/pfbid09GkkAAkqoFPGdoydEHzWi3RWWfTrmQnxpo6ZWXqCf26wuME2jVZEq4GMgRy9rm8yl</v>
      </c>
    </row>
    <row r="840">
      <c r="A840" s="28" t="str">
        <f>IFERROR(__xludf.DUMMYFUNCTION("""COMPUTED_VALUE"""),"2830-ABRJDGVC")</f>
        <v>2830-ABRJDGVC</v>
      </c>
      <c r="B840" s="28" t="str">
        <f>IFERROR(__xludf.DUMMYFUNCTION("""COMPUTED_VALUE"""),"RDV MINISTROS | GABRIEL SÁNCHEZ ZINNY 14/4  RETIRO")</f>
        <v>RDV MINISTROS | GABRIEL SÁNCHEZ ZINNY 14/4  RETIRO</v>
      </c>
      <c r="C840" s="29" t="str">
        <f>IFERROR(__xludf.DUMMYFUNCTION("""COMPUTED_VALUE"""),"Pieza")</f>
        <v>Pieza</v>
      </c>
      <c r="D840" s="28" t="str">
        <f>IFERROR(__xludf.DUMMYFUNCTION("""COMPUTED_VALUE"""),"2924-ABRJDGVC")</f>
        <v>2924-ABRJDGVC</v>
      </c>
      <c r="E840" s="28" t="str">
        <f>IFERROR(__xludf.DUMMYFUNCTION("""COMPUTED_VALUE"""),"RDV MINISTROS | GABRIEL SÁNCHEZ ZINNY 28/4 COLEGIALES")</f>
        <v>RDV MINISTROS | GABRIEL SÁNCHEZ ZINNY 28/4 COLEGIALES</v>
      </c>
      <c r="F840" s="29" t="str">
        <f>IFERROR(__xludf.DUMMYFUNCTION("""COMPUTED_VALUE"""),"https://www.facebook.com/baparticipacion/posts/pfbid0brFm1bCbtuAtW9tkjBSjQLmnYttosXrpaAzso8fwbQuuLicQZWbN76MWrN71RekHl")</f>
        <v>https://www.facebook.com/baparticipacion/posts/pfbid0brFm1bCbtuAtW9tkjBSjQLmnYttosXrpaAzso8fwbQuuLicQZWbN76MWrN71RekHl</v>
      </c>
    </row>
    <row r="841">
      <c r="A841" s="28" t="str">
        <f>IFERROR(__xludf.DUMMYFUNCTION("""COMPUTED_VALUE"""),"1946-SEPEPHGC")</f>
        <v>1946-SEPEPHGC</v>
      </c>
      <c r="B841" s="28" t="str">
        <f>IFERROR(__xludf.DUMMYFUNCTION("""COMPUTED_VALUE"""),"CAMPAÑA GCBA | MEPHU  | PLUVIALES")</f>
        <v>CAMPAÑA GCBA | MEPHU  | PLUVIALES</v>
      </c>
      <c r="C841" s="29" t="str">
        <f>IFERROR(__xludf.DUMMYFUNCTION("""COMPUTED_VALUE"""),"Pieza")</f>
        <v>Pieza</v>
      </c>
      <c r="D841" s="28" t="str">
        <f>IFERROR(__xludf.DUMMYFUNCTION("""COMPUTED_VALUE"""),"2925-ABRSALVC")</f>
        <v>2925-ABRSALVC</v>
      </c>
      <c r="E841" s="28" t="str">
        <f>IFERROR(__xludf.DUMMYFUNCTION("""COMPUTED_VALUE"""),"RDV Ministros | Gabriel Mraida - Comuna 7")</f>
        <v>RDV Ministros | Gabriel Mraida - Comuna 7</v>
      </c>
      <c r="F841" s="29" t="str">
        <f>IFERROR(__xludf.DUMMYFUNCTION("""COMPUTED_VALUE"""),"https://www.facebook.com/baparticipacion/posts/pfbid0KLowxoSSsyPpnxzoG5kuw1zrmDKcvdiDrZyXprZBLCSbaHeF3NxNiMzHqaFMdnSdl")</f>
        <v>https://www.facebook.com/baparticipacion/posts/pfbid0KLowxoSSsyPpnxzoG5kuw1zrmDKcvdiDrZyXprZBLCSbaHeF3NxNiMzHqaFMdnSdl</v>
      </c>
    </row>
    <row r="842">
      <c r="A842" s="28" t="str">
        <f>IFERROR(__xludf.DUMMYFUNCTION("""COMPUTED_VALUE"""),"1964-SEPEPHGC")</f>
        <v>1964-SEPEPHGC</v>
      </c>
      <c r="B842" s="28" t="str">
        <f>IFERROR(__xludf.DUMMYFUNCTION("""COMPUTED_VALUE"""),"MEPHU RECAMBIO TECNOLÓGICO M2")</f>
        <v>MEPHU RECAMBIO TECNOLÓGICO M2</v>
      </c>
      <c r="C842" s="29" t="str">
        <f>IFERROR(__xludf.DUMMYFUNCTION("""COMPUTED_VALUE"""),"Pieza")</f>
        <v>Pieza</v>
      </c>
      <c r="D842" s="28" t="str">
        <f>IFERROR(__xludf.DUMMYFUNCTION("""COMPUTED_VALUE"""),"2912-ABRINFGC")</f>
        <v>2912-ABRINFGC</v>
      </c>
      <c r="E842" s="28" t="str">
        <f>IFERROR(__xludf.DUMMYFUNCTION("""COMPUTED_VALUE""")," Cortes por Carrera Maratana 2026")</f>
        <v> Cortes por Carrera Maratana 2026</v>
      </c>
      <c r="F842" s="29" t="str">
        <f>IFERROR(__xludf.DUMMYFUNCTION("""COMPUTED_VALUE"""),"https://fb.me/adspreview/facebook/1U53Ljp62nKtRhr")</f>
        <v>https://fb.me/adspreview/facebook/1U53Ljp62nKtRhr</v>
      </c>
    </row>
    <row r="843">
      <c r="A843" s="28" t="str">
        <f>IFERROR(__xludf.DUMMYFUNCTION("""COMPUTED_VALUE"""),"1942-SEPEPHGC")</f>
        <v>1942-SEPEPHGC</v>
      </c>
      <c r="B843" s="28" t="str">
        <f>IFERROR(__xludf.DUMMYFUNCTION("""COMPUTED_VALUE"""),"DGPLES | MEPHU  | REPARACIÓN DE VEREDAS")</f>
        <v>DGPLES | MEPHU  | REPARACIÓN DE VEREDAS</v>
      </c>
      <c r="C843" s="29" t="str">
        <f>IFERROR(__xludf.DUMMYFUNCTION("""COMPUTED_VALUE"""),"Pieza")</f>
        <v>Pieza</v>
      </c>
      <c r="D843" s="28" t="str">
        <f>IFERROR(__xludf.DUMMYFUNCTION("""COMPUTED_VALUE"""),"2926-ABREDUVC")</f>
        <v>2926-ABREDUVC</v>
      </c>
      <c r="E843" s="28" t="str">
        <f>IFERROR(__xludf.DUMMYFUNCTION("""COMPUTED_VALUE"""),"RDV MINISTROS | Mercedes Miguel | 29/4 | comuna 15")</f>
        <v>RDV MINISTROS | Mercedes Miguel | 29/4 | comuna 15</v>
      </c>
      <c r="F843" s="29" t="str">
        <f>IFERROR(__xludf.DUMMYFUNCTION("""COMPUTED_VALUE"""),"https://www.facebook.com/baparticipacion/posts/pfbid0NsuYsQqCMf2nfQNUxYatuEnSRbrSBKmf4sB6ZgcyQ4AwVpSiXVGsQC78JgT44Ny9l")</f>
        <v>https://www.facebook.com/baparticipacion/posts/pfbid0NsuYsQqCMf2nfQNUxYatuEnSRbrSBKmf4sB6ZgcyQ4AwVpSiXVGsQC78JgT44Ny9l</v>
      </c>
    </row>
    <row r="844">
      <c r="A844" s="28" t="str">
        <f>IFERROR(__xludf.DUMMYFUNCTION("""COMPUTED_VALUE"""),"1942-SEPEPHGC")</f>
        <v>1942-SEPEPHGC</v>
      </c>
      <c r="B844" s="28" t="str">
        <f>IFERROR(__xludf.DUMMYFUNCTION("""COMPUTED_VALUE"""),"DGPLES | MEPHU  | REPARACIÓN DE VEREDAS")</f>
        <v>DGPLES | MEPHU  | REPARACIÓN DE VEREDAS</v>
      </c>
      <c r="C844" s="29" t="str">
        <f>IFERROR(__xludf.DUMMYFUNCTION("""COMPUTED_VALUE"""),"Pieza")</f>
        <v>Pieza</v>
      </c>
      <c r="D844" s="28" t="str">
        <f>IFERROR(__xludf.DUMMYFUNCTION("""COMPUTED_VALUE"""),"2922-ABREPHVC")</f>
        <v>2922-ABREPHVC</v>
      </c>
      <c r="E844" s="28" t="str">
        <f>IFERROR(__xludf.DUMMYFUNCTION("""COMPUTED_VALUE"""),"RDV MINISTROS | IGNACIO BAISTROCCHI  27/4 COMUNA 10")</f>
        <v>RDV MINISTROS | IGNACIO BAISTROCCHI  27/4 COMUNA 10</v>
      </c>
      <c r="F844" s="29" t="str">
        <f>IFERROR(__xludf.DUMMYFUNCTION("""COMPUTED_VALUE"""),"https://www.facebook.com/baparticipacion/posts/pfbid0XEULNebDXk1ywWcpcojCyfFSneCeUgxVJu926P5wGVrJP3Qwru1tRir4rro7HusWl")</f>
        <v>https://www.facebook.com/baparticipacion/posts/pfbid0XEULNebDXk1ywWcpcojCyfFSneCeUgxVJu926P5wGVrJP3Qwru1tRir4rro7HusWl</v>
      </c>
    </row>
    <row r="845">
      <c r="A845" s="28" t="str">
        <f>IFERROR(__xludf.DUMMYFUNCTION("""COMPUTED_VALUE"""),"1895-SEPEPHGC")</f>
        <v>1895-SEPEPHGC</v>
      </c>
      <c r="B845" s="28" t="str">
        <f>IFERROR(__xludf.DUMMYFUNCTION("""COMPUTED_VALUE"""),"PIEZAS M2 | MEPHU | REPAVIMENTACIÓN")</f>
        <v>PIEZAS M2 | MEPHU | REPAVIMENTACIÓN</v>
      </c>
      <c r="C845" s="29" t="str">
        <f>IFERROR(__xludf.DUMMYFUNCTION("""COMPUTED_VALUE"""),"Pieza")</f>
        <v>Pieza</v>
      </c>
      <c r="D845" s="28" t="str">
        <f>IFERROR(__xludf.DUMMYFUNCTION("""COMPUTED_VALUE"""),"2929-ABRJDGAG")</f>
        <v>2929-ABRJDGAG</v>
      </c>
      <c r="E845" s="28" t="str">
        <f>IFERROR(__xludf.DUMMYFUNCTION("""COMPUTED_VALUE"""),"1 A 1 JM | Comuna 12 29/04")</f>
        <v>1 A 1 JM | Comuna 12 29/04</v>
      </c>
      <c r="F845" s="29" t="str">
        <f>IFERROR(__xludf.DUMMYFUNCTION("""COMPUTED_VALUE"""),"https://www.facebook.com/GCBA/posts/pfbid0yJbTFZ1bu3XPMWb9zMuZCve5X87Q4ugRLcfLkSzVdBZ4wp7SvnPjPrQnwKh2Q7CTl")</f>
        <v>https://www.facebook.com/GCBA/posts/pfbid0yJbTFZ1bu3XPMWb9zMuZCve5X87Q4ugRLcfLkSzVdBZ4wp7SvnPjPrQnwKh2Q7CTl</v>
      </c>
    </row>
    <row r="846">
      <c r="A846" s="28" t="str">
        <f>IFERROR(__xludf.DUMMYFUNCTION("""COMPUTED_VALUE"""),"1943-SEPEPHGC")</f>
        <v>1943-SEPEPHGC</v>
      </c>
      <c r="B846" s="28" t="str">
        <f>IFERROR(__xludf.DUMMYFUNCTION("""COMPUTED_VALUE"""),"DGPLES | MEPHU  | READOQUINADO")</f>
        <v>DGPLES | MEPHU  | READOQUINADO</v>
      </c>
      <c r="C846" s="29" t="str">
        <f>IFERROR(__xludf.DUMMYFUNCTION("""COMPUTED_VALUE"""),"Pieza")</f>
        <v>Pieza</v>
      </c>
      <c r="D846" s="28" t="str">
        <f>IFERROR(__xludf.DUMMYFUNCTION("""COMPUTED_VALUE"""),"2908-ABRSALGC")</f>
        <v>2908-ABRSALGC</v>
      </c>
      <c r="E846" s="28" t="str">
        <f>IFERROR(__xludf.DUMMYFUNCTION("""COMPUTED_VALUE"""),"Hospital Muñiz - Fin de obra")</f>
        <v>Hospital Muñiz - Fin de obra</v>
      </c>
      <c r="F846" s="29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847">
      <c r="A847" s="28" t="str">
        <f>IFERROR(__xludf.DUMMYFUNCTION("""COMPUTED_VALUE"""),"1896-SEPEPHGC")</f>
        <v>1896-SEPEPHGC</v>
      </c>
      <c r="B847" s="28" t="str">
        <f>IFERROR(__xludf.DUMMYFUNCTION("""COMPUTED_VALUE"""),"PIEZAS M2 | MEPHU | LIMPIEZA INTENSIVA")</f>
        <v>PIEZAS M2 | MEPHU | LIMPIEZA INTENSIVA</v>
      </c>
      <c r="C847" s="29" t="str">
        <f>IFERROR(__xludf.DUMMYFUNCTION("""COMPUTED_VALUE"""),"Pieza")</f>
        <v>Pieza</v>
      </c>
      <c r="D847" s="28" t="str">
        <f>IFERROR(__xludf.DUMMYFUNCTION("""COMPUTED_VALUE"""),"2908-ABRSALGC")</f>
        <v>2908-ABRSALGC</v>
      </c>
      <c r="E847" s="28" t="str">
        <f>IFERROR(__xludf.DUMMYFUNCTION("""COMPUTED_VALUE"""),"Hospital Muñiz - Fin de obra")</f>
        <v>Hospital Muñiz - Fin de obra</v>
      </c>
      <c r="F847" s="29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848">
      <c r="A848" s="28" t="str">
        <f>IFERROR(__xludf.DUMMYFUNCTION("""COMPUTED_VALUE"""),"2829-ABREPHVC")</f>
        <v>2829-ABREPHVC</v>
      </c>
      <c r="B848" s="28" t="str">
        <f>IFERROR(__xludf.DUMMYFUNCTION("""COMPUTED_VALUE"""),"RDV MINISTROS | IGNACIO BAISTROCCHI 13/4 COMUNA 3")</f>
        <v>RDV MINISTROS | IGNACIO BAISTROCCHI 13/4 COMUNA 3</v>
      </c>
      <c r="C848" s="29" t="str">
        <f>IFERROR(__xludf.DUMMYFUNCTION("""COMPUTED_VALUE"""),"Pieza")</f>
        <v>Pieza</v>
      </c>
      <c r="D848" s="28" t="str">
        <f>IFERROR(__xludf.DUMMYFUNCTION("""COMPUTED_VALUE"""),"2931-ABRINFGC")</f>
        <v>2931-ABRINFGC</v>
      </c>
      <c r="E848" s="28" t="str">
        <f>IFERROR(__xludf.DUMMYFUNCTION("""COMPUTED_VALUE"""),"Cortes y desvíos en Ferro por show de No Te Va a Gustar")</f>
        <v>Cortes y desvíos en Ferro por show de No Te Va a Gustar</v>
      </c>
      <c r="F848" s="29" t="str">
        <f>IFERROR(__xludf.DUMMYFUNCTION("""COMPUTED_VALUE"""),"https://fb.me/adspreview/facebook/1TLrgWWjgfhGCM8")</f>
        <v>https://fb.me/adspreview/facebook/1TLrgWWjgfhGCM8</v>
      </c>
    </row>
    <row r="849">
      <c r="A849" s="28" t="str">
        <f>IFERROR(__xludf.DUMMYFUNCTION("""COMPUTED_VALUE"""),"2845-ABRINFGC")</f>
        <v>2845-ABRINFGC</v>
      </c>
      <c r="B849" s="28" t="str">
        <f>IFERROR(__xludf.DUMMYFUNCTION("""COMPUTED_VALUE"""),"Infraestructura I Cortes de tránsito por evento deportivo LAS TEMPORADAS")</f>
        <v>Infraestructura I Cortes de tránsito por evento deportivo LAS TEMPORADAS</v>
      </c>
      <c r="C849" s="29" t="str">
        <f>IFERROR(__xludf.DUMMYFUNCTION("""COMPUTED_VALUE"""),"Pieza")</f>
        <v>Pieza</v>
      </c>
      <c r="D849" s="28" t="str">
        <f>IFERROR(__xludf.DUMMYFUNCTION("""COMPUTED_VALUE"""),"2937-ABRSEGVC")</f>
        <v>2937-ABRSEGVC</v>
      </c>
      <c r="E849" s="28" t="str">
        <f>IFERROR(__xludf.DUMMYFUNCTION("""COMPUTED_VALUE"""),"RDV MINISTROS | Horacio Giménez 30/4 Comuna 15")</f>
        <v>RDV MINISTROS | Horacio Giménez 30/4 Comuna 15</v>
      </c>
      <c r="F849" s="29" t="str">
        <f>IFERROR(__xludf.DUMMYFUNCTION("""COMPUTED_VALUE"""),"https://www.facebook.com/baparticipacion/posts/pfbid034YdpP2aCj4a3NF71q3dkVsnDbhNPMVqYjNZAKFyzDYxuFdcvFhUqS7oDMYJ9dSUQl")</f>
        <v>https://www.facebook.com/baparticipacion/posts/pfbid034YdpP2aCj4a3NF71q3dkVsnDbhNPMVqYjNZAKFyzDYxuFdcvFhUqS7oDMYJ9dSUQl</v>
      </c>
    </row>
    <row r="850">
      <c r="A850" s="28" t="str">
        <f>IFERROR(__xludf.DUMMYFUNCTION("""COMPUTED_VALUE"""),"2705-MARHYFGC")</f>
        <v>2705-MARHYFGC</v>
      </c>
      <c r="B850" s="28" t="str">
        <f>IFERROR(__xludf.DUMMYFUNCTION("""COMPUTED_VALUE"""),"Agip - ABL")</f>
        <v>Agip - ABL</v>
      </c>
      <c r="C850" s="29" t="str">
        <f>IFERROR(__xludf.DUMMYFUNCTION("""COMPUTED_VALUE"""),"Pieza")</f>
        <v>Pieza</v>
      </c>
      <c r="D850" s="28" t="str">
        <f>IFERROR(__xludf.DUMMYFUNCTION("""COMPUTED_VALUE"""),"2935-ABRSEGVC")</f>
        <v>2935-ABRSEGVC</v>
      </c>
      <c r="E850" s="28" t="str">
        <f>IFERROR(__xludf.DUMMYFUNCTION("""COMPUTED_VALUE"""),"RDV MINISTROS | Maximiliano Piñeiro 30/4 Comuna 13")</f>
        <v>RDV MINISTROS | Maximiliano Piñeiro 30/4 Comuna 13</v>
      </c>
      <c r="F850" s="29" t="str">
        <f>IFERROR(__xludf.DUMMYFUNCTION("""COMPUTED_VALUE"""),"https://www.facebook.com/baparticipacion/posts/pfbid02Cd9WeTeR2MvAMMwZfG6fiw1RXx9T8DrkaBsfjpLgT1xQZFq9pRVZBMTcw4KKgQDPl")</f>
        <v>https://www.facebook.com/baparticipacion/posts/pfbid02Cd9WeTeR2MvAMMwZfG6fiw1RXx9T8DrkaBsfjpLgT1xQZFq9pRVZBMTcw4KKgQDPl</v>
      </c>
    </row>
    <row r="851">
      <c r="A851" s="28" t="str">
        <f>IFERROR(__xludf.DUMMYFUNCTION("""COMPUTED_VALUE"""),"2705-MARHYFGC")</f>
        <v>2705-MARHYFGC</v>
      </c>
      <c r="B851" s="28" t="str">
        <f>IFERROR(__xludf.DUMMYFUNCTION("""COMPUTED_VALUE"""),"Agip - ABL")</f>
        <v>Agip - ABL</v>
      </c>
      <c r="C851" s="29" t="str">
        <f>IFERROR(__xludf.DUMMYFUNCTION("""COMPUTED_VALUE"""),"Pieza")</f>
        <v>Pieza</v>
      </c>
      <c r="D851" s="28" t="str">
        <f>IFERROR(__xludf.DUMMYFUNCTION("""COMPUTED_VALUE"""),"2936-ABRSEGVC")</f>
        <v>2936-ABRSEGVC</v>
      </c>
      <c r="E851" s="28" t="str">
        <f>IFERROR(__xludf.DUMMYFUNCTION("""COMPUTED_VALUE"""),"RDV MINISTROS | Gabino Tapia 30/4 Comuna 14")</f>
        <v>RDV MINISTROS | Gabino Tapia 30/4 Comuna 14</v>
      </c>
      <c r="F851" s="29" t="str">
        <f>IFERROR(__xludf.DUMMYFUNCTION("""COMPUTED_VALUE"""),"https://www.facebook.com/baparticipacion/posts/pfbid0aiHtMwhdKZKogzkdAm5sZjZ8RPpvY4pTg5x8Pf26m1cy2KiC6hbiuG4THxXjumTBl")</f>
        <v>https://www.facebook.com/baparticipacion/posts/pfbid0aiHtMwhdKZKogzkdAm5sZjZ8RPpvY4pTg5x8Pf26m1cy2KiC6hbiuG4THxXjumTBl</v>
      </c>
    </row>
    <row r="852">
      <c r="A852" s="28" t="str">
        <f>IFERROR(__xludf.DUMMYFUNCTION("""COMPUTED_VALUE"""),"2829-ABREPHVC")</f>
        <v>2829-ABREPHVC</v>
      </c>
      <c r="B852" s="28" t="str">
        <f>IFERROR(__xludf.DUMMYFUNCTION("""COMPUTED_VALUE"""),"RDV MINISTROS | IGNACIO BAISTROCCHI 13/4 COMUNA 3")</f>
        <v>RDV MINISTROS | IGNACIO BAISTROCCHI 13/4 COMUNA 3</v>
      </c>
      <c r="C852" s="29" t="str">
        <f>IFERROR(__xludf.DUMMYFUNCTION("""COMPUTED_VALUE"""),"Pieza")</f>
        <v>Pieza</v>
      </c>
      <c r="D852" s="28" t="str">
        <f>IFERROR(__xludf.DUMMYFUNCTION("""COMPUTED_VALUE"""),"2933-ABRSEGVC")</f>
        <v>2933-ABRSEGVC</v>
      </c>
      <c r="E852" s="28" t="str">
        <f>IFERROR(__xludf.DUMMYFUNCTION("""COMPUTED_VALUE"""),"RDV MINISTROS | Ruth Landerreche 30/4 Comuna 12")</f>
        <v>RDV MINISTROS | Ruth Landerreche 30/4 Comuna 12</v>
      </c>
      <c r="F852" s="29" t="str">
        <f>IFERROR(__xludf.DUMMYFUNCTION("""COMPUTED_VALUE"""),"https://www.facebook.com/baparticipacion/posts/pfbid0Ed8Uev5EPAvAM9UfPvra2XCBo8zCNAc9sygYL7GXb6eMNXrC2PoUzhEK76CY3riYl")</f>
        <v>https://www.facebook.com/baparticipacion/posts/pfbid0Ed8Uev5EPAvAM9UfPvra2XCBo8zCNAc9sygYL7GXb6eMNXrC2PoUzhEK76CY3riYl</v>
      </c>
    </row>
    <row r="853">
      <c r="A853" s="28" t="str">
        <f>IFERROR(__xludf.DUMMYFUNCTION("""COMPUTED_VALUE"""),"2806-ABRSEGVC")</f>
        <v>2806-ABRSEGVC</v>
      </c>
      <c r="B853" s="28" t="str">
        <f>IFERROR(__xludf.DUMMYFUNCTION("""COMPUTED_VALUE"""),"RDV Ministros | Ruth Landerreche 9/4 Comuna 1 Norte")</f>
        <v>RDV Ministros | Ruth Landerreche 9/4 Comuna 1 Norte</v>
      </c>
      <c r="C853" s="29" t="str">
        <f>IFERROR(__xludf.DUMMYFUNCTION("""COMPUTED_VALUE"""),"Pieza")</f>
        <v>Pieza</v>
      </c>
      <c r="D853" s="28" t="str">
        <f>IFERROR(__xludf.DUMMYFUNCTION("""COMPUTED_VALUE"""),"2932-ABRJDGAG")</f>
        <v>2932-ABRJDGAG</v>
      </c>
      <c r="E853" s="28" t="str">
        <f>IFERROR(__xludf.DUMMYFUNCTION("""COMPUTED_VALUE"""),"RDV JM BALVANERA 28/4")</f>
        <v>RDV JM BALVANERA 28/4</v>
      </c>
      <c r="F853" s="29" t="str">
        <f>IFERROR(__xludf.DUMMYFUNCTION("""COMPUTED_VALUE"""),"https://www.facebook.com/reel/1214416363924445")</f>
        <v>https://www.facebook.com/reel/1214416363924445</v>
      </c>
    </row>
    <row r="854">
      <c r="A854" s="28" t="str">
        <f>IFERROR(__xludf.DUMMYFUNCTION("""COMPUTED_VALUE"""),"2834-ABRSEGVC")</f>
        <v>2834-ABRSEGVC</v>
      </c>
      <c r="B854" s="28" t="str">
        <f>IFERROR(__xludf.DUMMYFUNCTION("""COMPUTED_VALUE"""),"RDV MINISTROS | Gabino Tapia 16/4 Comuna 6")</f>
        <v>RDV MINISTROS | Gabino Tapia 16/4 Comuna 6</v>
      </c>
      <c r="C854" s="29" t="str">
        <f>IFERROR(__xludf.DUMMYFUNCTION("""COMPUTED_VALUE"""),"Pieza")</f>
        <v>Pieza</v>
      </c>
      <c r="D854" s="28" t="str">
        <f>IFERROR(__xludf.DUMMYFUNCTION("""COMPUTED_VALUE"""),"2823-ABRCULGC")</f>
        <v>2823-ABRCULGC</v>
      </c>
      <c r="E854" s="28" t="str">
        <f>IFERROR(__xludf.DUMMYFUNCTION("""COMPUTED_VALUE"""),"Lanzamiento Linda. Ar")</f>
        <v>Lanzamiento Linda. Ar</v>
      </c>
      <c r="F854" s="29" t="str">
        <f>IFERROR(__xludf.DUMMYFUNCTION("""COMPUTED_VALUE"""),"https://www.facebook.com/reel/1214416363924445")</f>
        <v>https://www.facebook.com/reel/1214416363924445</v>
      </c>
    </row>
    <row r="855">
      <c r="A855" s="28" t="str">
        <f>IFERROR(__xludf.DUMMYFUNCTION("""COMPUTED_VALUE"""),"2838-ABRVINVC")</f>
        <v>2838-ABRVINVC</v>
      </c>
      <c r="B855" s="28" t="str">
        <f>IFERROR(__xludf.DUMMYFUNCTION("""COMPUTED_VALUE"""),"CAMPAÑA GCBA | VINCULO CIUDADANO | Mas servicios en tu barrio 2026: Agronomía 16/4")</f>
        <v>CAMPAÑA GCBA | VINCULO CIUDADANO | Mas servicios en tu barrio 2026: Agronomía 16/4</v>
      </c>
      <c r="C855" s="29" t="str">
        <f>IFERROR(__xludf.DUMMYFUNCTION("""COMPUTED_VALUE"""),"Pieza")</f>
        <v>Pieza</v>
      </c>
      <c r="D855" s="28" t="str">
        <f>IFERROR(__xludf.DUMMYFUNCTION("""COMPUTED_VALUE"""),"2145-OCTVINGC")</f>
        <v>2145-OCTVINGC</v>
      </c>
      <c r="E855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F855" s="29" t="str">
        <f>IFERROR(__xludf.DUMMYFUNCTION("""COMPUTED_VALUE"""),"https://www.facebook.com/GCBA/posts/pfbid02j9NjjKC7QJSSUrKxkX55nDiWFRmCpVKSS3w7J3VpQA3DakuvLQQ5B3z96orCNRMUl")</f>
        <v>https://www.facebook.com/GCBA/posts/pfbid02j9NjjKC7QJSSUrKxkX55nDiWFRmCpVKSS3w7J3VpQA3DakuvLQQ5B3z96orCNRMUl</v>
      </c>
    </row>
    <row r="856">
      <c r="A856" s="28" t="str">
        <f>IFERROR(__xludf.DUMMYFUNCTION("""COMPUTED_VALUE"""),"2839-ABRVINVC")</f>
        <v>2839-ABRVINVC</v>
      </c>
      <c r="B856" s="28" t="str">
        <f>IFERROR(__xludf.DUMMYFUNCTION("""COMPUTED_VALUE"""),"CAMPAÑA GCBA | VINCULO CIUDADANO | Mas servicios en tu barrio 2026:  Caballito 17/4")</f>
        <v>CAMPAÑA GCBA | VINCULO CIUDADANO | Mas servicios en tu barrio 2026:  Caballito 17/4</v>
      </c>
      <c r="C856" s="29" t="str">
        <f>IFERROR(__xludf.DUMMYFUNCTION("""COMPUTED_VALUE"""),"Pieza")</f>
        <v>Pieza</v>
      </c>
      <c r="D856" s="28" t="str">
        <f>IFERROR(__xludf.DUMMYFUNCTION("""COMPUTED_VALUE"""),"2940-ABRAMBVC")</f>
        <v>2940-ABRAMBVC</v>
      </c>
      <c r="E856" s="28" t="str">
        <f>IFERROR(__xludf.DUMMYFUNCTION("""COMPUTED_VALUE"""),"RDV Ministros | Clara Muzzio - 29/04")</f>
        <v>RDV Ministros | Clara Muzzio - 29/04</v>
      </c>
      <c r="F856" s="29" t="str">
        <f>IFERROR(__xludf.DUMMYFUNCTION("""COMPUTED_VALUE"""),"https://www.facebook.com/baparticipacion/posts/pfbid0fFhtpJqpsLYvKCoQdrSx9qawc4fNkRYx3sJRrh7NgP1kmb6eJyjAvRTLvHGRvbuEl")</f>
        <v>https://www.facebook.com/baparticipacion/posts/pfbid0fFhtpJqpsLYvKCoQdrSx9qawc4fNkRYx3sJRrh7NgP1kmb6eJyjAvRTLvHGRvbuEl</v>
      </c>
    </row>
    <row r="857">
      <c r="A857" s="28" t="str">
        <f>IFERROR(__xludf.DUMMYFUNCTION("""COMPUTED_VALUE"""),"2840-ABRVINVC")</f>
        <v>2840-ABRVINVC</v>
      </c>
      <c r="B857" s="28" t="str">
        <f>IFERROR(__xludf.DUMMYFUNCTION("""COMPUTED_VALUE"""),"CAMPAÑA GCBA | VINCULO CIUDADANO | Mas servicios en tu barrio 2026:  Parque Chas 17/4")</f>
        <v>CAMPAÑA GCBA | VINCULO CIUDADANO | Mas servicios en tu barrio 2026:  Parque Chas 17/4</v>
      </c>
      <c r="C857" s="29" t="str">
        <f>IFERROR(__xludf.DUMMYFUNCTION("""COMPUTED_VALUE"""),"Pieza")</f>
        <v>Pieza</v>
      </c>
      <c r="D857" s="28" t="str">
        <f>IFERROR(__xludf.DUMMYFUNCTION("""COMPUTED_VALUE"""),"2887-ABRJDGGC")</f>
        <v>2887-ABRJDGGC</v>
      </c>
      <c r="E857" s="28" t="str">
        <f>IFERROR(__xludf.DUMMYFUNCTION("""COMPUTED_VALUE"""),"1 A 1 JM | Comuna 15 23/04")</f>
        <v>1 A 1 JM | Comuna 15 23/04</v>
      </c>
      <c r="F857" s="29" t="str">
        <f>IFERROR(__xludf.DUMMYFUNCTION("""COMPUTED_VALUE"""),"https://www.facebook.com/reel/976632781498219")</f>
        <v>https://www.facebook.com/reel/976632781498219</v>
      </c>
    </row>
    <row r="858">
      <c r="A858" s="28" t="str">
        <f>IFERROR(__xludf.DUMMYFUNCTION("""COMPUTED_VALUE"""),"2844-ABRVINVC")</f>
        <v>2844-ABRVINVC</v>
      </c>
      <c r="B858" s="28" t="str">
        <f>IFERROR(__xludf.DUMMYFUNCTION("""COMPUTED_VALUE"""),"CAMPAÑA GCBA | VINCULO CIUDADANO | Mas servicios en tu barrio 2026:  Villa Soldati 18/4")</f>
        <v>CAMPAÑA GCBA | VINCULO CIUDADANO | Mas servicios en tu barrio 2026:  Villa Soldati 18/4</v>
      </c>
      <c r="C858" s="29" t="str">
        <f>IFERROR(__xludf.DUMMYFUNCTION("""COMPUTED_VALUE"""),"Pieza")</f>
        <v>Pieza</v>
      </c>
      <c r="D858" s="28" t="str">
        <f>IFERROR(__xludf.DUMMYFUNCTION("""COMPUTED_VALUE"""),"2813-ABRDUDGC")</f>
        <v>2813-ABRDUDGC</v>
      </c>
      <c r="E858" s="28" t="str">
        <f>IFERROR(__xludf.DUMMYFUNCTION("""COMPUTED_VALUE"""),"Evento Colapinto")</f>
        <v>Evento Colapinto</v>
      </c>
      <c r="F858" s="29" t="str">
        <f>IFERROR(__xludf.DUMMYFUNCTION("""COMPUTED_VALUE"""),"https://www.facebook.com/reel/1353968750115839")</f>
        <v>https://www.facebook.com/reel/1353968750115839</v>
      </c>
    </row>
    <row r="859">
      <c r="A859" s="28" t="str">
        <f>IFERROR(__xludf.DUMMYFUNCTION("""COMPUTED_VALUE"""),"2853-ABRINFGC")</f>
        <v>2853-ABRINFGC</v>
      </c>
      <c r="B859" s="28" t="str">
        <f>IFERROR(__xludf.DUMMYFUNCTION("""COMPUTED_VALUE"""),"Infraestructura I Corte AU Illia por obras")</f>
        <v>Infraestructura I Corte AU Illia por obras</v>
      </c>
      <c r="C859" s="29" t="str">
        <f>IFERROR(__xludf.DUMMYFUNCTION("""COMPUTED_VALUE"""),"Pieza")</f>
        <v>Pieza</v>
      </c>
      <c r="D859" s="28" t="str">
        <f>IFERROR(__xludf.DUMMYFUNCTION("""COMPUTED_VALUE"""),"2496-ENEVINGC")</f>
        <v>2496-ENEVINGC</v>
      </c>
      <c r="E85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59" s="29" t="str">
        <f>IFERROR(__xludf.DUMMYFUNCTION("""COMPUTED_VALUE"""),"https://www.facebook.com/GCBA/posts/pfbid01L76cr1GFgMjnBYwa2YERxXudh7NLiPCs8j3JwDFjDWdmZV6R8F8zvBUV3AzK6hMl")</f>
        <v>https://www.facebook.com/GCBA/posts/pfbid01L76cr1GFgMjnBYwa2YERxXudh7NLiPCs8j3JwDFjDWdmZV6R8F8zvBUV3AzK6hMl</v>
      </c>
    </row>
    <row r="860">
      <c r="A860" s="28" t="str">
        <f>IFERROR(__xludf.DUMMYFUNCTION("""COMPUTED_VALUE"""),"2830-ABRJDGVC")</f>
        <v>2830-ABRJDGVC</v>
      </c>
      <c r="B860" s="28" t="str">
        <f>IFERROR(__xludf.DUMMYFUNCTION("""COMPUTED_VALUE"""),"RDV MINISTROS | GABRIEL SÁNCHEZ ZINNY 14/4  RETIRO")</f>
        <v>RDV MINISTROS | GABRIEL SÁNCHEZ ZINNY 14/4  RETIRO</v>
      </c>
      <c r="C860" s="29" t="str">
        <f>IFERROR(__xludf.DUMMYFUNCTION("""COMPUTED_VALUE"""),"Pieza")</f>
        <v>Pieza</v>
      </c>
      <c r="D860" s="28" t="str">
        <f>IFERROR(__xludf.DUMMYFUNCTION("""COMPUTED_VALUE"""),"2496-ENEVINGC")</f>
        <v>2496-ENEVINGC</v>
      </c>
      <c r="E86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0" s="29" t="str">
        <f>IFERROR(__xludf.DUMMYFUNCTION("""COMPUTED_VALUE"""),"https://www.facebook.com/GCBA/posts/pfbid02EfrkKXQLKfdqLtRG3DCjjGxiCuN64Tt4Zawp3Qz57rFstXmisSxEvkCGrbAuwphZl")</f>
        <v>https://www.facebook.com/GCBA/posts/pfbid02EfrkKXQLKfdqLtRG3DCjjGxiCuN64Tt4Zawp3Qz57rFstXmisSxEvkCGrbAuwphZl</v>
      </c>
    </row>
    <row r="861">
      <c r="A861" s="28" t="str">
        <f>IFERROR(__xludf.DUMMYFUNCTION("""COMPUTED_VALUE"""),"2835-ABRSEGVC")</f>
        <v>2835-ABRSEGVC</v>
      </c>
      <c r="B861" s="28" t="str">
        <f>IFERROR(__xludf.DUMMYFUNCTION("""COMPUTED_VALUE"""),"RDV MINISTROS | Horacio Giménez 16/4 Comuna 7")</f>
        <v>RDV MINISTROS | Horacio Giménez 16/4 Comuna 7</v>
      </c>
      <c r="C861" s="29" t="str">
        <f>IFERROR(__xludf.DUMMYFUNCTION("""COMPUTED_VALUE"""),"Pieza")</f>
        <v>Pieza</v>
      </c>
      <c r="D861" s="28" t="str">
        <f>IFERROR(__xludf.DUMMYFUNCTION("""COMPUTED_VALUE"""),"2496-ENEVINGC")</f>
        <v>2496-ENEVINGC</v>
      </c>
      <c r="E86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1" s="29" t="str">
        <f>IFERROR(__xludf.DUMMYFUNCTION("""COMPUTED_VALUE"""),"https://www.facebook.com/GCBA/posts/pfbid0b4iNwqqUvd7F2M6U3W1Z3ZRhXQk3Fbxfforwy1qj6ogdFrWrUMFCXe4GBue93wZml")</f>
        <v>https://www.facebook.com/GCBA/posts/pfbid0b4iNwqqUvd7F2M6U3W1Z3ZRhXQk3Fbxfforwy1qj6ogdFrWrUMFCXe4GBue93wZml</v>
      </c>
    </row>
    <row r="862">
      <c r="A862" s="28" t="str">
        <f>IFERROR(__xludf.DUMMYFUNCTION("""COMPUTED_VALUE"""),"2831-ABRSEGVC")</f>
        <v>2831-ABRSEGVC</v>
      </c>
      <c r="B862" s="28" t="str">
        <f>IFERROR(__xludf.DUMMYFUNCTION("""COMPUTED_VALUE"""),"RDV MINISTROS | Maximiliano Piñeiro 16/4 Comuna 4")</f>
        <v>RDV MINISTROS | Maximiliano Piñeiro 16/4 Comuna 4</v>
      </c>
      <c r="C862" s="29" t="str">
        <f>IFERROR(__xludf.DUMMYFUNCTION("""COMPUTED_VALUE"""),"Pieza")</f>
        <v>Pieza</v>
      </c>
      <c r="D862" s="28" t="str">
        <f>IFERROR(__xludf.DUMMYFUNCTION("""COMPUTED_VALUE"""),"2496-ENEVINGC")</f>
        <v>2496-ENEVINGC</v>
      </c>
      <c r="E86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2" s="29" t="str">
        <f>IFERROR(__xludf.DUMMYFUNCTION("""COMPUTED_VALUE"""),"https://www.facebook.com/GCBA/posts/pfbid035r6fbNBAi52eKsDsVtmyhQLJ3Cu3r4ZCzv3cR1rgDe4qh5J7wz3SSNRgSj8BTNmAl")</f>
        <v>https://www.facebook.com/GCBA/posts/pfbid035r6fbNBAi52eKsDsVtmyhQLJ3Cu3r4ZCzv3cR1rgDe4qh5J7wz3SSNRgSj8BTNmAl</v>
      </c>
    </row>
    <row r="863">
      <c r="A863" s="28" t="str">
        <f>IFERROR(__xludf.DUMMYFUNCTION("""COMPUTED_VALUE"""),"2808-ABRSEGVC")</f>
        <v>2808-ABRSEGVC</v>
      </c>
      <c r="B863" s="28" t="str">
        <f>IFERROR(__xludf.DUMMYFUNCTION("""COMPUTED_VALUE"""),"RDV Ministros | Maximilia Piñeiro 9/4 Comuna 2")</f>
        <v>RDV Ministros | Maximilia Piñeiro 9/4 Comuna 2</v>
      </c>
      <c r="C863" s="29" t="str">
        <f>IFERROR(__xludf.DUMMYFUNCTION("""COMPUTED_VALUE"""),"Pieza")</f>
        <v>Pieza</v>
      </c>
      <c r="D863" s="28" t="str">
        <f>IFERROR(__xludf.DUMMYFUNCTION("""COMPUTED_VALUE"""),"2496-ENEVINGC")</f>
        <v>2496-ENEVINGC</v>
      </c>
      <c r="E86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863" s="29" t="str">
        <f>IFERROR(__xludf.DUMMYFUNCTION("""COMPUTED_VALUE"""),"https://www.facebook.com/GCBA/posts/pfbid0TFbqgySZ7tM6zHoz3vL7GnY377zSSMfbQPLeqBDa61d2jaEraZemv4xwwziqXPDBl")</f>
        <v>https://www.facebook.com/GCBA/posts/pfbid0TFbqgySZ7tM6zHoz3vL7GnY377zSSMfbQPLeqBDa61d2jaEraZemv4xwwziqXPDBl</v>
      </c>
    </row>
    <row r="864">
      <c r="A864" s="28" t="str">
        <f>IFERROR(__xludf.DUMMYFUNCTION("""COMPUTED_VALUE"""),"2828-ABRDHHVC")</f>
        <v>2828-ABRDHHVC</v>
      </c>
      <c r="B864" s="28" t="str">
        <f>IFERROR(__xludf.DUMMYFUNCTION("""COMPUTED_VALUE"""),"RDV Ministros | Gabriel Mraida - 15/4")</f>
        <v>RDV Ministros | Gabriel Mraida - 15/4</v>
      </c>
      <c r="C864" s="29" t="str">
        <f>IFERROR(__xludf.DUMMYFUNCTION("""COMPUTED_VALUE"""),"Pieza")</f>
        <v>Pieza</v>
      </c>
      <c r="D864" s="28" t="str">
        <f>IFERROR(__xludf.DUMMYFUNCTION("""COMPUTED_VALUE"""),"2894-ABRSALGC")</f>
        <v>2894-ABRSALGC</v>
      </c>
      <c r="E864" s="28" t="str">
        <f>IFERROR(__xludf.DUMMYFUNCTION("""COMPUTED_VALUE"""),"Programa de Escucha Activa")</f>
        <v>Programa de Escucha Activa</v>
      </c>
      <c r="F864" s="29" t="str">
        <f>IFERROR(__xludf.DUMMYFUNCTION("""COMPUTED_VALUE"""),"https://www.facebook.com/reel/1353968750115839")</f>
        <v>https://www.facebook.com/reel/1353968750115839</v>
      </c>
    </row>
    <row r="865" ht="15.75" customHeight="1">
      <c r="A865" s="28" t="str">
        <f>IFERROR(__xludf.DUMMYFUNCTION("""COMPUTED_VALUE"""),"2854-ABRINFGC")</f>
        <v>2854-ABRINFGC</v>
      </c>
      <c r="B865" s="28" t="str">
        <f>IFERROR(__xludf.DUMMYFUNCTION("""COMPUTED_VALUE"""),"Infraestructura I Cortes AU La Plata - Buenos Aires")</f>
        <v>Infraestructura I Cortes AU La Plata - Buenos Aires</v>
      </c>
      <c r="C865" s="29" t="str">
        <f>IFERROR(__xludf.DUMMYFUNCTION("""COMPUTED_VALUE"""),"Pieza")</f>
        <v>Pieza</v>
      </c>
      <c r="D865" s="28" t="str">
        <f>IFERROR(__xludf.DUMMYFUNCTION("""COMPUTED_VALUE"""),"2943-ABRSEGGJ")</f>
        <v>2943-ABRSEGGJ</v>
      </c>
      <c r="E865" s="28" t="str">
        <f>IFERROR(__xludf.DUMMYFUNCTION("""COMPUTED_VALUE"""),"Desalojo N°700")</f>
        <v>Desalojo N°700</v>
      </c>
      <c r="F865" s="29" t="str">
        <f>IFERROR(__xludf.DUMMYFUNCTION("""COMPUTED_VALUE"""),"https://www.facebook.com/reel/1350977913533302")</f>
        <v>https://www.facebook.com/reel/1350977913533302</v>
      </c>
    </row>
    <row r="866">
      <c r="A866" s="28" t="str">
        <f>IFERROR(__xludf.DUMMYFUNCTION("""COMPUTED_VALUE"""),"2865-ABRINFGC")</f>
        <v>2865-ABRINFGC</v>
      </c>
      <c r="B866" s="28" t="str">
        <f>IFERROR(__xludf.DUMMYFUNCTION("""COMPUTED_VALUE"""),"Infraestructura | Cortes y desvíos por show de Ricky Martin")</f>
        <v>Infraestructura | Cortes y desvíos por show de Ricky Martin</v>
      </c>
      <c r="C866" s="29" t="str">
        <f>IFERROR(__xludf.DUMMYFUNCTION("""COMPUTED_VALUE"""),"Pieza")</f>
        <v>Pieza</v>
      </c>
      <c r="D866" s="28" t="str">
        <f>IFERROR(__xludf.DUMMYFUNCTION("""COMPUTED_VALUE"""),"2943-ABRSEGGJ")</f>
        <v>2943-ABRSEGGJ</v>
      </c>
      <c r="E866" s="28" t="str">
        <f>IFERROR(__xludf.DUMMYFUNCTION("""COMPUTED_VALUE"""),"Desalojo N°700")</f>
        <v>Desalojo N°700</v>
      </c>
      <c r="F866" s="29" t="str">
        <f>IFERROR(__xludf.DUMMYFUNCTION("""COMPUTED_VALUE"""),"https://www.facebook.com/reel/1350977913533302")</f>
        <v>https://www.facebook.com/reel/1350977913533302</v>
      </c>
    </row>
    <row r="867">
      <c r="A867" s="28" t="str">
        <f>IFERROR(__xludf.DUMMYFUNCTION("""COMPUTED_VALUE"""),"2851-ABRJDGVC")</f>
        <v>2851-ABRJDGVC</v>
      </c>
      <c r="B867" s="28" t="str">
        <f>IFERROR(__xludf.DUMMYFUNCTION("""COMPUTED_VALUE"""),"RDV MINISTROS | GABRIEL SÁNCHEZ ZINNY 17/4 PALERMO")</f>
        <v>RDV MINISTROS | GABRIEL SÁNCHEZ ZINNY 17/4 PALERMO</v>
      </c>
      <c r="C867" s="29" t="str">
        <f>IFERROR(__xludf.DUMMYFUNCTION("""COMPUTED_VALUE"""),"Pieza")</f>
        <v>Pieza</v>
      </c>
      <c r="D867" s="28" t="str">
        <f>IFERROR(__xludf.DUMMYFUNCTION("""COMPUTED_VALUE"""),"2813-ABRDUDGC")</f>
        <v>2813-ABRDUDGC</v>
      </c>
      <c r="E867" s="28" t="str">
        <f>IFERROR(__xludf.DUMMYFUNCTION("""COMPUTED_VALUE"""),"Evento Colapinto")</f>
        <v>Evento Colapinto</v>
      </c>
      <c r="F867" s="29" t="str">
        <f>IFERROR(__xludf.DUMMYFUNCTION("""COMPUTED_VALUE"""),"https://www.facebook.com/GCBA/posts/pfbid02xaf6Djw5p7AiQMVgPdzN7Qd26gtAXWoT3g19yahRK6JtpwfNTa8wTtGpQorKypqYl")</f>
        <v>https://www.facebook.com/GCBA/posts/pfbid02xaf6Djw5p7AiQMVgPdzN7Qd26gtAXWoT3g19yahRK6JtpwfNTa8wTtGpQorKypqYl</v>
      </c>
    </row>
    <row r="868">
      <c r="A868" s="28" t="str">
        <f>IFERROR(__xludf.DUMMYFUNCTION("""COMPUTED_VALUE"""),"2737-MARSALGJ")</f>
        <v>2737-MARSALGJ</v>
      </c>
      <c r="B868" s="28" t="str">
        <f>IFERROR(__xludf.DUMMYFUNCTION("""COMPUTED_VALUE"""),"CAMPAÑA GCBA/AGENDA JM | SALUD | HTAL. ZUBIZARRETA: RECORRIDA OBRAS")</f>
        <v>CAMPAÑA GCBA/AGENDA JM | SALUD | HTAL. ZUBIZARRETA: RECORRIDA OBRAS</v>
      </c>
      <c r="C868" s="29" t="str">
        <f>IFERROR(__xludf.DUMMYFUNCTION("""COMPUTED_VALUE"""),"Pieza")</f>
        <v>Pieza</v>
      </c>
      <c r="D868" s="28" t="str">
        <f>IFERROR(__xludf.DUMMYFUNCTION("""COMPUTED_VALUE"""),"2942-ABRSALGJ")</f>
        <v>2942-ABRSALGJ</v>
      </c>
      <c r="E868" s="28" t="str">
        <f>IFERROR(__xludf.DUMMYFUNCTION("""COMPUTED_VALUE"""),"Htal. Fernández - Durante de Obra")</f>
        <v>Htal. Fernández - Durante de Obra</v>
      </c>
      <c r="F868" s="29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869">
      <c r="A869" s="28" t="str">
        <f>IFERROR(__xludf.DUMMYFUNCTION("""COMPUTED_VALUE"""),"2829-ABREPHVC")</f>
        <v>2829-ABREPHVC</v>
      </c>
      <c r="B869" s="28" t="str">
        <f>IFERROR(__xludf.DUMMYFUNCTION("""COMPUTED_VALUE"""),"RDV MINISTROS | IGNACIO BAISTROCCHI 13/4 COMUNA 3")</f>
        <v>RDV MINISTROS | IGNACIO BAISTROCCHI 13/4 COMUNA 3</v>
      </c>
      <c r="C869" s="29" t="str">
        <f>IFERROR(__xludf.DUMMYFUNCTION("""COMPUTED_VALUE"""),"Pieza")</f>
        <v>Pieza</v>
      </c>
      <c r="D869" s="28" t="str">
        <f>IFERROR(__xludf.DUMMYFUNCTION("""COMPUTED_VALUE"""),"2942-ABRSALGJ")</f>
        <v>2942-ABRSALGJ</v>
      </c>
      <c r="E869" s="28" t="str">
        <f>IFERROR(__xludf.DUMMYFUNCTION("""COMPUTED_VALUE"""),"Htal. Fernández - Durante de Obra")</f>
        <v>Htal. Fernández - Durante de Obra</v>
      </c>
      <c r="F869" s="29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870">
      <c r="A870" s="28" t="str">
        <f>IFERROR(__xludf.DUMMYFUNCTION("""COMPUTED_VALUE"""),"2842-ABRJDGAG")</f>
        <v>2842-ABRJDGAG</v>
      </c>
      <c r="B870" s="28" t="str">
        <f>IFERROR(__xludf.DUMMYFUNCTION("""COMPUTED_VALUE"""),"RDV JM TEMÁTICA | TE CUENTO BS AS 16/04 EDUCACIÓN EJE NORTE")</f>
        <v>RDV JM TEMÁTICA | TE CUENTO BS AS 16/04 EDUCACIÓN EJE NORTE</v>
      </c>
      <c r="C870" s="29" t="str">
        <f>IFERROR(__xludf.DUMMYFUNCTION("""COMPUTED_VALUE"""),"Pieza")</f>
        <v>Pieza</v>
      </c>
      <c r="D870" s="28" t="str">
        <f>IFERROR(__xludf.DUMMYFUNCTION("""COMPUTED_VALUE"""),"2738-MARCULGC")</f>
        <v>2738-MARCULGC</v>
      </c>
      <c r="E870" s="28" t="str">
        <f>IFERROR(__xludf.DUMMYFUNCTION("""COMPUTED_VALUE"""),"Bafici 2026")</f>
        <v>Bafici 2026</v>
      </c>
      <c r="F870" s="29" t="str">
        <f>IFERROR(__xludf.DUMMYFUNCTION("""COMPUTED_VALUE"""),"https://www.facebook.com/reel/1750042989745275")</f>
        <v>https://www.facebook.com/reel/1750042989745275</v>
      </c>
    </row>
    <row r="871">
      <c r="A871" s="28" t="str">
        <f>IFERROR(__xludf.DUMMYFUNCTION("""COMPUTED_VALUE"""),"2842-ABRJDGAG")</f>
        <v>2842-ABRJDGAG</v>
      </c>
      <c r="B871" s="28" t="str">
        <f>IFERROR(__xludf.DUMMYFUNCTION("""COMPUTED_VALUE"""),"RDV JM TEMÁTICA | TE CUENTO BS AS 16/04 EDUCACIÓN EJE NORTE")</f>
        <v>RDV JM TEMÁTICA | TE CUENTO BS AS 16/04 EDUCACIÓN EJE NORTE</v>
      </c>
      <c r="C871" s="29" t="str">
        <f>IFERROR(__xludf.DUMMYFUNCTION("""COMPUTED_VALUE"""),"Pieza")</f>
        <v>Pieza</v>
      </c>
      <c r="D871" s="28" t="str">
        <f>IFERROR(__xludf.DUMMYFUNCTION("""COMPUTED_VALUE"""),"2954-ABRSALGC")</f>
        <v>2954-ABRSALGC</v>
      </c>
      <c r="E871" s="28" t="str">
        <f>IFERROR(__xludf.DUMMYFUNCTION("""COMPUTED_VALUE"""),"Inversión en Salud")</f>
        <v>Inversión en Salud</v>
      </c>
      <c r="F871" s="29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872">
      <c r="A872" s="28" t="str">
        <f>IFERROR(__xludf.DUMMYFUNCTION("""COMPUTED_VALUE"""),"2842-ABRJDGAG")</f>
        <v>2842-ABRJDGAG</v>
      </c>
      <c r="B872" s="28" t="str">
        <f>IFERROR(__xludf.DUMMYFUNCTION("""COMPUTED_VALUE"""),"RDV JM TEMÁTICA | TE CUENTO BS AS 16/04 EDUCACIÓN EJE NORTE")</f>
        <v>RDV JM TEMÁTICA | TE CUENTO BS AS 16/04 EDUCACIÓN EJE NORTE</v>
      </c>
      <c r="C872" s="29" t="str">
        <f>IFERROR(__xludf.DUMMYFUNCTION("""COMPUTED_VALUE"""),"Pieza")</f>
        <v>Pieza</v>
      </c>
      <c r="D872" s="28" t="str">
        <f>IFERROR(__xludf.DUMMYFUNCTION("""COMPUTED_VALUE"""),"2954-ABRSALGC")</f>
        <v>2954-ABRSALGC</v>
      </c>
      <c r="E872" s="28" t="str">
        <f>IFERROR(__xludf.DUMMYFUNCTION("""COMPUTED_VALUE"""),"Inversión en Salud")</f>
        <v>Inversión en Salud</v>
      </c>
      <c r="F872" s="29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873">
      <c r="A873" s="28" t="str">
        <f>IFERROR(__xludf.DUMMYFUNCTION("""COMPUTED_VALUE"""),"2866-ABRAMBVC")</f>
        <v>2866-ABRAMBVC</v>
      </c>
      <c r="B873" s="28" t="str">
        <f>IFERROR(__xludf.DUMMYFUNCTION("""COMPUTED_VALUE"""),"RDV Ministros | Clara Muzzio - 17/4  - Temática")</f>
        <v>RDV Ministros | Clara Muzzio - 17/4  - Temática</v>
      </c>
      <c r="C873" s="29" t="str">
        <f>IFERROR(__xludf.DUMMYFUNCTION("""COMPUTED_VALUE"""),"Pieza")</f>
        <v>Pieza</v>
      </c>
      <c r="D873" s="28" t="str">
        <f>IFERROR(__xludf.DUMMYFUNCTION("""COMPUTED_VALUE"""),"2896-ABRHYFGC")</f>
        <v>2896-ABRHYFGC</v>
      </c>
      <c r="E873" s="28" t="str">
        <f>IFERROR(__xludf.DUMMYFUNCTION("""COMPUTED_VALUE"""),"Eliminación de impuestos")</f>
        <v>Eliminación de impuestos</v>
      </c>
      <c r="F873" s="29" t="str">
        <f>IFERROR(__xludf.DUMMYFUNCTION("""COMPUTED_VALUE"""),"https://www.facebook.com/GCBA/posts/pfbid02yZmqzW27WZWmV78Fctq2sNgCipDpR11wQfc5ArDrGXxh4ExLJX9nJtQtEzD3rTDGl")</f>
        <v>https://www.facebook.com/GCBA/posts/pfbid02yZmqzW27WZWmV78Fctq2sNgCipDpR11wQfc5ArDrGXxh4ExLJX9nJtQtEzD3rTDGl</v>
      </c>
    </row>
    <row r="874">
      <c r="A874" s="28" t="str">
        <f>IFERROR(__xludf.DUMMYFUNCTION("""COMPUTED_VALUE"""),"2798-MARJDGAG")</f>
        <v>2798-MARJDGAG</v>
      </c>
      <c r="B874" s="28" t="str">
        <f>IFERROR(__xludf.DUMMYFUNCTION("""COMPUTED_VALUE"""),"RDV JM TEMÁTICA | TE CUENTO BS AS 09/04 SALUD EJE OESTE")</f>
        <v>RDV JM TEMÁTICA | TE CUENTO BS AS 09/04 SALUD EJE OESTE</v>
      </c>
      <c r="C874" s="29" t="str">
        <f>IFERROR(__xludf.DUMMYFUNCTION("""COMPUTED_VALUE"""),"Pieza")</f>
        <v>Pieza</v>
      </c>
      <c r="D874" s="28" t="str">
        <f>IFERROR(__xludf.DUMMYFUNCTION("""COMPUTED_VALUE"""),"2587-FEBCULGC")</f>
        <v>2587-FEBCULGC</v>
      </c>
      <c r="E874" s="28" t="str">
        <f>IFERROR(__xludf.DUMMYFUNCTION("""COMPUTED_VALUE"""),"Campaña Suscripciones 2026")</f>
        <v>Campaña Suscripciones 2026</v>
      </c>
      <c r="F874" s="29" t="str">
        <f>IFERROR(__xludf.DUMMYFUNCTION("""COMPUTED_VALUE"""),"https://www.facebook.com/reel/892334696944794")</f>
        <v>https://www.facebook.com/reel/892334696944794</v>
      </c>
    </row>
    <row r="875">
      <c r="A875" s="28" t="str">
        <f>IFERROR(__xludf.DUMMYFUNCTION("""COMPUTED_VALUE"""),"2798-MARJDGAG")</f>
        <v>2798-MARJDGAG</v>
      </c>
      <c r="B875" s="28" t="str">
        <f>IFERROR(__xludf.DUMMYFUNCTION("""COMPUTED_VALUE"""),"RDV JM TEMÁTICA | TE CUENTO BS AS 09/04 SALUD EJE OESTE")</f>
        <v>RDV JM TEMÁTICA | TE CUENTO BS AS 09/04 SALUD EJE OESTE</v>
      </c>
      <c r="C875" s="29" t="str">
        <f>IFERROR(__xludf.DUMMYFUNCTION("""COMPUTED_VALUE"""),"Pieza")</f>
        <v>Pieza</v>
      </c>
      <c r="D875" s="28" t="str">
        <f>IFERROR(__xludf.DUMMYFUNCTION("""COMPUTED_VALUE"""),"2587-FEBCULGC")</f>
        <v>2587-FEBCULGC</v>
      </c>
      <c r="E875" s="28" t="str">
        <f>IFERROR(__xludf.DUMMYFUNCTION("""COMPUTED_VALUE"""),"Campaña Suscripciones 2026")</f>
        <v>Campaña Suscripciones 2026</v>
      </c>
      <c r="F875" s="29" t="str">
        <f>IFERROR(__xludf.DUMMYFUNCTION("""COMPUTED_VALUE"""),"https://www.facebook.com/GCBA/posts/pfbid03nkHcuji6X3anVJ2Sd42mxzzM1TFKDY6Gur9BTKCkfWSTXrquDv96uj5yQ4v8hV5l")</f>
        <v>https://www.facebook.com/GCBA/posts/pfbid03nkHcuji6X3anVJ2Sd42mxzzM1TFKDY6Gur9BTKCkfWSTXrquDv96uj5yQ4v8hV5l</v>
      </c>
    </row>
    <row r="876">
      <c r="A876" s="28" t="str">
        <f>IFERROR(__xludf.DUMMYFUNCTION("""COMPUTED_VALUE"""),"2841-ABRJDGAG")</f>
        <v>2841-ABRJDGAG</v>
      </c>
      <c r="B876" s="28" t="str">
        <f>IFERROR(__xludf.DUMMYFUNCTION("""COMPUTED_VALUE"""),"RDV JM | 15/4 PARQUE CHACABUCO")</f>
        <v>RDV JM | 15/4 PARQUE CHACABUCO</v>
      </c>
      <c r="C876" s="29" t="str">
        <f>IFERROR(__xludf.DUMMYFUNCTION("""COMPUTED_VALUE"""),"Pieza")</f>
        <v>Pieza</v>
      </c>
      <c r="D876" s="28" t="str">
        <f>IFERROR(__xludf.DUMMYFUNCTION("""COMPUTED_VALUE"""),"2519-ENEINFGC")</f>
        <v>2519-ENEINFGC</v>
      </c>
      <c r="E876" s="28" t="str">
        <f>IFERROR(__xludf.DUMMYFUNCTION("""COMPUTED_VALUE"""),"Infraestructura I Cortes y desvíos en Larralde")</f>
        <v>Infraestructura I Cortes y desvíos en Larralde</v>
      </c>
      <c r="F876" s="29" t="str">
        <f>IFERROR(__xludf.DUMMYFUNCTION("""COMPUTED_VALUE"""),"https://fb.me/adspreview/facebook/y6VFORCDbB9aJOH")</f>
        <v>https://fb.me/adspreview/facebook/y6VFORCDbB9aJOH</v>
      </c>
    </row>
    <row r="877">
      <c r="A877" s="28" t="str">
        <f>IFERROR(__xludf.DUMMYFUNCTION("""COMPUTED_VALUE"""),"2858-ABRVINVC")</f>
        <v>2858-ABRVINVC</v>
      </c>
      <c r="B877" s="28" t="str">
        <f>IFERROR(__xludf.DUMMYFUNCTION("""COMPUTED_VALUE"""),"CAMPAÑA GCBA | VINCULO CIUDADANO | Mas servicios en tu barrio 2026: Villa del Parque 21/4 y 22/4")</f>
        <v>CAMPAÑA GCBA | VINCULO CIUDADANO | Mas servicios en tu barrio 2026: Villa del Parque 21/4 y 22/4</v>
      </c>
      <c r="C877" s="29" t="str">
        <f>IFERROR(__xludf.DUMMYFUNCTION("""COMPUTED_VALUE"""),"Pieza")</f>
        <v>Pieza</v>
      </c>
      <c r="D877" s="28" t="str">
        <f>IFERROR(__xludf.DUMMYFUNCTION("""COMPUTED_VALUE"""),"2775-MARSEGGJ")</f>
        <v>2775-MARSEGGJ</v>
      </c>
      <c r="E877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877" s="29" t="str">
        <f>IFERROR(__xludf.DUMMYFUNCTION("""COMPUTED_VALUE"""),"https://www.facebook.com/reel/1476952487457454")</f>
        <v>https://www.facebook.com/reel/1476952487457454</v>
      </c>
    </row>
    <row r="878">
      <c r="A878" s="28" t="str">
        <f>IFERROR(__xludf.DUMMYFUNCTION("""COMPUTED_VALUE"""),"1921-SEPAMBGC")</f>
        <v>1921-SEPAMBGC</v>
      </c>
      <c r="B878" s="28" t="str">
        <f>IFERROR(__xludf.DUMMYFUNCTION("""COMPUTED_VALUE"""),"Vacunación Antirrabica Animales")</f>
        <v>Vacunación Antirrabica Animales</v>
      </c>
      <c r="C878" s="29" t="str">
        <f>IFERROR(__xludf.DUMMYFUNCTION("""COMPUTED_VALUE"""),"Pieza")</f>
        <v>Pieza</v>
      </c>
      <c r="D878" s="28" t="str">
        <f>IFERROR(__xludf.DUMMYFUNCTION("""COMPUTED_VALUE"""),"2775-MARSEGGJ")</f>
        <v>2775-MARSEGGJ</v>
      </c>
      <c r="E878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878" s="29" t="str">
        <f>IFERROR(__xludf.DUMMYFUNCTION("""COMPUTED_VALUE"""),"https://www.facebook.com/reel/1476952487457454")</f>
        <v>https://www.facebook.com/reel/1476952487457454</v>
      </c>
    </row>
    <row r="879">
      <c r="A879" s="28" t="str">
        <f>IFERROR(__xludf.DUMMYFUNCTION("""COMPUTED_VALUE"""),"2833-ABRSEGVC")</f>
        <v>2833-ABRSEGVC</v>
      </c>
      <c r="B879" s="28" t="str">
        <f>IFERROR(__xludf.DUMMYFUNCTION("""COMPUTED_VALUE"""),"RDV MINISTROS | Ruth Landerreche 16/4 Comuna 5")</f>
        <v>RDV MINISTROS | Ruth Landerreche 16/4 Comuna 5</v>
      </c>
      <c r="C879" s="29" t="str">
        <f>IFERROR(__xludf.DUMMYFUNCTION("""COMPUTED_VALUE"""),"Pieza")</f>
        <v>Pieza</v>
      </c>
      <c r="D879" s="28" t="str">
        <f>IFERROR(__xludf.DUMMYFUNCTION("""COMPUTED_VALUE"""),"2720-MARINFGC")</f>
        <v>2720-MARINFGC</v>
      </c>
      <c r="E879" s="28" t="str">
        <f>IFERROR(__xludf.DUMMYFUNCTION("""COMPUTED_VALUE"""),"INFRAESTRUCTURA | Cortes y desvíos: derrumbe en PP")</f>
        <v>INFRAESTRUCTURA | Cortes y desvíos: derrumbe en PP</v>
      </c>
      <c r="F879" s="29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880">
      <c r="A880" s="28" t="str">
        <f>IFERROR(__xludf.DUMMYFUNCTION("""COMPUTED_VALUE"""),"2833-ABRSEGVC")</f>
        <v>2833-ABRSEGVC</v>
      </c>
      <c r="B880" s="28" t="str">
        <f>IFERROR(__xludf.DUMMYFUNCTION("""COMPUTED_VALUE"""),"RDV MINISTROS | Ruth Landerreche 16/4 Comuna 5")</f>
        <v>RDV MINISTROS | Ruth Landerreche 16/4 Comuna 5</v>
      </c>
      <c r="C880" s="29" t="str">
        <f>IFERROR(__xludf.DUMMYFUNCTION("""COMPUTED_VALUE"""),"Pieza")</f>
        <v>Pieza</v>
      </c>
      <c r="D880" s="28" t="str">
        <f>IFERROR(__xludf.DUMMYFUNCTION("""COMPUTED_VALUE"""),"2785-MARSALGC")</f>
        <v>2785-MARSALGC</v>
      </c>
      <c r="E880" s="28" t="str">
        <f>IFERROR(__xludf.DUMMYFUNCTION("""COMPUTED_VALUE"""),"Centro de Cuidados Integrales")</f>
        <v>Centro de Cuidados Integrales</v>
      </c>
      <c r="F880" s="29" t="str">
        <f>IFERROR(__xludf.DUMMYFUNCTION("""COMPUTED_VALUE"""),"https://www.facebook.com/reel/1330701805649297")</f>
        <v>https://www.facebook.com/reel/1330701805649297</v>
      </c>
    </row>
    <row r="881">
      <c r="A881" s="28" t="str">
        <f>IFERROR(__xludf.DUMMYFUNCTION("""COMPUTED_VALUE"""),"2834-ABRSEGVC")</f>
        <v>2834-ABRSEGVC</v>
      </c>
      <c r="B881" s="28" t="str">
        <f>IFERROR(__xludf.DUMMYFUNCTION("""COMPUTED_VALUE"""),"RDV MINISTROS | Gabino Tapia 16/4 Comuna 6")</f>
        <v>RDV MINISTROS | Gabino Tapia 16/4 Comuna 6</v>
      </c>
      <c r="C881" s="29" t="str">
        <f>IFERROR(__xludf.DUMMYFUNCTION("""COMPUTED_VALUE"""),"Pieza")</f>
        <v>Pieza</v>
      </c>
      <c r="D881" s="28" t="str">
        <f>IFERROR(__xludf.DUMMYFUNCTION("""COMPUTED_VALUE"""),"2785-MARSALGC")</f>
        <v>2785-MARSALGC</v>
      </c>
      <c r="E881" s="28" t="str">
        <f>IFERROR(__xludf.DUMMYFUNCTION("""COMPUTED_VALUE"""),"Centro de Cuidados Integrales")</f>
        <v>Centro de Cuidados Integrales</v>
      </c>
      <c r="F881" s="29" t="str">
        <f>IFERROR(__xludf.DUMMYFUNCTION("""COMPUTED_VALUE"""),"https://www.facebook.com/reel/1330701805649297")</f>
        <v>https://www.facebook.com/reel/1330701805649297</v>
      </c>
    </row>
    <row r="882">
      <c r="A882" s="28" t="str">
        <f>IFERROR(__xludf.DUMMYFUNCTION("""COMPUTED_VALUE"""),"2830-ABRJDGVC")</f>
        <v>2830-ABRJDGVC</v>
      </c>
      <c r="B882" s="28" t="str">
        <f>IFERROR(__xludf.DUMMYFUNCTION("""COMPUTED_VALUE"""),"RDV MINISTROS | GABRIEL SÁNCHEZ ZINNY 14/4  RETIRO")</f>
        <v>RDV MINISTROS | GABRIEL SÁNCHEZ ZINNY 14/4  RETIRO</v>
      </c>
      <c r="C882" s="29" t="str">
        <f>IFERROR(__xludf.DUMMYFUNCTION("""COMPUTED_VALUE"""),"Pieza")</f>
        <v>Pieza</v>
      </c>
      <c r="D882" s="28" t="str">
        <f>IFERROR(__xludf.DUMMYFUNCTION("""COMPUTED_VALUE"""),"2812-ABRINFGC")</f>
        <v>2812-ABRINFGC</v>
      </c>
      <c r="E882" s="28" t="str">
        <f>IFERROR(__xludf.DUMMYFUNCTION("""COMPUTED_VALUE""")," Infraestructura | Inicio de obra: calle Brigadier Quiroga")</f>
        <v> Infraestructura | Inicio de obra: calle Brigadier Quiroga</v>
      </c>
      <c r="F882" s="29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883">
      <c r="A883" s="28" t="str">
        <f>IFERROR(__xludf.DUMMYFUNCTION("""COMPUTED_VALUE"""),"2835-ABRSEGVC")</f>
        <v>2835-ABRSEGVC</v>
      </c>
      <c r="B883" s="28" t="str">
        <f>IFERROR(__xludf.DUMMYFUNCTION("""COMPUTED_VALUE"""),"RDV MINISTROS | Horacio Giménez 16/4 Comuna 7")</f>
        <v>RDV MINISTROS | Horacio Giménez 16/4 Comuna 7</v>
      </c>
      <c r="C883" s="29" t="str">
        <f>IFERROR(__xludf.DUMMYFUNCTION("""COMPUTED_VALUE"""),"Pieza")</f>
        <v>Pieza</v>
      </c>
      <c r="D883" s="28" t="str">
        <f>IFERROR(__xludf.DUMMYFUNCTION("""COMPUTED_VALUE"""),"2812-ABRINFGC")</f>
        <v>2812-ABRINFGC</v>
      </c>
      <c r="E883" s="28" t="str">
        <f>IFERROR(__xludf.DUMMYFUNCTION("""COMPUTED_VALUE""")," Infraestructura | Inicio de obra: calle Brigadier Quiroga")</f>
        <v> Infraestructura | Inicio de obra: calle Brigadier Quiroga</v>
      </c>
      <c r="F883" s="29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884">
      <c r="A884" s="28" t="str">
        <f>IFERROR(__xludf.DUMMYFUNCTION("""COMPUTED_VALUE"""),"2874-ABRSEGGJ")</f>
        <v>2874-ABRSEGGJ</v>
      </c>
      <c r="B884" s="28" t="str">
        <f>IFERROR(__xludf.DUMMYFUNCTION("""COMPUTED_VALUE"""),"CAMPAÑA JM + GCBA | SEGURIDAD | Desalojo cuatro propiedades en Constitución")</f>
        <v>CAMPAÑA JM + GCBA | SEGURIDAD | Desalojo cuatro propiedades en Constitución</v>
      </c>
      <c r="C884" s="29" t="str">
        <f>IFERROR(__xludf.DUMMYFUNCTION("""COMPUTED_VALUE"""),"Pieza")</f>
        <v>Pieza</v>
      </c>
      <c r="D884" s="28" t="str">
        <f>IFERROR(__xludf.DUMMYFUNCTION("""COMPUTED_VALUE"""),"2812-ABRINFGC")</f>
        <v>2812-ABRINFGC</v>
      </c>
      <c r="E884" s="28" t="str">
        <f>IFERROR(__xludf.DUMMYFUNCTION("""COMPUTED_VALUE""")," Infraestructura | Inicio de obra: calle Brigadier Quiroga")</f>
        <v> Infraestructura | Inicio de obra: calle Brigadier Quiroga</v>
      </c>
      <c r="F884" s="29" t="str">
        <f>IFERROR(__xludf.DUMMYFUNCTION("""COMPUTED_VALUE"""),"https://www.facebook.com/GCBA/posts/pfbid0sjsw4fmaZgH69Leu9Xq1bGvySQmZsbQtRcg9RLZrzuPWEHQATgDdDX3DKPknXAmKl")</f>
        <v>https://www.facebook.com/GCBA/posts/pfbid0sjsw4fmaZgH69Leu9Xq1bGvySQmZsbQtRcg9RLZrzuPWEHQATgDdDX3DKPknXAmKl</v>
      </c>
    </row>
    <row r="885">
      <c r="A885" s="28" t="str">
        <f>IFERROR(__xludf.DUMMYFUNCTION("""COMPUTED_VALUE"""),"2713-MARSALGC")</f>
        <v>2713-MARSALGC</v>
      </c>
      <c r="B885" s="28" t="str">
        <f>IFERROR(__xludf.DUMMYFUNCTION("""COMPUTED_VALUE"""),"Hospital Álvarez - Recorrida de obras")</f>
        <v>Hospital Álvarez - Recorrida de obras</v>
      </c>
      <c r="C885" s="29" t="str">
        <f>IFERROR(__xludf.DUMMYFUNCTION("""COMPUTED_VALUE"""),"Pieza")</f>
        <v>Pieza</v>
      </c>
      <c r="D885" s="28" t="str">
        <f>IFERROR(__xludf.DUMMYFUNCTION("""COMPUTED_VALUE"""),"2815-ABRCULGC")</f>
        <v>2815-ABRCULGC</v>
      </c>
      <c r="E885" s="28" t="str">
        <f>IFERROR(__xludf.DUMMYFUNCTION("""COMPUTED_VALUE"""),"Feria del Libro 2026")</f>
        <v>Feria del Libro 2026</v>
      </c>
      <c r="F885" s="29" t="str">
        <f>IFERROR(__xludf.DUMMYFUNCTION("""COMPUTED_VALUE"""),"https://www.facebook.com/reel/1004337665882718")</f>
        <v>https://www.facebook.com/reel/1004337665882718</v>
      </c>
    </row>
    <row r="886">
      <c r="A886" s="28" t="str">
        <f>IFERROR(__xludf.DUMMYFUNCTION("""COMPUTED_VALUE"""),"2744-MARSALGC")</f>
        <v>2744-MARSALGC</v>
      </c>
      <c r="B886" s="28" t="str">
        <f>IFERROR(__xludf.DUMMYFUNCTION("""COMPUTED_VALUE"""),"Vacunación Antigripal 2026")</f>
        <v>Vacunación Antigripal 2026</v>
      </c>
      <c r="C886" s="29" t="str">
        <f>IFERROR(__xludf.DUMMYFUNCTION("""COMPUTED_VALUE"""),"Pieza")</f>
        <v>Pieza</v>
      </c>
      <c r="D886" s="28" t="str">
        <f>IFERROR(__xludf.DUMMYFUNCTION("""COMPUTED_VALUE"""),"2815-ABRCULGC")</f>
        <v>2815-ABRCULGC</v>
      </c>
      <c r="E886" s="28" t="str">
        <f>IFERROR(__xludf.DUMMYFUNCTION("""COMPUTED_VALUE"""),"Feria del Libro 2026")</f>
        <v>Feria del Libro 2026</v>
      </c>
      <c r="F886" s="29" t="str">
        <f>IFERROR(__xludf.DUMMYFUNCTION("""COMPUTED_VALUE"""),"https://www.facebook.com/reel/1004337665882718")</f>
        <v>https://www.facebook.com/reel/1004337665882718</v>
      </c>
    </row>
    <row r="887">
      <c r="A887" s="28" t="str">
        <f>IFERROR(__xludf.DUMMYFUNCTION("""COMPUTED_VALUE"""),"2744-MARSALGC")</f>
        <v>2744-MARSALGC</v>
      </c>
      <c r="B887" s="28" t="str">
        <f>IFERROR(__xludf.DUMMYFUNCTION("""COMPUTED_VALUE"""),"Vacunación Antigripal 2026")</f>
        <v>Vacunación Antigripal 2026</v>
      </c>
      <c r="C887" s="29" t="str">
        <f>IFERROR(__xludf.DUMMYFUNCTION("""COMPUTED_VALUE"""),"Pieza")</f>
        <v>Pieza</v>
      </c>
      <c r="D887" s="28" t="str">
        <f>IFERROR(__xludf.DUMMYFUNCTION("""COMPUTED_VALUE"""),"2823-ABRCULGC")</f>
        <v>2823-ABRCULGC</v>
      </c>
      <c r="E887" s="28" t="str">
        <f>IFERROR(__xludf.DUMMYFUNCTION("""COMPUTED_VALUE"""),"Lanzamiento Linda. Ar")</f>
        <v>Lanzamiento Linda. Ar</v>
      </c>
      <c r="F887" s="29" t="str">
        <f>IFERROR(__xludf.DUMMYFUNCTION("""COMPUTED_VALUE"""),"https://www.facebook.com/reel/1214416363924445")</f>
        <v>https://www.facebook.com/reel/1214416363924445</v>
      </c>
    </row>
    <row r="888">
      <c r="A888" s="28" t="str">
        <f>IFERROR(__xludf.DUMMYFUNCTION("""COMPUTED_VALUE"""),"2831-ABRSEGVC")</f>
        <v>2831-ABRSEGVC</v>
      </c>
      <c r="B888" s="28" t="str">
        <f>IFERROR(__xludf.DUMMYFUNCTION("""COMPUTED_VALUE"""),"RDV MINISTROS | Maximiliano Piñeiro 16/4 Comuna 4")</f>
        <v>RDV MINISTROS | Maximiliano Piñeiro 16/4 Comuna 4</v>
      </c>
      <c r="C888" s="29" t="str">
        <f>IFERROR(__xludf.DUMMYFUNCTION("""COMPUTED_VALUE"""),"Pieza")</f>
        <v>Pieza</v>
      </c>
      <c r="D888" s="28" t="str">
        <f>IFERROR(__xludf.DUMMYFUNCTION("""COMPUTED_VALUE"""),"2827-ABREPHGC")</f>
        <v>2827-ABREPHGC</v>
      </c>
      <c r="E888" s="28" t="str">
        <f>IFERROR(__xludf.DUMMYFUNCTION("""COMPUTED_VALUE"""),"CAMPAÑA GCBA | MEPHU | CAMPAÑA GRANDES GENERADORES")</f>
        <v>CAMPAÑA GCBA | MEPHU | CAMPAÑA GRANDES GENERADORES</v>
      </c>
      <c r="F888" s="29" t="str">
        <f>IFERROR(__xludf.DUMMYFUNCTION("""COMPUTED_VALUE"""),"https://www.facebook.com/GCBA/posts/pfbid0HDjJ7ADLmVV9qRNGYyC1QmhZKHE6gr3HcD2wiXfT8Uf1PBKo7aaWtbNktXYwgoBCl")</f>
        <v>https://www.facebook.com/GCBA/posts/pfbid0HDjJ7ADLmVV9qRNGYyC1QmhZKHE6gr3HcD2wiXfT8Uf1PBKo7aaWtbNktXYwgoBCl</v>
      </c>
    </row>
    <row r="889">
      <c r="A889" s="28" t="str">
        <f>IFERROR(__xludf.DUMMYFUNCTION("""COMPUTED_VALUE"""),"2855-ABRJDGAG")</f>
        <v>2855-ABRJDGAG</v>
      </c>
      <c r="B889" s="28" t="str">
        <f>IFERROR(__xludf.DUMMYFUNCTION("""COMPUTED_VALUE"""),"Campaña JM | Prioridad porteña: mail")</f>
        <v>Campaña JM | Prioridad porteña: mail</v>
      </c>
      <c r="C889" s="29" t="str">
        <f>IFERROR(__xludf.DUMMYFUNCTION("""COMPUTED_VALUE"""),"Pieza")</f>
        <v>Pieza</v>
      </c>
      <c r="D889" s="28" t="str">
        <f>IFERROR(__xludf.DUMMYFUNCTION("""COMPUTED_VALUE"""),"2827-ABREPHGC")</f>
        <v>2827-ABREPHGC</v>
      </c>
      <c r="E889" s="28" t="str">
        <f>IFERROR(__xludf.DUMMYFUNCTION("""COMPUTED_VALUE"""),"CAMPAÑA GCBA | MEPHU | CAMPAÑA GRANDES GENERADORES")</f>
        <v>CAMPAÑA GCBA | MEPHU | CAMPAÑA GRANDES GENERADORES</v>
      </c>
      <c r="F889" s="29" t="str">
        <f>IFERROR(__xludf.DUMMYFUNCTION("""COMPUTED_VALUE"""),"https://www.facebook.com/GCBA/posts/pfbid0YsvPWYb967LiLYq3YMQEez25Q4opZik9cFdh4KmKrjVeJYAXhZE23CYTkhPCpZLBl")</f>
        <v>https://www.facebook.com/GCBA/posts/pfbid0YsvPWYb967LiLYq3YMQEez25Q4opZik9cFdh4KmKrjVeJYAXhZE23CYTkhPCpZLBl</v>
      </c>
    </row>
    <row r="890">
      <c r="A890" s="28" t="str">
        <f>IFERROR(__xludf.DUMMYFUNCTION("""COMPUTED_VALUE"""),"2849-ABRPCCVC")</f>
        <v>2849-ABRPCCVC</v>
      </c>
      <c r="B890" s="28" t="str">
        <f>IFERROR(__xludf.DUMMYFUNCTION("""COMPUTED_VALUE"""),"Centro Integral de Discapacidad CID")</f>
        <v>Centro Integral de Discapacidad CID</v>
      </c>
      <c r="C890" s="29" t="str">
        <f>IFERROR(__xludf.DUMMYFUNCTION("""COMPUTED_VALUE"""),"Pieza")</f>
        <v>Pieza</v>
      </c>
      <c r="D890" s="28" t="str">
        <f>IFERROR(__xludf.DUMMYFUNCTION("""COMPUTED_VALUE"""),"2827-ABREPHGC")</f>
        <v>2827-ABREPHGC</v>
      </c>
      <c r="E890" s="28" t="str">
        <f>IFERROR(__xludf.DUMMYFUNCTION("""COMPUTED_VALUE"""),"CAMPAÑA GCBA | MEPHU | CAMPAÑA GRANDES GENERADORES")</f>
        <v>CAMPAÑA GCBA | MEPHU | CAMPAÑA GRANDES GENERADORES</v>
      </c>
      <c r="F890" s="29" t="str">
        <f>IFERROR(__xludf.DUMMYFUNCTION("""COMPUTED_VALUE"""),"https://www.facebook.com/GCBA/posts/pfbid0ZPqxQ5PPTm9UmBiJCsU8TTjQDHdxdeEADshmKbkrJSQe2HQ3HDkVDugjGhY9jRzSl")</f>
        <v>https://www.facebook.com/GCBA/posts/pfbid0ZPqxQ5PPTm9UmBiJCsU8TTjQDHdxdeEADshmKbkrJSQe2HQ3HDkVDugjGhY9jRzSl</v>
      </c>
    </row>
    <row r="891">
      <c r="A891" s="28" t="str">
        <f>IFERROR(__xludf.DUMMYFUNCTION("""COMPUTED_VALUE"""),"2878-FEBVINVC")</f>
        <v>2878-FEBVINVC</v>
      </c>
      <c r="B891" s="28" t="str">
        <f>IFERROR(__xludf.DUMMYFUNCTION("""COMPUTED_VALUE"""),"RDV MINISTROS | EZEQUIEL SABOR 20/4 COMUNA 1")</f>
        <v>RDV MINISTROS | EZEQUIEL SABOR 20/4 COMUNA 1</v>
      </c>
      <c r="C891" s="29" t="str">
        <f>IFERROR(__xludf.DUMMYFUNCTION("""COMPUTED_VALUE"""),"Pieza")</f>
        <v>Pieza</v>
      </c>
      <c r="D891" s="28" t="str">
        <f>IFERROR(__xludf.DUMMYFUNCTION("""COMPUTED_VALUE"""),"2827-ABREPHGC")</f>
        <v>2827-ABREPHGC</v>
      </c>
      <c r="E891" s="28" t="str">
        <f>IFERROR(__xludf.DUMMYFUNCTION("""COMPUTED_VALUE"""),"CAMPAÑA GCBA | MEPHU | CAMPAÑA GRANDES GENERADORES")</f>
        <v>CAMPAÑA GCBA | MEPHU | CAMPAÑA GRANDES GENERADORES</v>
      </c>
      <c r="F891" s="29" t="str">
        <f>IFERROR(__xludf.DUMMYFUNCTION("""COMPUTED_VALUE"""),"https://www.facebook.com/reel/938662309035633")</f>
        <v>https://www.facebook.com/reel/938662309035633</v>
      </c>
    </row>
    <row r="892">
      <c r="A892" s="28" t="str">
        <f>IFERROR(__xludf.DUMMYFUNCTION("""COMPUTED_VALUE"""),"2875-ABRDECVC")</f>
        <v>2875-ABRDECVC</v>
      </c>
      <c r="B892" s="28" t="str">
        <f>IFERROR(__xludf.DUMMYFUNCTION("""COMPUTED_VALUE"""),"RDV Hernán Lombardi, Gustavo Arengo Piragine y Gabino Tapia, Eje Oeste 20/4")</f>
        <v>RDV Hernán Lombardi, Gustavo Arengo Piragine y Gabino Tapia, Eje Oeste 20/4</v>
      </c>
      <c r="C892" s="29" t="str">
        <f>IFERROR(__xludf.DUMMYFUNCTION("""COMPUTED_VALUE"""),"Pieza")</f>
        <v>Pieza</v>
      </c>
      <c r="D892" s="28" t="str">
        <f>IFERROR(__xludf.DUMMYFUNCTION("""COMPUTED_VALUE"""),"2846-ABRSALGC")</f>
        <v>2846-ABRSALGC</v>
      </c>
      <c r="E892" s="28" t="str">
        <f>IFERROR(__xludf.DUMMYFUNCTION("""COMPUTED_VALUE"""),"CeSAC 1 - Fin de obra")</f>
        <v>CeSAC 1 - Fin de obra</v>
      </c>
      <c r="F892" s="29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93">
      <c r="A893" s="28" t="str">
        <f>IFERROR(__xludf.DUMMYFUNCTION("""COMPUTED_VALUE"""),"2679-MARINFGC")</f>
        <v>2679-MARINFGC</v>
      </c>
      <c r="B893" s="28" t="str">
        <f>IFERROR(__xludf.DUMMYFUNCTION("""COMPUTED_VALUE"""),"Infraestructura I Fin de obra Av. Pérez Galdós")</f>
        <v>Infraestructura I Fin de obra Av. Pérez Galdós</v>
      </c>
      <c r="C893" s="29" t="str">
        <f>IFERROR(__xludf.DUMMYFUNCTION("""COMPUTED_VALUE"""),"Pieza")</f>
        <v>Pieza</v>
      </c>
      <c r="D893" s="28" t="str">
        <f>IFERROR(__xludf.DUMMYFUNCTION("""COMPUTED_VALUE"""),"2846-ABRSALGC")</f>
        <v>2846-ABRSALGC</v>
      </c>
      <c r="E893" s="28" t="str">
        <f>IFERROR(__xludf.DUMMYFUNCTION("""COMPUTED_VALUE"""),"CeSAC 1 - Fin de obra")</f>
        <v>CeSAC 1 - Fin de obra</v>
      </c>
      <c r="F893" s="29" t="str">
        <f>IFERROR(__xludf.DUMMYFUNCTION("""COMPUTED_VALUE"""),"https://www.facebook.com/GCBA/posts/pfbid03potqP2eLt1quBeScj472G3XvQX7GKsrikv4qrT6WmgaAwGAKgpnViaxrhGzELgNl")</f>
        <v>https://www.facebook.com/GCBA/posts/pfbid03potqP2eLt1quBeScj472G3XvQX7GKsrikv4qrT6WmgaAwGAKgpnViaxrhGzELgNl</v>
      </c>
    </row>
    <row r="894">
      <c r="A894" s="28" t="str">
        <f>IFERROR(__xludf.DUMMYFUNCTION("""COMPUTED_VALUE"""),"2899-ABRINFGC")</f>
        <v>2899-ABRINFGC</v>
      </c>
      <c r="B894" s="28" t="str">
        <f>IFERROR(__xludf.DUMMYFUNCTION("""COMPUTED_VALUE"""),"APERTURA ESTACIÓN MALABIA LÍNEA E")</f>
        <v>APERTURA ESTACIÓN MALABIA LÍNEA E</v>
      </c>
      <c r="C894" s="29" t="str">
        <f>IFERROR(__xludf.DUMMYFUNCTION("""COMPUTED_VALUE"""),"Pieza")</f>
        <v>Pieza</v>
      </c>
      <c r="D894" s="28" t="str">
        <f>IFERROR(__xludf.DUMMYFUNCTION("""COMPUTED_VALUE"""),"2847-ABRINFGC")</f>
        <v>2847-ABRINFGC</v>
      </c>
      <c r="E894" s="28" t="str">
        <f>IFERROR(__xludf.DUMMYFUNCTION("""COMPUTED_VALUE"""),"Infraestructura I Cambio de sentido Manuel Porcel de Peralta")</f>
        <v>Infraestructura I Cambio de sentido Manuel Porcel de Peralta</v>
      </c>
      <c r="F894" s="29" t="str">
        <f>IFERROR(__xludf.DUMMYFUNCTION("""COMPUTED_VALUE"""),"https://fb.me/adspreview/facebook/2F5N1HlfWgdYQBf")</f>
        <v>https://fb.me/adspreview/facebook/2F5N1HlfWgdYQBf</v>
      </c>
    </row>
    <row r="895">
      <c r="A895" s="28" t="str">
        <f>IFERROR(__xludf.DUMMYFUNCTION("""COMPUTED_VALUE"""),"2873-ABRINFGC")</f>
        <v>2873-ABRINFGC</v>
      </c>
      <c r="B895" s="28" t="str">
        <f>IFERROR(__xludf.DUMMYFUNCTION("""COMPUTED_VALUE"""),"Infraestructura I Cortes de tránsito por evento deportivo")</f>
        <v>Infraestructura I Cortes de tránsito por evento deportivo</v>
      </c>
      <c r="C895" s="29" t="str">
        <f>IFERROR(__xludf.DUMMYFUNCTION("""COMPUTED_VALUE"""),"Pieza")</f>
        <v>Pieza</v>
      </c>
      <c r="D895" s="28" t="str">
        <f>IFERROR(__xludf.DUMMYFUNCTION("""COMPUTED_VALUE"""),"2899-ABRINFGC")</f>
        <v>2899-ABRINFGC</v>
      </c>
      <c r="E895" s="28" t="str">
        <f>IFERROR(__xludf.DUMMYFUNCTION("""COMPUTED_VALUE"""),"APERTURA ESTACIÓN MALABIA LÍNEA E")</f>
        <v>APERTURA ESTACIÓN MALABIA LÍNEA E</v>
      </c>
      <c r="F895" s="29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896">
      <c r="A896" s="28" t="str">
        <f>IFERROR(__xludf.DUMMYFUNCTION("""COMPUTED_VALUE"""),"2877-FEBINFVC")</f>
        <v>2877-FEBINFVC</v>
      </c>
      <c r="B896" s="28" t="str">
        <f>IFERROR(__xludf.DUMMYFUNCTION("""COMPUTED_VALUE"""),"RDV MINISTROS | PABLO BERECIARTUA 20/4 COMUNA 9")</f>
        <v>RDV MINISTROS | PABLO BERECIARTUA 20/4 COMUNA 9</v>
      </c>
      <c r="C896" s="29" t="str">
        <f>IFERROR(__xludf.DUMMYFUNCTION("""COMPUTED_VALUE"""),"Pieza")</f>
        <v>Pieza</v>
      </c>
      <c r="D896" s="28" t="str">
        <f>IFERROR(__xludf.DUMMYFUNCTION("""COMPUTED_VALUE"""),"2899-ABRINFGC")</f>
        <v>2899-ABRINFGC</v>
      </c>
      <c r="E896" s="28" t="str">
        <f>IFERROR(__xludf.DUMMYFUNCTION("""COMPUTED_VALUE"""),"APERTURA ESTACIÓN MALABIA LÍNEA E")</f>
        <v>APERTURA ESTACIÓN MALABIA LÍNEA E</v>
      </c>
      <c r="F896" s="29" t="str">
        <f>IFERROR(__xludf.DUMMYFUNCTION("""COMPUTED_VALUE"""),"https://www.facebook.com/GCBA/posts/pfbid0oQofRyGp5qUhzGprJBX3geZJ71j9yNm2xJPKdPnP1j15Ftg9N3Bn5bVngUmVYNVnl")</f>
        <v>https://www.facebook.com/GCBA/posts/pfbid0oQofRyGp5qUhzGprJBX3geZJ71j9yNm2xJPKdPnP1j15Ftg9N3Bn5bVngUmVYNVnl</v>
      </c>
    </row>
    <row r="897">
      <c r="A897" s="28" t="str">
        <f>IFERROR(__xludf.DUMMYFUNCTION("""COMPUTED_VALUE"""),"2851-ABRJDGVC")</f>
        <v>2851-ABRJDGVC</v>
      </c>
      <c r="B897" s="28" t="str">
        <f>IFERROR(__xludf.DUMMYFUNCTION("""COMPUTED_VALUE"""),"RDV MINISTROS | GABRIEL SÁNCHEZ ZINNY 17/4 PALERMO")</f>
        <v>RDV MINISTROS | GABRIEL SÁNCHEZ ZINNY 17/4 PALERMO</v>
      </c>
      <c r="C897" s="29" t="str">
        <f>IFERROR(__xludf.DUMMYFUNCTION("""COMPUTED_VALUE"""),"Pieza")</f>
        <v>Pieza</v>
      </c>
      <c r="D897" s="28" t="str">
        <f>IFERROR(__xludf.DUMMYFUNCTION("""COMPUTED_VALUE"""),"2901-ABRINFGC")</f>
        <v>2901-ABRINFGC</v>
      </c>
      <c r="E897" s="28" t="str">
        <f>IFERROR(__xludf.DUMMYFUNCTION("""COMPUTED_VALUE""")," Infraestructura I Corte AU Illia por obras")</f>
        <v> Infraestructura I Corte AU Illia por obras</v>
      </c>
      <c r="F897" s="29" t="str">
        <f>IFERROR(__xludf.DUMMYFUNCTION("""COMPUTED_VALUE"""),"https://fb.me/adspreview/facebook/28Yf2et3oSUA5wW")</f>
        <v>https://fb.me/adspreview/facebook/28Yf2et3oSUA5wW</v>
      </c>
    </row>
    <row r="898">
      <c r="A898" s="28" t="str">
        <f>IFERROR(__xludf.DUMMYFUNCTION("""COMPUTED_VALUE"""),"2874-ABRSEGGJ")</f>
        <v>2874-ABRSEGGJ</v>
      </c>
      <c r="B898" s="28" t="str">
        <f>IFERROR(__xludf.DUMMYFUNCTION("""COMPUTED_VALUE"""),"CAMPAÑA JM + GCBA | SEGURIDAD | Desalojo cuatro propiedades en Constitución")</f>
        <v>CAMPAÑA JM + GCBA | SEGURIDAD | Desalojo cuatro propiedades en Constitución</v>
      </c>
      <c r="C898" s="29" t="str">
        <f>IFERROR(__xludf.DUMMYFUNCTION("""COMPUTED_VALUE"""),"Pieza")</f>
        <v>Pieza</v>
      </c>
      <c r="D898" s="28" t="str">
        <f>IFERROR(__xludf.DUMMYFUNCTION("""COMPUTED_VALUE"""),"2843-ABRJDGAG")</f>
        <v>2843-ABRJDGAG</v>
      </c>
      <c r="E898" s="28" t="str">
        <f>IFERROR(__xludf.DUMMYFUNCTION("""COMPUTED_VALUE"""),"1 A 1 JM | Comuna 1 17/04")</f>
        <v>1 A 1 JM | Comuna 1 17/04</v>
      </c>
      <c r="F898" s="29" t="str">
        <f>IFERROR(__xludf.DUMMYFUNCTION("""COMPUTED_VALUE"""),"https://www.facebook.com/reel/1295138989235506")</f>
        <v>https://www.facebook.com/reel/1295138989235506</v>
      </c>
    </row>
    <row r="899">
      <c r="A899" s="28" t="str">
        <f>IFERROR(__xludf.DUMMYFUNCTION("""COMPUTED_VALUE"""),"2870-ABRSALGC")</f>
        <v>2870-ABRSALGC</v>
      </c>
      <c r="B899" s="28" t="str">
        <f>IFERROR(__xludf.DUMMYFUNCTION("""COMPUTED_VALUE"""),"SIGEHOS - Mejoras y Correcciones en el RIS - Semana del 14/4")</f>
        <v>SIGEHOS - Mejoras y Correcciones en el RIS - Semana del 14/4</v>
      </c>
      <c r="C899" s="29" t="str">
        <f>IFERROR(__xludf.DUMMYFUNCTION("""COMPUTED_VALUE"""),"Pieza")</f>
        <v>Pieza</v>
      </c>
      <c r="D899" s="28" t="str">
        <f>IFERROR(__xludf.DUMMYFUNCTION("""COMPUTED_VALUE"""),"2887-ABRJDGGC")</f>
        <v>2887-ABRJDGGC</v>
      </c>
      <c r="E899" s="28" t="str">
        <f>IFERROR(__xludf.DUMMYFUNCTION("""COMPUTED_VALUE"""),"1 A 1 JM | Comuna 15 23/04")</f>
        <v>1 A 1 JM | Comuna 15 23/04</v>
      </c>
      <c r="F899" s="29" t="str">
        <f>IFERROR(__xludf.DUMMYFUNCTION("""COMPUTED_VALUE"""),"https://www.facebook.com/reel/976632781498219")</f>
        <v>https://www.facebook.com/reel/976632781498219</v>
      </c>
    </row>
    <row r="900">
      <c r="A900" s="28" t="str">
        <f>IFERROR(__xludf.DUMMYFUNCTION("""COMPUTED_VALUE"""),"2871-ABRSALGC")</f>
        <v>2871-ABRSALGC</v>
      </c>
      <c r="B900" s="28" t="str">
        <f>IFERROR(__xludf.DUMMYFUNCTION("""COMPUTED_VALUE"""),"SIGEHOS - Nuestro Latido Organizacional - Refuerzo")</f>
        <v>SIGEHOS - Nuestro Latido Organizacional - Refuerzo</v>
      </c>
      <c r="C900" s="29" t="str">
        <f>IFERROR(__xludf.DUMMYFUNCTION("""COMPUTED_VALUE"""),"Pieza")</f>
        <v>Pieza</v>
      </c>
      <c r="D900" s="28" t="str">
        <f>IFERROR(__xludf.DUMMYFUNCTION("""COMPUTED_VALUE"""),"2813-ABRDUDGC")</f>
        <v>2813-ABRDUDGC</v>
      </c>
      <c r="E900" s="28" t="str">
        <f>IFERROR(__xludf.DUMMYFUNCTION("""COMPUTED_VALUE"""),"Evento Colapinto")</f>
        <v>Evento Colapinto</v>
      </c>
      <c r="F900" s="29" t="str">
        <f>IFERROR(__xludf.DUMMYFUNCTION("""COMPUTED_VALUE"""),"https://www.facebook.com/GCBA/posts/pfbid02xaf6Djw5p7AiQMVgPdzN7Qd26gtAXWoT3g19yahRK6JtpwfNTa8wTtGpQorKypqYl")</f>
        <v>https://www.facebook.com/GCBA/posts/pfbid02xaf6Djw5p7AiQMVgPdzN7Qd26gtAXWoT3g19yahRK6JtpwfNTa8wTtGpQorKypqYl</v>
      </c>
    </row>
    <row r="901">
      <c r="A901" s="28" t="str">
        <f>IFERROR(__xludf.DUMMYFUNCTION("""COMPUTED_VALUE"""),"2889-ABRSALVC")</f>
        <v>2889-ABRSALVC</v>
      </c>
      <c r="B901" s="28" t="str">
        <f>IFERROR(__xludf.DUMMYFUNCTION("""COMPUTED_VALUE"""),"RDV Ministros |  Fernán Quirós - 21/4")</f>
        <v>RDV Ministros |  Fernán Quirós - 21/4</v>
      </c>
      <c r="C901" s="29" t="str">
        <f>IFERROR(__xludf.DUMMYFUNCTION("""COMPUTED_VALUE"""),"Pieza")</f>
        <v>Pieza</v>
      </c>
      <c r="D901" s="28" t="str">
        <f>IFERROR(__xludf.DUMMYFUNCTION("""COMPUTED_VALUE"""),"2960-ABRJDGAG")</f>
        <v>2960-ABRJDGAG</v>
      </c>
      <c r="E901" s="28" t="str">
        <f>IFERROR(__xludf.DUMMYFUNCTION("""COMPUTED_VALUE"""),"1 A 1 JM | Comuna 13 08/05")</f>
        <v>1 A 1 JM | Comuna 13 08/05</v>
      </c>
      <c r="F901" s="29" t="str">
        <f>IFERROR(__xludf.DUMMYFUNCTION("""COMPUTED_VALUE"""),"https://www.facebook.com/GCBA/posts/pfbid02piHF6wJbhqe8kwXMsA6anj6iCoiQq4eEf5Dxw2jWsfXvACz8eyAfYWCrjKKt98wsl")</f>
        <v>https://www.facebook.com/GCBA/posts/pfbid02piHF6wJbhqe8kwXMsA6anj6iCoiQq4eEf5Dxw2jWsfXvACz8eyAfYWCrjKKt98wsl</v>
      </c>
    </row>
    <row r="902">
      <c r="A902" s="28" t="str">
        <f>IFERROR(__xludf.DUMMYFUNCTION("""COMPUTED_VALUE"""),"2855-ABRJDGAG")</f>
        <v>2855-ABRJDGAG</v>
      </c>
      <c r="B902" s="28" t="str">
        <f>IFERROR(__xludf.DUMMYFUNCTION("""COMPUTED_VALUE"""),"Campaña JM | Prioridad porteña: mail")</f>
        <v>Campaña JM | Prioridad porteña: mail</v>
      </c>
      <c r="C902" s="29" t="str">
        <f>IFERROR(__xludf.DUMMYFUNCTION("""COMPUTED_VALUE"""),"Pieza")</f>
        <v>Pieza</v>
      </c>
      <c r="D902" s="28" t="str">
        <f>IFERROR(__xludf.DUMMYFUNCTION("""COMPUTED_VALUE"""),"2909-ABRJDGAG")</f>
        <v>2909-ABRJDGAG</v>
      </c>
      <c r="E902" s="28" t="str">
        <f>IFERROR(__xludf.DUMMYFUNCTION("""COMPUTED_VALUE"""),"RDV JM Primera Persona | Comuna 1 27/04 Gastón Pauls")</f>
        <v>RDV JM Primera Persona | Comuna 1 27/04 Gastón Pauls</v>
      </c>
      <c r="F902" s="29" t="str">
        <f>IFERROR(__xludf.DUMMYFUNCTION("""COMPUTED_VALUE"""),"https://www.facebook.com/reel/2461211924325329")</f>
        <v>https://www.facebook.com/reel/2461211924325329</v>
      </c>
    </row>
    <row r="903">
      <c r="A903" s="28" t="str">
        <f>IFERROR(__xludf.DUMMYFUNCTION("""COMPUTED_VALUE"""),"2827-ABREPHGC")</f>
        <v>2827-ABREPHGC</v>
      </c>
      <c r="B903" s="28" t="str">
        <f>IFERROR(__xludf.DUMMYFUNCTION("""COMPUTED_VALUE"""),"CAMPAÑA GCBA | MEPHU | CAMPAÑA GRANDES GENERADORES")</f>
        <v>CAMPAÑA GCBA | MEPHU | CAMPAÑA GRANDES GENERADORES</v>
      </c>
      <c r="C903" s="29" t="str">
        <f>IFERROR(__xludf.DUMMYFUNCTION("""COMPUTED_VALUE"""),"Pieza")</f>
        <v>Pieza</v>
      </c>
      <c r="D903" s="28" t="str">
        <f>IFERROR(__xludf.DUMMYFUNCTION("""COMPUTED_VALUE"""),"2909-ABRJDGAG")</f>
        <v>2909-ABRJDGAG</v>
      </c>
      <c r="E903" s="28" t="str">
        <f>IFERROR(__xludf.DUMMYFUNCTION("""COMPUTED_VALUE"""),"RDV JM Primera Persona | Comuna 1 27/04 Gastón Pauls")</f>
        <v>RDV JM Primera Persona | Comuna 1 27/04 Gastón Pauls</v>
      </c>
      <c r="F903" s="29" t="str">
        <f>IFERROR(__xludf.DUMMYFUNCTION("""COMPUTED_VALUE"""),"https://www.facebook.com/reel/2461211924325329")</f>
        <v>https://www.facebook.com/reel/2461211924325329</v>
      </c>
    </row>
    <row r="904">
      <c r="A904" s="28" t="str">
        <f>IFERROR(__xludf.DUMMYFUNCTION("""COMPUTED_VALUE"""),"2827-ABREPHGC")</f>
        <v>2827-ABREPHGC</v>
      </c>
      <c r="B904" s="28" t="str">
        <f>IFERROR(__xludf.DUMMYFUNCTION("""COMPUTED_VALUE"""),"CAMPAÑA GCBA | MEPHU | CAMPAÑA GRANDES GENERADORES")</f>
        <v>CAMPAÑA GCBA | MEPHU | CAMPAÑA GRANDES GENERADORES</v>
      </c>
      <c r="C904" s="29" t="str">
        <f>IFERROR(__xludf.DUMMYFUNCTION("""COMPUTED_VALUE"""),"Pieza")</f>
        <v>Pieza</v>
      </c>
      <c r="D904" s="28" t="str">
        <f>IFERROR(__xludf.DUMMYFUNCTION("""COMPUTED_VALUE"""),"2958-ABRJDGAG")</f>
        <v>2958-ABRJDGAG</v>
      </c>
      <c r="E904" s="28" t="str">
        <f>IFERROR(__xludf.DUMMYFUNCTION("""COMPUTED_VALUE"""),"RDV JM VILLA DEVOTO 4/5")</f>
        <v>RDV JM VILLA DEVOTO 4/5</v>
      </c>
      <c r="F904" s="29" t="str">
        <f>IFERROR(__xludf.DUMMYFUNCTION("""COMPUTED_VALUE"""),"https://www.facebook.com/reel/2613717612355871")</f>
        <v>https://www.facebook.com/reel/2613717612355871</v>
      </c>
    </row>
    <row r="905">
      <c r="A905" s="28" t="str">
        <f>IFERROR(__xludf.DUMMYFUNCTION("""COMPUTED_VALUE"""),"2886-ABRDECGC")</f>
        <v>2886-ABRDECGC</v>
      </c>
      <c r="B905" s="28" t="str">
        <f>IFERROR(__xludf.DUMMYFUNCTION("""COMPUTED_VALUE"""),"CAFECITO BA ABRIL")</f>
        <v>CAFECITO BA ABRIL</v>
      </c>
      <c r="C905" s="29" t="str">
        <f>IFERROR(__xludf.DUMMYFUNCTION("""COMPUTED_VALUE"""),"Pieza")</f>
        <v>Pieza</v>
      </c>
      <c r="D905" s="28" t="str">
        <f>IFERROR(__xludf.DUMMYFUNCTION("""COMPUTED_VALUE"""),"2965-ABRINFVC")</f>
        <v>2965-ABRINFVC</v>
      </c>
      <c r="E905" s="28" t="str">
        <f>IFERROR(__xludf.DUMMYFUNCTION("""COMPUTED_VALUE"""),"RDV Ministros | Pablo Bereciartua - 4/5 - Comuna 15")</f>
        <v>RDV Ministros | Pablo Bereciartua - 4/5 - Comuna 15</v>
      </c>
      <c r="F905" s="29" t="str">
        <f>IFERROR(__xludf.DUMMYFUNCTION("""COMPUTED_VALUE"""),"https://www.facebook.com/baparticipacion/posts/pfbid02EMWgKBXVsjaCKma2N7M6AjPPM6wR3Q3bJG32D1ExDHmXmDhXnfHWCieewQECNF6Ll")</f>
        <v>https://www.facebook.com/baparticipacion/posts/pfbid02EMWgKBXVsjaCKma2N7M6AjPPM6wR3Q3bJG32D1ExDHmXmDhXnfHWCieewQECNF6Ll</v>
      </c>
    </row>
    <row r="906">
      <c r="A906" s="28" t="str">
        <f>IFERROR(__xludf.DUMMYFUNCTION("""COMPUTED_VALUE"""),"2834-ABRSEGVC")</f>
        <v>2834-ABRSEGVC</v>
      </c>
      <c r="B906" s="28" t="str">
        <f>IFERROR(__xludf.DUMMYFUNCTION("""COMPUTED_VALUE"""),"RDV MINISTROS | Gabino Tapia 16/4 Comuna 6")</f>
        <v>RDV MINISTROS | Gabino Tapia 16/4 Comuna 6</v>
      </c>
      <c r="C906" s="29" t="str">
        <f>IFERROR(__xludf.DUMMYFUNCTION("""COMPUTED_VALUE"""),"Pieza")</f>
        <v>Pieza</v>
      </c>
      <c r="D906" s="28" t="str">
        <f>IFERROR(__xludf.DUMMYFUNCTION("""COMPUTED_VALUE"""),"2964-ABRJDGVC")</f>
        <v>2964-ABRJDGVC</v>
      </c>
      <c r="E906" s="28" t="str">
        <f>IFERROR(__xludf.DUMMYFUNCTION("""COMPUTED_VALUE"""),"RDV Ministros | Gabriel Sanchez Zinny - 4/5 - Constitución")</f>
        <v>RDV Ministros | Gabriel Sanchez Zinny - 4/5 - Constitución</v>
      </c>
      <c r="F906" s="29" t="str">
        <f>IFERROR(__xludf.DUMMYFUNCTION("""COMPUTED_VALUE"""),"https://www.facebook.com/baparticipacion/posts/pfbid02ACp8cW6DkLqKbEH3wL2wqe24LPhy8wctFBcStRDJwm1Nah5h1Em563xRxD5L7qH5l")</f>
        <v>https://www.facebook.com/baparticipacion/posts/pfbid02ACp8cW6DkLqKbEH3wL2wqe24LPhy8wctFBcStRDJwm1Nah5h1Em563xRxD5L7qH5l</v>
      </c>
    </row>
    <row r="907">
      <c r="A907" s="28" t="str">
        <f>IFERROR(__xludf.DUMMYFUNCTION("""COMPUTED_VALUE"""),"2881-ABRCULVC")</f>
        <v>2881-ABRCULVC</v>
      </c>
      <c r="B907" s="28" t="str">
        <f>IFERROR(__xludf.DUMMYFUNCTION("""COMPUTED_VALUE"""),"RDV MINISTROS | Gabriela Ricardes 22/4 Comuna 14")</f>
        <v>RDV MINISTROS | Gabriela Ricardes 22/4 Comuna 14</v>
      </c>
      <c r="C907" s="29" t="str">
        <f>IFERROR(__xludf.DUMMYFUNCTION("""COMPUTED_VALUE"""),"Pieza")</f>
        <v>Pieza</v>
      </c>
      <c r="D907" s="28" t="str">
        <f>IFERROR(__xludf.DUMMYFUNCTION("""COMPUTED_VALUE"""),"2962-ABRHYFVC")</f>
        <v>2962-ABRHYFVC</v>
      </c>
      <c r="E907" s="28" t="str">
        <f>IFERROR(__xludf.DUMMYFUNCTION("""COMPUTED_VALUE"""),"LOMBARDI-TAPIA-PIRAGINE 4/5 EJE CENTRO")</f>
        <v>LOMBARDI-TAPIA-PIRAGINE 4/5 EJE CENTRO</v>
      </c>
      <c r="F907" s="29" t="str">
        <f>IFERROR(__xludf.DUMMYFUNCTION("""COMPUTED_VALUE"""),"https://www.facebook.com/baparticipacion/posts/pfbid02hwLB24e1ZTxjY3XgRNitembhPzcmefEqr4EW1gEX9jroGvKZmLqQUB2HNVpy79Pal")</f>
        <v>https://www.facebook.com/baparticipacion/posts/pfbid02hwLB24e1ZTxjY3XgRNitembhPzcmefEqr4EW1gEX9jroGvKZmLqQUB2HNVpy79Pal</v>
      </c>
    </row>
    <row r="908">
      <c r="A908" s="28" t="str">
        <f>IFERROR(__xludf.DUMMYFUNCTION("""COMPUTED_VALUE"""),"2901-ABRINFGC")</f>
        <v>2901-ABRINFGC</v>
      </c>
      <c r="B908" s="28" t="str">
        <f>IFERROR(__xludf.DUMMYFUNCTION("""COMPUTED_VALUE""")," Infraestructura I Corte AU Illia por obras")</f>
        <v> Infraestructura I Corte AU Illia por obras</v>
      </c>
      <c r="C908" s="29" t="str">
        <f>IFERROR(__xludf.DUMMYFUNCTION("""COMPUTED_VALUE"""),"Pieza")</f>
        <v>Pieza</v>
      </c>
      <c r="D908" s="28" t="str">
        <f>IFERROR(__xludf.DUMMYFUNCTION("""COMPUTED_VALUE"""),"2963-ABRCULVC")</f>
        <v>2963-ABRCULVC</v>
      </c>
      <c r="E908" s="28" t="str">
        <f>IFERROR(__xludf.DUMMYFUNCTION("""COMPUTED_VALUE"""),"RDV Ministros | Gabriela Ricardes 6/5 Comuna 12")</f>
        <v>RDV Ministros | Gabriela Ricardes 6/5 Comuna 12</v>
      </c>
      <c r="F908" s="29" t="str">
        <f>IFERROR(__xludf.DUMMYFUNCTION("""COMPUTED_VALUE"""),"https://www.facebook.com/baparticipacion/posts/pfbid0337DDYLN4zwtQBEmADu3hineCWrEYsHQXX7s4zt7dBM7hPiahrNoqW1stMWqRwLKol")</f>
        <v>https://www.facebook.com/baparticipacion/posts/pfbid0337DDYLN4zwtQBEmADu3hineCWrEYsHQXX7s4zt7dBM7hPiahrNoqW1stMWqRwLKol</v>
      </c>
    </row>
    <row r="909">
      <c r="A909" s="28" t="str">
        <f>IFERROR(__xludf.DUMMYFUNCTION("""COMPUTED_VALUE"""),"2835-ABRSEGVC")</f>
        <v>2835-ABRSEGVC</v>
      </c>
      <c r="B909" s="28" t="str">
        <f>IFERROR(__xludf.DUMMYFUNCTION("""COMPUTED_VALUE"""),"RDV MINISTROS | Horacio Giménez 16/4 Comuna 7")</f>
        <v>RDV MINISTROS | Horacio Giménez 16/4 Comuna 7</v>
      </c>
      <c r="C909" s="29" t="str">
        <f>IFERROR(__xludf.DUMMYFUNCTION("""COMPUTED_VALUE"""),"Pieza")</f>
        <v>Pieza</v>
      </c>
      <c r="D909" s="28" t="str">
        <f>IFERROR(__xludf.DUMMYFUNCTION("""COMPUTED_VALUE"""),"2967-ABRAMBVC")</f>
        <v>2967-ABRAMBVC</v>
      </c>
      <c r="E909" s="28" t="str">
        <f>IFERROR(__xludf.DUMMYFUNCTION("""COMPUTED_VALUE"""),"RDV Ministros | Clara Muzzio - 6/5 - Retiro")</f>
        <v>RDV Ministros | Clara Muzzio - 6/5 - Retiro</v>
      </c>
      <c r="F909" s="29" t="str">
        <f>IFERROR(__xludf.DUMMYFUNCTION("""COMPUTED_VALUE"""),"https://www.facebook.com/baparticipacion/posts/pfbid09AS49KkVfKMf62fEQRz6iXUsEG2fjaqVfPmuCCC58f5UWFYJ8TB1ta22KU6ER8Tkl")</f>
        <v>https://www.facebook.com/baparticipacion/posts/pfbid09AS49KkVfKMf62fEQRz6iXUsEG2fjaqVfPmuCCC58f5UWFYJ8TB1ta22KU6ER8Tkl</v>
      </c>
    </row>
    <row r="910">
      <c r="A910" s="28" t="str">
        <f>IFERROR(__xludf.DUMMYFUNCTION("""COMPUTED_VALUE"""),"2876-FEBEDUVC")</f>
        <v>2876-FEBEDUVC</v>
      </c>
      <c r="B910" s="28" t="str">
        <f>IFERROR(__xludf.DUMMYFUNCTION("""COMPUTED_VALUE"""),"RDV Mercedes Miguel 22/4 comuna 15")</f>
        <v>RDV Mercedes Miguel 22/4 comuna 15</v>
      </c>
      <c r="C910" s="29" t="str">
        <f>IFERROR(__xludf.DUMMYFUNCTION("""COMPUTED_VALUE"""),"Pieza")</f>
        <v>Pieza</v>
      </c>
      <c r="D910" s="28" t="str">
        <f>IFERROR(__xludf.DUMMYFUNCTION("""COMPUTED_VALUE"""),"2966-ABRSALVC")</f>
        <v>2966-ABRSALVC</v>
      </c>
      <c r="E910" s="28" t="str">
        <f>IFERROR(__xludf.DUMMYFUNCTION("""COMPUTED_VALUE"""),"RDV Ministros | Fernán Quirós - 5/5 - Comuna 13")</f>
        <v>RDV Ministros | Fernán Quirós - 5/5 - Comuna 13</v>
      </c>
      <c r="F910" s="29" t="str">
        <f>IFERROR(__xludf.DUMMYFUNCTION("""COMPUTED_VALUE"""),"https://www.facebook.com/baparticipacion/posts/pfbid0a9Khp7pULiMMYQMkVT5D2gf2S9fkMgKRvS25bmiT6zTf782A6KfUtBxnjv5etnv8l")</f>
        <v>https://www.facebook.com/baparticipacion/posts/pfbid0a9Khp7pULiMMYQMkVT5D2gf2S9fkMgKRvS25bmiT6zTf782A6KfUtBxnjv5etnv8l</v>
      </c>
    </row>
    <row r="911">
      <c r="A911" s="28" t="str">
        <f>IFERROR(__xludf.DUMMYFUNCTION("""COMPUTED_VALUE"""),"2896-ABRHYFGC")</f>
        <v>2896-ABRHYFGC</v>
      </c>
      <c r="B911" s="28" t="str">
        <f>IFERROR(__xludf.DUMMYFUNCTION("""COMPUTED_VALUE"""),"Eliminación de impuestos")</f>
        <v>Eliminación de impuestos</v>
      </c>
      <c r="C911" s="29" t="str">
        <f>IFERROR(__xludf.DUMMYFUNCTION("""COMPUTED_VALUE"""),"Pieza")</f>
        <v>Pieza</v>
      </c>
      <c r="D911" s="28" t="str">
        <f>IFERROR(__xludf.DUMMYFUNCTION("""COMPUTED_VALUE"""),"2930-ABRINFGC")</f>
        <v>2930-ABRINFGC</v>
      </c>
      <c r="E911" s="28" t="str">
        <f>IFERROR(__xludf.DUMMYFUNCTION("""COMPUTED_VALUE""")," Infraestructura: Corte AU Dellepiane por obras hidráulicas")</f>
        <v> Infraestructura: Corte AU Dellepiane por obras hidráulicas</v>
      </c>
      <c r="F911" s="29" t="str">
        <f>IFERROR(__xludf.DUMMYFUNCTION("""COMPUTED_VALUE"""),"https://fb.me/adspreview/facebook/1TkeqwIzNSX2150")</f>
        <v>https://fb.me/adspreview/facebook/1TkeqwIzNSX2150</v>
      </c>
    </row>
    <row r="912">
      <c r="A912" s="28" t="str">
        <f>IFERROR(__xludf.DUMMYFUNCTION("""COMPUTED_VALUE"""),"1946-SEPEPHGC")</f>
        <v>1946-SEPEPHGC</v>
      </c>
      <c r="B912" s="28" t="str">
        <f>IFERROR(__xludf.DUMMYFUNCTION("""COMPUTED_VALUE"""),"CAMPAÑA GCBA | MEPHU  | PLUVIALES")</f>
        <v>CAMPAÑA GCBA | MEPHU  | PLUVIALES</v>
      </c>
      <c r="C912" s="29" t="str">
        <f>IFERROR(__xludf.DUMMYFUNCTION("""COMPUTED_VALUE"""),"Pieza")</f>
        <v>Pieza</v>
      </c>
      <c r="D912" s="28" t="str">
        <f>IFERROR(__xludf.DUMMYFUNCTION("""COMPUTED_VALUE"""),"2944-ABRINFGC")</f>
        <v>2944-ABRINFGC</v>
      </c>
      <c r="E912" s="28" t="str">
        <f>IFERROR(__xludf.DUMMYFUNCTION("""COMPUTED_VALUE"""),"FF en todas las autopistas")</f>
        <v>FF en todas las autopistas</v>
      </c>
      <c r="F912" s="29" t="str">
        <f>IFERROR(__xludf.DUMMYFUNCTION("""COMPUTED_VALUE"""),"https://www.facebook.com/reel/1661938441623776")</f>
        <v>https://www.facebook.com/reel/1661938441623776</v>
      </c>
    </row>
    <row r="913">
      <c r="A913" s="28" t="str">
        <f>IFERROR(__xludf.DUMMYFUNCTION("""COMPUTED_VALUE"""),"1895-SEPEPHGC")</f>
        <v>1895-SEPEPHGC</v>
      </c>
      <c r="B913" s="28" t="str">
        <f>IFERROR(__xludf.DUMMYFUNCTION("""COMPUTED_VALUE"""),"PIEZAS M2 | MEPHU | REPAVIMENTACIÓN")</f>
        <v>PIEZAS M2 | MEPHU | REPAVIMENTACIÓN</v>
      </c>
      <c r="C913" s="29" t="str">
        <f>IFERROR(__xludf.DUMMYFUNCTION("""COMPUTED_VALUE"""),"Pieza")</f>
        <v>Pieza</v>
      </c>
      <c r="D913" s="28" t="str">
        <f>IFERROR(__xludf.DUMMYFUNCTION("""COMPUTED_VALUE"""),"2944-ABRINFGC")</f>
        <v>2944-ABRINFGC</v>
      </c>
      <c r="E913" s="28" t="str">
        <f>IFERROR(__xludf.DUMMYFUNCTION("""COMPUTED_VALUE"""),"FF en todas las autopistas")</f>
        <v>FF en todas las autopistas</v>
      </c>
      <c r="F913" s="29" t="str">
        <f>IFERROR(__xludf.DUMMYFUNCTION("""COMPUTED_VALUE"""),"https://www.facebook.com/GCBA/posts/pfbid02aE8Nd3mVbY2WNK7HU9ox1WhtCCiTCZaxgJyz5ByazJEGso5L9NKoC4FTQa1EKmk9l")</f>
        <v>https://www.facebook.com/GCBA/posts/pfbid02aE8Nd3mVbY2WNK7HU9ox1WhtCCiTCZaxgJyz5ByazJEGso5L9NKoC4FTQa1EKmk9l</v>
      </c>
    </row>
    <row r="914">
      <c r="A914" s="28" t="str">
        <f>IFERROR(__xludf.DUMMYFUNCTION("""COMPUTED_VALUE"""),"1943-SEPEPHGC")</f>
        <v>1943-SEPEPHGC</v>
      </c>
      <c r="B914" s="28" t="str">
        <f>IFERROR(__xludf.DUMMYFUNCTION("""COMPUTED_VALUE"""),"DGPLES | MEPHU  | READOQUINADO")</f>
        <v>DGPLES | MEPHU  | READOQUINADO</v>
      </c>
      <c r="C914" s="29" t="str">
        <f>IFERROR(__xludf.DUMMYFUNCTION("""COMPUTED_VALUE"""),"Pieza")</f>
        <v>Pieza</v>
      </c>
      <c r="D914" s="28" t="str">
        <f>IFERROR(__xludf.DUMMYFUNCTION("""COMPUTED_VALUE"""),"2896-ABRHYFGC")</f>
        <v>2896-ABRHYFGC</v>
      </c>
      <c r="E914" s="28" t="str">
        <f>IFERROR(__xludf.DUMMYFUNCTION("""COMPUTED_VALUE"""),"Eliminación de impuestos")</f>
        <v>Eliminación de impuestos</v>
      </c>
      <c r="F914" s="29" t="str">
        <f>IFERROR(__xludf.DUMMYFUNCTION("""COMPUTED_VALUE"""),"https://www.facebook.com/GCBA/posts/pfbid02yZmqzW27WZWmV78Fctq2sNgCipDpR11wQfc5ArDrGXxh4ExLJX9nJtQtEzD3rTDGl")</f>
        <v>https://www.facebook.com/GCBA/posts/pfbid02yZmqzW27WZWmV78Fctq2sNgCipDpR11wQfc5ArDrGXxh4ExLJX9nJtQtEzD3rTDGl</v>
      </c>
    </row>
    <row r="915">
      <c r="A915" s="28" t="str">
        <f>IFERROR(__xludf.DUMMYFUNCTION("""COMPUTED_VALUE"""),"1942-SEPEPHGC")</f>
        <v>1942-SEPEPHGC</v>
      </c>
      <c r="B915" s="28" t="str">
        <f>IFERROR(__xludf.DUMMYFUNCTION("""COMPUTED_VALUE"""),"DGPLES | MEPHU  | REPARACIÓN DE VEREDAS")</f>
        <v>DGPLES | MEPHU  | REPARACIÓN DE VEREDAS</v>
      </c>
      <c r="C915" s="29" t="str">
        <f>IFERROR(__xludf.DUMMYFUNCTION("""COMPUTED_VALUE"""),"Pieza")</f>
        <v>Pieza</v>
      </c>
      <c r="D915" s="28" t="str">
        <f>IFERROR(__xludf.DUMMYFUNCTION("""COMPUTED_VALUE"""),"2863-ABRSALGC")</f>
        <v>2863-ABRSALGC</v>
      </c>
      <c r="E915" s="28" t="str">
        <f>IFERROR(__xludf.DUMMYFUNCTION("""COMPUTED_VALUE"""),"CESAC 40 - Fin de obra")</f>
        <v>CESAC 40 - Fin de obra</v>
      </c>
      <c r="F915" s="29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916">
      <c r="A916" s="28" t="str">
        <f>IFERROR(__xludf.DUMMYFUNCTION("""COMPUTED_VALUE"""),"1964-SEPEPHGC")</f>
        <v>1964-SEPEPHGC</v>
      </c>
      <c r="B916" s="28" t="str">
        <f>IFERROR(__xludf.DUMMYFUNCTION("""COMPUTED_VALUE"""),"MEPHU RECAMBIO TECNOLÓGICO M2")</f>
        <v>MEPHU RECAMBIO TECNOLÓGICO M2</v>
      </c>
      <c r="C916" s="29" t="str">
        <f>IFERROR(__xludf.DUMMYFUNCTION("""COMPUTED_VALUE"""),"Pieza")</f>
        <v>Pieza</v>
      </c>
      <c r="D916" s="28" t="str">
        <f>IFERROR(__xludf.DUMMYFUNCTION("""COMPUTED_VALUE"""),"2863-ABRSALGC")</f>
        <v>2863-ABRSALGC</v>
      </c>
      <c r="E916" s="28" t="str">
        <f>IFERROR(__xludf.DUMMYFUNCTION("""COMPUTED_VALUE"""),"CESAC 40 - Fin de obra")</f>
        <v>CESAC 40 - Fin de obra</v>
      </c>
      <c r="F916" s="29" t="str">
        <f>IFERROR(__xludf.DUMMYFUNCTION("""COMPUTED_VALUE"""),"https://www.facebook.com/GCBA/posts/pfbid0Dny5QJbX8hitGkDGBX9fHSDtTyn9e8hwh6zqgx9pvN8fpmf7kpFKshgUjB7jDUFFl")</f>
        <v>https://www.facebook.com/GCBA/posts/pfbid0Dny5QJbX8hitGkDGBX9fHSDtTyn9e8hwh6zqgx9pvN8fpmf7kpFKshgUjB7jDUFFl</v>
      </c>
    </row>
    <row r="917">
      <c r="A917" s="28" t="str">
        <f>IFERROR(__xludf.DUMMYFUNCTION("""COMPUTED_VALUE"""),"1896-SEPEPHGC")</f>
        <v>1896-SEPEPHGC</v>
      </c>
      <c r="B917" s="28" t="str">
        <f>IFERROR(__xludf.DUMMYFUNCTION("""COMPUTED_VALUE"""),"PIEZAS M2 | MEPHU | LIMPIEZA INTENSIVA")</f>
        <v>PIEZAS M2 | MEPHU | LIMPIEZA INTENSIVA</v>
      </c>
      <c r="C917" s="29" t="str">
        <f>IFERROR(__xludf.DUMMYFUNCTION("""COMPUTED_VALUE"""),"Pieza")</f>
        <v>Pieza</v>
      </c>
      <c r="D917" s="28" t="str">
        <f>IFERROR(__xludf.DUMMYFUNCTION("""COMPUTED_VALUE"""),"2322-NOVEDUGC")</f>
        <v>2322-NOVEDUGC</v>
      </c>
      <c r="E917" s="28" t="str">
        <f>IFERROR(__xludf.DUMMYFUNCTION("""COMPUTED_VALUE"""),"TUMO Parque de la Innovación")</f>
        <v>TUMO Parque de la Innovación</v>
      </c>
      <c r="F917" s="29" t="str">
        <f>IFERROR(__xludf.DUMMYFUNCTION("""COMPUTED_VALUE"""),"https://www.facebook.com/reel/1259490412867632")</f>
        <v>https://www.facebook.com/reel/1259490412867632</v>
      </c>
    </row>
    <row r="918">
      <c r="A918" s="28" t="str">
        <f>IFERROR(__xludf.DUMMYFUNCTION("""COMPUTED_VALUE"""),"2827-ABREPHGC")</f>
        <v>2827-ABREPHGC</v>
      </c>
      <c r="B918" s="28" t="str">
        <f>IFERROR(__xludf.DUMMYFUNCTION("""COMPUTED_VALUE"""),"CAMPAÑA GCBA | MEPHU | CAMPAÑA GRANDES GENERADORES")</f>
        <v>CAMPAÑA GCBA | MEPHU | CAMPAÑA GRANDES GENERADORES</v>
      </c>
      <c r="C918" s="29" t="str">
        <f>IFERROR(__xludf.DUMMYFUNCTION("""COMPUTED_VALUE"""),"Pieza")</f>
        <v>Pieza</v>
      </c>
      <c r="D918" s="28" t="str">
        <f>IFERROR(__xludf.DUMMYFUNCTION("""COMPUTED_VALUE"""),"2322-NOVEDUGC")</f>
        <v>2322-NOVEDUGC</v>
      </c>
      <c r="E918" s="28" t="str">
        <f>IFERROR(__xludf.DUMMYFUNCTION("""COMPUTED_VALUE"""),"TUMO Parque de la Innovación")</f>
        <v>TUMO Parque de la Innovación</v>
      </c>
      <c r="F918" s="29" t="str">
        <f>IFERROR(__xludf.DUMMYFUNCTION("""COMPUTED_VALUE"""),"https://www.facebook.com/reel/1259490412867632")</f>
        <v>https://www.facebook.com/reel/1259490412867632</v>
      </c>
    </row>
    <row r="919">
      <c r="A919" s="28" t="str">
        <f>IFERROR(__xludf.DUMMYFUNCTION("""COMPUTED_VALUE"""),"2879-ABRJDGVC")</f>
        <v>2879-ABRJDGVC</v>
      </c>
      <c r="B919" s="28" t="str">
        <f>IFERROR(__xludf.DUMMYFUNCTION("""COMPUTED_VALUE"""),"RDV MINISTROS | GABRIEL SÁNCHEZ ZINNY 21/4  VILLA PUEYRREDÓN")</f>
        <v>RDV MINISTROS | GABRIEL SÁNCHEZ ZINNY 21/4  VILLA PUEYRREDÓN</v>
      </c>
      <c r="C919" s="29" t="str">
        <f>IFERROR(__xludf.DUMMYFUNCTION("""COMPUTED_VALUE"""),"Pieza")</f>
        <v>Pieza</v>
      </c>
      <c r="D919" s="28" t="str">
        <f>IFERROR(__xludf.DUMMYFUNCTION("""COMPUTED_VALUE"""),"1871-AGOEDUGC")</f>
        <v>1871-AGOEDUGC</v>
      </c>
      <c r="E919" s="28" t="str">
        <f>IFERROR(__xludf.DUMMYFUNCTION("""COMPUTED_VALUE"""),"Campaña GCBA | Educación | TUMO")</f>
        <v>Campaña GCBA | Educación | TUMO</v>
      </c>
      <c r="F919" s="29" t="str">
        <f>IFERROR(__xludf.DUMMYFUNCTION("""COMPUTED_VALUE"""),"https://www.facebook.com/reel/818777800864033")</f>
        <v>https://www.facebook.com/reel/818777800864033</v>
      </c>
    </row>
    <row r="920">
      <c r="A920" s="28" t="str">
        <f>IFERROR(__xludf.DUMMYFUNCTION("""COMPUTED_VALUE"""),"2827-ABREPHGC")</f>
        <v>2827-ABREPHGC</v>
      </c>
      <c r="B920" s="28" t="str">
        <f>IFERROR(__xludf.DUMMYFUNCTION("""COMPUTED_VALUE"""),"CAMPAÑA GCBA | MEPHU | CAMPAÑA GRANDES GENERADORES")</f>
        <v>CAMPAÑA GCBA | MEPHU | CAMPAÑA GRANDES GENERADORES</v>
      </c>
      <c r="C920" s="29" t="str">
        <f>IFERROR(__xludf.DUMMYFUNCTION("""COMPUTED_VALUE"""),"Pieza")</f>
        <v>Pieza</v>
      </c>
      <c r="D920" s="28" t="str">
        <f>IFERROR(__xludf.DUMMYFUNCTION("""COMPUTED_VALUE"""),"1871-AGOEDUGC")</f>
        <v>1871-AGOEDUGC</v>
      </c>
      <c r="E920" s="28" t="str">
        <f>IFERROR(__xludf.DUMMYFUNCTION("""COMPUTED_VALUE"""),"Campaña GCBA | Educación | TUMO")</f>
        <v>Campaña GCBA | Educación | TUMO</v>
      </c>
      <c r="F920" s="29" t="str">
        <f>IFERROR(__xludf.DUMMYFUNCTION("""COMPUTED_VALUE"""),"https://www.facebook.com/reel/818777800864033")</f>
        <v>https://www.facebook.com/reel/818777800864033</v>
      </c>
    </row>
    <row r="921">
      <c r="A921" s="28" t="str">
        <f>IFERROR(__xludf.DUMMYFUNCTION("""COMPUTED_VALUE"""),"2902-ABRINFGC")</f>
        <v>2902-ABRINFGC</v>
      </c>
      <c r="B921" s="28" t="str">
        <f>IFERROR(__xludf.DUMMYFUNCTION("""COMPUTED_VALUE""")," INFRAESTRUCTURA | Corte AU Perito Moreno desde General Paz por obras")</f>
        <v> INFRAESTRUCTURA | Corte AU Perito Moreno desde General Paz por obras</v>
      </c>
      <c r="C921" s="29" t="str">
        <f>IFERROR(__xludf.DUMMYFUNCTION("""COMPUTED_VALUE"""),"Pieza")</f>
        <v>Pieza</v>
      </c>
      <c r="D921" s="28" t="str">
        <f>IFERROR(__xludf.DUMMYFUNCTION("""COMPUTED_VALUE"""),"1871-AGOEDUGC")</f>
        <v>1871-AGOEDUGC</v>
      </c>
      <c r="E921" s="28" t="str">
        <f>IFERROR(__xludf.DUMMYFUNCTION("""COMPUTED_VALUE"""),"Campaña GCBA | Educación | TUMO")</f>
        <v>Campaña GCBA | Educación | TUMO</v>
      </c>
      <c r="F921" s="29" t="str">
        <f>IFERROR(__xludf.DUMMYFUNCTION("""COMPUTED_VALUE"""),"https://www.facebook.com/reel/818777800864033")</f>
        <v>https://www.facebook.com/reel/818777800864033</v>
      </c>
    </row>
    <row r="922">
      <c r="A922" s="28" t="str">
        <f>IFERROR(__xludf.DUMMYFUNCTION("""COMPUTED_VALUE"""),"2878-FEBVINVC")</f>
        <v>2878-FEBVINVC</v>
      </c>
      <c r="B922" s="28" t="str">
        <f>IFERROR(__xludf.DUMMYFUNCTION("""COMPUTED_VALUE"""),"RDV MINISTROS | EZEQUIEL SABOR 20/4 COMUNA 1")</f>
        <v>RDV MINISTROS | EZEQUIEL SABOR 20/4 COMUNA 1</v>
      </c>
      <c r="C922" s="29" t="str">
        <f>IFERROR(__xludf.DUMMYFUNCTION("""COMPUTED_VALUE"""),"Pieza")</f>
        <v>Pieza</v>
      </c>
      <c r="D922" s="28" t="str">
        <f>IFERROR(__xludf.DUMMYFUNCTION("""COMPUTED_VALUE"""),"1871-AGOEDUGC")</f>
        <v>1871-AGOEDUGC</v>
      </c>
      <c r="E922" s="28" t="str">
        <f>IFERROR(__xludf.DUMMYFUNCTION("""COMPUTED_VALUE"""),"Campaña GCBA | Educación | TUMO")</f>
        <v>Campaña GCBA | Educación | TUMO</v>
      </c>
      <c r="F922" s="29" t="str">
        <f>IFERROR(__xludf.DUMMYFUNCTION("""COMPUTED_VALUE"""),"https://www.facebook.com/reel/818777800864033")</f>
        <v>https://www.facebook.com/reel/818777800864033</v>
      </c>
    </row>
    <row r="923">
      <c r="A923" s="28" t="str">
        <f>IFERROR(__xludf.DUMMYFUNCTION("""COMPUTED_VALUE"""),"2875-ABRDECVC")</f>
        <v>2875-ABRDECVC</v>
      </c>
      <c r="B923" s="28" t="str">
        <f>IFERROR(__xludf.DUMMYFUNCTION("""COMPUTED_VALUE"""),"RDV Hernán Lombardi, Gustavo Arengo Piragine y Gabino Tapia, Eje Oeste 20/4")</f>
        <v>RDV Hernán Lombardi, Gustavo Arengo Piragine y Gabino Tapia, Eje Oeste 20/4</v>
      </c>
      <c r="C923" s="29" t="str">
        <f>IFERROR(__xludf.DUMMYFUNCTION("""COMPUTED_VALUE"""),"Pieza")</f>
        <v>Pieza</v>
      </c>
      <c r="D923" s="28" t="str">
        <f>IFERROR(__xludf.DUMMYFUNCTION("""COMPUTED_VALUE"""),"1871-AGOEDUGC")</f>
        <v>1871-AGOEDUGC</v>
      </c>
      <c r="E923" s="28" t="str">
        <f>IFERROR(__xludf.DUMMYFUNCTION("""COMPUTED_VALUE"""),"Campaña GCBA | Educación | TUMO")</f>
        <v>Campaña GCBA | Educación | TUMO</v>
      </c>
      <c r="F923" s="29" t="str">
        <f>IFERROR(__xludf.DUMMYFUNCTION("""COMPUTED_VALUE"""),"https://www.facebook.com/reel/818777800864033")</f>
        <v>https://www.facebook.com/reel/818777800864033</v>
      </c>
    </row>
    <row r="924">
      <c r="A924" s="28" t="str">
        <f>IFERROR(__xludf.DUMMYFUNCTION("""COMPUTED_VALUE"""),"2877-FEBINFVC")</f>
        <v>2877-FEBINFVC</v>
      </c>
      <c r="B924" s="28" t="str">
        <f>IFERROR(__xludf.DUMMYFUNCTION("""COMPUTED_VALUE"""),"RDV MINISTROS | PABLO BERECIARTUA 20/4 COMUNA 9")</f>
        <v>RDV MINISTROS | PABLO BERECIARTUA 20/4 COMUNA 9</v>
      </c>
      <c r="C924" s="29" t="str">
        <f>IFERROR(__xludf.DUMMYFUNCTION("""COMPUTED_VALUE"""),"Pieza")</f>
        <v>Pieza</v>
      </c>
      <c r="D924" s="28" t="str">
        <f>IFERROR(__xludf.DUMMYFUNCTION("""COMPUTED_VALUE"""),"1871-AGOEDUGC")</f>
        <v>1871-AGOEDUGC</v>
      </c>
      <c r="E924" s="28" t="str">
        <f>IFERROR(__xludf.DUMMYFUNCTION("""COMPUTED_VALUE"""),"Campaña GCBA | Educación | TUMO")</f>
        <v>Campaña GCBA | Educación | TUMO</v>
      </c>
      <c r="F924" s="29" t="str">
        <f>IFERROR(__xludf.DUMMYFUNCTION("""COMPUTED_VALUE"""),"https://www.facebook.com/reel/818777800864033")</f>
        <v>https://www.facebook.com/reel/818777800864033</v>
      </c>
    </row>
    <row r="925">
      <c r="A925" s="28" t="str">
        <f>IFERROR(__xludf.DUMMYFUNCTION("""COMPUTED_VALUE"""),"2888-ABRPCCVC")</f>
        <v>2888-ABRPCCVC</v>
      </c>
      <c r="B925" s="28" t="str">
        <f>IFERROR(__xludf.DUMMYFUNCTION("""COMPUTED_VALUE"""),"BA Actividad | Deja tus rueditas")</f>
        <v>BA Actividad | Deja tus rueditas</v>
      </c>
      <c r="C925" s="29" t="str">
        <f>IFERROR(__xludf.DUMMYFUNCTION("""COMPUTED_VALUE"""),"Pieza")</f>
        <v>Pieza</v>
      </c>
      <c r="D925" s="28" t="str">
        <f>IFERROR(__xludf.DUMMYFUNCTION("""COMPUTED_VALUE"""),"2908-ABRSALGC")</f>
        <v>2908-ABRSALGC</v>
      </c>
      <c r="E925" s="28" t="str">
        <f>IFERROR(__xludf.DUMMYFUNCTION("""COMPUTED_VALUE"""),"Hospital Muñiz - Fin de obra")</f>
        <v>Hospital Muñiz - Fin de obra</v>
      </c>
      <c r="F925" s="29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926">
      <c r="A926" s="28" t="str">
        <f>IFERROR(__xludf.DUMMYFUNCTION("""COMPUTED_VALUE"""),"2885-ABRSEGVC")</f>
        <v>2885-ABRSEGVC</v>
      </c>
      <c r="B926" s="28" t="str">
        <f>IFERROR(__xludf.DUMMYFUNCTION("""COMPUTED_VALUE"""),"RDV MINISTROS | Francisco Quintana 23/4 Comuna 11")</f>
        <v>RDV MINISTROS | Francisco Quintana 23/4 Comuna 11</v>
      </c>
      <c r="C926" s="29" t="str">
        <f>IFERROR(__xludf.DUMMYFUNCTION("""COMPUTED_VALUE"""),"Pieza")</f>
        <v>Pieza</v>
      </c>
      <c r="D926" s="28" t="str">
        <f>IFERROR(__xludf.DUMMYFUNCTION("""COMPUTED_VALUE"""),"2908-ABRSALGC")</f>
        <v>2908-ABRSALGC</v>
      </c>
      <c r="E926" s="28" t="str">
        <f>IFERROR(__xludf.DUMMYFUNCTION("""COMPUTED_VALUE"""),"Hospital Muñiz - Fin de obra")</f>
        <v>Hospital Muñiz - Fin de obra</v>
      </c>
      <c r="F926" s="29" t="str">
        <f>IFERROR(__xludf.DUMMYFUNCTION("""COMPUTED_VALUE"""),"https://www.facebook.com/GCBA/posts/pfbid02aNCMtfa2ugz4oUAhKsTz8d9nWexr2u33cXHACEdWgPBU9sw8nFwG6qceFSSgEHyVl")</f>
        <v>https://www.facebook.com/GCBA/posts/pfbid02aNCMtfa2ugz4oUAhKsTz8d9nWexr2u33cXHACEdWgPBU9sw8nFwG6qceFSSgEHyVl</v>
      </c>
    </row>
    <row r="927">
      <c r="A927" s="28" t="str">
        <f>IFERROR(__xludf.DUMMYFUNCTION("""COMPUTED_VALUE"""),"2145-OCTVINGC")</f>
        <v>2145-OCTVINGC</v>
      </c>
      <c r="B927" s="28" t="str">
        <f>IFERROR(__xludf.DUMMYFUNCTION("""COMPUTED_VALUE"""),"PIEZAS M2 | VINCULO CIUDADANO (GESTIÓN COMUNAL) | OBRAS EN PARQUES Y PLAZAS (PATIOS DE JUEGOS) Plan 2025")</f>
        <v>PIEZAS M2 | VINCULO CIUDADANO (GESTIÓN COMUNAL) | OBRAS EN PARQUES Y PLAZAS (PATIOS DE JUEGOS) Plan 2025</v>
      </c>
      <c r="C927" s="29" t="str">
        <f>IFERROR(__xludf.DUMMYFUNCTION("""COMPUTED_VALUE"""),"Pieza")</f>
        <v>Pieza</v>
      </c>
      <c r="D927" s="28" t="str">
        <f>IFERROR(__xludf.DUMMYFUNCTION("""COMPUTED_VALUE"""),"2904-ABRDIGCG")</f>
        <v>2904-ABRDIGCG</v>
      </c>
      <c r="E927" s="28" t="str">
        <f>IFERROR(__xludf.DUMMYFUNCTION("""COMPUTED_VALUE"""),"Centro de Control Inteligente de Autopistas")</f>
        <v>Centro de Control Inteligente de Autopistas</v>
      </c>
      <c r="F927" s="29" t="str">
        <f>IFERROR(__xludf.DUMMYFUNCTION("""COMPUTED_VALUE"""),"https://www.facebook.com/reel/1524051432758941")</f>
        <v>https://www.facebook.com/reel/1524051432758941</v>
      </c>
    </row>
    <row r="928">
      <c r="A928" s="28" t="str">
        <f>IFERROR(__xludf.DUMMYFUNCTION("""COMPUTED_VALUE"""),"2851-ABRJDGVC")</f>
        <v>2851-ABRJDGVC</v>
      </c>
      <c r="B928" s="28" t="str">
        <f>IFERROR(__xludf.DUMMYFUNCTION("""COMPUTED_VALUE"""),"RDV MINISTROS | GABRIEL SÁNCHEZ ZINNY 17/4 PALERMO")</f>
        <v>RDV MINISTROS | GABRIEL SÁNCHEZ ZINNY 17/4 PALERMO</v>
      </c>
      <c r="C928" s="29" t="str">
        <f>IFERROR(__xludf.DUMMYFUNCTION("""COMPUTED_VALUE"""),"Pieza")</f>
        <v>Pieza</v>
      </c>
      <c r="D928" s="28" t="str">
        <f>IFERROR(__xludf.DUMMYFUNCTION("""COMPUTED_VALUE"""),"2904-ABRDIGCG")</f>
        <v>2904-ABRDIGCG</v>
      </c>
      <c r="E928" s="28" t="str">
        <f>IFERROR(__xludf.DUMMYFUNCTION("""COMPUTED_VALUE"""),"Centro de Control Inteligente de Autopistas")</f>
        <v>Centro de Control Inteligente de Autopistas</v>
      </c>
      <c r="F928" s="29" t="str">
        <f>IFERROR(__xludf.DUMMYFUNCTION("""COMPUTED_VALUE"""),"https://www.facebook.com/reel/1524051432758941")</f>
        <v>https://www.facebook.com/reel/1524051432758941</v>
      </c>
    </row>
    <row r="929">
      <c r="A929" s="28" t="str">
        <f>IFERROR(__xludf.DUMMYFUNCTION("""COMPUTED_VALUE"""),"2765-MAREDUGC")</f>
        <v>2765-MAREDUGC</v>
      </c>
      <c r="B929" s="28" t="str">
        <f>IFERROR(__xludf.DUMMYFUNCTION("""COMPUTED_VALUE"""),"Campaña Compromiso familiar: sin celulares")</f>
        <v>Campaña Compromiso familiar: sin celulares</v>
      </c>
      <c r="C929" s="29" t="str">
        <f>IFERROR(__xludf.DUMMYFUNCTION("""COMPUTED_VALUE"""),"Pieza")</f>
        <v>Pieza</v>
      </c>
      <c r="D929" s="28" t="str">
        <f>IFERROR(__xludf.DUMMYFUNCTION("""COMPUTED_VALUE"""),"2813-ABRDUDGC")</f>
        <v>2813-ABRDUDGC</v>
      </c>
      <c r="E929" s="28" t="str">
        <f>IFERROR(__xludf.DUMMYFUNCTION("""COMPUTED_VALUE"""),"Evento Colapinto")</f>
        <v>Evento Colapinto</v>
      </c>
      <c r="F929" s="29" t="str">
        <f>IFERROR(__xludf.DUMMYFUNCTION("""COMPUTED_VALUE"""),"https://www.facebook.com/reel/1353968750115839")</f>
        <v>https://www.facebook.com/reel/1353968750115839</v>
      </c>
    </row>
    <row r="930">
      <c r="A930" s="28" t="str">
        <f>IFERROR(__xludf.DUMMYFUNCTION("""COMPUTED_VALUE"""),"2876-FEBEDUVC")</f>
        <v>2876-FEBEDUVC</v>
      </c>
      <c r="B930" s="28" t="str">
        <f>IFERROR(__xludf.DUMMYFUNCTION("""COMPUTED_VALUE"""),"RDV Mercedes Miguel 22/4 comuna 15")</f>
        <v>RDV Mercedes Miguel 22/4 comuna 15</v>
      </c>
      <c r="C930" s="29" t="str">
        <f>IFERROR(__xludf.DUMMYFUNCTION("""COMPUTED_VALUE"""),"Pieza")</f>
        <v>Pieza</v>
      </c>
      <c r="D930" s="28" t="str">
        <f>IFERROR(__xludf.DUMMYFUNCTION("""COMPUTED_VALUE"""),"2943-ABRSEGGJ")</f>
        <v>2943-ABRSEGGJ</v>
      </c>
      <c r="E930" s="28" t="str">
        <f>IFERROR(__xludf.DUMMYFUNCTION("""COMPUTED_VALUE"""),"Desalojo N°700")</f>
        <v>Desalojo N°700</v>
      </c>
      <c r="F930" s="29" t="str">
        <f>IFERROR(__xludf.DUMMYFUNCTION("""COMPUTED_VALUE"""),"https://www.facebook.com/reel/1350977913533302")</f>
        <v>https://www.facebook.com/reel/1350977913533302</v>
      </c>
    </row>
    <row r="931">
      <c r="A931" s="28" t="str">
        <f>IFERROR(__xludf.DUMMYFUNCTION("""COMPUTED_VALUE"""),"2884-ABRSEGVC")</f>
        <v>2884-ABRSEGVC</v>
      </c>
      <c r="B931" s="28" t="str">
        <f>IFERROR(__xludf.DUMMYFUNCTION("""COMPUTED_VALUE"""),"RDV MINISTROS | Horacio Giménez 23/4 Comuna 10")</f>
        <v>RDV MINISTROS | Horacio Giménez 23/4 Comuna 10</v>
      </c>
      <c r="C931" s="29" t="str">
        <f>IFERROR(__xludf.DUMMYFUNCTION("""COMPUTED_VALUE"""),"Pieza")</f>
        <v>Pieza</v>
      </c>
      <c r="D931" s="28" t="str">
        <f>IFERROR(__xludf.DUMMYFUNCTION("""COMPUTED_VALUE"""),"2943-ABRSEGGJ")</f>
        <v>2943-ABRSEGGJ</v>
      </c>
      <c r="E931" s="28" t="str">
        <f>IFERROR(__xludf.DUMMYFUNCTION("""COMPUTED_VALUE"""),"Desalojo N°700")</f>
        <v>Desalojo N°700</v>
      </c>
      <c r="F931" s="29" t="str">
        <f>IFERROR(__xludf.DUMMYFUNCTION("""COMPUTED_VALUE"""),"https://www.facebook.com/reel/1350977913533302")</f>
        <v>https://www.facebook.com/reel/1350977913533302</v>
      </c>
    </row>
    <row r="932">
      <c r="A932" s="28" t="str">
        <f>IFERROR(__xludf.DUMMYFUNCTION("""COMPUTED_VALUE"""),"2880-ABRJDGVC")</f>
        <v>2880-ABRJDGVC</v>
      </c>
      <c r="B932" s="28" t="str">
        <f>IFERROR(__xludf.DUMMYFUNCTION("""COMPUTED_VALUE"""),"RDV MINISTROS | GABRIEL SÁNCHEZ ZINNY 24/4  BELGRANO")</f>
        <v>RDV MINISTROS | GABRIEL SÁNCHEZ ZINNY 24/4  BELGRANO</v>
      </c>
      <c r="C932" s="29" t="str">
        <f>IFERROR(__xludf.DUMMYFUNCTION("""COMPUTED_VALUE"""),"Pieza")</f>
        <v>Pieza</v>
      </c>
      <c r="D932" s="28" t="str">
        <f>IFERROR(__xludf.DUMMYFUNCTION("""COMPUTED_VALUE"""),"2744-MARSALGC")</f>
        <v>2744-MARSALGC</v>
      </c>
      <c r="E932" s="28" t="str">
        <f>IFERROR(__xludf.DUMMYFUNCTION("""COMPUTED_VALUE"""),"Vacunación Antigripal 2026")</f>
        <v>Vacunación Antigripal 2026</v>
      </c>
      <c r="F932" s="29" t="str">
        <f>IFERROR(__xludf.DUMMYFUNCTION("""COMPUTED_VALUE"""),"https://www.facebook.com/reel/1862137061117644")</f>
        <v>https://www.facebook.com/reel/1862137061117644</v>
      </c>
    </row>
    <row r="933">
      <c r="A933" s="28" t="str">
        <f>IFERROR(__xludf.DUMMYFUNCTION("""COMPUTED_VALUE"""),"2889-ABRSALVC")</f>
        <v>2889-ABRSALVC</v>
      </c>
      <c r="B933" s="28" t="str">
        <f>IFERROR(__xludf.DUMMYFUNCTION("""COMPUTED_VALUE"""),"RDV Ministros |  Fernán Quirós - 21/4")</f>
        <v>RDV Ministros |  Fernán Quirós - 21/4</v>
      </c>
      <c r="C933" s="29" t="str">
        <f>IFERROR(__xludf.DUMMYFUNCTION("""COMPUTED_VALUE"""),"Pieza")</f>
        <v>Pieza</v>
      </c>
      <c r="D933" s="28" t="str">
        <f>IFERROR(__xludf.DUMMYFUNCTION("""COMPUTED_VALUE"""),"2744-MARSALGC")</f>
        <v>2744-MARSALGC</v>
      </c>
      <c r="E933" s="28" t="str">
        <f>IFERROR(__xludf.DUMMYFUNCTION("""COMPUTED_VALUE"""),"Vacunación Antigripal 2026")</f>
        <v>Vacunación Antigripal 2026</v>
      </c>
      <c r="F933" s="29" t="str">
        <f>IFERROR(__xludf.DUMMYFUNCTION("""COMPUTED_VALUE"""),"https://www.facebook.com/reel/1862137061117644")</f>
        <v>https://www.facebook.com/reel/1862137061117644</v>
      </c>
    </row>
    <row r="934">
      <c r="A934" s="28" t="str">
        <f>IFERROR(__xludf.DUMMYFUNCTION("""COMPUTED_VALUE"""),"2890-ABRSALGC")</f>
        <v>2890-ABRSALGC</v>
      </c>
      <c r="B934" s="28" t="str">
        <f>IFERROR(__xludf.DUMMYFUNCTION("""COMPUTED_VALUE"""),"SIGEHOS - Envío Solicitud Electrónica")</f>
        <v>SIGEHOS - Envío Solicitud Electrónica</v>
      </c>
      <c r="C934" s="29" t="str">
        <f>IFERROR(__xludf.DUMMYFUNCTION("""COMPUTED_VALUE"""),"Pieza")</f>
        <v>Pieza</v>
      </c>
      <c r="D934" s="28" t="str">
        <f>IFERROR(__xludf.DUMMYFUNCTION("""COMPUTED_VALUE"""),"2744-MARSALGC")</f>
        <v>2744-MARSALGC</v>
      </c>
      <c r="E934" s="28" t="str">
        <f>IFERROR(__xludf.DUMMYFUNCTION("""COMPUTED_VALUE"""),"Vacunación Antigripal 2026")</f>
        <v>Vacunación Antigripal 2026</v>
      </c>
      <c r="F934" s="29" t="str">
        <f>IFERROR(__xludf.DUMMYFUNCTION("""COMPUTED_VALUE"""),"https://www.facebook.com/GCBA/posts/pfbid0Ftr1BFEuMXZgZzkvxNATehYJWtz65Zwo14oK7wZCTVKGiuhbS8vtnqUWXP8AP9dSl")</f>
        <v>https://www.facebook.com/GCBA/posts/pfbid0Ftr1BFEuMXZgZzkvxNATehYJWtz65Zwo14oK7wZCTVKGiuhbS8vtnqUWXP8AP9dSl</v>
      </c>
    </row>
    <row r="935">
      <c r="A935" s="28" t="str">
        <f>IFERROR(__xludf.DUMMYFUNCTION("""COMPUTED_VALUE"""),"1942-SEPEPHGC")</f>
        <v>1942-SEPEPHGC</v>
      </c>
      <c r="B935" s="28" t="str">
        <f>IFERROR(__xludf.DUMMYFUNCTION("""COMPUTED_VALUE"""),"DGPLES | MEPHU  | REPARACIÓN DE VEREDAS")</f>
        <v>DGPLES | MEPHU  | REPARACIÓN DE VEREDAS</v>
      </c>
      <c r="C935" s="29" t="str">
        <f>IFERROR(__xludf.DUMMYFUNCTION("""COMPUTED_VALUE"""),"Pieza")</f>
        <v>Pieza</v>
      </c>
      <c r="D935" s="28" t="str">
        <f>IFERROR(__xludf.DUMMYFUNCTION("""COMPUTED_VALUE"""),"2894-ABRSALGC")</f>
        <v>2894-ABRSALGC</v>
      </c>
      <c r="E935" s="28" t="str">
        <f>IFERROR(__xludf.DUMMYFUNCTION("""COMPUTED_VALUE"""),"Programa de Escucha Activa")</f>
        <v>Programa de Escucha Activa</v>
      </c>
      <c r="F935" s="29" t="str">
        <f>IFERROR(__xludf.DUMMYFUNCTION("""COMPUTED_VALUE"""),"https://www.facebook.com/reel/1353968750115839")</f>
        <v>https://www.facebook.com/reel/1353968750115839</v>
      </c>
    </row>
    <row r="936">
      <c r="A936" s="28" t="str">
        <f>IFERROR(__xludf.DUMMYFUNCTION("""COMPUTED_VALUE"""),"2905-ABRJDGAG")</f>
        <v>2905-ABRJDGAG</v>
      </c>
      <c r="B936" s="28" t="str">
        <f>IFERROR(__xludf.DUMMYFUNCTION("""COMPUTED_VALUE"""),"RDV JM | 24/4 BALVANERA")</f>
        <v>RDV JM | 24/4 BALVANERA</v>
      </c>
      <c r="C936" s="29" t="str">
        <f>IFERROR(__xludf.DUMMYFUNCTION("""COMPUTED_VALUE"""),"Pieza")</f>
        <v>Pieza</v>
      </c>
      <c r="D936" s="28" t="str">
        <f>IFERROR(__xludf.DUMMYFUNCTION("""COMPUTED_VALUE"""),"2942-ABRSALGJ")</f>
        <v>2942-ABRSALGJ</v>
      </c>
      <c r="E936" s="28" t="str">
        <f>IFERROR(__xludf.DUMMYFUNCTION("""COMPUTED_VALUE"""),"Htal. Fernández - Durante de Obra")</f>
        <v>Htal. Fernández - Durante de Obra</v>
      </c>
      <c r="F936" s="29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937">
      <c r="A937" s="28" t="str">
        <f>IFERROR(__xludf.DUMMYFUNCTION("""COMPUTED_VALUE"""),"2879-ABRJDGVC")</f>
        <v>2879-ABRJDGVC</v>
      </c>
      <c r="B937" s="28" t="str">
        <f>IFERROR(__xludf.DUMMYFUNCTION("""COMPUTED_VALUE"""),"RDV MINISTROS | GABRIEL SÁNCHEZ ZINNY 21/4  VILLA PUEYRREDÓN")</f>
        <v>RDV MINISTROS | GABRIEL SÁNCHEZ ZINNY 21/4  VILLA PUEYRREDÓN</v>
      </c>
      <c r="C937" s="29" t="str">
        <f>IFERROR(__xludf.DUMMYFUNCTION("""COMPUTED_VALUE"""),"Pieza")</f>
        <v>Pieza</v>
      </c>
      <c r="D937" s="28" t="str">
        <f>IFERROR(__xludf.DUMMYFUNCTION("""COMPUTED_VALUE"""),"2942-ABRSALGJ")</f>
        <v>2942-ABRSALGJ</v>
      </c>
      <c r="E937" s="28" t="str">
        <f>IFERROR(__xludf.DUMMYFUNCTION("""COMPUTED_VALUE"""),"Htal. Fernández - Durante de Obra")</f>
        <v>Htal. Fernández - Durante de Obra</v>
      </c>
      <c r="F937" s="29" t="str">
        <f>IFERROR(__xludf.DUMMYFUNCTION("""COMPUTED_VALUE"""),"https://www.facebook.com/GCBA/posts/pfbid02s3FadHkMcs1KPejoRvT7cNbSZg8SAwtbQqyenJWmhWjZzhBZFXKB6TGjKT85xmuEl")</f>
        <v>https://www.facebook.com/GCBA/posts/pfbid02s3FadHkMcs1KPejoRvT7cNbSZg8SAwtbQqyenJWmhWjZzhBZFXKB6TGjKT85xmuEl</v>
      </c>
    </row>
    <row r="938">
      <c r="A938" s="28" t="str">
        <f>IFERROR(__xludf.DUMMYFUNCTION("""COMPUTED_VALUE"""),"2827-ABREPHGC")</f>
        <v>2827-ABREPHGC</v>
      </c>
      <c r="B938" s="28" t="str">
        <f>IFERROR(__xludf.DUMMYFUNCTION("""COMPUTED_VALUE"""),"CAMPAÑA GCBA | MEPHU | CAMPAÑA GRANDES GENERADORES")</f>
        <v>CAMPAÑA GCBA | MEPHU | CAMPAÑA GRANDES GENERADORES</v>
      </c>
      <c r="C938" s="29" t="str">
        <f>IFERROR(__xludf.DUMMYFUNCTION("""COMPUTED_VALUE"""),"Pieza")</f>
        <v>Pieza</v>
      </c>
      <c r="D938" s="28" t="str">
        <f>IFERROR(__xludf.DUMMYFUNCTION("""COMPUTED_VALUE"""),"2954-ABRSALGC")</f>
        <v>2954-ABRSALGC</v>
      </c>
      <c r="E938" s="28" t="str">
        <f>IFERROR(__xludf.DUMMYFUNCTION("""COMPUTED_VALUE"""),"Inversión en Salud")</f>
        <v>Inversión en Salud</v>
      </c>
      <c r="F938" s="29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939">
      <c r="A939" s="28" t="str">
        <f>IFERROR(__xludf.DUMMYFUNCTION("""COMPUTED_VALUE"""),"2827-ABREPHGC")</f>
        <v>2827-ABREPHGC</v>
      </c>
      <c r="B939" s="28" t="str">
        <f>IFERROR(__xludf.DUMMYFUNCTION("""COMPUTED_VALUE"""),"CAMPAÑA GCBA | MEPHU | CAMPAÑA GRANDES GENERADORES")</f>
        <v>CAMPAÑA GCBA | MEPHU | CAMPAÑA GRANDES GENERADORES</v>
      </c>
      <c r="C939" s="29" t="str">
        <f>IFERROR(__xludf.DUMMYFUNCTION("""COMPUTED_VALUE"""),"Pieza")</f>
        <v>Pieza</v>
      </c>
      <c r="D939" s="28" t="str">
        <f>IFERROR(__xludf.DUMMYFUNCTION("""COMPUTED_VALUE"""),"2954-ABRSALGC")</f>
        <v>2954-ABRSALGC</v>
      </c>
      <c r="E939" s="28" t="str">
        <f>IFERROR(__xludf.DUMMYFUNCTION("""COMPUTED_VALUE"""),"Inversión en Salud")</f>
        <v>Inversión en Salud</v>
      </c>
      <c r="F939" s="29" t="str">
        <f>IFERROR(__xludf.DUMMYFUNCTION("""COMPUTED_VALUE"""),"https://www.facebook.com/GCBA/posts/pfbid0ZhY9HNw5XyVPq9LPPWvSnUBGrzWXjMx66cykS25RXtuo4kREkyYSVqz9iN4gWoVKl")</f>
        <v>https://www.facebook.com/GCBA/posts/pfbid0ZhY9HNw5XyVPq9LPPWvSnUBGrzWXjMx66cykS25RXtuo4kREkyYSVqz9iN4gWoVKl</v>
      </c>
    </row>
    <row r="940">
      <c r="A940" s="28" t="str">
        <f>IFERROR(__xludf.DUMMYFUNCTION("""COMPUTED_VALUE"""),"2827-ABREPHGC")</f>
        <v>2827-ABREPHGC</v>
      </c>
      <c r="B940" s="28" t="str">
        <f>IFERROR(__xludf.DUMMYFUNCTION("""COMPUTED_VALUE"""),"CAMPAÑA GCBA | MEPHU | CAMPAÑA GRANDES GENERADORES")</f>
        <v>CAMPAÑA GCBA | MEPHU | CAMPAÑA GRANDES GENERADORES</v>
      </c>
      <c r="C940" s="29" t="str">
        <f>IFERROR(__xludf.DUMMYFUNCTION("""COMPUTED_VALUE"""),"Pieza")</f>
        <v>Pieza</v>
      </c>
      <c r="D940" s="28" t="str">
        <f>IFERROR(__xludf.DUMMYFUNCTION("""COMPUTED_VALUE"""),"2496-ENEVINGC")</f>
        <v>2496-ENEVINGC</v>
      </c>
      <c r="E94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40" s="29" t="str">
        <f>IFERROR(__xludf.DUMMYFUNCTION("""COMPUTED_VALUE"""),"https://www.facebook.com/GCBA/posts/pfbid0b4iNwqqUvd7F2M6U3W1Z3ZRhXQk3Fbxfforwy1qj6ogdFrWrUMFCXe4GBue93wZml")</f>
        <v>https://www.facebook.com/GCBA/posts/pfbid0b4iNwqqUvd7F2M6U3W1Z3ZRhXQk3Fbxfforwy1qj6ogdFrWrUMFCXe4GBue93wZml</v>
      </c>
    </row>
    <row r="941">
      <c r="A941" s="28" t="str">
        <f>IFERROR(__xludf.DUMMYFUNCTION("""COMPUTED_VALUE"""),"2827-ABREPHGC")</f>
        <v>2827-ABREPHGC</v>
      </c>
      <c r="B941" s="28" t="str">
        <f>IFERROR(__xludf.DUMMYFUNCTION("""COMPUTED_VALUE"""),"CAMPAÑA GCBA | MEPHU | CAMPAÑA GRANDES GENERADORES")</f>
        <v>CAMPAÑA GCBA | MEPHU | CAMPAÑA GRANDES GENERADORES</v>
      </c>
      <c r="C941" s="29" t="str">
        <f>IFERROR(__xludf.DUMMYFUNCTION("""COMPUTED_VALUE"""),"Pieza")</f>
        <v>Pieza</v>
      </c>
      <c r="D941" s="28" t="str">
        <f>IFERROR(__xludf.DUMMYFUNCTION("""COMPUTED_VALUE"""),"2496-ENEVINGC")</f>
        <v>2496-ENEVINGC</v>
      </c>
      <c r="E94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41" s="29" t="str">
        <f>IFERROR(__xludf.DUMMYFUNCTION("""COMPUTED_VALUE"""),"https://www.facebook.com/GCBA/posts/pfbid035r6fbNBAi52eKsDsVtmyhQLJ3Cu3r4ZCzv3cR1rgDe4qh5J7wz3SSNRgSj8BTNmAl")</f>
        <v>https://www.facebook.com/GCBA/posts/pfbid035r6fbNBAi52eKsDsVtmyhQLJ3Cu3r4ZCzv3cR1rgDe4qh5J7wz3SSNRgSj8BTNmAl</v>
      </c>
    </row>
    <row r="942">
      <c r="A942" s="28" t="str">
        <f>IFERROR(__xludf.DUMMYFUNCTION("""COMPUTED_VALUE"""),"2882-ABRSEGVC")</f>
        <v>2882-ABRSEGVC</v>
      </c>
      <c r="B942" s="28" t="str">
        <f>IFERROR(__xludf.DUMMYFUNCTION("""COMPUTED_VALUE"""),"RDV MINISTROS | Ruth Landerreche 23/4 Comuna 8")</f>
        <v>RDV MINISTROS | Ruth Landerreche 23/4 Comuna 8</v>
      </c>
      <c r="C942" s="29" t="str">
        <f>IFERROR(__xludf.DUMMYFUNCTION("""COMPUTED_VALUE"""),"Pieza")</f>
        <v>Pieza</v>
      </c>
      <c r="D942" s="28" t="str">
        <f>IFERROR(__xludf.DUMMYFUNCTION("""COMPUTED_VALUE"""),"2496-ENEVINGC")</f>
        <v>2496-ENEVINGC</v>
      </c>
      <c r="E94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42" s="29" t="str">
        <f>IFERROR(__xludf.DUMMYFUNCTION("""COMPUTED_VALUE"""),"https://www.facebook.com/GCBA/posts/pfbid0TFbqgySZ7tM6zHoz3vL7GnY377zSSMfbQPLeqBDa61d2jaEraZemv4xwwziqXPDBl")</f>
        <v>https://www.facebook.com/GCBA/posts/pfbid0TFbqgySZ7tM6zHoz3vL7GnY377zSSMfbQPLeqBDa61d2jaEraZemv4xwwziqXPDBl</v>
      </c>
    </row>
    <row r="943">
      <c r="A943" s="28" t="str">
        <f>IFERROR(__xludf.DUMMYFUNCTION("""COMPUTED_VALUE"""),"2888-ABRPCCVC")</f>
        <v>2888-ABRPCCVC</v>
      </c>
      <c r="B943" s="28" t="str">
        <f>IFERROR(__xludf.DUMMYFUNCTION("""COMPUTED_VALUE"""),"BA Actividad | Deja tus rueditas")</f>
        <v>BA Actividad | Deja tus rueditas</v>
      </c>
      <c r="C943" s="29" t="str">
        <f>IFERROR(__xludf.DUMMYFUNCTION("""COMPUTED_VALUE"""),"Pieza")</f>
        <v>Pieza</v>
      </c>
      <c r="D943" s="28" t="str">
        <f>IFERROR(__xludf.DUMMYFUNCTION("""COMPUTED_VALUE"""),"2738-MARCULGC")</f>
        <v>2738-MARCULGC</v>
      </c>
      <c r="E943" s="28" t="str">
        <f>IFERROR(__xludf.DUMMYFUNCTION("""COMPUTED_VALUE"""),"Bafici 2026")</f>
        <v>Bafici 2026</v>
      </c>
      <c r="F943" s="29" t="str">
        <f>IFERROR(__xludf.DUMMYFUNCTION("""COMPUTED_VALUE"""),"https://www.facebook.com/reel/1750042989745275")</f>
        <v>https://www.facebook.com/reel/1750042989745275</v>
      </c>
    </row>
    <row r="944">
      <c r="A944" s="28" t="str">
        <f>IFERROR(__xludf.DUMMYFUNCTION("""COMPUTED_VALUE"""),"2859-ABRVINVC")</f>
        <v>2859-ABRVINVC</v>
      </c>
      <c r="B944" s="28" t="str">
        <f>IFERROR(__xludf.DUMMYFUNCTION("""COMPUTED_VALUE"""),"CAMPAÑA GCBA | VINCULO CIUDADANO | Mas servicios en tu barrio 2026: Colegiales 23/4")</f>
        <v>CAMPAÑA GCBA | VINCULO CIUDADANO | Mas servicios en tu barrio 2026: Colegiales 23/4</v>
      </c>
      <c r="C944" s="29" t="str">
        <f>IFERROR(__xludf.DUMMYFUNCTION("""COMPUTED_VALUE"""),"Pieza")</f>
        <v>Pieza</v>
      </c>
      <c r="D944" s="28" t="str">
        <f>IFERROR(__xludf.DUMMYFUNCTION("""COMPUTED_VALUE"""),"2980-MAYINFGC")</f>
        <v>2980-MAYINFGC</v>
      </c>
      <c r="E944" s="28" t="str">
        <f>IFERROR(__xludf.DUMMYFUNCTION("""COMPUTED_VALUE"""),"INFRAESTRUCTIRA | Cortes AU Dellepiane por obras 6/5")</f>
        <v>INFRAESTRUCTIRA | Cortes AU Dellepiane por obras 6/5</v>
      </c>
      <c r="F944" s="29" t="str">
        <f>IFERROR(__xludf.DUMMYFUNCTION("""COMPUTED_VALUE"""),"https://business.facebook.com/ads/experience/confirmation/?is_responsive=0&amp;encrypted_experience_id=Q8DfBAIJ4IBHp0mhmk-iDWyPWKt9YFowWQwEAROfG4INdTlC9vbi4Pmf8nVrOSBRwASGk0bYyS7Dtizj")</f>
        <v>https://business.facebook.com/ads/experience/confirmation/?is_responsive=0&amp;encrypted_experience_id=Q8DfBAIJ4IBHp0mhmk-iDWyPWKt9YFowWQwEAROfG4INdTlC9vbi4Pmf8nVrOSBRwASGk0bYyS7Dtizj</v>
      </c>
    </row>
    <row r="945">
      <c r="A945" s="28" t="str">
        <f>IFERROR(__xludf.DUMMYFUNCTION("""COMPUTED_VALUE"""),"2860-ABRVINVC")</f>
        <v>2860-ABRVINVC</v>
      </c>
      <c r="B945" s="28" t="str">
        <f>IFERROR(__xludf.DUMMYFUNCTION("""COMPUTED_VALUE"""),"CAMPAÑA GCBA | VINCULO CIUDADANO | Mas servicios en tu barrio 2026: Montserrat 24/4")</f>
        <v>CAMPAÑA GCBA | VINCULO CIUDADANO | Mas servicios en tu barrio 2026: Montserrat 24/4</v>
      </c>
      <c r="C945" s="29" t="str">
        <f>IFERROR(__xludf.DUMMYFUNCTION("""COMPUTED_VALUE"""),"Pieza")</f>
        <v>Pieza</v>
      </c>
      <c r="D945" s="28" t="str">
        <f>IFERROR(__xludf.DUMMYFUNCTION("""COMPUTED_VALUE"""),"2979-MAYSEGCG")</f>
        <v>2979-MAYSEGCG</v>
      </c>
      <c r="E945" s="28" t="str">
        <f>IFERROR(__xludf.DUMMYFUNCTION("""COMPUTED_VALUE"""),"ALTA INTERNA CONTENIDO ADICIONAL GCBA | SEGURIDAD | Operativo de saturación en Retiro")</f>
        <v>ALTA INTERNA CONTENIDO ADICIONAL GCBA | SEGURIDAD | Operativo de saturación en Retiro</v>
      </c>
      <c r="F945" s="29" t="str">
        <f>IFERROR(__xludf.DUMMYFUNCTION("""COMPUTED_VALUE"""),"https://www.facebook.com/reel/1958104631478571")</f>
        <v>https://www.facebook.com/reel/1958104631478571</v>
      </c>
    </row>
    <row r="946">
      <c r="A946" s="28" t="str">
        <f>IFERROR(__xludf.DUMMYFUNCTION("""COMPUTED_VALUE"""),"2852-ABRINFGC")</f>
        <v>2852-ABRINFGC</v>
      </c>
      <c r="B946" s="28" t="str">
        <f>IFERROR(__xludf.DUMMYFUNCTION("""COMPUTED_VALUE"""),"INFRAESTRUCTURA | Cortes y desvíos por Evento Colapinto")</f>
        <v>INFRAESTRUCTURA | Cortes y desvíos por Evento Colapinto</v>
      </c>
      <c r="C946" s="29" t="str">
        <f>IFERROR(__xludf.DUMMYFUNCTION("""COMPUTED_VALUE"""),"Pieza")</f>
        <v>Pieza</v>
      </c>
      <c r="D946" s="28" t="str">
        <f>IFERROR(__xludf.DUMMYFUNCTION("""COMPUTED_VALUE"""),"2978-MAYSEGCG")</f>
        <v>2978-MAYSEGCG</v>
      </c>
      <c r="E946" s="28" t="str">
        <f>IFERROR(__xludf.DUMMYFUNCTION("""COMPUTED_VALUE"""),"ALTA INTERNA CONTENIDO ADICIONAL GCBA | SEGURIDAD | La villa 31 ya no es más una zona liberada")</f>
        <v>ALTA INTERNA CONTENIDO ADICIONAL GCBA | SEGURIDAD | La villa 31 ya no es más una zona liberada</v>
      </c>
      <c r="F946" s="29" t="str">
        <f>IFERROR(__xludf.DUMMYFUNCTION("""COMPUTED_VALUE"""),"https://www.facebook.com/reel/1530291025201574")</f>
        <v>https://www.facebook.com/reel/1530291025201574</v>
      </c>
    </row>
    <row r="947">
      <c r="A947" s="28" t="str">
        <f>IFERROR(__xludf.DUMMYFUNCTION("""COMPUTED_VALUE"""),"2897-ABRTURGC")</f>
        <v>2897-ABRTURGC</v>
      </c>
      <c r="B947" s="28" t="str">
        <f>IFERROR(__xludf.DUMMYFUNCTION("""COMPUTED_VALUE"""),"Informe mensual Observatorio Turismo 21/4")</f>
        <v>Informe mensual Observatorio Turismo 21/4</v>
      </c>
      <c r="C947" s="29" t="str">
        <f>IFERROR(__xludf.DUMMYFUNCTION("""COMPUTED_VALUE"""),"Pieza")</f>
        <v>Pieza</v>
      </c>
      <c r="D947" s="28" t="str">
        <f>IFERROR(__xludf.DUMMYFUNCTION("""COMPUTED_VALUE"""),"2978-MAYSEGCG")</f>
        <v>2978-MAYSEGCG</v>
      </c>
      <c r="E947" s="28" t="str">
        <f>IFERROR(__xludf.DUMMYFUNCTION("""COMPUTED_VALUE"""),"ALTA INTERNA CONTENIDO ADICIONAL GCBA | SEGURIDAD | La villa 31 ya no es más una zona liberada")</f>
        <v>ALTA INTERNA CONTENIDO ADICIONAL GCBA | SEGURIDAD | La villa 31 ya no es más una zona liberada</v>
      </c>
      <c r="F947" s="29" t="str">
        <f>IFERROR(__xludf.DUMMYFUNCTION("""COMPUTED_VALUE"""),"https://www.facebook.com/reel/1530291025201574")</f>
        <v>https://www.facebook.com/reel/1530291025201574</v>
      </c>
    </row>
    <row r="948">
      <c r="A948" s="28" t="str">
        <f>IFERROR(__xludf.DUMMYFUNCTION("""COMPUTED_VALUE"""),"2881-ABRCULVC")</f>
        <v>2881-ABRCULVC</v>
      </c>
      <c r="B948" s="28" t="str">
        <f>IFERROR(__xludf.DUMMYFUNCTION("""COMPUTED_VALUE"""),"RDV MINISTROS | Gabriela Ricardes 22/4 Comuna 14")</f>
        <v>RDV MINISTROS | Gabriela Ricardes 22/4 Comuna 14</v>
      </c>
      <c r="C948" s="29" t="str">
        <f>IFERROR(__xludf.DUMMYFUNCTION("""COMPUTED_VALUE"""),"Pieza")</f>
        <v>Pieza</v>
      </c>
      <c r="D948" s="28" t="str">
        <f>IFERROR(__xludf.DUMMYFUNCTION("""COMPUTED_VALUE"""),"2979-MAYSEGCG")</f>
        <v>2979-MAYSEGCG</v>
      </c>
      <c r="E948" s="28" t="str">
        <f>IFERROR(__xludf.DUMMYFUNCTION("""COMPUTED_VALUE"""),"ALTA INTERNA CONTENIDO ADICIONAL GCBA | SEGURIDAD | Operativo de saturación en Retiro")</f>
        <v>ALTA INTERNA CONTENIDO ADICIONAL GCBA | SEGURIDAD | Operativo de saturación en Retiro</v>
      </c>
      <c r="F948" s="29" t="str">
        <f>IFERROR(__xludf.DUMMYFUNCTION("""COMPUTED_VALUE"""),"https://www.facebook.com/reel/1958104631478571")</f>
        <v>https://www.facebook.com/reel/1958104631478571</v>
      </c>
    </row>
    <row r="949">
      <c r="A949" s="28" t="str">
        <f>IFERROR(__xludf.DUMMYFUNCTION("""COMPUTED_VALUE"""),"2765-MAREDUGC")</f>
        <v>2765-MAREDUGC</v>
      </c>
      <c r="B949" s="28" t="str">
        <f>IFERROR(__xludf.DUMMYFUNCTION("""COMPUTED_VALUE"""),"Campaña Compromiso familiar: sin celulares")</f>
        <v>Campaña Compromiso familiar: sin celulares</v>
      </c>
      <c r="C949" s="29" t="str">
        <f>IFERROR(__xludf.DUMMYFUNCTION("""COMPUTED_VALUE"""),"Pieza")</f>
        <v>Pieza</v>
      </c>
      <c r="D949" s="28" t="str">
        <f>IFERROR(__xludf.DUMMYFUNCTION("""COMPUTED_VALUE"""),"2969-ABRSEGVC")</f>
        <v>2969-ABRSEGVC</v>
      </c>
      <c r="E949" s="28" t="str">
        <f>IFERROR(__xludf.DUMMYFUNCTION("""COMPUTED_VALUE"""),"RDV MINISTROS SEGURIDAD | RUTH LANDERRECHE 7/5 COMUNA 2")</f>
        <v>RDV MINISTROS SEGURIDAD | RUTH LANDERRECHE 7/5 COMUNA 2</v>
      </c>
      <c r="F949" s="29" t="str">
        <f>IFERROR(__xludf.DUMMYFUNCTION("""COMPUTED_VALUE"""),"https://www.facebook.com/baparticipacion/posts/pfbid02GuVdByPd1h6dfYw9DmTBhSDw1t4WzDNQ2VyEiv7L6KKRL3AnfAt99Cx8syRc48W2l")</f>
        <v>https://www.facebook.com/baparticipacion/posts/pfbid02GuVdByPd1h6dfYw9DmTBhSDw1t4WzDNQ2VyEiv7L6KKRL3AnfAt99Cx8syRc48W2l</v>
      </c>
    </row>
    <row r="950">
      <c r="A950" s="28" t="str">
        <f>IFERROR(__xludf.DUMMYFUNCTION("""COMPUTED_VALUE"""),"2896-ABRHYFGC")</f>
        <v>2896-ABRHYFGC</v>
      </c>
      <c r="B950" s="28" t="str">
        <f>IFERROR(__xludf.DUMMYFUNCTION("""COMPUTED_VALUE"""),"Eliminación de impuestos")</f>
        <v>Eliminación de impuestos</v>
      </c>
      <c r="C950" s="29" t="str">
        <f>IFERROR(__xludf.DUMMYFUNCTION("""COMPUTED_VALUE"""),"Pieza")</f>
        <v>Pieza</v>
      </c>
      <c r="D950" s="28" t="str">
        <f>IFERROR(__xludf.DUMMYFUNCTION("""COMPUTED_VALUE"""),"2968-ABRSEGVC")</f>
        <v>2968-ABRSEGVC</v>
      </c>
      <c r="E950" s="28" t="str">
        <f>IFERROR(__xludf.DUMMYFUNCTION("""COMPUTED_VALUE"""),"RDV MINISTROS SEGURIDAD | MAXIMILIANO PIÑEIRO 7/5 COMUNA 3")</f>
        <v>RDV MINISTROS SEGURIDAD | MAXIMILIANO PIÑEIRO 7/5 COMUNA 3</v>
      </c>
      <c r="F950" s="29" t="str">
        <f>IFERROR(__xludf.DUMMYFUNCTION("""COMPUTED_VALUE"""),"https://www.facebook.com/baparticipacion/posts/pfbid098U3FgAYxFaNBJnrhtaM3H8D92aATVS4EYb888eof5ByRFNJd7bn7FybtN1wwci7l")</f>
        <v>https://www.facebook.com/baparticipacion/posts/pfbid098U3FgAYxFaNBJnrhtaM3H8D92aATVS4EYb888eof5ByRFNJd7bn7FybtN1wwci7l</v>
      </c>
    </row>
    <row r="951">
      <c r="A951" s="28" t="str">
        <f>IFERROR(__xludf.DUMMYFUNCTION("""COMPUTED_VALUE"""),"2797-MARSALGJ")</f>
        <v>2797-MARSALGJ</v>
      </c>
      <c r="B951" s="28" t="str">
        <f>IFERROR(__xludf.DUMMYFUNCTION("""COMPUTED_VALUE"""),"Recorrida: Hospital Pirovano")</f>
        <v>Recorrida: Hospital Pirovano</v>
      </c>
      <c r="C951" s="29" t="str">
        <f>IFERROR(__xludf.DUMMYFUNCTION("""COMPUTED_VALUE"""),"Pieza")</f>
        <v>Pieza</v>
      </c>
      <c r="D951" s="28" t="str">
        <f>IFERROR(__xludf.DUMMYFUNCTION("""COMPUTED_VALUE"""),"2971-ABRSEGVC")</f>
        <v>2971-ABRSEGVC</v>
      </c>
      <c r="E951" s="28" t="str">
        <f>IFERROR(__xludf.DUMMYFUNCTION("""COMPUTED_VALUE"""),"RDV MINISTROS SEGURIDAD HORACIO GIMÉNEZ 7/5 COMUNA 1 SUR")</f>
        <v>RDV MINISTROS SEGURIDAD HORACIO GIMÉNEZ 7/5 COMUNA 1 SUR</v>
      </c>
      <c r="F951" s="29" t="str">
        <f>IFERROR(__xludf.DUMMYFUNCTION("""COMPUTED_VALUE"""),"https://www.facebook.com/baparticipacion/posts/pfbid02wRBHGdv3dYBDksfeYTp6Z6mCuyLLBie92PbuasD8kyFmpXQfXjTJJApAEq2BL4PQl")</f>
        <v>https://www.facebook.com/baparticipacion/posts/pfbid02wRBHGdv3dYBDksfeYTp6Z6mCuyLLBie92PbuasD8kyFmpXQfXjTJJApAEq2BL4PQl</v>
      </c>
    </row>
    <row r="952">
      <c r="A952" s="28" t="str">
        <f>IFERROR(__xludf.DUMMYFUNCTION("""COMPUTED_VALUE"""),"2831-ABRSEGVC")</f>
        <v>2831-ABRSEGVC</v>
      </c>
      <c r="B952" s="28" t="str">
        <f>IFERROR(__xludf.DUMMYFUNCTION("""COMPUTED_VALUE"""),"RDV MINISTROS | Maximiliano Piñeiro 16/4 Comuna 4")</f>
        <v>RDV MINISTROS | Maximiliano Piñeiro 16/4 Comuna 4</v>
      </c>
      <c r="C952" s="29" t="str">
        <f>IFERROR(__xludf.DUMMYFUNCTION("""COMPUTED_VALUE"""),"Pieza")</f>
        <v>Pieza</v>
      </c>
      <c r="D952" s="28" t="str">
        <f>IFERROR(__xludf.DUMMYFUNCTION("""COMPUTED_VALUE"""),"2977-MAYEDUVC")</f>
        <v>2977-MAYEDUVC</v>
      </c>
      <c r="E952" s="28" t="str">
        <f>IFERROR(__xludf.DUMMYFUNCTION("""COMPUTED_VALUE"""),"RDV Ministros | Mercedes Miguel | 7/5 | comuna 14")</f>
        <v>RDV Ministros | Mercedes Miguel | 7/5 | comuna 14</v>
      </c>
      <c r="F952" s="29" t="str">
        <f>IFERROR(__xludf.DUMMYFUNCTION("""COMPUTED_VALUE"""),"https://www.facebook.com/baparticipacion/posts/pfbid0tMGx9iMLkHP8vjC2RBPG99swE4bWxAUgGgc8aocCDeVjXFAvXrPdbyPD4Apz1wohl")</f>
        <v>https://www.facebook.com/baparticipacion/posts/pfbid0tMGx9iMLkHP8vjC2RBPG99swE4bWxAUgGgc8aocCDeVjXFAvXrPdbyPD4Apz1wohl</v>
      </c>
    </row>
    <row r="953">
      <c r="A953" s="28" t="str">
        <f>IFERROR(__xludf.DUMMYFUNCTION("""COMPUTED_VALUE"""),"2883-ABRSEGVC")</f>
        <v>2883-ABRSEGVC</v>
      </c>
      <c r="B953" s="28" t="str">
        <f>IFERROR(__xludf.DUMMYFUNCTION("""COMPUTED_VALUE"""),"RDV MINISTROS | Maximiliano Piñeiro 23/4 Comuna 9")</f>
        <v>RDV MINISTROS | Maximiliano Piñeiro 23/4 Comuna 9</v>
      </c>
      <c r="C953" s="29" t="str">
        <f>IFERROR(__xludf.DUMMYFUNCTION("""COMPUTED_VALUE"""),"Pieza")</f>
        <v>Pieza</v>
      </c>
      <c r="D953" s="28" t="str">
        <f>IFERROR(__xludf.DUMMYFUNCTION("""COMPUTED_VALUE"""),"2970-ABRSEGVC")</f>
        <v>2970-ABRSEGVC</v>
      </c>
      <c r="E953" s="28" t="str">
        <f>IFERROR(__xludf.DUMMYFUNCTION("""COMPUTED_VALUE"""),"RDV MINISTROS SEGURIDAD | FRANCISCO QUINTANA 7/5 COMUNA 1 NORTE")</f>
        <v>RDV MINISTROS SEGURIDAD | FRANCISCO QUINTANA 7/5 COMUNA 1 NORTE</v>
      </c>
      <c r="F953" s="29" t="str">
        <f>IFERROR(__xludf.DUMMYFUNCTION("""COMPUTED_VALUE"""),"https://www.facebook.com/baparticipacion/posts/pfbid0Kk5r87c8AodVCta9pZq3XRWo9fV95javxAd6YrUKdHFGmLqZUAnLXyCXoA1MsjCyl")</f>
        <v>https://www.facebook.com/baparticipacion/posts/pfbid0Kk5r87c8AodVCta9pZq3XRWo9fV95javxAd6YrUKdHFGmLqZUAnLXyCXoA1MsjCyl</v>
      </c>
    </row>
    <row r="954">
      <c r="A954" s="28" t="str">
        <f>IFERROR(__xludf.DUMMYFUNCTION("""COMPUTED_VALUE"""),"2879-ABRJDGVC")</f>
        <v>2879-ABRJDGVC</v>
      </c>
      <c r="B954" s="28" t="str">
        <f>IFERROR(__xludf.DUMMYFUNCTION("""COMPUTED_VALUE"""),"RDV MINISTROS | GABRIEL SÁNCHEZ ZINNY 21/4  VILLA PUEYRREDÓN")</f>
        <v>RDV MINISTROS | GABRIEL SÁNCHEZ ZINNY 21/4  VILLA PUEYRREDÓN</v>
      </c>
      <c r="C954" s="29" t="str">
        <f>IFERROR(__xludf.DUMMYFUNCTION("""COMPUTED_VALUE"""),"Pieza")</f>
        <v>Pieza</v>
      </c>
      <c r="D954" s="28" t="str">
        <f>IFERROR(__xludf.DUMMYFUNCTION("""COMPUTED_VALUE"""),"2929-ABRJDGAG")</f>
        <v>2929-ABRJDGAG</v>
      </c>
      <c r="E954" s="28" t="str">
        <f>IFERROR(__xludf.DUMMYFUNCTION("""COMPUTED_VALUE"""),"1 A 1 JM | Comuna 12 29/04")</f>
        <v>1 A 1 JM | Comuna 12 29/04</v>
      </c>
      <c r="F954" s="29" t="str">
        <f>IFERROR(__xludf.DUMMYFUNCTION("""COMPUTED_VALUE"""),"https://www.facebook.com/reel/988104550589597")</f>
        <v>https://www.facebook.com/reel/988104550589597</v>
      </c>
    </row>
    <row r="955">
      <c r="A955" s="28" t="str">
        <f>IFERROR(__xludf.DUMMYFUNCTION("""COMPUTED_VALUE"""),"2895-ABRAMBGC")</f>
        <v>2895-ABRAMBGC</v>
      </c>
      <c r="B955" s="28" t="str">
        <f>IFERROR(__xludf.DUMMYFUNCTION("""COMPUTED_VALUE"""),"RDV Ministros | Clara Muzzio - 22/4")</f>
        <v>RDV Ministros | Clara Muzzio - 22/4</v>
      </c>
      <c r="C955" s="29" t="str">
        <f>IFERROR(__xludf.DUMMYFUNCTION("""COMPUTED_VALUE"""),"Pieza")</f>
        <v>Pieza</v>
      </c>
      <c r="D955" s="28" t="str">
        <f>IFERROR(__xludf.DUMMYFUNCTION("""COMPUTED_VALUE"""),"2932-ABRJDGAG")</f>
        <v>2932-ABRJDGAG</v>
      </c>
      <c r="E955" s="28" t="str">
        <f>IFERROR(__xludf.DUMMYFUNCTION("""COMPUTED_VALUE"""),"RDV JM BALVANERA 28/4")</f>
        <v>RDV JM BALVANERA 28/4</v>
      </c>
      <c r="F955" s="29" t="str">
        <f>IFERROR(__xludf.DUMMYFUNCTION("""COMPUTED_VALUE"""),"https://www.facebook.com/reel/1717445409423420")</f>
        <v>https://www.facebook.com/reel/1717445409423420</v>
      </c>
    </row>
    <row r="956">
      <c r="A956" s="28" t="str">
        <f>IFERROR(__xludf.DUMMYFUNCTION("""COMPUTED_VALUE"""),"2827-ABREPHGC")</f>
        <v>2827-ABREPHGC</v>
      </c>
      <c r="B956" s="28" t="str">
        <f>IFERROR(__xludf.DUMMYFUNCTION("""COMPUTED_VALUE"""),"CAMPAÑA GCBA | MEPHU | CAMPAÑA GRANDES GENERADORES")</f>
        <v>CAMPAÑA GCBA | MEPHU | CAMPAÑA GRANDES GENERADORES</v>
      </c>
      <c r="C956" s="29" t="str">
        <f>IFERROR(__xludf.DUMMYFUNCTION("""COMPUTED_VALUE"""),"Pieza")</f>
        <v>Pieza</v>
      </c>
      <c r="D956" s="28" t="str">
        <f>IFERROR(__xludf.DUMMYFUNCTION("""COMPUTED_VALUE"""),"2515-ENEINFGJ")</f>
        <v>2515-ENEINFGJ</v>
      </c>
      <c r="E956" s="28" t="str">
        <f>IFERROR(__xludf.DUMMYFUNCTION("""COMPUTED_VALUE"""),"Infraestructura I Anillo Pampa: Inicio de obra + Cortes")</f>
        <v>Infraestructura I Anillo Pampa: Inicio de obra + Cortes</v>
      </c>
      <c r="F956" s="29" t="str">
        <f>IFERROR(__xludf.DUMMYFUNCTION("""COMPUTED_VALUE"""),"https://www.facebook.com/reel/26974859272149704")</f>
        <v>https://www.facebook.com/reel/26974859272149704</v>
      </c>
    </row>
    <row r="957">
      <c r="A957" s="28" t="str">
        <f>IFERROR(__xludf.DUMMYFUNCTION("""COMPUTED_VALUE"""),"2827-ABREPHGC")</f>
        <v>2827-ABREPHGC</v>
      </c>
      <c r="B957" s="28" t="str">
        <f>IFERROR(__xludf.DUMMYFUNCTION("""COMPUTED_VALUE"""),"CAMPAÑA GCBA | MEPHU | CAMPAÑA GRANDES GENERADORES")</f>
        <v>CAMPAÑA GCBA | MEPHU | CAMPAÑA GRANDES GENERADORES</v>
      </c>
      <c r="C957" s="29" t="str">
        <f>IFERROR(__xludf.DUMMYFUNCTION("""COMPUTED_VALUE"""),"Pieza")</f>
        <v>Pieza</v>
      </c>
      <c r="D957" s="28" t="str">
        <f>IFERROR(__xludf.DUMMYFUNCTION("""COMPUTED_VALUE"""),"2985-MAYJDGVC")</f>
        <v>2985-MAYJDGVC</v>
      </c>
      <c r="E957" s="28" t="str">
        <f>IFERROR(__xludf.DUMMYFUNCTION("""COMPUTED_VALUE"""),"RDV Ministros | Gabriel Sanchéz Zinny - 8/5")</f>
        <v>RDV Ministros | Gabriel Sanchéz Zinny - 8/5</v>
      </c>
      <c r="F957" s="29" t="str">
        <f>IFERROR(__xludf.DUMMYFUNCTION("""COMPUTED_VALUE"""),"https://www.facebook.com/baparticipacion/posts/pfbid02kBQrh7f57xSAed9pAWm5Xm3igPzVuFVHzBPzdYDUnwqN475VdCFadqRZQrv2RvRxl")</f>
        <v>https://www.facebook.com/baparticipacion/posts/pfbid02kBQrh7f57xSAed9pAWm5Xm3igPzVuFVHzBPzdYDUnwqN475VdCFadqRZQrv2RvRxl</v>
      </c>
    </row>
    <row r="958">
      <c r="A958" s="28" t="str">
        <f>IFERROR(__xludf.DUMMYFUNCTION("""COMPUTED_VALUE"""),"2841-ABRJDGAG")</f>
        <v>2841-ABRJDGAG</v>
      </c>
      <c r="B958" s="28" t="str">
        <f>IFERROR(__xludf.DUMMYFUNCTION("""COMPUTED_VALUE"""),"RDV JM | 15/4 PARQUE CHACABUCO")</f>
        <v>RDV JM | 15/4 PARQUE CHACABUCO</v>
      </c>
      <c r="C958" s="29" t="str">
        <f>IFERROR(__xludf.DUMMYFUNCTION("""COMPUTED_VALUE"""),"Pieza")</f>
        <v>Pieza</v>
      </c>
      <c r="D958" s="28" t="str">
        <f>IFERROR(__xludf.DUMMYFUNCTION("""COMPUTED_VALUE"""),"2984-MAYAMBVC")</f>
        <v>2984-MAYAMBVC</v>
      </c>
      <c r="E958" s="28" t="str">
        <f>IFERROR(__xludf.DUMMYFUNCTION("""COMPUTED_VALUE"""),"RDV Ministros | Clara Muzzio - 8/5 - Temática")</f>
        <v>RDV Ministros | Clara Muzzio - 8/5 - Temática</v>
      </c>
      <c r="F958" s="29" t="str">
        <f>IFERROR(__xludf.DUMMYFUNCTION("""COMPUTED_VALUE"""),"https://www.facebook.com/baparticipacion/posts/pfbid02kngpmp5NpkrpsfoDNX5m7KFxEXGgfPkrB5wTh1aNycn479e4nyUAJdzsKqFd34tfl")</f>
        <v>https://www.facebook.com/baparticipacion/posts/pfbid02kngpmp5NpkrpsfoDNX5m7KFxEXGgfPkrB5wTh1aNycn479e4nyUAJdzsKqFd34tfl</v>
      </c>
    </row>
    <row r="959">
      <c r="A959" s="28" t="str">
        <f>IFERROR(__xludf.DUMMYFUNCTION("""COMPUTED_VALUE"""),"2914-ABRAMBVC")</f>
        <v>2914-ABRAMBVC</v>
      </c>
      <c r="B959" s="28" t="str">
        <f>IFERROR(__xludf.DUMMYFUNCTION("""COMPUTED_VALUE"""),"RDV Ministros | Clara Muzzio - 24/4 - Temática")</f>
        <v>RDV Ministros | Clara Muzzio - 24/4 - Temática</v>
      </c>
      <c r="C959" s="29" t="str">
        <f>IFERROR(__xludf.DUMMYFUNCTION("""COMPUTED_VALUE"""),"Pieza")</f>
        <v>Pieza</v>
      </c>
      <c r="D959" s="28" t="str">
        <f>IFERROR(__xludf.DUMMYFUNCTION("""COMPUTED_VALUE"""),"2984-MAYAMBVC")</f>
        <v>2984-MAYAMBVC</v>
      </c>
      <c r="E959" s="28" t="str">
        <f>IFERROR(__xludf.DUMMYFUNCTION("""COMPUTED_VALUE"""),"RDV Ministros | Clara Muzzio - 8/5 - Temática")</f>
        <v>RDV Ministros | Clara Muzzio - 8/5 - Temática</v>
      </c>
      <c r="F959" s="29" t="str">
        <f>IFERROR(__xludf.DUMMYFUNCTION("""COMPUTED_VALUE"""),"https://www.facebook.com/baparticipacion/posts/pfbid02kngpmp5NpkrpsfoDNX5m7KFxEXGgfPkrB5wTh1aNycn479e4nyUAJdzsKqFd34tfl")</f>
        <v>https://www.facebook.com/baparticipacion/posts/pfbid02kngpmp5NpkrpsfoDNX5m7KFxEXGgfPkrB5wTh1aNycn479e4nyUAJdzsKqFd34tfl</v>
      </c>
    </row>
    <row r="960">
      <c r="A960" s="28" t="str">
        <f>IFERROR(__xludf.DUMMYFUNCTION("""COMPUTED_VALUE"""),"2793-MARPCCVC")</f>
        <v>2793-MARPCCVC</v>
      </c>
      <c r="B960" s="28" t="str">
        <f>IFERROR(__xludf.DUMMYFUNCTION("""COMPUTED_VALUE"""),"Parque Lineal Almagro")</f>
        <v>Parque Lineal Almagro</v>
      </c>
      <c r="C960" s="29" t="str">
        <f>IFERROR(__xludf.DUMMYFUNCTION("""COMPUTED_VALUE"""),"Pieza")</f>
        <v>Pieza</v>
      </c>
      <c r="D960" s="28" t="str">
        <f>IFERROR(__xludf.DUMMYFUNCTION("""COMPUTED_VALUE"""),"2993-MAYEMEGC")</f>
        <v>2993-MAYEMEGC</v>
      </c>
      <c r="E960" s="28" t="str">
        <f>IFERROR(__xludf.DUMMYFUNCTION("""COMPUTED_VALUE"""),"Alerta Amarilla 6/5")</f>
        <v>Alerta Amarilla 6/5</v>
      </c>
      <c r="F960" s="29" t="str">
        <f>IFERROR(__xludf.DUMMYFUNCTION("""COMPUTED_VALUE"""),"https://fb.me/adspreview/facebook/2pSx4DDCV6w5IsE")</f>
        <v>https://fb.me/adspreview/facebook/2pSx4DDCV6w5IsE</v>
      </c>
    </row>
    <row r="961">
      <c r="A961" s="28" t="str">
        <f>IFERROR(__xludf.DUMMYFUNCTION("""COMPUTED_VALUE"""),"2882-ABRSEGVC")</f>
        <v>2882-ABRSEGVC</v>
      </c>
      <c r="B961" s="28" t="str">
        <f>IFERROR(__xludf.DUMMYFUNCTION("""COMPUTED_VALUE"""),"RDV MINISTROS | Ruth Landerreche 23/4 Comuna 8")</f>
        <v>RDV MINISTROS | Ruth Landerreche 23/4 Comuna 8</v>
      </c>
      <c r="C961" s="29" t="str">
        <f>IFERROR(__xludf.DUMMYFUNCTION("""COMPUTED_VALUE"""),"Pieza")</f>
        <v>Pieza</v>
      </c>
      <c r="D961" s="28" t="str">
        <f>IFERROR(__xludf.DUMMYFUNCTION("""COMPUTED_VALUE"""),"2892-ABRSALGC")</f>
        <v>2892-ABRSALGC</v>
      </c>
      <c r="E961" s="28" t="str">
        <f>IFERROR(__xludf.DUMMYFUNCTION("""COMPUTED_VALUE"""),"Centro de Desarrollo Laboral para Personas con Discapacidad")</f>
        <v>Centro de Desarrollo Laboral para Personas con Discapacidad</v>
      </c>
      <c r="F961" s="29" t="str">
        <f>IFERROR(__xludf.DUMMYFUNCTION("""COMPUTED_VALUE"""),"https://www.facebook.com/reel/978161711529047")</f>
        <v>https://www.facebook.com/reel/978161711529047</v>
      </c>
    </row>
    <row r="962">
      <c r="A962" s="28" t="str">
        <f>IFERROR(__xludf.DUMMYFUNCTION("""COMPUTED_VALUE"""),"2906-ABRPCCVC")</f>
        <v>2906-ABRPCCVC</v>
      </c>
      <c r="B962" s="28" t="str">
        <f>IFERROR(__xludf.DUMMYFUNCTION("""COMPUTED_VALUE"""),"Experiencia BA | TUMO")</f>
        <v>Experiencia BA | TUMO</v>
      </c>
      <c r="C962" s="29" t="str">
        <f>IFERROR(__xludf.DUMMYFUNCTION("""COMPUTED_VALUE"""),"Pieza")</f>
        <v>Pieza</v>
      </c>
      <c r="D962" s="28" t="str">
        <f>IFERROR(__xludf.DUMMYFUNCTION("""COMPUTED_VALUE"""),"2892-ABRSALGC")</f>
        <v>2892-ABRSALGC</v>
      </c>
      <c r="E962" s="28" t="str">
        <f>IFERROR(__xludf.DUMMYFUNCTION("""COMPUTED_VALUE"""),"Centro de Desarrollo Laboral para Personas con Discapacidad")</f>
        <v>Centro de Desarrollo Laboral para Personas con Discapacidad</v>
      </c>
      <c r="F962" s="29" t="str">
        <f>IFERROR(__xludf.DUMMYFUNCTION("""COMPUTED_VALUE"""),"https://www.facebook.com/GCBA/posts/pfbid02Dt7VRDreZbsTf7eNYFTbkeXDT7uwSgbYZHBHeAG9GFDMQ2Kkyp72KfufKrX8RXXnl")</f>
        <v>https://www.facebook.com/GCBA/posts/pfbid02Dt7VRDreZbsTf7eNYFTbkeXDT7uwSgbYZHBHeAG9GFDMQ2Kkyp72KfufKrX8RXXnl</v>
      </c>
    </row>
    <row r="963">
      <c r="A963" s="28" t="str">
        <f>IFERROR(__xludf.DUMMYFUNCTION("""COMPUTED_VALUE"""),"2907-ABRPCCVC")</f>
        <v>2907-ABRPCCVC</v>
      </c>
      <c r="B963" s="28" t="str">
        <f>IFERROR(__xludf.DUMMYFUNCTION("""COMPUTED_VALUE"""),"Encuentro sobre area de desarrollo Prioritario Constitución")</f>
        <v>Encuentro sobre area de desarrollo Prioritario Constitución</v>
      </c>
      <c r="C963" s="29" t="str">
        <f>IFERROR(__xludf.DUMMYFUNCTION("""COMPUTED_VALUE"""),"Pieza")</f>
        <v>Pieza</v>
      </c>
      <c r="D963" s="28" t="str">
        <f>IFERROR(__xludf.DUMMYFUNCTION("""COMPUTED_VALUE"""),"2891-ABRSALGC")</f>
        <v>2891-ABRSALGC</v>
      </c>
      <c r="E963" s="28" t="str">
        <f>IFERROR(__xludf.DUMMYFUNCTION("""COMPUTED_VALUE"""),"Prioridad Porteña")</f>
        <v>Prioridad Porteña</v>
      </c>
      <c r="F963" s="29" t="str">
        <f>IFERROR(__xludf.DUMMYFUNCTION("""COMPUTED_VALUE"""),"https://www.facebook.com/GCBA/posts/pfbid02mkiG9nFm5G63BVhZ6shaxyJDi3PhXf8wDbRbxigJ6yVPAknPZnidDSzLGXnRj91Dl")</f>
        <v>https://www.facebook.com/GCBA/posts/pfbid02mkiG9nFm5G63BVhZ6shaxyJDi3PhXf8wDbRbxigJ6yVPAknPZnidDSzLGXnRj91Dl</v>
      </c>
    </row>
    <row r="964">
      <c r="A964" s="28" t="str">
        <f>IFERROR(__xludf.DUMMYFUNCTION("""COMPUTED_VALUE"""),"2861-ABRVINVC")</f>
        <v>2861-ABRVINVC</v>
      </c>
      <c r="B964" s="28" t="str">
        <f>IFERROR(__xludf.DUMMYFUNCTION("""COMPUTED_VALUE"""),"CAMPAÑA GCBA | VINCULO CIUDADANO | Mas servicios en tu barrio 2026: Palermo 25/4")</f>
        <v>CAMPAÑA GCBA | VINCULO CIUDADANO | Mas servicios en tu barrio 2026: Palermo 25/4</v>
      </c>
      <c r="C964" s="29" t="str">
        <f>IFERROR(__xludf.DUMMYFUNCTION("""COMPUTED_VALUE"""),"Pieza")</f>
        <v>Pieza</v>
      </c>
      <c r="D964" s="28" t="str">
        <f>IFERROR(__xludf.DUMMYFUNCTION("""COMPUTED_VALUE"""),"2891-ABRSALGC")</f>
        <v>2891-ABRSALGC</v>
      </c>
      <c r="E964" s="28" t="str">
        <f>IFERROR(__xludf.DUMMYFUNCTION("""COMPUTED_VALUE"""),"Prioridad Porteña")</f>
        <v>Prioridad Porteña</v>
      </c>
      <c r="F964" s="29" t="str">
        <f>IFERROR(__xludf.DUMMYFUNCTION("""COMPUTED_VALUE"""),"https://www.facebook.com/reel/26725148367140331")</f>
        <v>https://www.facebook.com/reel/26725148367140331</v>
      </c>
    </row>
    <row r="965">
      <c r="A965" s="28" t="str">
        <f>IFERROR(__xludf.DUMMYFUNCTION("""COMPUTED_VALUE"""),"1921-SEPAMBGC")</f>
        <v>1921-SEPAMBGC</v>
      </c>
      <c r="B965" s="28" t="str">
        <f>IFERROR(__xludf.DUMMYFUNCTION("""COMPUTED_VALUE"""),"Vacunación Antirrabica Animales")</f>
        <v>Vacunación Antirrabica Animales</v>
      </c>
      <c r="C965" s="29" t="str">
        <f>IFERROR(__xludf.DUMMYFUNCTION("""COMPUTED_VALUE"""),"Pieza")</f>
        <v>Pieza</v>
      </c>
      <c r="D965" s="28" t="str">
        <f>IFERROR(__xludf.DUMMYFUNCTION("""COMPUTED_VALUE"""),"2987-MAYSEGGJ")</f>
        <v>2987-MAYSEGGJ</v>
      </c>
      <c r="E965" s="28" t="str">
        <f>IFERROR(__xludf.DUMMYFUNCTION("""COMPUTED_VALUE"""),"Un año sin manteros en parque los andes")</f>
        <v>Un año sin manteros en parque los andes</v>
      </c>
      <c r="F965" s="29" t="str">
        <f>IFERROR(__xludf.DUMMYFUNCTION("""COMPUTED_VALUE"""),"https://www.facebook.com/reel/990960590089250")</f>
        <v>https://www.facebook.com/reel/990960590089250</v>
      </c>
    </row>
    <row r="966">
      <c r="A966" s="28" t="str">
        <f>IFERROR(__xludf.DUMMYFUNCTION("""COMPUTED_VALUE"""),"2812-ABRINFGC")</f>
        <v>2812-ABRINFGC</v>
      </c>
      <c r="B966" s="28" t="str">
        <f>IFERROR(__xludf.DUMMYFUNCTION("""COMPUTED_VALUE""")," Infraestructura | Inicio de obra: calle Brigadier Quiroga")</f>
        <v> Infraestructura | Inicio de obra: calle Brigadier Quiroga</v>
      </c>
      <c r="C966" s="29" t="str">
        <f>IFERROR(__xludf.DUMMYFUNCTION("""COMPUTED_VALUE"""),"Pieza")</f>
        <v>Pieza</v>
      </c>
      <c r="D966" s="28" t="str">
        <f>IFERROR(__xludf.DUMMYFUNCTION("""COMPUTED_VALUE"""),"2987-MAYSEGGJ")</f>
        <v>2987-MAYSEGGJ</v>
      </c>
      <c r="E966" s="28" t="str">
        <f>IFERROR(__xludf.DUMMYFUNCTION("""COMPUTED_VALUE"""),"Un año sin manteros en parque los andes")</f>
        <v>Un año sin manteros en parque los andes</v>
      </c>
      <c r="F966" s="29" t="str">
        <f>IFERROR(__xludf.DUMMYFUNCTION("""COMPUTED_VALUE"""),"https://www.facebook.com/GCBA/posts/pfbid0nxpqwt48gQzqGojZHyoaeCGgfTLL6Z4PxX3WqgSxw528yANSP8gnKavGCChXFpYBl")</f>
        <v>https://www.facebook.com/GCBA/posts/pfbid0nxpqwt48gQzqGojZHyoaeCGgfTLL6Z4PxX3WqgSxw528yANSP8gnKavGCChXFpYBl</v>
      </c>
    </row>
    <row r="967">
      <c r="A967" s="28" t="str">
        <f>IFERROR(__xludf.DUMMYFUNCTION("""COMPUTED_VALUE"""),"2885-ABRSEGVC")</f>
        <v>2885-ABRSEGVC</v>
      </c>
      <c r="B967" s="28" t="str">
        <f>IFERROR(__xludf.DUMMYFUNCTION("""COMPUTED_VALUE"""),"RDV MINISTROS | Francisco Quintana 23/4 Comuna 11")</f>
        <v>RDV MINISTROS | Francisco Quintana 23/4 Comuna 11</v>
      </c>
      <c r="C967" s="29" t="str">
        <f>IFERROR(__xludf.DUMMYFUNCTION("""COMPUTED_VALUE"""),"Pieza")</f>
        <v>Pieza</v>
      </c>
      <c r="D967" s="28" t="str">
        <f>IFERROR(__xludf.DUMMYFUNCTION("""COMPUTED_VALUE"""),"2988-MAYJDGAG")</f>
        <v>2988-MAYJDGAG</v>
      </c>
      <c r="E967" s="28" t="str">
        <f>IFERROR(__xludf.DUMMYFUNCTION("""COMPUTED_VALUE"""),"1 A 1 JM | Comuna 14 13/05")</f>
        <v>1 A 1 JM | Comuna 14 13/05</v>
      </c>
      <c r="F967" s="29" t="str">
        <f>IFERROR(__xludf.DUMMYFUNCTION("""COMPUTED_VALUE"""),"https://www.facebook.com/GCBA/posts/pfbid05AMSQrvjixn7RJ56zP2SUcvbfsiZL479ZfZHea63dWwcwa6cdkQH3xVs42yGbdW2l")</f>
        <v>https://www.facebook.com/GCBA/posts/pfbid05AMSQrvjixn7RJ56zP2SUcvbfsiZL479ZfZHea63dWwcwa6cdkQH3xVs42yGbdW2l</v>
      </c>
    </row>
    <row r="968">
      <c r="A968" s="28" t="str">
        <f>IFERROR(__xludf.DUMMYFUNCTION("""COMPUTED_VALUE"""),"2868-ABRFESGC")</f>
        <v>2868-ABRFESGC</v>
      </c>
      <c r="B968" s="28" t="str">
        <f>IFERROR(__xludf.DUMMYFUNCTION("""COMPUTED_VALUE"""),"Retiro Abierto | Edición Galerias")</f>
        <v>Retiro Abierto | Edición Galerias</v>
      </c>
      <c r="C968" s="29" t="str">
        <f>IFERROR(__xludf.DUMMYFUNCTION("""COMPUTED_VALUE"""),"Pieza")</f>
        <v>Pieza</v>
      </c>
      <c r="D968" s="28" t="str">
        <f>IFERROR(__xludf.DUMMYFUNCTION("""COMPUTED_VALUE"""),"2996-MAYEMEGC")</f>
        <v>2996-MAYEMEGC</v>
      </c>
      <c r="E968" s="28" t="str">
        <f>IFERROR(__xludf.DUMMYFUNCTION("""COMPUTED_VALUE"""),"Alerta Naranja")</f>
        <v>Alerta Naranja</v>
      </c>
      <c r="F968" s="29" t="str">
        <f>IFERROR(__xludf.DUMMYFUNCTION("""COMPUTED_VALUE"""),"https://www.facebook.com/GCBA/posts/pfbid02j1Uzb4DFfv6YsGCqVkmzxyECsgA7zkVG3iuP7oYY19wRRMsH9twtXPA2PisDPnsKl")</f>
        <v>https://www.facebook.com/GCBA/posts/pfbid02j1Uzb4DFfv6YsGCqVkmzxyECsgA7zkVG3iuP7oYY19wRRMsH9twtXPA2PisDPnsKl</v>
      </c>
    </row>
    <row r="969">
      <c r="A969" s="28" t="str">
        <f>IFERROR(__xludf.DUMMYFUNCTION("""COMPUTED_VALUE"""),"2877-FEBINFVC")</f>
        <v>2877-FEBINFVC</v>
      </c>
      <c r="B969" s="28" t="str">
        <f>IFERROR(__xludf.DUMMYFUNCTION("""COMPUTED_VALUE"""),"RDV MINISTROS | PABLO BERECIARTUA 20/4 COMUNA 9")</f>
        <v>RDV MINISTROS | PABLO BERECIARTUA 20/4 COMUNA 9</v>
      </c>
      <c r="C969" s="29" t="str">
        <f>IFERROR(__xludf.DUMMYFUNCTION("""COMPUTED_VALUE"""),"Pieza")</f>
        <v>Pieza</v>
      </c>
      <c r="D969" s="28" t="str">
        <f>IFERROR(__xludf.DUMMYFUNCTION("""COMPUTED_VALUE"""),"2986-MAYINFGC")</f>
        <v>2986-MAYINFGC</v>
      </c>
      <c r="E969" s="28" t="str">
        <f>IFERROR(__xludf.DUMMYFUNCTION("""COMPUTED_VALUE"""),"Infraestructura I Cortes de tránsito por Unión Europea 15k Bs. As. Run 2026")</f>
        <v>Infraestructura I Cortes de tránsito por Unión Europea 15k Bs. As. Run 2026</v>
      </c>
      <c r="F969" s="29" t="str">
        <f>IFERROR(__xludf.DUMMYFUNCTION("""COMPUTED_VALUE"""),"https://fb.me/adspreview/facebook/2qgzug1GUWftxho")</f>
        <v>https://fb.me/adspreview/facebook/2qgzug1GUWftxho</v>
      </c>
    </row>
    <row r="970">
      <c r="A970" s="28" t="str">
        <f>IFERROR(__xludf.DUMMYFUNCTION("""COMPUTED_VALUE"""),"2765-MAREDUGC")</f>
        <v>2765-MAREDUGC</v>
      </c>
      <c r="B970" s="28" t="str">
        <f>IFERROR(__xludf.DUMMYFUNCTION("""COMPUTED_VALUE"""),"Campaña Compromiso familiar: sin celulares")</f>
        <v>Campaña Compromiso familiar: sin celulares</v>
      </c>
      <c r="C970" s="29" t="str">
        <f>IFERROR(__xludf.DUMMYFUNCTION("""COMPUTED_VALUE"""),"Pieza")</f>
        <v>Pieza</v>
      </c>
      <c r="D970" s="28" t="str">
        <f>IFERROR(__xludf.DUMMYFUNCTION("""COMPUTED_VALUE"""),"2982-MAYDECGC")</f>
        <v>2982-MAYDECGC</v>
      </c>
      <c r="E970" s="28" t="str">
        <f>IFERROR(__xludf.DUMMYFUNCTION("""COMPUTED_VALUE"""),"Cafecito BA en Palermo")</f>
        <v>Cafecito BA en Palermo</v>
      </c>
      <c r="F970" s="29" t="str">
        <f>IFERROR(__xludf.DUMMYFUNCTION("""COMPUTED_VALUE"""),"https://www.facebook.com/GCBA/posts/pfbid035McDB5ssdrJJa3P1dLQ3VYe2fbmQjPYatRBMRSA5ESWE5wNQ1v9qUxjbi2UBZnVKl")</f>
        <v>https://www.facebook.com/GCBA/posts/pfbid035McDB5ssdrJJa3P1dLQ3VYe2fbmQjPYatRBMRSA5ESWE5wNQ1v9qUxjbi2UBZnVKl</v>
      </c>
    </row>
    <row r="971">
      <c r="A971" s="28" t="str">
        <f>IFERROR(__xludf.DUMMYFUNCTION("""COMPUTED_VALUE"""),"2884-ABRSEGVC")</f>
        <v>2884-ABRSEGVC</v>
      </c>
      <c r="B971" s="28" t="str">
        <f>IFERROR(__xludf.DUMMYFUNCTION("""COMPUTED_VALUE"""),"RDV MINISTROS | Horacio Giménez 23/4 Comuna 10")</f>
        <v>RDV MINISTROS | Horacio Giménez 23/4 Comuna 10</v>
      </c>
      <c r="C971" s="29" t="str">
        <f>IFERROR(__xludf.DUMMYFUNCTION("""COMPUTED_VALUE"""),"Pieza")</f>
        <v>Pieza</v>
      </c>
      <c r="D971" s="28" t="str">
        <f>IFERROR(__xludf.DUMMYFUNCTION("""COMPUTED_VALUE"""),"2982-MAYDECGC")</f>
        <v>2982-MAYDECGC</v>
      </c>
      <c r="E971" s="28" t="str">
        <f>IFERROR(__xludf.DUMMYFUNCTION("""COMPUTED_VALUE"""),"Cafecito BA en Palermo")</f>
        <v>Cafecito BA en Palermo</v>
      </c>
      <c r="F971" s="29" t="str">
        <f>IFERROR(__xludf.DUMMYFUNCTION("""COMPUTED_VALUE"""),"https://www.facebook.com/GCBA/posts/pfbid035McDB5ssdrJJa3P1dLQ3VYe2fbmQjPYatRBMRSA5ESWE5wNQ1v9qUxjbi2UBZnVKl")</f>
        <v>https://www.facebook.com/GCBA/posts/pfbid035McDB5ssdrJJa3P1dLQ3VYe2fbmQjPYatRBMRSA5ESWE5wNQ1v9qUxjbi2UBZnVKl</v>
      </c>
    </row>
    <row r="972">
      <c r="A972" s="28" t="str">
        <f>IFERROR(__xludf.DUMMYFUNCTION("""COMPUTED_VALUE"""),"2889-ABRSALVC")</f>
        <v>2889-ABRSALVC</v>
      </c>
      <c r="B972" s="28" t="str">
        <f>IFERROR(__xludf.DUMMYFUNCTION("""COMPUTED_VALUE"""),"RDV Ministros |  Fernán Quirós - 21/4")</f>
        <v>RDV Ministros |  Fernán Quirós - 21/4</v>
      </c>
      <c r="C972" s="29" t="str">
        <f>IFERROR(__xludf.DUMMYFUNCTION("""COMPUTED_VALUE"""),"Pieza")</f>
        <v>Pieza</v>
      </c>
      <c r="D972" s="28" t="str">
        <f>IFERROR(__xludf.DUMMYFUNCTION("""COMPUTED_VALUE"""),"2982-MAYDECGC")</f>
        <v>2982-MAYDECGC</v>
      </c>
      <c r="E972" s="28" t="str">
        <f>IFERROR(__xludf.DUMMYFUNCTION("""COMPUTED_VALUE"""),"Cafecito BA en Palermo")</f>
        <v>Cafecito BA en Palermo</v>
      </c>
      <c r="F972" s="29" t="str">
        <f>IFERROR(__xludf.DUMMYFUNCTION("""COMPUTED_VALUE"""),"https://www.facebook.com/GCBA/posts/pfbid0u7cdZzmqfW7oJVT6CJQaBE2Gs1uPJf3HSZaXTnMwACUmMsAwF96WVwfkeiozCrt3l")</f>
        <v>https://www.facebook.com/GCBA/posts/pfbid0u7cdZzmqfW7oJVT6CJQaBE2Gs1uPJf3HSZaXTnMwACUmMsAwF96WVwfkeiozCrt3l</v>
      </c>
    </row>
    <row r="973">
      <c r="A973" s="28" t="str">
        <f>IFERROR(__xludf.DUMMYFUNCTION("""COMPUTED_VALUE"""),"2883-ABRSEGVC")</f>
        <v>2883-ABRSEGVC</v>
      </c>
      <c r="B973" s="28" t="str">
        <f>IFERROR(__xludf.DUMMYFUNCTION("""COMPUTED_VALUE"""),"RDV MINISTROS | Maximiliano Piñeiro 23/4 Comuna 9")</f>
        <v>RDV MINISTROS | Maximiliano Piñeiro 23/4 Comuna 9</v>
      </c>
      <c r="C973" s="29" t="str">
        <f>IFERROR(__xludf.DUMMYFUNCTION("""COMPUTED_VALUE"""),"Pieza")</f>
        <v>Pieza</v>
      </c>
      <c r="D973" s="28" t="str">
        <f>IFERROR(__xludf.DUMMYFUNCTION("""COMPUTED_VALUE"""),"2982-MAYDECGC")</f>
        <v>2982-MAYDECGC</v>
      </c>
      <c r="E973" s="28" t="str">
        <f>IFERROR(__xludf.DUMMYFUNCTION("""COMPUTED_VALUE"""),"Cafecito BA en Palermo")</f>
        <v>Cafecito BA en Palermo</v>
      </c>
      <c r="F973" s="29" t="str">
        <f>IFERROR(__xludf.DUMMYFUNCTION("""COMPUTED_VALUE"""),"https://www.facebook.com/GCBA/posts/pfbid0u7cdZzmqfW7oJVT6CJQaBE2Gs1uPJf3HSZaXTnMwACUmMsAwF96WVwfkeiozCrt3l")</f>
        <v>https://www.facebook.com/GCBA/posts/pfbid0u7cdZzmqfW7oJVT6CJQaBE2Gs1uPJf3HSZaXTnMwACUmMsAwF96WVwfkeiozCrt3l</v>
      </c>
    </row>
    <row r="974">
      <c r="A974" s="28" t="str">
        <f>IFERROR(__xludf.DUMMYFUNCTION("""COMPUTED_VALUE"""),"2798-MARJDGAG")</f>
        <v>2798-MARJDGAG</v>
      </c>
      <c r="B974" s="28" t="str">
        <f>IFERROR(__xludf.DUMMYFUNCTION("""COMPUTED_VALUE"""),"RDV JM TEMÁTICA | TE CUENTO BS AS 09/04 SALUD EJE OESTE")</f>
        <v>RDV JM TEMÁTICA | TE CUENTO BS AS 09/04 SALUD EJE OESTE</v>
      </c>
      <c r="C974" s="29" t="str">
        <f>IFERROR(__xludf.DUMMYFUNCTION("""COMPUTED_VALUE"""),"Pieza")</f>
        <v>Pieza</v>
      </c>
      <c r="D974" s="28" t="str">
        <f>IFERROR(__xludf.DUMMYFUNCTION("""COMPUTED_VALUE"""),"2982-MAYDECGC")</f>
        <v>2982-MAYDECGC</v>
      </c>
      <c r="E974" s="28" t="str">
        <f>IFERROR(__xludf.DUMMYFUNCTION("""COMPUTED_VALUE"""),"Cafecito BA en Palermo")</f>
        <v>Cafecito BA en Palermo</v>
      </c>
      <c r="F974" s="29" t="str">
        <f>IFERROR(__xludf.DUMMYFUNCTION("""COMPUTED_VALUE"""),"https://www.facebook.com/GCBA/posts/pfbid0u7cdZzmqfW7oJVT6CJQaBE2Gs1uPJf3HSZaXTnMwACUmMsAwF96WVwfkeiozCrt3l")</f>
        <v>https://www.facebook.com/GCBA/posts/pfbid0u7cdZzmqfW7oJVT6CJQaBE2Gs1uPJf3HSZaXTnMwACUmMsAwF96WVwfkeiozCrt3l</v>
      </c>
    </row>
    <row r="975">
      <c r="A975" s="28" t="str">
        <f>IFERROR(__xludf.DUMMYFUNCTION("""COMPUTED_VALUE"""),"2905-ABRJDGAG")</f>
        <v>2905-ABRJDGAG</v>
      </c>
      <c r="B975" s="28" t="str">
        <f>IFERROR(__xludf.DUMMYFUNCTION("""COMPUTED_VALUE"""),"RDV JM | 24/4 BALVANERA")</f>
        <v>RDV JM | 24/4 BALVANERA</v>
      </c>
      <c r="C975" s="29" t="str">
        <f>IFERROR(__xludf.DUMMYFUNCTION("""COMPUTED_VALUE"""),"Pieza")</f>
        <v>Pieza</v>
      </c>
      <c r="D975" s="28" t="str">
        <f>IFERROR(__xludf.DUMMYFUNCTION("""COMPUTED_VALUE"""),"2958-ABRJDGAG")</f>
        <v>2958-ABRJDGAG</v>
      </c>
      <c r="E975" s="28" t="str">
        <f>IFERROR(__xludf.DUMMYFUNCTION("""COMPUTED_VALUE"""),"RDV JM VILLA DEVOTO 4/5")</f>
        <v>RDV JM VILLA DEVOTO 4/5</v>
      </c>
      <c r="F975" s="29" t="str">
        <f>IFERROR(__xludf.DUMMYFUNCTION("""COMPUTED_VALUE"""),"https://www.facebook.com/reel/951776357660673")</f>
        <v>https://www.facebook.com/reel/951776357660673</v>
      </c>
    </row>
    <row r="976">
      <c r="A976" s="28" t="str">
        <f>IFERROR(__xludf.DUMMYFUNCTION("""COMPUTED_VALUE"""),"2813-ABRDUDGC")</f>
        <v>2813-ABRDUDGC</v>
      </c>
      <c r="B976" s="28" t="str">
        <f>IFERROR(__xludf.DUMMYFUNCTION("""COMPUTED_VALUE"""),"Evento Colapinto")</f>
        <v>Evento Colapinto</v>
      </c>
      <c r="C976" s="29" t="str">
        <f>IFERROR(__xludf.DUMMYFUNCTION("""COMPUTED_VALUE"""),"Pieza")</f>
        <v>Pieza</v>
      </c>
      <c r="D976" s="28" t="str">
        <f>IFERROR(__xludf.DUMMYFUNCTION("""COMPUTED_VALUE"""),"2496-ENEVINGC")</f>
        <v>2496-ENEVINGC</v>
      </c>
      <c r="E97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6" s="29" t="str">
        <f>IFERROR(__xludf.DUMMYFUNCTION("""COMPUTED_VALUE"""),"https://www.facebook.com/GCBA/posts/pfbid0b4iNwqqUvd7F2M6U3W1Z3ZRhXQk3Fbxfforwy1qj6ogdFrWrUMFCXe4GBue93wZml")</f>
        <v>https://www.facebook.com/GCBA/posts/pfbid0b4iNwqqUvd7F2M6U3W1Z3ZRhXQk3Fbxfforwy1qj6ogdFrWrUMFCXe4GBue93wZml</v>
      </c>
    </row>
    <row r="977">
      <c r="A977" s="28" t="str">
        <f>IFERROR(__xludf.DUMMYFUNCTION("""COMPUTED_VALUE"""),"2813-ABRDUDGC")</f>
        <v>2813-ABRDUDGC</v>
      </c>
      <c r="B977" s="28" t="str">
        <f>IFERROR(__xludf.DUMMYFUNCTION("""COMPUTED_VALUE"""),"Evento Colapinto")</f>
        <v>Evento Colapinto</v>
      </c>
      <c r="C977" s="29" t="str">
        <f>IFERROR(__xludf.DUMMYFUNCTION("""COMPUTED_VALUE"""),"Pieza")</f>
        <v>Pieza</v>
      </c>
      <c r="D977" s="28" t="str">
        <f>IFERROR(__xludf.DUMMYFUNCTION("""COMPUTED_VALUE"""),"2496-ENEVINGC")</f>
        <v>2496-ENEVINGC</v>
      </c>
      <c r="E97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7" s="29" t="str">
        <f>IFERROR(__xludf.DUMMYFUNCTION("""COMPUTED_VALUE"""),"https://www.facebook.com/GCBA/posts/pfbid0Vvo1snbWQUJCfizwey3iFm15roi65uauFHetQAN4MTdQy6wZP8bvdWYvdNqqcMMRl")</f>
        <v>https://www.facebook.com/GCBA/posts/pfbid0Vvo1snbWQUJCfizwey3iFm15roi65uauFHetQAN4MTdQy6wZP8bvdWYvdNqqcMMRl</v>
      </c>
    </row>
    <row r="978">
      <c r="A978" s="28" t="str">
        <f>IFERROR(__xludf.DUMMYFUNCTION("""COMPUTED_VALUE"""),"2813-ABRDUDGC")</f>
        <v>2813-ABRDUDGC</v>
      </c>
      <c r="B978" s="28" t="str">
        <f>IFERROR(__xludf.DUMMYFUNCTION("""COMPUTED_VALUE"""),"Evento Colapinto")</f>
        <v>Evento Colapinto</v>
      </c>
      <c r="C978" s="29" t="str">
        <f>IFERROR(__xludf.DUMMYFUNCTION("""COMPUTED_VALUE"""),"Pieza")</f>
        <v>Pieza</v>
      </c>
      <c r="D978" s="28" t="str">
        <f>IFERROR(__xludf.DUMMYFUNCTION("""COMPUTED_VALUE"""),"2496-ENEVINGC")</f>
        <v>2496-ENEVINGC</v>
      </c>
      <c r="E97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8" s="29" t="str">
        <f>IFERROR(__xludf.DUMMYFUNCTION("""COMPUTED_VALUE"""),"https://www.facebook.com/GCBA/posts/pfbid0zAjb1xUwQfBdZS7EX7AJGXTWhsELcqk2FXGXxM83u1ZYVNwLzCgDt3AKwKT4d3QRl")</f>
        <v>https://www.facebook.com/GCBA/posts/pfbid0zAjb1xUwQfBdZS7EX7AJGXTWhsELcqk2FXGXxM83u1ZYVNwLzCgDt3AKwKT4d3QRl</v>
      </c>
    </row>
    <row r="979">
      <c r="A979" s="28" t="str">
        <f>IFERROR(__xludf.DUMMYFUNCTION("""COMPUTED_VALUE"""),"2833-ABRSEGVC")</f>
        <v>2833-ABRSEGVC</v>
      </c>
      <c r="B979" s="28" t="str">
        <f>IFERROR(__xludf.DUMMYFUNCTION("""COMPUTED_VALUE"""),"RDV MINISTROS | Ruth Landerreche 16/4 Comuna 5")</f>
        <v>RDV MINISTROS | Ruth Landerreche 16/4 Comuna 5</v>
      </c>
      <c r="C979" s="29" t="str">
        <f>IFERROR(__xludf.DUMMYFUNCTION("""COMPUTED_VALUE"""),"Pieza")</f>
        <v>Pieza</v>
      </c>
      <c r="D979" s="28" t="str">
        <f>IFERROR(__xludf.DUMMYFUNCTION("""COMPUTED_VALUE"""),"2496-ENEVINGC")</f>
        <v>2496-ENEVINGC</v>
      </c>
      <c r="E97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79" s="29" t="str">
        <f>IFERROR(__xludf.DUMMYFUNCTION("""COMPUTED_VALUE"""),"https://www.facebook.com/100064489762372/posts/1466840542142257/#?aed ")</f>
        <v>https://www.facebook.com/100064489762372/posts/1466840542142257/#?aed </v>
      </c>
    </row>
    <row r="980">
      <c r="A980" s="28" t="str">
        <f>IFERROR(__xludf.DUMMYFUNCTION("""COMPUTED_VALUE"""),"2878-FEBVINVC")</f>
        <v>2878-FEBVINVC</v>
      </c>
      <c r="B980" s="28" t="str">
        <f>IFERROR(__xludf.DUMMYFUNCTION("""COMPUTED_VALUE"""),"RDV MINISTROS | EZEQUIEL SABOR 20/4 COMUNA 1")</f>
        <v>RDV MINISTROS | EZEQUIEL SABOR 20/4 COMUNA 1</v>
      </c>
      <c r="C980" s="29" t="str">
        <f>IFERROR(__xludf.DUMMYFUNCTION("""COMPUTED_VALUE"""),"Pieza")</f>
        <v>Pieza</v>
      </c>
      <c r="D980" s="28" t="str">
        <f>IFERROR(__xludf.DUMMYFUNCTION("""COMPUTED_VALUE"""),"2951-ABRAMBGC")</f>
        <v>2951-ABRAMBGC</v>
      </c>
      <c r="E980" s="28" t="str">
        <f>IFERROR(__xludf.DUMMYFUNCTION("""COMPUTED_VALUE"""),"Animales BA: Adopción de perros y gatos")</f>
        <v>Animales BA: Adopción de perros y gatos</v>
      </c>
      <c r="F980" s="29" t="str">
        <f>IFERROR(__xludf.DUMMYFUNCTION("""COMPUTED_VALUE"""),"https://www.facebook.com/GCBA/posts/pfbid0n8SL6JhJG2DYBnBuXA56cNcseBLQBtds3LtZADwxhq47vo6euiGAyGpW9YPdZyLil")</f>
        <v>https://www.facebook.com/GCBA/posts/pfbid0n8SL6JhJG2DYBnBuXA56cNcseBLQBtds3LtZADwxhq47vo6euiGAyGpW9YPdZyLil</v>
      </c>
    </row>
    <row r="981">
      <c r="A981" s="28" t="str">
        <f>IFERROR(__xludf.DUMMYFUNCTION("""COMPUTED_VALUE"""),"2875-ABRDECVC")</f>
        <v>2875-ABRDECVC</v>
      </c>
      <c r="B981" s="28" t="str">
        <f>IFERROR(__xludf.DUMMYFUNCTION("""COMPUTED_VALUE"""),"RDV Hernán Lombardi, Gustavo Arengo Piragine y Gabino Tapia, Eje Oeste 20/4")</f>
        <v>RDV Hernán Lombardi, Gustavo Arengo Piragine y Gabino Tapia, Eje Oeste 20/4</v>
      </c>
      <c r="C981" s="29" t="str">
        <f>IFERROR(__xludf.DUMMYFUNCTION("""COMPUTED_VALUE"""),"Pieza")</f>
        <v>Pieza</v>
      </c>
      <c r="D981" s="28" t="str">
        <f>IFERROR(__xludf.DUMMYFUNCTION("""COMPUTED_VALUE"""),"2496-ENEVINGC")</f>
        <v>2496-ENEVINGC</v>
      </c>
      <c r="E98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81" s="29" t="str">
        <f>IFERROR(__xludf.DUMMYFUNCTION("""COMPUTED_VALUE"""),"https://www.facebook.com/GCBA/posts/pfbid02LFF3JErtTFcxkm4fN8fjAkrjLu7CgGWiwxAQExri6jZNifjnyuAbUZup7rtjAgnyl")</f>
        <v>https://www.facebook.com/GCBA/posts/pfbid02LFF3JErtTFcxkm4fN8fjAkrjLu7CgGWiwxAQExri6jZNifjnyuAbUZup7rtjAgnyl</v>
      </c>
    </row>
    <row r="982">
      <c r="A982" s="28" t="str">
        <f>IFERROR(__xludf.DUMMYFUNCTION("""COMPUTED_VALUE"""),"2922-ABREPHVC")</f>
        <v>2922-ABREPHVC</v>
      </c>
      <c r="B982" s="28" t="str">
        <f>IFERROR(__xludf.DUMMYFUNCTION("""COMPUTED_VALUE"""),"RDV MINISTROS | IGNACIO BAISTROCCHI  27/4 COMUNA 10")</f>
        <v>RDV MINISTROS | IGNACIO BAISTROCCHI  27/4 COMUNA 10</v>
      </c>
      <c r="C982" s="29" t="str">
        <f>IFERROR(__xludf.DUMMYFUNCTION("""COMPUTED_VALUE"""),"Pieza")</f>
        <v>Pieza</v>
      </c>
      <c r="D982" s="28" t="str">
        <f>IFERROR(__xludf.DUMMYFUNCTION("""COMPUTED_VALUE"""),"2496-ENEVINGC")</f>
        <v>2496-ENEVINGC</v>
      </c>
      <c r="E98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982" s="29" t="str">
        <f>IFERROR(__xludf.DUMMYFUNCTION("""COMPUTED_VALUE"""),"https://www.facebook.com/GCBA/posts/pfbid0SW9aPh731syQjH7NzFQdTissCnPmj9AFhBG8FPzxLGBZCdAFz2BFtCPQsWFQravAl")</f>
        <v>https://www.facebook.com/GCBA/posts/pfbid0SW9aPh731syQjH7NzFQdTissCnPmj9AFhBG8FPzxLGBZCdAFz2BFtCPQsWFQravAl</v>
      </c>
    </row>
    <row r="983">
      <c r="A983" s="28" t="str">
        <f>IFERROR(__xludf.DUMMYFUNCTION("""COMPUTED_VALUE"""),"2847-ABRINFGC")</f>
        <v>2847-ABRINFGC</v>
      </c>
      <c r="B983" s="28" t="str">
        <f>IFERROR(__xludf.DUMMYFUNCTION("""COMPUTED_VALUE"""),"Infraestructura I Cambio de sentido Manuel Porcel de Peralta")</f>
        <v>Infraestructura I Cambio de sentido Manuel Porcel de Peralta</v>
      </c>
      <c r="C983" s="29" t="str">
        <f>IFERROR(__xludf.DUMMYFUNCTION("""COMPUTED_VALUE"""),"Pieza")</f>
        <v>Pieza</v>
      </c>
      <c r="D983" s="28" t="str">
        <f>IFERROR(__xludf.DUMMYFUNCTION("""COMPUTED_VALUE"""),"3006-MAYSEGVC")</f>
        <v>3006-MAYSEGVC</v>
      </c>
      <c r="E983" s="28" t="str">
        <f>IFERROR(__xludf.DUMMYFUNCTION("""COMPUTED_VALUE"""),"RDV Ministros | Ignacio Baistrocchi 13/5 Comuna 13")</f>
        <v>RDV Ministros | Ignacio Baistrocchi 13/5 Comuna 13</v>
      </c>
      <c r="F983" s="28"/>
    </row>
    <row r="984">
      <c r="A984" s="28" t="str">
        <f>IFERROR(__xludf.DUMMYFUNCTION("""COMPUTED_VALUE"""),"2881-ABRCULVC")</f>
        <v>2881-ABRCULVC</v>
      </c>
      <c r="B984" s="28" t="str">
        <f>IFERROR(__xludf.DUMMYFUNCTION("""COMPUTED_VALUE"""),"RDV MINISTROS | Gabriela Ricardes 22/4 Comuna 14")</f>
        <v>RDV MINISTROS | Gabriela Ricardes 22/4 Comuna 14</v>
      </c>
      <c r="C984" s="29" t="str">
        <f>IFERROR(__xludf.DUMMYFUNCTION("""COMPUTED_VALUE"""),"Pieza")</f>
        <v>Pieza</v>
      </c>
      <c r="D984" s="28" t="str">
        <f>IFERROR(__xludf.DUMMYFUNCTION("""COMPUTED_VALUE"""),"")</f>
        <v/>
      </c>
      <c r="E984" s="28" t="str">
        <f>IFERROR(__xludf.DUMMYFUNCTION("""COMPUTED_VALUE"""),"")</f>
        <v/>
      </c>
      <c r="F984" s="28"/>
    </row>
    <row r="985">
      <c r="A985" s="28" t="str">
        <f>IFERROR(__xludf.DUMMYFUNCTION("""COMPUTED_VALUE"""),"2815-ABRCULGC")</f>
        <v>2815-ABRCULGC</v>
      </c>
      <c r="B985" s="28" t="str">
        <f>IFERROR(__xludf.DUMMYFUNCTION("""COMPUTED_VALUE"""),"Feria del Libro 2026")</f>
        <v>Feria del Libro 2026</v>
      </c>
      <c r="C985" s="29" t="str">
        <f>IFERROR(__xludf.DUMMYFUNCTION("""COMPUTED_VALUE"""),"Pieza")</f>
        <v>Pieza</v>
      </c>
      <c r="D985" s="28" t="str">
        <f>IFERROR(__xludf.DUMMYFUNCTION("""COMPUTED_VALUE"""),"3007-MAYJDGVC")</f>
        <v>3007-MAYJDGVC</v>
      </c>
      <c r="E985" s="28" t="str">
        <f>IFERROR(__xludf.DUMMYFUNCTION("""COMPUTED_VALUE"""),"RDV Ministros | Gabriel Sánchez Zinny - 13/5")</f>
        <v>RDV Ministros | Gabriel Sánchez Zinny - 13/5</v>
      </c>
      <c r="F985" s="28"/>
    </row>
    <row r="986">
      <c r="A986" s="28" t="str">
        <f>IFERROR(__xludf.DUMMYFUNCTION("""COMPUTED_VALUE"""),"2825-ABRINFGC")</f>
        <v>2825-ABRINFGC</v>
      </c>
      <c r="B986" s="28" t="str">
        <f>IFERROR(__xludf.DUMMYFUNCTION("""COMPUTED_VALUE"""),"Obras M2: Trambus ABRIL")</f>
        <v>Obras M2: Trambus ABRIL</v>
      </c>
      <c r="C986" s="29" t="str">
        <f>IFERROR(__xludf.DUMMYFUNCTION("""COMPUTED_VALUE"""),"Pieza")</f>
        <v>Pieza</v>
      </c>
      <c r="D986" s="28" t="str">
        <f>IFERROR(__xludf.DUMMYFUNCTION("""COMPUTED_VALUE"""),"2997-MAYJDGAG")</f>
        <v>2997-MAYJDGAG</v>
      </c>
      <c r="E986" s="28" t="str">
        <f>IFERROR(__xludf.DUMMYFUNCTION("""COMPUTED_VALUE"""),"RDV JM TEMÁTICA | TE CUENTO BS AS 14/05 ORDEN PÚBLICO EJE SUR")</f>
        <v>RDV JM TEMÁTICA | TE CUENTO BS AS 14/05 ORDEN PÚBLICO EJE SUR</v>
      </c>
      <c r="F986" s="29" t="str">
        <f>IFERROR(__xludf.DUMMYFUNCTION("""COMPUTED_VALUE"""),"https://www.facebook.com/GCBA/posts/pfbid02SxtyJoPBZWM4aLPPWpbx5aQ2pXhLz1xkD7pZuL1A9gXXJmJnpRhKVuqHr1aBtrGcl")</f>
        <v>https://www.facebook.com/GCBA/posts/pfbid02SxtyJoPBZWM4aLPPWpbx5aQ2pXhLz1xkD7pZuL1A9gXXJmJnpRhKVuqHr1aBtrGcl</v>
      </c>
    </row>
    <row r="987">
      <c r="A987" s="28" t="str">
        <f>IFERROR(__xludf.DUMMYFUNCTION("""COMPUTED_VALUE"""),"2825-ABRINFGC")</f>
        <v>2825-ABRINFGC</v>
      </c>
      <c r="B987" s="28" t="str">
        <f>IFERROR(__xludf.DUMMYFUNCTION("""COMPUTED_VALUE"""),"Obras M2: Trambus ABRIL")</f>
        <v>Obras M2: Trambus ABRIL</v>
      </c>
      <c r="C987" s="29" t="str">
        <f>IFERROR(__xludf.DUMMYFUNCTION("""COMPUTED_VALUE"""),"Pieza")</f>
        <v>Pieza</v>
      </c>
      <c r="D987" s="28" t="str">
        <f>IFERROR(__xludf.DUMMYFUNCTION("""COMPUTED_VALUE"""),"2997-MAYJDGAG")</f>
        <v>2997-MAYJDGAG</v>
      </c>
      <c r="E987" s="28" t="str">
        <f>IFERROR(__xludf.DUMMYFUNCTION("""COMPUTED_VALUE"""),"RDV JM TEMÁTICA | TE CUENTO BS AS 14/05 ORDEN PÚBLICO EJE SUR")</f>
        <v>RDV JM TEMÁTICA | TE CUENTO BS AS 14/05 ORDEN PÚBLICO EJE SUR</v>
      </c>
      <c r="F987" s="28"/>
    </row>
    <row r="988">
      <c r="A988" s="28" t="str">
        <f>IFERROR(__xludf.DUMMYFUNCTION("""COMPUTED_VALUE"""),"2825-ABRINFGC")</f>
        <v>2825-ABRINFGC</v>
      </c>
      <c r="B988" s="28" t="str">
        <f>IFERROR(__xludf.DUMMYFUNCTION("""COMPUTED_VALUE"""),"Obras M2: Trambus ABRIL")</f>
        <v>Obras M2: Trambus ABRIL</v>
      </c>
      <c r="C988" s="28" t="str">
        <f>IFERROR(__xludf.DUMMYFUNCTION("""COMPUTED_VALUE"""),"Pieza")</f>
        <v>Pieza</v>
      </c>
      <c r="D988" s="28" t="str">
        <f>IFERROR(__xludf.DUMMYFUNCTION("""COMPUTED_VALUE"""),"2974-MAYSEGGJ")</f>
        <v>2974-MAYSEGGJ</v>
      </c>
      <c r="E988" s="28" t="str">
        <f>IFERROR(__xludf.DUMMYFUNCTION("""COMPUTED_VALUE"""),"Nueva Patrulla de Control de Accesos a la Ciudad")</f>
        <v>Nueva Patrulla de Control de Accesos a la Ciudad</v>
      </c>
      <c r="F988" s="29" t="str">
        <f>IFERROR(__xludf.DUMMYFUNCTION("""COMPUTED_VALUE"""),"https://www.facebook.com/GCBA/posts/pfbid02mwrKmDbfvoUhtss5fmCX5RnWGcAg34Rc3HFNP4sMhzYsoGdi8qyBFSCq8v3Vw9wml")</f>
        <v>https://www.facebook.com/GCBA/posts/pfbid02mwrKmDbfvoUhtss5fmCX5RnWGcAg34Rc3HFNP4sMhzYsoGdi8qyBFSCq8v3Vw9wml</v>
      </c>
    </row>
    <row r="989">
      <c r="A989" s="28" t="str">
        <f>IFERROR(__xludf.DUMMYFUNCTION("""COMPUTED_VALUE"""),"2825-ABRINFGC")</f>
        <v>2825-ABRINFGC</v>
      </c>
      <c r="B989" s="28" t="str">
        <f>IFERROR(__xludf.DUMMYFUNCTION("""COMPUTED_VALUE"""),"Obras M2: Trambus ABRIL")</f>
        <v>Obras M2: Trambus ABRIL</v>
      </c>
      <c r="C989" s="29" t="str">
        <f>IFERROR(__xludf.DUMMYFUNCTION("""COMPUTED_VALUE"""),"Pieza")</f>
        <v>Pieza</v>
      </c>
      <c r="D989" s="28" t="str">
        <f>IFERROR(__xludf.DUMMYFUNCTION("""COMPUTED_VALUE"""),"2988-MAYJDGAG")</f>
        <v>2988-MAYJDGAG</v>
      </c>
      <c r="E989" s="28" t="str">
        <f>IFERROR(__xludf.DUMMYFUNCTION("""COMPUTED_VALUE"""),"1 A 1 JM | Comuna 14 13/05")</f>
        <v>1 A 1 JM | Comuna 14 13/05</v>
      </c>
      <c r="F989" s="29" t="str">
        <f>IFERROR(__xludf.DUMMYFUNCTION("""COMPUTED_VALUE"""),"https://www.facebook.com/GCBA/posts/pfbid05AMSQrvjixn7RJ56zP2SUcvbfsiZL479ZfZHea63dWwcwa6cdkQH3xVs42yGbdW2l")</f>
        <v>https://www.facebook.com/GCBA/posts/pfbid05AMSQrvjixn7RJ56zP2SUcvbfsiZL479ZfZHea63dWwcwa6cdkQH3xVs42yGbdW2l</v>
      </c>
    </row>
    <row r="990">
      <c r="A990" s="28" t="str">
        <f>IFERROR(__xludf.DUMMYFUNCTION("""COMPUTED_VALUE"""),"2825-ABRINFGC")</f>
        <v>2825-ABRINFGC</v>
      </c>
      <c r="B990" s="28" t="str">
        <f>IFERROR(__xludf.DUMMYFUNCTION("""COMPUTED_VALUE"""),"Obras M2: Trambus ABRIL")</f>
        <v>Obras M2: Trambus ABRIL</v>
      </c>
      <c r="C990" s="29" t="str">
        <f>IFERROR(__xludf.DUMMYFUNCTION("""COMPUTED_VALUE"""),"Pieza")</f>
        <v>Pieza</v>
      </c>
      <c r="D990" s="28" t="str">
        <f>IFERROR(__xludf.DUMMYFUNCTION("""COMPUTED_VALUE"""),"2997-MAYJDGAG")</f>
        <v>2997-MAYJDGAG</v>
      </c>
      <c r="E990" s="28" t="str">
        <f>IFERROR(__xludf.DUMMYFUNCTION("""COMPUTED_VALUE"""),"RDV JM TEMÁTICA | TE CUENTO BS AS 14/05 ORDEN PÚBLICO EJE SUR")</f>
        <v>RDV JM TEMÁTICA | TE CUENTO BS AS 14/05 ORDEN PÚBLICO EJE SUR</v>
      </c>
      <c r="F990" s="29" t="str">
        <f>IFERROR(__xludf.DUMMYFUNCTION("""COMPUTED_VALUE"""),"https://www.facebook.com/GCBA/posts/pfbid032mscwuQPN9NkdqarmemBpiwHLejmd6xwJWoX11HzwdhzeTPW87msibSioCATLzyQl")</f>
        <v>https://www.facebook.com/GCBA/posts/pfbid032mscwuQPN9NkdqarmemBpiwHLejmd6xwJWoX11HzwdhzeTPW87msibSioCATLzyQl</v>
      </c>
    </row>
    <row r="991">
      <c r="A991" s="28" t="str">
        <f>IFERROR(__xludf.DUMMYFUNCTION("""COMPUTED_VALUE"""),"2825-ABRINFGC")</f>
        <v>2825-ABRINFGC</v>
      </c>
      <c r="B991" s="28" t="str">
        <f>IFERROR(__xludf.DUMMYFUNCTION("""COMPUTED_VALUE"""),"Obras M2: Trambus ABRIL")</f>
        <v>Obras M2: Trambus ABRIL</v>
      </c>
      <c r="C991" s="29" t="str">
        <f>IFERROR(__xludf.DUMMYFUNCTION("""COMPUTED_VALUE"""),"Pieza")</f>
        <v>Pieza</v>
      </c>
      <c r="D991" s="28" t="str">
        <f>IFERROR(__xludf.DUMMYFUNCTION("""COMPUTED_VALUE"""),"2705-MARHYFGC")</f>
        <v>2705-MARHYFGC</v>
      </c>
      <c r="E991" s="28" t="str">
        <f>IFERROR(__xludf.DUMMYFUNCTION("""COMPUTED_VALUE"""),"Agip - ABL")</f>
        <v>Agip - ABL</v>
      </c>
      <c r="F991" s="29" t="str">
        <f>IFERROR(__xludf.DUMMYFUNCTION("""COMPUTED_VALUE"""),"https://www.facebook.com/reel/858950013162984")</f>
        <v>https://www.facebook.com/reel/858950013162984</v>
      </c>
    </row>
    <row r="992">
      <c r="A992" s="28" t="str">
        <f>IFERROR(__xludf.DUMMYFUNCTION("""COMPUTED_VALUE"""),"2880-ABRJDGVC")</f>
        <v>2880-ABRJDGVC</v>
      </c>
      <c r="B992" s="28" t="str">
        <f>IFERROR(__xludf.DUMMYFUNCTION("""COMPUTED_VALUE"""),"RDV MINISTROS | GABRIEL SÁNCHEZ ZINNY 24/4  BELGRANO")</f>
        <v>RDV MINISTROS | GABRIEL SÁNCHEZ ZINNY 24/4  BELGRANO</v>
      </c>
      <c r="C992" s="29" t="str">
        <f>IFERROR(__xludf.DUMMYFUNCTION("""COMPUTED_VALUE"""),"Pieza")</f>
        <v>Pieza</v>
      </c>
      <c r="D992" s="28" t="str">
        <f>IFERROR(__xludf.DUMMYFUNCTION("""COMPUTED_VALUE"""),"2705-MARHYFGC")</f>
        <v>2705-MARHYFGC</v>
      </c>
      <c r="E992" s="28" t="str">
        <f>IFERROR(__xludf.DUMMYFUNCTION("""COMPUTED_VALUE"""),"Agip - ABL")</f>
        <v>Agip - ABL</v>
      </c>
      <c r="F992" s="29" t="str">
        <f>IFERROR(__xludf.DUMMYFUNCTION("""COMPUTED_VALUE"""),"https://www.facebook.com/GCBA/posts/pfbid028fATX2DqGRU1hW2eZrZQdReNkPzqMquJGSPFuxuKGz1NKjL8G6jt94Tg2brgvhE5l")</f>
        <v>https://www.facebook.com/GCBA/posts/pfbid028fATX2DqGRU1hW2eZrZQdReNkPzqMquJGSPFuxuKGz1NKjL8G6jt94Tg2brgvhE5l</v>
      </c>
    </row>
    <row r="993">
      <c r="A993" s="28" t="str">
        <f>IFERROR(__xludf.DUMMYFUNCTION("""COMPUTED_VALUE"""),"2923-ABRJDGVC")</f>
        <v>2923-ABRJDGVC</v>
      </c>
      <c r="B993" s="28" t="str">
        <f>IFERROR(__xludf.DUMMYFUNCTION("""COMPUTED_VALUE"""),"RDV MINISTROS | GABRIEL SÁNCHEZ ZINNY  27/4 VILLA LUGANO")</f>
        <v>RDV MINISTROS | GABRIEL SÁNCHEZ ZINNY  27/4 VILLA LUGANO</v>
      </c>
      <c r="C993" s="29" t="str">
        <f>IFERROR(__xludf.DUMMYFUNCTION("""COMPUTED_VALUE"""),"Pieza")</f>
        <v>Pieza</v>
      </c>
      <c r="D993" s="28" t="str">
        <f>IFERROR(__xludf.DUMMYFUNCTION("""COMPUTED_VALUE"""),"3010-MAYINNGC")</f>
        <v>3010-MAYINNGC</v>
      </c>
      <c r="E993" s="28" t="str">
        <f>IFERROR(__xludf.DUMMYFUNCTION("""COMPUTED_VALUE"""),"Prioridad para porteños en todos los servicios")</f>
        <v>Prioridad para porteños en todos los servicios</v>
      </c>
      <c r="F993" s="29" t="str">
        <f>IFERROR(__xludf.DUMMYFUNCTION("""COMPUTED_VALUE"""),"https://www.facebook.com/GCBA/posts/pfbid0G5E6dntuJfgbkjrZpgu4zJiAXKNv9Eh8hYSHAZzMaakFv6vZKkDSBFv5mV9DHkpEl")</f>
        <v>https://www.facebook.com/GCBA/posts/pfbid0G5E6dntuJfgbkjrZpgu4zJiAXKNv9Eh8hYSHAZzMaakFv6vZKkDSBFv5mV9DHkpEl</v>
      </c>
    </row>
    <row r="994">
      <c r="A994" s="28" t="str">
        <f>IFERROR(__xludf.DUMMYFUNCTION("""COMPUTED_VALUE"""),"2905-ABRJDGAG")</f>
        <v>2905-ABRJDGAG</v>
      </c>
      <c r="B994" s="28" t="str">
        <f>IFERROR(__xludf.DUMMYFUNCTION("""COMPUTED_VALUE"""),"RDV JM | 24/4 BALVANERA")</f>
        <v>RDV JM | 24/4 BALVANERA</v>
      </c>
      <c r="C994" s="29" t="str">
        <f>IFERROR(__xludf.DUMMYFUNCTION("""COMPUTED_VALUE"""),"Pieza")</f>
        <v>Pieza</v>
      </c>
      <c r="D994" s="28" t="str">
        <f>IFERROR(__xludf.DUMMYFUNCTION("""COMPUTED_VALUE"""),"3001-MAYSEGVC")</f>
        <v>3001-MAYSEGVC</v>
      </c>
      <c r="E994" s="28" t="str">
        <f>IFERROR(__xludf.DUMMYFUNCTION("""COMPUTED_VALUE"""),"RDV Ministros | Maximiliano Piñeiro 14/5 Comuna 7")</f>
        <v>RDV Ministros | Maximiliano Piñeiro 14/5 Comuna 7</v>
      </c>
      <c r="F994" s="28"/>
    </row>
    <row r="995">
      <c r="A995" s="28" t="str">
        <f>IFERROR(__xludf.DUMMYFUNCTION("""COMPUTED_VALUE"""),"2925-ABRSALVC")</f>
        <v>2925-ABRSALVC</v>
      </c>
      <c r="B995" s="28" t="str">
        <f>IFERROR(__xludf.DUMMYFUNCTION("""COMPUTED_VALUE"""),"RDV Ministros | Gabriel Mraida - Comuna 7")</f>
        <v>RDV Ministros | Gabriel Mraida - Comuna 7</v>
      </c>
      <c r="C995" s="29" t="str">
        <f>IFERROR(__xludf.DUMMYFUNCTION("""COMPUTED_VALUE"""),"Pieza")</f>
        <v>Pieza</v>
      </c>
      <c r="D995" s="28" t="str">
        <f>IFERROR(__xludf.DUMMYFUNCTION("""COMPUTED_VALUE"""),"2999-MAYSEGVC")</f>
        <v>2999-MAYSEGVC</v>
      </c>
      <c r="E995" s="28" t="str">
        <f>IFERROR(__xludf.DUMMYFUNCTION("""COMPUTED_VALUE"""),"RDV Ministros | Gabino Tapia 14/5 Comuna 5")</f>
        <v>RDV Ministros | Gabino Tapia 14/5 Comuna 5</v>
      </c>
      <c r="F995" s="28"/>
    </row>
    <row r="996">
      <c r="A996" s="28" t="str">
        <f>IFERROR(__xludf.DUMMYFUNCTION("""COMPUTED_VALUE"""),"2813-ABRDUDGC")</f>
        <v>2813-ABRDUDGC</v>
      </c>
      <c r="B996" s="28" t="str">
        <f>IFERROR(__xludf.DUMMYFUNCTION("""COMPUTED_VALUE"""),"Evento Colapinto")</f>
        <v>Evento Colapinto</v>
      </c>
      <c r="C996" s="29" t="str">
        <f>IFERROR(__xludf.DUMMYFUNCTION("""COMPUTED_VALUE"""),"Pieza")</f>
        <v>Pieza</v>
      </c>
      <c r="D996" s="28" t="str">
        <f>IFERROR(__xludf.DUMMYFUNCTION("""COMPUTED_VALUE"""),"3002-MAYSEGVC")</f>
        <v>3002-MAYSEGVC</v>
      </c>
      <c r="E996" s="28" t="str">
        <f>IFERROR(__xludf.DUMMYFUNCTION("""COMPUTED_VALUE"""),"RDV Ministros | Ruth Landerrecheo 14/5 Comuna 8")</f>
        <v>RDV Ministros | Ruth Landerrecheo 14/5 Comuna 8</v>
      </c>
      <c r="F996" s="28"/>
    </row>
    <row r="997">
      <c r="A997" s="28" t="str">
        <f>IFERROR(__xludf.DUMMYFUNCTION("""COMPUTED_VALUE"""),"2918-ABRVINVC")</f>
        <v>2918-ABRVINVC</v>
      </c>
      <c r="B997" s="28" t="str">
        <f>IFERROR(__xludf.DUMMYFUNCTION("""COMPUTED_VALUE"""),"CAMPAÑA GCBA | VINCULO CIUDADANO | Mas servicios en tu barrio 2026: Villa Lugano 27/4")</f>
        <v>CAMPAÑA GCBA | VINCULO CIUDADANO | Mas servicios en tu barrio 2026: Villa Lugano 27/4</v>
      </c>
      <c r="C997" s="29" t="str">
        <f>IFERROR(__xludf.DUMMYFUNCTION("""COMPUTED_VALUE"""),"Pieza")</f>
        <v>Pieza</v>
      </c>
      <c r="D997" s="28" t="str">
        <f>IFERROR(__xludf.DUMMYFUNCTION("""COMPUTED_VALUE"""),"3000-MAYSEGVC")</f>
        <v>3000-MAYSEGVC</v>
      </c>
      <c r="E997" s="28" t="str">
        <f>IFERROR(__xludf.DUMMYFUNCTION("""COMPUTED_VALUE"""),"RDV Ministros | Horacio Giménez 14/5 Comuna 6")</f>
        <v>RDV Ministros | Horacio Giménez 14/5 Comuna 6</v>
      </c>
      <c r="F997" s="28"/>
    </row>
    <row r="998">
      <c r="A998" s="28" t="str">
        <f>IFERROR(__xludf.DUMMYFUNCTION("""COMPUTED_VALUE"""),"2919-ABRVINVC")</f>
        <v>2919-ABRVINVC</v>
      </c>
      <c r="B998" s="28" t="str">
        <f>IFERROR(__xludf.DUMMYFUNCTION("""COMPUTED_VALUE"""),"CAMPAÑA GCBA | VINCULO CIUDADANO | Mas servicios en tu barrio 2026:  Villa Pueyrredón 28/4")</f>
        <v>CAMPAÑA GCBA | VINCULO CIUDADANO | Mas servicios en tu barrio 2026:  Villa Pueyrredón 28/4</v>
      </c>
      <c r="C998" s="29" t="str">
        <f>IFERROR(__xludf.DUMMYFUNCTION("""COMPUTED_VALUE"""),"Pieza")</f>
        <v>Pieza</v>
      </c>
      <c r="D998" s="28" t="str">
        <f>IFERROR(__xludf.DUMMYFUNCTION("""COMPUTED_VALUE"""),"3012-MAYDHHVC")</f>
        <v>3012-MAYDHHVC</v>
      </c>
      <c r="E998" s="28" t="str">
        <f>IFERROR(__xludf.DUMMYFUNCTION("""COMPUTED_VALUE"""),"RDV Ministros | Gabriel Mraida - 15/5")</f>
        <v>RDV Ministros | Gabriel Mraida - 15/5</v>
      </c>
      <c r="F998" s="28"/>
    </row>
    <row r="999">
      <c r="A999" s="28" t="str">
        <f>IFERROR(__xludf.DUMMYFUNCTION("""COMPUTED_VALUE"""),"2920-ABRVINVC")</f>
        <v>2920-ABRVINVC</v>
      </c>
      <c r="B999" s="28" t="str">
        <f>IFERROR(__xludf.DUMMYFUNCTION("""COMPUTED_VALUE"""),"CAMPAÑA GCBA | VINCULO CIUDADANO | Mas servicios en tu barrio 2026: La Paternal 29/4")</f>
        <v>CAMPAÑA GCBA | VINCULO CIUDADANO | Mas servicios en tu barrio 2026: La Paternal 29/4</v>
      </c>
      <c r="C999" s="29" t="str">
        <f>IFERROR(__xludf.DUMMYFUNCTION("""COMPUTED_VALUE"""),"Pieza")</f>
        <v>Pieza</v>
      </c>
      <c r="D999" s="28" t="str">
        <f>IFERROR(__xludf.DUMMYFUNCTION("""COMPUTED_VALUE"""),"3013-MAYJDGVC")</f>
        <v>3013-MAYJDGVC</v>
      </c>
      <c r="E999" s="28" t="str">
        <f>IFERROR(__xludf.DUMMYFUNCTION("""COMPUTED_VALUE"""),"RDV Ministros | Gabriel Sánchez Zinny - 15/5")</f>
        <v>RDV Ministros | Gabriel Sánchez Zinny - 15/5</v>
      </c>
      <c r="F999" s="28"/>
    </row>
    <row r="1000">
      <c r="A1000" s="28" t="str">
        <f>IFERROR(__xludf.DUMMYFUNCTION("""COMPUTED_VALUE"""),"2916-ABRPCCVC")</f>
        <v>2916-ABRPCCVC</v>
      </c>
      <c r="B1000" s="28" t="str">
        <f>IFERROR(__xludf.DUMMYFUNCTION("""COMPUTED_VALUE"""),"Mes del compostaje")</f>
        <v>Mes del compostaje</v>
      </c>
      <c r="C1000" s="29" t="str">
        <f>IFERROR(__xludf.DUMMYFUNCTION("""COMPUTED_VALUE"""),"Pieza")</f>
        <v>Pieza</v>
      </c>
      <c r="D1000" s="28" t="str">
        <f>IFERROR(__xludf.DUMMYFUNCTION("""COMPUTED_VALUE"""),"2982-MAYDECGC")</f>
        <v>2982-MAYDECGC</v>
      </c>
      <c r="E1000" s="28" t="str">
        <f>IFERROR(__xludf.DUMMYFUNCTION("""COMPUTED_VALUE"""),"Cafecito BA en Palermo")</f>
        <v>Cafecito BA en Palermo</v>
      </c>
      <c r="F1000" s="29" t="str">
        <f>IFERROR(__xludf.DUMMYFUNCTION("""COMPUTED_VALUE"""),"https://www.facebook.com/reel/1531095018664874")</f>
        <v>https://www.facebook.com/reel/1531095018664874</v>
      </c>
    </row>
    <row r="1001">
      <c r="A1001" s="28" t="str">
        <f>IFERROR(__xludf.DUMMYFUNCTION("""COMPUTED_VALUE"""),"2939-ABRPCCVC")</f>
        <v>2939-ABRPCCVC</v>
      </c>
      <c r="B1001" s="28" t="str">
        <f>IFERROR(__xludf.DUMMYFUNCTION("""COMPUTED_VALUE"""),"Día del animal")</f>
        <v>Día del animal</v>
      </c>
      <c r="C1001" s="29" t="str">
        <f>IFERROR(__xludf.DUMMYFUNCTION("""COMPUTED_VALUE"""),"Pieza")</f>
        <v>Pieza</v>
      </c>
      <c r="D1001" s="28" t="str">
        <f>IFERROR(__xludf.DUMMYFUNCTION("""COMPUTED_VALUE"""),"2982-MAYDECGC")</f>
        <v>2982-MAYDECGC</v>
      </c>
      <c r="E1001" s="28" t="str">
        <f>IFERROR(__xludf.DUMMYFUNCTION("""COMPUTED_VALUE"""),"Cafecito BA en Palermo")</f>
        <v>Cafecito BA en Palermo</v>
      </c>
      <c r="F1001" s="29" t="str">
        <f>IFERROR(__xludf.DUMMYFUNCTION("""COMPUTED_VALUE"""),"https://www.facebook.com/reel/1531095018664874")</f>
        <v>https://www.facebook.com/reel/1531095018664874</v>
      </c>
    </row>
    <row r="1002">
      <c r="A1002" s="28" t="str">
        <f>IFERROR(__xludf.DUMMYFUNCTION("""COMPUTED_VALUE"""),"2885-ABRSEGVC")</f>
        <v>2885-ABRSEGVC</v>
      </c>
      <c r="B1002" s="28" t="str">
        <f>IFERROR(__xludf.DUMMYFUNCTION("""COMPUTED_VALUE"""),"RDV MINISTROS | Francisco Quintana 23/4 Comuna 11")</f>
        <v>RDV MINISTROS | Francisco Quintana 23/4 Comuna 11</v>
      </c>
      <c r="C1002" s="29" t="str">
        <f>IFERROR(__xludf.DUMMYFUNCTION("""COMPUTED_VALUE"""),"Pieza")</f>
        <v>Pieza</v>
      </c>
      <c r="D1002" s="28" t="str">
        <f>IFERROR(__xludf.DUMMYFUNCTION("""COMPUTED_VALUE"""),"3010-MAYINNGC")</f>
        <v>3010-MAYINNGC</v>
      </c>
      <c r="E1002" s="28" t="str">
        <f>IFERROR(__xludf.DUMMYFUNCTION("""COMPUTED_VALUE"""),"Prioridad para porteños en todos los servicios")</f>
        <v>Prioridad para porteños en todos los servicios</v>
      </c>
      <c r="F1002" s="29" t="str">
        <f>IFERROR(__xludf.DUMMYFUNCTION("""COMPUTED_VALUE"""),"https://www.facebook.com/GCBA/posts/pfbid0G5E6dntuJfgbkjrZpgu4zJiAXKNv9Eh8hYSHAZzMaakFv6vZKkDSBFv5mV9DHkpEl")</f>
        <v>https://www.facebook.com/GCBA/posts/pfbid0G5E6dntuJfgbkjrZpgu4zJiAXKNv9Eh8hYSHAZzMaakFv6vZKkDSBFv5mV9DHkpEl</v>
      </c>
    </row>
    <row r="1003">
      <c r="A1003" s="28" t="str">
        <f>IFERROR(__xludf.DUMMYFUNCTION("""COMPUTED_VALUE"""),"2912-ABRINFGC")</f>
        <v>2912-ABRINFGC</v>
      </c>
      <c r="B1003" s="28" t="str">
        <f>IFERROR(__xludf.DUMMYFUNCTION("""COMPUTED_VALUE""")," Cortes por Carrera Maratana 2026")</f>
        <v> Cortes por Carrera Maratana 2026</v>
      </c>
      <c r="C1003" s="29" t="str">
        <f>IFERROR(__xludf.DUMMYFUNCTION("""COMPUTED_VALUE"""),"Pieza")</f>
        <v>Pieza</v>
      </c>
      <c r="D1003" s="28" t="str">
        <f>IFERROR(__xludf.DUMMYFUNCTION("""COMPUTED_VALUE"""),"3025-MAYDIGCG")</f>
        <v>3025-MAYDIGCG</v>
      </c>
      <c r="E1003" s="28" t="str">
        <f>IFERROR(__xludf.DUMMYFUNCTION("""COMPUTED_VALUE"""),"CONTENIDO ADICIONAL |  Innovacion Digital | Centro de Simulación")</f>
        <v>CONTENIDO ADICIONAL |  Innovacion Digital | Centro de Simulación</v>
      </c>
      <c r="F1003" s="29" t="str">
        <f>IFERROR(__xludf.DUMMYFUNCTION("""COMPUTED_VALUE"""),"https://www.facebook.com/reel/1472318561601142")</f>
        <v>https://www.facebook.com/reel/1472318561601142</v>
      </c>
    </row>
    <row r="1004">
      <c r="A1004" s="28" t="str">
        <f>IFERROR(__xludf.DUMMYFUNCTION("""COMPUTED_VALUE"""),"2852-ABRINFGC")</f>
        <v>2852-ABRINFGC</v>
      </c>
      <c r="B1004" s="28" t="str">
        <f>IFERROR(__xludf.DUMMYFUNCTION("""COMPUTED_VALUE"""),"INFRAESTRUCTURA | Cortes y desvíos por Evento Colapinto")</f>
        <v>INFRAESTRUCTURA | Cortes y desvíos por Evento Colapinto</v>
      </c>
      <c r="C1004" s="29" t="str">
        <f>IFERROR(__xludf.DUMMYFUNCTION("""COMPUTED_VALUE"""),"Pieza")</f>
        <v>Pieza</v>
      </c>
      <c r="D1004" s="28" t="str">
        <f>IFERROR(__xludf.DUMMYFUNCTION("""COMPUTED_VALUE"""),"2960-ABRJDGAG")</f>
        <v>2960-ABRJDGAG</v>
      </c>
      <c r="E1004" s="28" t="str">
        <f>IFERROR(__xludf.DUMMYFUNCTION("""COMPUTED_VALUE"""),"1 A 1 JM | Comuna 13 08/05")</f>
        <v>1 A 1 JM | Comuna 13 08/05</v>
      </c>
      <c r="F1004" s="29" t="str">
        <f>IFERROR(__xludf.DUMMYFUNCTION("""COMPUTED_VALUE"""),"https://www.facebook.com/reel/964158469753608")</f>
        <v>https://www.facebook.com/reel/964158469753608</v>
      </c>
    </row>
    <row r="1005">
      <c r="A1005" s="28" t="str">
        <f>IFERROR(__xludf.DUMMYFUNCTION("""COMPUTED_VALUE"""),"2884-ABRSEGVC")</f>
        <v>2884-ABRSEGVC</v>
      </c>
      <c r="B1005" s="28" t="str">
        <f>IFERROR(__xludf.DUMMYFUNCTION("""COMPUTED_VALUE"""),"RDV MINISTROS | Horacio Giménez 23/4 Comuna 10")</f>
        <v>RDV MINISTROS | Horacio Giménez 23/4 Comuna 10</v>
      </c>
      <c r="C1005" s="29" t="str">
        <f>IFERROR(__xludf.DUMMYFUNCTION("""COMPUTED_VALUE"""),"Pieza")</f>
        <v>Pieza</v>
      </c>
      <c r="D1005" s="28" t="str">
        <f>IFERROR(__xludf.DUMMYFUNCTION("""COMPUTED_VALUE"""),"2997-MAYJDGAG")</f>
        <v>2997-MAYJDGAG</v>
      </c>
      <c r="E1005" s="28" t="str">
        <f>IFERROR(__xludf.DUMMYFUNCTION("""COMPUTED_VALUE"""),"RDV JM TEMÁTICA | TE CUENTO BS AS 14/05 ORDEN PÚBLICO EJE SUR")</f>
        <v>RDV JM TEMÁTICA | TE CUENTO BS AS 14/05 ORDEN PÚBLICO EJE SUR</v>
      </c>
      <c r="F1005" s="29" t="str">
        <f>IFERROR(__xludf.DUMMYFUNCTION("""COMPUTED_VALUE"""),"https://www.facebook.com/GCBA/posts/pfbid032mscwuQPN9NkdqarmemBpiwHLejmd6xwJWoX11HzwdhzeTPW87msibSioCATLzyQl")</f>
        <v>https://www.facebook.com/GCBA/posts/pfbid032mscwuQPN9NkdqarmemBpiwHLejmd6xwJWoX11HzwdhzeTPW87msibSioCATLzyQl</v>
      </c>
    </row>
    <row r="1006">
      <c r="A1006" s="28" t="str">
        <f>IFERROR(__xludf.DUMMYFUNCTION("""COMPUTED_VALUE"""),"2924-ABRJDGVC")</f>
        <v>2924-ABRJDGVC</v>
      </c>
      <c r="B1006" s="28" t="str">
        <f>IFERROR(__xludf.DUMMYFUNCTION("""COMPUTED_VALUE"""),"RDV MINISTROS | GABRIEL SÁNCHEZ ZINNY 28/4 COLEGIALES")</f>
        <v>RDV MINISTROS | GABRIEL SÁNCHEZ ZINNY 28/4 COLEGIALES</v>
      </c>
      <c r="C1006" s="29" t="str">
        <f>IFERROR(__xludf.DUMMYFUNCTION("""COMPUTED_VALUE"""),"Pieza")</f>
        <v>Pieza</v>
      </c>
      <c r="D1006" s="28" t="str">
        <f>IFERROR(__xludf.DUMMYFUNCTION("""COMPUTED_VALUE"""),"2827-ABREPHGC")</f>
        <v>2827-ABREPHGC</v>
      </c>
      <c r="E1006" s="28" t="str">
        <f>IFERROR(__xludf.DUMMYFUNCTION("""COMPUTED_VALUE"""),"CAMPAÑA GCBA | MEPHU | CAMPAÑA GRANDES GENERADORES")</f>
        <v>CAMPAÑA GCBA | MEPHU | CAMPAÑA GRANDES GENERADORES</v>
      </c>
      <c r="F1006" s="28"/>
    </row>
    <row r="1007">
      <c r="A1007" s="28" t="str">
        <f>IFERROR(__xludf.DUMMYFUNCTION("""COMPUTED_VALUE"""),"2926-ABREDUVC")</f>
        <v>2926-ABREDUVC</v>
      </c>
      <c r="B1007" s="28" t="str">
        <f>IFERROR(__xludf.DUMMYFUNCTION("""COMPUTED_VALUE"""),"RDV MINISTROS | Mercedes Miguel | 29/4 | comuna 15")</f>
        <v>RDV MINISTROS | Mercedes Miguel | 29/4 | comuna 15</v>
      </c>
      <c r="C1007" s="29" t="str">
        <f>IFERROR(__xludf.DUMMYFUNCTION("""COMPUTED_VALUE"""),"Pieza")</f>
        <v>Pieza</v>
      </c>
      <c r="D1007" s="28" t="str">
        <f>IFERROR(__xludf.DUMMYFUNCTION("""COMPUTED_VALUE"""),"2496-ENEVINGC")</f>
        <v>2496-ENEVINGC</v>
      </c>
      <c r="E100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07" s="29" t="str">
        <f>IFERROR(__xludf.DUMMYFUNCTION("""COMPUTED_VALUE"""),"https://www.facebook.com/GCBA/posts/pfbid06DxPaxcJUeb5bHvFYidkD2KWH5Tnas2idZrZsuA7knpwNLncw5ReyUG7VkCgkS6Ll")</f>
        <v>https://www.facebook.com/GCBA/posts/pfbid06DxPaxcJUeb5bHvFYidkD2KWH5Tnas2idZrZsuA7knpwNLncw5ReyUG7VkCgkS6Ll</v>
      </c>
    </row>
    <row r="1008">
      <c r="A1008" s="28" t="str">
        <f>IFERROR(__xludf.DUMMYFUNCTION("""COMPUTED_VALUE"""),"2915-ABRPCCVC")</f>
        <v>2915-ABRPCCVC</v>
      </c>
      <c r="B1008" s="28" t="str">
        <f>IFERROR(__xludf.DUMMYFUNCTION("""COMPUTED_VALUE"""),"Envio de resultados Fomentista")</f>
        <v>Envio de resultados Fomentista</v>
      </c>
      <c r="C1008" s="29" t="str">
        <f>IFERROR(__xludf.DUMMYFUNCTION("""COMPUTED_VALUE"""),"Pieza")</f>
        <v>Pieza</v>
      </c>
      <c r="D1008" s="28" t="str">
        <f>IFERROR(__xludf.DUMMYFUNCTION("""COMPUTED_VALUE"""),"2496-ENEVINGC")</f>
        <v>2496-ENEVINGC</v>
      </c>
      <c r="E100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08" s="29" t="str">
        <f>IFERROR(__xludf.DUMMYFUNCTION("""COMPUTED_VALUE"""),"https://www.facebook.com/GCBA/posts/pfbid0a8T2kVnGv2zGjjpC6Qj1dR4wWGZk1mpYC6tt3iTmDVMgGaorxffC1vcMy1ZmQWsel")</f>
        <v>https://www.facebook.com/GCBA/posts/pfbid0a8T2kVnGv2zGjjpC6Qj1dR4wWGZk1mpYC6tt3iTmDVMgGaorxffC1vcMy1ZmQWsel</v>
      </c>
    </row>
    <row r="1009">
      <c r="A1009" s="28" t="str">
        <f>IFERROR(__xludf.DUMMYFUNCTION("""COMPUTED_VALUE"""),"1964-SEPEPHGC")</f>
        <v>1964-SEPEPHGC</v>
      </c>
      <c r="B1009" s="28" t="str">
        <f>IFERROR(__xludf.DUMMYFUNCTION("""COMPUTED_VALUE"""),"MEPHU RECAMBIO TECNOLÓGICO M2")</f>
        <v>MEPHU RECAMBIO TECNOLÓGICO M2</v>
      </c>
      <c r="C1009" s="29" t="str">
        <f>IFERROR(__xludf.DUMMYFUNCTION("""COMPUTED_VALUE"""),"Pieza")</f>
        <v>Pieza</v>
      </c>
      <c r="D1009" s="28" t="str">
        <f>IFERROR(__xludf.DUMMYFUNCTION("""COMPUTED_VALUE"""),"2496-ENEVINGC")</f>
        <v>2496-ENEVINGC</v>
      </c>
      <c r="E100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09" s="29" t="str">
        <f>IFERROR(__xludf.DUMMYFUNCTION("""COMPUTED_VALUE"""),"https://www.facebook.com/GCBA/posts/pfbid026AnfT6Tmxhp3RKXzxibs5N9StAT6moCisAqTW12ZfPYYwi7gp5qZxFQXhRc6efH1l")</f>
        <v>https://www.facebook.com/GCBA/posts/pfbid026AnfT6Tmxhp3RKXzxibs5N9StAT6moCisAqTW12ZfPYYwi7gp5qZxFQXhRc6efH1l</v>
      </c>
    </row>
    <row r="1010">
      <c r="A1010" s="28" t="str">
        <f>IFERROR(__xludf.DUMMYFUNCTION("""COMPUTED_VALUE"""),"1946-SEPEPHGC")</f>
        <v>1946-SEPEPHGC</v>
      </c>
      <c r="B1010" s="28" t="str">
        <f>IFERROR(__xludf.DUMMYFUNCTION("""COMPUTED_VALUE"""),"CAMPAÑA GCBA | MEPHU  | PLUVIALES")</f>
        <v>CAMPAÑA GCBA | MEPHU  | PLUVIALES</v>
      </c>
      <c r="C1010" s="29" t="str">
        <f>IFERROR(__xludf.DUMMYFUNCTION("""COMPUTED_VALUE"""),"Pieza")</f>
        <v>Pieza</v>
      </c>
      <c r="D1010" s="28" t="str">
        <f>IFERROR(__xludf.DUMMYFUNCTION("""COMPUTED_VALUE"""),"2496-ENEVINGC")</f>
        <v>2496-ENEVINGC</v>
      </c>
      <c r="E101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10" s="29" t="str">
        <f>IFERROR(__xludf.DUMMYFUNCTION("""COMPUTED_VALUE"""),"https://www.facebook.com/GCBA/posts/pfbid0gGupE1Ef7b9wjKLMczBkHDufYFKRvbVYbKM3zXyJLVLY5tHapjRKd2q75kXtmWcLl")</f>
        <v>https://www.facebook.com/GCBA/posts/pfbid0gGupE1Ef7b9wjKLMczBkHDufYFKRvbVYbKM3zXyJLVLY5tHapjRKd2q75kXtmWcLl</v>
      </c>
    </row>
    <row r="1011">
      <c r="A1011" s="28" t="str">
        <f>IFERROR(__xludf.DUMMYFUNCTION("""COMPUTED_VALUE"""),"1942-SEPEPHGC")</f>
        <v>1942-SEPEPHGC</v>
      </c>
      <c r="B1011" s="28" t="str">
        <f>IFERROR(__xludf.DUMMYFUNCTION("""COMPUTED_VALUE"""),"DGPLES | MEPHU  | REPARACIÓN DE VEREDAS")</f>
        <v>DGPLES | MEPHU  | REPARACIÓN DE VEREDAS</v>
      </c>
      <c r="C1011" s="29" t="str">
        <f>IFERROR(__xludf.DUMMYFUNCTION("""COMPUTED_VALUE"""),"Pieza")</f>
        <v>Pieza</v>
      </c>
      <c r="D1011" s="28" t="str">
        <f>IFERROR(__xludf.DUMMYFUNCTION("""COMPUTED_VALUE"""),"2496-ENEVINGC")</f>
        <v>2496-ENEVINGC</v>
      </c>
      <c r="E101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11" s="29" t="str">
        <f>IFERROR(__xludf.DUMMYFUNCTION("""COMPUTED_VALUE"""),"https://www.facebook.com/GCBA/posts/pfbid02YfGL8Rq1CFyAHAfNSrcU4LkE9W7n14KNA1Tcamk3GM8qQEPJSqj68bk2WwptoiScl")</f>
        <v>https://www.facebook.com/GCBA/posts/pfbid02YfGL8Rq1CFyAHAfNSrcU4LkE9W7n14KNA1Tcamk3GM8qQEPJSqj68bk2WwptoiScl</v>
      </c>
    </row>
    <row r="1012">
      <c r="A1012" s="28" t="str">
        <f>IFERROR(__xludf.DUMMYFUNCTION("""COMPUTED_VALUE"""),"1942-SEPEPHGC")</f>
        <v>1942-SEPEPHGC</v>
      </c>
      <c r="B1012" s="28" t="str">
        <f>IFERROR(__xludf.DUMMYFUNCTION("""COMPUTED_VALUE"""),"DGPLES | MEPHU  | REPARACIÓN DE VEREDAS")</f>
        <v>DGPLES | MEPHU  | REPARACIÓN DE VEREDAS</v>
      </c>
      <c r="C1012" s="29" t="str">
        <f>IFERROR(__xludf.DUMMYFUNCTION("""COMPUTED_VALUE"""),"Pieza")</f>
        <v>Pieza</v>
      </c>
      <c r="D1012" s="28" t="str">
        <f>IFERROR(__xludf.DUMMYFUNCTION("""COMPUTED_VALUE"""),"2496-ENEVINGC")</f>
        <v>2496-ENEVINGC</v>
      </c>
      <c r="E101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12" s="29" t="str">
        <f>IFERROR(__xludf.DUMMYFUNCTION("""COMPUTED_VALUE"""),"https://www.facebook.com/GCBA/posts/pfbid0HR6pQrPnYhuh1vXN74xKKo7vXExE94H26RPwcUQrysnNDGde9RhLNzorYU84rwiul")</f>
        <v>https://www.facebook.com/GCBA/posts/pfbid0HR6pQrPnYhuh1vXN74xKKo7vXExE94H26RPwcUQrysnNDGde9RhLNzorYU84rwiul</v>
      </c>
    </row>
    <row r="1013">
      <c r="A1013" s="28" t="str">
        <f>IFERROR(__xludf.DUMMYFUNCTION("""COMPUTED_VALUE"""),"1895-SEPEPHGC")</f>
        <v>1895-SEPEPHGC</v>
      </c>
      <c r="B1013" s="28" t="str">
        <f>IFERROR(__xludf.DUMMYFUNCTION("""COMPUTED_VALUE"""),"PIEZAS M2 | MEPHU | REPAVIMENTACIÓN")</f>
        <v>PIEZAS M2 | MEPHU | REPAVIMENTACIÓN</v>
      </c>
      <c r="C1013" s="29" t="str">
        <f>IFERROR(__xludf.DUMMYFUNCTION("""COMPUTED_VALUE"""),"Pieza")</f>
        <v>Pieza</v>
      </c>
      <c r="D1013" s="28" t="str">
        <f>IFERROR(__xludf.DUMMYFUNCTION("""COMPUTED_VALUE"""),"2938-ABRSALGC")</f>
        <v>2938-ABRSALGC</v>
      </c>
      <c r="E1013" s="28" t="str">
        <f>IFERROR(__xludf.DUMMYFUNCTION("""COMPUTED_VALUE"""),"Hospital Piñero - Fin de Obra")</f>
        <v>Hospital Piñero - Fin de Obra</v>
      </c>
      <c r="F1013" s="29" t="str">
        <f>IFERROR(__xludf.DUMMYFUNCTION("""COMPUTED_VALUE"""),"https://www.facebook.com/GCBA/posts/pfbid02om29QPQdx9biG61u6BbBky6d5wspZwCXoTWdjfupSHCvfZkz4Luw6CqrKFG4nv4Xl")</f>
        <v>https://www.facebook.com/GCBA/posts/pfbid02om29QPQdx9biG61u6BbBky6d5wspZwCXoTWdjfupSHCvfZkz4Luw6CqrKFG4nv4Xl</v>
      </c>
    </row>
    <row r="1014">
      <c r="A1014" s="28" t="str">
        <f>IFERROR(__xludf.DUMMYFUNCTION("""COMPUTED_VALUE"""),"1943-SEPEPHGC")</f>
        <v>1943-SEPEPHGC</v>
      </c>
      <c r="B1014" s="28" t="str">
        <f>IFERROR(__xludf.DUMMYFUNCTION("""COMPUTED_VALUE"""),"DGPLES | MEPHU  | READOQUINADO")</f>
        <v>DGPLES | MEPHU  | READOQUINADO</v>
      </c>
      <c r="C1014" s="29" t="str">
        <f>IFERROR(__xludf.DUMMYFUNCTION("""COMPUTED_VALUE"""),"Pieza")</f>
        <v>Pieza</v>
      </c>
      <c r="D1014" s="28" t="str">
        <f>IFERROR(__xludf.DUMMYFUNCTION("""COMPUTED_VALUE"""),"2938-ABRSALGC")</f>
        <v>2938-ABRSALGC</v>
      </c>
      <c r="E1014" s="28" t="str">
        <f>IFERROR(__xludf.DUMMYFUNCTION("""COMPUTED_VALUE"""),"Hospital Piñero - Fin de Obra")</f>
        <v>Hospital Piñero - Fin de Obra</v>
      </c>
      <c r="F1014" s="29" t="str">
        <f>IFERROR(__xludf.DUMMYFUNCTION("""COMPUTED_VALUE"""),"https://www.facebook.com/GCBA/posts/pfbid02om29QPQdx9biG61u6BbBky6d5wspZwCXoTWdjfupSHCvfZkz4Luw6CqrKFG4nv4Xl")</f>
        <v>https://www.facebook.com/GCBA/posts/pfbid02om29QPQdx9biG61u6BbBky6d5wspZwCXoTWdjfupSHCvfZkz4Luw6CqrKFG4nv4Xl</v>
      </c>
    </row>
    <row r="1015">
      <c r="A1015" s="28" t="str">
        <f>IFERROR(__xludf.DUMMYFUNCTION("""COMPUTED_VALUE"""),"1896-SEPEPHGC")</f>
        <v>1896-SEPEPHGC</v>
      </c>
      <c r="B1015" s="28" t="str">
        <f>IFERROR(__xludf.DUMMYFUNCTION("""COMPUTED_VALUE"""),"PIEZAS M2 | MEPHU | LIMPIEZA INTENSIVA")</f>
        <v>PIEZAS M2 | MEPHU | LIMPIEZA INTENSIVA</v>
      </c>
      <c r="C1015" s="29" t="str">
        <f>IFERROR(__xludf.DUMMYFUNCTION("""COMPUTED_VALUE"""),"Pieza")</f>
        <v>Pieza</v>
      </c>
      <c r="D1015" s="28" t="str">
        <f>IFERROR(__xludf.DUMMYFUNCTION("""COMPUTED_VALUE"""),"2973-MAYSEGGC")</f>
        <v>2973-MAYSEGGC</v>
      </c>
      <c r="E1015" s="28" t="str">
        <f>IFERROR(__xludf.DUMMYFUNCTION("""COMPUTED_VALUE"""),"Operativos de saturación en subte")</f>
        <v>Operativos de saturación en subte</v>
      </c>
      <c r="F1015" s="29" t="str">
        <f>IFERROR(__xludf.DUMMYFUNCTION("""COMPUTED_VALUE"""),"https://www.facebook.com/100064489762372/posts/1473265644833080/#?jhi")</f>
        <v>https://www.facebook.com/100064489762372/posts/1473265644833080/#?jhi</v>
      </c>
    </row>
    <row r="1016">
      <c r="A1016" s="28" t="str">
        <f>IFERROR(__xludf.DUMMYFUNCTION("""COMPUTED_VALUE"""),"2855-ABRJDGAG")</f>
        <v>2855-ABRJDGAG</v>
      </c>
      <c r="B1016" s="28" t="str">
        <f>IFERROR(__xludf.DUMMYFUNCTION("""COMPUTED_VALUE"""),"Campaña JM | Prioridad porteña: mail")</f>
        <v>Campaña JM | Prioridad porteña: mail</v>
      </c>
      <c r="C1016" s="29" t="str">
        <f>IFERROR(__xludf.DUMMYFUNCTION("""COMPUTED_VALUE"""),"Pieza")</f>
        <v>Pieza</v>
      </c>
      <c r="D1016" s="28" t="str">
        <f>IFERROR(__xludf.DUMMYFUNCTION("""COMPUTED_VALUE"""),"2973-MAYSEGGC")</f>
        <v>2973-MAYSEGGC</v>
      </c>
      <c r="E1016" s="28" t="str">
        <f>IFERROR(__xludf.DUMMYFUNCTION("""COMPUTED_VALUE"""),"Operativos de saturación en subte")</f>
        <v>Operativos de saturación en subte</v>
      </c>
      <c r="F1016" s="29" t="str">
        <f>IFERROR(__xludf.DUMMYFUNCTION("""COMPUTED_VALUE"""),"https://www.facebook.com/100064489762372/posts/1473265644833080/#?jhi")</f>
        <v>https://www.facebook.com/100064489762372/posts/1473265644833080/#?jhi</v>
      </c>
    </row>
    <row r="1017">
      <c r="A1017" s="28" t="str">
        <f>IFERROR(__xludf.DUMMYFUNCTION("""COMPUTED_VALUE"""),"2909-ABRJDGAG")</f>
        <v>2909-ABRJDGAG</v>
      </c>
      <c r="B1017" s="28" t="str">
        <f>IFERROR(__xludf.DUMMYFUNCTION("""COMPUTED_VALUE"""),"RDV JM Primera Persona | Comuna 1 27/04 Gastón Pauls")</f>
        <v>RDV JM Primera Persona | Comuna 1 27/04 Gastón Pauls</v>
      </c>
      <c r="C1017" s="29" t="str">
        <f>IFERROR(__xludf.DUMMYFUNCTION("""COMPUTED_VALUE"""),"Pieza")</f>
        <v>Pieza</v>
      </c>
      <c r="D1017" s="28" t="str">
        <f>IFERROR(__xludf.DUMMYFUNCTION("""COMPUTED_VALUE"""),"3028-MAYFESGC")</f>
        <v>3028-MAYFESGC</v>
      </c>
      <c r="E1017" s="28" t="str">
        <f>IFERROR(__xludf.DUMMYFUNCTION("""COMPUTED_VALUE"""),"BA Celebra Europa")</f>
        <v>BA Celebra Europa</v>
      </c>
      <c r="F1017" s="29" t="str">
        <f>IFERROR(__xludf.DUMMYFUNCTION("""COMPUTED_VALUE"""),"https://www.facebook.com/GCBA/posts/pfbid0CjVfwajBrL248dximdxT5xR5EBXpQ8HpeiLdS9TU5ma5MBaLJwpztFdWH4djbDnxl")</f>
        <v>https://www.facebook.com/GCBA/posts/pfbid0CjVfwajBrL248dximdxT5xR5EBXpQ8HpeiLdS9TU5ma5MBaLJwpztFdWH4djbDnxl</v>
      </c>
    </row>
    <row r="1018">
      <c r="A1018" s="28" t="str">
        <f>IFERROR(__xludf.DUMMYFUNCTION("""COMPUTED_VALUE"""),"2827-ABREPHGC")</f>
        <v>2827-ABREPHGC</v>
      </c>
      <c r="B1018" s="28" t="str">
        <f>IFERROR(__xludf.DUMMYFUNCTION("""COMPUTED_VALUE"""),"CAMPAÑA GCBA | MEPHU | CAMPAÑA GRANDES GENERADORES")</f>
        <v>CAMPAÑA GCBA | MEPHU | CAMPAÑA GRANDES GENERADORES</v>
      </c>
      <c r="C1018" s="29" t="str">
        <f>IFERROR(__xludf.DUMMYFUNCTION("""COMPUTED_VALUE"""),"Pieza")</f>
        <v>Pieza</v>
      </c>
      <c r="D1018" s="28" t="str">
        <f>IFERROR(__xludf.DUMMYFUNCTION("""COMPUTED_VALUE"""),"3037-MAYSALVC")</f>
        <v>3037-MAYSALVC</v>
      </c>
      <c r="E1018" s="28" t="str">
        <f>IFERROR(__xludf.DUMMYFUNCTION("""COMPUTED_VALUE"""),"RDV Ministros | Fernán Quirós - 19/5 - Comuna 3")</f>
        <v>RDV Ministros | Fernán Quirós - 19/5 - Comuna 3</v>
      </c>
      <c r="F1018" s="28"/>
    </row>
    <row r="1019">
      <c r="A1019" s="28" t="str">
        <f>IFERROR(__xludf.DUMMYFUNCTION("""COMPUTED_VALUE"""),"2940-ABRAMBVC")</f>
        <v>2940-ABRAMBVC</v>
      </c>
      <c r="B1019" s="28" t="str">
        <f>IFERROR(__xludf.DUMMYFUNCTION("""COMPUTED_VALUE"""),"RDV Ministros | Clara Muzzio - 29/04")</f>
        <v>RDV Ministros | Clara Muzzio - 29/04</v>
      </c>
      <c r="C1019" s="29" t="str">
        <f>IFERROR(__xludf.DUMMYFUNCTION("""COMPUTED_VALUE"""),"Pieza")</f>
        <v>Pieza</v>
      </c>
      <c r="D1019" s="28" t="str">
        <f>IFERROR(__xludf.DUMMYFUNCTION("""COMPUTED_VALUE"""),"2988-MAYJDGAG")</f>
        <v>2988-MAYJDGAG</v>
      </c>
      <c r="E1019" s="28" t="str">
        <f>IFERROR(__xludf.DUMMYFUNCTION("""COMPUTED_VALUE"""),"1 A 1 JM | Comuna 14 13/05")</f>
        <v>1 A 1 JM | Comuna 14 13/05</v>
      </c>
      <c r="F1019" s="29" t="str">
        <f>IFERROR(__xludf.DUMMYFUNCTION("""COMPUTED_VALUE"""),"https://www.facebook.com/reel/1322241596637526")</f>
        <v>https://www.facebook.com/reel/1322241596637526</v>
      </c>
    </row>
    <row r="1020">
      <c r="A1020" s="28" t="str">
        <f>IFERROR(__xludf.DUMMYFUNCTION("""COMPUTED_VALUE"""),"2932-ABRJDGAG")</f>
        <v>2932-ABRJDGAG</v>
      </c>
      <c r="B1020" s="28" t="str">
        <f>IFERROR(__xludf.DUMMYFUNCTION("""COMPUTED_VALUE"""),"RDV JM BALVANERA 28/4")</f>
        <v>RDV JM BALVANERA 28/4</v>
      </c>
      <c r="C1020" s="29" t="str">
        <f>IFERROR(__xludf.DUMMYFUNCTION("""COMPUTED_VALUE"""),"Pieza")</f>
        <v>Pieza</v>
      </c>
      <c r="D1020" s="28" t="str">
        <f>IFERROR(__xludf.DUMMYFUNCTION("""COMPUTED_VALUE"""),"3038-MAYJDGVC")</f>
        <v>3038-MAYJDGVC</v>
      </c>
      <c r="E1020" s="28" t="str">
        <f>IFERROR(__xludf.DUMMYFUNCTION("""COMPUTED_VALUE"""),"RDV Ministros | Gabriel Sánchez Zinny - 19/5 - Recoleta")</f>
        <v>RDV Ministros | Gabriel Sánchez Zinny - 19/5 - Recoleta</v>
      </c>
      <c r="F1020" s="28"/>
    </row>
    <row r="1021">
      <c r="A1021" s="28" t="str">
        <f>IFERROR(__xludf.DUMMYFUNCTION("""COMPUTED_VALUE"""),"2932-ABRJDGAG")</f>
        <v>2932-ABRJDGAG</v>
      </c>
      <c r="B1021" s="28" t="str">
        <f>IFERROR(__xludf.DUMMYFUNCTION("""COMPUTED_VALUE"""),"RDV JM BALVANERA 28/4")</f>
        <v>RDV JM BALVANERA 28/4</v>
      </c>
      <c r="C1021" s="29" t="str">
        <f>IFERROR(__xludf.DUMMYFUNCTION("""COMPUTED_VALUE"""),"Pieza")</f>
        <v>Pieza</v>
      </c>
      <c r="D1021" s="28" t="str">
        <f>IFERROR(__xludf.DUMMYFUNCTION("""COMPUTED_VALUE"""),"2815-ABRCULGC")</f>
        <v>2815-ABRCULGC</v>
      </c>
      <c r="E1021" s="28" t="str">
        <f>IFERROR(__xludf.DUMMYFUNCTION("""COMPUTED_VALUE"""),"Feria del Libro 2026")</f>
        <v>Feria del Libro 2026</v>
      </c>
      <c r="F1021" s="29" t="str">
        <f>IFERROR(__xludf.DUMMYFUNCTION("""COMPUTED_VALUE"""),"https://www.facebook.com/GCBA/posts/pfbid02EGieDwStu2PGiKTnZesCmuHGGmG1MJU4mZgTi3ozRyiy5vTM15y9FLWAJzqfY1mBl")</f>
        <v>https://www.facebook.com/GCBA/posts/pfbid02EGieDwStu2PGiKTnZesCmuHGGmG1MJU4mZgTi3ozRyiy5vTM15y9FLWAJzqfY1mBl</v>
      </c>
    </row>
    <row r="1022">
      <c r="A1022" s="28" t="str">
        <f>IFERROR(__xludf.DUMMYFUNCTION("""COMPUTED_VALUE"""),"2852-ABRINFGC")</f>
        <v>2852-ABRINFGC</v>
      </c>
      <c r="B1022" s="28" t="str">
        <f>IFERROR(__xludf.DUMMYFUNCTION("""COMPUTED_VALUE"""),"INFRAESTRUCTURA | Cortes y desvíos por Evento Colapinto")</f>
        <v>INFRAESTRUCTURA | Cortes y desvíos por Evento Colapinto</v>
      </c>
      <c r="C1022" s="29" t="str">
        <f>IFERROR(__xludf.DUMMYFUNCTION("""COMPUTED_VALUE"""),"Pieza")</f>
        <v>Pieza</v>
      </c>
      <c r="D1022" s="28" t="str">
        <f>IFERROR(__xludf.DUMMYFUNCTION("""COMPUTED_VALUE"""),"2900-ABREDUGC")</f>
        <v>2900-ABREDUGC</v>
      </c>
      <c r="E1022" s="28" t="str">
        <f>IFERROR(__xludf.DUMMYFUNCTION("""COMPUTED_VALUE"""),"NUEVA SEDE TUMO NUÑEZ")</f>
        <v>NUEVA SEDE TUMO NUÑEZ</v>
      </c>
      <c r="F1022" s="29" t="str">
        <f>IFERROR(__xludf.DUMMYFUNCTION("""COMPUTED_VALUE"""),"https://www.facebook.com/GCBA/posts/pfbid02oc4eGpxiTuWbRHkbF7CMFJgXHy2yjdoztoFr8hDs9YJLbAr91HSjsiqNqAK4F7opl")</f>
        <v>https://www.facebook.com/GCBA/posts/pfbid02oc4eGpxiTuWbRHkbF7CMFJgXHy2yjdoztoFr8hDs9YJLbAr91HSjsiqNqAK4F7opl</v>
      </c>
    </row>
    <row r="1023">
      <c r="A1023" s="28" t="str">
        <f>IFERROR(__xludf.DUMMYFUNCTION("""COMPUTED_VALUE"""),"2922-ABREPHVC")</f>
        <v>2922-ABREPHVC</v>
      </c>
      <c r="B1023" s="28" t="str">
        <f>IFERROR(__xludf.DUMMYFUNCTION("""COMPUTED_VALUE"""),"RDV MINISTROS | IGNACIO BAISTROCCHI  27/4 COMUNA 10")</f>
        <v>RDV MINISTROS | IGNACIO BAISTROCCHI  27/4 COMUNA 10</v>
      </c>
      <c r="C1023" s="29" t="str">
        <f>IFERROR(__xludf.DUMMYFUNCTION("""COMPUTED_VALUE"""),"Pieza")</f>
        <v>Pieza</v>
      </c>
      <c r="D1023" s="28" t="str">
        <f>IFERROR(__xludf.DUMMYFUNCTION("""COMPUTED_VALUE"""),"3041-MAYINFGC")</f>
        <v>3041-MAYINFGC</v>
      </c>
      <c r="E1023" s="28" t="str">
        <f>IFERROR(__xludf.DUMMYFUNCTION("""COMPUTED_VALUE""")," INFRAESTRUCTURA | Corte de tránsito por Duatlón")</f>
        <v> INFRAESTRUCTURA | Corte de tránsito por Duatlón</v>
      </c>
      <c r="F1023" s="29" t="str">
        <f>IFERROR(__xludf.DUMMYFUNCTION("""COMPUTED_VALUE"""),"https://fb.me/adspreview/facebook/qyoI6VfQlN9eSCR")</f>
        <v>https://fb.me/adspreview/facebook/qyoI6VfQlN9eSCR</v>
      </c>
    </row>
    <row r="1024">
      <c r="A1024" s="28" t="str">
        <f>IFERROR(__xludf.DUMMYFUNCTION("""COMPUTED_VALUE"""),"2923-ABRJDGVC")</f>
        <v>2923-ABRJDGVC</v>
      </c>
      <c r="B1024" s="28" t="str">
        <f>IFERROR(__xludf.DUMMYFUNCTION("""COMPUTED_VALUE"""),"RDV MINISTROS | GABRIEL SÁNCHEZ ZINNY  27/4 VILLA LUGANO")</f>
        <v>RDV MINISTROS | GABRIEL SÁNCHEZ ZINNY  27/4 VILLA LUGANO</v>
      </c>
      <c r="C1024" s="29" t="str">
        <f>IFERROR(__xludf.DUMMYFUNCTION("""COMPUTED_VALUE"""),"Pieza")</f>
        <v>Pieza</v>
      </c>
      <c r="D1024" s="28" t="str">
        <f>IFERROR(__xludf.DUMMYFUNCTION("""COMPUTED_VALUE"""),"3035-MAYJDGAG")</f>
        <v>3035-MAYJDGAG</v>
      </c>
      <c r="E1024" s="28" t="str">
        <f>IFERROR(__xludf.DUMMYFUNCTION("""COMPUTED_VALUE"""),"1 A 1 JM | Comuna 4 22/05")</f>
        <v>1 A 1 JM | Comuna 4 22/05</v>
      </c>
      <c r="F1024" s="29" t="str">
        <f>IFERROR(__xludf.DUMMYFUNCTION("""COMPUTED_VALUE"""),"https://www.facebook.com/GCBA/posts/pfbid0huhtVvM2wGsnS6Tn4qvs9bifh35JSbYkVvsT81dLqZXDA8gA5VNEYq5LE1TS1BXhl")</f>
        <v>https://www.facebook.com/GCBA/posts/pfbid0huhtVvM2wGsnS6Tn4qvs9bifh35JSbYkVvsT81dLqZXDA8gA5VNEYq5LE1TS1BXhl</v>
      </c>
    </row>
    <row r="1025">
      <c r="A1025" s="28" t="str">
        <f>IFERROR(__xludf.DUMMYFUNCTION("""COMPUTED_VALUE"""),"2909-ABRJDGAG")</f>
        <v>2909-ABRJDGAG</v>
      </c>
      <c r="B1025" s="28" t="str">
        <f>IFERROR(__xludf.DUMMYFUNCTION("""COMPUTED_VALUE"""),"RDV JM Primera Persona | Comuna 1 27/04 Gastón Pauls")</f>
        <v>RDV JM Primera Persona | Comuna 1 27/04 Gastón Pauls</v>
      </c>
      <c r="C1025" s="29" t="str">
        <f>IFERROR(__xludf.DUMMYFUNCTION("""COMPUTED_VALUE"""),"Pieza")</f>
        <v>Pieza</v>
      </c>
      <c r="D1025" s="28" t="str">
        <f>IFERROR(__xludf.DUMMYFUNCTION("""COMPUTED_VALUE"""),"3042-MAYINFGC")</f>
        <v>3042-MAYINFGC</v>
      </c>
      <c r="E1025" s="28" t="str">
        <f>IFERROR(__xludf.DUMMYFUNCTION("""COMPUTED_VALUE"""),"INFRAESTRUCTURA | Corte de tránsito por BA Celebra Europa")</f>
        <v>INFRAESTRUCTURA | Corte de tránsito por BA Celebra Europa</v>
      </c>
      <c r="F1025" s="29" t="str">
        <f>IFERROR(__xludf.DUMMYFUNCTION("""COMPUTED_VALUE"""),"https://fb.me/adspreview/facebook/1TRzHvWq8RXQ8WU")</f>
        <v>https://fb.me/adspreview/facebook/1TRzHvWq8RXQ8WU</v>
      </c>
    </row>
    <row r="1026">
      <c r="A1026" s="28" t="str">
        <f>IFERROR(__xludf.DUMMYFUNCTION("""COMPUTED_VALUE"""),"2909-ABRJDGAG")</f>
        <v>2909-ABRJDGAG</v>
      </c>
      <c r="B1026" s="28" t="str">
        <f>IFERROR(__xludf.DUMMYFUNCTION("""COMPUTED_VALUE"""),"RDV JM Primera Persona | Comuna 1 27/04 Gastón Pauls")</f>
        <v>RDV JM Primera Persona | Comuna 1 27/04 Gastón Pauls</v>
      </c>
      <c r="C1026" s="29" t="str">
        <f>IFERROR(__xludf.DUMMYFUNCTION("""COMPUTED_VALUE"""),"Pieza")</f>
        <v>Pieza</v>
      </c>
      <c r="D1026" s="28" t="str">
        <f>IFERROR(__xludf.DUMMYFUNCTION("""COMPUTED_VALUE"""),"3017-MAYAMBGC")</f>
        <v>3017-MAYAMBGC</v>
      </c>
      <c r="E1026" s="28" t="str">
        <f>IFERROR(__xludf.DUMMYFUNCTION("""COMPUTED_VALUE"""),"Animales BA: Nuevos servicios en la web")</f>
        <v>Animales BA: Nuevos servicios en la web</v>
      </c>
      <c r="F1026" s="29" t="str">
        <f>IFERROR(__xludf.DUMMYFUNCTION("""COMPUTED_VALUE"""),"https://www.facebook.com/GCBA/posts/pfbid02KByZYYTKe4Kj2HbuZR8a5mv7ptRq1E2aWhAC6TFrkcBbVwgWAfwyCP2uWbLnUjXol")</f>
        <v>https://www.facebook.com/GCBA/posts/pfbid02KByZYYTKe4Kj2HbuZR8a5mv7ptRq1E2aWhAC6TFrkcBbVwgWAfwyCP2uWbLnUjXol</v>
      </c>
    </row>
    <row r="1027">
      <c r="A1027" s="28" t="str">
        <f>IFERROR(__xludf.DUMMYFUNCTION("""COMPUTED_VALUE"""),"2813-ABRDUDGC")</f>
        <v>2813-ABRDUDGC</v>
      </c>
      <c r="B1027" s="28" t="str">
        <f>IFERROR(__xludf.DUMMYFUNCTION("""COMPUTED_VALUE"""),"Evento Colapinto")</f>
        <v>Evento Colapinto</v>
      </c>
      <c r="C1027" s="29" t="str">
        <f>IFERROR(__xludf.DUMMYFUNCTION("""COMPUTED_VALUE"""),"Pieza")</f>
        <v>Pieza</v>
      </c>
      <c r="D1027" s="28" t="str">
        <f>IFERROR(__xludf.DUMMYFUNCTION("""COMPUTED_VALUE"""),"2956-ABRSALGC")</f>
        <v>2956-ABRSALGC</v>
      </c>
      <c r="E1027" s="28" t="str">
        <f>IFERROR(__xludf.DUMMYFUNCTION("""COMPUTED_VALUE""")," Centro Regional de Hemoterapia - Durante de obra")</f>
        <v> Centro Regional de Hemoterapia - Durante de obra</v>
      </c>
      <c r="F1027" s="29" t="str">
        <f>IFERROR(__xludf.DUMMYFUNCTION("""COMPUTED_VALUE"""),"https://www.facebook.com/reel/1590318498709651/")</f>
        <v>https://www.facebook.com/reel/1590318498709651/</v>
      </c>
    </row>
    <row r="1028">
      <c r="A1028" s="28" t="str">
        <f>IFERROR(__xludf.DUMMYFUNCTION("""COMPUTED_VALUE"""),"2813-ABRDUDGC")</f>
        <v>2813-ABRDUDGC</v>
      </c>
      <c r="B1028" s="28" t="str">
        <f>IFERROR(__xludf.DUMMYFUNCTION("""COMPUTED_VALUE"""),"Evento Colapinto")</f>
        <v>Evento Colapinto</v>
      </c>
      <c r="C1028" s="29" t="str">
        <f>IFERROR(__xludf.DUMMYFUNCTION("""COMPUTED_VALUE"""),"Pieza")</f>
        <v>Pieza</v>
      </c>
      <c r="D1028" s="28" t="str">
        <f>IFERROR(__xludf.DUMMYFUNCTION("""COMPUTED_VALUE"""),"2956-ABRSALGC")</f>
        <v>2956-ABRSALGC</v>
      </c>
      <c r="E1028" s="28" t="str">
        <f>IFERROR(__xludf.DUMMYFUNCTION("""COMPUTED_VALUE""")," Centro Regional de Hemoterapia - Durante de obra")</f>
        <v> Centro Regional de Hemoterapia - Durante de obra</v>
      </c>
      <c r="F1028" s="29" t="str">
        <f>IFERROR(__xludf.DUMMYFUNCTION("""COMPUTED_VALUE"""),"https://www.facebook.com/reel/1590318498709651/")</f>
        <v>https://www.facebook.com/reel/1590318498709651/</v>
      </c>
    </row>
    <row r="1029">
      <c r="A1029" s="28" t="str">
        <f>IFERROR(__xludf.DUMMYFUNCTION("""COMPUTED_VALUE"""),"2916-ABRPCCVC")</f>
        <v>2916-ABRPCCVC</v>
      </c>
      <c r="B1029" s="28" t="str">
        <f>IFERROR(__xludf.DUMMYFUNCTION("""COMPUTED_VALUE"""),"Mes del compostaje")</f>
        <v>Mes del compostaje</v>
      </c>
      <c r="C1029" s="29" t="str">
        <f>IFERROR(__xludf.DUMMYFUNCTION("""COMPUTED_VALUE"""),"Pieza")</f>
        <v>Pieza</v>
      </c>
      <c r="D1029" s="28" t="str">
        <f>IFERROR(__xludf.DUMMYFUNCTION("""COMPUTED_VALUE"""),"2998-MAYFESGC")</f>
        <v>2998-MAYFESGC</v>
      </c>
      <c r="E1029" s="28" t="str">
        <f>IFERROR(__xludf.DUMMYFUNCTION("""COMPUTED_VALUE"""),"La noche del Obelisco : 90 años")</f>
        <v>La noche del Obelisco : 90 años</v>
      </c>
      <c r="F1029" s="29" t="str">
        <f>IFERROR(__xludf.DUMMYFUNCTION("""COMPUTED_VALUE"""),"https://www.facebook.com/GCBA/posts/pfbid06U9dsRcCSya23RratQKfB5rFy7uQyMQzgwoEaiHX8xrz2KH75AChLPST7uKpyQmVl")</f>
        <v>https://www.facebook.com/GCBA/posts/pfbid06U9dsRcCSya23RratQKfB5rFy7uQyMQzgwoEaiHX8xrz2KH75AChLPST7uKpyQmVl</v>
      </c>
    </row>
    <row r="1030">
      <c r="A1030" s="28" t="str">
        <f>IFERROR(__xludf.DUMMYFUNCTION("""COMPUTED_VALUE"""),"2933-ABRSEGVC")</f>
        <v>2933-ABRSEGVC</v>
      </c>
      <c r="B1030" s="28" t="str">
        <f>IFERROR(__xludf.DUMMYFUNCTION("""COMPUTED_VALUE"""),"RDV MINISTROS | Ruth Landerreche 30/4 Comuna 12")</f>
        <v>RDV MINISTROS | Ruth Landerreche 30/4 Comuna 12</v>
      </c>
      <c r="C1030" s="29" t="str">
        <f>IFERROR(__xludf.DUMMYFUNCTION("""COMPUTED_VALUE"""),"Pieza")</f>
        <v>Pieza</v>
      </c>
      <c r="D1030" s="28" t="str">
        <f>IFERROR(__xludf.DUMMYFUNCTION("""COMPUTED_VALUE"""),"3051-MAYSEGGJ")</f>
        <v>3051-MAYSEGGJ</v>
      </c>
      <c r="E1030" s="28" t="str">
        <f>IFERROR(__xludf.DUMMYFUNCTION("""COMPUTED_VALUE"""),"Operativo Tormenta Negra")</f>
        <v>Operativo Tormenta Negra</v>
      </c>
      <c r="F1030" s="29" t="str">
        <f>IFERROR(__xludf.DUMMYFUNCTION("""COMPUTED_VALUE"""),"https://www.facebook.com/reel/1000083625809942/")</f>
        <v>https://www.facebook.com/reel/1000083625809942/</v>
      </c>
    </row>
    <row r="1031">
      <c r="A1031" s="28" t="str">
        <f>IFERROR(__xludf.DUMMYFUNCTION("""COMPUTED_VALUE"""),"2921-ABRVINVC")</f>
        <v>2921-ABRVINVC</v>
      </c>
      <c r="B1031" s="28" t="str">
        <f>IFERROR(__xludf.DUMMYFUNCTION("""COMPUTED_VALUE"""),"CAMPAÑA GCBA | VINCULO CIUDADANO | Mas servicios en tu barrio 2026: Coghlan 30/4")</f>
        <v>CAMPAÑA GCBA | VINCULO CIUDADANO | Mas servicios en tu barrio 2026: Coghlan 30/4</v>
      </c>
      <c r="C1031" s="29" t="str">
        <f>IFERROR(__xludf.DUMMYFUNCTION("""COMPUTED_VALUE"""),"Pieza")</f>
        <v>Pieza</v>
      </c>
      <c r="D1031" s="28" t="str">
        <f>IFERROR(__xludf.DUMMYFUNCTION("""COMPUTED_VALUE"""),"3034-MAYJDGAG")</f>
        <v>3034-MAYJDGAG</v>
      </c>
      <c r="E1031" s="28" t="str">
        <f>IFERROR(__xludf.DUMMYFUNCTION("""COMPUTED_VALUE"""),"RDV JM TEMÁTICA | TE CUENTO BS AS 21/05 MOVILIDAD EJE OESTE")</f>
        <v>RDV JM TEMÁTICA | TE CUENTO BS AS 21/05 MOVILIDAD EJE OESTE</v>
      </c>
      <c r="F1031" s="29" t="str">
        <f>IFERROR(__xludf.DUMMYFUNCTION("""COMPUTED_VALUE"""),"https://www.facebook.com/GCBA/posts/pfbid02a12FFVZSMZjQ3ZJfe2Ss5pqzSM8cvYyREmX99cqDxCiUDTRUWmrKMethJ8WXNsAyl")</f>
        <v>https://www.facebook.com/GCBA/posts/pfbid02a12FFVZSMZjQ3ZJfe2Ss5pqzSM8cvYyREmX99cqDxCiUDTRUWmrKMethJ8WXNsAyl</v>
      </c>
    </row>
    <row r="1032">
      <c r="A1032" s="28" t="str">
        <f>IFERROR(__xludf.DUMMYFUNCTION("""COMPUTED_VALUE"""),"2880-ABRJDGVC")</f>
        <v>2880-ABRJDGVC</v>
      </c>
      <c r="B1032" s="28" t="str">
        <f>IFERROR(__xludf.DUMMYFUNCTION("""COMPUTED_VALUE"""),"RDV MINISTROS | GABRIEL SÁNCHEZ ZINNY 24/4  BELGRANO")</f>
        <v>RDV MINISTROS | GABRIEL SÁNCHEZ ZINNY 24/4  BELGRANO</v>
      </c>
      <c r="C1032" s="29" t="str">
        <f>IFERROR(__xludf.DUMMYFUNCTION("""COMPUTED_VALUE"""),"Pieza")</f>
        <v>Pieza</v>
      </c>
      <c r="D1032" s="28" t="str">
        <f>IFERROR(__xludf.DUMMYFUNCTION("""COMPUTED_VALUE"""),"3034-MAYJDGAG")</f>
        <v>3034-MAYJDGAG</v>
      </c>
      <c r="E1032" s="28" t="str">
        <f>IFERROR(__xludf.DUMMYFUNCTION("""COMPUTED_VALUE"""),"RDV JM TEMÁTICA | TE CUENTO BS AS 21/05 MOVILIDAD EJE OESTE")</f>
        <v>RDV JM TEMÁTICA | TE CUENTO BS AS 21/05 MOVILIDAD EJE OESTE</v>
      </c>
      <c r="F1032" s="29" t="str">
        <f>IFERROR(__xludf.DUMMYFUNCTION("""COMPUTED_VALUE"""),"https://www.facebook.com/GCBA/posts/pfbid02a12FFVZSMZjQ3ZJfe2Ss5pqzSM8cvYyREmX99cqDxCiUDTRUWmrKMethJ8WXNsAyl")</f>
        <v>https://www.facebook.com/GCBA/posts/pfbid02a12FFVZSMZjQ3ZJfe2Ss5pqzSM8cvYyREmX99cqDxCiUDTRUWmrKMethJ8WXNsAyl</v>
      </c>
    </row>
    <row r="1033">
      <c r="A1033" s="28" t="str">
        <f>IFERROR(__xludf.DUMMYFUNCTION("""COMPUTED_VALUE"""),"2936-ABRSEGVC")</f>
        <v>2936-ABRSEGVC</v>
      </c>
      <c r="B1033" s="28" t="str">
        <f>IFERROR(__xludf.DUMMYFUNCTION("""COMPUTED_VALUE"""),"RDV MINISTROS | Gabino Tapia 30/4 Comuna 14")</f>
        <v>RDV MINISTROS | Gabino Tapia 30/4 Comuna 14</v>
      </c>
      <c r="C1033" s="29" t="str">
        <f>IFERROR(__xludf.DUMMYFUNCTION("""COMPUTED_VALUE"""),"Pieza")</f>
        <v>Pieza</v>
      </c>
      <c r="D1033" s="28" t="str">
        <f>IFERROR(__xludf.DUMMYFUNCTION("""COMPUTED_VALUE"""),"3029-MAYSEGGJ")</f>
        <v>3029-MAYSEGGJ</v>
      </c>
      <c r="E1033" s="28" t="str">
        <f>IFERROR(__xludf.DUMMYFUNCTION("""COMPUTED_VALUE""")," Seguridad I Desmantelamiento búnker en la Villa 31")</f>
        <v> Seguridad I Desmantelamiento búnker en la Villa 31</v>
      </c>
      <c r="F1033" s="29" t="str">
        <f>IFERROR(__xludf.DUMMYFUNCTION("""COMPUTED_VALUE"""),"https://www.facebook.com/reel/1303979117863829/")</f>
        <v>https://www.facebook.com/reel/1303979117863829/</v>
      </c>
    </row>
    <row r="1034">
      <c r="A1034" s="28" t="str">
        <f>IFERROR(__xludf.DUMMYFUNCTION("""COMPUTED_VALUE"""),"2924-ABRJDGVC")</f>
        <v>2924-ABRJDGVC</v>
      </c>
      <c r="B1034" s="28" t="str">
        <f>IFERROR(__xludf.DUMMYFUNCTION("""COMPUTED_VALUE"""),"RDV MINISTROS | GABRIEL SÁNCHEZ ZINNY 28/4 COLEGIALES")</f>
        <v>RDV MINISTROS | GABRIEL SÁNCHEZ ZINNY 28/4 COLEGIALES</v>
      </c>
      <c r="C1034" s="29" t="str">
        <f>IFERROR(__xludf.DUMMYFUNCTION("""COMPUTED_VALUE"""),"pieza")</f>
        <v>pieza</v>
      </c>
      <c r="D1034" s="28" t="str">
        <f>IFERROR(__xludf.DUMMYFUNCTION("""COMPUTED_VALUE"""),"3029-MAYSEGGJ")</f>
        <v>3029-MAYSEGGJ</v>
      </c>
      <c r="E1034" s="28" t="str">
        <f>IFERROR(__xludf.DUMMYFUNCTION("""COMPUTED_VALUE""")," Seguridad I Desmantelamiento búnker en la Villa 31")</f>
        <v> Seguridad I Desmantelamiento búnker en la Villa 31</v>
      </c>
      <c r="F1034" s="29" t="str">
        <f>IFERROR(__xludf.DUMMYFUNCTION("""COMPUTED_VALUE"""),"https://www.facebook.com/reel/1303979117863829/")</f>
        <v>https://www.facebook.com/reel/1303979117863829/</v>
      </c>
    </row>
    <row r="1035">
      <c r="A1035" s="28" t="str">
        <f>IFERROR(__xludf.DUMMYFUNCTION("""COMPUTED_VALUE"""),"2937-ABRSEGVC")</f>
        <v>2937-ABRSEGVC</v>
      </c>
      <c r="B1035" s="28" t="str">
        <f>IFERROR(__xludf.DUMMYFUNCTION("""COMPUTED_VALUE"""),"RDV MINISTROS | Horacio Giménez 30/4 Comuna 15")</f>
        <v>RDV MINISTROS | Horacio Giménez 30/4 Comuna 15</v>
      </c>
      <c r="C1035" s="29" t="str">
        <f>IFERROR(__xludf.DUMMYFUNCTION("""COMPUTED_VALUE"""),"Pieza")</f>
        <v>Pieza</v>
      </c>
      <c r="D1035" s="28" t="str">
        <f>IFERROR(__xludf.DUMMYFUNCTION("""COMPUTED_VALUE"""),"3049-MAYSEGVC")</f>
        <v>3049-MAYSEGVC</v>
      </c>
      <c r="E1035" s="28" t="str">
        <f>IFERROR(__xludf.DUMMYFUNCTION("""COMPUTED_VALUE"""),"RDV MINISTROS SEGURIDAD | RUTH LANDERRECHE 21/5 COMUNA 4")</f>
        <v>RDV MINISTROS SEGURIDAD | RUTH LANDERRECHE 21/5 COMUNA 4</v>
      </c>
      <c r="F1035" s="28"/>
    </row>
    <row r="1036">
      <c r="A1036" s="28" t="str">
        <f>IFERROR(__xludf.DUMMYFUNCTION("""COMPUTED_VALUE"""),"2898-ABRTURGC")</f>
        <v>2898-ABRTURGC</v>
      </c>
      <c r="B1036" s="28" t="str">
        <f>IFERROR(__xludf.DUMMYFUNCTION("""COMPUTED_VALUE"""),"Sondeo Hotelero por fin de semana largo de mayo")</f>
        <v>Sondeo Hotelero por fin de semana largo de mayo</v>
      </c>
      <c r="C1036" s="29" t="str">
        <f>IFERROR(__xludf.DUMMYFUNCTION("""COMPUTED_VALUE"""),"Pieza")</f>
        <v>Pieza</v>
      </c>
      <c r="D1036" s="28" t="str">
        <f>IFERROR(__xludf.DUMMYFUNCTION("""COMPUTED_VALUE"""),"3050-MAYSEGVC")</f>
        <v>3050-MAYSEGVC</v>
      </c>
      <c r="E1036" s="28" t="str">
        <f>IFERROR(__xludf.DUMMYFUNCTION("""COMPUTED_VALUE"""),"RDV MINISTROS SEGURIDAD | HORACIO GIMÉNEZ 21/5 COMUNA 8")</f>
        <v>RDV MINISTROS SEGURIDAD | HORACIO GIMÉNEZ 21/5 COMUNA 8</v>
      </c>
      <c r="F1036" s="28"/>
    </row>
    <row r="1037">
      <c r="A1037" s="28" t="str">
        <f>IFERROR(__xludf.DUMMYFUNCTION("""COMPUTED_VALUE"""),"1895-SEPEPHGC")</f>
        <v>1895-SEPEPHGC</v>
      </c>
      <c r="B1037" s="28" t="str">
        <f>IFERROR(__xludf.DUMMYFUNCTION("""COMPUTED_VALUE"""),"PIEZAS M2 | MEPHU | REPAVIMENTACIÓN")</f>
        <v>PIEZAS M2 | MEPHU | REPAVIMENTACIÓN</v>
      </c>
      <c r="C1037" s="29" t="str">
        <f>IFERROR(__xludf.DUMMYFUNCTION("""COMPUTED_VALUE"""),"Pieza")</f>
        <v>Pieza</v>
      </c>
      <c r="D1037" s="28" t="str">
        <f>IFERROR(__xludf.DUMMYFUNCTION("""COMPUTED_VALUE"""),"3046-MAYSEGVC")</f>
        <v>3046-MAYSEGVC</v>
      </c>
      <c r="E1037" s="28" t="str">
        <f>IFERROR(__xludf.DUMMYFUNCTION("""COMPUTED_VALUE"""),"RDV Ministros | Gabino Tapia 21/5 Comuna 10")</f>
        <v>RDV Ministros | Gabino Tapia 21/5 Comuna 10</v>
      </c>
      <c r="F1037" s="28"/>
    </row>
    <row r="1038">
      <c r="A1038" s="28" t="str">
        <f>IFERROR(__xludf.DUMMYFUNCTION("""COMPUTED_VALUE"""),"2908-ABRSALGC")</f>
        <v>2908-ABRSALGC</v>
      </c>
      <c r="B1038" s="28" t="str">
        <f>IFERROR(__xludf.DUMMYFUNCTION("""COMPUTED_VALUE"""),"Hospital Muñiz - Fin de obra")</f>
        <v>Hospital Muñiz - Fin de obra</v>
      </c>
      <c r="C1038" s="29" t="str">
        <f>IFERROR(__xludf.DUMMYFUNCTION("""COMPUTED_VALUE"""),"Pieza")</f>
        <v>Pieza</v>
      </c>
      <c r="D1038" s="28" t="str">
        <f>IFERROR(__xludf.DUMMYFUNCTION("""COMPUTED_VALUE"""),"3047-MAYSEGVC")</f>
        <v>3047-MAYSEGVC</v>
      </c>
      <c r="E1038" s="28" t="str">
        <f>IFERROR(__xludf.DUMMYFUNCTION("""COMPUTED_VALUE"""),"RDV Ministros | Maximiliano Piñeiro Comuna 11")</f>
        <v>RDV Ministros | Maximiliano Piñeiro Comuna 11</v>
      </c>
      <c r="F1038" s="28"/>
    </row>
    <row r="1039">
      <c r="A1039" s="28" t="str">
        <f>IFERROR(__xludf.DUMMYFUNCTION("""COMPUTED_VALUE"""),"1946-SEPEPHGC")</f>
        <v>1946-SEPEPHGC</v>
      </c>
      <c r="B1039" s="28" t="str">
        <f>IFERROR(__xludf.DUMMYFUNCTION("""COMPUTED_VALUE"""),"CAMPAÑA GCBA | MEPHU  | PLUVIALES")</f>
        <v>CAMPAÑA GCBA | MEPHU  | PLUVIALES</v>
      </c>
      <c r="C1039" s="29" t="str">
        <f>IFERROR(__xludf.DUMMYFUNCTION("""COMPUTED_VALUE"""),"Pieza")</f>
        <v>Pieza</v>
      </c>
      <c r="D1039" s="28" t="str">
        <f>IFERROR(__xludf.DUMMYFUNCTION("""COMPUTED_VALUE"""),"2957-ABRSEGGJ")</f>
        <v>2957-ABRSEGGJ</v>
      </c>
      <c r="E1039" s="28" t="str">
        <f>IFERROR(__xludf.DUMMYFUNCTION("""COMPUTED_VALUE"""),"Desalojo de un taller clandestino en Parque Chas")</f>
        <v>Desalojo de un taller clandestino en Parque Chas</v>
      </c>
      <c r="F1039" s="29" t="str">
        <f>IFERROR(__xludf.DUMMYFUNCTION("""COMPUTED_VALUE"""),"https://www.facebook.com/GCBA/posts/pfbid02HcEpZ4qXy9tSUmWmhFECdEBMEEypzXRaEHr8wrQGJ4tE1ML1sNV2V5RTo2hHAsfUl")</f>
        <v>https://www.facebook.com/GCBA/posts/pfbid02HcEpZ4qXy9tSUmWmhFECdEBMEEypzXRaEHr8wrQGJ4tE1ML1sNV2V5RTo2hHAsfUl</v>
      </c>
    </row>
    <row r="1040">
      <c r="A1040" s="28" t="str">
        <f>IFERROR(__xludf.DUMMYFUNCTION("""COMPUTED_VALUE"""),"2932-ABRJDGAG")</f>
        <v>2932-ABRJDGAG</v>
      </c>
      <c r="B1040" s="28" t="str">
        <f>IFERROR(__xludf.DUMMYFUNCTION("""COMPUTED_VALUE"""),"RDV JM BALVANERA 28/4")</f>
        <v>RDV JM BALVANERA 28/4</v>
      </c>
      <c r="C1040" s="29" t="str">
        <f>IFERROR(__xludf.DUMMYFUNCTION("""COMPUTED_VALUE"""),"Pieza")</f>
        <v>Pieza</v>
      </c>
      <c r="D1040" s="28" t="str">
        <f>IFERROR(__xludf.DUMMYFUNCTION("""COMPUTED_VALUE"""),"2957-ABRSEGGJ")</f>
        <v>2957-ABRSEGGJ</v>
      </c>
      <c r="E1040" s="28" t="str">
        <f>IFERROR(__xludf.DUMMYFUNCTION("""COMPUTED_VALUE"""),"Desalojo de un taller clandestino en Parque Chas")</f>
        <v>Desalojo de un taller clandestino en Parque Chas</v>
      </c>
      <c r="F1040" s="29" t="str">
        <f>IFERROR(__xludf.DUMMYFUNCTION("""COMPUTED_VALUE"""),"https://www.facebook.com/GCBA/posts/pfbid02HcEpZ4qXy9tSUmWmhFECdEBMEEypzXRaEHr8wrQGJ4tE1ML1sNV2V5RTo2hHAsfUl")</f>
        <v>https://www.facebook.com/GCBA/posts/pfbid02HcEpZ4qXy9tSUmWmhFECdEBMEEypzXRaEHr8wrQGJ4tE1ML1sNV2V5RTo2hHAsfUl</v>
      </c>
    </row>
    <row r="1041">
      <c r="A1041" s="28" t="str">
        <f>IFERROR(__xludf.DUMMYFUNCTION("""COMPUTED_VALUE"""),"2857-ABRVINVC")</f>
        <v>2857-ABRVINVC</v>
      </c>
      <c r="B1041" s="28" t="str">
        <f>IFERROR(__xludf.DUMMYFUNCTION("""COMPUTED_VALUE"""),"CAMPAÑA GCBA | VINCULO CIUDADANO | Mas servicios en tu barrio 2026: Almagro 20/4")</f>
        <v>CAMPAÑA GCBA | VINCULO CIUDADANO | Mas servicios en tu barrio 2026: Almagro 20/4</v>
      </c>
      <c r="C1041" s="29" t="str">
        <f>IFERROR(__xludf.DUMMYFUNCTION("""COMPUTED_VALUE"""),"Pieza")</f>
        <v>Pieza</v>
      </c>
      <c r="D1041" s="28" t="str">
        <f>IFERROR(__xludf.DUMMYFUNCTION("""COMPUTED_VALUE"""),"3048-MAYSEGGJ")</f>
        <v>3048-MAYSEGGJ</v>
      </c>
      <c r="E1041" s="28" t="str">
        <f>IFERROR(__xludf.DUMMYFUNCTION("""COMPUTED_VALUE"""),"Desalojo N°100 en Balvanera")</f>
        <v>Desalojo N°100 en Balvanera</v>
      </c>
      <c r="F1041" s="29" t="str">
        <f>IFERROR(__xludf.DUMMYFUNCTION("""COMPUTED_VALUE"""),"https://www.facebook.com/reel/1719824132483599")</f>
        <v>https://www.facebook.com/reel/1719824132483599</v>
      </c>
    </row>
    <row r="1042">
      <c r="A1042" s="28" t="str">
        <f>IFERROR(__xludf.DUMMYFUNCTION("""COMPUTED_VALUE"""),"2922-ABREPHVC")</f>
        <v>2922-ABREPHVC</v>
      </c>
      <c r="B1042" s="28" t="str">
        <f>IFERROR(__xludf.DUMMYFUNCTION("""COMPUTED_VALUE"""),"RDV MINISTROS | IGNACIO BAISTROCCHI  27/4 COMUNA 10")</f>
        <v>RDV MINISTROS | IGNACIO BAISTROCCHI  27/4 COMUNA 10</v>
      </c>
      <c r="C1042" s="29" t="str">
        <f>IFERROR(__xludf.DUMMYFUNCTION("""COMPUTED_VALUE"""),"Pieza")</f>
        <v>Pieza</v>
      </c>
      <c r="D1042" s="28" t="str">
        <f>IFERROR(__xludf.DUMMYFUNCTION("""COMPUTED_VALUE"""),"3048-MAYSEGGJ")</f>
        <v>3048-MAYSEGGJ</v>
      </c>
      <c r="E1042" s="28" t="str">
        <f>IFERROR(__xludf.DUMMYFUNCTION("""COMPUTED_VALUE"""),"Desalojo N°100 en Balvanera")</f>
        <v>Desalojo N°100 en Balvanera</v>
      </c>
      <c r="F1042" s="29" t="str">
        <f>IFERROR(__xludf.DUMMYFUNCTION("""COMPUTED_VALUE"""),"https://www.facebook.com/reel/1719824132483599")</f>
        <v>https://www.facebook.com/reel/1719824132483599</v>
      </c>
    </row>
    <row r="1043">
      <c r="A1043" s="28" t="str">
        <f>IFERROR(__xludf.DUMMYFUNCTION("""COMPUTED_VALUE"""),"2946-ABRVINGC")</f>
        <v>2946-ABRVINGC</v>
      </c>
      <c r="B1043" s="28" t="str">
        <f>IFERROR(__xludf.DUMMYFUNCTION("""COMPUTED_VALUE"""),"Mas servicios en tu barrio Nueva Pompeya 2/5")</f>
        <v>Mas servicios en tu barrio Nueva Pompeya 2/5</v>
      </c>
      <c r="C1043" s="29" t="str">
        <f>IFERROR(__xludf.DUMMYFUNCTION("""COMPUTED_VALUE"""),"Pieza")</f>
        <v>Pieza</v>
      </c>
      <c r="D1043" s="28" t="str">
        <f>IFERROR(__xludf.DUMMYFUNCTION("""COMPUTED_VALUE"""),"3057-MAYFESGC")</f>
        <v>3057-MAYFESGC</v>
      </c>
      <c r="E1043" s="28" t="str">
        <f>IFERROR(__xludf.DUMMYFUNCTION("""COMPUTED_VALUE"""),"Sorteo GCBA Entradas Obelisco")</f>
        <v>Sorteo GCBA Entradas Obelisco</v>
      </c>
      <c r="F1043" s="29" t="str">
        <f>IFERROR(__xludf.DUMMYFUNCTION("""COMPUTED_VALUE"""),"https://www.facebook.com/GCBA/posts/pfbid02zcWPtZhb5DmpnPQUbSwYBXw9JWAGMsoYzE8YZHie7PVdcBL5B8dd21dgf2P4Uzg3l")</f>
        <v>https://www.facebook.com/GCBA/posts/pfbid02zcWPtZhb5DmpnPQUbSwYBXw9JWAGMsoYzE8YZHie7PVdcBL5B8dd21dgf2P4Uzg3l</v>
      </c>
    </row>
    <row r="1044">
      <c r="A1044" s="28" t="str">
        <f>IFERROR(__xludf.DUMMYFUNCTION("""COMPUTED_VALUE"""),"2864-ABRINFGC")</f>
        <v>2864-ABRINFGC</v>
      </c>
      <c r="B1044" s="28" t="str">
        <f>IFERROR(__xludf.DUMMYFUNCTION("""COMPUTED_VALUE"""),"DGPLES | Infraestructura | Medidas de seguridad en EcoBici")</f>
        <v>DGPLES | Infraestructura | Medidas de seguridad en EcoBici</v>
      </c>
      <c r="C1044" s="29" t="str">
        <f>IFERROR(__xludf.DUMMYFUNCTION("""COMPUTED_VALUE"""),"Pieza")</f>
        <v>Pieza</v>
      </c>
      <c r="D1044" s="28" t="str">
        <f>IFERROR(__xludf.DUMMYFUNCTION("""COMPUTED_VALUE"""),"3053-MAYFESGC")</f>
        <v>3053-MAYFESGC</v>
      </c>
      <c r="E1044" s="28" t="str">
        <f>IFERROR(__xludf.DUMMYFUNCTION("""COMPUTED_VALUE"""),"Sorteo Linda entradas Complejo sabado Teatral 23/5")</f>
        <v>Sorteo Linda entradas Complejo sabado Teatral 23/5</v>
      </c>
      <c r="F1044" s="29" t="str">
        <f>IFERROR(__xludf.DUMMYFUNCTION("""COMPUTED_VALUE"""),"https://www.facebook.com/lindaenvivo/posts/pfbid0LweiyDNZYMJ7vAHSFdQey9MS4DSwJKwujgJxx2QAqrVZZnnBo8QvWd6VyTfLWiBdl")</f>
        <v>https://www.facebook.com/lindaenvivo/posts/pfbid0LweiyDNZYMJ7vAHSFdQey9MS4DSwJKwujgJxx2QAqrVZZnnBo8QvWd6VyTfLWiBdl</v>
      </c>
    </row>
    <row r="1045">
      <c r="A1045" s="28" t="str">
        <f>IFERROR(__xludf.DUMMYFUNCTION("""COMPUTED_VALUE"""),"2923-ABRJDGVC")</f>
        <v>2923-ABRJDGVC</v>
      </c>
      <c r="B1045" s="28" t="str">
        <f>IFERROR(__xludf.DUMMYFUNCTION("""COMPUTED_VALUE"""),"RDV MINISTROS | GABRIEL SÁNCHEZ ZINNY  27/4 VILLA LUGANO")</f>
        <v>RDV MINISTROS | GABRIEL SÁNCHEZ ZINNY  27/4 VILLA LUGANO</v>
      </c>
      <c r="C1045" s="29" t="str">
        <f>IFERROR(__xludf.DUMMYFUNCTION("""COMPUTED_VALUE"""),"Pieza")</f>
        <v>Pieza</v>
      </c>
      <c r="D1045" s="28" t="str">
        <f>IFERROR(__xludf.DUMMYFUNCTION("""COMPUTED_VALUE"""),"3054-MAYFESGC")</f>
        <v>3054-MAYFESGC</v>
      </c>
      <c r="E1045" s="28" t="str">
        <f>IFERROR(__xludf.DUMMYFUNCTION("""COMPUTED_VALUE"""),"Sorteo Linda entradas Complejo domingo Teatral 24/6")</f>
        <v>Sorteo Linda entradas Complejo domingo Teatral 24/6</v>
      </c>
      <c r="F1045" s="29" t="str">
        <f>IFERROR(__xludf.DUMMYFUNCTION("""COMPUTED_VALUE"""),"https://www.facebook.com/lindaenvivo/posts/pfbid0fvVKe76oWTtnnJy12unQ1G3Rk5KrG5A4fkk9ZsxXafbJqf1b8dmGjXb3tqGsguyBl")</f>
        <v>https://www.facebook.com/lindaenvivo/posts/pfbid0fvVKe76oWTtnnJy12unQ1G3Rk5KrG5A4fkk9ZsxXafbJqf1b8dmGjXb3tqGsguyBl</v>
      </c>
    </row>
    <row r="1046">
      <c r="A1046" s="28" t="str">
        <f>IFERROR(__xludf.DUMMYFUNCTION("""COMPUTED_VALUE"""),"2926-ABREDUVC")</f>
        <v>2926-ABREDUVC</v>
      </c>
      <c r="B1046" s="28" t="str">
        <f>IFERROR(__xludf.DUMMYFUNCTION("""COMPUTED_VALUE"""),"RDV MINISTROS | Mercedes Miguel | 29/4 | comuna 15")</f>
        <v>RDV MINISTROS | Mercedes Miguel | 29/4 | comuna 15</v>
      </c>
      <c r="C1046" s="29" t="str">
        <f>IFERROR(__xludf.DUMMYFUNCTION("""COMPUTED_VALUE"""),"Pieza")</f>
        <v>Pieza</v>
      </c>
      <c r="D1046" s="28" t="str">
        <f>IFERROR(__xludf.DUMMYFUNCTION("""COMPUTED_VALUE"""),"3052-MAYFESGC")</f>
        <v>3052-MAYFESGC</v>
      </c>
      <c r="E1046" s="28" t="str">
        <f>IFERROR(__xludf.DUMMYFUNCTION("""COMPUTED_VALUE"""),"Sorteo Linda entradas Filarmonica viernes 22/5")</f>
        <v>Sorteo Linda entradas Filarmonica viernes 22/5</v>
      </c>
      <c r="F1046" s="29" t="str">
        <f>IFERROR(__xludf.DUMMYFUNCTION("""COMPUTED_VALUE"""),"https://www.facebook.com/GCBA/posts/pfbid0muZPdRHfhwuL5qge1q6LmfYei68f4ZPaD1cPMpKxHCdsfDgdDfhLfCpvcgkWKLHPl")</f>
        <v>https://www.facebook.com/GCBA/posts/pfbid0muZPdRHfhwuL5qge1q6LmfYei68f4ZPaD1cPMpKxHCdsfDgdDfhLfCpvcgkWKLHPl</v>
      </c>
    </row>
    <row r="1047">
      <c r="A1047" s="28" t="str">
        <f>IFERROR(__xludf.DUMMYFUNCTION("""COMPUTED_VALUE"""),"2943-ABRSEGGJ")</f>
        <v>2943-ABRSEGGJ</v>
      </c>
      <c r="B1047" s="28" t="str">
        <f>IFERROR(__xludf.DUMMYFUNCTION("""COMPUTED_VALUE"""),"Desalojo N°700")</f>
        <v>Desalojo N°700</v>
      </c>
      <c r="C1047" s="29" t="str">
        <f>IFERROR(__xludf.DUMMYFUNCTION("""COMPUTED_VALUE"""),"Pieza")</f>
        <v>Pieza</v>
      </c>
      <c r="D1047" s="28" t="str">
        <f>IFERROR(__xludf.DUMMYFUNCTION("""COMPUTED_VALUE"""),"2930-ABRINFGC")</f>
        <v>2930-ABRINFGC</v>
      </c>
      <c r="E1047" s="28" t="str">
        <f>IFERROR(__xludf.DUMMYFUNCTION("""COMPUTED_VALUE""")," Infraestructura: Corte AU Dellepiane por obras hidráulicas")</f>
        <v> Infraestructura: Corte AU Dellepiane por obras hidráulicas</v>
      </c>
      <c r="F1047" s="29" t="str">
        <f>IFERROR(__xludf.DUMMYFUNCTION("""COMPUTED_VALUE"""),"https://fb.me/adspreview/facebook/21SFcpMuCGdv3RC")</f>
        <v>https://fb.me/adspreview/facebook/21SFcpMuCGdv3RC</v>
      </c>
    </row>
    <row r="1048">
      <c r="A1048" s="28" t="str">
        <f>IFERROR(__xludf.DUMMYFUNCTION("""COMPUTED_VALUE"""),"2900-ABREDUGC")</f>
        <v>2900-ABREDUGC</v>
      </c>
      <c r="B1048" s="28" t="str">
        <f>IFERROR(__xludf.DUMMYFUNCTION("""COMPUTED_VALUE"""),"NUEVA SEDE TUMO NUÑEZ")</f>
        <v>NUEVA SEDE TUMO NUÑEZ</v>
      </c>
      <c r="C1048" s="29" t="str">
        <f>IFERROR(__xludf.DUMMYFUNCTION("""COMPUTED_VALUE"""),"Pieza")</f>
        <v>Pieza</v>
      </c>
      <c r="D1048" s="28" t="str">
        <f>IFERROR(__xludf.DUMMYFUNCTION("""COMPUTED_VALUE"""),"3039-MAYJDGVC")</f>
        <v>3039-MAYJDGVC</v>
      </c>
      <c r="E1048" s="28" t="str">
        <f>IFERROR(__xludf.DUMMYFUNCTION("""COMPUTED_VALUE"""),"RDV Ministros | Gabriel Sánchéz Zinny - 22/5 - Villa Urquiza")</f>
        <v>RDV Ministros | Gabriel Sánchéz Zinny - 22/5 - Villa Urquiza</v>
      </c>
      <c r="F1048" s="28"/>
    </row>
    <row r="1049">
      <c r="A1049" s="28" t="str">
        <f>IFERROR(__xludf.DUMMYFUNCTION("""COMPUTED_VALUE"""),"2820-ABRSALGC")</f>
        <v>2820-ABRSALGC</v>
      </c>
      <c r="B1049" s="28" t="str">
        <f>IFERROR(__xludf.DUMMYFUNCTION("""COMPUTED_VALUE"""),"CESAC 51 - Durante de Obra")</f>
        <v>CESAC 51 - Durante de Obra</v>
      </c>
      <c r="C1049" s="29" t="str">
        <f>IFERROR(__xludf.DUMMYFUNCTION("""COMPUTED_VALUE"""),"Pieza")</f>
        <v>Pieza</v>
      </c>
      <c r="D1049" s="28" t="str">
        <f>IFERROR(__xludf.DUMMYFUNCTION("""COMPUTED_VALUE"""),"2961-ABRSEGGJ")</f>
        <v>2961-ABRSEGGJ</v>
      </c>
      <c r="E1049" s="28" t="str">
        <f>IFERROR(__xludf.DUMMYFUNCTION("""COMPUTED_VALUE"""),"Campaña ORDEN Y SEGURIDAD 2026")</f>
        <v>Campaña ORDEN Y SEGURIDAD 2026</v>
      </c>
      <c r="F1049" s="29" t="str">
        <f>IFERROR(__xludf.DUMMYFUNCTION("""COMPUTED_VALUE"""),"https://www.facebook.com/reel/1458725662138823")</f>
        <v>https://www.facebook.com/reel/1458725662138823</v>
      </c>
    </row>
    <row r="1050">
      <c r="A1050" s="28" t="str">
        <f>IFERROR(__xludf.DUMMYFUNCTION("""COMPUTED_VALUE"""),"2883-ABRSEGVC")</f>
        <v>2883-ABRSEGVC</v>
      </c>
      <c r="B1050" s="28" t="str">
        <f>IFERROR(__xludf.DUMMYFUNCTION("""COMPUTED_VALUE"""),"RDV MINISTROS | Maximiliano Piñeiro 23/4 Comuna 9")</f>
        <v>RDV MINISTROS | Maximiliano Piñeiro 23/4 Comuna 9</v>
      </c>
      <c r="C1050" s="29" t="str">
        <f>IFERROR(__xludf.DUMMYFUNCTION("""COMPUTED_VALUE"""),"Pieza")</f>
        <v>Pieza</v>
      </c>
      <c r="D1050" s="28" t="str">
        <f>IFERROR(__xludf.DUMMYFUNCTION("""COMPUTED_VALUE"""),"3057-MAYFESGC")</f>
        <v>3057-MAYFESGC</v>
      </c>
      <c r="E1050" s="28" t="str">
        <f>IFERROR(__xludf.DUMMYFUNCTION("""COMPUTED_VALUE"""),"Sorteo GCBA Entradas Obelisco")</f>
        <v>Sorteo GCBA Entradas Obelisco</v>
      </c>
      <c r="F1050" s="29" t="str">
        <f>IFERROR(__xludf.DUMMYFUNCTION("""COMPUTED_VALUE"""),"https://www.facebook.com/GCBA/posts/pfbid0r4oaosridiutznaCN7d2C8nMt5TW85YUZNxReJvfbHNAwe71jktsWos8EuE6K1iWl")</f>
        <v>https://www.facebook.com/GCBA/posts/pfbid0r4oaosridiutznaCN7d2C8nMt5TW85YUZNxReJvfbHNAwe71jktsWos8EuE6K1iWl</v>
      </c>
    </row>
    <row r="1051">
      <c r="A1051" s="28" t="str">
        <f>IFERROR(__xludf.DUMMYFUNCTION("""COMPUTED_VALUE"""),"2863-ABRSALGC")</f>
        <v>2863-ABRSALGC</v>
      </c>
      <c r="B1051" s="28" t="str">
        <f>IFERROR(__xludf.DUMMYFUNCTION("""COMPUTED_VALUE"""),"CESAC 40 - Fin de obra")</f>
        <v>CESAC 40 - Fin de obra</v>
      </c>
      <c r="C1051" s="29" t="str">
        <f>IFERROR(__xludf.DUMMYFUNCTION("""COMPUTED_VALUE"""),"Pieza")</f>
        <v>Pieza</v>
      </c>
      <c r="D1051" s="28" t="str">
        <f>IFERROR(__xludf.DUMMYFUNCTION("""COMPUTED_VALUE"""),"3052-MAYFESGC")</f>
        <v>3052-MAYFESGC</v>
      </c>
      <c r="E1051" s="28" t="str">
        <f>IFERROR(__xludf.DUMMYFUNCTION("""COMPUTED_VALUE"""),"Sorteo Linda entradas Filarmonica viernes 22/5")</f>
        <v>Sorteo Linda entradas Filarmonica viernes 22/5</v>
      </c>
      <c r="F1051" s="29" t="str">
        <f>IFERROR(__xludf.DUMMYFUNCTION("""COMPUTED_VALUE"""),"https://www.facebook.com/GCBA/posts/pfbid02uALvfqk3SZWZw4wDhygp9yrEvCjmdcYjLLgL7WsNqNRzGQHBf2qzNheXE4nBCXcSl")</f>
        <v>https://www.facebook.com/GCBA/posts/pfbid02uALvfqk3SZWZw4wDhygp9yrEvCjmdcYjLLgL7WsNqNRzGQHBf2qzNheXE4nBCXcSl</v>
      </c>
    </row>
    <row r="1052">
      <c r="A1052" s="28" t="str">
        <f>IFERROR(__xludf.DUMMYFUNCTION("""COMPUTED_VALUE"""),"1946-SEPEPHGC")</f>
        <v>1946-SEPEPHGC</v>
      </c>
      <c r="B1052" s="28" t="str">
        <f>IFERROR(__xludf.DUMMYFUNCTION("""COMPUTED_VALUE"""),"CAMPAÑA GCBA | MEPHU  | PLUVIALES")</f>
        <v>CAMPAÑA GCBA | MEPHU  | PLUVIALES</v>
      </c>
      <c r="C1052" s="29" t="str">
        <f>IFERROR(__xludf.DUMMYFUNCTION("""COMPUTED_VALUE"""),"Pieza")</f>
        <v>Pieza</v>
      </c>
      <c r="D1052" s="28" t="str">
        <f>IFERROR(__xludf.DUMMYFUNCTION("""COMPUTED_VALUE"""),"2961-ABRSEGGJ")</f>
        <v>2961-ABRSEGGJ</v>
      </c>
      <c r="E1052" s="28" t="str">
        <f>IFERROR(__xludf.DUMMYFUNCTION("""COMPUTED_VALUE"""),"Campaña ORDEN Y SEGURIDAD 2026")</f>
        <v>Campaña ORDEN Y SEGURIDAD 2026</v>
      </c>
      <c r="F1052" s="29" t="str">
        <f>IFERROR(__xludf.DUMMYFUNCTION("""COMPUTED_VALUE"""),"https://www.facebook.com/reel/1458725662138823")</f>
        <v>https://www.facebook.com/reel/1458725662138823</v>
      </c>
    </row>
    <row r="1053">
      <c r="A1053" s="28" t="str">
        <f>IFERROR(__xludf.DUMMYFUNCTION("""COMPUTED_VALUE"""),"2935-ABRSEGVC")</f>
        <v>2935-ABRSEGVC</v>
      </c>
      <c r="B1053" s="28" t="str">
        <f>IFERROR(__xludf.DUMMYFUNCTION("""COMPUTED_VALUE"""),"RDV MINISTROS | Maximiliano Piñeiro 30/4 Comuna 13")</f>
        <v>RDV MINISTROS | Maximiliano Piñeiro 30/4 Comuna 13</v>
      </c>
      <c r="C1053" s="29" t="str">
        <f>IFERROR(__xludf.DUMMYFUNCTION("""COMPUTED_VALUE"""),"Pieza")</f>
        <v>Pieza</v>
      </c>
      <c r="D1053" s="28" t="str">
        <f>IFERROR(__xludf.DUMMYFUNCTION("""COMPUTED_VALUE"""),"3069-MAYJDGAG")</f>
        <v>3069-MAYJDGAG</v>
      </c>
      <c r="E1053" s="28" t="str">
        <f>IFERROR(__xludf.DUMMYFUNCTION("""COMPUTED_VALUE"""),"1 A 1 JM | Comuna 7 27/05")</f>
        <v>1 A 1 JM | Comuna 7 27/05</v>
      </c>
      <c r="F1053" s="29" t="str">
        <f>IFERROR(__xludf.DUMMYFUNCTION("""COMPUTED_VALUE"""),"https://www.facebook.com/GCBA/posts/pfbid0YwYACcYV7REW12QV7XvN4q9AbG82Vb6Z2o93wh7M7PWckpyDKSXBr2jBANihNU9Hl")</f>
        <v>https://www.facebook.com/GCBA/posts/pfbid0YwYACcYV7REW12QV7XvN4q9AbG82Vb6Z2o93wh7M7PWckpyDKSXBr2jBANihNU9Hl</v>
      </c>
    </row>
    <row r="1054">
      <c r="A1054" s="28" t="str">
        <f>IFERROR(__xludf.DUMMYFUNCTION("""COMPUTED_VALUE"""),"2914-ABRAMBVC")</f>
        <v>2914-ABRAMBVC</v>
      </c>
      <c r="B1054" s="28" t="str">
        <f>IFERROR(__xludf.DUMMYFUNCTION("""COMPUTED_VALUE"""),"RDV Ministros | Clara Muzzio - 24/4 - Temática")</f>
        <v>RDV Ministros | Clara Muzzio - 24/4 - Temática</v>
      </c>
      <c r="C1054" s="29" t="str">
        <f>IFERROR(__xludf.DUMMYFUNCTION("""COMPUTED_VALUE"""),"Pieza")</f>
        <v>Pieza</v>
      </c>
      <c r="D1054" s="28" t="str">
        <f>IFERROR(__xludf.DUMMYFUNCTION("""COMPUTED_VALUE"""),"2496-ENEVINGC")</f>
        <v>2496-ENEVINGC</v>
      </c>
      <c r="E105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4" s="29" t="str">
        <f>IFERROR(__xludf.DUMMYFUNCTION("""COMPUTED_VALUE"""),"https://www.facebook.com/GCBA/posts/pfbid02jCJ5V7vwaivM77uEP2XSRmbKhMopRwRuWQwt4h5ztYP2XFYy51u9NY9g8S3m29Scl")</f>
        <v>https://www.facebook.com/GCBA/posts/pfbid02jCJ5V7vwaivM77uEP2XSRmbKhMopRwRuWQwt4h5ztYP2XFYy51u9NY9g8S3m29Scl</v>
      </c>
    </row>
    <row r="1055">
      <c r="A1055" s="28" t="str">
        <f>IFERROR(__xludf.DUMMYFUNCTION("""COMPUTED_VALUE"""),"2895-ABRAMBGC")</f>
        <v>2895-ABRAMBGC</v>
      </c>
      <c r="B1055" s="28" t="str">
        <f>IFERROR(__xludf.DUMMYFUNCTION("""COMPUTED_VALUE"""),"RDV Ministros | Clara Muzzio - 22/4")</f>
        <v>RDV Ministros | Clara Muzzio - 22/4</v>
      </c>
      <c r="C1055" s="29" t="str">
        <f>IFERROR(__xludf.DUMMYFUNCTION("""COMPUTED_VALUE"""),"Pieza")</f>
        <v>Pieza</v>
      </c>
      <c r="D1055" s="28" t="str">
        <f>IFERROR(__xludf.DUMMYFUNCTION("""COMPUTED_VALUE"""),"2496-ENEVINGC")</f>
        <v>2496-ENEVINGC</v>
      </c>
      <c r="E1055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5" s="29" t="str">
        <f>IFERROR(__xludf.DUMMYFUNCTION("""COMPUTED_VALUE"""),"https://www.facebook.com/GCBA/posts/pfbid02pApzrZwWLNBWssEwJTLU4EJrk6Uc6X3VYj8yvrDYBuFRUF9Vvnj8YwVKFaaVvWLMl")</f>
        <v>https://www.facebook.com/GCBA/posts/pfbid02pApzrZwWLNBWssEwJTLU4EJrk6Uc6X3VYj8yvrDYBuFRUF9Vvnj8YwVKFaaVvWLMl</v>
      </c>
    </row>
    <row r="1056">
      <c r="A1056" s="28" t="str">
        <f>IFERROR(__xludf.DUMMYFUNCTION("""COMPUTED_VALUE"""),"2925-ABRSALVC")</f>
        <v>2925-ABRSALVC</v>
      </c>
      <c r="B1056" s="28" t="str">
        <f>IFERROR(__xludf.DUMMYFUNCTION("""COMPUTED_VALUE"""),"RDV Ministros | Gabriel Mraida - Comuna 7")</f>
        <v>RDV Ministros | Gabriel Mraida - Comuna 7</v>
      </c>
      <c r="C1056" s="29" t="str">
        <f>IFERROR(__xludf.DUMMYFUNCTION("""COMPUTED_VALUE"""),"Pieza")</f>
        <v>Pieza</v>
      </c>
      <c r="D1056" s="28" t="str">
        <f>IFERROR(__xludf.DUMMYFUNCTION("""COMPUTED_VALUE"""),"2496-ENEVINGC")</f>
        <v>2496-ENEVINGC</v>
      </c>
      <c r="E105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6" s="29" t="str">
        <f>IFERROR(__xludf.DUMMYFUNCTION("""COMPUTED_VALUE"""),"https://www.facebook.com/GCBA/posts/pfbid0CgsdKUyVjKURmmWUT8xNbSaCY2qKNfSvVKyjtYE878vhwVY8aCY4KY2URJXKEfVal")</f>
        <v>https://www.facebook.com/GCBA/posts/pfbid0CgsdKUyVjKURmmWUT8xNbSaCY2qKNfSvVKyjtYE878vhwVY8aCY4KY2URJXKEfVal</v>
      </c>
    </row>
    <row r="1057">
      <c r="A1057" s="28" t="str">
        <f>IFERROR(__xludf.DUMMYFUNCTION("""COMPUTED_VALUE"""),"2813-ABRDUDGC")</f>
        <v>2813-ABRDUDGC</v>
      </c>
      <c r="B1057" s="28" t="str">
        <f>IFERROR(__xludf.DUMMYFUNCTION("""COMPUTED_VALUE"""),"Evento Colapinto")</f>
        <v>Evento Colapinto</v>
      </c>
      <c r="C1057" s="29" t="str">
        <f>IFERROR(__xludf.DUMMYFUNCTION("""COMPUTED_VALUE"""),"Pieza")</f>
        <v>Pieza</v>
      </c>
      <c r="D1057" s="28" t="str">
        <f>IFERROR(__xludf.DUMMYFUNCTION("""COMPUTED_VALUE"""),"2496-ENEVINGC")</f>
        <v>2496-ENEVINGC</v>
      </c>
      <c r="E105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057" s="29" t="str">
        <f>IFERROR(__xludf.DUMMYFUNCTION("""COMPUTED_VALUE"""),"https://www.facebook.com/GCBA/posts/pfbid02DmfhXZQeGdiFZghLh2xYa5U1QmnZgFPXEATCtHJHx8um2UbcbTKcfETEe8SwWwNel")</f>
        <v>https://www.facebook.com/GCBA/posts/pfbid02DmfhXZQeGdiFZghLh2xYa5U1QmnZgFPXEATCtHJHx8um2UbcbTKcfETEe8SwWwNel</v>
      </c>
    </row>
    <row r="1058">
      <c r="A1058" s="28" t="str">
        <f>IFERROR(__xludf.DUMMYFUNCTION("""COMPUTED_VALUE"""),"2813-ABRDUDGC")</f>
        <v>2813-ABRDUDGC</v>
      </c>
      <c r="B1058" s="28" t="str">
        <f>IFERROR(__xludf.DUMMYFUNCTION("""COMPUTED_VALUE"""),"Evento Colapinto")</f>
        <v>Evento Colapinto</v>
      </c>
      <c r="C1058" s="29" t="str">
        <f>IFERROR(__xludf.DUMMYFUNCTION("""COMPUTED_VALUE"""),"Pieza")</f>
        <v>Pieza</v>
      </c>
      <c r="D1058" s="28" t="str">
        <f>IFERROR(__xludf.DUMMYFUNCTION("""COMPUTED_VALUE"""),"3024-MAYINFGJ")</f>
        <v>3024-MAYINFGJ</v>
      </c>
      <c r="E1058" s="28" t="str">
        <f>IFERROR(__xludf.DUMMYFUNCTION("""COMPUTED_VALUE"""),"INFRAESTRUCTURA | RECAP OBRAS CABA")</f>
        <v>INFRAESTRUCTURA | RECAP OBRAS CABA</v>
      </c>
      <c r="F1058" s="29" t="str">
        <f>IFERROR(__xludf.DUMMYFUNCTION("""COMPUTED_VALUE"""),"https://www.facebook.com/reel/1324354759615538")</f>
        <v>https://www.facebook.com/reel/1324354759615538</v>
      </c>
    </row>
    <row r="1059">
      <c r="A1059" s="28" t="str">
        <f>IFERROR(__xludf.DUMMYFUNCTION("""COMPUTED_VALUE"""),"1921-SEPAMBGC")</f>
        <v>1921-SEPAMBGC</v>
      </c>
      <c r="B1059" s="28" t="str">
        <f>IFERROR(__xludf.DUMMYFUNCTION("""COMPUTED_VALUE"""),"Vacunación Antirrabica Animales")</f>
        <v>Vacunación Antirrabica Animales</v>
      </c>
      <c r="C1059" s="29" t="str">
        <f>IFERROR(__xludf.DUMMYFUNCTION("""COMPUTED_VALUE"""),"Pieza")</f>
        <v>Pieza</v>
      </c>
      <c r="D1059" s="28" t="str">
        <f>IFERROR(__xludf.DUMMYFUNCTION("""COMPUTED_VALUE"""),"3070-MAYINFGC")</f>
        <v>3070-MAYINFGC</v>
      </c>
      <c r="E1059" s="28" t="str">
        <f>IFERROR(__xludf.DUMMYFUNCTION("""COMPUTED_VALUE"""),"Infraestructura I Corte en Vélez por evento musical AIRBAG")</f>
        <v>Infraestructura I Corte en Vélez por evento musical AIRBAG</v>
      </c>
      <c r="F1059" s="29" t="str">
        <f>IFERROR(__xludf.DUMMYFUNCTION("""COMPUTED_VALUE"""),"https://fb.me/adspreview/facebook/29v3ZVzI16CjokC")</f>
        <v>https://fb.me/adspreview/facebook/29v3ZVzI16CjokC</v>
      </c>
    </row>
    <row r="1060">
      <c r="A1060" s="28" t="str">
        <f>IFERROR(__xludf.DUMMYFUNCTION("""COMPUTED_VALUE"""),"2933-ABRSEGVC")</f>
        <v>2933-ABRSEGVC</v>
      </c>
      <c r="B1060" s="28" t="str">
        <f>IFERROR(__xludf.DUMMYFUNCTION("""COMPUTED_VALUE"""),"RDV MINISTROS | Ruth Landerreche 30/4 Comuna 12")</f>
        <v>RDV MINISTROS | Ruth Landerreche 30/4 Comuna 12</v>
      </c>
      <c r="C1060" s="29" t="str">
        <f>IFERROR(__xludf.DUMMYFUNCTION("""COMPUTED_VALUE"""),"Pieza")</f>
        <v>Pieza</v>
      </c>
      <c r="D1060" s="28" t="str">
        <f>IFERROR(__xludf.DUMMYFUNCTION("""COMPUTED_VALUE"""),"3070-MAYINFGC")</f>
        <v>3070-MAYINFGC</v>
      </c>
      <c r="E1060" s="28" t="str">
        <f>IFERROR(__xludf.DUMMYFUNCTION("""COMPUTED_VALUE"""),"Infraestructura I Corte en Vélez por evento musical AIRBAG")</f>
        <v>Infraestructura I Corte en Vélez por evento musical AIRBAG</v>
      </c>
      <c r="F1060" s="29" t="str">
        <f>IFERROR(__xludf.DUMMYFUNCTION("""COMPUTED_VALUE"""),"https://fb.me/adspreview/facebook/29v3ZVzI16CjokC")</f>
        <v>https://fb.me/adspreview/facebook/29v3ZVzI16CjokC</v>
      </c>
    </row>
    <row r="1061">
      <c r="A1061" s="28" t="str">
        <f>IFERROR(__xludf.DUMMYFUNCTION("""COMPUTED_VALUE"""),"2936-ABRSEGVC")</f>
        <v>2936-ABRSEGVC</v>
      </c>
      <c r="B1061" s="28" t="str">
        <f>IFERROR(__xludf.DUMMYFUNCTION("""COMPUTED_VALUE"""),"RDV MINISTROS | Gabino Tapia 30/4 Comuna 14")</f>
        <v>RDV MINISTROS | Gabino Tapia 30/4 Comuna 14</v>
      </c>
      <c r="C1061" s="29" t="str">
        <f>IFERROR(__xludf.DUMMYFUNCTION("""COMPUTED_VALUE"""),"Pieza")</f>
        <v>Pieza</v>
      </c>
      <c r="D1061" s="28" t="str">
        <f>IFERROR(__xludf.DUMMYFUNCTION("""COMPUTED_VALUE"""),"3056-MAYFESGC")</f>
        <v>3056-MAYFESGC</v>
      </c>
      <c r="E1061" s="28" t="str">
        <f>IFERROR(__xludf.DUMMYFUNCTION("""COMPUTED_VALUE"""),"Celebración 25 de mayo")</f>
        <v>Celebración 25 de mayo</v>
      </c>
      <c r="F1061" s="29" t="str">
        <f>IFERROR(__xludf.DUMMYFUNCTION("""COMPUTED_VALUE"""),"https://www.facebook.com/GCBA/posts/pfbid02bokjMrMJfAUJTRekqX3qNa2ukQi4b9YXRgJC1kDcm4tsXho31hj5hpJhHG6XHVvpl ")</f>
        <v>https://www.facebook.com/GCBA/posts/pfbid02bokjMrMJfAUJTRekqX3qNa2ukQi4b9YXRgJC1kDcm4tsXho31hj5hpJhHG6XHVvpl </v>
      </c>
    </row>
    <row r="1062">
      <c r="A1062" s="28" t="str">
        <f>IFERROR(__xludf.DUMMYFUNCTION("""COMPUTED_VALUE"""),"2738-MARCULGC")</f>
        <v>2738-MARCULGC</v>
      </c>
      <c r="B1062" s="28" t="str">
        <f>IFERROR(__xludf.DUMMYFUNCTION("""COMPUTED_VALUE"""),"Bafici 2026")</f>
        <v>Bafici 2026</v>
      </c>
      <c r="C1062" s="29" t="str">
        <f>IFERROR(__xludf.DUMMYFUNCTION("""COMPUTED_VALUE"""),"Pieza")</f>
        <v>Pieza</v>
      </c>
      <c r="D1062" s="28" t="str">
        <f>IFERROR(__xludf.DUMMYFUNCTION("""COMPUTED_VALUE"""),"3056-MAYFESGC")</f>
        <v>3056-MAYFESGC</v>
      </c>
      <c r="E1062" s="28" t="str">
        <f>IFERROR(__xludf.DUMMYFUNCTION("""COMPUTED_VALUE"""),"Celebración 25 de mayo")</f>
        <v>Celebración 25 de mayo</v>
      </c>
      <c r="F1062" s="29" t="str">
        <f>IFERROR(__xludf.DUMMYFUNCTION("""COMPUTED_VALUE"""),"https://www.facebook.com/GCBA/posts/pfbid02bokjMrMJfAUJTRekqX3qNa2ukQi4b9YXRgJC1kDcm4tsXho31hj5hpJhHG6XHVvpl ")</f>
        <v>https://www.facebook.com/GCBA/posts/pfbid02bokjMrMJfAUJTRekqX3qNa2ukQi4b9YXRgJC1kDcm4tsXho31hj5hpJhHG6XHVvpl </v>
      </c>
    </row>
    <row r="1063">
      <c r="A1063" s="28" t="str">
        <f>IFERROR(__xludf.DUMMYFUNCTION("""COMPUTED_VALUE"""),"2924-ABRJDGVC")</f>
        <v>2924-ABRJDGVC</v>
      </c>
      <c r="B1063" s="28" t="str">
        <f>IFERROR(__xludf.DUMMYFUNCTION("""COMPUTED_VALUE"""),"RDV MINISTROS | GABRIEL SÁNCHEZ ZINNY 28/4 COLEGIALES")</f>
        <v>RDV MINISTROS | GABRIEL SÁNCHEZ ZINNY 28/4 COLEGIALES</v>
      </c>
      <c r="C1063" s="29" t="str">
        <f>IFERROR(__xludf.DUMMYFUNCTION("""COMPUTED_VALUE"""),"Pieza")</f>
        <v>Pieza</v>
      </c>
      <c r="D1063" s="28" t="str">
        <f>IFERROR(__xludf.DUMMYFUNCTION("""COMPUTED_VALUE"""),"3088-MAYINFGC")</f>
        <v>3088-MAYINFGC</v>
      </c>
      <c r="E1063" s="28" t="str">
        <f>IFERROR(__xludf.DUMMYFUNCTION("""COMPUTED_VALUE"""),"Infraestructura I Corte por Fiestas Mayas")</f>
        <v>Infraestructura I Corte por Fiestas Mayas</v>
      </c>
      <c r="F1063" s="29" t="str">
        <f>IFERROR(__xludf.DUMMYFUNCTION("""COMPUTED_VALUE"""),"https://fb.me/adspreview/facebook/1V9apKFmivykDG0")</f>
        <v>https://fb.me/adspreview/facebook/1V9apKFmivykDG0</v>
      </c>
    </row>
    <row r="1064">
      <c r="A1064" s="28" t="str">
        <f>IFERROR(__xludf.DUMMYFUNCTION("""COMPUTED_VALUE"""),"2937-ABRSEGVC")</f>
        <v>2937-ABRSEGVC</v>
      </c>
      <c r="B1064" s="28" t="str">
        <f>IFERROR(__xludf.DUMMYFUNCTION("""COMPUTED_VALUE"""),"RDV MINISTROS | Horacio Giménez 30/4 Comuna 15")</f>
        <v>RDV MINISTROS | Horacio Giménez 30/4 Comuna 15</v>
      </c>
      <c r="C1064" s="29" t="str">
        <f>IFERROR(__xludf.DUMMYFUNCTION("""COMPUTED_VALUE"""),"Pieza")</f>
        <v>Pieza</v>
      </c>
      <c r="D1064" s="28" t="str">
        <f>IFERROR(__xludf.DUMMYFUNCTION("""COMPUTED_VALUE"""),"3087-MAYJDGAG")</f>
        <v>3087-MAYJDGAG</v>
      </c>
      <c r="E1064" s="28" t="str">
        <f>IFERROR(__xludf.DUMMYFUNCTION("""COMPUTED_VALUE"""),"1 A 1 JM | Comuna 9 27/05")</f>
        <v>1 A 1 JM | Comuna 9 27/05</v>
      </c>
      <c r="F1064" s="29" t="str">
        <f>IFERROR(__xludf.DUMMYFUNCTION("""COMPUTED_VALUE"""),"https://www.facebook.com/GCBA/posts/pfbid02X3EqtHQ4G8RWZddMqFzHzAmnB1b1B9BKCa6WaMikSbSdaXKfn3VD8dWT4NG2cMAfl")</f>
        <v>https://www.facebook.com/GCBA/posts/pfbid02X3EqtHQ4G8RWZddMqFzHzAmnB1b1B9BKCa6WaMikSbSdaXKfn3VD8dWT4NG2cMAfl</v>
      </c>
    </row>
    <row r="1065">
      <c r="A1065" s="28" t="str">
        <f>IFERROR(__xludf.DUMMYFUNCTION("""COMPUTED_VALUE"""),"2935-ABRSEGVC")</f>
        <v>2935-ABRSEGVC</v>
      </c>
      <c r="B1065" s="28" t="str">
        <f>IFERROR(__xludf.DUMMYFUNCTION("""COMPUTED_VALUE"""),"RDV MINISTROS | Maximiliano Piñeiro 30/4 Comuna 13")</f>
        <v>RDV MINISTROS | Maximiliano Piñeiro 30/4 Comuna 13</v>
      </c>
      <c r="C1065" s="29" t="str">
        <f>IFERROR(__xludf.DUMMYFUNCTION("""COMPUTED_VALUE"""),"Pieza")</f>
        <v>Pieza</v>
      </c>
      <c r="D1065" s="28" t="str">
        <f>IFERROR(__xludf.DUMMYFUNCTION("""COMPUTED_VALUE"""),"3081-MAYINFGC")</f>
        <v>3081-MAYINFGC</v>
      </c>
      <c r="E1065" s="28" t="str">
        <f>IFERROR(__xludf.DUMMYFUNCTION("""COMPUTED_VALUE"""),"Infraestructura I Cortes de tránsito 90° Aniversario del Obelisco. ")</f>
        <v>Infraestructura I Cortes de tránsito 90° Aniversario del Obelisco. </v>
      </c>
      <c r="F1065" s="29" t="str">
        <f>IFERROR(__xludf.DUMMYFUNCTION("""COMPUTED_VALUE"""),"https://fb.me/adspreview/facebook/1SpONunatJUaAO1")</f>
        <v>https://fb.me/adspreview/facebook/1SpONunatJUaAO1</v>
      </c>
    </row>
    <row r="1066">
      <c r="A1066" s="28" t="str">
        <f>IFERROR(__xludf.DUMMYFUNCTION("""COMPUTED_VALUE"""),"2785-MARSALGC")</f>
        <v>2785-MARSALGC</v>
      </c>
      <c r="B1066" s="28" t="str">
        <f>IFERROR(__xludf.DUMMYFUNCTION("""COMPUTED_VALUE"""),"Centro de Cuidados Integrales")</f>
        <v>Centro de Cuidados Integrales</v>
      </c>
      <c r="C1066" s="29" t="str">
        <f>IFERROR(__xludf.DUMMYFUNCTION("""COMPUTED_VALUE"""),"Pieza")</f>
        <v>Pieza</v>
      </c>
      <c r="D1066" s="28" t="str">
        <f>IFERROR(__xludf.DUMMYFUNCTION("""COMPUTED_VALUE"""),"3080-MAYINFGC")</f>
        <v>3080-MAYINFGC</v>
      </c>
      <c r="E1066" s="28" t="str">
        <f>IFERROR(__xludf.DUMMYFUNCTION("""COMPUTED_VALUE"""),"Infraestructura I Corte por Tedeum del 25 de mayo")</f>
        <v>Infraestructura I Corte por Tedeum del 25 de mayo</v>
      </c>
      <c r="F1066" s="29" t="str">
        <f>IFERROR(__xludf.DUMMYFUNCTION("""COMPUTED_VALUE"""),"https://fb.me/adspreview/facebook/2qtNxRexPCxzyL9 ")</f>
        <v>https://fb.me/adspreview/facebook/2qtNxRexPCxzyL9 </v>
      </c>
    </row>
    <row r="1067">
      <c r="A1067" s="28" t="str">
        <f>IFERROR(__xludf.DUMMYFUNCTION("""COMPUTED_VALUE"""),"2882-ABRSEGVC")</f>
        <v>2882-ABRSEGVC</v>
      </c>
      <c r="B1067" s="28" t="str">
        <f>IFERROR(__xludf.DUMMYFUNCTION("""COMPUTED_VALUE"""),"RDV MINISTROS | Ruth Landerreche 23/4 Comuna 8")</f>
        <v>RDV MINISTROS | Ruth Landerreche 23/4 Comuna 8</v>
      </c>
      <c r="C1067" s="29" t="str">
        <f>IFERROR(__xludf.DUMMYFUNCTION("""COMPUTED_VALUE"""),"Pieza")</f>
        <v>Pieza</v>
      </c>
      <c r="D1067" s="28" t="str">
        <f>IFERROR(__xludf.DUMMYFUNCTION("""COMPUTED_VALUE"""),"2673-MARSALGC")</f>
        <v>2673-MARSALGC</v>
      </c>
      <c r="E1067" s="28" t="str">
        <f>IFERROR(__xludf.DUMMYFUNCTION("""COMPUTED_VALUE"""),"Mejoras en Centros de Salud")</f>
        <v>Mejoras en Centros de Salud</v>
      </c>
      <c r="F1067" s="29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068">
      <c r="A1068" s="28" t="str">
        <f>IFERROR(__xludf.DUMMYFUNCTION("""COMPUTED_VALUE"""),"2927-ABRPCCVC")</f>
        <v>2927-ABRPCCVC</v>
      </c>
      <c r="B1068" s="28" t="str">
        <f>IFERROR(__xludf.DUMMYFUNCTION("""COMPUTED_VALUE"""),"Voluntarios BA | Visita al MOA")</f>
        <v>Voluntarios BA | Visita al MOA</v>
      </c>
      <c r="C1068" s="29" t="str">
        <f>IFERROR(__xludf.DUMMYFUNCTION("""COMPUTED_VALUE"""),"Pieza")</f>
        <v>Pieza</v>
      </c>
      <c r="D1068" s="28" t="str">
        <f>IFERROR(__xludf.DUMMYFUNCTION("""COMPUTED_VALUE"""),"2673-MARSALGC")</f>
        <v>2673-MARSALGC</v>
      </c>
      <c r="E1068" s="28" t="str">
        <f>IFERROR(__xludf.DUMMYFUNCTION("""COMPUTED_VALUE"""),"Mejoras en Centros de Salud")</f>
        <v>Mejoras en Centros de Salud</v>
      </c>
      <c r="F1068" s="29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069">
      <c r="A1069" s="28" t="str">
        <f>IFERROR(__xludf.DUMMYFUNCTION("""COMPUTED_VALUE"""),"2928-ABRPCCVC")</f>
        <v>2928-ABRPCCVC</v>
      </c>
      <c r="B1069" s="28" t="str">
        <f>IFERROR(__xludf.DUMMYFUNCTION("""COMPUTED_VALUE"""),"Experiencia BA | Visita a casa de la cultura")</f>
        <v>Experiencia BA | Visita a casa de la cultura</v>
      </c>
      <c r="C1069" s="29" t="str">
        <f>IFERROR(__xludf.DUMMYFUNCTION("""COMPUTED_VALUE"""),"Pieza")</f>
        <v>Pieza</v>
      </c>
      <c r="D1069" s="28" t="str">
        <f>IFERROR(__xludf.DUMMYFUNCTION("""COMPUTED_VALUE"""),"3079-MAYDHHVC")</f>
        <v>3079-MAYDHHVC</v>
      </c>
      <c r="E1069" s="28" t="str">
        <f>IFERROR(__xludf.DUMMYFUNCTION("""COMPUTED_VALUE"""),"RDV Ministros | Gabriel Mraida - 27/5 - Comuna 14")</f>
        <v>RDV Ministros | Gabriel Mraida - 27/5 - Comuna 14</v>
      </c>
      <c r="F1069" s="28"/>
    </row>
    <row r="1070">
      <c r="A1070" s="28" t="str">
        <f>IFERROR(__xludf.DUMMYFUNCTION("""COMPUTED_VALUE"""),"2947-ABRVINGC")</f>
        <v>2947-ABRVINGC</v>
      </c>
      <c r="B1070" s="28" t="str">
        <f>IFERROR(__xludf.DUMMYFUNCTION("""COMPUTED_VALUE"""),"Mas servicios en tu barrio Villa Ortúzar 4/5")</f>
        <v>Mas servicios en tu barrio Villa Ortúzar 4/5</v>
      </c>
      <c r="C1070" s="29" t="str">
        <f>IFERROR(__xludf.DUMMYFUNCTION("""COMPUTED_VALUE"""),"Pieza")</f>
        <v>Pieza</v>
      </c>
      <c r="D1070" s="28" t="str">
        <f>IFERROR(__xludf.DUMMYFUNCTION("""COMPUTED_VALUE"""),"2910-ABRSALGC")</f>
        <v>2910-ABRSALGC</v>
      </c>
      <c r="E1070" s="28" t="str">
        <f>IFERROR(__xludf.DUMMYFUNCTION("""COMPUTED_VALUE"""),"Programa de Acogimiento Familiar")</f>
        <v>Programa de Acogimiento Familiar</v>
      </c>
      <c r="F1070" s="29" t="str">
        <f>IFERROR(__xludf.DUMMYFUNCTION("""COMPUTED_VALUE"""),"https://www.facebook.com/GCBA/posts/pfbid0277YpxeHyUczhXNK3u8A7tDDmhV8R9AGH6TF7HV7vK9Lp44oZbVyEwKMpjdVQqRml")</f>
        <v>https://www.facebook.com/GCBA/posts/pfbid0277YpxeHyUczhXNK3u8A7tDDmhV8R9AGH6TF7HV7vK9Lp44oZbVyEwKMpjdVQqRml</v>
      </c>
    </row>
    <row r="1071">
      <c r="A1071" s="28" t="str">
        <f>IFERROR(__xludf.DUMMYFUNCTION("""COMPUTED_VALUE"""),"2948-ABRVINGC")</f>
        <v>2948-ABRVINGC</v>
      </c>
      <c r="B1071" s="28" t="str">
        <f>IFERROR(__xludf.DUMMYFUNCTION("""COMPUTED_VALUE"""),"Mas servicios en tu barrio Balvanera 5 y 6 de mayo")</f>
        <v>Mas servicios en tu barrio Balvanera 5 y 6 de mayo</v>
      </c>
      <c r="C1071" s="29" t="str">
        <f>IFERROR(__xludf.DUMMYFUNCTION("""COMPUTED_VALUE"""),"Pieza")</f>
        <v>Pieza</v>
      </c>
      <c r="D1071" s="28" t="str">
        <f>IFERROR(__xludf.DUMMYFUNCTION("""COMPUTED_VALUE"""),"3072-MAYCULVC")</f>
        <v>3072-MAYCULVC</v>
      </c>
      <c r="E1071" s="28" t="str">
        <f>IFERROR(__xludf.DUMMYFUNCTION("""COMPUTED_VALUE"""),"RDV Ministros | Gabriela Ricardes 26/5 Comuna 5")</f>
        <v>RDV Ministros | Gabriela Ricardes 26/5 Comuna 5</v>
      </c>
      <c r="F1071" s="28"/>
    </row>
    <row r="1072">
      <c r="A1072" s="28" t="str">
        <f>IFERROR(__xludf.DUMMYFUNCTION("""COMPUTED_VALUE"""),"2962-ABRHYFVC")</f>
        <v>2962-ABRHYFVC</v>
      </c>
      <c r="B1072" s="28" t="str">
        <f>IFERROR(__xludf.DUMMYFUNCTION("""COMPUTED_VALUE"""),"LOMBARDI-TAPIA-PIRAGINE 4/5 EJE CENTRO")</f>
        <v>LOMBARDI-TAPIA-PIRAGINE 4/5 EJE CENTRO</v>
      </c>
      <c r="C1072" s="29" t="str">
        <f>IFERROR(__xludf.DUMMYFUNCTION("""COMPUTED_VALUE"""),"Pieza")</f>
        <v>Pieza</v>
      </c>
      <c r="D1072" s="28" t="str">
        <f>IFERROR(__xludf.DUMMYFUNCTION("""COMPUTED_VALUE"""),"2910-ABRSALGC")</f>
        <v>2910-ABRSALGC</v>
      </c>
      <c r="E1072" s="28" t="str">
        <f>IFERROR(__xludf.DUMMYFUNCTION("""COMPUTED_VALUE"""),"Programa de Acogimiento Familiar")</f>
        <v>Programa de Acogimiento Familiar</v>
      </c>
      <c r="F1072" s="29" t="str">
        <f>IFERROR(__xludf.DUMMYFUNCTION("""COMPUTED_VALUE"""),"https://www.facebook.com/GCBA/posts/pfbid0277YpxeHyUczhXNK3u8A7tDDmhV8R9AGH6TF7HV7vK9Lp44oZbVyEwKMpjdVQqRml")</f>
        <v>https://www.facebook.com/GCBA/posts/pfbid0277YpxeHyUczhXNK3u8A7tDDmhV8R9AGH6TF7HV7vK9Lp44oZbVyEwKMpjdVQqRml</v>
      </c>
    </row>
    <row r="1073">
      <c r="A1073" s="28" t="str">
        <f>IFERROR(__xludf.DUMMYFUNCTION("""COMPUTED_VALUE"""),"2515-ENEINFGJ")</f>
        <v>2515-ENEINFGJ</v>
      </c>
      <c r="B1073" s="28" t="str">
        <f>IFERROR(__xludf.DUMMYFUNCTION("""COMPUTED_VALUE"""),"Infraestructura I Anillo Pampa: Inicio de obra + Cortes")</f>
        <v>Infraestructura I Anillo Pampa: Inicio de obra + Cortes</v>
      </c>
      <c r="C1073" s="29" t="str">
        <f>IFERROR(__xludf.DUMMYFUNCTION("""COMPUTED_VALUE"""),"Pieza")</f>
        <v>Pieza</v>
      </c>
      <c r="D1073" s="28" t="str">
        <f>IFERROR(__xludf.DUMMYFUNCTION("""COMPUTED_VALUE"""),"3082-MAYSEGVC")</f>
        <v>3082-MAYSEGVC</v>
      </c>
      <c r="E1073" s="28" t="str">
        <f>IFERROR(__xludf.DUMMYFUNCTION("""COMPUTED_VALUE"""),"RDV Ministros | Gabino Tapia 28/5 Comuna 12")</f>
        <v>RDV Ministros | Gabino Tapia 28/5 Comuna 12</v>
      </c>
      <c r="F1073" s="28"/>
    </row>
    <row r="1074">
      <c r="A1074" s="28" t="str">
        <f>IFERROR(__xludf.DUMMYFUNCTION("""COMPUTED_VALUE"""),"2930-ABRINFGC")</f>
        <v>2930-ABRINFGC</v>
      </c>
      <c r="B1074" s="28" t="str">
        <f>IFERROR(__xludf.DUMMYFUNCTION("""COMPUTED_VALUE""")," Infraestructura: Corte AU Dellepiane por obras hidráulicas")</f>
        <v> Infraestructura: Corte AU Dellepiane por obras hidráulicas</v>
      </c>
      <c r="C1074" s="29" t="str">
        <f>IFERROR(__xludf.DUMMYFUNCTION("""COMPUTED_VALUE"""),"Pieza")</f>
        <v>Pieza</v>
      </c>
      <c r="D1074" s="28" t="str">
        <f>IFERROR(__xludf.DUMMYFUNCTION("""COMPUTED_VALUE"""),"3077-MAYINFVC")</f>
        <v>3077-MAYINFVC</v>
      </c>
      <c r="E1074" s="28" t="str">
        <f>IFERROR(__xludf.DUMMYFUNCTION("""COMPUTED_VALUE"""),"RDV Ministros | Pablo Bereciartua - 27/5 - Comuna 10")</f>
        <v>RDV Ministros | Pablo Bereciartua - 27/5 - Comuna 10</v>
      </c>
      <c r="F1074" s="28"/>
    </row>
    <row r="1075">
      <c r="A1075" s="28" t="str">
        <f>IFERROR(__xludf.DUMMYFUNCTION("""COMPUTED_VALUE"""),"2963-ABRCULVC")</f>
        <v>2963-ABRCULVC</v>
      </c>
      <c r="B1075" s="28" t="str">
        <f>IFERROR(__xludf.DUMMYFUNCTION("""COMPUTED_VALUE"""),"RDV Ministros | Gabriela Ricardes 6/5 Comuna 12")</f>
        <v>RDV Ministros | Gabriela Ricardes 6/5 Comuna 12</v>
      </c>
      <c r="C1075" s="29" t="str">
        <f>IFERROR(__xludf.DUMMYFUNCTION("""COMPUTED_VALUE"""),"Pieza")</f>
        <v>Pieza</v>
      </c>
      <c r="D1075" s="28" t="str">
        <f>IFERROR(__xludf.DUMMYFUNCTION("""COMPUTED_VALUE"""),"3073-MAYJDGAG")</f>
        <v>3073-MAYJDGAG</v>
      </c>
      <c r="E1075" s="28" t="str">
        <f>IFERROR(__xludf.DUMMYFUNCTION("""COMPUTED_VALUE"""),"RDV JM | 29/5 - Saavedra")</f>
        <v>RDV JM | 29/5 - Saavedra</v>
      </c>
      <c r="F1075" s="29" t="str">
        <f>IFERROR(__xludf.DUMMYFUNCTION("""COMPUTED_VALUE"""),"https://www.facebook.com/reel/2392892084530463")</f>
        <v>https://www.facebook.com/reel/2392892084530463</v>
      </c>
    </row>
    <row r="1076">
      <c r="A1076" s="28" t="str">
        <f>IFERROR(__xludf.DUMMYFUNCTION("""COMPUTED_VALUE"""),"2965-ABRINFVC")</f>
        <v>2965-ABRINFVC</v>
      </c>
      <c r="B1076" s="28" t="str">
        <f>IFERROR(__xludf.DUMMYFUNCTION("""COMPUTED_VALUE"""),"RDV Ministros | Pablo Bereciartua - 4/5 - Comuna 15")</f>
        <v>RDV Ministros | Pablo Bereciartua - 4/5 - Comuna 15</v>
      </c>
      <c r="C1076" s="29" t="str">
        <f>IFERROR(__xludf.DUMMYFUNCTION("""COMPUTED_VALUE"""),"Pieza")</f>
        <v>Pieza</v>
      </c>
      <c r="D1076" s="28" t="str">
        <f>IFERROR(__xludf.DUMMYFUNCTION("""COMPUTED_VALUE"""),"3084-MAYSEGVC")</f>
        <v>3084-MAYSEGVC</v>
      </c>
      <c r="E1076" s="28" t="str">
        <f>IFERROR(__xludf.DUMMYFUNCTION("""COMPUTED_VALUE"""),"RDV Ministros | Ruth Landerreche 28/5 Comuna 14")</f>
        <v>RDV Ministros | Ruth Landerreche 28/5 Comuna 14</v>
      </c>
      <c r="F1076" s="28"/>
    </row>
    <row r="1077">
      <c r="A1077" s="28" t="str">
        <f>IFERROR(__xludf.DUMMYFUNCTION("""COMPUTED_VALUE"""),"2926-ABREDUVC")</f>
        <v>2926-ABREDUVC</v>
      </c>
      <c r="B1077" s="28" t="str">
        <f>IFERROR(__xludf.DUMMYFUNCTION("""COMPUTED_VALUE"""),"RDV MINISTROS | Mercedes Miguel | 29/4 | comuna 15")</f>
        <v>RDV MINISTROS | Mercedes Miguel | 29/4 | comuna 15</v>
      </c>
      <c r="C1077" s="29" t="str">
        <f>IFERROR(__xludf.DUMMYFUNCTION("""COMPUTED_VALUE"""),"Pieza")</f>
        <v>Pieza</v>
      </c>
      <c r="D1077" s="28" t="str">
        <f>IFERROR(__xludf.DUMMYFUNCTION("""COMPUTED_VALUE"""),"3083-MAYSEGVC")</f>
        <v>3083-MAYSEGVC</v>
      </c>
      <c r="E1077" s="28" t="str">
        <f>IFERROR(__xludf.DUMMYFUNCTION("""COMPUTED_VALUE"""),"RDV Ministros | Maximiliano Piñeiro 28/5 Comuna 15")</f>
        <v>RDV Ministros | Maximiliano Piñeiro 28/5 Comuna 15</v>
      </c>
      <c r="F1077" s="28"/>
    </row>
    <row r="1078">
      <c r="A1078" s="28" t="str">
        <f>IFERROR(__xludf.DUMMYFUNCTION("""COMPUTED_VALUE"""),"2900-ABREDUGC")</f>
        <v>2900-ABREDUGC</v>
      </c>
      <c r="B1078" s="28" t="str">
        <f>IFERROR(__xludf.DUMMYFUNCTION("""COMPUTED_VALUE"""),"NUEVA SEDE TUMO NUÑEZ")</f>
        <v>NUEVA SEDE TUMO NUÑEZ</v>
      </c>
      <c r="C1078" s="29" t="str">
        <f>IFERROR(__xludf.DUMMYFUNCTION("""COMPUTED_VALUE"""),"Pieza")</f>
        <v>Pieza</v>
      </c>
      <c r="D1078" s="28" t="str">
        <f>IFERROR(__xludf.DUMMYFUNCTION("""COMPUTED_VALUE"""),"3075-MAYEPHVC")</f>
        <v>3075-MAYEPHVC</v>
      </c>
      <c r="E1078" s="28" t="str">
        <f>IFERROR(__xludf.DUMMYFUNCTION("""COMPUTED_VALUE"""),"RDV ministros | Ignacio Baistrocchi, Comuna 4 26/5")</f>
        <v>RDV ministros | Ignacio Baistrocchi, Comuna 4 26/5</v>
      </c>
      <c r="F1078" s="28"/>
    </row>
    <row r="1079">
      <c r="A1079" s="28" t="str">
        <f>IFERROR(__xludf.DUMMYFUNCTION("""COMPUTED_VALUE"""),"2943-ABRSEGGJ")</f>
        <v>2943-ABRSEGGJ</v>
      </c>
      <c r="B1079" s="28" t="str">
        <f>IFERROR(__xludf.DUMMYFUNCTION("""COMPUTED_VALUE"""),"Desalojo N°700")</f>
        <v>Desalojo N°700</v>
      </c>
      <c r="C1079" s="29" t="str">
        <f>IFERROR(__xludf.DUMMYFUNCTION("""COMPUTED_VALUE"""),"Pieza")</f>
        <v>Pieza</v>
      </c>
      <c r="D1079" s="28" t="str">
        <f>IFERROR(__xludf.DUMMYFUNCTION("""COMPUTED_VALUE"""),"2972-MAYSEGGC")</f>
        <v>2972-MAYSEGGC</v>
      </c>
      <c r="E1079" s="28" t="str">
        <f>IFERROR(__xludf.DUMMYFUNCTION("""COMPUTED_VALUE"""),"Compactación de autos abandonados")</f>
        <v>Compactación de autos abandonados</v>
      </c>
      <c r="F1079" s="29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080">
      <c r="A1080" s="28" t="str">
        <f>IFERROR(__xludf.DUMMYFUNCTION("""COMPUTED_VALUE"""),"2964-ABRJDGVC")</f>
        <v>2964-ABRJDGVC</v>
      </c>
      <c r="B1080" s="28" t="str">
        <f>IFERROR(__xludf.DUMMYFUNCTION("""COMPUTED_VALUE"""),"RDV Ministros | Gabriel Sanchez Zinny - 4/5 - Constitución")</f>
        <v>RDV Ministros | Gabriel Sanchez Zinny - 4/5 - Constitución</v>
      </c>
      <c r="C1080" s="29" t="str">
        <f>IFERROR(__xludf.DUMMYFUNCTION("""COMPUTED_VALUE"""),"Pieza")</f>
        <v>Pieza</v>
      </c>
      <c r="D1080" s="28" t="str">
        <f>IFERROR(__xludf.DUMMYFUNCTION("""COMPUTED_VALUE"""),"2972-MAYSEGGC")</f>
        <v>2972-MAYSEGGC</v>
      </c>
      <c r="E1080" s="28" t="str">
        <f>IFERROR(__xludf.DUMMYFUNCTION("""COMPUTED_VALUE"""),"Compactación de autos abandonados")</f>
        <v>Compactación de autos abandonados</v>
      </c>
      <c r="F1080" s="29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081">
      <c r="A1081" s="28" t="str">
        <f>IFERROR(__xludf.DUMMYFUNCTION("""COMPUTED_VALUE"""),"2957-ABRSEGGJ")</f>
        <v>2957-ABRSEGGJ</v>
      </c>
      <c r="B1081" s="28" t="str">
        <f>IFERROR(__xludf.DUMMYFUNCTION("""COMPUTED_VALUE"""),"Desalojo de un taller clandestino en Parque Chas")</f>
        <v>Desalojo de un taller clandestino en Parque Chas</v>
      </c>
      <c r="C1081" s="29" t="str">
        <f>IFERROR(__xludf.DUMMYFUNCTION("""COMPUTED_VALUE"""),"Pieza")</f>
        <v>Pieza</v>
      </c>
      <c r="D1081" s="28" t="str">
        <f>IFERROR(__xludf.DUMMYFUNCTION("""COMPUTED_VALUE"""),"2972-MAYSEGGC")</f>
        <v>2972-MAYSEGGC</v>
      </c>
      <c r="E1081" s="28" t="str">
        <f>IFERROR(__xludf.DUMMYFUNCTION("""COMPUTED_VALUE"""),"Compactación de autos abandonados")</f>
        <v>Compactación de autos abandonados</v>
      </c>
      <c r="F1081" s="29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082">
      <c r="A1082" s="28" t="str">
        <f>IFERROR(__xludf.DUMMYFUNCTION("""COMPUTED_VALUE"""),"2966-ABRSALVC")</f>
        <v>2966-ABRSALVC</v>
      </c>
      <c r="B1082" s="28" t="str">
        <f>IFERROR(__xludf.DUMMYFUNCTION("""COMPUTED_VALUE"""),"RDV Ministros | Fernán Quirós - 5/5 - Comuna 13")</f>
        <v>RDV Ministros | Fernán Quirós - 5/5 - Comuna 13</v>
      </c>
      <c r="C1082" s="29" t="str">
        <f>IFERROR(__xludf.DUMMYFUNCTION("""COMPUTED_VALUE"""),"Pieza")</f>
        <v>Pieza</v>
      </c>
      <c r="D1082" s="28" t="str">
        <f>IFERROR(__xludf.DUMMYFUNCTION("""COMPUTED_VALUE"""),"3074-MAYJDGAG")</f>
        <v>3074-MAYJDGAG</v>
      </c>
      <c r="E1082" s="28" t="str">
        <f>IFERROR(__xludf.DUMMYFUNCTION("""COMPUTED_VALUE"""),"RDV JM TEMÁTICA | TE CUENTO BS AS 28/05 CIUDAD ATRACTIVA EJE ESTE")</f>
        <v>RDV JM TEMÁTICA | TE CUENTO BS AS 28/05 CIUDAD ATRACTIVA EJE ESTE</v>
      </c>
      <c r="F1082" s="29" t="str">
        <f>IFERROR(__xludf.DUMMYFUNCTION("""COMPUTED_VALUE"""),"https://www.facebook.com/GCBA/posts/pfbid0xUSsN2VyZ89gZ4mJrc7vg28WsLE9vppNRqYiwKwMvybMGDnTY5wEDsosBfdX4qtQl")</f>
        <v>https://www.facebook.com/GCBA/posts/pfbid0xUSsN2VyZ89gZ4mJrc7vg28WsLE9vppNRqYiwKwMvybMGDnTY5wEDsosBfdX4qtQl</v>
      </c>
    </row>
    <row r="1083">
      <c r="A1083" s="28" t="str">
        <f>IFERROR(__xludf.DUMMYFUNCTION("""COMPUTED_VALUE"""),"1946-SEPEPHGC")</f>
        <v>1946-SEPEPHGC</v>
      </c>
      <c r="B1083" s="28" t="str">
        <f>IFERROR(__xludf.DUMMYFUNCTION("""COMPUTED_VALUE"""),"CAMPAÑA GCBA | MEPHU  | PLUVIALES")</f>
        <v>CAMPAÑA GCBA | MEPHU  | PLUVIALES</v>
      </c>
      <c r="C1083" s="29" t="str">
        <f>IFERROR(__xludf.DUMMYFUNCTION("""COMPUTED_VALUE"""),"Pieza")</f>
        <v>Pieza</v>
      </c>
      <c r="D1083" s="28" t="str">
        <f>IFERROR(__xludf.DUMMYFUNCTION("""COMPUTED_VALUE"""),"3074-MAYJDGAG")</f>
        <v>3074-MAYJDGAG</v>
      </c>
      <c r="E1083" s="28" t="str">
        <f>IFERROR(__xludf.DUMMYFUNCTION("""COMPUTED_VALUE"""),"RDV JM TEMÁTICA | TE CUENTO BS AS 28/05 CIUDAD ATRACTIVA EJE ESTE")</f>
        <v>RDV JM TEMÁTICA | TE CUENTO BS AS 28/05 CIUDAD ATRACTIVA EJE ESTE</v>
      </c>
      <c r="F1083" s="29" t="str">
        <f>IFERROR(__xludf.DUMMYFUNCTION("""COMPUTED_VALUE"""),"https://www.facebook.com/GCBA/posts/pfbid0xUSsN2VyZ89gZ4mJrc7vg28WsLE9vppNRqYiwKwMvybMGDnTY5wEDsosBfdX4qtQl")</f>
        <v>https://www.facebook.com/GCBA/posts/pfbid0xUSsN2VyZ89gZ4mJrc7vg28WsLE9vppNRqYiwKwMvybMGDnTY5wEDsosBfdX4qtQl</v>
      </c>
    </row>
    <row r="1084">
      <c r="A1084" s="28" t="str">
        <f>IFERROR(__xludf.DUMMYFUNCTION("""COMPUTED_VALUE"""),"1942-SEPEPHGC")</f>
        <v>1942-SEPEPHGC</v>
      </c>
      <c r="B1084" s="28" t="str">
        <f>IFERROR(__xludf.DUMMYFUNCTION("""COMPUTED_VALUE"""),"DGPLES | MEPHU  | REPARACIÓN DE VEREDAS")</f>
        <v>DGPLES | MEPHU  | REPARACIÓN DE VEREDAS</v>
      </c>
      <c r="C1084" s="29" t="str">
        <f>IFERROR(__xludf.DUMMYFUNCTION("""COMPUTED_VALUE"""),"Pieza")</f>
        <v>Pieza</v>
      </c>
      <c r="D1084" s="28" t="str">
        <f>IFERROR(__xludf.DUMMYFUNCTION("""COMPUTED_VALUE"""),"2961-ABRSEGGJ")</f>
        <v>2961-ABRSEGGJ</v>
      </c>
      <c r="E1084" s="28" t="str">
        <f>IFERROR(__xludf.DUMMYFUNCTION("""COMPUTED_VALUE"""),"Campaña ORDEN Y SEGURIDAD 2026")</f>
        <v>Campaña ORDEN Y SEGURIDAD 2026</v>
      </c>
      <c r="F1084" s="29" t="str">
        <f>IFERROR(__xludf.DUMMYFUNCTION("""COMPUTED_VALUE"""),"https://www.facebook.com/reel/1458725662138823")</f>
        <v>https://www.facebook.com/reel/1458725662138823</v>
      </c>
    </row>
    <row r="1085">
      <c r="A1085" s="28" t="str">
        <f>IFERROR(__xludf.DUMMYFUNCTION("""COMPUTED_VALUE"""),"2813-ABRDUDGC")</f>
        <v>2813-ABRDUDGC</v>
      </c>
      <c r="B1085" s="28" t="str">
        <f>IFERROR(__xludf.DUMMYFUNCTION("""COMPUTED_VALUE"""),"Evento Colapinto")</f>
        <v>Evento Colapinto</v>
      </c>
      <c r="C1085" s="29" t="str">
        <f>IFERROR(__xludf.DUMMYFUNCTION("""COMPUTED_VALUE"""),"Pieza")</f>
        <v>Pieza</v>
      </c>
      <c r="D1085" s="28" t="str">
        <f>IFERROR(__xludf.DUMMYFUNCTION("""COMPUTED_VALUE"""),"3090-MAYINFGC")</f>
        <v>3090-MAYINFGC</v>
      </c>
      <c r="E1085" s="28" t="str">
        <f>IFERROR(__xludf.DUMMYFUNCTION("""COMPUTED_VALUE"""),"Infraestructura I Corte AU Dellepiane por obras (27/5)")</f>
        <v>Infraestructura I Corte AU Dellepiane por obras (27/5)</v>
      </c>
      <c r="F1085" s="29" t="str">
        <f>IFERROR(__xludf.DUMMYFUNCTION("""COMPUTED_VALUE"""),"https://fb.me/adspreview/facebook/1UgfjdmX0MBxywR")</f>
        <v>https://fb.me/adspreview/facebook/1UgfjdmX0MBxywR</v>
      </c>
    </row>
    <row r="1086">
      <c r="A1086" s="28" t="str">
        <f>IFERROR(__xludf.DUMMYFUNCTION("""COMPUTED_VALUE"""),"2925-ABRSALVC")</f>
        <v>2925-ABRSALVC</v>
      </c>
      <c r="B1086" s="28" t="str">
        <f>IFERROR(__xludf.DUMMYFUNCTION("""COMPUTED_VALUE"""),"RDV Ministros | Gabriel Mraida - Comuna 7")</f>
        <v>RDV Ministros | Gabriel Mraida - Comuna 7</v>
      </c>
      <c r="C1086" s="29" t="str">
        <f>IFERROR(__xludf.DUMMYFUNCTION("""COMPUTED_VALUE"""),"Pieza")</f>
        <v>Pieza</v>
      </c>
      <c r="D1086" s="28" t="str">
        <f>IFERROR(__xludf.DUMMYFUNCTION("""COMPUTED_VALUE"""),"3076-MAYEDUVC")</f>
        <v>3076-MAYEDUVC</v>
      </c>
      <c r="E1086" s="28" t="str">
        <f>IFERROR(__xludf.DUMMYFUNCTION("""COMPUTED_VALUE"""),"RDV MINISTROS | MERCEDES MIGUEL | COMUNA 8 | 29/5")</f>
        <v>RDV MINISTROS | MERCEDES MIGUEL | COMUNA 8 | 29/5</v>
      </c>
      <c r="F1086" s="28"/>
    </row>
    <row r="1087">
      <c r="A1087" s="28" t="str">
        <f>IFERROR(__xludf.DUMMYFUNCTION("""COMPUTED_VALUE"""),"2958-ABRJDGAG")</f>
        <v>2958-ABRJDGAG</v>
      </c>
      <c r="B1087" s="28" t="str">
        <f>IFERROR(__xludf.DUMMYFUNCTION("""COMPUTED_VALUE"""),"RDV JM VILLA DEVOTO 4/5")</f>
        <v>RDV JM VILLA DEVOTO 4/5</v>
      </c>
      <c r="C1087" s="29" t="str">
        <f>IFERROR(__xludf.DUMMYFUNCTION("""COMPUTED_VALUE"""),"Pieza")</f>
        <v>Pieza</v>
      </c>
      <c r="D1087" s="28" t="str">
        <f>IFERROR(__xludf.DUMMYFUNCTION("""COMPUTED_VALUE"""),"3098-MAYEMEGC")</f>
        <v>3098-MAYEMEGC</v>
      </c>
      <c r="E1087" s="28" t="str">
        <f>IFERROR(__xludf.DUMMYFUNCTION("""COMPUTED_VALUE"""),"EMERGENCIAS | Alerta Violeta 26/5")</f>
        <v>EMERGENCIAS | Alerta Violeta 26/5</v>
      </c>
      <c r="F1087" s="29" t="str">
        <f>IFERROR(__xludf.DUMMYFUNCTION("""COMPUTED_VALUE"""),"https://www.facebook.com/GCBA/posts/pfbid0BWWbjFzHSvy2akkqzkGyUfsJ8AtVqaA5yBerrhCbwJs151HBF3J9V24vnFCkvNixl")</f>
        <v>https://www.facebook.com/GCBA/posts/pfbid0BWWbjFzHSvy2akkqzkGyUfsJ8AtVqaA5yBerrhCbwJs151HBF3J9V24vnFCkvNixl</v>
      </c>
    </row>
    <row r="1088">
      <c r="A1088" s="28" t="str">
        <f>IFERROR(__xludf.DUMMYFUNCTION("""COMPUTED_VALUE"""),"2967-ABRAMBVC")</f>
        <v>2967-ABRAMBVC</v>
      </c>
      <c r="B1088" s="28" t="str">
        <f>IFERROR(__xludf.DUMMYFUNCTION("""COMPUTED_VALUE"""),"RDV Ministros | Clara Muzzio - 6/5 - Retiro")</f>
        <v>RDV Ministros | Clara Muzzio - 6/5 - Retiro</v>
      </c>
      <c r="C1088" s="29" t="str">
        <f>IFERROR(__xludf.DUMMYFUNCTION("""COMPUTED_VALUE"""),"Pieza")</f>
        <v>Pieza</v>
      </c>
      <c r="D1088" s="28" t="str">
        <f>IFERROR(__xludf.DUMMYFUNCTION("""COMPUTED_VALUE"""),"3035-MAYJDGAG")</f>
        <v>3035-MAYJDGAG</v>
      </c>
      <c r="E1088" s="28" t="str">
        <f>IFERROR(__xludf.DUMMYFUNCTION("""COMPUTED_VALUE"""),"1 A 1 JM | Comuna 4 22/05")</f>
        <v>1 A 1 JM | Comuna 4 22/05</v>
      </c>
      <c r="F1088" s="29" t="str">
        <f>IFERROR(__xludf.DUMMYFUNCTION("""COMPUTED_VALUE"""),"https://www.facebook.com/reel/1662789154842085/")</f>
        <v>https://www.facebook.com/reel/1662789154842085/</v>
      </c>
    </row>
    <row r="1089">
      <c r="A1089" s="28" t="str">
        <f>IFERROR(__xludf.DUMMYFUNCTION("""COMPUTED_VALUE"""),"2940-ABRAMBVC")</f>
        <v>2940-ABRAMBVC</v>
      </c>
      <c r="B1089" s="28" t="str">
        <f>IFERROR(__xludf.DUMMYFUNCTION("""COMPUTED_VALUE"""),"RDV Ministros | Clara Muzzio - 29/04")</f>
        <v>RDV Ministros | Clara Muzzio - 29/04</v>
      </c>
      <c r="C1089" s="29" t="str">
        <f>IFERROR(__xludf.DUMMYFUNCTION("""COMPUTED_VALUE"""),"Pieza")</f>
        <v>Pieza</v>
      </c>
      <c r="D1089" s="28" t="str">
        <f>IFERROR(__xludf.DUMMYFUNCTION("""COMPUTED_VALUE"""),"3071-MAYFESGC")</f>
        <v>3071-MAYFESGC</v>
      </c>
      <c r="E1089" s="28" t="str">
        <f>IFERROR(__xludf.DUMMYFUNCTION("""COMPUTED_VALUE"""),"POST La noche del obelisco: 90 años")</f>
        <v>POST La noche del obelisco: 90 años</v>
      </c>
      <c r="F1089" s="29" t="str">
        <f>IFERROR(__xludf.DUMMYFUNCTION("""COMPUTED_VALUE"""),"https://www.facebook.com/reel/3916775938627139")</f>
        <v>https://www.facebook.com/reel/3916775938627139</v>
      </c>
    </row>
    <row r="1090">
      <c r="A1090" s="28" t="str">
        <f>IFERROR(__xludf.DUMMYFUNCTION("""COMPUTED_VALUE"""),"2944-ABRINFGC")</f>
        <v>2944-ABRINFGC</v>
      </c>
      <c r="B1090" s="28" t="str">
        <f>IFERROR(__xludf.DUMMYFUNCTION("""COMPUTED_VALUE"""),"FF en todas las autopistas")</f>
        <v>FF en todas las autopistas</v>
      </c>
      <c r="C1090" s="29" t="str">
        <f>IFERROR(__xludf.DUMMYFUNCTION("""COMPUTED_VALUE"""),"Pieza")</f>
        <v>Pieza</v>
      </c>
      <c r="D1090" s="28" t="str">
        <f>IFERROR(__xludf.DUMMYFUNCTION("""COMPUTED_VALUE"""),"3102-MAYJDGAG")</f>
        <v>3102-MAYJDGAG</v>
      </c>
      <c r="E1090" s="28" t="str">
        <f>IFERROR(__xludf.DUMMYFUNCTION("""COMPUTED_VALUE"""),"PRIMERA PERSONA | JM | MARIO PERGOLLINI 1/6")</f>
        <v>PRIMERA PERSONA | JM | MARIO PERGOLLINI 1/6</v>
      </c>
      <c r="F1090" s="29" t="str">
        <f>IFERROR(__xludf.DUMMYFUNCTION("""COMPUTED_VALUE"""),"https://www.facebook.com/GCBA/posts/pfbid0VNG57qB3nVTqxBJbJM9RhGy6zLbn37no46DKGefcch7YeFSakEZK1y1zaycboqGXl")</f>
        <v>https://www.facebook.com/GCBA/posts/pfbid0VNG57qB3nVTqxBJbJM9RhGy6zLbn37no46DKGefcch7YeFSakEZK1y1zaycboqGXl</v>
      </c>
    </row>
    <row r="1091">
      <c r="A1091" s="28" t="str">
        <f>IFERROR(__xludf.DUMMYFUNCTION("""COMPUTED_VALUE"""),"2944-ABRINFGC")</f>
        <v>2944-ABRINFGC</v>
      </c>
      <c r="B1091" s="28" t="str">
        <f>IFERROR(__xludf.DUMMYFUNCTION("""COMPUTED_VALUE"""),"FF en todas las autopistas")</f>
        <v>FF en todas las autopistas</v>
      </c>
      <c r="C1091" s="29" t="str">
        <f>IFERROR(__xludf.DUMMYFUNCTION("""COMPUTED_VALUE"""),"Pieza")</f>
        <v>Pieza</v>
      </c>
      <c r="D1091" s="28" t="str">
        <f>IFERROR(__xludf.DUMMYFUNCTION("""COMPUTED_VALUE"""),"3102-MAYJDGAG")</f>
        <v>3102-MAYJDGAG</v>
      </c>
      <c r="E1091" s="28" t="str">
        <f>IFERROR(__xludf.DUMMYFUNCTION("""COMPUTED_VALUE"""),"PRIMERA PERSONA | JM | MARIO PERGOLLINI 1/6")</f>
        <v>PRIMERA PERSONA | JM | MARIO PERGOLLINI 1/6</v>
      </c>
      <c r="F1091" s="29" t="str">
        <f>IFERROR(__xludf.DUMMYFUNCTION("""COMPUTED_VALUE"""),"https://www.facebook.com/GCBA/posts/pfbid0VNG57qB3nVTqxBJbJM9RhGy6zLbn37no46DKGefcch7YeFSakEZK1y1zaycboqGXl")</f>
        <v>https://www.facebook.com/GCBA/posts/pfbid0VNG57qB3nVTqxBJbJM9RhGy6zLbn37no46DKGefcch7YeFSakEZK1y1zaycboqGXl</v>
      </c>
    </row>
    <row r="1092">
      <c r="A1092" s="28" t="str">
        <f>IFERROR(__xludf.DUMMYFUNCTION("""COMPUTED_VALUE"""),"2962-ABRHYFVC")</f>
        <v>2962-ABRHYFVC</v>
      </c>
      <c r="B1092" s="28" t="str">
        <f>IFERROR(__xludf.DUMMYFUNCTION("""COMPUTED_VALUE"""),"LOMBARDI-TAPIA-PIRAGINE 4/5 EJE CENTRO")</f>
        <v>LOMBARDI-TAPIA-PIRAGINE 4/5 EJE CENTRO</v>
      </c>
      <c r="C1092" s="29" t="str">
        <f>IFERROR(__xludf.DUMMYFUNCTION("""COMPUTED_VALUE"""),"Pieza")</f>
        <v>Pieza</v>
      </c>
      <c r="D1092" s="28" t="str">
        <f>IFERROR(__xludf.DUMMYFUNCTION("""COMPUTED_VALUE"""),"3099-MAYINFGC")</f>
        <v>3099-MAYINFGC</v>
      </c>
      <c r="E1092" s="28" t="str">
        <f>IFERROR(__xludf.DUMMYFUNCTION("""COMPUTED_VALUE"""),"Cortes en Núñez por recital Lali - 6/6 y 7/6")</f>
        <v>Cortes en Núñez por recital Lali - 6/6 y 7/6</v>
      </c>
      <c r="F1092" s="29" t="str">
        <f>IFERROR(__xludf.DUMMYFUNCTION("""COMPUTED_VALUE"""),"https://fb.me/adspreview/facebook/26hl3ef2PRp2J1x")</f>
        <v>https://fb.me/adspreview/facebook/26hl3ef2PRp2J1x</v>
      </c>
    </row>
    <row r="1093">
      <c r="A1093" s="28" t="str">
        <f>IFERROR(__xludf.DUMMYFUNCTION("""COMPUTED_VALUE"""),"2965-ABRINFVC")</f>
        <v>2965-ABRINFVC</v>
      </c>
      <c r="B1093" s="28" t="str">
        <f>IFERROR(__xludf.DUMMYFUNCTION("""COMPUTED_VALUE"""),"RDV Ministros | Pablo Bereciartua - 4/5 - Comuna 15")</f>
        <v>RDV Ministros | Pablo Bereciartua - 4/5 - Comuna 15</v>
      </c>
      <c r="C1093" s="29" t="str">
        <f>IFERROR(__xludf.DUMMYFUNCTION("""COMPUTED_VALUE"""),"Pieza")</f>
        <v>Pieza</v>
      </c>
      <c r="D1093" s="28" t="str">
        <f>IFERROR(__xludf.DUMMYFUNCTION("""COMPUTED_VALUE"""),"3027-MAYINFGC")</f>
        <v>3027-MAYINFGC</v>
      </c>
      <c r="E1093" s="28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F1093" s="29" t="str">
        <f>IFERROR(__xludf.DUMMYFUNCTION("""COMPUTED_VALUE"""),"https://fb.me/adspreview/facebook/2kOc7goI7sZAeKe")</f>
        <v>https://fb.me/adspreview/facebook/2kOc7goI7sZAeKe</v>
      </c>
    </row>
    <row r="1094">
      <c r="A1094" s="28" t="str">
        <f>IFERROR(__xludf.DUMMYFUNCTION("""COMPUTED_VALUE"""),"2964-ABRJDGVC")</f>
        <v>2964-ABRJDGVC</v>
      </c>
      <c r="B1094" s="28" t="str">
        <f>IFERROR(__xludf.DUMMYFUNCTION("""COMPUTED_VALUE"""),"RDV Ministros | Gabriel Sanchez Zinny - 4/5 - Constitución")</f>
        <v>RDV Ministros | Gabriel Sanchez Zinny - 4/5 - Constitución</v>
      </c>
      <c r="C1094" s="29" t="str">
        <f>IFERROR(__xludf.DUMMYFUNCTION("""COMPUTED_VALUE"""),"Pieza")</f>
        <v>Pieza</v>
      </c>
      <c r="D1094" s="28" t="str">
        <f>IFERROR(__xludf.DUMMYFUNCTION("""COMPUTED_VALUE"""),"3078-MAYDECGC")</f>
        <v>3078-MAYDECGC</v>
      </c>
      <c r="E1094" s="28" t="str">
        <f>IFERROR(__xludf.DUMMYFUNCTION("""COMPUTED_VALUE"""),"Barrios a la carta: Chacarita")</f>
        <v>Barrios a la carta: Chacarita</v>
      </c>
      <c r="F1094" s="29" t="str">
        <f>IFERROR(__xludf.DUMMYFUNCTION("""COMPUTED_VALUE"""),"https://www.facebook.com/GCBA/posts/pfbid0oY9243eQEN1s4vr3q4i9c9MTkWTtfjzAv2zSMDXHTwtEwBnaXoezgKYx4ARYMWVwl")</f>
        <v>https://www.facebook.com/GCBA/posts/pfbid0oY9243eQEN1s4vr3q4i9c9MTkWTtfjzAv2zSMDXHTwtEwBnaXoezgKYx4ARYMWVwl</v>
      </c>
    </row>
    <row r="1095">
      <c r="A1095" s="28" t="str">
        <f>IFERROR(__xludf.DUMMYFUNCTION("""COMPUTED_VALUE"""),"2958-ABRJDGAG")</f>
        <v>2958-ABRJDGAG</v>
      </c>
      <c r="B1095" s="28" t="str">
        <f>IFERROR(__xludf.DUMMYFUNCTION("""COMPUTED_VALUE"""),"RDV JM VILLA DEVOTO 4/5")</f>
        <v>RDV JM VILLA DEVOTO 4/5</v>
      </c>
      <c r="C1095" s="29" t="str">
        <f>IFERROR(__xludf.DUMMYFUNCTION("""COMPUTED_VALUE"""),"Pieza")</f>
        <v>Pieza</v>
      </c>
      <c r="D1095" s="28" t="str">
        <f>IFERROR(__xludf.DUMMYFUNCTION("""COMPUTED_VALUE"""),"3078-MAYDECGC")</f>
        <v>3078-MAYDECGC</v>
      </c>
      <c r="E1095" s="28" t="str">
        <f>IFERROR(__xludf.DUMMYFUNCTION("""COMPUTED_VALUE"""),"Barrios a la carta: Chacarita")</f>
        <v>Barrios a la carta: Chacarita</v>
      </c>
      <c r="F1095" s="29" t="str">
        <f>IFERROR(__xludf.DUMMYFUNCTION("""COMPUTED_VALUE"""),"https://www.facebook.com/GCBA/posts/pfbid0oY9243eQEN1s4vr3q4i9c9MTkWTtfjzAv2zSMDXHTwtEwBnaXoezgKYx4ARYMWVwl")</f>
        <v>https://www.facebook.com/GCBA/posts/pfbid0oY9243eQEN1s4vr3q4i9c9MTkWTtfjzAv2zSMDXHTwtEwBnaXoezgKYx4ARYMWVwl</v>
      </c>
    </row>
    <row r="1096">
      <c r="A1096" s="28" t="str">
        <f>IFERROR(__xludf.DUMMYFUNCTION("""COMPUTED_VALUE"""),"2941-ABRPCCVC")</f>
        <v>2941-ABRPCCVC</v>
      </c>
      <c r="B1096" s="28" t="str">
        <f>IFERROR(__xludf.DUMMYFUNCTION("""COMPUTED_VALUE"""),"Experiencia BA | Visita a Torre Monumental")</f>
        <v>Experiencia BA | Visita a Torre Monumental</v>
      </c>
      <c r="C1096" s="29" t="str">
        <f>IFERROR(__xludf.DUMMYFUNCTION("""COMPUTED_VALUE"""),"Pieza")</f>
        <v>Pieza</v>
      </c>
      <c r="D1096" s="28" t="str">
        <f>IFERROR(__xludf.DUMMYFUNCTION("""COMPUTED_VALUE"""),"3111-MAYJDGAG")</f>
        <v>3111-MAYJDGAG</v>
      </c>
      <c r="E1096" s="28" t="str">
        <f>IFERROR(__xludf.DUMMYFUNCTION("""COMPUTED_VALUE"""),"1 A 1 JM | 2/6 COMUNA 7")</f>
        <v>1 A 1 JM | 2/6 COMUNA 7</v>
      </c>
      <c r="F1096" s="29" t="str">
        <f>IFERROR(__xludf.DUMMYFUNCTION("""COMPUTED_VALUE"""),"https://www.facebook.com/GCBA/posts/pfbid0wziBcRv2TwNN7k4WpjsGNTQd32LKhWeQSdjA5RfvCtL7hYf1wG5P6Es1azPTeKyjl")</f>
        <v>https://www.facebook.com/GCBA/posts/pfbid0wziBcRv2TwNN7k4WpjsGNTQd32LKhWeQSdjA5RfvCtL7hYf1wG5P6Es1azPTeKyjl</v>
      </c>
    </row>
    <row r="1097">
      <c r="A1097" s="28" t="str">
        <f>IFERROR(__xludf.DUMMYFUNCTION("""COMPUTED_VALUE"""),"2950-ABRVINGC")</f>
        <v>2950-ABRVINGC</v>
      </c>
      <c r="B1097" s="28" t="str">
        <f>IFERROR(__xludf.DUMMYFUNCTION("""COMPUTED_VALUE"""),"Mas servicios en tu barrio Caballito 9/5")</f>
        <v>Mas servicios en tu barrio Caballito 9/5</v>
      </c>
      <c r="C1097" s="29" t="str">
        <f>IFERROR(__xludf.DUMMYFUNCTION("""COMPUTED_VALUE"""),"Pieza")</f>
        <v>Pieza</v>
      </c>
      <c r="D1097" s="28" t="str">
        <f>IFERROR(__xludf.DUMMYFUNCTION("""COMPUTED_VALUE"""),"3110-MAYJDGAG")</f>
        <v>3110-MAYJDGAG</v>
      </c>
      <c r="E1097" s="28" t="str">
        <f>IFERROR(__xludf.DUMMYFUNCTION("""COMPUTED_VALUE"""),"TE CUENTO BS AS JM | 3/6 ORDEN PÚBLICO EJE SUR")</f>
        <v>TE CUENTO BS AS JM | 3/6 ORDEN PÚBLICO EJE SUR</v>
      </c>
      <c r="F1097" s="29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098">
      <c r="A1098" s="28" t="str">
        <f>IFERROR(__xludf.DUMMYFUNCTION("""COMPUTED_VALUE"""),"2949-ABRVINGC")</f>
        <v>2949-ABRVINGC</v>
      </c>
      <c r="B1098" s="28" t="str">
        <f>IFERROR(__xludf.DUMMYFUNCTION("""COMPUTED_VALUE"""),"Mas servicios en tu barrio Parque Chacabuco 7 y 8 de mayo")</f>
        <v>Mas servicios en tu barrio Parque Chacabuco 7 y 8 de mayo</v>
      </c>
      <c r="C1098" s="29" t="str">
        <f>IFERROR(__xludf.DUMMYFUNCTION("""COMPUTED_VALUE"""),"Pieza")</f>
        <v>Pieza</v>
      </c>
      <c r="D1098" s="28" t="str">
        <f>IFERROR(__xludf.DUMMYFUNCTION("""COMPUTED_VALUE"""),"3110-MAYJDGAG")</f>
        <v>3110-MAYJDGAG</v>
      </c>
      <c r="E1098" s="28" t="str">
        <f>IFERROR(__xludf.DUMMYFUNCTION("""COMPUTED_VALUE"""),"TE CUENTO BS AS JM | 3/6 ORDEN PÚBLICO EJE SUR")</f>
        <v>TE CUENTO BS AS JM | 3/6 ORDEN PÚBLICO EJE SUR</v>
      </c>
      <c r="F1098" s="29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099">
      <c r="A1099" s="28" t="str">
        <f>IFERROR(__xludf.DUMMYFUNCTION("""COMPUTED_VALUE"""),"2953-ABRPCCVC")</f>
        <v>2953-ABRPCCVC</v>
      </c>
      <c r="B1099" s="28" t="str">
        <f>IFERROR(__xludf.DUMMYFUNCTION("""COMPUTED_VALUE"""),"Voluntarios BA | Jornada de adopción perros y gatos")</f>
        <v>Voluntarios BA | Jornada de adopción perros y gatos</v>
      </c>
      <c r="C1099" s="29" t="str">
        <f>IFERROR(__xludf.DUMMYFUNCTION("""COMPUTED_VALUE"""),"Pieza")</f>
        <v>Pieza</v>
      </c>
      <c r="D1099" s="28" t="str">
        <f>IFERROR(__xludf.DUMMYFUNCTION("""COMPUTED_VALUE"""),"2961-ABRSEGGJ")</f>
        <v>2961-ABRSEGGJ</v>
      </c>
      <c r="E1099" s="28" t="str">
        <f>IFERROR(__xludf.DUMMYFUNCTION("""COMPUTED_VALUE"""),"Campaña ORDEN Y SEGURIDAD 2026")</f>
        <v>Campaña ORDEN Y SEGURIDAD 2026</v>
      </c>
      <c r="F1099" s="29" t="str">
        <f>IFERROR(__xludf.DUMMYFUNCTION("""COMPUTED_VALUE"""),"https://www.facebook.com/reel/1458725662138823/")</f>
        <v>https://www.facebook.com/reel/1458725662138823/</v>
      </c>
    </row>
    <row r="1100">
      <c r="A1100" s="28" t="str">
        <f>IFERROR(__xludf.DUMMYFUNCTION("""COMPUTED_VALUE"""),"2969-ABRSEGVC")</f>
        <v>2969-ABRSEGVC</v>
      </c>
      <c r="B1100" s="28" t="str">
        <f>IFERROR(__xludf.DUMMYFUNCTION("""COMPUTED_VALUE"""),"RDV MINISTROS SEGURIDAD | RUTH LANDERRECHE 7/5 COMUNA 2")</f>
        <v>RDV MINISTROS SEGURIDAD | RUTH LANDERRECHE 7/5 COMUNA 2</v>
      </c>
      <c r="C1100" s="29" t="str">
        <f>IFERROR(__xludf.DUMMYFUNCTION("""COMPUTED_VALUE"""),"Pieza")</f>
        <v>Pieza</v>
      </c>
      <c r="D1100" s="28" t="str">
        <f>IFERROR(__xludf.DUMMYFUNCTION("""COMPUTED_VALUE"""),"2961-ABRSEGGJ")</f>
        <v>2961-ABRSEGGJ</v>
      </c>
      <c r="E1100" s="28" t="str">
        <f>IFERROR(__xludf.DUMMYFUNCTION("""COMPUTED_VALUE"""),"Campaña ORDEN Y SEGURIDAD 2026")</f>
        <v>Campaña ORDEN Y SEGURIDAD 2026</v>
      </c>
      <c r="F1100" s="29" t="str">
        <f>IFERROR(__xludf.DUMMYFUNCTION("""COMPUTED_VALUE"""),"https://www.facebook.com/reel/1458725662138823/")</f>
        <v>https://www.facebook.com/reel/1458725662138823/</v>
      </c>
    </row>
    <row r="1101">
      <c r="A1101" s="28" t="str">
        <f>IFERROR(__xludf.DUMMYFUNCTION("""COMPUTED_VALUE"""),"2936-ABRSEGVC")</f>
        <v>2936-ABRSEGVC</v>
      </c>
      <c r="B1101" s="28" t="str">
        <f>IFERROR(__xludf.DUMMYFUNCTION("""COMPUTED_VALUE"""),"RDV MINISTROS | Gabino Tapia 30/4 Comuna 14")</f>
        <v>RDV MINISTROS | Gabino Tapia 30/4 Comuna 14</v>
      </c>
      <c r="C1101" s="29" t="str">
        <f>IFERROR(__xludf.DUMMYFUNCTION("""COMPUTED_VALUE"""),"Pieza")</f>
        <v>Pieza</v>
      </c>
      <c r="D1101" s="28" t="str">
        <f>IFERROR(__xludf.DUMMYFUNCTION("""COMPUTED_VALUE"""),"2961-ABRSEGGJ")</f>
        <v>2961-ABRSEGGJ</v>
      </c>
      <c r="E1101" s="28" t="str">
        <f>IFERROR(__xludf.DUMMYFUNCTION("""COMPUTED_VALUE"""),"Campaña ORDEN Y SEGURIDAD 2026")</f>
        <v>Campaña ORDEN Y SEGURIDAD 2026</v>
      </c>
      <c r="F1101" s="29" t="str">
        <f>IFERROR(__xludf.DUMMYFUNCTION("""COMPUTED_VALUE"""),"https://www.facebook.com/reel/1458725662138823/")</f>
        <v>https://www.facebook.com/reel/1458725662138823/</v>
      </c>
    </row>
    <row r="1102">
      <c r="A1102" s="28" t="str">
        <f>IFERROR(__xludf.DUMMYFUNCTION("""COMPUTED_VALUE"""),"2970-ABRSEGVC")</f>
        <v>2970-ABRSEGVC</v>
      </c>
      <c r="B1102" s="28" t="str">
        <f>IFERROR(__xludf.DUMMYFUNCTION("""COMPUTED_VALUE"""),"RDV MINISTROS SEGURIDAD | FRANCISCO QUINTANA 7/5 COMUNA 1 NORTE")</f>
        <v>RDV MINISTROS SEGURIDAD | FRANCISCO QUINTANA 7/5 COMUNA 1 NORTE</v>
      </c>
      <c r="C1102" s="29" t="str">
        <f>IFERROR(__xludf.DUMMYFUNCTION("""COMPUTED_VALUE"""),"Pieza")</f>
        <v>Pieza</v>
      </c>
      <c r="D1102" s="28" t="str">
        <f>IFERROR(__xludf.DUMMYFUNCTION("""COMPUTED_VALUE"""),"2961-ABRSEGGJ")</f>
        <v>2961-ABRSEGGJ</v>
      </c>
      <c r="E1102" s="28" t="str">
        <f>IFERROR(__xludf.DUMMYFUNCTION("""COMPUTED_VALUE"""),"Campaña ORDEN Y SEGURIDAD 2026")</f>
        <v>Campaña ORDEN Y SEGURIDAD 2026</v>
      </c>
      <c r="F1102" s="29" t="str">
        <f>IFERROR(__xludf.DUMMYFUNCTION("""COMPUTED_VALUE"""),"https://www.facebook.com/reel/1458725662138823/")</f>
        <v>https://www.facebook.com/reel/1458725662138823/</v>
      </c>
    </row>
    <row r="1103">
      <c r="A1103" s="28" t="str">
        <f>IFERROR(__xludf.DUMMYFUNCTION("""COMPUTED_VALUE"""),"2937-ABRSEGVC")</f>
        <v>2937-ABRSEGVC</v>
      </c>
      <c r="B1103" s="28" t="str">
        <f>IFERROR(__xludf.DUMMYFUNCTION("""COMPUTED_VALUE"""),"RDV MINISTROS | Horacio Giménez 30/4 Comuna 15")</f>
        <v>RDV MINISTROS | Horacio Giménez 30/4 Comuna 15</v>
      </c>
      <c r="C1103" s="29" t="str">
        <f>IFERROR(__xludf.DUMMYFUNCTION("""COMPUTED_VALUE"""),"Pieza")</f>
        <v>Pieza</v>
      </c>
      <c r="D1103" s="28" t="str">
        <f>IFERROR(__xludf.DUMMYFUNCTION("""COMPUTED_VALUE"""),"2961-ABRSEGGJ")</f>
        <v>2961-ABRSEGGJ</v>
      </c>
      <c r="E1103" s="28" t="str">
        <f>IFERROR(__xludf.DUMMYFUNCTION("""COMPUTED_VALUE"""),"Campaña ORDEN Y SEGURIDAD 2026")</f>
        <v>Campaña ORDEN Y SEGURIDAD 2026</v>
      </c>
      <c r="F1103" s="29" t="str">
        <f>IFERROR(__xludf.DUMMYFUNCTION("""COMPUTED_VALUE"""),"https://www.facebook.com/reel/1458725662138823/")</f>
        <v>https://www.facebook.com/reel/1458725662138823/</v>
      </c>
    </row>
    <row r="1104">
      <c r="A1104" s="28" t="str">
        <f>IFERROR(__xludf.DUMMYFUNCTION("""COMPUTED_VALUE"""),"2977-MAYEDUVC")</f>
        <v>2977-MAYEDUVC</v>
      </c>
      <c r="B1104" s="28" t="str">
        <f>IFERROR(__xludf.DUMMYFUNCTION("""COMPUTED_VALUE"""),"RDV Ministros | Mercedes Miguel | 7/5 | comuna 14")</f>
        <v>RDV Ministros | Mercedes Miguel | 7/5 | comuna 14</v>
      </c>
      <c r="C1104" s="29" t="str">
        <f>IFERROR(__xludf.DUMMYFUNCTION("""COMPUTED_VALUE"""),"Pieza")</f>
        <v>Pieza</v>
      </c>
      <c r="D1104" s="28" t="str">
        <f>IFERROR(__xludf.DUMMYFUNCTION("""COMPUTED_VALUE"""),"2961-ABRSEGGJ")</f>
        <v>2961-ABRSEGGJ</v>
      </c>
      <c r="E1104" s="28" t="str">
        <f>IFERROR(__xludf.DUMMYFUNCTION("""COMPUTED_VALUE"""),"Campaña ORDEN Y SEGURIDAD 2026")</f>
        <v>Campaña ORDEN Y SEGURIDAD 2026</v>
      </c>
      <c r="F1104" s="29" t="str">
        <f>IFERROR(__xludf.DUMMYFUNCTION("""COMPUTED_VALUE"""),"https://www.facebook.com/reel/1458725662138823/")</f>
        <v>https://www.facebook.com/reel/1458725662138823/</v>
      </c>
    </row>
    <row r="1105">
      <c r="A1105" s="28" t="str">
        <f>IFERROR(__xludf.DUMMYFUNCTION("""COMPUTED_VALUE"""),"2971-ABRSEGVC")</f>
        <v>2971-ABRSEGVC</v>
      </c>
      <c r="B1105" s="28" t="str">
        <f>IFERROR(__xludf.DUMMYFUNCTION("""COMPUTED_VALUE"""),"RDV MINISTROS SEGURIDAD HORACIO GIMÉNEZ 7/5 COMUNA 1 SUR")</f>
        <v>RDV MINISTROS SEGURIDAD HORACIO GIMÉNEZ 7/5 COMUNA 1 SUR</v>
      </c>
      <c r="C1105" s="29" t="str">
        <f>IFERROR(__xludf.DUMMYFUNCTION("""COMPUTED_VALUE"""),"Pieza")</f>
        <v>Pieza</v>
      </c>
      <c r="D1105" s="28" t="str">
        <f>IFERROR(__xludf.DUMMYFUNCTION("""COMPUTED_VALUE"""),"2961-ABRSEGGJ")</f>
        <v>2961-ABRSEGGJ</v>
      </c>
      <c r="E1105" s="28" t="str">
        <f>IFERROR(__xludf.DUMMYFUNCTION("""COMPUTED_VALUE"""),"Campaña ORDEN Y SEGURIDAD 2026")</f>
        <v>Campaña ORDEN Y SEGURIDAD 2026</v>
      </c>
      <c r="F1105" s="29" t="str">
        <f>IFERROR(__xludf.DUMMYFUNCTION("""COMPUTED_VALUE"""),"https://www.facebook.com/reel/1458725662138823/")</f>
        <v>https://www.facebook.com/reel/1458725662138823/</v>
      </c>
    </row>
    <row r="1106">
      <c r="A1106" s="28" t="str">
        <f>IFERROR(__xludf.DUMMYFUNCTION("""COMPUTED_VALUE"""),"2785-MARSALGC")</f>
        <v>2785-MARSALGC</v>
      </c>
      <c r="B1106" s="28" t="str">
        <f>IFERROR(__xludf.DUMMYFUNCTION("""COMPUTED_VALUE"""),"Centro de Cuidados Integrales")</f>
        <v>Centro de Cuidados Integrales</v>
      </c>
      <c r="C1106" s="29" t="str">
        <f>IFERROR(__xludf.DUMMYFUNCTION("""COMPUTED_VALUE"""),"Pieza")</f>
        <v>Pieza</v>
      </c>
      <c r="D1106" s="28" t="str">
        <f>IFERROR(__xludf.DUMMYFUNCTION("""COMPUTED_VALUE"""),"2961-ABRSEGGJ")</f>
        <v>2961-ABRSEGGJ</v>
      </c>
      <c r="E1106" s="28" t="str">
        <f>IFERROR(__xludf.DUMMYFUNCTION("""COMPUTED_VALUE"""),"Campaña ORDEN Y SEGURIDAD 2026")</f>
        <v>Campaña ORDEN Y SEGURIDAD 2026</v>
      </c>
      <c r="F1106" s="29" t="str">
        <f>IFERROR(__xludf.DUMMYFUNCTION("""COMPUTED_VALUE"""),"https://www.facebook.com/reel/1458725662138823/")</f>
        <v>https://www.facebook.com/reel/1458725662138823/</v>
      </c>
    </row>
    <row r="1107">
      <c r="A1107" s="28" t="str">
        <f>IFERROR(__xludf.DUMMYFUNCTION("""COMPUTED_VALUE"""),"2968-ABRSEGVC")</f>
        <v>2968-ABRSEGVC</v>
      </c>
      <c r="B1107" s="28" t="str">
        <f>IFERROR(__xludf.DUMMYFUNCTION("""COMPUTED_VALUE"""),"RDV MINISTROS SEGURIDAD | MAXIMILIANO PIÑEIRO 7/5 COMUNA 3")</f>
        <v>RDV MINISTROS SEGURIDAD | MAXIMILIANO PIÑEIRO 7/5 COMUNA 3</v>
      </c>
      <c r="C1107" s="29" t="str">
        <f>IFERROR(__xludf.DUMMYFUNCTION("""COMPUTED_VALUE"""),"Pieza")</f>
        <v>Pieza</v>
      </c>
      <c r="D1107" s="28" t="str">
        <f>IFERROR(__xludf.DUMMYFUNCTION("""COMPUTED_VALUE"""),"2961-ABRSEGGJ")</f>
        <v>2961-ABRSEGGJ</v>
      </c>
      <c r="E1107" s="28" t="str">
        <f>IFERROR(__xludf.DUMMYFUNCTION("""COMPUTED_VALUE"""),"Campaña ORDEN Y SEGURIDAD 2026")</f>
        <v>Campaña ORDEN Y SEGURIDAD 2026</v>
      </c>
      <c r="F1107" s="29" t="str">
        <f>IFERROR(__xludf.DUMMYFUNCTION("""COMPUTED_VALUE"""),"https://www.facebook.com/reel/1458725662138823/")</f>
        <v>https://www.facebook.com/reel/1458725662138823/</v>
      </c>
    </row>
    <row r="1108">
      <c r="A1108" s="28" t="str">
        <f>IFERROR(__xludf.DUMMYFUNCTION("""COMPUTED_VALUE"""),"2933-ABRSEGVC")</f>
        <v>2933-ABRSEGVC</v>
      </c>
      <c r="B1108" s="28" t="str">
        <f>IFERROR(__xludf.DUMMYFUNCTION("""COMPUTED_VALUE"""),"RDV MINISTROS | Ruth Landerreche 30/4 Comuna 12")</f>
        <v>RDV MINISTROS | Ruth Landerreche 30/4 Comuna 12</v>
      </c>
      <c r="C1108" s="29" t="str">
        <f>IFERROR(__xludf.DUMMYFUNCTION("""COMPUTED_VALUE"""),"Pieza")</f>
        <v>Pieza</v>
      </c>
      <c r="D1108" s="28" t="str">
        <f>IFERROR(__xludf.DUMMYFUNCTION("""COMPUTED_VALUE"""),"2961-ABRSEGGJ")</f>
        <v>2961-ABRSEGGJ</v>
      </c>
      <c r="E1108" s="28" t="str">
        <f>IFERROR(__xludf.DUMMYFUNCTION("""COMPUTED_VALUE"""),"Campaña ORDEN Y SEGURIDAD 2026")</f>
        <v>Campaña ORDEN Y SEGURIDAD 2026</v>
      </c>
      <c r="F1108" s="29" t="str">
        <f>IFERROR(__xludf.DUMMYFUNCTION("""COMPUTED_VALUE"""),"https://www.facebook.com/reel/1458725662138823/")</f>
        <v>https://www.facebook.com/reel/1458725662138823/</v>
      </c>
    </row>
    <row r="1109">
      <c r="A1109" s="28" t="str">
        <f>IFERROR(__xludf.DUMMYFUNCTION("""COMPUTED_VALUE"""),"2980-MAYINFGC")</f>
        <v>2980-MAYINFGC</v>
      </c>
      <c r="B1109" s="28" t="str">
        <f>IFERROR(__xludf.DUMMYFUNCTION("""COMPUTED_VALUE"""),"INFRAESTRUCTIRA | Cortes AU Dellepiane por obras 6/5")</f>
        <v>INFRAESTRUCTIRA | Cortes AU Dellepiane por obras 6/5</v>
      </c>
      <c r="C1109" s="29" t="str">
        <f>IFERROR(__xludf.DUMMYFUNCTION("""COMPUTED_VALUE"""),"Pieza")</f>
        <v>Pieza</v>
      </c>
      <c r="D1109" s="28" t="str">
        <f>IFERROR(__xludf.DUMMYFUNCTION("""COMPUTED_VALUE"""),"2961-ABRSEGGJ")</f>
        <v>2961-ABRSEGGJ</v>
      </c>
      <c r="E1109" s="28" t="str">
        <f>IFERROR(__xludf.DUMMYFUNCTION("""COMPUTED_VALUE"""),"Campaña ORDEN Y SEGURIDAD 2026")</f>
        <v>Campaña ORDEN Y SEGURIDAD 2026</v>
      </c>
      <c r="F1109" s="29" t="str">
        <f>IFERROR(__xludf.DUMMYFUNCTION("""COMPUTED_VALUE"""),"https://www.facebook.com/reel/1458725662138823/")</f>
        <v>https://www.facebook.com/reel/1458725662138823/</v>
      </c>
    </row>
    <row r="1110">
      <c r="A1110" s="28" t="str">
        <f>IFERROR(__xludf.DUMMYFUNCTION("""COMPUTED_VALUE"""),"2963-ABRCULVC")</f>
        <v>2963-ABRCULVC</v>
      </c>
      <c r="B1110" s="28" t="str">
        <f>IFERROR(__xludf.DUMMYFUNCTION("""COMPUTED_VALUE"""),"RDV Ministros | Gabriela Ricardes 6/5 Comuna 12")</f>
        <v>RDV Ministros | Gabriela Ricardes 6/5 Comuna 12</v>
      </c>
      <c r="C1110" s="29" t="str">
        <f>IFERROR(__xludf.DUMMYFUNCTION("""COMPUTED_VALUE"""),"Pieza")</f>
        <v>Pieza</v>
      </c>
      <c r="D1110" s="28" t="str">
        <f>IFERROR(__xludf.DUMMYFUNCTION("""COMPUTED_VALUE"""),"2961-ABRSEGGJ")</f>
        <v>2961-ABRSEGGJ</v>
      </c>
      <c r="E1110" s="28" t="str">
        <f>IFERROR(__xludf.DUMMYFUNCTION("""COMPUTED_VALUE"""),"Campaña ORDEN Y SEGURIDAD 2026")</f>
        <v>Campaña ORDEN Y SEGURIDAD 2026</v>
      </c>
      <c r="F1110" s="29" t="str">
        <f>IFERROR(__xludf.DUMMYFUNCTION("""COMPUTED_VALUE"""),"https://www.facebook.com/reel/1458725662138823/")</f>
        <v>https://www.facebook.com/reel/1458725662138823/</v>
      </c>
    </row>
    <row r="1111">
      <c r="A1111" s="28" t="str">
        <f>IFERROR(__xludf.DUMMYFUNCTION("""COMPUTED_VALUE"""),"2965-ABRINFVC")</f>
        <v>2965-ABRINFVC</v>
      </c>
      <c r="B1111" s="28" t="str">
        <f>IFERROR(__xludf.DUMMYFUNCTION("""COMPUTED_VALUE"""),"RDV Ministros | Pablo Bereciartua - 4/5 - Comuna 15")</f>
        <v>RDV Ministros | Pablo Bereciartua - 4/5 - Comuna 15</v>
      </c>
      <c r="C1111" s="29" t="str">
        <f>IFERROR(__xludf.DUMMYFUNCTION("""COMPUTED_VALUE"""),"Pieza")</f>
        <v>Pieza</v>
      </c>
      <c r="D1111" s="28" t="str">
        <f>IFERROR(__xludf.DUMMYFUNCTION("""COMPUTED_VALUE"""),"2961-ABRSEGGJ")</f>
        <v>2961-ABRSEGGJ</v>
      </c>
      <c r="E1111" s="28" t="str">
        <f>IFERROR(__xludf.DUMMYFUNCTION("""COMPUTED_VALUE"""),"Campaña ORDEN Y SEGURIDAD 2026")</f>
        <v>Campaña ORDEN Y SEGURIDAD 2026</v>
      </c>
      <c r="F1111" s="29" t="str">
        <f>IFERROR(__xludf.DUMMYFUNCTION("""COMPUTED_VALUE"""),"https://www.facebook.com/reel/1458725662138823/")</f>
        <v>https://www.facebook.com/reel/1458725662138823/</v>
      </c>
    </row>
    <row r="1112">
      <c r="A1112" s="28" t="str">
        <f>IFERROR(__xludf.DUMMYFUNCTION("""COMPUTED_VALUE"""),"2964-ABRJDGVC")</f>
        <v>2964-ABRJDGVC</v>
      </c>
      <c r="B1112" s="28" t="str">
        <f>IFERROR(__xludf.DUMMYFUNCTION("""COMPUTED_VALUE"""),"RDV Ministros | Gabriel Sanchez Zinny - 4/5 - Constitución")</f>
        <v>RDV Ministros | Gabriel Sanchez Zinny - 4/5 - Constitución</v>
      </c>
      <c r="C1112" s="29" t="str">
        <f>IFERROR(__xludf.DUMMYFUNCTION("""COMPUTED_VALUE"""),"Pieza")</f>
        <v>Pieza</v>
      </c>
      <c r="D1112" s="28" t="str">
        <f>IFERROR(__xludf.DUMMYFUNCTION("""COMPUTED_VALUE"""),"2961-ABRSEGGJ")</f>
        <v>2961-ABRSEGGJ</v>
      </c>
      <c r="E1112" s="28" t="str">
        <f>IFERROR(__xludf.DUMMYFUNCTION("""COMPUTED_VALUE"""),"Campaña ORDEN Y SEGURIDAD 2026")</f>
        <v>Campaña ORDEN Y SEGURIDAD 2026</v>
      </c>
      <c r="F1112" s="29" t="str">
        <f>IFERROR(__xludf.DUMMYFUNCTION("""COMPUTED_VALUE"""),"https://www.facebook.com/reel/1458725662138823/")</f>
        <v>https://www.facebook.com/reel/1458725662138823/</v>
      </c>
    </row>
    <row r="1113">
      <c r="A1113" s="28" t="str">
        <f>IFERROR(__xludf.DUMMYFUNCTION("""COMPUTED_VALUE"""),"2957-ABRSEGGJ")</f>
        <v>2957-ABRSEGGJ</v>
      </c>
      <c r="B1113" s="28" t="str">
        <f>IFERROR(__xludf.DUMMYFUNCTION("""COMPUTED_VALUE"""),"Desalojo de un taller clandestino en Parque Chas")</f>
        <v>Desalojo de un taller clandestino en Parque Chas</v>
      </c>
      <c r="C1113" s="29" t="str">
        <f>IFERROR(__xludf.DUMMYFUNCTION("""COMPUTED_VALUE"""),"Pieza")</f>
        <v>Pieza</v>
      </c>
      <c r="D1113" s="28" t="str">
        <f>IFERROR(__xludf.DUMMYFUNCTION("""COMPUTED_VALUE"""),"2961-ABRSEGGJ")</f>
        <v>2961-ABRSEGGJ</v>
      </c>
      <c r="E1113" s="28" t="str">
        <f>IFERROR(__xludf.DUMMYFUNCTION("""COMPUTED_VALUE"""),"Campaña ORDEN Y SEGURIDAD 2026")</f>
        <v>Campaña ORDEN Y SEGURIDAD 2026</v>
      </c>
      <c r="F1113" s="29" t="str">
        <f>IFERROR(__xludf.DUMMYFUNCTION("""COMPUTED_VALUE"""),"https://www.facebook.com/reel/1458725662138823/")</f>
        <v>https://www.facebook.com/reel/1458725662138823/</v>
      </c>
    </row>
    <row r="1114">
      <c r="A1114" s="28" t="str">
        <f>IFERROR(__xludf.DUMMYFUNCTION("""COMPUTED_VALUE"""),"2957-ABRSEGGJ")</f>
        <v>2957-ABRSEGGJ</v>
      </c>
      <c r="B1114" s="28" t="str">
        <f>IFERROR(__xludf.DUMMYFUNCTION("""COMPUTED_VALUE"""),"Desalojo de un taller clandestino en Parque Chas")</f>
        <v>Desalojo de un taller clandestino en Parque Chas</v>
      </c>
      <c r="C1114" s="29" t="str">
        <f>IFERROR(__xludf.DUMMYFUNCTION("""COMPUTED_VALUE"""),"Pieza")</f>
        <v>Pieza</v>
      </c>
      <c r="D1114" s="28" t="str">
        <f>IFERROR(__xludf.DUMMYFUNCTION("""COMPUTED_VALUE"""),"3100-MAYSEGGJ")</f>
        <v>3100-MAYSEGGJ</v>
      </c>
      <c r="E1114" s="28" t="str">
        <f>IFERROR(__xludf.DUMMYFUNCTION("""COMPUTED_VALUE"""),"Desalojo N°800")</f>
        <v>Desalojo N°800</v>
      </c>
      <c r="F1114" s="29" t="str">
        <f>IFERROR(__xludf.DUMMYFUNCTION("""COMPUTED_VALUE"""),"https://www.facebook.com/GCBA/posts/pfbid033kEjE9yaGrFdxuHniPNcM7sGu1ettWqv5TxYnj5GWzq8VFtkgjaXQMhw3oghr4Rdl")</f>
        <v>https://www.facebook.com/GCBA/posts/pfbid033kEjE9yaGrFdxuHniPNcM7sGu1ettWqv5TxYnj5GWzq8VFtkgjaXQMhw3oghr4Rdl</v>
      </c>
    </row>
    <row r="1115">
      <c r="A1115" s="28" t="str">
        <f>IFERROR(__xludf.DUMMYFUNCTION("""COMPUTED_VALUE"""),"2985-MAYJDGVC")</f>
        <v>2985-MAYJDGVC</v>
      </c>
      <c r="B1115" s="28" t="str">
        <f>IFERROR(__xludf.DUMMYFUNCTION("""COMPUTED_VALUE"""),"RDV Ministros | Gabriel Sanchéz Zinny - 8/5")</f>
        <v>RDV Ministros | Gabriel Sanchéz Zinny - 8/5</v>
      </c>
      <c r="C1115" s="29" t="str">
        <f>IFERROR(__xludf.DUMMYFUNCTION("""COMPUTED_VALUE"""),"Pieza")</f>
        <v>Pieza</v>
      </c>
      <c r="D1115" s="28" t="str">
        <f>IFERROR(__xludf.DUMMYFUNCTION("""COMPUTED_VALUE"""),"3114-MAYSALGC")</f>
        <v>3114-MAYSALGC</v>
      </c>
      <c r="E1115" s="28" t="str">
        <f>IFERROR(__xludf.DUMMYFUNCTION("""COMPUTED_VALUE"""),"Mejoras en Centros de Salud - CESAC 32")</f>
        <v>Mejoras en Centros de Salud - CESAC 32</v>
      </c>
      <c r="F1115" s="29" t="str">
        <f>IFERROR(__xludf.DUMMYFUNCTION("""COMPUTED_VALUE"""),"https://www.facebook.com/GCBA/posts/pfbid02YqCxszGQER7gereM4ViB14xmZazWkNprFWcAsBzNXzW8JyUUYZjtfcSfzQvqcjD7l")</f>
        <v>https://www.facebook.com/GCBA/posts/pfbid02YqCxszGQER7gereM4ViB14xmZazWkNprFWcAsBzNXzW8JyUUYZjtfcSfzQvqcjD7l</v>
      </c>
    </row>
    <row r="1116">
      <c r="A1116" s="28" t="str">
        <f>IFERROR(__xludf.DUMMYFUNCTION("""COMPUTED_VALUE"""),"2966-ABRSALVC")</f>
        <v>2966-ABRSALVC</v>
      </c>
      <c r="B1116" s="28" t="str">
        <f>IFERROR(__xludf.DUMMYFUNCTION("""COMPUTED_VALUE"""),"RDV Ministros | Fernán Quirós - 5/5 - Comuna 13")</f>
        <v>RDV Ministros | Fernán Quirós - 5/5 - Comuna 13</v>
      </c>
      <c r="C1116" s="29" t="str">
        <f>IFERROR(__xludf.DUMMYFUNCTION("""COMPUTED_VALUE"""),"Pieza")</f>
        <v>Pieza</v>
      </c>
      <c r="D1116" s="28" t="str">
        <f>IFERROR(__xludf.DUMMYFUNCTION("""COMPUTED_VALUE"""),"3109-MAYAMBVC")</f>
        <v>3109-MAYAMBVC</v>
      </c>
      <c r="E1116" s="28" t="str">
        <f>IFERROR(__xludf.DUMMYFUNCTION("""COMPUTED_VALUE"""),"Clara Muzzio - 3/6 Palermo")</f>
        <v>Clara Muzzio - 3/6 Palermo</v>
      </c>
      <c r="F1116" s="28"/>
    </row>
    <row r="1117">
      <c r="A1117" s="28" t="str">
        <f>IFERROR(__xludf.DUMMYFUNCTION("""COMPUTED_VALUE"""),"1942-SEPEPHGC")</f>
        <v>1942-SEPEPHGC</v>
      </c>
      <c r="B1117" s="28" t="str">
        <f>IFERROR(__xludf.DUMMYFUNCTION("""COMPUTED_VALUE"""),"DGPLES | MEPHU  | REPARACIÓN DE VEREDAS")</f>
        <v>DGPLES | MEPHU  | REPARACIÓN DE VEREDAS</v>
      </c>
      <c r="C1117" s="29" t="str">
        <f>IFERROR(__xludf.DUMMYFUNCTION("""COMPUTED_VALUE"""),"Pieza")</f>
        <v>Pieza</v>
      </c>
      <c r="D1117" s="28" t="str">
        <f>IFERROR(__xludf.DUMMYFUNCTION("""COMPUTED_VALUE"""),"3118-MAYINFGJ")</f>
        <v>3118-MAYINFGJ</v>
      </c>
      <c r="E1117" s="28" t="str">
        <f>IFERROR(__xludf.DUMMYFUNCTION("""COMPUTED_VALUE"""),"CONTENIDO ADICIONAL | INFRAESTRUCTURA | Dellepiane Avances")</f>
        <v>CONTENIDO ADICIONAL | INFRAESTRUCTURA | Dellepiane Avances</v>
      </c>
      <c r="F1117" s="28"/>
    </row>
    <row r="1118">
      <c r="A1118" s="28" t="str">
        <f>IFERROR(__xludf.DUMMYFUNCTION("""COMPUTED_VALUE"""),"1943-SEPEPHGC")</f>
        <v>1943-SEPEPHGC</v>
      </c>
      <c r="B1118" s="28" t="str">
        <f>IFERROR(__xludf.DUMMYFUNCTION("""COMPUTED_VALUE"""),"DGPLES | MEPHU  | READOQUINADO")</f>
        <v>DGPLES | MEPHU  | READOQUINADO</v>
      </c>
      <c r="C1118" s="29" t="str">
        <f>IFERROR(__xludf.DUMMYFUNCTION("""COMPUTED_VALUE"""),"Pieza")</f>
        <v>Pieza</v>
      </c>
      <c r="D1118" s="28" t="str">
        <f>IFERROR(__xludf.DUMMYFUNCTION("""COMPUTED_VALUE"""),"3108-MAYSALVC")</f>
        <v>3108-MAYSALVC</v>
      </c>
      <c r="E1118" s="28" t="str">
        <f>IFERROR(__xludf.DUMMYFUNCTION("""COMPUTED_VALUE"""),"Fernán Quirós - 2/6 - Comuna 9")</f>
        <v>Fernán Quirós - 2/6 - Comuna 9</v>
      </c>
      <c r="F1118" s="28"/>
    </row>
    <row r="1119">
      <c r="A1119" s="28" t="str">
        <f>IFERROR(__xludf.DUMMYFUNCTION("""COMPUTED_VALUE"""),"1943-SEPEPHGC")</f>
        <v>1943-SEPEPHGC</v>
      </c>
      <c r="B1119" s="28" t="str">
        <f>IFERROR(__xludf.DUMMYFUNCTION("""COMPUTED_VALUE"""),"DGPLES | MEPHU  | READOQUINADO")</f>
        <v>DGPLES | MEPHU  | READOQUINADO</v>
      </c>
      <c r="C1119" s="29" t="str">
        <f>IFERROR(__xludf.DUMMYFUNCTION("""COMPUTED_VALUE"""),"Pieza")</f>
        <v>Pieza</v>
      </c>
      <c r="D1119" s="28" t="str">
        <f>IFERROR(__xludf.DUMMYFUNCTION("""COMPUTED_VALUE"""),"2496-ENEVINGC")</f>
        <v>2496-ENEVINGC</v>
      </c>
      <c r="E111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19" s="28"/>
    </row>
    <row r="1120">
      <c r="A1120" s="28" t="str">
        <f>IFERROR(__xludf.DUMMYFUNCTION("""COMPUTED_VALUE"""),"2935-ABRSEGVC")</f>
        <v>2935-ABRSEGVC</v>
      </c>
      <c r="B1120" s="28" t="str">
        <f>IFERROR(__xludf.DUMMYFUNCTION("""COMPUTED_VALUE"""),"RDV MINISTROS | Maximiliano Piñeiro 30/4 Comuna 13")</f>
        <v>RDV MINISTROS | Maximiliano Piñeiro 30/4 Comuna 13</v>
      </c>
      <c r="C1120" s="29" t="str">
        <f>IFERROR(__xludf.DUMMYFUNCTION("""COMPUTED_VALUE"""),"Pieza")</f>
        <v>Pieza</v>
      </c>
      <c r="D1120" s="28" t="str">
        <f>IFERROR(__xludf.DUMMYFUNCTION("""COMPUTED_VALUE"""),"2496-ENEVINGC")</f>
        <v>2496-ENEVINGC</v>
      </c>
      <c r="E112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20" s="28"/>
    </row>
    <row r="1121">
      <c r="A1121" s="28" t="str">
        <f>IFERROR(__xludf.DUMMYFUNCTION("""COMPUTED_VALUE"""),"2894-ABRSALGC")</f>
        <v>2894-ABRSALGC</v>
      </c>
      <c r="B1121" s="28" t="str">
        <f>IFERROR(__xludf.DUMMYFUNCTION("""COMPUTED_VALUE"""),"Programa de Escucha Activa")</f>
        <v>Programa de Escucha Activa</v>
      </c>
      <c r="C1121" s="29" t="str">
        <f>IFERROR(__xludf.DUMMYFUNCTION("""COMPUTED_VALUE"""),"Pieza")</f>
        <v>Pieza</v>
      </c>
      <c r="D1121" s="28" t="str">
        <f>IFERROR(__xludf.DUMMYFUNCTION("""COMPUTED_VALUE"""),"3117-MAYSEGVC")</f>
        <v>3117-MAYSEGVC</v>
      </c>
      <c r="E1121" s="28" t="str">
        <f>IFERROR(__xludf.DUMMYFUNCTION("""COMPUTED_VALUE"""),"RDV MINISTROS | EZEQUIEL SABOR 3/6 COMUNA 15")</f>
        <v>RDV MINISTROS | EZEQUIEL SABOR 3/6 COMUNA 15</v>
      </c>
      <c r="F1121" s="28"/>
    </row>
    <row r="1122">
      <c r="A1122" s="28" t="str">
        <f>IFERROR(__xludf.DUMMYFUNCTION("""COMPUTED_VALUE"""),"2894-ABRSALGC")</f>
        <v>2894-ABRSALGC</v>
      </c>
      <c r="B1122" s="28" t="str">
        <f>IFERROR(__xludf.DUMMYFUNCTION("""COMPUTED_VALUE"""),"Programa de Escucha Activa")</f>
        <v>Programa de Escucha Activa</v>
      </c>
      <c r="C1122" s="29" t="str">
        <f>IFERROR(__xludf.DUMMYFUNCTION("""COMPUTED_VALUE"""),"Pieza")</f>
        <v>Pieza</v>
      </c>
      <c r="D1122" s="28" t="str">
        <f>IFERROR(__xludf.DUMMYFUNCTION("""COMPUTED_VALUE"""),"3116-MAYDECVC")</f>
        <v>3116-MAYDECVC</v>
      </c>
      <c r="E1122" s="28" t="str">
        <f>IFERROR(__xludf.DUMMYFUNCTION("""COMPUTED_VALUE"""),"RDV MINISTROS | LOMBARDI-TAPIA-PIRAGINE 1/6 EJE SUR")</f>
        <v>RDV MINISTROS | LOMBARDI-TAPIA-PIRAGINE 1/6 EJE SUR</v>
      </c>
      <c r="F1122" s="28"/>
    </row>
    <row r="1123">
      <c r="A1123" s="28" t="str">
        <f>IFERROR(__xludf.DUMMYFUNCTION("""COMPUTED_VALUE"""),"2982-MAYDECGC")</f>
        <v>2982-MAYDECGC</v>
      </c>
      <c r="B1123" s="28" t="str">
        <f>IFERROR(__xludf.DUMMYFUNCTION("""COMPUTED_VALUE"""),"Cafecito BA en Palermo")</f>
        <v>Cafecito BA en Palermo</v>
      </c>
      <c r="C1123" s="29" t="str">
        <f>IFERROR(__xludf.DUMMYFUNCTION("""COMPUTED_VALUE"""),"Pieza")</f>
        <v>Pieza</v>
      </c>
      <c r="D1123" s="28" t="str">
        <f>IFERROR(__xludf.DUMMYFUNCTION("""COMPUTED_VALUE"""),"3090-MAYINFGC")</f>
        <v>3090-MAYINFGC</v>
      </c>
      <c r="E1123" s="28" t="str">
        <f>IFERROR(__xludf.DUMMYFUNCTION("""COMPUTED_VALUE"""),"Infraestructura I Corte AU Dellepiane por obras (27/5)")</f>
        <v>Infraestructura I Corte AU Dellepiane por obras (27/5)</v>
      </c>
      <c r="F1123" s="29" t="str">
        <f>IFERROR(__xludf.DUMMYFUNCTION("""COMPUTED_VALUE"""),"https://fb.me/adspreview/facebook/1UgfjdmX0MBxywR")</f>
        <v>https://fb.me/adspreview/facebook/1UgfjdmX0MBxywR</v>
      </c>
    </row>
    <row r="1124">
      <c r="A1124" s="28" t="str">
        <f>IFERROR(__xludf.DUMMYFUNCTION("""COMPUTED_VALUE"""),"2969-ABRSEGVC")</f>
        <v>2969-ABRSEGVC</v>
      </c>
      <c r="B1124" s="28" t="str">
        <f>IFERROR(__xludf.DUMMYFUNCTION("""COMPUTED_VALUE"""),"RDV MINISTROS SEGURIDAD | RUTH LANDERRECHE 7/5 COMUNA 2")</f>
        <v>RDV MINISTROS SEGURIDAD | RUTH LANDERRECHE 7/5 COMUNA 2</v>
      </c>
      <c r="C1124" s="29" t="str">
        <f>IFERROR(__xludf.DUMMYFUNCTION("""COMPUTED_VALUE"""),"Pieza")</f>
        <v>Pieza</v>
      </c>
      <c r="D1124" s="28" t="str">
        <f>IFERROR(__xludf.DUMMYFUNCTION("""COMPUTED_VALUE"""),"2720-MARINFGC")</f>
        <v>2720-MARINFGC</v>
      </c>
      <c r="E1124" s="28" t="str">
        <f>IFERROR(__xludf.DUMMYFUNCTION("""COMPUTED_VALUE"""),"INFRAESTRUCTURA | Cortes y desvíos: derrumbe en PP")</f>
        <v>INFRAESTRUCTURA | Cortes y desvíos: derrumbe en PP</v>
      </c>
      <c r="F1124" s="29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1125">
      <c r="A1125" s="28" t="str">
        <f>IFERROR(__xludf.DUMMYFUNCTION("""COMPUTED_VALUE"""),"1921-SEPAMBGC")</f>
        <v>1921-SEPAMBGC</v>
      </c>
      <c r="B1125" s="28" t="str">
        <f>IFERROR(__xludf.DUMMYFUNCTION("""COMPUTED_VALUE"""),"Vacunación Antirrabica Animales")</f>
        <v>Vacunación Antirrabica Animales</v>
      </c>
      <c r="C1125" s="29" t="str">
        <f>IFERROR(__xludf.DUMMYFUNCTION("""COMPUTED_VALUE"""),"Pieza")</f>
        <v>Pieza</v>
      </c>
      <c r="D1125" s="28" t="str">
        <f>IFERROR(__xludf.DUMMYFUNCTION("""COMPUTED_VALUE"""),"3099-MAYINFGC")</f>
        <v>3099-MAYINFGC</v>
      </c>
      <c r="E1125" s="28" t="str">
        <f>IFERROR(__xludf.DUMMYFUNCTION("""COMPUTED_VALUE"""),"Cortes en Núñez por recital Lali - 6/6 y 7/6")</f>
        <v>Cortes en Núñez por recital Lali - 6/6 y 7/6</v>
      </c>
      <c r="F1125" s="29" t="str">
        <f>IFERROR(__xludf.DUMMYFUNCTION("""COMPUTED_VALUE"""),"https://fb.me/adspreview/facebook/26hl3ef2PRp2J1x")</f>
        <v>https://fb.me/adspreview/facebook/26hl3ef2PRp2J1x</v>
      </c>
    </row>
    <row r="1126">
      <c r="A1126" s="28" t="str">
        <f>IFERROR(__xludf.DUMMYFUNCTION("""COMPUTED_VALUE"""),"2970-ABRSEGVC")</f>
        <v>2970-ABRSEGVC</v>
      </c>
      <c r="B1126" s="28" t="str">
        <f>IFERROR(__xludf.DUMMYFUNCTION("""COMPUTED_VALUE"""),"RDV MINISTROS SEGURIDAD | FRANCISCO QUINTANA 7/5 COMUNA 1 NORTE")</f>
        <v>RDV MINISTROS SEGURIDAD | FRANCISCO QUINTANA 7/5 COMUNA 1 NORTE</v>
      </c>
      <c r="C1126" s="29" t="str">
        <f>IFERROR(__xludf.DUMMYFUNCTION("""COMPUTED_VALUE"""),"Pieza")</f>
        <v>Pieza</v>
      </c>
      <c r="D1126" s="28" t="str">
        <f>IFERROR(__xludf.DUMMYFUNCTION("""COMPUTED_VALUE"""),"3101-MAYINFGC")</f>
        <v>3101-MAYINFGC</v>
      </c>
      <c r="E1126" s="28" t="str">
        <f>IFERROR(__xludf.DUMMYFUNCTION("""COMPUTED_VALUE""")," Infraestructura | Cambio de sentido de Montañeses")</f>
        <v> Infraestructura | Cambio de sentido de Montañeses</v>
      </c>
      <c r="F1126" s="29" t="str">
        <f>IFERROR(__xludf.DUMMYFUNCTION("""COMPUTED_VALUE"""),"https://fb.me/adspreview/facebook/1OGmm67Q9rcuEQr")</f>
        <v>https://fb.me/adspreview/facebook/1OGmm67Q9rcuEQr</v>
      </c>
    </row>
    <row r="1127">
      <c r="A1127" s="28" t="str">
        <f>IFERROR(__xludf.DUMMYFUNCTION("""COMPUTED_VALUE"""),"2983-MAYTURGC")</f>
        <v>2983-MAYTURGC</v>
      </c>
      <c r="B1127" s="28" t="str">
        <f>IFERROR(__xludf.DUMMYFUNCTION("""COMPUTED_VALUE""")," Experiencia Mirador Obelisco")</f>
        <v> Experiencia Mirador Obelisco</v>
      </c>
      <c r="C1127" s="29" t="str">
        <f>IFERROR(__xludf.DUMMYFUNCTION("""COMPUTED_VALUE"""),"Pieza")</f>
        <v>Pieza</v>
      </c>
      <c r="D1127" s="28" t="str">
        <f>IFERROR(__xludf.DUMMYFUNCTION("""COMPUTED_VALUE"""),"2930-ABRINFGC")</f>
        <v>2930-ABRINFGC</v>
      </c>
      <c r="E1127" s="28" t="str">
        <f>IFERROR(__xludf.DUMMYFUNCTION("""COMPUTED_VALUE""")," Infraestructura: Corte AU Dellepiane por obras hidráulicas")</f>
        <v> Infraestructura: Corte AU Dellepiane por obras hidráulicas</v>
      </c>
      <c r="F1127" s="29" t="str">
        <f>IFERROR(__xludf.DUMMYFUNCTION("""COMPUTED_VALUE"""),"https://fb.me/adspreview/facebook/21SFcpMuCGdv3RC")</f>
        <v>https://fb.me/adspreview/facebook/21SFcpMuCGdv3RC</v>
      </c>
    </row>
    <row r="1128">
      <c r="A1128" s="28" t="str">
        <f>IFERROR(__xludf.DUMMYFUNCTION("""COMPUTED_VALUE"""),"2971-ABRSEGVC")</f>
        <v>2971-ABRSEGVC</v>
      </c>
      <c r="B1128" s="28" t="str">
        <f>IFERROR(__xludf.DUMMYFUNCTION("""COMPUTED_VALUE"""),"RDV MINISTROS SEGURIDAD HORACIO GIMÉNEZ 7/5 COMUNA 1 SUR")</f>
        <v>RDV MINISTROS SEGURIDAD HORACIO GIMÉNEZ 7/5 COMUNA 1 SUR</v>
      </c>
      <c r="C1128" s="29" t="str">
        <f>IFERROR(__xludf.DUMMYFUNCTION("""COMPUTED_VALUE"""),"Pieza")</f>
        <v>Pieza</v>
      </c>
      <c r="D1128" s="28" t="str">
        <f>IFERROR(__xludf.DUMMYFUNCTION("""COMPUTED_VALUE"""),"3114-MAYSALGC")</f>
        <v>3114-MAYSALGC</v>
      </c>
      <c r="E1128" s="28" t="str">
        <f>IFERROR(__xludf.DUMMYFUNCTION("""COMPUTED_VALUE"""),"Mejoras en Centros de Salud - CESAC 32")</f>
        <v>Mejoras en Centros de Salud - CESAC 32</v>
      </c>
      <c r="F1128" s="29" t="str">
        <f>IFERROR(__xludf.DUMMYFUNCTION("""COMPUTED_VALUE"""),"https://www.facebook.com/GCBA/posts/pfbid02YqCxszGQER7gereM4ViB14xmZazWkNprFWcAsBzNXzW8JyUUYZjtfcSfzQvqcjD7l")</f>
        <v>https://www.facebook.com/GCBA/posts/pfbid02YqCxszGQER7gereM4ViB14xmZazWkNprFWcAsBzNXzW8JyUUYZjtfcSfzQvqcjD7l</v>
      </c>
    </row>
    <row r="1129">
      <c r="A1129" s="28" t="str">
        <f>IFERROR(__xludf.DUMMYFUNCTION("""COMPUTED_VALUE"""),"2977-MAYEDUVC")</f>
        <v>2977-MAYEDUVC</v>
      </c>
      <c r="B1129" s="28" t="str">
        <f>IFERROR(__xludf.DUMMYFUNCTION("""COMPUTED_VALUE"""),"RDV Ministros | Mercedes Miguel | 7/5 | comuna 14")</f>
        <v>RDV Ministros | Mercedes Miguel | 7/5 | comuna 14</v>
      </c>
      <c r="C1129" s="29" t="str">
        <f>IFERROR(__xludf.DUMMYFUNCTION("""COMPUTED_VALUE"""),"Pieza")</f>
        <v>Pieza</v>
      </c>
      <c r="D1129" s="28" t="str">
        <f>IFERROR(__xludf.DUMMYFUNCTION("""COMPUTED_VALUE"""),"3109-MAYAMBVC")</f>
        <v>3109-MAYAMBVC</v>
      </c>
      <c r="E1129" s="28" t="str">
        <f>IFERROR(__xludf.DUMMYFUNCTION("""COMPUTED_VALUE"""),"Clara Muzzio - 3/6 Palermo")</f>
        <v>Clara Muzzio - 3/6 Palermo</v>
      </c>
      <c r="F1129" s="28"/>
    </row>
    <row r="1130">
      <c r="A1130" s="28" t="str">
        <f>IFERROR(__xludf.DUMMYFUNCTION("""COMPUTED_VALUE"""),"2968-ABRSEGVC")</f>
        <v>2968-ABRSEGVC</v>
      </c>
      <c r="B1130" s="28" t="str">
        <f>IFERROR(__xludf.DUMMYFUNCTION("""COMPUTED_VALUE"""),"RDV MINISTROS SEGURIDAD | MAXIMILIANO PIÑEIRO 7/5 COMUNA 3")</f>
        <v>RDV MINISTROS SEGURIDAD | MAXIMILIANO PIÑEIRO 7/5 COMUNA 3</v>
      </c>
      <c r="C1130" s="29" t="str">
        <f>IFERROR(__xludf.DUMMYFUNCTION("""COMPUTED_VALUE"""),"Pieza")</f>
        <v>Pieza</v>
      </c>
      <c r="D1130" s="28" t="str">
        <f>IFERROR(__xludf.DUMMYFUNCTION("""COMPUTED_VALUE"""),"2775-MARSEGGJ")</f>
        <v>2775-MARSEGGJ</v>
      </c>
      <c r="E1130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1130" s="29" t="str">
        <f>IFERROR(__xludf.DUMMYFUNCTION("""COMPUTED_VALUE"""),"https://www.facebook.com/reel/1476952487457454")</f>
        <v>https://www.facebook.com/reel/1476952487457454</v>
      </c>
    </row>
    <row r="1131">
      <c r="A1131" s="28" t="str">
        <f>IFERROR(__xludf.DUMMYFUNCTION("""COMPUTED_VALUE"""),"1964-SEPEPHGC")</f>
        <v>1964-SEPEPHGC</v>
      </c>
      <c r="B1131" s="28" t="str">
        <f>IFERROR(__xludf.DUMMYFUNCTION("""COMPUTED_VALUE"""),"MEPHU RECAMBIO TECNOLÓGICO M2")</f>
        <v>MEPHU RECAMBIO TECNOLÓGICO M2</v>
      </c>
      <c r="C1131" s="29" t="str">
        <f>IFERROR(__xludf.DUMMYFUNCTION("""COMPUTED_VALUE"""),"Pieza")</f>
        <v>Pieza</v>
      </c>
      <c r="D1131" s="28" t="str">
        <f>IFERROR(__xludf.DUMMYFUNCTION("""COMPUTED_VALUE"""),"2775-MARSEGGJ")</f>
        <v>2775-MARSEGGJ</v>
      </c>
      <c r="E1131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1131" s="29" t="str">
        <f>IFERROR(__xludf.DUMMYFUNCTION("""COMPUTED_VALUE"""),"https://www.facebook.com/reel/1476952487457454")</f>
        <v>https://www.facebook.com/reel/1476952487457454</v>
      </c>
    </row>
    <row r="1132">
      <c r="A1132" s="28" t="str">
        <f>IFERROR(__xludf.DUMMYFUNCTION("""COMPUTED_VALUE"""),"2996-MAYEMEGC")</f>
        <v>2996-MAYEMEGC</v>
      </c>
      <c r="B1132" s="28" t="str">
        <f>IFERROR(__xludf.DUMMYFUNCTION("""COMPUTED_VALUE"""),"Alerta Naranja")</f>
        <v>Alerta Naranja</v>
      </c>
      <c r="C1132" s="29" t="str">
        <f>IFERROR(__xludf.DUMMYFUNCTION("""COMPUTED_VALUE"""),"Pieza")</f>
        <v>Pieza</v>
      </c>
      <c r="D1132" s="28" t="str">
        <f>IFERROR(__xludf.DUMMYFUNCTION("""COMPUTED_VALUE"""),"3117-MAYSEGVC")</f>
        <v>3117-MAYSEGVC</v>
      </c>
      <c r="E1132" s="28" t="str">
        <f>IFERROR(__xludf.DUMMYFUNCTION("""COMPUTED_VALUE"""),"RDV MINISTROS | EZEQUIEL SABOR 3/6 COMUNA 15")</f>
        <v>RDV MINISTROS | EZEQUIEL SABOR 3/6 COMUNA 15</v>
      </c>
      <c r="F1132" s="28"/>
    </row>
    <row r="1133">
      <c r="A1133" s="28" t="str">
        <f>IFERROR(__xludf.DUMMYFUNCTION("""COMPUTED_VALUE"""),"2996-MAYEMEGC")</f>
        <v>2996-MAYEMEGC</v>
      </c>
      <c r="B1133" s="28" t="str">
        <f>IFERROR(__xludf.DUMMYFUNCTION("""COMPUTED_VALUE"""),"Alerta Naranja")</f>
        <v>Alerta Naranja</v>
      </c>
      <c r="C1133" s="29" t="str">
        <f>IFERROR(__xludf.DUMMYFUNCTION("""COMPUTED_VALUE"""),"Pieza")</f>
        <v>Pieza</v>
      </c>
      <c r="D1133" s="28" t="str">
        <f>IFERROR(__xludf.DUMMYFUNCTION("""COMPUTED_VALUE"""),"2673-MARSALGC")</f>
        <v>2673-MARSALGC</v>
      </c>
      <c r="E1133" s="28" t="str">
        <f>IFERROR(__xludf.DUMMYFUNCTION("""COMPUTED_VALUE"""),"Mejoras en Centros de Salud")</f>
        <v>Mejoras en Centros de Salud</v>
      </c>
      <c r="F1133" s="29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134">
      <c r="A1134" s="28" t="str">
        <f>IFERROR(__xludf.DUMMYFUNCTION("""COMPUTED_VALUE"""),"2984-MAYAMBVC")</f>
        <v>2984-MAYAMBVC</v>
      </c>
      <c r="B1134" s="28" t="str">
        <f>IFERROR(__xludf.DUMMYFUNCTION("""COMPUTED_VALUE"""),"RDV Ministros | Clara Muzzio - 8/5 - Temática")</f>
        <v>RDV Ministros | Clara Muzzio - 8/5 - Temática</v>
      </c>
      <c r="C1134" s="29" t="str">
        <f>IFERROR(__xludf.DUMMYFUNCTION("""COMPUTED_VALUE"""),"Pieza")</f>
        <v>Pieza</v>
      </c>
      <c r="D1134" s="28" t="str">
        <f>IFERROR(__xludf.DUMMYFUNCTION("""COMPUTED_VALUE"""),"2673-MARSALGC")</f>
        <v>2673-MARSALGC</v>
      </c>
      <c r="E1134" s="28" t="str">
        <f>IFERROR(__xludf.DUMMYFUNCTION("""COMPUTED_VALUE"""),"Mejoras en Centros de Salud")</f>
        <v>Mejoras en Centros de Salud</v>
      </c>
      <c r="F1134" s="29" t="str">
        <f>IFERROR(__xludf.DUMMYFUNCTION("""COMPUTED_VALUE"""),"https://www.facebook.com/GCBA/posts/pfbid0KaN8VK5HPLqjRy6qRgxyBF2wmSBx5kdmXWyHo2mJKUmzLodczR2ze3E1CWbBxpinl")</f>
        <v>https://www.facebook.com/GCBA/posts/pfbid0KaN8VK5HPLqjRy6qRgxyBF2wmSBx5kdmXWyHo2mJKUmzLodczR2ze3E1CWbBxpinl</v>
      </c>
    </row>
    <row r="1135">
      <c r="A1135" s="28" t="str">
        <f>IFERROR(__xludf.DUMMYFUNCTION("""COMPUTED_VALUE"""),"2981-MAYPCCVC")</f>
        <v>2981-MAYPCCVC</v>
      </c>
      <c r="B1135" s="28" t="str">
        <f>IFERROR(__xludf.DUMMYFUNCTION("""COMPUTED_VALUE"""),"Experiencia BA | Circuito Riachuelo")</f>
        <v>Experiencia BA | Circuito Riachuelo</v>
      </c>
      <c r="C1135" s="29" t="str">
        <f>IFERROR(__xludf.DUMMYFUNCTION("""COMPUTED_VALUE"""),"Pieza")</f>
        <v>Pieza</v>
      </c>
      <c r="D1135" s="28" t="str">
        <f>IFERROR(__xludf.DUMMYFUNCTION("""COMPUTED_VALUE"""),"3051-MAYSEGGJ")</f>
        <v>3051-MAYSEGGJ</v>
      </c>
      <c r="E1135" s="28" t="str">
        <f>IFERROR(__xludf.DUMMYFUNCTION("""COMPUTED_VALUE"""),"Operativo Tormenta Negra")</f>
        <v>Operativo Tormenta Negra</v>
      </c>
      <c r="F1135" s="29" t="str">
        <f>IFERROR(__xludf.DUMMYFUNCTION("""COMPUTED_VALUE"""),"https://www.facebook.com/reel/1000083625809942/")</f>
        <v>https://www.facebook.com/reel/1000083625809942/</v>
      </c>
    </row>
    <row r="1136">
      <c r="A1136" s="28" t="str">
        <f>IFERROR(__xludf.DUMMYFUNCTION("""COMPUTED_VALUE"""),"1921-SEPAMBGC")</f>
        <v>1921-SEPAMBGC</v>
      </c>
      <c r="B1136" s="28" t="str">
        <f>IFERROR(__xludf.DUMMYFUNCTION("""COMPUTED_VALUE"""),"Vacunación Antirrabica Animales")</f>
        <v>Vacunación Antirrabica Animales</v>
      </c>
      <c r="C1136" s="29" t="str">
        <f>IFERROR(__xludf.DUMMYFUNCTION("""COMPUTED_VALUE"""),"Pieza")</f>
        <v>Pieza</v>
      </c>
      <c r="D1136" s="28" t="str">
        <f>IFERROR(__xludf.DUMMYFUNCTION("""COMPUTED_VALUE"""),"3035-MAYJDGAG")</f>
        <v>3035-MAYJDGAG</v>
      </c>
      <c r="E1136" s="28" t="str">
        <f>IFERROR(__xludf.DUMMYFUNCTION("""COMPUTED_VALUE"""),"1 A 1 JM | Comuna 4 22/05")</f>
        <v>1 A 1 JM | Comuna 4 22/05</v>
      </c>
      <c r="F1136" s="29" t="str">
        <f>IFERROR(__xludf.DUMMYFUNCTION("""COMPUTED_VALUE"""),"https://www.facebook.com/reel/1662789154842085/")</f>
        <v>https://www.facebook.com/reel/1662789154842085/</v>
      </c>
    </row>
    <row r="1137">
      <c r="A1137" s="28" t="str">
        <f>IFERROR(__xludf.DUMMYFUNCTION("""COMPUTED_VALUE"""),"1921-SEPAMBGC")</f>
        <v>1921-SEPAMBGC</v>
      </c>
      <c r="B1137" s="28" t="str">
        <f>IFERROR(__xludf.DUMMYFUNCTION("""COMPUTED_VALUE"""),"Vacunación Antirrabica Animales")</f>
        <v>Vacunación Antirrabica Animales</v>
      </c>
      <c r="C1137" s="29" t="str">
        <f>IFERROR(__xludf.DUMMYFUNCTION("""COMPUTED_VALUE"""),"Pieza")</f>
        <v>Pieza</v>
      </c>
      <c r="D1137" s="28" t="str">
        <f>IFERROR(__xludf.DUMMYFUNCTION("""COMPUTED_VALUE"""),"2961-ABRSEGGJ")</f>
        <v>2961-ABRSEGGJ</v>
      </c>
      <c r="E1137" s="28" t="str">
        <f>IFERROR(__xludf.DUMMYFUNCTION("""COMPUTED_VALUE"""),"Campaña ORDEN Y SEGURIDAD 2026")</f>
        <v>Campaña ORDEN Y SEGURIDAD 2026</v>
      </c>
      <c r="F1137" s="29" t="str">
        <f>IFERROR(__xludf.DUMMYFUNCTION("""COMPUTED_VALUE"""),"https://www.facebook.com/reel/1458725662138823")</f>
        <v>https://www.facebook.com/reel/1458725662138823</v>
      </c>
    </row>
    <row r="1138">
      <c r="A1138" s="28" t="str">
        <f>IFERROR(__xludf.DUMMYFUNCTION("""COMPUTED_VALUE"""),"2962-ABRHYFVC")</f>
        <v>2962-ABRHYFVC</v>
      </c>
      <c r="B1138" s="28" t="str">
        <f>IFERROR(__xludf.DUMMYFUNCTION("""COMPUTED_VALUE"""),"LOMBARDI-TAPIA-PIRAGINE 4/5 EJE CENTRO")</f>
        <v>LOMBARDI-TAPIA-PIRAGINE 4/5 EJE CENTRO</v>
      </c>
      <c r="C1138" s="29" t="str">
        <f>IFERROR(__xludf.DUMMYFUNCTION("""COMPUTED_VALUE"""),"Pieza")</f>
        <v>Pieza</v>
      </c>
      <c r="D1138" s="28" t="str">
        <f>IFERROR(__xludf.DUMMYFUNCTION("""COMPUTED_VALUE"""),"2961-ABRSEGGJ")</f>
        <v>2961-ABRSEGGJ</v>
      </c>
      <c r="E1138" s="28" t="str">
        <f>IFERROR(__xludf.DUMMYFUNCTION("""COMPUTED_VALUE"""),"Campaña ORDEN Y SEGURIDAD 2026")</f>
        <v>Campaña ORDEN Y SEGURIDAD 2026</v>
      </c>
      <c r="F1138" s="29" t="str">
        <f>IFERROR(__xludf.DUMMYFUNCTION("""COMPUTED_VALUE"""),"https://www.facebook.com/reel/1458725662138823/")</f>
        <v>https://www.facebook.com/reel/1458725662138823/</v>
      </c>
    </row>
    <row r="1139">
      <c r="A1139" s="28" t="str">
        <f>IFERROR(__xludf.DUMMYFUNCTION("""COMPUTED_VALUE"""),"2963-ABRCULVC")</f>
        <v>2963-ABRCULVC</v>
      </c>
      <c r="B1139" s="28" t="str">
        <f>IFERROR(__xludf.DUMMYFUNCTION("""COMPUTED_VALUE"""),"RDV Ministros | Gabriela Ricardes 6/5 Comuna 12")</f>
        <v>RDV Ministros | Gabriela Ricardes 6/5 Comuna 12</v>
      </c>
      <c r="C1139" s="29" t="str">
        <f>IFERROR(__xludf.DUMMYFUNCTION("""COMPUTED_VALUE"""),"Pieza")</f>
        <v>Pieza</v>
      </c>
      <c r="D1139" s="28" t="str">
        <f>IFERROR(__xludf.DUMMYFUNCTION("""COMPUTED_VALUE"""),"2961-ABRSEGGJ")</f>
        <v>2961-ABRSEGGJ</v>
      </c>
      <c r="E1139" s="28" t="str">
        <f>IFERROR(__xludf.DUMMYFUNCTION("""COMPUTED_VALUE"""),"Campaña ORDEN Y SEGURIDAD 2026")</f>
        <v>Campaña ORDEN Y SEGURIDAD 2026</v>
      </c>
      <c r="F1139" s="29" t="str">
        <f>IFERROR(__xludf.DUMMYFUNCTION("""COMPUTED_VALUE"""),"https://www.facebook.com/reel/1458725662138823/")</f>
        <v>https://www.facebook.com/reel/1458725662138823/</v>
      </c>
    </row>
    <row r="1140">
      <c r="A1140" s="28" t="str">
        <f>IFERROR(__xludf.DUMMYFUNCTION("""COMPUTED_VALUE"""),"2986-MAYINFGC")</f>
        <v>2986-MAYINFGC</v>
      </c>
      <c r="B1140" s="28" t="str">
        <f>IFERROR(__xludf.DUMMYFUNCTION("""COMPUTED_VALUE"""),"Infraestructura I Cortes de tránsito por Unión Europea 15k Bs. As. Run 2026")</f>
        <v>Infraestructura I Cortes de tránsito por Unión Europea 15k Bs. As. Run 2026</v>
      </c>
      <c r="C1140" s="29" t="str">
        <f>IFERROR(__xludf.DUMMYFUNCTION("""COMPUTED_VALUE"""),"Pieza")</f>
        <v>Pieza</v>
      </c>
      <c r="D1140" s="28" t="str">
        <f>IFERROR(__xludf.DUMMYFUNCTION("""COMPUTED_VALUE"""),"2961-ABRSEGGJ")</f>
        <v>2961-ABRSEGGJ</v>
      </c>
      <c r="E1140" s="28" t="str">
        <f>IFERROR(__xludf.DUMMYFUNCTION("""COMPUTED_VALUE"""),"Campaña ORDEN Y SEGURIDAD 2026")</f>
        <v>Campaña ORDEN Y SEGURIDAD 2026</v>
      </c>
      <c r="F1140" s="29" t="str">
        <f>IFERROR(__xludf.DUMMYFUNCTION("""COMPUTED_VALUE"""),"https://www.facebook.com/reel/1458725662138823/")</f>
        <v>https://www.facebook.com/reel/1458725662138823/</v>
      </c>
    </row>
    <row r="1141">
      <c r="A1141" s="28" t="str">
        <f>IFERROR(__xludf.DUMMYFUNCTION("""COMPUTED_VALUE"""),"2985-MAYJDGVC")</f>
        <v>2985-MAYJDGVC</v>
      </c>
      <c r="B1141" s="28" t="str">
        <f>IFERROR(__xludf.DUMMYFUNCTION("""COMPUTED_VALUE"""),"RDV Ministros | Gabriel Sanchéz Zinny - 8/5")</f>
        <v>RDV Ministros | Gabriel Sanchéz Zinny - 8/5</v>
      </c>
      <c r="C1141" s="29" t="str">
        <f>IFERROR(__xludf.DUMMYFUNCTION("""COMPUTED_VALUE"""),"Pieza")</f>
        <v>Pieza</v>
      </c>
      <c r="D1141" s="28" t="str">
        <f>IFERROR(__xludf.DUMMYFUNCTION("""COMPUTED_VALUE"""),"2961-ABRSEGGJ")</f>
        <v>2961-ABRSEGGJ</v>
      </c>
      <c r="E1141" s="28" t="str">
        <f>IFERROR(__xludf.DUMMYFUNCTION("""COMPUTED_VALUE"""),"Campaña ORDEN Y SEGURIDAD 2026")</f>
        <v>Campaña ORDEN Y SEGURIDAD 2026</v>
      </c>
      <c r="F1141" s="29" t="str">
        <f>IFERROR(__xludf.DUMMYFUNCTION("""COMPUTED_VALUE"""),"https://www.facebook.com/reel/1458725662138823/")</f>
        <v>https://www.facebook.com/reel/1458725662138823/</v>
      </c>
    </row>
    <row r="1142">
      <c r="A1142" s="28" t="str">
        <f>IFERROR(__xludf.DUMMYFUNCTION("""COMPUTED_VALUE"""),"2900-ABREDUGC")</f>
        <v>2900-ABREDUGC</v>
      </c>
      <c r="B1142" s="28" t="str">
        <f>IFERROR(__xludf.DUMMYFUNCTION("""COMPUTED_VALUE"""),"NUEVA SEDE TUMO NUÑEZ")</f>
        <v>NUEVA SEDE TUMO NUÑEZ</v>
      </c>
      <c r="C1142" s="29" t="str">
        <f>IFERROR(__xludf.DUMMYFUNCTION("""COMPUTED_VALUE"""),"Pieza")</f>
        <v>Pieza</v>
      </c>
      <c r="D1142" s="28" t="str">
        <f>IFERROR(__xludf.DUMMYFUNCTION("""COMPUTED_VALUE"""),"2961-ABRSEGGJ")</f>
        <v>2961-ABRSEGGJ</v>
      </c>
      <c r="E1142" s="28" t="str">
        <f>IFERROR(__xludf.DUMMYFUNCTION("""COMPUTED_VALUE"""),"Campaña ORDEN Y SEGURIDAD 2026")</f>
        <v>Campaña ORDEN Y SEGURIDAD 2026</v>
      </c>
      <c r="F1142" s="29" t="str">
        <f>IFERROR(__xludf.DUMMYFUNCTION("""COMPUTED_VALUE"""),"https://www.facebook.com/reel/1458725662138823/")</f>
        <v>https://www.facebook.com/reel/1458725662138823/</v>
      </c>
    </row>
    <row r="1143">
      <c r="A1143" s="28" t="str">
        <f>IFERROR(__xludf.DUMMYFUNCTION("""COMPUTED_VALUE"""),"2971-ABRSEGVC")</f>
        <v>2971-ABRSEGVC</v>
      </c>
      <c r="B1143" s="28" t="str">
        <f>IFERROR(__xludf.DUMMYFUNCTION("""COMPUTED_VALUE"""),"RDV MINISTROS SEGURIDAD HORACIO GIMÉNEZ 7/5 COMUNA 1 SUR")</f>
        <v>RDV MINISTROS SEGURIDAD HORACIO GIMÉNEZ 7/5 COMUNA 1 SUR</v>
      </c>
      <c r="C1143" s="29" t="str">
        <f>IFERROR(__xludf.DUMMYFUNCTION("""COMPUTED_VALUE"""),"Pieza")</f>
        <v>Pieza</v>
      </c>
      <c r="D1143" s="28" t="str">
        <f>IFERROR(__xludf.DUMMYFUNCTION("""COMPUTED_VALUE"""),"2961-ABRSEGGJ")</f>
        <v>2961-ABRSEGGJ</v>
      </c>
      <c r="E1143" s="28" t="str">
        <f>IFERROR(__xludf.DUMMYFUNCTION("""COMPUTED_VALUE"""),"Campaña ORDEN Y SEGURIDAD 2026")</f>
        <v>Campaña ORDEN Y SEGURIDAD 2026</v>
      </c>
      <c r="F1143" s="29" t="str">
        <f>IFERROR(__xludf.DUMMYFUNCTION("""COMPUTED_VALUE"""),"https://www.facebook.com/reel/1458725662138823/")</f>
        <v>https://www.facebook.com/reel/1458725662138823/</v>
      </c>
    </row>
    <row r="1144">
      <c r="A1144" s="28" t="str">
        <f>IFERROR(__xludf.DUMMYFUNCTION("""COMPUTED_VALUE"""),"2966-ABRSALVC")</f>
        <v>2966-ABRSALVC</v>
      </c>
      <c r="B1144" s="28" t="str">
        <f>IFERROR(__xludf.DUMMYFUNCTION("""COMPUTED_VALUE"""),"RDV Ministros | Fernán Quirós - 5/5 - Comuna 13")</f>
        <v>RDV Ministros | Fernán Quirós - 5/5 - Comuna 13</v>
      </c>
      <c r="C1144" s="29" t="str">
        <f>IFERROR(__xludf.DUMMYFUNCTION("""COMPUTED_VALUE"""),"Pieza")</f>
        <v>Pieza</v>
      </c>
      <c r="D1144" s="28" t="str">
        <f>IFERROR(__xludf.DUMMYFUNCTION("""COMPUTED_VALUE"""),"2961-ABRSEGGJ")</f>
        <v>2961-ABRSEGGJ</v>
      </c>
      <c r="E1144" s="28" t="str">
        <f>IFERROR(__xludf.DUMMYFUNCTION("""COMPUTED_VALUE"""),"Campaña ORDEN Y SEGURIDAD 2026")</f>
        <v>Campaña ORDEN Y SEGURIDAD 2026</v>
      </c>
      <c r="F1144" s="29" t="str">
        <f>IFERROR(__xludf.DUMMYFUNCTION("""COMPUTED_VALUE"""),"https://www.facebook.com/reel/1458725662138823/")</f>
        <v>https://www.facebook.com/reel/1458725662138823/</v>
      </c>
    </row>
    <row r="1145">
      <c r="A1145" s="28" t="str">
        <f>IFERROR(__xludf.DUMMYFUNCTION("""COMPUTED_VALUE"""),"2967-ABRAMBVC")</f>
        <v>2967-ABRAMBVC</v>
      </c>
      <c r="B1145" s="28" t="str">
        <f>IFERROR(__xludf.DUMMYFUNCTION("""COMPUTED_VALUE"""),"RDV Ministros | Clara Muzzio - 6/5 - Retiro")</f>
        <v>RDV Ministros | Clara Muzzio - 6/5 - Retiro</v>
      </c>
      <c r="C1145" s="29" t="str">
        <f>IFERROR(__xludf.DUMMYFUNCTION("""COMPUTED_VALUE"""),"Pieza")</f>
        <v>Pieza</v>
      </c>
      <c r="D1145" s="28" t="str">
        <f>IFERROR(__xludf.DUMMYFUNCTION("""COMPUTED_VALUE"""),"2961-ABRSEGGJ")</f>
        <v>2961-ABRSEGGJ</v>
      </c>
      <c r="E1145" s="28" t="str">
        <f>IFERROR(__xludf.DUMMYFUNCTION("""COMPUTED_VALUE"""),"Campaña ORDEN Y SEGURIDAD 2026")</f>
        <v>Campaña ORDEN Y SEGURIDAD 2026</v>
      </c>
      <c r="F1145" s="29" t="str">
        <f>IFERROR(__xludf.DUMMYFUNCTION("""COMPUTED_VALUE"""),"https://www.facebook.com/reel/1458725662138823/")</f>
        <v>https://www.facebook.com/reel/1458725662138823/</v>
      </c>
    </row>
    <row r="1146">
      <c r="A1146" s="28" t="str">
        <f>IFERROR(__xludf.DUMMYFUNCTION("""COMPUTED_VALUE"""),"2982-MAYDECGC")</f>
        <v>2982-MAYDECGC</v>
      </c>
      <c r="B1146" s="28" t="str">
        <f>IFERROR(__xludf.DUMMYFUNCTION("""COMPUTED_VALUE"""),"Cafecito BA en Palermo")</f>
        <v>Cafecito BA en Palermo</v>
      </c>
      <c r="C1146" s="29" t="str">
        <f>IFERROR(__xludf.DUMMYFUNCTION("""COMPUTED_VALUE"""),"Pieza")</f>
        <v>Pieza</v>
      </c>
      <c r="D1146" s="28" t="str">
        <f>IFERROR(__xludf.DUMMYFUNCTION("""COMPUTED_VALUE"""),"2961-ABRSEGGJ")</f>
        <v>2961-ABRSEGGJ</v>
      </c>
      <c r="E1146" s="28" t="str">
        <f>IFERROR(__xludf.DUMMYFUNCTION("""COMPUTED_VALUE"""),"Campaña ORDEN Y SEGURIDAD 2026")</f>
        <v>Campaña ORDEN Y SEGURIDAD 2026</v>
      </c>
      <c r="F1146" s="29" t="str">
        <f>IFERROR(__xludf.DUMMYFUNCTION("""COMPUTED_VALUE"""),"https://www.facebook.com/reel/1458725662138823/")</f>
        <v>https://www.facebook.com/reel/1458725662138823/</v>
      </c>
    </row>
    <row r="1147">
      <c r="A1147" s="28" t="str">
        <f>IFERROR(__xludf.DUMMYFUNCTION("""COMPUTED_VALUE"""),"3005-MAYSEGVC")</f>
        <v>3005-MAYSEGVC</v>
      </c>
      <c r="B1147" s="28" t="str">
        <f>IFERROR(__xludf.DUMMYFUNCTION("""COMPUTED_VALUE"""),"RDV Ministros | Ezequiel Sabor 11/5 Comuna 4")</f>
        <v>RDV Ministros | Ezequiel Sabor 11/5 Comuna 4</v>
      </c>
      <c r="C1147" s="29" t="str">
        <f>IFERROR(__xludf.DUMMYFUNCTION("""COMPUTED_VALUE"""),"Pieza")</f>
        <v>Pieza</v>
      </c>
      <c r="D1147" s="28" t="str">
        <f>IFERROR(__xludf.DUMMYFUNCTION("""COMPUTED_VALUE"""),"2961-ABRSEGGJ")</f>
        <v>2961-ABRSEGGJ</v>
      </c>
      <c r="E1147" s="28" t="str">
        <f>IFERROR(__xludf.DUMMYFUNCTION("""COMPUTED_VALUE"""),"Campaña ORDEN Y SEGURIDAD 2026")</f>
        <v>Campaña ORDEN Y SEGURIDAD 2026</v>
      </c>
      <c r="F1147" s="29" t="str">
        <f>IFERROR(__xludf.DUMMYFUNCTION("""COMPUTED_VALUE"""),"https://www.facebook.com/reel/1458725662138823/")</f>
        <v>https://www.facebook.com/reel/1458725662138823/</v>
      </c>
    </row>
    <row r="1148">
      <c r="A1148" s="28" t="str">
        <f>IFERROR(__xludf.DUMMYFUNCTION("""COMPUTED_VALUE"""),"2989-MAYVINVC")</f>
        <v>2989-MAYVINVC</v>
      </c>
      <c r="B1148" s="28" t="str">
        <f>IFERROR(__xludf.DUMMYFUNCTION("""COMPUTED_VALUE"""),"Más servicios en tu barrio  11/5 nuñez")</f>
        <v>Más servicios en tu barrio  11/5 nuñez</v>
      </c>
      <c r="C1148" s="29" t="str">
        <f>IFERROR(__xludf.DUMMYFUNCTION("""COMPUTED_VALUE"""),"Pieza")</f>
        <v>Pieza</v>
      </c>
      <c r="D1148" s="28" t="str">
        <f>IFERROR(__xludf.DUMMYFUNCTION("""COMPUTED_VALUE"""),"2961-ABRSEGGJ")</f>
        <v>2961-ABRSEGGJ</v>
      </c>
      <c r="E1148" s="28" t="str">
        <f>IFERROR(__xludf.DUMMYFUNCTION("""COMPUTED_VALUE"""),"Campaña ORDEN Y SEGURIDAD 2026")</f>
        <v>Campaña ORDEN Y SEGURIDAD 2026</v>
      </c>
      <c r="F1148" s="29" t="str">
        <f>IFERROR(__xludf.DUMMYFUNCTION("""COMPUTED_VALUE"""),"https://www.facebook.com/reel/1458725662138823/")</f>
        <v>https://www.facebook.com/reel/1458725662138823/</v>
      </c>
    </row>
    <row r="1149">
      <c r="A1149" s="28" t="str">
        <f>IFERROR(__xludf.DUMMYFUNCTION("""COMPUTED_VALUE"""),"3003-MAYVINVC")</f>
        <v>3003-MAYVINVC</v>
      </c>
      <c r="B1149" s="28" t="str">
        <f>IFERROR(__xludf.DUMMYFUNCTION("""COMPUTED_VALUE"""),"Más Servicios en tu Barrio Agronomia 12/5")</f>
        <v>Más Servicios en tu Barrio Agronomia 12/5</v>
      </c>
      <c r="C1149" s="29" t="str">
        <f>IFERROR(__xludf.DUMMYFUNCTION("""COMPUTED_VALUE"""),"Pieza")</f>
        <v>Pieza</v>
      </c>
      <c r="D1149" s="28" t="str">
        <f>IFERROR(__xludf.DUMMYFUNCTION("""COMPUTED_VALUE"""),"2961-ABRSEGGJ")</f>
        <v>2961-ABRSEGGJ</v>
      </c>
      <c r="E1149" s="28" t="str">
        <f>IFERROR(__xludf.DUMMYFUNCTION("""COMPUTED_VALUE"""),"Campaña ORDEN Y SEGURIDAD 2026")</f>
        <v>Campaña ORDEN Y SEGURIDAD 2026</v>
      </c>
      <c r="F1149" s="29" t="str">
        <f>IFERROR(__xludf.DUMMYFUNCTION("""COMPUTED_VALUE"""),"https://www.facebook.com/reel/1458725662138823/")</f>
        <v>https://www.facebook.com/reel/1458725662138823/</v>
      </c>
    </row>
    <row r="1150">
      <c r="A1150" s="28" t="str">
        <f>IFERROR(__xludf.DUMMYFUNCTION("""COMPUTED_VALUE"""),"2990-MAYVINVC")</f>
        <v>2990-MAYVINVC</v>
      </c>
      <c r="B1150" s="28" t="str">
        <f>IFERROR(__xludf.DUMMYFUNCTION("""COMPUTED_VALUE"""),"Más servicios en tu barrio  12 y 13/5 villa urquiza")</f>
        <v>Más servicios en tu barrio  12 y 13/5 villa urquiza</v>
      </c>
      <c r="C1150" s="29" t="str">
        <f>IFERROR(__xludf.DUMMYFUNCTION("""COMPUTED_VALUE"""),"Pieza")</f>
        <v>Pieza</v>
      </c>
      <c r="D1150" s="28" t="str">
        <f>IFERROR(__xludf.DUMMYFUNCTION("""COMPUTED_VALUE"""),"2961-ABRSEGGJ")</f>
        <v>2961-ABRSEGGJ</v>
      </c>
      <c r="E1150" s="28" t="str">
        <f>IFERROR(__xludf.DUMMYFUNCTION("""COMPUTED_VALUE"""),"Campaña ORDEN Y SEGURIDAD 2026")</f>
        <v>Campaña ORDEN Y SEGURIDAD 2026</v>
      </c>
      <c r="F1150" s="29" t="str">
        <f>IFERROR(__xludf.DUMMYFUNCTION("""COMPUTED_VALUE"""),"https://www.facebook.com/reel/1458725662138823/")</f>
        <v>https://www.facebook.com/reel/1458725662138823/</v>
      </c>
    </row>
    <row r="1151">
      <c r="A1151" s="28" t="str">
        <f>IFERROR(__xludf.DUMMYFUNCTION("""COMPUTED_VALUE"""),"2482-ENEINFGC")</f>
        <v>2482-ENEINFGC</v>
      </c>
      <c r="B1151" s="28" t="str">
        <f>IFERROR(__xludf.DUMMYFUNCTION("""COMPUTED_VALUE"""),"VTV - Recordatorio de turno 2026")</f>
        <v>VTV - Recordatorio de turno 2026</v>
      </c>
      <c r="C1151" s="29" t="str">
        <f>IFERROR(__xludf.DUMMYFUNCTION("""COMPUTED_VALUE"""),"Pieza")</f>
        <v>Pieza</v>
      </c>
      <c r="D1151" s="28" t="str">
        <f>IFERROR(__xludf.DUMMYFUNCTION("""COMPUTED_VALUE"""),"2961-ABRSEGGJ")</f>
        <v>2961-ABRSEGGJ</v>
      </c>
      <c r="E1151" s="28" t="str">
        <f>IFERROR(__xludf.DUMMYFUNCTION("""COMPUTED_VALUE"""),"Campaña ORDEN Y SEGURIDAD 2026")</f>
        <v>Campaña ORDEN Y SEGURIDAD 2026</v>
      </c>
      <c r="F1151" s="29" t="str">
        <f>IFERROR(__xludf.DUMMYFUNCTION("""COMPUTED_VALUE"""),"https://www.facebook.com/reel/1458725662138823/")</f>
        <v>https://www.facebook.com/reel/1458725662138823/</v>
      </c>
    </row>
    <row r="1152">
      <c r="A1152" s="28" t="str">
        <f>IFERROR(__xludf.DUMMYFUNCTION("""COMPUTED_VALUE"""),"2482-ENEINFGC")</f>
        <v>2482-ENEINFGC</v>
      </c>
      <c r="B1152" s="28" t="str">
        <f>IFERROR(__xludf.DUMMYFUNCTION("""COMPUTED_VALUE"""),"VTV - Recordatorio de turno 2026")</f>
        <v>VTV - Recordatorio de turno 2026</v>
      </c>
      <c r="C1152" s="29" t="str">
        <f>IFERROR(__xludf.DUMMYFUNCTION("""COMPUTED_VALUE"""),"Pieza")</f>
        <v>Pieza</v>
      </c>
      <c r="D1152" s="28" t="str">
        <f>IFERROR(__xludf.DUMMYFUNCTION("""COMPUTED_VALUE"""),"2961-ABRSEGGJ")</f>
        <v>2961-ABRSEGGJ</v>
      </c>
      <c r="E1152" s="28" t="str">
        <f>IFERROR(__xludf.DUMMYFUNCTION("""COMPUTED_VALUE"""),"Campaña ORDEN Y SEGURIDAD 2026")</f>
        <v>Campaña ORDEN Y SEGURIDAD 2026</v>
      </c>
      <c r="F1152" s="29" t="str">
        <f>IFERROR(__xludf.DUMMYFUNCTION("""COMPUTED_VALUE"""),"https://www.facebook.com/reel/1458725662138823/")</f>
        <v>https://www.facebook.com/reel/1458725662138823/</v>
      </c>
    </row>
    <row r="1153">
      <c r="A1153" s="28" t="str">
        <f>IFERROR(__xludf.DUMMYFUNCTION("""COMPUTED_VALUE"""),"2514-ENEINFGC")</f>
        <v>2514-ENEINFGC</v>
      </c>
      <c r="B1153" s="28" t="str">
        <f>IFERROR(__xludf.DUMMYFUNCTION("""COMPUTED_VALUE"""),"Infraestructura I Nuevo Acceso al Paseo del Bajo")</f>
        <v>Infraestructura I Nuevo Acceso al Paseo del Bajo</v>
      </c>
      <c r="C1153" s="29" t="str">
        <f>IFERROR(__xludf.DUMMYFUNCTION("""COMPUTED_VALUE"""),"Pieza")</f>
        <v>Pieza</v>
      </c>
      <c r="D1153" s="28" t="str">
        <f>IFERROR(__xludf.DUMMYFUNCTION("""COMPUTED_VALUE"""),"3108-MAYSALVC")</f>
        <v>3108-MAYSALVC</v>
      </c>
      <c r="E1153" s="28" t="str">
        <f>IFERROR(__xludf.DUMMYFUNCTION("""COMPUTED_VALUE"""),"Fernán Quirós - 2/6 - Comuna 9")</f>
        <v>Fernán Quirós - 2/6 - Comuna 9</v>
      </c>
      <c r="F1153" s="28"/>
    </row>
    <row r="1154">
      <c r="A1154" s="28" t="str">
        <f>IFERROR(__xludf.DUMMYFUNCTION("""COMPUTED_VALUE"""),"2970-ABRSEGVC")</f>
        <v>2970-ABRSEGVC</v>
      </c>
      <c r="B1154" s="28" t="str">
        <f>IFERROR(__xludf.DUMMYFUNCTION("""COMPUTED_VALUE"""),"RDV MINISTROS SEGURIDAD | FRANCISCO QUINTANA 7/5 COMUNA 1 NORTE")</f>
        <v>RDV MINISTROS SEGURIDAD | FRANCISCO QUINTANA 7/5 COMUNA 1 NORTE</v>
      </c>
      <c r="C1154" s="29" t="str">
        <f>IFERROR(__xludf.DUMMYFUNCTION("""COMPUTED_VALUE"""),"Pieza")</f>
        <v>Pieza</v>
      </c>
      <c r="D1154" s="28" t="str">
        <f>IFERROR(__xludf.DUMMYFUNCTION("""COMPUTED_VALUE"""),"2587-FEBCULGC")</f>
        <v>2587-FEBCULGC</v>
      </c>
      <c r="E1154" s="28" t="str">
        <f>IFERROR(__xludf.DUMMYFUNCTION("""COMPUTED_VALUE"""),"Campaña Suscripciones 2026")</f>
        <v>Campaña Suscripciones 2026</v>
      </c>
      <c r="F1154" s="29" t="str">
        <f>IFERROR(__xludf.DUMMYFUNCTION("""COMPUTED_VALUE"""),"https://www.facebook.com/reel/892334696944794")</f>
        <v>https://www.facebook.com/reel/892334696944794</v>
      </c>
    </row>
    <row r="1155">
      <c r="A1155" s="28" t="str">
        <f>IFERROR(__xludf.DUMMYFUNCTION("""COMPUTED_VALUE"""),"2971-ABRSEGVC")</f>
        <v>2971-ABRSEGVC</v>
      </c>
      <c r="B1155" s="28" t="str">
        <f>IFERROR(__xludf.DUMMYFUNCTION("""COMPUTED_VALUE"""),"RDV MINISTROS SEGURIDAD HORACIO GIMÉNEZ 7/5 COMUNA 1 SUR")</f>
        <v>RDV MINISTROS SEGURIDAD HORACIO GIMÉNEZ 7/5 COMUNA 1 SUR</v>
      </c>
      <c r="C1155" s="29" t="str">
        <f>IFERROR(__xludf.DUMMYFUNCTION("""COMPUTED_VALUE"""),"Pieza")</f>
        <v>Pieza</v>
      </c>
      <c r="D1155" s="28" t="str">
        <f>IFERROR(__xludf.DUMMYFUNCTION("""COMPUTED_VALUE"""),"2587-FEBCULGC")</f>
        <v>2587-FEBCULGC</v>
      </c>
      <c r="E1155" s="28" t="str">
        <f>IFERROR(__xludf.DUMMYFUNCTION("""COMPUTED_VALUE"""),"Campaña Suscripciones 2026")</f>
        <v>Campaña Suscripciones 2026</v>
      </c>
      <c r="F1155" s="29" t="str">
        <f>IFERROR(__xludf.DUMMYFUNCTION("""COMPUTED_VALUE"""),"https://www.facebook.com/GCBA/posts/pfbid03nkHcuji6X3anVJ2Sd42mxzzM1TFKDY6Gur9BTKCkfWSTXrquDv96uj5yQ4v8hV5l")</f>
        <v>https://www.facebook.com/GCBA/posts/pfbid03nkHcuji6X3anVJ2Sd42mxzzM1TFKDY6Gur9BTKCkfWSTXrquDv96uj5yQ4v8hV5l</v>
      </c>
    </row>
    <row r="1156">
      <c r="A1156" s="28" t="str">
        <f>IFERROR(__xludf.DUMMYFUNCTION("""COMPUTED_VALUE"""),"3007-MAYJDGVC")</f>
        <v>3007-MAYJDGVC</v>
      </c>
      <c r="B1156" s="28" t="str">
        <f>IFERROR(__xludf.DUMMYFUNCTION("""COMPUTED_VALUE"""),"RDV Ministros | Gabriel Sánchez Zinny - 13/5")</f>
        <v>RDV Ministros | Gabriel Sánchez Zinny - 13/5</v>
      </c>
      <c r="C1156" s="29" t="str">
        <f>IFERROR(__xludf.DUMMYFUNCTION("""COMPUTED_VALUE"""),"Pieza")</f>
        <v>Pieza</v>
      </c>
      <c r="D1156" s="28" t="str">
        <f>IFERROR(__xludf.DUMMYFUNCTION("""COMPUTED_VALUE"""),"3024-MAYINFGJ")</f>
        <v>3024-MAYINFGJ</v>
      </c>
      <c r="E1156" s="28" t="str">
        <f>IFERROR(__xludf.DUMMYFUNCTION("""COMPUTED_VALUE"""),"INFRAESTRUCTURA | RECAP OBRAS CABA")</f>
        <v>INFRAESTRUCTURA | RECAP OBRAS CABA</v>
      </c>
      <c r="F1156" s="29" t="str">
        <f>IFERROR(__xludf.DUMMYFUNCTION("""COMPUTED_VALUE"""),"https://www.facebook.com/reel/1324354759615538")</f>
        <v>https://www.facebook.com/reel/1324354759615538</v>
      </c>
    </row>
    <row r="1157">
      <c r="A1157" s="28" t="str">
        <f>IFERROR(__xludf.DUMMYFUNCTION("""COMPUTED_VALUE"""),"2973-MAYSEGGC")</f>
        <v>2973-MAYSEGGC</v>
      </c>
      <c r="B1157" s="28" t="str">
        <f>IFERROR(__xludf.DUMMYFUNCTION("""COMPUTED_VALUE"""),"Operativos de saturación en subte")</f>
        <v>Operativos de saturación en subte</v>
      </c>
      <c r="C1157" s="29" t="str">
        <f>IFERROR(__xludf.DUMMYFUNCTION("""COMPUTED_VALUE"""),"Pieza")</f>
        <v>Pieza</v>
      </c>
      <c r="D1157" s="28" t="str">
        <f>IFERROR(__xludf.DUMMYFUNCTION("""COMPUTED_VALUE"""),"3110-MAYJDGAG")</f>
        <v>3110-MAYJDGAG</v>
      </c>
      <c r="E1157" s="28" t="str">
        <f>IFERROR(__xludf.DUMMYFUNCTION("""COMPUTED_VALUE"""),"TE CUENTO BS AS JM | 3/6 ORDEN PÚBLICO EJE SUR")</f>
        <v>TE CUENTO BS AS JM | 3/6 ORDEN PÚBLICO EJE SUR</v>
      </c>
      <c r="F1157" s="29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158">
      <c r="A1158" s="28" t="str">
        <f>IFERROR(__xludf.DUMMYFUNCTION("""COMPUTED_VALUE"""),"2987-MAYSEGGJ")</f>
        <v>2987-MAYSEGGJ</v>
      </c>
      <c r="B1158" s="28" t="str">
        <f>IFERROR(__xludf.DUMMYFUNCTION("""COMPUTED_VALUE"""),"Un año sin manteros en parque los andes")</f>
        <v>Un año sin manteros en parque los andes</v>
      </c>
      <c r="C1158" s="29" t="str">
        <f>IFERROR(__xludf.DUMMYFUNCTION("""COMPUTED_VALUE"""),"Pieza")</f>
        <v>Pieza</v>
      </c>
      <c r="D1158" s="28" t="str">
        <f>IFERROR(__xludf.DUMMYFUNCTION("""COMPUTED_VALUE"""),"3110-MAYJDGAG")</f>
        <v>3110-MAYJDGAG</v>
      </c>
      <c r="E1158" s="28" t="str">
        <f>IFERROR(__xludf.DUMMYFUNCTION("""COMPUTED_VALUE"""),"TE CUENTO BS AS JM | 3/6 ORDEN PÚBLICO EJE SUR")</f>
        <v>TE CUENTO BS AS JM | 3/6 ORDEN PÚBLICO EJE SUR</v>
      </c>
      <c r="F1158" s="29" t="str">
        <f>IFERROR(__xludf.DUMMYFUNCTION("""COMPUTED_VALUE"""),"https://www.facebook.com/GCBA/posts/pfbid0yNKogB7jFPoddY254ViUCjQMASFGzkNsvYdNCaLZM1xpD1tMtpFGeutoLQCfH9qYl")</f>
        <v>https://www.facebook.com/GCBA/posts/pfbid0yNKogB7jFPoddY254ViUCjQMASFGzkNsvYdNCaLZM1xpD1tMtpFGeutoLQCfH9qYl</v>
      </c>
    </row>
    <row r="1159">
      <c r="A1159" s="28" t="str">
        <f>IFERROR(__xludf.DUMMYFUNCTION("""COMPUTED_VALUE"""),"1946-SEPEPHGC")</f>
        <v>1946-SEPEPHGC</v>
      </c>
      <c r="B1159" s="28" t="str">
        <f>IFERROR(__xludf.DUMMYFUNCTION("""COMPUTED_VALUE"""),"CAMPAÑA GCBA | MEPHU  | PLUVIALES")</f>
        <v>CAMPAÑA GCBA | MEPHU  | PLUVIALES</v>
      </c>
      <c r="C1159" s="29" t="str">
        <f>IFERROR(__xludf.DUMMYFUNCTION("""COMPUTED_VALUE"""),"Pieza")</f>
        <v>Pieza</v>
      </c>
      <c r="D1159" s="28" t="str">
        <f>IFERROR(__xludf.DUMMYFUNCTION("""COMPUTED_VALUE"""),"3124-MAYSEGVC")</f>
        <v>3124-MAYSEGVC</v>
      </c>
      <c r="E1159" s="28" t="str">
        <f>IFERROR(__xludf.DUMMYFUNCTION("""COMPUTED_VALUE"""),"RDV Ministros | Francisco Quintana 4/6 Comuna 2")</f>
        <v>RDV Ministros | Francisco Quintana 4/6 Comuna 2</v>
      </c>
      <c r="F1159" s="28"/>
    </row>
    <row r="1160">
      <c r="A1160" s="28" t="str">
        <f>IFERROR(__xludf.DUMMYFUNCTION("""COMPUTED_VALUE"""),"2846-ABRSALGC")</f>
        <v>2846-ABRSALGC</v>
      </c>
      <c r="B1160" s="28" t="str">
        <f>IFERROR(__xludf.DUMMYFUNCTION("""COMPUTED_VALUE"""),"CeSAC 1 - Fin de obra")</f>
        <v>CeSAC 1 - Fin de obra</v>
      </c>
      <c r="C1160" s="29" t="str">
        <f>IFERROR(__xludf.DUMMYFUNCTION("""COMPUTED_VALUE"""),"Pieza")</f>
        <v>Pieza</v>
      </c>
      <c r="D1160" s="28" t="str">
        <f>IFERROR(__xludf.DUMMYFUNCTION("""COMPUTED_VALUE"""),"2972-MAYSEGGC")</f>
        <v>2972-MAYSEGGC</v>
      </c>
      <c r="E1160" s="28" t="str">
        <f>IFERROR(__xludf.DUMMYFUNCTION("""COMPUTED_VALUE"""),"Compactación de autos abandonados")</f>
        <v>Compactación de autos abandonados</v>
      </c>
      <c r="F1160" s="29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161">
      <c r="A1161" s="28" t="str">
        <f>IFERROR(__xludf.DUMMYFUNCTION("""COMPUTED_VALUE"""),"3006-MAYSEGVC")</f>
        <v>3006-MAYSEGVC</v>
      </c>
      <c r="B1161" s="28" t="str">
        <f>IFERROR(__xludf.DUMMYFUNCTION("""COMPUTED_VALUE"""),"RDV Ministros | Ignacio Baistrocchi 13/5 Comuna 13")</f>
        <v>RDV Ministros | Ignacio Baistrocchi 13/5 Comuna 13</v>
      </c>
      <c r="C1161" s="29" t="str">
        <f>IFERROR(__xludf.DUMMYFUNCTION("""COMPUTED_VALUE"""),"Pieza")</f>
        <v>Pieza</v>
      </c>
      <c r="D1161" s="28" t="str">
        <f>IFERROR(__xludf.DUMMYFUNCTION("""COMPUTED_VALUE"""),"2972-MAYSEGGC")</f>
        <v>2972-MAYSEGGC</v>
      </c>
      <c r="E1161" s="28" t="str">
        <f>IFERROR(__xludf.DUMMYFUNCTION("""COMPUTED_VALUE"""),"Compactación de autos abandonados")</f>
        <v>Compactación de autos abandonados</v>
      </c>
      <c r="F1161" s="29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162">
      <c r="A1162" s="28" t="str">
        <f>IFERROR(__xludf.DUMMYFUNCTION("""COMPUTED_VALUE"""),"1946-SEPEPHGC")</f>
        <v>1946-SEPEPHGC</v>
      </c>
      <c r="B1162" s="28" t="str">
        <f>IFERROR(__xludf.DUMMYFUNCTION("""COMPUTED_VALUE"""),"CAMPAÑA GCBA | MEPHU  | PLUVIALES")</f>
        <v>CAMPAÑA GCBA | MEPHU  | PLUVIALES</v>
      </c>
      <c r="C1162" s="29" t="str">
        <f>IFERROR(__xludf.DUMMYFUNCTION("""COMPUTED_VALUE"""),"Pieza")</f>
        <v>Pieza</v>
      </c>
      <c r="D1162" s="28" t="str">
        <f>IFERROR(__xludf.DUMMYFUNCTION("""COMPUTED_VALUE"""),"2972-MAYSEGGC")</f>
        <v>2972-MAYSEGGC</v>
      </c>
      <c r="E1162" s="28" t="str">
        <f>IFERROR(__xludf.DUMMYFUNCTION("""COMPUTED_VALUE"""),"Compactación de autos abandonados")</f>
        <v>Compactación de autos abandonados</v>
      </c>
      <c r="F1162" s="29" t="str">
        <f>IFERROR(__xludf.DUMMYFUNCTION("""COMPUTED_VALUE"""),"https://www.facebook.com/GCBA/posts/pfbid0Pznwvb2iEUy69CbGNn1ijyJpDoT3MVoMAqbjE7dnaLmy1nJ4umHMbEApNRFwAHiMl")</f>
        <v>https://www.facebook.com/GCBA/posts/pfbid0Pznwvb2iEUy69CbGNn1ijyJpDoT3MVoMAqbjE7dnaLmy1nJ4umHMbEApNRFwAHiMl</v>
      </c>
    </row>
    <row r="1163">
      <c r="A1163" s="28" t="str">
        <f>IFERROR(__xludf.DUMMYFUNCTION("""COMPUTED_VALUE"""),"1942-SEPEPHGC")</f>
        <v>1942-SEPEPHGC</v>
      </c>
      <c r="B1163" s="28" t="str">
        <f>IFERROR(__xludf.DUMMYFUNCTION("""COMPUTED_VALUE"""),"DGPLES | MEPHU  | REPARACIÓN DE VEREDAS")</f>
        <v>DGPLES | MEPHU  | REPARACIÓN DE VEREDAS</v>
      </c>
      <c r="C1163" s="29" t="str">
        <f>IFERROR(__xludf.DUMMYFUNCTION("""COMPUTED_VALUE"""),"Pieza")</f>
        <v>Pieza</v>
      </c>
      <c r="D1163" s="28" t="str">
        <f>IFERROR(__xludf.DUMMYFUNCTION("""COMPUTED_VALUE"""),"3123-MAYSEGVC")</f>
        <v>3123-MAYSEGVC</v>
      </c>
      <c r="E1163" s="28" t="str">
        <f>IFERROR(__xludf.DUMMYFUNCTION("""COMPUTED_VALUE"""),"RDV Ministros | Ruth Landerreche 4/6 Comuna 3")</f>
        <v>RDV Ministros | Ruth Landerreche 4/6 Comuna 3</v>
      </c>
      <c r="F1163" s="28"/>
    </row>
    <row r="1164">
      <c r="A1164" s="28" t="str">
        <f>IFERROR(__xludf.DUMMYFUNCTION("""COMPUTED_VALUE"""),"2958-ABRJDGAG")</f>
        <v>2958-ABRJDGAG</v>
      </c>
      <c r="B1164" s="28" t="str">
        <f>IFERROR(__xludf.DUMMYFUNCTION("""COMPUTED_VALUE"""),"RDV JM VILLA DEVOTO 4/5")</f>
        <v>RDV JM VILLA DEVOTO 4/5</v>
      </c>
      <c r="C1164" s="29" t="str">
        <f>IFERROR(__xludf.DUMMYFUNCTION("""COMPUTED_VALUE"""),"Pieza")</f>
        <v>Pieza</v>
      </c>
      <c r="D1164" s="28" t="str">
        <f>IFERROR(__xludf.DUMMYFUNCTION("""COMPUTED_VALUE"""),"3122-MAYSEGVC")</f>
        <v>3122-MAYSEGVC</v>
      </c>
      <c r="E1164" s="28" t="str">
        <f>IFERROR(__xludf.DUMMYFUNCTION("""COMPUTED_VALUE"""),"RDV Ministros | Horacio Giménez 4/6 Comuna 1 Norte")</f>
        <v>RDV Ministros | Horacio Giménez 4/6 Comuna 1 Norte</v>
      </c>
      <c r="F1164" s="28"/>
    </row>
    <row r="1165">
      <c r="A1165" s="28" t="str">
        <f>IFERROR(__xludf.DUMMYFUNCTION("""COMPUTED_VALUE"""),"2958-ABRJDGAG")</f>
        <v>2958-ABRJDGAG</v>
      </c>
      <c r="B1165" s="28" t="str">
        <f>IFERROR(__xludf.DUMMYFUNCTION("""COMPUTED_VALUE"""),"RDV JM VILLA DEVOTO 4/5")</f>
        <v>RDV JM VILLA DEVOTO 4/5</v>
      </c>
      <c r="C1165" s="29" t="str">
        <f>IFERROR(__xludf.DUMMYFUNCTION("""COMPUTED_VALUE"""),"Pieza")</f>
        <v>Pieza</v>
      </c>
      <c r="D1165" s="28" t="str">
        <f>IFERROR(__xludf.DUMMYFUNCTION("""COMPUTED_VALUE"""),"3121-MAYSEGVC")</f>
        <v>3121-MAYSEGVC</v>
      </c>
      <c r="E1165" s="28" t="str">
        <f>IFERROR(__xludf.DUMMYFUNCTION("""COMPUTED_VALUE"""),"RDV Ministros | Maximiliano Piñeiro 4/6 Comuna 1 Sur")</f>
        <v>RDV Ministros | Maximiliano Piñeiro 4/6 Comuna 1 Sur</v>
      </c>
      <c r="F1165" s="28"/>
    </row>
    <row r="1166">
      <c r="A1166" s="28" t="str">
        <f>IFERROR(__xludf.DUMMYFUNCTION("""COMPUTED_VALUE"""),"3126-MAYAMBVC")</f>
        <v>3126-MAYAMBVC</v>
      </c>
      <c r="B1166" s="28" t="str">
        <f>IFERROR(__xludf.DUMMYFUNCTION("""COMPUTED_VALUE"""),"Clara Muzzio - 5/6 - Núñez")</f>
        <v>Clara Muzzio - 5/6 - Núñez</v>
      </c>
      <c r="C1166" s="29" t="str">
        <f>IFERROR(__xludf.DUMMYFUNCTION("""COMPUTED_VALUE"""),"Pieza")</f>
        <v>Pieza</v>
      </c>
      <c r="D1166" s="28" t="str">
        <f>IFERROR(__xludf.DUMMYFUNCTION("""COMPUTED_VALUE"""),"2496-ENEVINGC")</f>
        <v>2496-ENEVINGC</v>
      </c>
      <c r="E116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6" s="29" t="str">
        <f>IFERROR(__xludf.DUMMYFUNCTION("""COMPUTED_VALUE"""),"https://www.facebook.com/GCBA/posts/pfbid02iw8uuBHWCMqC5Js5THFnmJWbhtHsXJyRWQhn57xwN7tYiSpmemuFf8Q69ErcRj9rl")</f>
        <v>https://www.facebook.com/GCBA/posts/pfbid02iw8uuBHWCMqC5Js5THFnmJWbhtHsXJyRWQhn57xwN7tYiSpmemuFf8Q69ErcRj9rl</v>
      </c>
    </row>
    <row r="1167">
      <c r="A1167" s="28" t="str">
        <f>IFERROR(__xludf.DUMMYFUNCTION("""COMPUTED_VALUE"""),"3162-JUNSEGVC")</f>
        <v>3162-JUNSEGVC</v>
      </c>
      <c r="B1167" s="28" t="str">
        <f>IFERROR(__xludf.DUMMYFUNCTION("""COMPUTED_VALUE"""),"RDV Ministros | Gabino Tapia 11/6 Comuna 4")</f>
        <v>RDV Ministros | Gabino Tapia 11/6 Comuna 4</v>
      </c>
      <c r="C1167" s="29" t="str">
        <f>IFERROR(__xludf.DUMMYFUNCTION("""COMPUTED_VALUE"""),"Pieza")</f>
        <v>Pieza</v>
      </c>
      <c r="D1167" s="28" t="str">
        <f>IFERROR(__xludf.DUMMYFUNCTION("""COMPUTED_VALUE"""),"2496-ENEVINGC")</f>
        <v>2496-ENEVINGC</v>
      </c>
      <c r="E116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7" s="29" t="str">
        <f>IFERROR(__xludf.DUMMYFUNCTION("""COMPUTED_VALUE"""),"https://www.facebook.com/GCBA/posts/pfbid04S7sAT7sFrb3i18CBvX1Dvb7T5MrHK5iBi6fnpcR6h7zkdPkJDi1SBXUbLt8jNXVl")</f>
        <v>https://www.facebook.com/GCBA/posts/pfbid04S7sAT7sFrb3i18CBvX1Dvb7T5MrHK5iBi6fnpcR6h7zkdPkJDi1SBXUbLt8jNXVl</v>
      </c>
    </row>
    <row r="1168">
      <c r="A1168" s="28" t="str">
        <f>IFERROR(__xludf.DUMMYFUNCTION("""COMPUTED_VALUE"""),"3162-JUNSEGVC")</f>
        <v>3162-JUNSEGVC</v>
      </c>
      <c r="B1168" s="28" t="str">
        <f>IFERROR(__xludf.DUMMYFUNCTION("""COMPUTED_VALUE"""),"RDV Ministros | Gabino Tapia 11/6 Comuna 4")</f>
        <v>RDV Ministros | Gabino Tapia 11/6 Comuna 4</v>
      </c>
      <c r="C1168" s="29" t="str">
        <f>IFERROR(__xludf.DUMMYFUNCTION("""COMPUTED_VALUE"""),"Pieza")</f>
        <v>Pieza</v>
      </c>
      <c r="D1168" s="28" t="str">
        <f>IFERROR(__xludf.DUMMYFUNCTION("""COMPUTED_VALUE"""),"2496-ENEVINGC")</f>
        <v>2496-ENEVINGC</v>
      </c>
      <c r="E116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8" s="29" t="str">
        <f>IFERROR(__xludf.DUMMYFUNCTION("""COMPUTED_VALUE"""),"https://www.facebook.com/GCBA/posts/pfbid0jgVcudB6MEbvPVHra7eWinJk4DH7E5ZrwW9QN5d8AK6YnS5oc3B62pdaQUD8715al")</f>
        <v>https://www.facebook.com/GCBA/posts/pfbid0jgVcudB6MEbvPVHra7eWinJk4DH7E5ZrwW9QN5d8AK6YnS5oc3B62pdaQUD8715al</v>
      </c>
    </row>
    <row r="1169">
      <c r="A1169" s="28" t="str">
        <f>IFERROR(__xludf.DUMMYFUNCTION("""COMPUTED_VALUE"""),"2891-ABRSALGC")</f>
        <v>2891-ABRSALGC</v>
      </c>
      <c r="B1169" s="28" t="str">
        <f>IFERROR(__xludf.DUMMYFUNCTION("""COMPUTED_VALUE"""),"Prioridad Porteña")</f>
        <v>Prioridad Porteña</v>
      </c>
      <c r="C1169" s="29" t="str">
        <f>IFERROR(__xludf.DUMMYFUNCTION("""COMPUTED_VALUE"""),"Pieza")</f>
        <v>Pieza</v>
      </c>
      <c r="D1169" s="28" t="str">
        <f>IFERROR(__xludf.DUMMYFUNCTION("""COMPUTED_VALUE"""),"2496-ENEVINGC")</f>
        <v>2496-ENEVINGC</v>
      </c>
      <c r="E116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69" s="29" t="str">
        <f>IFERROR(__xludf.DUMMYFUNCTION("""COMPUTED_VALUE"""),"https://www.facebook.com/GCBA/posts/pfbid0g5ZRwTLc9uRgt72KhNmDHAbjoyhjqyZZAQckfZVv95tY516eXdL5QyGDwxEiy8rKl")</f>
        <v>https://www.facebook.com/GCBA/posts/pfbid0g5ZRwTLc9uRgt72KhNmDHAbjoyhjqyZZAQckfZVv95tY516eXdL5QyGDwxEiy8rKl</v>
      </c>
    </row>
    <row r="1170">
      <c r="A1170" s="28" t="str">
        <f>IFERROR(__xludf.DUMMYFUNCTION("""COMPUTED_VALUE"""),"2951-ABRAMBGC")</f>
        <v>2951-ABRAMBGC</v>
      </c>
      <c r="B1170" s="28" t="str">
        <f>IFERROR(__xludf.DUMMYFUNCTION("""COMPUTED_VALUE"""),"Animales BA: Adopción de perros y gatos")</f>
        <v>Animales BA: Adopción de perros y gatos</v>
      </c>
      <c r="C1170" s="29" t="str">
        <f>IFERROR(__xludf.DUMMYFUNCTION("""COMPUTED_VALUE"""),"Pieza")</f>
        <v>Pieza</v>
      </c>
      <c r="D1170" s="28" t="str">
        <f>IFERROR(__xludf.DUMMYFUNCTION("""COMPUTED_VALUE"""),"2961-ABRSEGGJ")</f>
        <v>2961-ABRSEGGJ</v>
      </c>
      <c r="E1170" s="28" t="str">
        <f>IFERROR(__xludf.DUMMYFUNCTION("""COMPUTED_VALUE"""),"Campaña ORDEN Y SEGURIDAD 2026")</f>
        <v>Campaña ORDEN Y SEGURIDAD 2026</v>
      </c>
      <c r="F1170" s="29" t="str">
        <f>IFERROR(__xludf.DUMMYFUNCTION("""COMPUTED_VALUE"""),"https://www.facebook.com/reel/1659762081812931")</f>
        <v>https://www.facebook.com/reel/1659762081812931</v>
      </c>
    </row>
    <row r="1171">
      <c r="A1171" s="28" t="str">
        <f>IFERROR(__xludf.DUMMYFUNCTION("""COMPUTED_VALUE"""),"2951-ABRAMBGC")</f>
        <v>2951-ABRAMBGC</v>
      </c>
      <c r="B1171" s="28" t="str">
        <f>IFERROR(__xludf.DUMMYFUNCTION("""COMPUTED_VALUE"""),"Animales BA: Adopción de perros y gatos")</f>
        <v>Animales BA: Adopción de perros y gatos</v>
      </c>
      <c r="C1171" s="29" t="str">
        <f>IFERROR(__xludf.DUMMYFUNCTION("""COMPUTED_VALUE"""),"Pieza")</f>
        <v>Pieza</v>
      </c>
      <c r="D1171" s="28" t="str">
        <f>IFERROR(__xludf.DUMMYFUNCTION("""COMPUTED_VALUE"""),"2961-ABRSEGGJ")</f>
        <v>2961-ABRSEGGJ</v>
      </c>
      <c r="E1171" s="28" t="str">
        <f>IFERROR(__xludf.DUMMYFUNCTION("""COMPUTED_VALUE"""),"Campaña ORDEN Y SEGURIDAD 2026")</f>
        <v>Campaña ORDEN Y SEGURIDAD 2026</v>
      </c>
      <c r="F1171" s="29" t="str">
        <f>IFERROR(__xludf.DUMMYFUNCTION("""COMPUTED_VALUE"""),"https://www.facebook.com/reel/1659762081812931")</f>
        <v>https://www.facebook.com/reel/1659762081812931</v>
      </c>
    </row>
    <row r="1172">
      <c r="A1172" s="28" t="str">
        <f>IFERROR(__xludf.DUMMYFUNCTION("""COMPUTED_VALUE"""),"3005-MAYSEGVC")</f>
        <v>3005-MAYSEGVC</v>
      </c>
      <c r="B1172" s="28" t="str">
        <f>IFERROR(__xludf.DUMMYFUNCTION("""COMPUTED_VALUE"""),"RDV Ministros | Ezequiel Sabor 11/5 Comuna 4")</f>
        <v>RDV Ministros | Ezequiel Sabor 11/5 Comuna 4</v>
      </c>
      <c r="C1172" s="29" t="str">
        <f>IFERROR(__xludf.DUMMYFUNCTION("""COMPUTED_VALUE"""),"Pieza")</f>
        <v>Pieza</v>
      </c>
      <c r="D1172" s="28" t="str">
        <f>IFERROR(__xludf.DUMMYFUNCTION("""COMPUTED_VALUE"""),"3087-MAYJDGAG")</f>
        <v>3087-MAYJDGAG</v>
      </c>
      <c r="E1172" s="28" t="str">
        <f>IFERROR(__xludf.DUMMYFUNCTION("""COMPUTED_VALUE"""),"1 A 1 JM | Comuna 9 27/05")</f>
        <v>1 A 1 JM | Comuna 9 27/05</v>
      </c>
      <c r="F1172" s="29" t="str">
        <f>IFERROR(__xludf.DUMMYFUNCTION("""COMPUTED_VALUE"""),"facebook.com/reel/2080818039518607/")</f>
        <v>facebook.com/reel/2080818039518607/</v>
      </c>
    </row>
    <row r="1173">
      <c r="A1173" s="28" t="str">
        <f>IFERROR(__xludf.DUMMYFUNCTION("""COMPUTED_VALUE"""),"2969-ABRSEGVC")</f>
        <v>2969-ABRSEGVC</v>
      </c>
      <c r="B1173" s="28" t="str">
        <f>IFERROR(__xludf.DUMMYFUNCTION("""COMPUTED_VALUE"""),"RDV MINISTROS SEGURIDAD | RUTH LANDERRECHE 7/5 COMUNA 2")</f>
        <v>RDV MINISTROS SEGURIDAD | RUTH LANDERRECHE 7/5 COMUNA 2</v>
      </c>
      <c r="C1173" s="29" t="str">
        <f>IFERROR(__xludf.DUMMYFUNCTION("""COMPUTED_VALUE"""),"Pieza")</f>
        <v>Pieza</v>
      </c>
      <c r="D1173" s="28" t="str">
        <f>IFERROR(__xludf.DUMMYFUNCTION("""COMPUTED_VALUE"""),"3058-MAYSALGJ")</f>
        <v>3058-MAYSALGJ</v>
      </c>
      <c r="E1173" s="28" t="str">
        <f>IFERROR(__xludf.DUMMYFUNCTION("""COMPUTED_VALUE"""),"Hospital Tornú - Fin de obra")</f>
        <v>Hospital Tornú - Fin de obra</v>
      </c>
      <c r="F1173" s="29" t="str">
        <f>IFERROR(__xludf.DUMMYFUNCTION("""COMPUTED_VALUE"""),"https://www.facebook.com/GCBA/posts/pfbid037B8Kb6DQ6dKt9mS5CNx7XqZfYqf2Rutt5WqAUp3FvUcdgydtH3fEPUXdETEYvDZdl")</f>
        <v>https://www.facebook.com/GCBA/posts/pfbid037B8Kb6DQ6dKt9mS5CNx7XqZfYqf2Rutt5WqAUp3FvUcdgydtH3fEPUXdETEYvDZdl</v>
      </c>
    </row>
    <row r="1174">
      <c r="A1174" s="28" t="str">
        <f>IFERROR(__xludf.DUMMYFUNCTION("""COMPUTED_VALUE"""),"3002-MAYSEGVC")</f>
        <v>3002-MAYSEGVC</v>
      </c>
      <c r="B1174" s="28" t="str">
        <f>IFERROR(__xludf.DUMMYFUNCTION("""COMPUTED_VALUE"""),"RDV Ministros | Ruth Landerrecheo 14/5 Comuna 8")</f>
        <v>RDV Ministros | Ruth Landerrecheo 14/5 Comuna 8</v>
      </c>
      <c r="C1174" s="29" t="str">
        <f>IFERROR(__xludf.DUMMYFUNCTION("""COMPUTED_VALUE"""),"Pieza")</f>
        <v>Pieza</v>
      </c>
      <c r="D1174" s="28" t="str">
        <f>IFERROR(__xludf.DUMMYFUNCTION("""COMPUTED_VALUE"""),"3133-JUNJDGAG")</f>
        <v>3133-JUNJDGAG</v>
      </c>
      <c r="E1174" s="28" t="str">
        <f>IFERROR(__xludf.DUMMYFUNCTION("""COMPUTED_VALUE"""),"RDV JM | 5/6 Agronomía")</f>
        <v>RDV JM | 5/6 Agronomía</v>
      </c>
      <c r="F1174" s="29" t="str">
        <f>IFERROR(__xludf.DUMMYFUNCTION("""COMPUTED_VALUE"""),"https://www.facebook.com/reel/1682392496409197/")</f>
        <v>https://www.facebook.com/reel/1682392496409197/</v>
      </c>
    </row>
    <row r="1175">
      <c r="A1175" s="28" t="str">
        <f>IFERROR(__xludf.DUMMYFUNCTION("""COMPUTED_VALUE"""),"2823-ABRCULGC")</f>
        <v>2823-ABRCULGC</v>
      </c>
      <c r="B1175" s="28" t="str">
        <f>IFERROR(__xludf.DUMMYFUNCTION("""COMPUTED_VALUE"""),"Lanzamiento Linda. Ar")</f>
        <v>Lanzamiento Linda. Ar</v>
      </c>
      <c r="C1175" s="29" t="str">
        <f>IFERROR(__xludf.DUMMYFUNCTION("""COMPUTED_VALUE"""),"Pieza")</f>
        <v>Pieza</v>
      </c>
      <c r="D1175" s="28" t="str">
        <f>IFERROR(__xludf.DUMMYFUNCTION("""COMPUTED_VALUE"""),"3027-MAYINFGC")</f>
        <v>3027-MAYINFGC</v>
      </c>
      <c r="E1175" s="28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F1175" s="29" t="str">
        <f>IFERROR(__xludf.DUMMYFUNCTION("""COMPUTED_VALUE"""),"https://fb.me/adspreview/facebook/2kOc7goI7sZAeKe")</f>
        <v>https://fb.me/adspreview/facebook/2kOc7goI7sZAeKe</v>
      </c>
    </row>
    <row r="1176">
      <c r="A1176" s="28" t="str">
        <f>IFERROR(__xludf.DUMMYFUNCTION("""COMPUTED_VALUE"""),"2823-ABRCULGC")</f>
        <v>2823-ABRCULGC</v>
      </c>
      <c r="B1176" s="28" t="str">
        <f>IFERROR(__xludf.DUMMYFUNCTION("""COMPUTED_VALUE"""),"Lanzamiento Linda. Ar")</f>
        <v>Lanzamiento Linda. Ar</v>
      </c>
      <c r="C1176" s="29" t="str">
        <f>IFERROR(__xludf.DUMMYFUNCTION("""COMPUTED_VALUE"""),"Pieza")</f>
        <v>Pieza</v>
      </c>
      <c r="D1176" s="28" t="str">
        <f>IFERROR(__xludf.DUMMYFUNCTION("""COMPUTED_VALUE"""),"3100-MAYSEGGJ")</f>
        <v>3100-MAYSEGGJ</v>
      </c>
      <c r="E1176" s="28" t="str">
        <f>IFERROR(__xludf.DUMMYFUNCTION("""COMPUTED_VALUE"""),"Desalojo N°800")</f>
        <v>Desalojo N°800</v>
      </c>
      <c r="F1176" s="29" t="str">
        <f>IFERROR(__xludf.DUMMYFUNCTION("""COMPUTED_VALUE"""),"https://www.facebook.com/GCBA/posts/pfbid033kEjE9yaGrFdxuHniPNcM7sGu1ettWqv5TxYnj5GWzq8VFtkgjaXQMhw3oghr4Rdl")</f>
        <v>https://www.facebook.com/GCBA/posts/pfbid033kEjE9yaGrFdxuHniPNcM7sGu1ettWqv5TxYnj5GWzq8VFtkgjaXQMhw3oghr4Rdl</v>
      </c>
    </row>
    <row r="1177">
      <c r="A1177" s="28" t="str">
        <f>IFERROR(__xludf.DUMMYFUNCTION("""COMPUTED_VALUE"""),"2999-MAYSEGVC")</f>
        <v>2999-MAYSEGVC</v>
      </c>
      <c r="B1177" s="28" t="str">
        <f>IFERROR(__xludf.DUMMYFUNCTION("""COMPUTED_VALUE"""),"RDV Ministros | Gabino Tapia 14/5 Comuna 5")</f>
        <v>RDV Ministros | Gabino Tapia 14/5 Comuna 5</v>
      </c>
      <c r="C1177" s="29" t="str">
        <f>IFERROR(__xludf.DUMMYFUNCTION("""COMPUTED_VALUE"""),"Pieza")</f>
        <v>Pieza</v>
      </c>
      <c r="D1177" s="28" t="str">
        <f>IFERROR(__xludf.DUMMYFUNCTION("""COMPUTED_VALUE"""),"3118-MAYINFGJ")</f>
        <v>3118-MAYINFGJ</v>
      </c>
      <c r="E1177" s="28" t="str">
        <f>IFERROR(__xludf.DUMMYFUNCTION("""COMPUTED_VALUE"""),"CONTENIDO ADICIONAL | INFRAESTRUCTURA | Dellepiane Avances")</f>
        <v>CONTENIDO ADICIONAL | INFRAESTRUCTURA | Dellepiane Avances</v>
      </c>
      <c r="F1177" s="29" t="str">
        <f>IFERROR(__xludf.DUMMYFUNCTION("""COMPUTED_VALUE"""),"https://www.facebook.com/reel/1500465164912421/")</f>
        <v>https://www.facebook.com/reel/1500465164912421/</v>
      </c>
    </row>
    <row r="1178">
      <c r="A1178" s="28" t="str">
        <f>IFERROR(__xludf.DUMMYFUNCTION("""COMPUTED_VALUE"""),"2977-MAYEDUVC")</f>
        <v>2977-MAYEDUVC</v>
      </c>
      <c r="B1178" s="28" t="str">
        <f>IFERROR(__xludf.DUMMYFUNCTION("""COMPUTED_VALUE"""),"RDV Ministros | Mercedes Miguel | 7/5 | comuna 14")</f>
        <v>RDV Ministros | Mercedes Miguel | 7/5 | comuna 14</v>
      </c>
      <c r="C1178" s="29" t="str">
        <f>IFERROR(__xludf.DUMMYFUNCTION("""COMPUTED_VALUE"""),"Pieza")</f>
        <v>Pieza</v>
      </c>
      <c r="D1178" s="28" t="str">
        <f>IFERROR(__xludf.DUMMYFUNCTION("""COMPUTED_VALUE"""),"2827-ABREPHGC")</f>
        <v>2827-ABREPHGC</v>
      </c>
      <c r="E1178" s="28" t="str">
        <f>IFERROR(__xludf.DUMMYFUNCTION("""COMPUTED_VALUE"""),"CAMPAÑA GCBA | MEPHU | CAMPAÑA GRANDES GENERADORES")</f>
        <v>CAMPAÑA GCBA | MEPHU | CAMPAÑA GRANDES GENERADORES</v>
      </c>
      <c r="F1178" s="29" t="str">
        <f>IFERROR(__xludf.DUMMYFUNCTION("""COMPUTED_VALUE"""),"https://www.facebook.com/GCBA/posts/pfbid0ZPqxQ5PPTm9UmBiJCsU8TTjQDHdxdeEADshmKbkrJSQe2HQ3HDkVDugjGhY9jRzSl")</f>
        <v>https://www.facebook.com/GCBA/posts/pfbid0ZPqxQ5PPTm9UmBiJCsU8TTjQDHdxdeEADshmKbkrJSQe2HQ3HDkVDugjGhY9jRzSl</v>
      </c>
    </row>
    <row r="1179">
      <c r="A1179" s="28" t="str">
        <f>IFERROR(__xludf.DUMMYFUNCTION("""COMPUTED_VALUE"""),"2985-MAYJDGVC")</f>
        <v>2985-MAYJDGVC</v>
      </c>
      <c r="B1179" s="28" t="str">
        <f>IFERROR(__xludf.DUMMYFUNCTION("""COMPUTED_VALUE"""),"RDV Ministros | Gabriel Sanchéz Zinny - 8/5")</f>
        <v>RDV Ministros | Gabriel Sanchéz Zinny - 8/5</v>
      </c>
      <c r="C1179" s="29" t="str">
        <f>IFERROR(__xludf.DUMMYFUNCTION("""COMPUTED_VALUE"""),"Pieza")</f>
        <v>Pieza</v>
      </c>
      <c r="D1179" s="28" t="str">
        <f>IFERROR(__xludf.DUMMYFUNCTION("""COMPUTED_VALUE"""),"2827-ABREPHGC")</f>
        <v>2827-ABREPHGC</v>
      </c>
      <c r="E1179" s="28" t="str">
        <f>IFERROR(__xludf.DUMMYFUNCTION("""COMPUTED_VALUE"""),"CAMPAÑA GCBA | MEPHU | CAMPAÑA GRANDES GENERADORES")</f>
        <v>CAMPAÑA GCBA | MEPHU | CAMPAÑA GRANDES GENERADORES</v>
      </c>
      <c r="F1179" s="29" t="str">
        <f>IFERROR(__xludf.DUMMYFUNCTION("""COMPUTED_VALUE"""),"https://www.facebook.com/reel/938662309035633")</f>
        <v>https://www.facebook.com/reel/938662309035633</v>
      </c>
    </row>
    <row r="1180">
      <c r="A1180" s="28" t="str">
        <f>IFERROR(__xludf.DUMMYFUNCTION("""COMPUTED_VALUE"""),"3008-MAYSEGGC")</f>
        <v>3008-MAYSEGGC</v>
      </c>
      <c r="B1180" s="28" t="str">
        <f>IFERROR(__xludf.DUMMYFUNCTION("""COMPUTED_VALUE"""),"Newsletter Seguridad Mayo")</f>
        <v>Newsletter Seguridad Mayo</v>
      </c>
      <c r="C1180" s="29" t="str">
        <f>IFERROR(__xludf.DUMMYFUNCTION("""COMPUTED_VALUE"""),"Pieza")</f>
        <v>Pieza</v>
      </c>
      <c r="D1180" s="28" t="str">
        <f>IFERROR(__xludf.DUMMYFUNCTION("""COMPUTED_VALUE"""),"2827-ABREPHGC")</f>
        <v>2827-ABREPHGC</v>
      </c>
      <c r="E1180" s="28" t="str">
        <f>IFERROR(__xludf.DUMMYFUNCTION("""COMPUTED_VALUE"""),"CAMPAÑA GCBA | MEPHU | CAMPAÑA GRANDES GENERADORES")</f>
        <v>CAMPAÑA GCBA | MEPHU | CAMPAÑA GRANDES GENERADORES</v>
      </c>
      <c r="F1180" s="29" t="str">
        <f>IFERROR(__xludf.DUMMYFUNCTION("""COMPUTED_VALUE"""),"https://www.facebook.com/GCBA/posts/pfbid0YsvPWYb967LiLYq3YMQEez25Q4opZik9cFdh4KmKrjVeJYAXhZE23CYTkhPCpZLBl")</f>
        <v>https://www.facebook.com/GCBA/posts/pfbid0YsvPWYb967LiLYq3YMQEez25Q4opZik9cFdh4KmKrjVeJYAXhZE23CYTkhPCpZLBl</v>
      </c>
    </row>
    <row r="1181">
      <c r="A1181" s="28" t="str">
        <f>IFERROR(__xludf.DUMMYFUNCTION("""COMPUTED_VALUE"""),"2974-MAYSEGGJ")</f>
        <v>2974-MAYSEGGJ</v>
      </c>
      <c r="B1181" s="28" t="str">
        <f>IFERROR(__xludf.DUMMYFUNCTION("""COMPUTED_VALUE"""),"Nueva Patrulla de Control de Accesos a la Ciudad")</f>
        <v>Nueva Patrulla de Control de Accesos a la Ciudad</v>
      </c>
      <c r="C1181" s="29" t="str">
        <f>IFERROR(__xludf.DUMMYFUNCTION("""COMPUTED_VALUE"""),"Pieza")</f>
        <v>Pieza</v>
      </c>
      <c r="D1181" s="28" t="str">
        <f>IFERROR(__xludf.DUMMYFUNCTION("""COMPUTED_VALUE"""),"2827-ABREPHGC")</f>
        <v>2827-ABREPHGC</v>
      </c>
      <c r="E1181" s="28" t="str">
        <f>IFERROR(__xludf.DUMMYFUNCTION("""COMPUTED_VALUE"""),"CAMPAÑA GCBA | MEPHU | CAMPAÑA GRANDES GENERADORES")</f>
        <v>CAMPAÑA GCBA | MEPHU | CAMPAÑA GRANDES GENERADORES</v>
      </c>
      <c r="F1181" s="29" t="str">
        <f>IFERROR(__xludf.DUMMYFUNCTION("""COMPUTED_VALUE"""),"https://www.facebook.com/GCBA/posts/pfbid0HDjJ7ADLmVV9qRNGYyC1QmhZKHE6gr3HcD2wiXfT8Uf1PBKo7aaWtbNktXYwgoBCl")</f>
        <v>https://www.facebook.com/GCBA/posts/pfbid0HDjJ7ADLmVV9qRNGYyC1QmhZKHE6gr3HcD2wiXfT8Uf1PBKo7aaWtbNktXYwgoBCl</v>
      </c>
    </row>
    <row r="1182">
      <c r="A1182" s="28" t="str">
        <f>IFERROR(__xludf.DUMMYFUNCTION("""COMPUTED_VALUE"""),"3000-MAYSEGVC")</f>
        <v>3000-MAYSEGVC</v>
      </c>
      <c r="B1182" s="28" t="str">
        <f>IFERROR(__xludf.DUMMYFUNCTION("""COMPUTED_VALUE"""),"RDV Ministros | Horacio Giménez 14/5 Comuna 6")</f>
        <v>RDV Ministros | Horacio Giménez 14/5 Comuna 6</v>
      </c>
      <c r="C1182" s="29" t="str">
        <f>IFERROR(__xludf.DUMMYFUNCTION("""COMPUTED_VALUE"""),"Pieza")</f>
        <v>Pieza</v>
      </c>
      <c r="D1182" s="28" t="str">
        <f>IFERROR(__xludf.DUMMYFUNCTION("""COMPUTED_VALUE"""),"2900-ABREDUGC")</f>
        <v>2900-ABREDUGC</v>
      </c>
      <c r="E1182" s="28" t="str">
        <f>IFERROR(__xludf.DUMMYFUNCTION("""COMPUTED_VALUE"""),"NUEVA SEDE TUMO NUÑEZ")</f>
        <v>NUEVA SEDE TUMO NUÑEZ</v>
      </c>
      <c r="F1182" s="29" t="str">
        <f>IFERROR(__xludf.DUMMYFUNCTION("""COMPUTED_VALUE"""),"https://www.facebook.com/GCBA/posts/pfbid02oc4eGpxiTuWbRHkbF7CMFJgXHy2yjdoztoFr8hDs9YJLbAr91HSjsiqNqAK4F7opl")</f>
        <v>https://www.facebook.com/GCBA/posts/pfbid02oc4eGpxiTuWbRHkbF7CMFJgXHy2yjdoztoFr8hDs9YJLbAr91HSjsiqNqAK4F7opl</v>
      </c>
    </row>
    <row r="1183">
      <c r="A1183" s="28" t="str">
        <f>IFERROR(__xludf.DUMMYFUNCTION("""COMPUTED_VALUE"""),"2968-ABRSEGVC")</f>
        <v>2968-ABRSEGVC</v>
      </c>
      <c r="B1183" s="28" t="str">
        <f>IFERROR(__xludf.DUMMYFUNCTION("""COMPUTED_VALUE"""),"RDV MINISTROS SEGURIDAD | MAXIMILIANO PIÑEIRO 7/5 COMUNA 3")</f>
        <v>RDV MINISTROS SEGURIDAD | MAXIMILIANO PIÑEIRO 7/5 COMUNA 3</v>
      </c>
      <c r="C1183" s="29" t="str">
        <f>IFERROR(__xludf.DUMMYFUNCTION("""COMPUTED_VALUE"""),"Pieza")</f>
        <v>Pieza</v>
      </c>
      <c r="D1183" s="28" t="str">
        <f>IFERROR(__xludf.DUMMYFUNCTION("""COMPUTED_VALUE"""),"3120-MAYINFGJ")</f>
        <v>3120-MAYINFGJ</v>
      </c>
      <c r="E1183" s="28" t="str">
        <f>IFERROR(__xludf.DUMMYFUNCTION("""COMPUTED_VALUE"""),"Infraestructura I Remoción de Estacionamientos Truchos")</f>
        <v>Infraestructura I Remoción de Estacionamientos Truchos</v>
      </c>
      <c r="F1183" s="29" t="str">
        <f>IFERROR(__xludf.DUMMYFUNCTION("""COMPUTED_VALUE"""),"https://www.facebook.com/reel/1538966754240714")</f>
        <v>https://www.facebook.com/reel/1538966754240714</v>
      </c>
    </row>
    <row r="1184">
      <c r="A1184" s="28" t="str">
        <f>IFERROR(__xludf.DUMMYFUNCTION("""COMPUTED_VALUE"""),"1946-SEPEPHGC")</f>
        <v>1946-SEPEPHGC</v>
      </c>
      <c r="B1184" s="28" t="str">
        <f>IFERROR(__xludf.DUMMYFUNCTION("""COMPUTED_VALUE"""),"CAMPAÑA GCBA | MEPHU  | PLUVIALES")</f>
        <v>CAMPAÑA GCBA | MEPHU  | PLUVIALES</v>
      </c>
      <c r="C1184" s="29" t="str">
        <f>IFERROR(__xludf.DUMMYFUNCTION("""COMPUTED_VALUE"""),"Pieza")</f>
        <v>Pieza</v>
      </c>
      <c r="D1184" s="28" t="str">
        <f>IFERROR(__xludf.DUMMYFUNCTION("""COMPUTED_VALUE"""),"2496-ENEVINGC")</f>
        <v>2496-ENEVINGC</v>
      </c>
      <c r="E118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4" s="29" t="str">
        <f>IFERROR(__xludf.DUMMYFUNCTION("""COMPUTED_VALUE"""),"https://www.facebook.com/GCBA/posts/pfbid026smDkrUJ5SfPp8Y643S6d1FghCDrHUtEovYwTmvxhrWfQJfmoWdbtHSvNvgLvHogl")</f>
        <v>https://www.facebook.com/GCBA/posts/pfbid026smDkrUJ5SfPp8Y643S6d1FghCDrHUtEovYwTmvxhrWfQJfmoWdbtHSvNvgLvHogl</v>
      </c>
    </row>
    <row r="1185">
      <c r="A1185" s="28" t="str">
        <f>IFERROR(__xludf.DUMMYFUNCTION("""COMPUTED_VALUE"""),"1942-SEPEPHGC")</f>
        <v>1942-SEPEPHGC</v>
      </c>
      <c r="B1185" s="28" t="str">
        <f>IFERROR(__xludf.DUMMYFUNCTION("""COMPUTED_VALUE"""),"DGPLES | MEPHU  | REPARACIÓN DE VEREDAS")</f>
        <v>DGPLES | MEPHU  | REPARACIÓN DE VEREDAS</v>
      </c>
      <c r="C1185" s="29" t="str">
        <f>IFERROR(__xludf.DUMMYFUNCTION("""COMPUTED_VALUE"""),"Pieza")</f>
        <v>Pieza</v>
      </c>
      <c r="D1185" s="28" t="str">
        <f>IFERROR(__xludf.DUMMYFUNCTION("""COMPUTED_VALUE"""),"2496-ENEVINGC")</f>
        <v>2496-ENEVINGC</v>
      </c>
      <c r="E1185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5" s="29" t="str">
        <f>IFERROR(__xludf.DUMMYFUNCTION("""COMPUTED_VALUE"""),"https://www.facebook.com/GCBA/posts/pfbid02QRvqeKs9Gd9FKGyHHvAhcGPiJDZAKdQGHcp9LtDmUN5xHBts982gX3DFAbDWhDKnl")</f>
        <v>https://www.facebook.com/GCBA/posts/pfbid02QRvqeKs9Gd9FKGyHHvAhcGPiJDZAKdQGHcp9LtDmUN5xHBts982gX3DFAbDWhDKnl</v>
      </c>
    </row>
    <row r="1186">
      <c r="A1186" s="28" t="str">
        <f>IFERROR(__xludf.DUMMYFUNCTION("""COMPUTED_VALUE"""),"3001-MAYSEGVC")</f>
        <v>3001-MAYSEGVC</v>
      </c>
      <c r="B1186" s="28" t="str">
        <f>IFERROR(__xludf.DUMMYFUNCTION("""COMPUTED_VALUE"""),"RDV Ministros | Maximiliano Piñeiro 14/5 Comuna 7")</f>
        <v>RDV Ministros | Maximiliano Piñeiro 14/5 Comuna 7</v>
      </c>
      <c r="C1186" s="29" t="str">
        <f>IFERROR(__xludf.DUMMYFUNCTION("""COMPUTED_VALUE"""),"Pieza")</f>
        <v>Pieza</v>
      </c>
      <c r="D1186" s="28" t="str">
        <f>IFERROR(__xludf.DUMMYFUNCTION("""COMPUTED_VALUE"""),"2496-ENEVINGC")</f>
        <v>2496-ENEVINGC</v>
      </c>
      <c r="E118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6" s="29" t="str">
        <f>IFERROR(__xludf.DUMMYFUNCTION("""COMPUTED_VALUE"""),"https://www.facebook.com/GCBA/posts/pfbid0296Qv8qBuYDm1r1vCUE8MZrydTBc9VeEUEaEZjYiUnAgrSNMRADbvvDMcK7mVo1CRl")</f>
        <v>https://www.facebook.com/GCBA/posts/pfbid0296Qv8qBuYDm1r1vCUE8MZrydTBc9VeEUEaEZjYiUnAgrSNMRADbvvDMcK7mVo1CRl</v>
      </c>
    </row>
    <row r="1187">
      <c r="A1187" s="28" t="str">
        <f>IFERROR(__xludf.DUMMYFUNCTION("""COMPUTED_VALUE"""),"2997-MAYJDGAG")</f>
        <v>2997-MAYJDGAG</v>
      </c>
      <c r="B1187" s="28" t="str">
        <f>IFERROR(__xludf.DUMMYFUNCTION("""COMPUTED_VALUE"""),"RDV JM TEMÁTICA | TE CUENTO BS AS 14/05 ORDEN PÚBLICO EJE SUR")</f>
        <v>RDV JM TEMÁTICA | TE CUENTO BS AS 14/05 ORDEN PÚBLICO EJE SUR</v>
      </c>
      <c r="C1187" s="29" t="str">
        <f>IFERROR(__xludf.DUMMYFUNCTION("""COMPUTED_VALUE"""),"Pieza")</f>
        <v>Pieza</v>
      </c>
      <c r="D1187" s="28" t="str">
        <f>IFERROR(__xludf.DUMMYFUNCTION("""COMPUTED_VALUE"""),"2496-ENEVINGC")</f>
        <v>2496-ENEVINGC</v>
      </c>
      <c r="E118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187" s="29" t="str">
        <f>IFERROR(__xludf.DUMMYFUNCTION("""COMPUTED_VALUE"""),"https://www.facebook.com/GCBA/posts/pfbid0a1GEg7bHTZAiSRYFLsJhWDqHzmpoFqPDLyNDcaHugiQKTPBzraUJCaNxzWNmde1Sl")</f>
        <v>https://www.facebook.com/GCBA/posts/pfbid0a1GEg7bHTZAiSRYFLsJhWDqHzmpoFqPDLyNDcaHugiQKTPBzraUJCaNxzWNmde1Sl</v>
      </c>
    </row>
    <row r="1188">
      <c r="A1188" s="28" t="str">
        <f>IFERROR(__xludf.DUMMYFUNCTION("""COMPUTED_VALUE"""),"3005-MAYSEGVC")</f>
        <v>3005-MAYSEGVC</v>
      </c>
      <c r="B1188" s="28" t="str">
        <f>IFERROR(__xludf.DUMMYFUNCTION("""COMPUTED_VALUE"""),"RDV Ministros | Ezequiel Sabor 11/5 Comuna 4")</f>
        <v>RDV Ministros | Ezequiel Sabor 11/5 Comuna 4</v>
      </c>
      <c r="C1188" s="29" t="str">
        <f>IFERROR(__xludf.DUMMYFUNCTION("""COMPUTED_VALUE"""),"Pieza")</f>
        <v>Pieza</v>
      </c>
      <c r="D1188" s="28" t="str">
        <f>IFERROR(__xludf.DUMMYFUNCTION("""COMPUTED_VALUE"""),"3034-MAYJDGAG")</f>
        <v>3034-MAYJDGAG</v>
      </c>
      <c r="E1188" s="28" t="str">
        <f>IFERROR(__xludf.DUMMYFUNCTION("""COMPUTED_VALUE"""),"RDV JM TEMÁTICA | TE CUENTO BS AS 21/05 MOVILIDAD EJE OESTE")</f>
        <v>RDV JM TEMÁTICA | TE CUENTO BS AS 21/05 MOVILIDAD EJE OESTE</v>
      </c>
      <c r="F1188" s="29" t="str">
        <f>IFERROR(__xludf.DUMMYFUNCTION("""COMPUTED_VALUE"""),"https://www.facebook.com/reel/1627276625017458")</f>
        <v>https://www.facebook.com/reel/1627276625017458</v>
      </c>
    </row>
    <row r="1189">
      <c r="A1189" s="28" t="str">
        <f>IFERROR(__xludf.DUMMYFUNCTION("""COMPUTED_VALUE"""),"2991-MAYVINVC")</f>
        <v>2991-MAYVINVC</v>
      </c>
      <c r="B1189" s="28" t="str">
        <f>IFERROR(__xludf.DUMMYFUNCTION("""COMPUTED_VALUE"""),"Más servicios en tu barrio  14 y 15/5 Villa del Parque")</f>
        <v>Más servicios en tu barrio  14 y 15/5 Villa del Parque</v>
      </c>
      <c r="C1189" s="29" t="str">
        <f>IFERROR(__xludf.DUMMYFUNCTION("""COMPUTED_VALUE"""),"Pieza")</f>
        <v>Pieza</v>
      </c>
      <c r="D1189" s="28" t="str">
        <f>IFERROR(__xludf.DUMMYFUNCTION("""COMPUTED_VALUE"""),"3034-MAYJDGAG")</f>
        <v>3034-MAYJDGAG</v>
      </c>
      <c r="E1189" s="28" t="str">
        <f>IFERROR(__xludf.DUMMYFUNCTION("""COMPUTED_VALUE"""),"RDV JM TEMÁTICA | TE CUENTO BS AS 21/05 MOVILIDAD EJE OESTE")</f>
        <v>RDV JM TEMÁTICA | TE CUENTO BS AS 21/05 MOVILIDAD EJE OESTE</v>
      </c>
      <c r="F1189" s="29" t="str">
        <f>IFERROR(__xludf.DUMMYFUNCTION("""COMPUTED_VALUE"""),"https://www.facebook.com/reel/1627276625017458")</f>
        <v>https://www.facebook.com/reel/1627276625017458</v>
      </c>
    </row>
    <row r="1190">
      <c r="A1190" s="28" t="str">
        <f>IFERROR(__xludf.DUMMYFUNCTION("""COMPUTED_VALUE"""),"2992-MAYVINVC")</f>
        <v>2992-MAYVINVC</v>
      </c>
      <c r="B1190" s="28" t="str">
        <f>IFERROR(__xludf.DUMMYFUNCTION("""COMPUTED_VALUE"""),"Más servicios en tu barrio 16/ 5 Parque Avellaneda")</f>
        <v>Más servicios en tu barrio 16/ 5 Parque Avellaneda</v>
      </c>
      <c r="C1190" s="29" t="str">
        <f>IFERROR(__xludf.DUMMYFUNCTION("""COMPUTED_VALUE"""),"Pieza")</f>
        <v>Pieza</v>
      </c>
      <c r="D1190" s="28" t="str">
        <f>IFERROR(__xludf.DUMMYFUNCTION("""COMPUTED_VALUE"""),"2961-ABRSEGGJ")</f>
        <v>2961-ABRSEGGJ</v>
      </c>
      <c r="E1190" s="28" t="str">
        <f>IFERROR(__xludf.DUMMYFUNCTION("""COMPUTED_VALUE"""),"Campaña ORDEN Y SEGURIDAD 2026")</f>
        <v>Campaña ORDEN Y SEGURIDAD 2026</v>
      </c>
      <c r="F1190" s="29" t="str">
        <f>IFERROR(__xludf.DUMMYFUNCTION("""COMPUTED_VALUE"""),"https://www.facebook.com/reel/1659762081812931/")</f>
        <v>https://www.facebook.com/reel/1659762081812931/</v>
      </c>
    </row>
    <row r="1191">
      <c r="A1191" s="28" t="str">
        <f>IFERROR(__xludf.DUMMYFUNCTION("""COMPUTED_VALUE"""),"3004-MAYVINVC")</f>
        <v>3004-MAYVINVC</v>
      </c>
      <c r="B1191" s="28" t="str">
        <f>IFERROR(__xludf.DUMMYFUNCTION("""COMPUTED_VALUE"""),"Más Servicios en tu Barrio Nueva Pompeya 16/5")</f>
        <v>Más Servicios en tu Barrio Nueva Pompeya 16/5</v>
      </c>
      <c r="C1191" s="29" t="str">
        <f>IFERROR(__xludf.DUMMYFUNCTION("""COMPUTED_VALUE"""),"Pieza")</f>
        <v>Pieza</v>
      </c>
      <c r="D1191" s="28" t="str">
        <f>IFERROR(__xludf.DUMMYFUNCTION("""COMPUTED_VALUE"""),"3011-MAYFESGC")</f>
        <v>3011-MAYFESGC</v>
      </c>
      <c r="E1191" s="28" t="str">
        <f>IFERROR(__xludf.DUMMYFUNCTION("""COMPUTED_VALUE"""),"La ciudad late mundial Genérica")</f>
        <v>La ciudad late mundial Genérica</v>
      </c>
      <c r="F1191" s="29" t="str">
        <f>IFERROR(__xludf.DUMMYFUNCTION("""COMPUTED_VALUE"""),"https://www.facebook.com/reel/1368798341811054/")</f>
        <v>https://www.facebook.com/reel/1368798341811054/</v>
      </c>
    </row>
    <row r="1192">
      <c r="A1192" s="28" t="str">
        <f>IFERROR(__xludf.DUMMYFUNCTION("""COMPUTED_VALUE"""),"2982-MAYDECGC")</f>
        <v>2982-MAYDECGC</v>
      </c>
      <c r="B1192" s="28" t="str">
        <f>IFERROR(__xludf.DUMMYFUNCTION("""COMPUTED_VALUE"""),"Cafecito BA en Palermo")</f>
        <v>Cafecito BA en Palermo</v>
      </c>
      <c r="C1192" s="29" t="str">
        <f>IFERROR(__xludf.DUMMYFUNCTION("""COMPUTED_VALUE"""),"Pieza")</f>
        <v>Pieza</v>
      </c>
      <c r="D1192" s="28" t="str">
        <f>IFERROR(__xludf.DUMMYFUNCTION("""COMPUTED_VALUE"""),"2961-ABRSEGGJ")</f>
        <v>2961-ABRSEGGJ</v>
      </c>
      <c r="E1192" s="28" t="str">
        <f>IFERROR(__xludf.DUMMYFUNCTION("""COMPUTED_VALUE"""),"Campaña ORDEN Y SEGURIDAD 2026")</f>
        <v>Campaña ORDEN Y SEGURIDAD 2026</v>
      </c>
      <c r="F1192" s="29" t="str">
        <f>IFERROR(__xludf.DUMMYFUNCTION("""COMPUTED_VALUE"""),"https://www.facebook.com/reel/1520879146383969/")</f>
        <v>https://www.facebook.com/reel/1520879146383969/</v>
      </c>
    </row>
    <row r="1193">
      <c r="A1193" s="28" t="str">
        <f>IFERROR(__xludf.DUMMYFUNCTION("""COMPUTED_VALUE"""),"2823-ABRCULGC")</f>
        <v>2823-ABRCULGC</v>
      </c>
      <c r="B1193" s="28" t="str">
        <f>IFERROR(__xludf.DUMMYFUNCTION("""COMPUTED_VALUE"""),"Lanzamiento Linda. Ar")</f>
        <v>Lanzamiento Linda. Ar</v>
      </c>
      <c r="C1193" s="29" t="str">
        <f>IFERROR(__xludf.DUMMYFUNCTION("""COMPUTED_VALUE"""),"Pieza")</f>
        <v>Pieza</v>
      </c>
      <c r="D1193" s="28" t="str">
        <f>IFERROR(__xludf.DUMMYFUNCTION("""COMPUTED_VALUE"""),"3099-MAYINFGC")</f>
        <v>3099-MAYINFGC</v>
      </c>
      <c r="E1193" s="28" t="str">
        <f>IFERROR(__xludf.DUMMYFUNCTION("""COMPUTED_VALUE"""),"Cortes en Núñez por recital Lali - 6/6 y 7/6")</f>
        <v>Cortes en Núñez por recital Lali - 6/6 y 7/6</v>
      </c>
      <c r="F1193" s="29" t="str">
        <f>IFERROR(__xludf.DUMMYFUNCTION("""COMPUTED_VALUE"""),"https://fb.me/adspreview/facebook/26hl3ef2PRp2J1x")</f>
        <v>https://fb.me/adspreview/facebook/26hl3ef2PRp2J1x</v>
      </c>
    </row>
    <row r="1194">
      <c r="A1194" s="28" t="str">
        <f>IFERROR(__xludf.DUMMYFUNCTION("""COMPUTED_VALUE"""),"2795-MARINFGC")</f>
        <v>2795-MARINFGC</v>
      </c>
      <c r="B1194" s="28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1194" s="29" t="str">
        <f>IFERROR(__xludf.DUMMYFUNCTION("""COMPUTED_VALUE"""),"Pieza")</f>
        <v>Pieza</v>
      </c>
      <c r="D1194" s="28" t="str">
        <f>IFERROR(__xludf.DUMMYFUNCTION("""COMPUTED_VALUE"""),"3074-MAYJDGAG")</f>
        <v>3074-MAYJDGAG</v>
      </c>
      <c r="E1194" s="28" t="str">
        <f>IFERROR(__xludf.DUMMYFUNCTION("""COMPUTED_VALUE"""),"RDV JM TEMÁTICA | TE CUENTO BS AS 28/05 CIUDAD ATRACTIVA EJE ESTE")</f>
        <v>RDV JM TEMÁTICA | TE CUENTO BS AS 28/05 CIUDAD ATRACTIVA EJE ESTE</v>
      </c>
      <c r="F1194" s="29" t="str">
        <f>IFERROR(__xludf.DUMMYFUNCTION("""COMPUTED_VALUE"""),"https://www.facebook.com/reel/1007901788387049")</f>
        <v>https://www.facebook.com/reel/1007901788387049</v>
      </c>
    </row>
    <row r="1195">
      <c r="A1195" s="28" t="str">
        <f>IFERROR(__xludf.DUMMYFUNCTION("""COMPUTED_VALUE"""),"2795-MARINFGC")</f>
        <v>2795-MARINFGC</v>
      </c>
      <c r="B1195" s="28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1195" s="29" t="str">
        <f>IFERROR(__xludf.DUMMYFUNCTION("""COMPUTED_VALUE"""),"Pieza")</f>
        <v>Pieza</v>
      </c>
      <c r="D1195" s="28" t="str">
        <f>IFERROR(__xludf.DUMMYFUNCTION("""COMPUTED_VALUE"""),"3142-JUNFESGC")</f>
        <v>3142-JUNFESGC</v>
      </c>
      <c r="E1195" s="28" t="str">
        <f>IFERROR(__xludf.DUMMYFUNCTION("""COMPUTED_VALUE"""),"Sorteo entradas Soda Stereo")</f>
        <v>Sorteo entradas Soda Stereo</v>
      </c>
      <c r="F1195" s="29" t="str">
        <f>IFERROR(__xludf.DUMMYFUNCTION("""COMPUTED_VALUE"""),"https://www.facebook.com/lindaenvivo/posts/pfbid0WbNiU7em6L5KUdaebD122aT5xjmK2yfL1LygibKDJeYrhx8KUeorGiHzg252ZdW8l")</f>
        <v>https://www.facebook.com/lindaenvivo/posts/pfbid0WbNiU7em6L5KUdaebD122aT5xjmK2yfL1LygibKDJeYrhx8KUeorGiHzg252ZdW8l</v>
      </c>
    </row>
    <row r="1196">
      <c r="A1196" s="28" t="str">
        <f>IFERROR(__xludf.DUMMYFUNCTION("""COMPUTED_VALUE"""),"3013-MAYJDGVC")</f>
        <v>3013-MAYJDGVC</v>
      </c>
      <c r="B1196" s="28" t="str">
        <f>IFERROR(__xludf.DUMMYFUNCTION("""COMPUTED_VALUE"""),"RDV Ministros | Gabriel Sánchez Zinny - 15/5")</f>
        <v>RDV Ministros | Gabriel Sánchez Zinny - 15/5</v>
      </c>
      <c r="C1196" s="29" t="str">
        <f>IFERROR(__xludf.DUMMYFUNCTION("""COMPUTED_VALUE"""),"Pieza")</f>
        <v>Pieza</v>
      </c>
      <c r="D1196" s="28" t="str">
        <f>IFERROR(__xludf.DUMMYFUNCTION("""COMPUTED_VALUE"""),"3126-MAYAMBVC")</f>
        <v>3126-MAYAMBVC</v>
      </c>
      <c r="E1196" s="28" t="str">
        <f>IFERROR(__xludf.DUMMYFUNCTION("""COMPUTED_VALUE"""),"Clara Muzzio - 5/6 - Núñez")</f>
        <v>Clara Muzzio - 5/6 - Núñez</v>
      </c>
      <c r="F1196" s="28"/>
    </row>
    <row r="1197">
      <c r="A1197" s="28" t="str">
        <f>IFERROR(__xludf.DUMMYFUNCTION("""COMPUTED_VALUE"""),"3007-MAYJDGVC")</f>
        <v>3007-MAYJDGVC</v>
      </c>
      <c r="B1197" s="28" t="str">
        <f>IFERROR(__xludf.DUMMYFUNCTION("""COMPUTED_VALUE"""),"RDV Ministros | Gabriel Sánchez Zinny - 13/5")</f>
        <v>RDV Ministros | Gabriel Sánchez Zinny - 13/5</v>
      </c>
      <c r="C1197" s="29" t="str">
        <f>IFERROR(__xludf.DUMMYFUNCTION("""COMPUTED_VALUE"""),"Pieza")</f>
        <v>Pieza</v>
      </c>
      <c r="D1197" s="28" t="str">
        <f>IFERROR(__xludf.DUMMYFUNCTION("""COMPUTED_VALUE"""),"3015-MAYFESGC")</f>
        <v>3015-MAYFESGC</v>
      </c>
      <c r="E1197" s="28" t="str">
        <f>IFERROR(__xludf.DUMMYFUNCTION("""COMPUTED_VALUE"""),"La ciudad late mundial | Fan Fest FIFA")</f>
        <v>La ciudad late mundial | Fan Fest FIFA</v>
      </c>
      <c r="F1197" s="29" t="str">
        <f>IFERROR(__xludf.DUMMYFUNCTION("""COMPUTED_VALUE"""),"https://www.facebook.com/reel/2212657036254593")</f>
        <v>https://www.facebook.com/reel/2212657036254593</v>
      </c>
    </row>
    <row r="1198">
      <c r="A1198" s="28" t="str">
        <f>IFERROR(__xludf.DUMMYFUNCTION("""COMPUTED_VALUE"""),"2973-MAYSEGGC")</f>
        <v>2973-MAYSEGGC</v>
      </c>
      <c r="B1198" s="28" t="str">
        <f>IFERROR(__xludf.DUMMYFUNCTION("""COMPUTED_VALUE"""),"Operativos de saturación en subte")</f>
        <v>Operativos de saturación en subte</v>
      </c>
      <c r="C1198" s="29" t="str">
        <f>IFERROR(__xludf.DUMMYFUNCTION("""COMPUTED_VALUE"""),"Pieza")</f>
        <v>Pieza</v>
      </c>
      <c r="D1198" s="28" t="str">
        <f>IFERROR(__xludf.DUMMYFUNCTION("""COMPUTED_VALUE"""),"3128-MAYINFCA")</f>
        <v>3128-MAYINFCA</v>
      </c>
      <c r="E1198" s="28" t="str">
        <f>IFERROR(__xludf.DUMMYFUNCTION("""COMPUTED_VALUE"""),"INFRAESTRUCTURA| Habilitacion Parcial de Puente Labruna                                ")</f>
        <v>INFRAESTRUCTURA| Habilitacion Parcial de Puente Labruna                                </v>
      </c>
      <c r="F1198" s="29" t="str">
        <f>IFERROR(__xludf.DUMMYFUNCTION("""COMPUTED_VALUE"""),"https://www.facebook.com/reel/1793775995332544")</f>
        <v>https://www.facebook.com/reel/1793775995332544</v>
      </c>
    </row>
    <row r="1199">
      <c r="A1199" s="28" t="str">
        <f>IFERROR(__xludf.DUMMYFUNCTION("""COMPUTED_VALUE"""),"3006-MAYSEGVC")</f>
        <v>3006-MAYSEGVC</v>
      </c>
      <c r="B1199" s="28" t="str">
        <f>IFERROR(__xludf.DUMMYFUNCTION("""COMPUTED_VALUE"""),"RDV Ministros | Ignacio Baistrocchi 13/5 Comuna 13")</f>
        <v>RDV Ministros | Ignacio Baistrocchi 13/5 Comuna 13</v>
      </c>
      <c r="C1199" s="29" t="str">
        <f>IFERROR(__xludf.DUMMYFUNCTION("""COMPUTED_VALUE"""),"Pieza")</f>
        <v>Pieza</v>
      </c>
      <c r="D1199" s="28" t="str">
        <f>IFERROR(__xludf.DUMMYFUNCTION("""COMPUTED_VALUE"""),"3051-MAYSEGGJ")</f>
        <v>3051-MAYSEGGJ</v>
      </c>
      <c r="E1199" s="28" t="str">
        <f>IFERROR(__xludf.DUMMYFUNCTION("""COMPUTED_VALUE"""),"Operativo Tormenta Negra")</f>
        <v>Operativo Tormenta Negra</v>
      </c>
      <c r="F1199" s="29" t="str">
        <f>IFERROR(__xludf.DUMMYFUNCTION("""COMPUTED_VALUE"""),"https://www.facebook.com/reel/1026781946697269")</f>
        <v>https://www.facebook.com/reel/1026781946697269</v>
      </c>
    </row>
    <row r="1200">
      <c r="A1200" s="28" t="str">
        <f>IFERROR(__xludf.DUMMYFUNCTION("""COMPUTED_VALUE"""),"2942-ABRSALGJ")</f>
        <v>2942-ABRSALGJ</v>
      </c>
      <c r="B1200" s="28" t="str">
        <f>IFERROR(__xludf.DUMMYFUNCTION("""COMPUTED_VALUE"""),"Htal. Fernández - Durante de Obra")</f>
        <v>Htal. Fernández - Durante de Obra</v>
      </c>
      <c r="C1200" s="29" t="str">
        <f>IFERROR(__xludf.DUMMYFUNCTION("""COMPUTED_VALUE"""),"Pieza")</f>
        <v>Pieza</v>
      </c>
      <c r="D1200" s="28" t="str">
        <f>IFERROR(__xludf.DUMMYFUNCTION("""COMPUTED_VALUE"""),"3154-JUNJDGAG")</f>
        <v>3154-JUNJDGAG</v>
      </c>
      <c r="E1200" s="28" t="str">
        <f>IFERROR(__xludf.DUMMYFUNCTION("""COMPUTED_VALUE"""),"1 A 1 JM | COMUNA 3 8/6")</f>
        <v>1 A 1 JM | COMUNA 3 8/6</v>
      </c>
      <c r="F1200" s="29" t="str">
        <f>IFERROR(__xludf.DUMMYFUNCTION("""COMPUTED_VALUE"""),"https://www.facebook.com/GCBA/posts/pfbid02S69HL7Rh16mEJr6jPS2GDu5yeREJSdMYDeJtCjgnjAJ9ye7imvJZemK4w8BrttQTl")</f>
        <v>https://www.facebook.com/GCBA/posts/pfbid02S69HL7Rh16mEJr6jPS2GDu5yeREJSdMYDeJtCjgnjAJ9ye7imvJZemK4w8BrttQTl</v>
      </c>
    </row>
    <row r="1201">
      <c r="A1201" s="28" t="str">
        <f>IFERROR(__xludf.DUMMYFUNCTION("""COMPUTED_VALUE"""),"1943-SEPEPHGC")</f>
        <v>1943-SEPEPHGC</v>
      </c>
      <c r="B1201" s="28" t="str">
        <f>IFERROR(__xludf.DUMMYFUNCTION("""COMPUTED_VALUE"""),"DGPLES | MEPHU  | READOQUINADO")</f>
        <v>DGPLES | MEPHU  | READOQUINADO</v>
      </c>
      <c r="C1201" s="29" t="str">
        <f>IFERROR(__xludf.DUMMYFUNCTION("""COMPUTED_VALUE"""),"Pieza")</f>
        <v>Pieza</v>
      </c>
      <c r="D1201" s="28" t="str">
        <f>IFERROR(__xludf.DUMMYFUNCTION("""COMPUTED_VALUE"""),"3157-JUNJDGVC")</f>
        <v>3157-JUNJDGVC</v>
      </c>
      <c r="E1201" s="28" t="str">
        <f>IFERROR(__xludf.DUMMYFUNCTION("""COMPUTED_VALUE"""),"RDV Ministros | Gabriel Sánchéz Zinny - 10/6 ")</f>
        <v>RDV Ministros | Gabriel Sánchéz Zinny - 10/6 </v>
      </c>
      <c r="F1201" s="29" t="str">
        <f>IFERROR(__xludf.DUMMYFUNCTION("""COMPUTED_VALUE"""),"https://www.facebook.com/baparticipacion/posts/pfbid0ypt2Y4k6GB9rZzQSTHsh86ty9JfhykvTJJ58EnGB9kt16zTZsHwDSPPNaPdyC2ATl")</f>
        <v>https://www.facebook.com/baparticipacion/posts/pfbid0ypt2Y4k6GB9rZzQSTHsh86ty9JfhykvTJJ58EnGB9kt16zTZsHwDSPPNaPdyC2ATl</v>
      </c>
    </row>
    <row r="1202">
      <c r="A1202" s="28" t="str">
        <f>IFERROR(__xludf.DUMMYFUNCTION("""COMPUTED_VALUE"""),"1943-SEPEPHGC")</f>
        <v>1943-SEPEPHGC</v>
      </c>
      <c r="B1202" s="28" t="str">
        <f>IFERROR(__xludf.DUMMYFUNCTION("""COMPUTED_VALUE"""),"DGPLES | MEPHU  | READOQUINADO")</f>
        <v>DGPLES | MEPHU  | READOQUINADO</v>
      </c>
      <c r="C1202" s="29" t="str">
        <f>IFERROR(__xludf.DUMMYFUNCTION("""COMPUTED_VALUE"""),"Pieza")</f>
        <v>Pieza</v>
      </c>
      <c r="D1202" s="28" t="str">
        <f>IFERROR(__xludf.DUMMYFUNCTION("""COMPUTED_VALUE"""),"3158-JUNDHHVC")</f>
        <v>3158-JUNDHHVC</v>
      </c>
      <c r="E1202" s="28" t="str">
        <f>IFERROR(__xludf.DUMMYFUNCTION("""COMPUTED_VALUE"""),"RDV Ministros | Gabriel Mraida - 10/6")</f>
        <v>RDV Ministros | Gabriel Mraida - 10/6</v>
      </c>
      <c r="F1202" s="29" t="str">
        <f>IFERROR(__xludf.DUMMYFUNCTION("""COMPUTED_VALUE"""),"https://www.facebook.com/baparticipacion/posts/pfbid02Fs1VxfMNKgUaZcZqm7N8ZqmkKLCKHuXGcuaXVqBXbeUxzFEfxpRcHPTvcCuqCzDEl")</f>
        <v>https://www.facebook.com/baparticipacion/posts/pfbid02Fs1VxfMNKgUaZcZqm7N8ZqmkKLCKHuXGcuaXVqBXbeUxzFEfxpRcHPTvcCuqCzDEl</v>
      </c>
    </row>
    <row r="1203">
      <c r="A1203" s="28" t="str">
        <f>IFERROR(__xludf.DUMMYFUNCTION("""COMPUTED_VALUE"""),"1964-SEPEPHGC")</f>
        <v>1964-SEPEPHGC</v>
      </c>
      <c r="B1203" s="28" t="str">
        <f>IFERROR(__xludf.DUMMYFUNCTION("""COMPUTED_VALUE"""),"MEPHU RECAMBIO TECNOLÓGICO M2")</f>
        <v>MEPHU RECAMBIO TECNOLÓGICO M2</v>
      </c>
      <c r="C1203" s="29" t="str">
        <f>IFERROR(__xludf.DUMMYFUNCTION("""COMPUTED_VALUE"""),"Pieza")</f>
        <v>Pieza</v>
      </c>
      <c r="D1203" s="28" t="str">
        <f>IFERROR(__xludf.DUMMYFUNCTION("""COMPUTED_VALUE"""),"2788-MARFESGC")</f>
        <v>2788-MARFESGC</v>
      </c>
      <c r="E1203" s="28" t="str">
        <f>IFERROR(__xludf.DUMMYFUNCTION("""COMPUTED_VALUE"""),"Evento Experiencia BA")</f>
        <v>Evento Experiencia BA</v>
      </c>
      <c r="F1203" s="29" t="str">
        <f>IFERROR(__xludf.DUMMYFUNCTION("""COMPUTED_VALUE"""),"https://www.facebook.com/GCBA/posts/pfbid0hdLELzHkdcuJbiBQEA3U9vemZEsz7vRN24BzA6qMa4HjYsmRNkwfGfnyWamFKhpVl")</f>
        <v>https://www.facebook.com/GCBA/posts/pfbid0hdLELzHkdcuJbiBQEA3U9vemZEsz7vRN24BzA6qMa4HjYsmRNkwfGfnyWamFKhpVl</v>
      </c>
    </row>
    <row r="1204">
      <c r="A1204" s="28" t="str">
        <f>IFERROR(__xludf.DUMMYFUNCTION("""COMPUTED_VALUE"""),"2994-MAYEPHGC")</f>
        <v>2994-MAYEPHGC</v>
      </c>
      <c r="B1204" s="28" t="str">
        <f>IFERROR(__xludf.DUMMYFUNCTION("""COMPUTED_VALUE"""),"Luminarias Peatonales - Post")</f>
        <v>Luminarias Peatonales - Post</v>
      </c>
      <c r="C1204" s="29" t="str">
        <f>IFERROR(__xludf.DUMMYFUNCTION("""COMPUTED_VALUE"""),"Pieza")</f>
        <v>Pieza</v>
      </c>
      <c r="D1204" s="28" t="str">
        <f>IFERROR(__xludf.DUMMYFUNCTION("""COMPUTED_VALUE"""),"3073-MAYJDGAG")</f>
        <v>3073-MAYJDGAG</v>
      </c>
      <c r="E1204" s="28" t="str">
        <f>IFERROR(__xludf.DUMMYFUNCTION("""COMPUTED_VALUE"""),"RDV JM | 29/5 - Saavedra")</f>
        <v>RDV JM | 29/5 - Saavedra</v>
      </c>
      <c r="F1204" s="29" t="str">
        <f>IFERROR(__xludf.DUMMYFUNCTION("""COMPUTED_VALUE"""),"https://www.facebook.com/reel/1552031653196493")</f>
        <v>https://www.facebook.com/reel/1552031653196493</v>
      </c>
    </row>
    <row r="1205">
      <c r="A1205" s="28" t="str">
        <f>IFERROR(__xludf.DUMMYFUNCTION("""COMPUTED_VALUE"""),"2713-MARSALGC")</f>
        <v>2713-MARSALGC</v>
      </c>
      <c r="B1205" s="28" t="str">
        <f>IFERROR(__xludf.DUMMYFUNCTION("""COMPUTED_VALUE"""),"Hospital Álvarez - Recorrida de obras")</f>
        <v>Hospital Álvarez - Recorrida de obras</v>
      </c>
      <c r="C1205" s="29" t="str">
        <f>IFERROR(__xludf.DUMMYFUNCTION("""COMPUTED_VALUE"""),"Pieza")</f>
        <v>Pieza</v>
      </c>
      <c r="D1205" s="28" t="str">
        <f>IFERROR(__xludf.DUMMYFUNCTION("""COMPUTED_VALUE"""),"2975-MAYPCCVC")</f>
        <v>2975-MAYPCCVC</v>
      </c>
      <c r="E1205" s="28" t="str">
        <f>IFERROR(__xludf.DUMMYFUNCTION("""COMPUTED_VALUE"""),"Campaña genéricas RDV Ministros")</f>
        <v>Campaña genéricas RDV Ministros</v>
      </c>
      <c r="F1205" s="29" t="str">
        <f>IFERROR(__xludf.DUMMYFUNCTION("""COMPUTED_VALUE"""),"facebook.com/reel/1023934959977410/")</f>
        <v>facebook.com/reel/1023934959977410/</v>
      </c>
    </row>
    <row r="1206">
      <c r="A1206" s="28" t="str">
        <f>IFERROR(__xludf.DUMMYFUNCTION("""COMPUTED_VALUE"""),"2984-MAYAMBVC")</f>
        <v>2984-MAYAMBVC</v>
      </c>
      <c r="B1206" s="28" t="str">
        <f>IFERROR(__xludf.DUMMYFUNCTION("""COMPUTED_VALUE"""),"RDV Ministros | Clara Muzzio - 8/5 - Temática")</f>
        <v>RDV Ministros | Clara Muzzio - 8/5 - Temática</v>
      </c>
      <c r="C1206" s="29" t="str">
        <f>IFERROR(__xludf.DUMMYFUNCTION("""COMPUTED_VALUE"""),"Pieza")</f>
        <v>Pieza</v>
      </c>
      <c r="D1206" s="28" t="str">
        <f>IFERROR(__xludf.DUMMYFUNCTION("""COMPUTED_VALUE"""),"3155-JUNEPHVC")</f>
        <v>3155-JUNEPHVC</v>
      </c>
      <c r="E1206" s="28" t="str">
        <f>IFERROR(__xludf.DUMMYFUNCTION("""COMPUTED_VALUE"""),"RDV de Ignacio Baistrocchi  8/6 ")</f>
        <v>RDV de Ignacio Baistrocchi  8/6 </v>
      </c>
      <c r="F1206" s="29" t="str">
        <f>IFERROR(__xludf.DUMMYFUNCTION("""COMPUTED_VALUE"""),"https://www.facebook.com/baparticipacion/posts/pfbid04t14tUzTH3nATFWGt42FSJRpMsj6b9dieVEasDeuDKkB3v26n78QDqpUVz8cVrETl")</f>
        <v>https://www.facebook.com/baparticipacion/posts/pfbid04t14tUzTH3nATFWGt42FSJRpMsj6b9dieVEasDeuDKkB3v26n78QDqpUVz8cVrETl</v>
      </c>
    </row>
    <row r="1207">
      <c r="A1207" s="28" t="str">
        <f>IFERROR(__xludf.DUMMYFUNCTION("""COMPUTED_VALUE"""),"3012-MAYDHHVC")</f>
        <v>3012-MAYDHHVC</v>
      </c>
      <c r="B1207" s="28" t="str">
        <f>IFERROR(__xludf.DUMMYFUNCTION("""COMPUTED_VALUE"""),"RDV Ministros | Gabriel Mraida - 15/5")</f>
        <v>RDV Ministros | Gabriel Mraida - 15/5</v>
      </c>
      <c r="C1207" s="29" t="str">
        <f>IFERROR(__xludf.DUMMYFUNCTION("""COMPUTED_VALUE"""),"Pieza")</f>
        <v>Pieza</v>
      </c>
      <c r="D1207" s="28" t="str">
        <f>IFERROR(__xludf.DUMMYFUNCTION("""COMPUTED_VALUE"""),"2976-MAYPCCVC")</f>
        <v>2976-MAYPCCVC</v>
      </c>
      <c r="E1207" s="28" t="str">
        <f>IFERROR(__xludf.DUMMYFUNCTION("""COMPUTED_VALUE"""),"Campañas genéricias RDV JM")</f>
        <v>Campañas genéricias RDV JM</v>
      </c>
      <c r="F1207" s="29" t="str">
        <f>IFERROR(__xludf.DUMMYFUNCTION("""COMPUTED_VALUE"""),"facebook.com/reel/1634422507650526/")</f>
        <v>facebook.com/reel/1634422507650526/</v>
      </c>
    </row>
    <row r="1208">
      <c r="A1208" s="28" t="str">
        <f>IFERROR(__xludf.DUMMYFUNCTION("""COMPUTED_VALUE"""),"2997-MAYJDGAG")</f>
        <v>2997-MAYJDGAG</v>
      </c>
      <c r="B1208" s="28" t="str">
        <f>IFERROR(__xludf.DUMMYFUNCTION("""COMPUTED_VALUE"""),"RDV JM TEMÁTICA | TE CUENTO BS AS 14/05 ORDEN PÚBLICO EJE SUR")</f>
        <v>RDV JM TEMÁTICA | TE CUENTO BS AS 14/05 ORDEN PÚBLICO EJE SUR</v>
      </c>
      <c r="C1208" s="29" t="str">
        <f>IFERROR(__xludf.DUMMYFUNCTION("""COMPUTED_VALUE"""),"Pieza")</f>
        <v>Pieza</v>
      </c>
      <c r="D1208" s="28" t="str">
        <f>IFERROR(__xludf.DUMMYFUNCTION("""COMPUTED_VALUE"""),"3018-MAYEDUGJ")</f>
        <v>3018-MAYEDUGJ</v>
      </c>
      <c r="E1208" s="28" t="str">
        <f>IFERROR(__xludf.DUMMYFUNCTION("""COMPUTED_VALUE"""),"Educación | Iniciativa Formación Docente")</f>
        <v>Educación | Iniciativa Formación Docente</v>
      </c>
      <c r="F1208" s="29" t="str">
        <f>IFERROR(__xludf.DUMMYFUNCTION("""COMPUTED_VALUE"""),"https://www.facebook.com/GCBA/posts/pfbid02NBCqry61rDc7ny2faGYE5aG134woXzwj9FJzpP1Sz2LokwQCrJaBKMFXMRJYrVZ1l")</f>
        <v>https://www.facebook.com/GCBA/posts/pfbid02NBCqry61rDc7ny2faGYE5aG134woXzwj9FJzpP1Sz2LokwQCrJaBKMFXMRJYrVZ1l</v>
      </c>
    </row>
    <row r="1209">
      <c r="A1209" s="28" t="str">
        <f>IFERROR(__xludf.DUMMYFUNCTION("""COMPUTED_VALUE"""),"3009-MAYPCCVC")</f>
        <v>3009-MAYPCCVC</v>
      </c>
      <c r="B1209" s="28" t="str">
        <f>IFERROR(__xludf.DUMMYFUNCTION("""COMPUTED_VALUE"""),"Experiencia BA | Piramide de mayo")</f>
        <v>Experiencia BA | Piramide de mayo</v>
      </c>
      <c r="C1209" s="29" t="str">
        <f>IFERROR(__xludf.DUMMYFUNCTION("""COMPUTED_VALUE"""),"Pieza")</f>
        <v>Pieza</v>
      </c>
      <c r="D1209" s="28" t="str">
        <f>IFERROR(__xludf.DUMMYFUNCTION("""COMPUTED_VALUE"""),"3131-MAYCULGC")</f>
        <v>3131-MAYCULGC</v>
      </c>
      <c r="E1209" s="28" t="str">
        <f>IFERROR(__xludf.DUMMYFUNCTION("""COMPUTED_VALUE"""),"Sorteo | Entradas al Teatro Colón")</f>
        <v>Sorteo | Entradas al Teatro Colón</v>
      </c>
      <c r="F1209" s="29" t="str">
        <f>IFERROR(__xludf.DUMMYFUNCTION("""COMPUTED_VALUE"""),"https://www.instagram.com/p/DZNNxE-DBNw/#advertiser")</f>
        <v>https://www.instagram.com/p/DZNNxE-DBNw/#advertiser</v>
      </c>
    </row>
    <row r="1210">
      <c r="A1210" s="28" t="str">
        <f>IFERROR(__xludf.DUMMYFUNCTION("""COMPUTED_VALUE"""),"3002-MAYSEGVC")</f>
        <v>3002-MAYSEGVC</v>
      </c>
      <c r="B1210" s="28" t="str">
        <f>IFERROR(__xludf.DUMMYFUNCTION("""COMPUTED_VALUE"""),"RDV Ministros | Ruth Landerrecheo 14/5 Comuna 8")</f>
        <v>RDV Ministros | Ruth Landerrecheo 14/5 Comuna 8</v>
      </c>
      <c r="C1210" s="29" t="str">
        <f>IFERROR(__xludf.DUMMYFUNCTION("""COMPUTED_VALUE"""),"Pieza")</f>
        <v>Pieza</v>
      </c>
      <c r="D1210" s="28" t="str">
        <f>IFERROR(__xludf.DUMMYFUNCTION("""COMPUTED_VALUE"""),"3159-JUNSEGGJ")</f>
        <v>3159-JUNSEGGJ</v>
      </c>
      <c r="E1210" s="28" t="str">
        <f>IFERROR(__xludf.DUMMYFUNCTION("""COMPUTED_VALUE""")," Megaoperativo de control de accesos entre la Ciudad y el Conurbano")</f>
        <v> Megaoperativo de control de accesos entre la Ciudad y el Conurbano</v>
      </c>
      <c r="F1210" s="29" t="str">
        <f>IFERROR(__xludf.DUMMYFUNCTION("""COMPUTED_VALUE"""),"https://www.facebook.com/GCBA/posts/pfbid02ARWpxgPh8MbcMjL4p1ziWEphpQgYE7tNb1YyS4XDt1wgTXixtYcSd5PZeo6EVSUml")</f>
        <v>https://www.facebook.com/GCBA/posts/pfbid02ARWpxgPh8MbcMjL4p1ziWEphpQgYE7tNb1YyS4XDt1wgTXixtYcSd5PZeo6EVSUml</v>
      </c>
    </row>
    <row r="1211">
      <c r="A1211" s="28" t="str">
        <f>IFERROR(__xludf.DUMMYFUNCTION("""COMPUTED_VALUE"""),"2999-MAYSEGVC")</f>
        <v>2999-MAYSEGVC</v>
      </c>
      <c r="B1211" s="28" t="str">
        <f>IFERROR(__xludf.DUMMYFUNCTION("""COMPUTED_VALUE"""),"RDV Ministros | Gabino Tapia 14/5 Comuna 5")</f>
        <v>RDV Ministros | Gabino Tapia 14/5 Comuna 5</v>
      </c>
      <c r="C1211" s="29" t="str">
        <f>IFERROR(__xludf.DUMMYFUNCTION("""COMPUTED_VALUE"""),"Pieza")</f>
        <v>Pieza</v>
      </c>
      <c r="D1211" s="28" t="str">
        <f>IFERROR(__xludf.DUMMYFUNCTION("""COMPUTED_VALUE"""),"3159-JUNSEGGJ")</f>
        <v>3159-JUNSEGGJ</v>
      </c>
      <c r="E1211" s="28" t="str">
        <f>IFERROR(__xludf.DUMMYFUNCTION("""COMPUTED_VALUE""")," Megaoperativo de control de accesos entre la Ciudad y el Conurbano")</f>
        <v> Megaoperativo de control de accesos entre la Ciudad y el Conurbano</v>
      </c>
      <c r="F1211" s="29" t="str">
        <f>IFERROR(__xludf.DUMMYFUNCTION("""COMPUTED_VALUE"""),"https://www.facebook.com/GCBA/posts/pfbid02ARWpxgPh8MbcMjL4p1ziWEphpQgYE7tNb1YyS4XDt1wgTXixtYcSd5PZeo6EVSUml")</f>
        <v>https://www.facebook.com/GCBA/posts/pfbid02ARWpxgPh8MbcMjL4p1ziWEphpQgYE7tNb1YyS4XDt1wgTXixtYcSd5PZeo6EVSUml</v>
      </c>
    </row>
    <row r="1212">
      <c r="A1212" s="28" t="str">
        <f>IFERROR(__xludf.DUMMYFUNCTION("""COMPUTED_VALUE"""),"3000-MAYSEGVC")</f>
        <v>3000-MAYSEGVC</v>
      </c>
      <c r="B1212" s="28" t="str">
        <f>IFERROR(__xludf.DUMMYFUNCTION("""COMPUTED_VALUE"""),"RDV Ministros | Horacio Giménez 14/5 Comuna 6")</f>
        <v>RDV Ministros | Horacio Giménez 14/5 Comuna 6</v>
      </c>
      <c r="C1212" s="29" t="str">
        <f>IFERROR(__xludf.DUMMYFUNCTION("""COMPUTED_VALUE"""),"Pieza")</f>
        <v>Pieza</v>
      </c>
      <c r="D1212" s="28" t="str">
        <f>IFERROR(__xludf.DUMMYFUNCTION("""COMPUTED_VALUE"""),"3150-JUNINFGC")</f>
        <v>3150-JUNINFGC</v>
      </c>
      <c r="E1212" s="28" t="str">
        <f>IFERROR(__xludf.DUMMYFUNCTION("""COMPUTED_VALUE"""),"Cortes y Desvíos por evento deportivo 15K Adizero")</f>
        <v>Cortes y Desvíos por evento deportivo 15K Adizero</v>
      </c>
      <c r="F1212" s="29" t="str">
        <f>IFERROR(__xludf.DUMMYFUNCTION("""COMPUTED_VALUE"""),"https://fb.me/adspreview/facebook/1Tz9GO0nHrINRCx")</f>
        <v>https://fb.me/adspreview/facebook/1Tz9GO0nHrINRCx</v>
      </c>
    </row>
    <row r="1213">
      <c r="A1213" s="28" t="str">
        <f>IFERROR(__xludf.DUMMYFUNCTION("""COMPUTED_VALUE"""),"2987-MAYSEGGJ")</f>
        <v>2987-MAYSEGGJ</v>
      </c>
      <c r="B1213" s="28" t="str">
        <f>IFERROR(__xludf.DUMMYFUNCTION("""COMPUTED_VALUE"""),"Un año sin manteros en parque los andes")</f>
        <v>Un año sin manteros en parque los andes</v>
      </c>
      <c r="C1213" s="29" t="str">
        <f>IFERROR(__xludf.DUMMYFUNCTION("""COMPUTED_VALUE"""),"Pieza")</f>
        <v>Pieza</v>
      </c>
      <c r="D1213" s="28" t="str">
        <f>IFERROR(__xludf.DUMMYFUNCTION("""COMPUTED_VALUE"""),"2917-ABRJDGGC")</f>
        <v>2917-ABRJDGGC</v>
      </c>
      <c r="E1213" s="28" t="str">
        <f>IFERROR(__xludf.DUMMYFUNCTION("""COMPUTED_VALUE"""),"Infraestructura I Apertura Piedras Línea A")</f>
        <v>Infraestructura I Apertura Piedras Línea A</v>
      </c>
      <c r="F1213" s="29" t="str">
        <f>IFERROR(__xludf.DUMMYFUNCTION("""COMPUTED_VALUE"""),"https://www.facebook.com/GCBA/posts/pfbid02ZZNyUrpY1B4MgUutqorhDq8cCURfSLLjs4WQV7Jf9V5BvNoViXF6BneUAHD7zymql")</f>
        <v>https://www.facebook.com/GCBA/posts/pfbid02ZZNyUrpY1B4MgUutqorhDq8cCURfSLLjs4WQV7Jf9V5BvNoViXF6BneUAHD7zymql</v>
      </c>
    </row>
    <row r="1214">
      <c r="A1214" s="28" t="str">
        <f>IFERROR(__xludf.DUMMYFUNCTION("""COMPUTED_VALUE"""),"1946-SEPEPHGC")</f>
        <v>1946-SEPEPHGC</v>
      </c>
      <c r="B1214" s="28" t="str">
        <f>IFERROR(__xludf.DUMMYFUNCTION("""COMPUTED_VALUE"""),"CAMPAÑA GCBA | MEPHU  | PLUVIALES")</f>
        <v>CAMPAÑA GCBA | MEPHU  | PLUVIALES</v>
      </c>
      <c r="C1214" s="29" t="str">
        <f>IFERROR(__xludf.DUMMYFUNCTION("""COMPUTED_VALUE"""),"Pieza")</f>
        <v>Pieza</v>
      </c>
      <c r="D1214" s="28" t="str">
        <f>IFERROR(__xludf.DUMMYFUNCTION("""COMPUTED_VALUE"""),"3143-JUNJDGAG")</f>
        <v>3143-JUNJDGAG</v>
      </c>
      <c r="E1214" s="28" t="str">
        <f>IFERROR(__xludf.DUMMYFUNCTION("""COMPUTED_VALUE"""),"TE CUENTO JM | 10/6 SALUD EJE NORTE")</f>
        <v>TE CUENTO JM | 10/6 SALUD EJE NORTE</v>
      </c>
      <c r="F1214" s="29" t="str">
        <f>IFERROR(__xludf.DUMMYFUNCTION("""COMPUTED_VALUE"""),"https://www.facebook.com/GCBA/posts/pfbid024E73awCVhiQrQKaLTpJhPgLnsy9nahcRRpUuZQFjWPWPjfEGoSmZCvcRp75tDHfLl")</f>
        <v>https://www.facebook.com/GCBA/posts/pfbid024E73awCVhiQrQKaLTpJhPgLnsy9nahcRRpUuZQFjWPWPjfEGoSmZCvcRp75tDHfLl</v>
      </c>
    </row>
    <row r="1215">
      <c r="A1215" s="28" t="str">
        <f>IFERROR(__xludf.DUMMYFUNCTION("""COMPUTED_VALUE"""),"3001-MAYSEGVC")</f>
        <v>3001-MAYSEGVC</v>
      </c>
      <c r="B1215" s="28" t="str">
        <f>IFERROR(__xludf.DUMMYFUNCTION("""COMPUTED_VALUE"""),"RDV Ministros | Maximiliano Piñeiro 14/5 Comuna 7")</f>
        <v>RDV Ministros | Maximiliano Piñeiro 14/5 Comuna 7</v>
      </c>
      <c r="C1215" s="29" t="str">
        <f>IFERROR(__xludf.DUMMYFUNCTION("""COMPUTED_VALUE"""),"Pieza")</f>
        <v>Pieza</v>
      </c>
      <c r="D1215" s="28" t="str">
        <f>IFERROR(__xludf.DUMMYFUNCTION("""COMPUTED_VALUE"""),"3143-JUNJDGAG")</f>
        <v>3143-JUNJDGAG</v>
      </c>
      <c r="E1215" s="28" t="str">
        <f>IFERROR(__xludf.DUMMYFUNCTION("""COMPUTED_VALUE"""),"TE CUENTO JM | 10/6 SALUD EJE NORTE")</f>
        <v>TE CUENTO JM | 10/6 SALUD EJE NORTE</v>
      </c>
      <c r="F1215" s="29" t="str">
        <f>IFERROR(__xludf.DUMMYFUNCTION("""COMPUTED_VALUE"""),"https://www.facebook.com/GCBA/posts/pfbid024E73awCVhiQrQKaLTpJhPgLnsy9nahcRRpUuZQFjWPWPjfEGoSmZCvcRp75tDHfLl")</f>
        <v>https://www.facebook.com/GCBA/posts/pfbid024E73awCVhiQrQKaLTpJhPgLnsy9nahcRRpUuZQFjWPWPjfEGoSmZCvcRp75tDHfLl</v>
      </c>
    </row>
    <row r="1216">
      <c r="A1216" s="28" t="str">
        <f>IFERROR(__xludf.DUMMYFUNCTION("""COMPUTED_VALUE"""),"2997-MAYJDGAG")</f>
        <v>2997-MAYJDGAG</v>
      </c>
      <c r="B1216" s="28" t="str">
        <f>IFERROR(__xludf.DUMMYFUNCTION("""COMPUTED_VALUE"""),"RDV JM TEMÁTICA | TE CUENTO BS AS 14/05 ORDEN PÚBLICO EJE SUR")</f>
        <v>RDV JM TEMÁTICA | TE CUENTO BS AS 14/05 ORDEN PÚBLICO EJE SUR</v>
      </c>
      <c r="C1216" s="29" t="str">
        <f>IFERROR(__xludf.DUMMYFUNCTION("""COMPUTED_VALUE"""),"Pieza")</f>
        <v>Pieza</v>
      </c>
      <c r="D1216" s="28" t="str">
        <f>IFERROR(__xludf.DUMMYFUNCTION("""COMPUTED_VALUE"""),"3167-JUNEMEGC")</f>
        <v>3167-JUNEMEGC</v>
      </c>
      <c r="E1216" s="28" t="str">
        <f>IFERROR(__xludf.DUMMYFUNCTION("""COMPUTED_VALUE"""),"Alerta Amarilla 7/6")</f>
        <v>Alerta Amarilla 7/6</v>
      </c>
      <c r="F1216" s="29" t="str">
        <f>IFERROR(__xludf.DUMMYFUNCTION("""COMPUTED_VALUE"""),"https://fb.me/adspreview/facebook/1UqPoZLiUaD4oNO")</f>
        <v>https://fb.me/adspreview/facebook/1UqPoZLiUaD4oNO</v>
      </c>
    </row>
    <row r="1217">
      <c r="A1217" s="28" t="str">
        <f>IFERROR(__xludf.DUMMYFUNCTION("""COMPUTED_VALUE"""),"2827-ABREPHGC")</f>
        <v>2827-ABREPHGC</v>
      </c>
      <c r="B1217" s="28" t="str">
        <f>IFERROR(__xludf.DUMMYFUNCTION("""COMPUTED_VALUE"""),"CAMPAÑA GCBA | MEPHU | CAMPAÑA GRANDES GENERADORES")</f>
        <v>CAMPAÑA GCBA | MEPHU | CAMPAÑA GRANDES GENERADORES</v>
      </c>
      <c r="C1217" s="29" t="str">
        <f>IFERROR(__xludf.DUMMYFUNCTION("""COMPUTED_VALUE"""),"Pieza")</f>
        <v>Pieza</v>
      </c>
      <c r="D1217" s="28" t="str">
        <f>IFERROR(__xludf.DUMMYFUNCTION("""COMPUTED_VALUE"""),"3162-JUNSEGVC")</f>
        <v>3162-JUNSEGVC</v>
      </c>
      <c r="E1217" s="28" t="str">
        <f>IFERROR(__xludf.DUMMYFUNCTION("""COMPUTED_VALUE"""),"RDV Ministros | Gabino Tapia 11/6 Comuna 4")</f>
        <v>RDV Ministros | Gabino Tapia 11/6 Comuna 4</v>
      </c>
      <c r="F1217" s="29" t="str">
        <f>IFERROR(__xludf.DUMMYFUNCTION("""COMPUTED_VALUE"""),"https://www.facebook.com/baparticipacion/posts/pfbid02w5yj5xhr45yUEBFo1bmCXhFSsXGrEgrdMcBbCPUwXRaEJC4eNQUzDQwLaooyMPhWl")</f>
        <v>https://www.facebook.com/baparticipacion/posts/pfbid02w5yj5xhr45yUEBFo1bmCXhFSsXGrEgrdMcBbCPUwXRaEJC4eNQUzDQwLaooyMPhWl</v>
      </c>
    </row>
    <row r="1218">
      <c r="A1218" s="28" t="str">
        <f>IFERROR(__xludf.DUMMYFUNCTION("""COMPUTED_VALUE"""),"3028-MAYFESGC")</f>
        <v>3028-MAYFESGC</v>
      </c>
      <c r="B1218" s="28" t="str">
        <f>IFERROR(__xludf.DUMMYFUNCTION("""COMPUTED_VALUE"""),"BA Celebra Europa")</f>
        <v>BA Celebra Europa</v>
      </c>
      <c r="C1218" s="29" t="str">
        <f>IFERROR(__xludf.DUMMYFUNCTION("""COMPUTED_VALUE"""),"Pieza")</f>
        <v>Pieza</v>
      </c>
      <c r="D1218" s="28" t="str">
        <f>IFERROR(__xludf.DUMMYFUNCTION("""COMPUTED_VALUE"""),"3148-JUNSEGGJ")</f>
        <v>3148-JUNSEGGJ</v>
      </c>
      <c r="E1218" s="28" t="str">
        <f>IFERROR(__xludf.DUMMYFUNCTION("""COMPUTED_VALUE"""),"Egreso de 650 nuevos policías (NICE)")</f>
        <v>Egreso de 650 nuevos policías (NICE)</v>
      </c>
      <c r="F1218" s="29" t="str">
        <f>IFERROR(__xludf.DUMMYFUNCTION("""COMPUTED_VALUE"""),"https://www.facebook.com/GCBA/posts/pfbid0d9XT1CAvSPLyt1aN1NNjVkP91s34wkPBECWCb8oPxCM6nzXnWfoskFD65xDwnRRsl")</f>
        <v>https://www.facebook.com/GCBA/posts/pfbid0d9XT1CAvSPLyt1aN1NNjVkP91s34wkPBECWCb8oPxCM6nzXnWfoskFD65xDwnRRsl</v>
      </c>
    </row>
    <row r="1219">
      <c r="A1219" s="28" t="str">
        <f>IFERROR(__xludf.DUMMYFUNCTION("""COMPUTED_VALUE"""),"3013-MAYJDGVC")</f>
        <v>3013-MAYJDGVC</v>
      </c>
      <c r="B1219" s="28" t="str">
        <f>IFERROR(__xludf.DUMMYFUNCTION("""COMPUTED_VALUE"""),"RDV Ministros | Gabriel Sánchez Zinny - 15/5")</f>
        <v>RDV Ministros | Gabriel Sánchez Zinny - 15/5</v>
      </c>
      <c r="C1219" s="29" t="str">
        <f>IFERROR(__xludf.DUMMYFUNCTION("""COMPUTED_VALUE"""),"Pieza")</f>
        <v>Pieza</v>
      </c>
      <c r="D1219" s="28" t="str">
        <f>IFERROR(__xludf.DUMMYFUNCTION("""COMPUTED_VALUE"""),"3148-JUNSEGGJ")</f>
        <v>3148-JUNSEGGJ</v>
      </c>
      <c r="E1219" s="28" t="str">
        <f>IFERROR(__xludf.DUMMYFUNCTION("""COMPUTED_VALUE"""),"Egreso de 650 nuevos policías (NICE)")</f>
        <v>Egreso de 650 nuevos policías (NICE)</v>
      </c>
      <c r="F1219" s="29" t="str">
        <f>IFERROR(__xludf.DUMMYFUNCTION("""COMPUTED_VALUE"""),"https://www.facebook.com/GCBA/posts/pfbid0d9XT1CAvSPLyt1aN1NNjVkP91s34wkPBECWCb8oPxCM6nzXnWfoskFD65xDwnRRsl")</f>
        <v>https://www.facebook.com/GCBA/posts/pfbid0d9XT1CAvSPLyt1aN1NNjVkP91s34wkPBECWCb8oPxCM6nzXnWfoskFD65xDwnRRsl</v>
      </c>
    </row>
    <row r="1220">
      <c r="A1220" s="28" t="str">
        <f>IFERROR(__xludf.DUMMYFUNCTION("""COMPUTED_VALUE"""),"3037-MAYSALVC")</f>
        <v>3037-MAYSALVC</v>
      </c>
      <c r="B1220" s="28" t="str">
        <f>IFERROR(__xludf.DUMMYFUNCTION("""COMPUTED_VALUE"""),"RDV Ministros | Fernán Quirós - 19/5 - Comuna 3")</f>
        <v>RDV Ministros | Fernán Quirós - 19/5 - Comuna 3</v>
      </c>
      <c r="C1220" s="29" t="str">
        <f>IFERROR(__xludf.DUMMYFUNCTION("""COMPUTED_VALUE"""),"Pieza")</f>
        <v>Pieza</v>
      </c>
      <c r="D1220" s="28" t="str">
        <f>IFERROR(__xludf.DUMMYFUNCTION("""COMPUTED_VALUE"""),"3164-JUNSEGVC")</f>
        <v>3164-JUNSEGVC</v>
      </c>
      <c r="E1220" s="28" t="str">
        <f>IFERROR(__xludf.DUMMYFUNCTION("""COMPUTED_VALUE"""),"RDV Ministros | Maximiliano Piñeiro 11/6 Comuna 6")</f>
        <v>RDV Ministros | Maximiliano Piñeiro 11/6 Comuna 6</v>
      </c>
      <c r="F1220" s="29" t="str">
        <f>IFERROR(__xludf.DUMMYFUNCTION("""COMPUTED_VALUE"""),"https://www.facebook.com/baparticipacion/posts/pfbid02NCHVWQiwdKoPJYTiGSe1oLfSPKrunnHx6GMdNT6gwfAT4rYFNUbNCvbLDTUbaLM4l")</f>
        <v>https://www.facebook.com/baparticipacion/posts/pfbid02NCHVWQiwdKoPJYTiGSe1oLfSPKrunnHx6GMdNT6gwfAT4rYFNUbNCvbLDTUbaLM4l</v>
      </c>
    </row>
    <row r="1221">
      <c r="A1221" s="28" t="str">
        <f>IFERROR(__xludf.DUMMYFUNCTION("""COMPUTED_VALUE"""),"3012-MAYDHHVC")</f>
        <v>3012-MAYDHHVC</v>
      </c>
      <c r="B1221" s="28" t="str">
        <f>IFERROR(__xludf.DUMMYFUNCTION("""COMPUTED_VALUE"""),"RDV Ministros | Gabriel Mraida - 15/5")</f>
        <v>RDV Ministros | Gabriel Mraida - 15/5</v>
      </c>
      <c r="C1221" s="29" t="str">
        <f>IFERROR(__xludf.DUMMYFUNCTION("""COMPUTED_VALUE"""),"Pieza")</f>
        <v>Pieza</v>
      </c>
      <c r="D1221" s="28" t="str">
        <f>IFERROR(__xludf.DUMMYFUNCTION("""COMPUTED_VALUE"""),"3163-JUNSEGVC")</f>
        <v>3163-JUNSEGVC</v>
      </c>
      <c r="E1221" s="28" t="str">
        <f>IFERROR(__xludf.DUMMYFUNCTION("""COMPUTED_VALUE"""),"RDV Ministros | Horacio Giménez 11/6 Comuna 5")</f>
        <v>RDV Ministros | Horacio Giménez 11/6 Comuna 5</v>
      </c>
      <c r="F1221" s="29" t="str">
        <f>IFERROR(__xludf.DUMMYFUNCTION("""COMPUTED_VALUE"""),"https://www.facebook.com/baparticipacion/posts/pfbid02MY4W6EviriP8wbDK8NuGjG77cVQEUJCufJ5ycDYUdAqkQxqEn1twUdaNGSyYsurKl")</f>
        <v>https://www.facebook.com/baparticipacion/posts/pfbid02MY4W6EviriP8wbDK8NuGjG77cVQEUJCufJ5ycDYUdAqkQxqEn1twUdaNGSyYsurKl</v>
      </c>
    </row>
    <row r="1222">
      <c r="A1222" s="28" t="str">
        <f>IFERROR(__xludf.DUMMYFUNCTION("""COMPUTED_VALUE"""),"3033-MAYJDGAG")</f>
        <v>3033-MAYJDGAG</v>
      </c>
      <c r="B1222" s="28" t="str">
        <f>IFERROR(__xludf.DUMMYFUNCTION("""COMPUTED_VALUE"""),"RDV JM | Saavedra 20/05")</f>
        <v>RDV JM | Saavedra 20/05</v>
      </c>
      <c r="C1222" s="29" t="str">
        <f>IFERROR(__xludf.DUMMYFUNCTION("""COMPUTED_VALUE"""),"Pieza")</f>
        <v>Pieza</v>
      </c>
      <c r="D1222" s="28" t="str">
        <f>IFERROR(__xludf.DUMMYFUNCTION("""COMPUTED_VALUE"""),"3156-JUNJDGAG")</f>
        <v>3156-JUNJDGAG</v>
      </c>
      <c r="E1222" s="28" t="str">
        <f>IFERROR(__xludf.DUMMYFUNCTION("""COMPUTED_VALUE"""),"RDV JM | BOEDO | 12/06")</f>
        <v>RDV JM | BOEDO | 12/06</v>
      </c>
      <c r="F1222" s="29" t="str">
        <f>IFERROR(__xludf.DUMMYFUNCTION("""COMPUTED_VALUE"""),"https://www.facebook.com/reel/3600929573393750")</f>
        <v>https://www.facebook.com/reel/3600929573393750</v>
      </c>
    </row>
    <row r="1223">
      <c r="A1223" s="28" t="str">
        <f>IFERROR(__xludf.DUMMYFUNCTION("""COMPUTED_VALUE"""),"3019-MAYVINVC")</f>
        <v>3019-MAYVINVC</v>
      </c>
      <c r="B1223" s="28" t="str">
        <f>IFERROR(__xludf.DUMMYFUNCTION("""COMPUTED_VALUE"""),"Más servicios en tu barrio 18/5 recoleta")</f>
        <v>Más servicios en tu barrio 18/5 recoleta</v>
      </c>
      <c r="C1223" s="29" t="str">
        <f>IFERROR(__xludf.DUMMYFUNCTION("""COMPUTED_VALUE"""),"Pieza")</f>
        <v>Pieza</v>
      </c>
      <c r="D1223" s="28" t="str">
        <f>IFERROR(__xludf.DUMMYFUNCTION("""COMPUTED_VALUE"""),"2945-ABRSALGC")</f>
        <v>2945-ABRSALGC</v>
      </c>
      <c r="E1223" s="28" t="str">
        <f>IFERROR(__xludf.DUMMYFUNCTION("""COMPUTED_VALUE"""),"CEMAR 4 - Durante de obra")</f>
        <v>CEMAR 4 - Durante de obra</v>
      </c>
      <c r="F1223" s="29" t="str">
        <f>IFERROR(__xludf.DUMMYFUNCTION("""COMPUTED_VALUE"""),"https://www.facebook.com/GCBA/posts/pfbid0aBxKSdHUmjtuwXeFb8ASPceQu2KgZjKW3Br8u72xk58sWkLAexGHWAqE8TGKmoTLl")</f>
        <v>https://www.facebook.com/GCBA/posts/pfbid0aBxKSdHUmjtuwXeFb8ASPceQu2KgZjKW3Br8u72xk58sWkLAexGHWAqE8TGKmoTLl</v>
      </c>
    </row>
    <row r="1224">
      <c r="A1224" s="28" t="str">
        <f>IFERROR(__xludf.DUMMYFUNCTION("""COMPUTED_VALUE"""),"3020-MAYVINVC")</f>
        <v>3020-MAYVINVC</v>
      </c>
      <c r="B1224" s="28" t="str">
        <f>IFERROR(__xludf.DUMMYFUNCTION("""COMPUTED_VALUE"""),"Más servicios en tu barrio 19 y 20/5 Caballito")</f>
        <v>Más servicios en tu barrio 19 y 20/5 Caballito</v>
      </c>
      <c r="C1224" s="29" t="str">
        <f>IFERROR(__xludf.DUMMYFUNCTION("""COMPUTED_VALUE"""),"Pieza")</f>
        <v>Pieza</v>
      </c>
      <c r="D1224" s="28" t="str">
        <f>IFERROR(__xludf.DUMMYFUNCTION("""COMPUTED_VALUE"""),"2945-ABRSALGC")</f>
        <v>2945-ABRSALGC</v>
      </c>
      <c r="E1224" s="28" t="str">
        <f>IFERROR(__xludf.DUMMYFUNCTION("""COMPUTED_VALUE"""),"CEMAR 4 - Durante de obra")</f>
        <v>CEMAR 4 - Durante de obra</v>
      </c>
      <c r="F1224" s="29" t="str">
        <f>IFERROR(__xludf.DUMMYFUNCTION("""COMPUTED_VALUE"""),"https://www.facebook.com/GCBA/posts/pfbid0aBxKSdHUmjtuwXeFb8ASPceQu2KgZjKW3Br8u72xk58sWkLAexGHWAqE8TGKmoTLl")</f>
        <v>https://www.facebook.com/GCBA/posts/pfbid0aBxKSdHUmjtuwXeFb8ASPceQu2KgZjKW3Br8u72xk58sWkLAexGHWAqE8TGKmoTLl</v>
      </c>
    </row>
    <row r="1225">
      <c r="A1225" s="28" t="str">
        <f>IFERROR(__xludf.DUMMYFUNCTION("""COMPUTED_VALUE"""),"3048-MAYSEGGJ")</f>
        <v>3048-MAYSEGGJ</v>
      </c>
      <c r="B1225" s="28" t="str">
        <f>IFERROR(__xludf.DUMMYFUNCTION("""COMPUTED_VALUE"""),"Desalojo N°100 en Balvanera")</f>
        <v>Desalojo N°100 en Balvanera</v>
      </c>
      <c r="C1225" s="29" t="str">
        <f>IFERROR(__xludf.DUMMYFUNCTION("""COMPUTED_VALUE"""),"Pieza")</f>
        <v>Pieza</v>
      </c>
      <c r="D1225" s="28" t="str">
        <f>IFERROR(__xludf.DUMMYFUNCTION("""COMPUTED_VALUE"""),"3011-MAYFESGC")</f>
        <v>3011-MAYFESGC</v>
      </c>
      <c r="E1225" s="28" t="str">
        <f>IFERROR(__xludf.DUMMYFUNCTION("""COMPUTED_VALUE"""),"La ciudad late mundial Genérica")</f>
        <v>La ciudad late mundial Genérica</v>
      </c>
      <c r="F1225" s="29" t="str">
        <f>IFERROR(__xludf.DUMMYFUNCTION("""COMPUTED_VALUE"""),"facebook.com/reel/1368798341811054/")</f>
        <v>facebook.com/reel/1368798341811054/</v>
      </c>
    </row>
    <row r="1226">
      <c r="A1226" s="28" t="str">
        <f>IFERROR(__xludf.DUMMYFUNCTION("""COMPUTED_VALUE"""),"2999-MAYSEGVC")</f>
        <v>2999-MAYSEGVC</v>
      </c>
      <c r="B1226" s="28" t="str">
        <f>IFERROR(__xludf.DUMMYFUNCTION("""COMPUTED_VALUE"""),"RDV Ministros | Gabino Tapia 14/5 Comuna 5")</f>
        <v>RDV Ministros | Gabino Tapia 14/5 Comuna 5</v>
      </c>
      <c r="C1226" s="29" t="str">
        <f>IFERROR(__xludf.DUMMYFUNCTION("""COMPUTED_VALUE"""),"Pieza")</f>
        <v>Pieza</v>
      </c>
      <c r="D1226" s="28" t="str">
        <f>IFERROR(__xludf.DUMMYFUNCTION("""COMPUTED_VALUE"""),"3102-MAYJDGAG")</f>
        <v>3102-MAYJDGAG</v>
      </c>
      <c r="E1226" s="28" t="str">
        <f>IFERROR(__xludf.DUMMYFUNCTION("""COMPUTED_VALUE"""),"PRIMERA PERSONA | JM | MARIO PERGOLLINI 1/6")</f>
        <v>PRIMERA PERSONA | JM | MARIO PERGOLLINI 1/6</v>
      </c>
      <c r="F1226" s="29" t="str">
        <f>IFERROR(__xludf.DUMMYFUNCTION("""COMPUTED_VALUE"""),"https://www.facebook.com/reel/2200297114093874/")</f>
        <v>https://www.facebook.com/reel/2200297114093874/</v>
      </c>
    </row>
    <row r="1227">
      <c r="A1227" s="28" t="str">
        <f>IFERROR(__xludf.DUMMYFUNCTION("""COMPUTED_VALUE"""),"3042-MAYINFGC")</f>
        <v>3042-MAYINFGC</v>
      </c>
      <c r="B1227" s="28" t="str">
        <f>IFERROR(__xludf.DUMMYFUNCTION("""COMPUTED_VALUE"""),"INFRAESTRUCTURA | Corte de tránsito por BA Celebra Europa")</f>
        <v>INFRAESTRUCTURA | Corte de tránsito por BA Celebra Europa</v>
      </c>
      <c r="C1227" s="29" t="str">
        <f>IFERROR(__xludf.DUMMYFUNCTION("""COMPUTED_VALUE"""),"Pieza")</f>
        <v>Pieza</v>
      </c>
      <c r="D1227" s="28" t="str">
        <f>IFERROR(__xludf.DUMMYFUNCTION("""COMPUTED_VALUE"""),"3170-JUNCULVC")</f>
        <v>3170-JUNCULVC</v>
      </c>
      <c r="E1227" s="28" t="str">
        <f>IFERROR(__xludf.DUMMYFUNCTION("""COMPUTED_VALUE"""),"RDV Ministros | Gabriela Ricardes 12/6 Comuna 2")</f>
        <v>RDV Ministros | Gabriela Ricardes 12/6 Comuna 2</v>
      </c>
      <c r="F1227" s="29" t="str">
        <f>IFERROR(__xludf.DUMMYFUNCTION("""COMPUTED_VALUE"""),"https://www.facebook.com/baparticipacion/posts/pfbid02GfDeov5FtT8tkhx573Mwt2gxPrXwq7d6bzrWxUci54vGS89V8kY6ptSF391Q2sWTl")</f>
        <v>https://www.facebook.com/baparticipacion/posts/pfbid02GfDeov5FtT8tkhx573Mwt2gxPrXwq7d6bzrWxUci54vGS89V8kY6ptSF391Q2sWTl</v>
      </c>
    </row>
    <row r="1228">
      <c r="A1228" s="28" t="str">
        <f>IFERROR(__xludf.DUMMYFUNCTION("""COMPUTED_VALUE"""),"3041-MAYINFGC")</f>
        <v>3041-MAYINFGC</v>
      </c>
      <c r="B1228" s="28" t="str">
        <f>IFERROR(__xludf.DUMMYFUNCTION("""COMPUTED_VALUE""")," INFRAESTRUCTURA | Corte de tránsito por Duatlón")</f>
        <v> INFRAESTRUCTURA | Corte de tránsito por Duatlón</v>
      </c>
      <c r="C1228" s="29" t="str">
        <f>IFERROR(__xludf.DUMMYFUNCTION("""COMPUTED_VALUE"""),"Pieza")</f>
        <v>Pieza</v>
      </c>
      <c r="D1228" s="28" t="str">
        <f>IFERROR(__xludf.DUMMYFUNCTION("""COMPUTED_VALUE"""),"3110-MAYJDGAG")</f>
        <v>3110-MAYJDGAG</v>
      </c>
      <c r="E1228" s="28" t="str">
        <f>IFERROR(__xludf.DUMMYFUNCTION("""COMPUTED_VALUE"""),"TE CUENTO BS AS JM | 3/6 ORDEN PÚBLICO EJE SUR")</f>
        <v>TE CUENTO BS AS JM | 3/6 ORDEN PÚBLICO EJE SUR</v>
      </c>
      <c r="F1228" s="29" t="str">
        <f>IFERROR(__xludf.DUMMYFUNCTION("""COMPUTED_VALUE"""),"https://www.facebook.com/reel/1966362320909374/")</f>
        <v>https://www.facebook.com/reel/1966362320909374/</v>
      </c>
    </row>
    <row r="1229">
      <c r="A1229" s="28" t="str">
        <f>IFERROR(__xludf.DUMMYFUNCTION("""COMPUTED_VALUE"""),"3007-MAYJDGVC")</f>
        <v>3007-MAYJDGVC</v>
      </c>
      <c r="B1229" s="28" t="str">
        <f>IFERROR(__xludf.DUMMYFUNCTION("""COMPUTED_VALUE"""),"RDV Ministros | Gabriel Sánchez Zinny - 13/5")</f>
        <v>RDV Ministros | Gabriel Sánchez Zinny - 13/5</v>
      </c>
      <c r="C1229" s="29" t="str">
        <f>IFERROR(__xludf.DUMMYFUNCTION("""COMPUTED_VALUE"""),"Pieza")</f>
        <v>Pieza</v>
      </c>
      <c r="D1229" s="28" t="str">
        <f>IFERROR(__xludf.DUMMYFUNCTION("""COMPUTED_VALUE"""),"3179-JUNJDGAG")</f>
        <v>3179-JUNJDGAG</v>
      </c>
      <c r="E1229" s="28" t="str">
        <f>IFERROR(__xludf.DUMMYFUNCTION("""COMPUTED_VALUE"""),"1 A 1 JM | 17/6 COMUNA 8 17/6")</f>
        <v>1 A 1 JM | 17/6 COMUNA 8 17/6</v>
      </c>
      <c r="F1229" s="29" t="str">
        <f>IFERROR(__xludf.DUMMYFUNCTION("""COMPUTED_VALUE"""),"https://www.facebook.com/GCBA/posts/pfbid0mxXg9tHibD37R4VLdCobteB6Ah3Jdd4PMcmuGVrKBkvvwYMHEkNj85pfx8Q5eSdYl")</f>
        <v>https://www.facebook.com/GCBA/posts/pfbid0mxXg9tHibD37R4VLdCobteB6Ah3Jdd4PMcmuGVrKBkvvwYMHEkNj85pfx8Q5eSdYl</v>
      </c>
    </row>
    <row r="1230">
      <c r="A1230" s="28" t="str">
        <f>IFERROR(__xludf.DUMMYFUNCTION("""COMPUTED_VALUE"""),"3000-MAYSEGVC")</f>
        <v>3000-MAYSEGVC</v>
      </c>
      <c r="B1230" s="28" t="str">
        <f>IFERROR(__xludf.DUMMYFUNCTION("""COMPUTED_VALUE"""),"RDV Ministros | Horacio Giménez 14/5 Comuna 6")</f>
        <v>RDV Ministros | Horacio Giménez 14/5 Comuna 6</v>
      </c>
      <c r="C1230" s="29" t="str">
        <f>IFERROR(__xludf.DUMMYFUNCTION("""COMPUTED_VALUE"""),"Pieza")</f>
        <v>Pieza</v>
      </c>
      <c r="D1230" s="28" t="str">
        <f>IFERROR(__xludf.DUMMYFUNCTION("""COMPUTED_VALUE"""),"3171-JUNAMBVC")</f>
        <v>3171-JUNAMBVC</v>
      </c>
      <c r="E1230" s="28" t="str">
        <f>IFERROR(__xludf.DUMMYFUNCTION("""COMPUTED_VALUE"""),"RDV Ministros | Clara Muzzio - 12/6 - Temática")</f>
        <v>RDV Ministros | Clara Muzzio - 12/6 - Temática</v>
      </c>
      <c r="F1230" s="29" t="str">
        <f>IFERROR(__xludf.DUMMYFUNCTION("""COMPUTED_VALUE"""),"https://www.facebook.com/baparticipacion/posts/pfbid0228E4wXGuoRBDL9cJH7U1e91PuBepsm5jab8oPnfnutyXwzhy1enE8K5vr345yk5gl")</f>
        <v>https://www.facebook.com/baparticipacion/posts/pfbid0228E4wXGuoRBDL9cJH7U1e91PuBepsm5jab8oPnfnutyXwzhy1enE8K5vr345yk5gl</v>
      </c>
    </row>
    <row r="1231">
      <c r="A1231" s="28" t="str">
        <f>IFERROR(__xludf.DUMMYFUNCTION("""COMPUTED_VALUE"""),"3038-MAYJDGVC")</f>
        <v>3038-MAYJDGVC</v>
      </c>
      <c r="B1231" s="28" t="str">
        <f>IFERROR(__xludf.DUMMYFUNCTION("""COMPUTED_VALUE"""),"RDV Ministros | Gabriel Sánchez Zinny - 19/5 - Recoleta")</f>
        <v>RDV Ministros | Gabriel Sánchez Zinny - 19/5 - Recoleta</v>
      </c>
      <c r="C1231" s="29" t="str">
        <f>IFERROR(__xludf.DUMMYFUNCTION("""COMPUTED_VALUE"""),"Pieza")</f>
        <v>Pieza</v>
      </c>
      <c r="D1231" s="28" t="str">
        <f>IFERROR(__xludf.DUMMYFUNCTION("""COMPUTED_VALUE"""),"3183-JUNSEGGC")</f>
        <v>3183-JUNSEGGC</v>
      </c>
      <c r="E1231" s="28" t="str">
        <f>IFERROR(__xludf.DUMMYFUNCTION("""COMPUTED_VALUE"""),"Operativo trapitos en Movistar Arena: adaptaciones")</f>
        <v>Operativo trapitos en Movistar Arena: adaptaciones</v>
      </c>
      <c r="F1231" s="29" t="str">
        <f>IFERROR(__xludf.DUMMYFUNCTION("""COMPUTED_VALUE"""),"https://www.facebook.com/reel/26383961307943675")</f>
        <v>https://www.facebook.com/reel/26383961307943675</v>
      </c>
    </row>
    <row r="1232">
      <c r="A1232" s="28" t="str">
        <f>IFERROR(__xludf.DUMMYFUNCTION("""COMPUTED_VALUE"""),"2961-ABRSEGGJ")</f>
        <v>2961-ABRSEGGJ</v>
      </c>
      <c r="B1232" s="28" t="str">
        <f>IFERROR(__xludf.DUMMYFUNCTION("""COMPUTED_VALUE"""),"Campaña ORDEN Y SEGURIDAD 2026")</f>
        <v>Campaña ORDEN Y SEGURIDAD 2026</v>
      </c>
      <c r="C1232" s="29" t="str">
        <f>IFERROR(__xludf.DUMMYFUNCTION("""COMPUTED_VALUE"""),"Pieza")</f>
        <v>Pieza</v>
      </c>
      <c r="D1232" s="28" t="str">
        <f>IFERROR(__xludf.DUMMYFUNCTION("""COMPUTED_VALUE"""),"2496-ENEVINGC")</f>
        <v>2496-ENEVINGC</v>
      </c>
      <c r="E123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32" s="29" t="str">
        <f>IFERROR(__xludf.DUMMYFUNCTION("""COMPUTED_VALUE"""),"https://www.facebook.com/GCBA/posts/pfbid02qQvCpShNtWegyQfmq5DEM445N7ZKB8xTXoWY2rz9MYwFuMQDKzADApMTvnKpz7n4l")</f>
        <v>https://www.facebook.com/GCBA/posts/pfbid02qQvCpShNtWegyQfmq5DEM445N7ZKB8xTXoWY2rz9MYwFuMQDKzADApMTvnKpz7n4l</v>
      </c>
    </row>
    <row r="1233">
      <c r="A1233" s="28" t="str">
        <f>IFERROR(__xludf.DUMMYFUNCTION("""COMPUTED_VALUE"""),"2942-ABRSALGJ")</f>
        <v>2942-ABRSALGJ</v>
      </c>
      <c r="B1233" s="28" t="str">
        <f>IFERROR(__xludf.DUMMYFUNCTION("""COMPUTED_VALUE"""),"Htal. Fernández - Durante de Obra")</f>
        <v>Htal. Fernández - Durante de Obra</v>
      </c>
      <c r="C1233" s="29" t="str">
        <f>IFERROR(__xludf.DUMMYFUNCTION("""COMPUTED_VALUE"""),"Pieza")</f>
        <v>Pieza</v>
      </c>
      <c r="D1233" s="28" t="str">
        <f>IFERROR(__xludf.DUMMYFUNCTION("""COMPUTED_VALUE"""),"2496-ENEVINGC")</f>
        <v>2496-ENEVINGC</v>
      </c>
      <c r="E123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33" s="29" t="str">
        <f>IFERROR(__xludf.DUMMYFUNCTION("""COMPUTED_VALUE"""),"https://www.facebook.com/GCBA/posts/pfbid02B6AY2nDVcwwKwT947dtNzPZj7RiPTGP5D7RtRAGgdPf8YE7qhC7XeANSoe4DcBZWl")</f>
        <v>https://www.facebook.com/GCBA/posts/pfbid02B6AY2nDVcwwKwT947dtNzPZj7RiPTGP5D7RtRAGgdPf8YE7qhC7XeANSoe4DcBZWl</v>
      </c>
    </row>
    <row r="1234">
      <c r="A1234" s="28" t="str">
        <f>IFERROR(__xludf.DUMMYFUNCTION("""COMPUTED_VALUE"""),"3006-MAYSEGVC")</f>
        <v>3006-MAYSEGVC</v>
      </c>
      <c r="B1234" s="28" t="str">
        <f>IFERROR(__xludf.DUMMYFUNCTION("""COMPUTED_VALUE"""),"RDV Ministros | Ignacio Baistrocchi 13/5 Comuna 13")</f>
        <v>RDV Ministros | Ignacio Baistrocchi 13/5 Comuna 13</v>
      </c>
      <c r="C1234" s="29" t="str">
        <f>IFERROR(__xludf.DUMMYFUNCTION("""COMPUTED_VALUE"""),"Pieza")</f>
        <v>Pieza</v>
      </c>
      <c r="D1234" s="28" t="str">
        <f>IFERROR(__xludf.DUMMYFUNCTION("""COMPUTED_VALUE"""),"2496-ENEVINGC")</f>
        <v>2496-ENEVINGC</v>
      </c>
      <c r="E123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34" s="29" t="str">
        <f>IFERROR(__xludf.DUMMYFUNCTION("""COMPUTED_VALUE"""),"https://www.facebook.com/GCBA/posts/pfbid0E26b9MUybUKoTzNXoDz4gTh6QvTiFfee3mmWVsLNfoHwov9XjoXD3dM1uM4p2JdZl")</f>
        <v>https://www.facebook.com/GCBA/posts/pfbid0E26b9MUybUKoTzNXoDz4gTh6QvTiFfee3mmWVsLNfoHwov9XjoXD3dM1uM4p2JdZl</v>
      </c>
    </row>
    <row r="1235">
      <c r="A1235" s="28" t="str">
        <f>IFERROR(__xludf.DUMMYFUNCTION("""COMPUTED_VALUE"""),"3001-MAYSEGVC")</f>
        <v>3001-MAYSEGVC</v>
      </c>
      <c r="B1235" s="28" t="str">
        <f>IFERROR(__xludf.DUMMYFUNCTION("""COMPUTED_VALUE"""),"RDV Ministros | Maximiliano Piñeiro 14/5 Comuna 7")</f>
        <v>RDV Ministros | Maximiliano Piñeiro 14/5 Comuna 7</v>
      </c>
      <c r="C1235" s="29" t="str">
        <f>IFERROR(__xludf.DUMMYFUNCTION("""COMPUTED_VALUE"""),"Pieza")</f>
        <v>Pieza</v>
      </c>
      <c r="D1235" s="28" t="str">
        <f>IFERROR(__xludf.DUMMYFUNCTION("""COMPUTED_VALUE"""),"3044-MAYDUDGC")</f>
        <v>3044-MAYDUDGC</v>
      </c>
      <c r="E1235" s="28" t="str">
        <f>IFERROR(__xludf.DUMMYFUNCTION("""COMPUTED_VALUE"""),"BA Capital Mundial del deporte")</f>
        <v>BA Capital Mundial del deporte</v>
      </c>
      <c r="F1235" s="29" t="str">
        <f>IFERROR(__xludf.DUMMYFUNCTION("""COMPUTED_VALUE"""),"https://www.facebook.com/reel/2081566192790744")</f>
        <v>https://www.facebook.com/reel/2081566192790744</v>
      </c>
    </row>
    <row r="1236">
      <c r="A1236" s="28" t="str">
        <f>IFERROR(__xludf.DUMMYFUNCTION("""COMPUTED_VALUE"""),"3030-MAYTURGC")</f>
        <v>3030-MAYTURGC</v>
      </c>
      <c r="B1236" s="28" t="str">
        <f>IFERROR(__xludf.DUMMYFUNCTION("""COMPUTED_VALUE"""),"Informe mensual Observatorio Turismo 15/5")</f>
        <v>Informe mensual Observatorio Turismo 15/5</v>
      </c>
      <c r="C1236" s="29" t="str">
        <f>IFERROR(__xludf.DUMMYFUNCTION("""COMPUTED_VALUE"""),"Pieza")</f>
        <v>Pieza</v>
      </c>
      <c r="D1236" s="28" t="str">
        <f>IFERROR(__xludf.DUMMYFUNCTION("""COMPUTED_VALUE"""),"3111-MAYJDGAG")</f>
        <v>3111-MAYJDGAG</v>
      </c>
      <c r="E1236" s="28" t="str">
        <f>IFERROR(__xludf.DUMMYFUNCTION("""COMPUTED_VALUE"""),"1 A 1 JM | 2/6 COMUNA 7")</f>
        <v>1 A 1 JM | 2/6 COMUNA 7</v>
      </c>
      <c r="F1236" s="29" t="str">
        <f>IFERROR(__xludf.DUMMYFUNCTION("""COMPUTED_VALUE"""),"https://www.facebook.com/reel/2210295129787904")</f>
        <v>https://www.facebook.com/reel/2210295129787904</v>
      </c>
    </row>
    <row r="1237">
      <c r="A1237" s="28" t="str">
        <f>IFERROR(__xludf.DUMMYFUNCTION("""COMPUTED_VALUE"""),"2938-ABRSALGC")</f>
        <v>2938-ABRSALGC</v>
      </c>
      <c r="B1237" s="28" t="str">
        <f>IFERROR(__xludf.DUMMYFUNCTION("""COMPUTED_VALUE"""),"Hospital Piñero - Fin de Obra")</f>
        <v>Hospital Piñero - Fin de Obra</v>
      </c>
      <c r="C1237" s="29" t="str">
        <f>IFERROR(__xludf.DUMMYFUNCTION("""COMPUTED_VALUE"""),"Pieza")</f>
        <v>Pieza</v>
      </c>
      <c r="D1237" s="28" t="str">
        <f>IFERROR(__xludf.DUMMYFUNCTION("""COMPUTED_VALUE"""),"3187-JUNSEGGJ")</f>
        <v>3187-JUNSEGGJ</v>
      </c>
      <c r="E1237" s="28" t="str">
        <f>IFERROR(__xludf.DUMMYFUNCTION("""COMPUTED_VALUE"""),"Seguridad | Operativo de saturación en el Barrio 1-11-14 | 11/6")</f>
        <v>Seguridad | Operativo de saturación en el Barrio 1-11-14 | 11/6</v>
      </c>
      <c r="F1237" s="29" t="str">
        <f>IFERROR(__xludf.DUMMYFUNCTION("""COMPUTED_VALUE"""),"https://www.facebook.com/reel/1951168715581742")</f>
        <v>https://www.facebook.com/reel/1951168715581742</v>
      </c>
    </row>
    <row r="1238">
      <c r="A1238" s="28" t="str">
        <f>IFERROR(__xludf.DUMMYFUNCTION("""COMPUTED_VALUE"""),"1964-SEPEPHGC")</f>
        <v>1964-SEPEPHGC</v>
      </c>
      <c r="B1238" s="28" t="str">
        <f>IFERROR(__xludf.DUMMYFUNCTION("""COMPUTED_VALUE"""),"MEPHU RECAMBIO TECNOLÓGICO M2")</f>
        <v>MEPHU RECAMBIO TECNOLÓGICO M2</v>
      </c>
      <c r="C1238" s="29" t="str">
        <f>IFERROR(__xludf.DUMMYFUNCTION("""COMPUTED_VALUE"""),"Pieza")</f>
        <v>Pieza</v>
      </c>
      <c r="D1238" s="28" t="str">
        <f>IFERROR(__xludf.DUMMYFUNCTION("""COMPUTED_VALUE"""),"3187-JUNSEGGJ")</f>
        <v>3187-JUNSEGGJ</v>
      </c>
      <c r="E1238" s="28" t="str">
        <f>IFERROR(__xludf.DUMMYFUNCTION("""COMPUTED_VALUE"""),"Seguridad | Operativo de saturación en el Barrio 1-11-14 | 11/6")</f>
        <v>Seguridad | Operativo de saturación en el Barrio 1-11-14 | 11/6</v>
      </c>
      <c r="F1238" s="29" t="str">
        <f>IFERROR(__xludf.DUMMYFUNCTION("""COMPUTED_VALUE"""),"https://www.facebook.com/reel/1951168715581742")</f>
        <v>https://www.facebook.com/reel/1951168715581742</v>
      </c>
    </row>
    <row r="1239">
      <c r="A1239" s="28" t="str">
        <f>IFERROR(__xludf.DUMMYFUNCTION("""COMPUTED_VALUE"""),"1946-SEPEPHGC")</f>
        <v>1946-SEPEPHGC</v>
      </c>
      <c r="B1239" s="28" t="str">
        <f>IFERROR(__xludf.DUMMYFUNCTION("""COMPUTED_VALUE"""),"CAMPAÑA GCBA | MEPHU  | PLUVIALES")</f>
        <v>CAMPAÑA GCBA | MEPHU  | PLUVIALES</v>
      </c>
      <c r="C1239" s="29" t="str">
        <f>IFERROR(__xludf.DUMMYFUNCTION("""COMPUTED_VALUE"""),"Pieza")</f>
        <v>Pieza</v>
      </c>
      <c r="D1239" s="28" t="str">
        <f>IFERROR(__xludf.DUMMYFUNCTION("""COMPUTED_VALUE"""),"3149-JUNEDUGC")</f>
        <v>3149-JUNEDUGC</v>
      </c>
      <c r="E1239" s="28" t="str">
        <f>IFERROR(__xludf.DUMMYFUNCTION("""COMPUTED_VALUE"""),"INSCRIPCIONES ABIERTAS EN LA UDELACIUDAD")</f>
        <v>INSCRIPCIONES ABIERTAS EN LA UDELACIUDAD</v>
      </c>
      <c r="F1239" s="29" t="str">
        <f>IFERROR(__xludf.DUMMYFUNCTION("""COMPUTED_VALUE"""),"https://www.facebook.com/GCBA/posts/pfbid028fd4Eps4oJxQsp4oAr6gZWZZhqEkZDaxYsaCDqH2Q51tJXZa9VMm2TngH3mfoR2Al")</f>
        <v>https://www.facebook.com/GCBA/posts/pfbid028fd4Eps4oJxQsp4oAr6gZWZZhqEkZDaxYsaCDqH2Q51tJXZa9VMm2TngH3mfoR2Al</v>
      </c>
    </row>
    <row r="1240">
      <c r="A1240" s="28" t="str">
        <f>IFERROR(__xludf.DUMMYFUNCTION("""COMPUTED_VALUE"""),"1942-SEPEPHGC")</f>
        <v>1942-SEPEPHGC</v>
      </c>
      <c r="B1240" s="28" t="str">
        <f>IFERROR(__xludf.DUMMYFUNCTION("""COMPUTED_VALUE"""),"DGPLES | MEPHU  | REPARACIÓN DE VEREDAS")</f>
        <v>DGPLES | MEPHU  | REPARACIÓN DE VEREDAS</v>
      </c>
      <c r="C1240" s="29" t="str">
        <f>IFERROR(__xludf.DUMMYFUNCTION("""COMPUTED_VALUE"""),"Pieza")</f>
        <v>Pieza</v>
      </c>
      <c r="D1240" s="28" t="str">
        <f>IFERROR(__xludf.DUMMYFUNCTION("""COMPUTED_VALUE"""),"3149-JUNEDUGC")</f>
        <v>3149-JUNEDUGC</v>
      </c>
      <c r="E1240" s="28" t="str">
        <f>IFERROR(__xludf.DUMMYFUNCTION("""COMPUTED_VALUE"""),"INSCRIPCIONES ABIERTAS EN LA UDELACIUDAD")</f>
        <v>INSCRIPCIONES ABIERTAS EN LA UDELACIUDAD</v>
      </c>
      <c r="F1240" s="29" t="str">
        <f>IFERROR(__xludf.DUMMYFUNCTION("""COMPUTED_VALUE"""),"https://www.facebook.com/GCBA/posts/pfbid03HHKTBahFfLL4rMayyaFjmJwG96GQUjSTgEWsR4GuVte4US21NmnrhJWR9mfccosl")</f>
        <v>https://www.facebook.com/GCBA/posts/pfbid03HHKTBahFfLL4rMayyaFjmJwG96GQUjSTgEWsR4GuVte4US21NmnrhJWR9mfccosl</v>
      </c>
    </row>
    <row r="1241">
      <c r="A1241" s="28" t="str">
        <f>IFERROR(__xludf.DUMMYFUNCTION("""COMPUTED_VALUE"""),"1942-SEPEPHGC")</f>
        <v>1942-SEPEPHGC</v>
      </c>
      <c r="B1241" s="28" t="str">
        <f>IFERROR(__xludf.DUMMYFUNCTION("""COMPUTED_VALUE"""),"DGPLES | MEPHU  | REPARACIÓN DE VEREDAS")</f>
        <v>DGPLES | MEPHU  | REPARACIÓN DE VEREDAS</v>
      </c>
      <c r="C1241" s="29" t="str">
        <f>IFERROR(__xludf.DUMMYFUNCTION("""COMPUTED_VALUE"""),"Pieza")</f>
        <v>Pieza</v>
      </c>
      <c r="D1241" s="28" t="str">
        <f>IFERROR(__xludf.DUMMYFUNCTION("""COMPUTED_VALUE"""),"3149-JUNEDUGC")</f>
        <v>3149-JUNEDUGC</v>
      </c>
      <c r="E1241" s="28" t="str">
        <f>IFERROR(__xludf.DUMMYFUNCTION("""COMPUTED_VALUE"""),"INSCRIPCIONES ABIERTAS EN LA UDELACIUDAD")</f>
        <v>INSCRIPCIONES ABIERTAS EN LA UDELACIUDAD</v>
      </c>
      <c r="F1241" s="29" t="str">
        <f>IFERROR(__xludf.DUMMYFUNCTION("""COMPUTED_VALUE"""),"https://www.facebook.com/GCBA/posts/pfbid05Vw1qAJJiJ5SKjNPMKgw8wBdM1QF3rdKM2rC2FiXmz1nGqdZYawzHQ6BsaCbr9s5l")</f>
        <v>https://www.facebook.com/GCBA/posts/pfbid05Vw1qAJJiJ5SKjNPMKgw8wBdM1QF3rdKM2rC2FiXmz1nGqdZYawzHQ6BsaCbr9s5l</v>
      </c>
    </row>
    <row r="1242">
      <c r="A1242" s="28" t="str">
        <f>IFERROR(__xludf.DUMMYFUNCTION("""COMPUTED_VALUE"""),"1895-SEPEPHGC")</f>
        <v>1895-SEPEPHGC</v>
      </c>
      <c r="B1242" s="28" t="str">
        <f>IFERROR(__xludf.DUMMYFUNCTION("""COMPUTED_VALUE"""),"PIEZAS M2 | MEPHU | REPAVIMENTACIÓN")</f>
        <v>PIEZAS M2 | MEPHU | REPAVIMENTACIÓN</v>
      </c>
      <c r="C1242" s="29" t="str">
        <f>IFERROR(__xludf.DUMMYFUNCTION("""COMPUTED_VALUE"""),"Pieza")</f>
        <v>Pieza</v>
      </c>
      <c r="D1242" s="28" t="str">
        <f>IFERROR(__xludf.DUMMYFUNCTION("""COMPUTED_VALUE"""),"3178-JUNJDGAG")</f>
        <v>3178-JUNJDGAG</v>
      </c>
      <c r="E1242" s="28" t="str">
        <f>IFERROR(__xludf.DUMMYFUNCTION("""COMPUTED_VALUE""")," TE CUENTO BS AS JM | 16/6 EDUCACIÓN EJE OESTE")</f>
        <v> TE CUENTO BS AS JM | 16/6 EDUCACIÓN EJE OESTE</v>
      </c>
      <c r="F1242" s="29" t="str">
        <f>IFERROR(__xludf.DUMMYFUNCTION("""COMPUTED_VALUE"""),"https://www.facebook.com/GCBA/posts/pfbid02ZZG3f1iLvkWubHjhaECJSre4Kzvz1XfSfBj1BTiNeBk4AoX762iy2Tr6oLewgit3l")</f>
        <v>https://www.facebook.com/GCBA/posts/pfbid02ZZG3f1iLvkWubHjhaECJSre4Kzvz1XfSfBj1BTiNeBk4AoX762iy2Tr6oLewgit3l</v>
      </c>
    </row>
    <row r="1243">
      <c r="A1243" s="28" t="str">
        <f>IFERROR(__xludf.DUMMYFUNCTION("""COMPUTED_VALUE"""),"1943-SEPEPHGC")</f>
        <v>1943-SEPEPHGC</v>
      </c>
      <c r="B1243" s="28" t="str">
        <f>IFERROR(__xludf.DUMMYFUNCTION("""COMPUTED_VALUE"""),"DGPLES | MEPHU  | READOQUINADO")</f>
        <v>DGPLES | MEPHU  | READOQUINADO</v>
      </c>
      <c r="C1243" s="29" t="str">
        <f>IFERROR(__xludf.DUMMYFUNCTION("""COMPUTED_VALUE"""),"Pieza")</f>
        <v>Pieza</v>
      </c>
      <c r="D1243" s="28" t="str">
        <f>IFERROR(__xludf.DUMMYFUNCTION("""COMPUTED_VALUE"""),"3178-JUNJDGAG")</f>
        <v>3178-JUNJDGAG</v>
      </c>
      <c r="E1243" s="28" t="str">
        <f>IFERROR(__xludf.DUMMYFUNCTION("""COMPUTED_VALUE""")," TE CUENTO BS AS JM | 16/6 EDUCACIÓN EJE OESTE")</f>
        <v> TE CUENTO BS AS JM | 16/6 EDUCACIÓN EJE OESTE</v>
      </c>
      <c r="F1243" s="29" t="str">
        <f>IFERROR(__xludf.DUMMYFUNCTION("""COMPUTED_VALUE"""),"https://www.facebook.com/GCBA/posts/pfbid02ZZG3f1iLvkWubHjhaECJSre4Kzvz1XfSfBj1BTiNeBk4AoX762iy2Tr6oLewgit3l")</f>
        <v>https://www.facebook.com/GCBA/posts/pfbid02ZZG3f1iLvkWubHjhaECJSre4Kzvz1XfSfBj1BTiNeBk4AoX762iy2Tr6oLewgit3l</v>
      </c>
    </row>
    <row r="1244">
      <c r="A1244" s="28" t="str">
        <f>IFERROR(__xludf.DUMMYFUNCTION("""COMPUTED_VALUE"""),"2994-MAYEPHGC")</f>
        <v>2994-MAYEPHGC</v>
      </c>
      <c r="B1244" s="28" t="str">
        <f>IFERROR(__xludf.DUMMYFUNCTION("""COMPUTED_VALUE"""),"Luminarias Peatonales - Post")</f>
        <v>Luminarias Peatonales - Post</v>
      </c>
      <c r="C1244" s="29" t="str">
        <f>IFERROR(__xludf.DUMMYFUNCTION("""COMPUTED_VALUE"""),"Pieza")</f>
        <v>Pieza</v>
      </c>
      <c r="D1244" s="28" t="str">
        <f>IFERROR(__xludf.DUMMYFUNCTION("""COMPUTED_VALUE"""),"3016-MAYFESGC")</f>
        <v>3016-MAYFESGC</v>
      </c>
      <c r="E1244" s="28" t="str">
        <f>IFERROR(__xludf.DUMMYFUNCTION("""COMPUTED_VALUE"""),"La ciudad late mundial | Modo Hincha")</f>
        <v>La ciudad late mundial | Modo Hincha</v>
      </c>
      <c r="F1244" s="29" t="str">
        <f>IFERROR(__xludf.DUMMYFUNCTION("""COMPUTED_VALUE"""),"https://www.facebook.com/GCBA/posts/pfbid0oTTfRyRDjRtSWz1D2DEHt74VHK6N6rLVjYhLoitVw74XKk9AP7kXKcdgB2HbFSBTl")</f>
        <v>https://www.facebook.com/GCBA/posts/pfbid0oTTfRyRDjRtSWz1D2DEHt74VHK6N6rLVjYhLoitVw74XKk9AP7kXKcdgB2HbFSBTl</v>
      </c>
    </row>
    <row r="1245">
      <c r="A1245" s="28" t="str">
        <f>IFERROR(__xludf.DUMMYFUNCTION("""COMPUTED_VALUE"""),"3033-MAYJDGAG")</f>
        <v>3033-MAYJDGAG</v>
      </c>
      <c r="B1245" s="28" t="str">
        <f>IFERROR(__xludf.DUMMYFUNCTION("""COMPUTED_VALUE"""),"RDV JM | Saavedra 20/05")</f>
        <v>RDV JM | Saavedra 20/05</v>
      </c>
      <c r="C1245" s="29" t="str">
        <f>IFERROR(__xludf.DUMMYFUNCTION("""COMPUTED_VALUE"""),"Pieza")</f>
        <v>Pieza</v>
      </c>
      <c r="D1245" s="28" t="str">
        <f>IFERROR(__xludf.DUMMYFUNCTION("""COMPUTED_VALUE"""),"3016-MAYFESGC")</f>
        <v>3016-MAYFESGC</v>
      </c>
      <c r="E1245" s="28" t="str">
        <f>IFERROR(__xludf.DUMMYFUNCTION("""COMPUTED_VALUE"""),"La ciudad late mundial | Modo Hincha")</f>
        <v>La ciudad late mundial | Modo Hincha</v>
      </c>
      <c r="F1245" s="29" t="str">
        <f>IFERROR(__xludf.DUMMYFUNCTION("""COMPUTED_VALUE"""),"https://www.facebook.com/GCBA/posts/pfbid02swNy36nfpZR5JgK8gRFv41M4rUJbf9Vaw8zr5UVKZPn4WyhrzmAowWm61gBwMcnYl")</f>
        <v>https://www.facebook.com/GCBA/posts/pfbid02swNy36nfpZR5JgK8gRFv41M4rUJbf9Vaw8zr5UVKZPn4WyhrzmAowWm61gBwMcnYl</v>
      </c>
    </row>
    <row r="1246">
      <c r="A1246" s="28" t="str">
        <f>IFERROR(__xludf.DUMMYFUNCTION("""COMPUTED_VALUE"""),"3028-MAYFESGC")</f>
        <v>3028-MAYFESGC</v>
      </c>
      <c r="B1246" s="28" t="str">
        <f>IFERROR(__xludf.DUMMYFUNCTION("""COMPUTED_VALUE"""),"BA Celebra Europa")</f>
        <v>BA Celebra Europa</v>
      </c>
      <c r="C1246" s="29" t="str">
        <f>IFERROR(__xludf.DUMMYFUNCTION("""COMPUTED_VALUE"""),"Pieza")</f>
        <v>Pieza</v>
      </c>
      <c r="D1246" s="28" t="str">
        <f>IFERROR(__xludf.DUMMYFUNCTION("""COMPUTED_VALUE"""),"3016-MAYFESGC")</f>
        <v>3016-MAYFESGC</v>
      </c>
      <c r="E1246" s="28" t="str">
        <f>IFERROR(__xludf.DUMMYFUNCTION("""COMPUTED_VALUE"""),"La ciudad late mundial | Modo Hincha")</f>
        <v>La ciudad late mundial | Modo Hincha</v>
      </c>
      <c r="F1246" s="29" t="str">
        <f>IFERROR(__xludf.DUMMYFUNCTION("""COMPUTED_VALUE"""),"https://www.facebook.com/GCBA/posts/pfbid02iuVuA8xtGgxvTSzpiQ9gr3uYg7KLUdZE2cUAikcMyqpMF71mghyZr8ubEmo95RqJl")</f>
        <v>https://www.facebook.com/GCBA/posts/pfbid02iuVuA8xtGgxvTSzpiQ9gr3uYg7KLUdZE2cUAikcMyqpMF71mghyZr8ubEmo95RqJl</v>
      </c>
    </row>
    <row r="1247">
      <c r="A1247" s="28" t="str">
        <f>IFERROR(__xludf.DUMMYFUNCTION("""COMPUTED_VALUE"""),"2961-ABRSEGGJ")</f>
        <v>2961-ABRSEGGJ</v>
      </c>
      <c r="B1247" s="28" t="str">
        <f>IFERROR(__xludf.DUMMYFUNCTION("""COMPUTED_VALUE"""),"Campaña ORDEN Y SEGURIDAD 2026")</f>
        <v>Campaña ORDEN Y SEGURIDAD 2026</v>
      </c>
      <c r="C1247" s="29" t="str">
        <f>IFERROR(__xludf.DUMMYFUNCTION("""COMPUTED_VALUE"""),"Pieza")</f>
        <v>Pieza</v>
      </c>
      <c r="D1247" s="28" t="str">
        <f>IFERROR(__xludf.DUMMYFUNCTION("""COMPUTED_VALUE"""),"3189-JUNSALVC")</f>
        <v>3189-JUNSALVC</v>
      </c>
      <c r="E1247" s="28" t="str">
        <f>IFERROR(__xludf.DUMMYFUNCTION("""COMPUTED_VALUE"""),"RDV Ministros | Fernán Quirós - 16/6 - Comuna 15")</f>
        <v>RDV Ministros | Fernán Quirós - 16/6 - Comuna 15</v>
      </c>
      <c r="F1247" s="29" t="str">
        <f>IFERROR(__xludf.DUMMYFUNCTION("""COMPUTED_VALUE"""),"https://www.facebook.com/baparticipacion/posts/pfbid028buhDwCjERQtoEkvPzyyQXjLesGLBHVK72J59pwqNuvmAR1czprvDuYfpkf8Kqk1l")</f>
        <v>https://www.facebook.com/baparticipacion/posts/pfbid028buhDwCjERQtoEkvPzyyQXjLesGLBHVK72J59pwqNuvmAR1czprvDuYfpkf8Kqk1l</v>
      </c>
    </row>
    <row r="1248">
      <c r="A1248" s="28" t="str">
        <f>IFERROR(__xludf.DUMMYFUNCTION("""COMPUTED_VALUE"""),"3051-MAYSEGGJ")</f>
        <v>3051-MAYSEGGJ</v>
      </c>
      <c r="B1248" s="28" t="str">
        <f>IFERROR(__xludf.DUMMYFUNCTION("""COMPUTED_VALUE"""),"Operativo Tormenta Negra")</f>
        <v>Operativo Tormenta Negra</v>
      </c>
      <c r="C1248" s="29" t="str">
        <f>IFERROR(__xludf.DUMMYFUNCTION("""COMPUTED_VALUE"""),"Pieza")</f>
        <v>Pieza</v>
      </c>
      <c r="D1248" s="28" t="str">
        <f>IFERROR(__xludf.DUMMYFUNCTION("""COMPUTED_VALUE"""),"3196-JUNINFVC")</f>
        <v>3196-JUNINFVC</v>
      </c>
      <c r="E1248" s="28" t="str">
        <f>IFERROR(__xludf.DUMMYFUNCTION("""COMPUTED_VALUE"""),"RDV Ministros | Pablo Bereciartua - 17/6 - Comuna 4")</f>
        <v>RDV Ministros | Pablo Bereciartua - 17/6 - Comuna 4</v>
      </c>
      <c r="F1248" s="29" t="str">
        <f>IFERROR(__xludf.DUMMYFUNCTION("""COMPUTED_VALUE"""),"https://www.facebook.com/baparticipacion/posts/pfbid0gAi2bSqe1peo1vJipGzeNYvLfpKmmqRR3dtLpZaFoPyqDTBTLrSCJcZkXEx3f5yml")</f>
        <v>https://www.facebook.com/baparticipacion/posts/pfbid0gAi2bSqe1peo1vJipGzeNYvLfpKmmqRR3dtLpZaFoPyqDTBTLrSCJcZkXEx3f5yml</v>
      </c>
    </row>
    <row r="1249">
      <c r="A1249" s="28" t="str">
        <f>IFERROR(__xludf.DUMMYFUNCTION("""COMPUTED_VALUE"""),"3051-MAYSEGGJ")</f>
        <v>3051-MAYSEGGJ</v>
      </c>
      <c r="B1249" s="28" t="str">
        <f>IFERROR(__xludf.DUMMYFUNCTION("""COMPUTED_VALUE"""),"Operativo Tormenta Negra")</f>
        <v>Operativo Tormenta Negra</v>
      </c>
      <c r="C1249" s="29" t="str">
        <f>IFERROR(__xludf.DUMMYFUNCTION("""COMPUTED_VALUE"""),"Pieza")</f>
        <v>Pieza</v>
      </c>
      <c r="D1249" s="28" t="str">
        <f>IFERROR(__xludf.DUMMYFUNCTION("""COMPUTED_VALUE"""),"3190-JUNAMBVC")</f>
        <v>3190-JUNAMBVC</v>
      </c>
      <c r="E1249" s="28" t="str">
        <f>IFERROR(__xludf.DUMMYFUNCTION("""COMPUTED_VALUE"""),"RDV Ministros | Clara Muzzio - 17/6 - Colegiales")</f>
        <v>RDV Ministros | Clara Muzzio - 17/6 - Colegiales</v>
      </c>
      <c r="F1249" s="29" t="str">
        <f>IFERROR(__xludf.DUMMYFUNCTION("""COMPUTED_VALUE"""),"https://www.facebook.com/baparticipacion/posts/pfbid05JZe9CpEB52zA3crM7ZyMytReeTkcmtCV4nPKv2WANoDMJr8ACvccqpJzcRBYMtsl")</f>
        <v>https://www.facebook.com/baparticipacion/posts/pfbid05JZe9CpEB52zA3crM7ZyMytReeTkcmtCV4nPKv2WANoDMJr8ACvccqpJzcRBYMtsl</v>
      </c>
    </row>
    <row r="1250">
      <c r="A1250" s="28" t="str">
        <f>IFERROR(__xludf.DUMMYFUNCTION("""COMPUTED_VALUE"""),"3051-MAYSEGGJ")</f>
        <v>3051-MAYSEGGJ</v>
      </c>
      <c r="B1250" s="28" t="str">
        <f>IFERROR(__xludf.DUMMYFUNCTION("""COMPUTED_VALUE"""),"Operativo Tormenta Negra")</f>
        <v>Operativo Tormenta Negra</v>
      </c>
      <c r="C1250" s="29" t="str">
        <f>IFERROR(__xludf.DUMMYFUNCTION("""COMPUTED_VALUE"""),"Pieza")</f>
        <v>Pieza</v>
      </c>
      <c r="D1250" s="28" t="str">
        <f>IFERROR(__xludf.DUMMYFUNCTION("""COMPUTED_VALUE"""),"3198-JUNJDGAG")</f>
        <v>3198-JUNJDGAG</v>
      </c>
      <c r="E1250" s="28" t="str">
        <f>IFERROR(__xludf.DUMMYFUNCTION("""COMPUTED_VALUE"""),"1 A 1 JM | COMUNA 11 17/6")</f>
        <v>1 A 1 JM | COMUNA 11 17/6</v>
      </c>
      <c r="F1250" s="29" t="str">
        <f>IFERROR(__xludf.DUMMYFUNCTION("""COMPUTED_VALUE"""),"https://www.facebook.com/GCBA/posts/pfbid0H6murZagZLhr7triKeksQykfPfaMBWzrKDmvmQsNL9ej9z1D6hhggGf2rmpExwU1l")</f>
        <v>https://www.facebook.com/GCBA/posts/pfbid0H6murZagZLhr7triKeksQykfPfaMBWzrKDmvmQsNL9ej9z1D6hhggGf2rmpExwU1l</v>
      </c>
    </row>
    <row r="1251">
      <c r="A1251" s="28" t="str">
        <f>IFERROR(__xludf.DUMMYFUNCTION("""COMPUTED_VALUE"""),"3040-MAYVINVC")</f>
        <v>3040-MAYVINVC</v>
      </c>
      <c r="B1251" s="28" t="str">
        <f>IFERROR(__xludf.DUMMYFUNCTION("""COMPUTED_VALUE"""),"Más servicios en tu barrio 21/5 Nuñez")</f>
        <v>Más servicios en tu barrio 21/5 Nuñez</v>
      </c>
      <c r="C1251" s="29" t="str">
        <f>IFERROR(__xludf.DUMMYFUNCTION("""COMPUTED_VALUE"""),"Pieza")</f>
        <v>Pieza</v>
      </c>
      <c r="D1251" s="28" t="str">
        <f>IFERROR(__xludf.DUMMYFUNCTION("""COMPUTED_VALUE"""),"3180-JUNINFGC")</f>
        <v>3180-JUNINFGC</v>
      </c>
      <c r="E1251" s="28" t="str">
        <f>IFERROR(__xludf.DUMMYFUNCTION("""COMPUTED_VALUE"""),"AU Dellepiane: cambio de sentido calle Rio Negro y Colectora Norte | 16/6")</f>
        <v>AU Dellepiane: cambio de sentido calle Rio Negro y Colectora Norte | 16/6</v>
      </c>
      <c r="F1251" s="29" t="str">
        <f>IFERROR(__xludf.DUMMYFUNCTION("""COMPUTED_VALUE"""),"https://fb.me/adspreview/facebook/29gh3TVKAXDRWc7")</f>
        <v>https://fb.me/adspreview/facebook/29gh3TVKAXDRWc7</v>
      </c>
    </row>
    <row r="1252">
      <c r="A1252" s="28" t="str">
        <f>IFERROR(__xludf.DUMMYFUNCTION("""COMPUTED_VALUE"""),"3023-MAYVINVC")</f>
        <v>3023-MAYVINVC</v>
      </c>
      <c r="B1252" s="28" t="str">
        <f>IFERROR(__xludf.DUMMYFUNCTION("""COMPUTED_VALUE"""),"Más servicios en tu barrio 23/5 San Cristobal")</f>
        <v>Más servicios en tu barrio 23/5 San Cristobal</v>
      </c>
      <c r="C1252" s="29" t="str">
        <f>IFERROR(__xludf.DUMMYFUNCTION("""COMPUTED_VALUE"""),"Pieza")</f>
        <v>Pieza</v>
      </c>
      <c r="D1252" s="28" t="str">
        <f>IFERROR(__xludf.DUMMYFUNCTION("""COMPUTED_VALUE"""),"3195-JUNSEGVC")</f>
        <v>3195-JUNSEGVC</v>
      </c>
      <c r="E1252" s="28" t="str">
        <f>IFERROR(__xludf.DUMMYFUNCTION("""COMPUTED_VALUE"""),"RDV Ministros | Gabino Tapia 18/6 - Comuna 11")</f>
        <v>RDV Ministros | Gabino Tapia 18/6 - Comuna 11</v>
      </c>
      <c r="F1252" s="29" t="str">
        <f>IFERROR(__xludf.DUMMYFUNCTION("""COMPUTED_VALUE"""),"https://www.facebook.com/baparticipacion/posts/pfbid0QriDSP1vyJgGzKZMqwZZhMaeY1zhSaf1EpNzfNJAXmWaniVaM1JBgh4NXNkg2xYtl")</f>
        <v>https://www.facebook.com/baparticipacion/posts/pfbid0QriDSP1vyJgGzKZMqwZZhMaeY1zhSaf1EpNzfNJAXmWaniVaM1JBgh4NXNkg2xYtl</v>
      </c>
    </row>
    <row r="1253">
      <c r="A1253" s="28" t="str">
        <f>IFERROR(__xludf.DUMMYFUNCTION("""COMPUTED_VALUE"""),"3049-MAYSEGVC")</f>
        <v>3049-MAYSEGVC</v>
      </c>
      <c r="B1253" s="28" t="str">
        <f>IFERROR(__xludf.DUMMYFUNCTION("""COMPUTED_VALUE"""),"RDV MINISTROS SEGURIDAD | RUTH LANDERRECHE 21/5 COMUNA 4")</f>
        <v>RDV MINISTROS SEGURIDAD | RUTH LANDERRECHE 21/5 COMUNA 4</v>
      </c>
      <c r="C1253" s="29" t="str">
        <f>IFERROR(__xludf.DUMMYFUNCTION("""COMPUTED_VALUE"""),"Pieza")</f>
        <v>Pieza</v>
      </c>
      <c r="D1253" s="28" t="str">
        <f>IFERROR(__xludf.DUMMYFUNCTION("""COMPUTED_VALUE"""),"3194-JUNSEGVC")</f>
        <v>3194-JUNSEGVC</v>
      </c>
      <c r="E1253" s="28" t="str">
        <f>IFERROR(__xludf.DUMMYFUNCTION("""COMPUTED_VALUE"""),"RDV Ministros | Ruth Landerreche 18/6 - Comuna 10")</f>
        <v>RDV Ministros | Ruth Landerreche 18/6 - Comuna 10</v>
      </c>
      <c r="F1253" s="29" t="str">
        <f>IFERROR(__xludf.DUMMYFUNCTION("""COMPUTED_VALUE"""),"https://www.facebook.com/baparticipacion/posts/pfbid0PPRDU6ZwuwtDKS6M8fqGVTmkHF8eQuGdLUy7Sp4yTH3w3gK56kNNxAJkjLc6mfaTl")</f>
        <v>https://www.facebook.com/baparticipacion/posts/pfbid0PPRDU6ZwuwtDKS6M8fqGVTmkHF8eQuGdLUy7Sp4yTH3w3gK56kNNxAJkjLc6mfaTl</v>
      </c>
    </row>
    <row r="1254">
      <c r="A1254" s="28" t="str">
        <f>IFERROR(__xludf.DUMMYFUNCTION("""COMPUTED_VALUE"""),"3034-MAYJDGAG")</f>
        <v>3034-MAYJDGAG</v>
      </c>
      <c r="B1254" s="28" t="str">
        <f>IFERROR(__xludf.DUMMYFUNCTION("""COMPUTED_VALUE"""),"RDV JM TEMÁTICA | TE CUENTO BS AS 21/05 MOVILIDAD EJE OESTE")</f>
        <v>RDV JM TEMÁTICA | TE CUENTO BS AS 21/05 MOVILIDAD EJE OESTE</v>
      </c>
      <c r="C1254" s="29" t="str">
        <f>IFERROR(__xludf.DUMMYFUNCTION("""COMPUTED_VALUE"""),"Pieza")</f>
        <v>Pieza</v>
      </c>
      <c r="D1254" s="28" t="str">
        <f>IFERROR(__xludf.DUMMYFUNCTION("""COMPUTED_VALUE"""),"3193-JUNSEGVC")</f>
        <v>3193-JUNSEGVC</v>
      </c>
      <c r="E1254" s="28" t="str">
        <f>IFERROR(__xludf.DUMMYFUNCTION("""COMPUTED_VALUE"""),"RDV Ministros | Horacio Giménez 18/6 - Comuna 9")</f>
        <v>RDV Ministros | Horacio Giménez 18/6 - Comuna 9</v>
      </c>
      <c r="F1254" s="29" t="str">
        <f>IFERROR(__xludf.DUMMYFUNCTION("""COMPUTED_VALUE"""),"https://www.facebook.com/baparticipacion/posts/pfbid0DaymyDB1kYsK3vhHa9PGNH4zfbBtVMmHhr92vsCJPo4oNPRDNfqMVjP5Dt1fLZbNl")</f>
        <v>https://www.facebook.com/baparticipacion/posts/pfbid0DaymyDB1kYsK3vhHa9PGNH4zfbBtVMmHhr92vsCJPo4oNPRDNfqMVjP5Dt1fLZbNl</v>
      </c>
    </row>
    <row r="1255">
      <c r="A1255" s="28" t="str">
        <f>IFERROR(__xludf.DUMMYFUNCTION("""COMPUTED_VALUE"""),"3034-MAYJDGAG")</f>
        <v>3034-MAYJDGAG</v>
      </c>
      <c r="B1255" s="28" t="str">
        <f>IFERROR(__xludf.DUMMYFUNCTION("""COMPUTED_VALUE"""),"RDV JM TEMÁTICA | TE CUENTO BS AS 21/05 MOVILIDAD EJE OESTE")</f>
        <v>RDV JM TEMÁTICA | TE CUENTO BS AS 21/05 MOVILIDAD EJE OESTE</v>
      </c>
      <c r="C1255" s="29" t="str">
        <f>IFERROR(__xludf.DUMMYFUNCTION("""COMPUTED_VALUE"""),"Pieza")</f>
        <v>Pieza</v>
      </c>
      <c r="D1255" s="28" t="str">
        <f>IFERROR(__xludf.DUMMYFUNCTION("""COMPUTED_VALUE"""),"3192-JUNSEGVC")</f>
        <v>3192-JUNSEGVC</v>
      </c>
      <c r="E1255" s="28" t="str">
        <f>IFERROR(__xludf.DUMMYFUNCTION("""COMPUTED_VALUE"""),"RDV Ministros | Maximiliano Piñeiro 18/6 - Comuna 8")</f>
        <v>RDV Ministros | Maximiliano Piñeiro 18/6 - Comuna 8</v>
      </c>
      <c r="F1255" s="29" t="str">
        <f>IFERROR(__xludf.DUMMYFUNCTION("""COMPUTED_VALUE"""),"https://www.facebook.com/baparticipacion/posts/pfbid07VoazC5BiDZDj3GHPeXe55UQEznMHhozx8PUuwHTF79BK72tb5HxzKnsXY3sQ4jyl")</f>
        <v>https://www.facebook.com/baparticipacion/posts/pfbid07VoazC5BiDZDj3GHPeXe55UQEznMHhozx8PUuwHTF79BK72tb5HxzKnsXY3sQ4jyl</v>
      </c>
    </row>
    <row r="1256">
      <c r="A1256" s="28" t="str">
        <f>IFERROR(__xludf.DUMMYFUNCTION("""COMPUTED_VALUE"""),"3047-MAYSEGVC")</f>
        <v>3047-MAYSEGVC</v>
      </c>
      <c r="B1256" s="28" t="str">
        <f>IFERROR(__xludf.DUMMYFUNCTION("""COMPUTED_VALUE"""),"RDV Ministros | Maximiliano Piñeiro Comuna 11")</f>
        <v>RDV Ministros | Maximiliano Piñeiro Comuna 11</v>
      </c>
      <c r="C1256" s="29" t="str">
        <f>IFERROR(__xludf.DUMMYFUNCTION("""COMPUTED_VALUE"""),"Pieza")</f>
        <v>Pieza</v>
      </c>
      <c r="D1256" s="28" t="str">
        <f>IFERROR(__xludf.DUMMYFUNCTION("""COMPUTED_VALUE"""),"3185-JUNINFGC")</f>
        <v>3185-JUNINFGC</v>
      </c>
      <c r="E1256" s="28" t="str">
        <f>IFERROR(__xludf.DUMMYFUNCTION("""COMPUTED_VALUE"""),"CORTES Y DESVÍOS POR PROCESIÓN RELIGIOSA")</f>
        <v>CORTES Y DESVÍOS POR PROCESIÓN RELIGIOSA</v>
      </c>
      <c r="F1256" s="29" t="str">
        <f>IFERROR(__xludf.DUMMYFUNCTION("""COMPUTED_VALUE"""),"https://fb.me/adspreview/facebook/25lew4sNjO49s77")</f>
        <v>https://fb.me/adspreview/facebook/25lew4sNjO49s77</v>
      </c>
    </row>
    <row r="1257">
      <c r="A1257" s="28" t="str">
        <f>IFERROR(__xludf.DUMMYFUNCTION("""COMPUTED_VALUE"""),"3013-MAYJDGVC")</f>
        <v>3013-MAYJDGVC</v>
      </c>
      <c r="B1257" s="28" t="str">
        <f>IFERROR(__xludf.DUMMYFUNCTION("""COMPUTED_VALUE"""),"RDV Ministros | Gabriel Sánchez Zinny - 15/5")</f>
        <v>RDV Ministros | Gabriel Sánchez Zinny - 15/5</v>
      </c>
      <c r="C1257" s="29" t="str">
        <f>IFERROR(__xludf.DUMMYFUNCTION("""COMPUTED_VALUE"""),"Pieza")</f>
        <v>Pieza</v>
      </c>
      <c r="D1257" s="28" t="str">
        <f>IFERROR(__xludf.DUMMYFUNCTION("""COMPUTED_VALUE"""),"3176-JUNAMBGC")</f>
        <v>3176-JUNAMBGC</v>
      </c>
      <c r="E1257" s="28" t="str">
        <f>IFERROR(__xludf.DUMMYFUNCTION("""COMPUTED_VALUE"""),"Cobro de entrada a Ecoparque")</f>
        <v>Cobro de entrada a Ecoparque</v>
      </c>
      <c r="F1257" s="29" t="str">
        <f>IFERROR(__xludf.DUMMYFUNCTION("""COMPUTED_VALUE"""),"https://www.facebook.com/reel/1910025833718608")</f>
        <v>https://www.facebook.com/reel/1910025833718608</v>
      </c>
    </row>
    <row r="1258">
      <c r="A1258" s="28" t="str">
        <f>IFERROR(__xludf.DUMMYFUNCTION("""COMPUTED_VALUE"""),"3038-MAYJDGVC")</f>
        <v>3038-MAYJDGVC</v>
      </c>
      <c r="B1258" s="28" t="str">
        <f>IFERROR(__xludf.DUMMYFUNCTION("""COMPUTED_VALUE"""),"RDV Ministros | Gabriel Sánchez Zinny - 19/5 - Recoleta")</f>
        <v>RDV Ministros | Gabriel Sánchez Zinny - 19/5 - Recoleta</v>
      </c>
      <c r="C1258" s="29" t="str">
        <f>IFERROR(__xludf.DUMMYFUNCTION("""COMPUTED_VALUE"""),"Pieza")</f>
        <v>Pieza</v>
      </c>
      <c r="D1258" s="28" t="str">
        <f>IFERROR(__xludf.DUMMYFUNCTION("""COMPUTED_VALUE"""),"3201-JUNJDGAG")</f>
        <v>3201-JUNJDGAG</v>
      </c>
      <c r="E1258" s="28" t="str">
        <f>IFERROR(__xludf.DUMMYFUNCTION("""COMPUTED_VALUE"""),"RDV JM MATADEROS 18/6")</f>
        <v>RDV JM MATADEROS 18/6</v>
      </c>
      <c r="F1258" s="29" t="str">
        <f>IFERROR(__xludf.DUMMYFUNCTION("""COMPUTED_VALUE"""),"https://www.facebook.com/reel/869377568978479")</f>
        <v>https://www.facebook.com/reel/869377568978479</v>
      </c>
    </row>
    <row r="1259">
      <c r="A1259" s="28" t="str">
        <f>IFERROR(__xludf.DUMMYFUNCTION("""COMPUTED_VALUE"""),"3050-MAYSEGVC")</f>
        <v>3050-MAYSEGVC</v>
      </c>
      <c r="B1259" s="28" t="str">
        <f>IFERROR(__xludf.DUMMYFUNCTION("""COMPUTED_VALUE"""),"RDV MINISTROS SEGURIDAD | HORACIO GIMÉNEZ 21/5 COMUNA 8")</f>
        <v>RDV MINISTROS SEGURIDAD | HORACIO GIMÉNEZ 21/5 COMUNA 8</v>
      </c>
      <c r="C1259" s="29" t="str">
        <f>IFERROR(__xludf.DUMMYFUNCTION("""COMPUTED_VALUE"""),"Pieza")</f>
        <v>Pieza</v>
      </c>
      <c r="D1259" s="28" t="str">
        <f>IFERROR(__xludf.DUMMYFUNCTION("""COMPUTED_VALUE"""),"3202-JUNJDGAG")</f>
        <v>3202-JUNJDGAG</v>
      </c>
      <c r="E1259" s="28" t="str">
        <f>IFERROR(__xludf.DUMMYFUNCTION("""COMPUTED_VALUE"""),"1 A 1 JM | COMUNA 5 17/06")</f>
        <v>1 A 1 JM | COMUNA 5 17/06</v>
      </c>
      <c r="F1259" s="29" t="str">
        <f>IFERROR(__xludf.DUMMYFUNCTION("""COMPUTED_VALUE"""),"https://www.facebook.com/GCBA/posts/pfbid02MczFwBSVys4DXC1DTtBcRmUPG1xohZxGSR3kUcX6QRVEMJHG2uCNpVNnkXbMhTK8l")</f>
        <v>https://www.facebook.com/GCBA/posts/pfbid02MczFwBSVys4DXC1DTtBcRmUPG1xohZxGSR3kUcX6QRVEMJHG2uCNpVNnkXbMhTK8l</v>
      </c>
    </row>
    <row r="1260">
      <c r="A1260" s="28" t="str">
        <f>IFERROR(__xludf.DUMMYFUNCTION("""COMPUTED_VALUE"""),"2974-MAYSEGGJ")</f>
        <v>2974-MAYSEGGJ</v>
      </c>
      <c r="B1260" s="28" t="str">
        <f>IFERROR(__xludf.DUMMYFUNCTION("""COMPUTED_VALUE"""),"Nueva Patrulla de Control de Accesos a la Ciudad")</f>
        <v>Nueva Patrulla de Control de Accesos a la Ciudad</v>
      </c>
      <c r="C1260" s="29" t="str">
        <f>IFERROR(__xludf.DUMMYFUNCTION("""COMPUTED_VALUE"""),"Pieza")</f>
        <v>Pieza</v>
      </c>
      <c r="D1260" s="28" t="str">
        <f>IFERROR(__xludf.DUMMYFUNCTION("""COMPUTED_VALUE"""),"3091-MAYCULGC")</f>
        <v>3091-MAYCULGC</v>
      </c>
      <c r="E1260" s="28" t="str">
        <f>IFERROR(__xludf.DUMMYFUNCTION("""COMPUTED_VALUE"""),"Cultura | Reapertura del Palacio Ceci")</f>
        <v>Cultura | Reapertura del Palacio Ceci</v>
      </c>
      <c r="F1260" s="29" t="str">
        <f>IFERROR(__xludf.DUMMYFUNCTION("""COMPUTED_VALUE"""),"https://www.facebook.com/GCBA/posts/pfbid02E4wp53ZNT6GqD98pYbzNyRQnXPk7oybZTfo6UaqKbzJK3SpDnwAj8YPuFvK2ESjLl")</f>
        <v>https://www.facebook.com/GCBA/posts/pfbid02E4wp53ZNT6GqD98pYbzNyRQnXPk7oybZTfo6UaqKbzJK3SpDnwAj8YPuFvK2ESjLl</v>
      </c>
    </row>
    <row r="1261">
      <c r="A1261" s="28" t="str">
        <f>IFERROR(__xludf.DUMMYFUNCTION("""COMPUTED_VALUE"""),"3037-MAYSALVC")</f>
        <v>3037-MAYSALVC</v>
      </c>
      <c r="B1261" s="28" t="str">
        <f>IFERROR(__xludf.DUMMYFUNCTION("""COMPUTED_VALUE"""),"RDV Ministros | Fernán Quirós - 19/5 - Comuna 3")</f>
        <v>RDV Ministros | Fernán Quirós - 19/5 - Comuna 3</v>
      </c>
      <c r="C1261" s="29" t="str">
        <f>IFERROR(__xludf.DUMMYFUNCTION("""COMPUTED_VALUE"""),"Pieza")</f>
        <v>Pieza</v>
      </c>
      <c r="D1261" s="28" t="str">
        <f>IFERROR(__xludf.DUMMYFUNCTION("""COMPUTED_VALUE"""),"3154-JUNJDGAG")</f>
        <v>3154-JUNJDGAG</v>
      </c>
      <c r="E1261" s="28" t="str">
        <f>IFERROR(__xludf.DUMMYFUNCTION("""COMPUTED_VALUE"""),"1 A 1 JM | COMUNA 3 8/6")</f>
        <v>1 A 1 JM | COMUNA 3 8/6</v>
      </c>
      <c r="F1261" s="29" t="str">
        <f>IFERROR(__xludf.DUMMYFUNCTION("""COMPUTED_VALUE"""),"https://www.facebook.com/reel/962929200067946")</f>
        <v>https://www.facebook.com/reel/962929200067946</v>
      </c>
    </row>
    <row r="1262">
      <c r="A1262" s="28" t="str">
        <f>IFERROR(__xludf.DUMMYFUNCTION("""COMPUTED_VALUE"""),"3017-MAYAMBGC")</f>
        <v>3017-MAYAMBGC</v>
      </c>
      <c r="B1262" s="28" t="str">
        <f>IFERROR(__xludf.DUMMYFUNCTION("""COMPUTED_VALUE"""),"Animales BA: Nuevos servicios en la web")</f>
        <v>Animales BA: Nuevos servicios en la web</v>
      </c>
      <c r="C1262" s="29" t="str">
        <f>IFERROR(__xludf.DUMMYFUNCTION("""COMPUTED_VALUE"""),"Pieza")</f>
        <v>Pieza</v>
      </c>
      <c r="D1262" s="28" t="str">
        <f>IFERROR(__xludf.DUMMYFUNCTION("""COMPUTED_VALUE"""),"3143-JUNJDGAG")</f>
        <v>3143-JUNJDGAG</v>
      </c>
      <c r="E1262" s="28" t="str">
        <f>IFERROR(__xludf.DUMMYFUNCTION("""COMPUTED_VALUE"""),"TE CUENTO JM | 10/6 SALUD EJE NORTE")</f>
        <v>TE CUENTO JM | 10/6 SALUD EJE NORTE</v>
      </c>
      <c r="F1262" s="29" t="str">
        <f>IFERROR(__xludf.DUMMYFUNCTION("""COMPUTED_VALUE"""),"https://www.facebook.com/GCBA/posts/pfbid02oeoxp4n1RAejfsKkcxYnQ6zjj1GYAHE18or6xd8FgH3bLsXZEv8TWtktSujLNwdRl")</f>
        <v>https://www.facebook.com/GCBA/posts/pfbid02oeoxp4n1RAejfsKkcxYnQ6zjj1GYAHE18or6xd8FgH3bLsXZEv8TWtktSujLNwdRl</v>
      </c>
    </row>
    <row r="1263">
      <c r="A1263" s="28" t="str">
        <f>IFERROR(__xludf.DUMMYFUNCTION("""COMPUTED_VALUE"""),"3012-MAYDHHVC")</f>
        <v>3012-MAYDHHVC</v>
      </c>
      <c r="B1263" s="28" t="str">
        <f>IFERROR(__xludf.DUMMYFUNCTION("""COMPUTED_VALUE"""),"RDV Ministros | Gabriel Mraida - 15/5")</f>
        <v>RDV Ministros | Gabriel Mraida - 15/5</v>
      </c>
      <c r="C1263" s="29" t="str">
        <f>IFERROR(__xludf.DUMMYFUNCTION("""COMPUTED_VALUE"""),"Pieza")</f>
        <v>Pieza</v>
      </c>
      <c r="D1263" s="28" t="str">
        <f>IFERROR(__xludf.DUMMYFUNCTION("""COMPUTED_VALUE"""),"3186-JUNFESGC")</f>
        <v>3186-JUNFESGC</v>
      </c>
      <c r="E1263" s="28" t="str">
        <f>IFERROR(__xludf.DUMMYFUNCTION("""COMPUTED_VALUE"""),"Sorteo Entradas Linda | Life chronicles")</f>
        <v>Sorteo Entradas Linda | Life chronicles</v>
      </c>
      <c r="F1263" s="29" t="str">
        <f>IFERROR(__xludf.DUMMYFUNCTION("""COMPUTED_VALUE"""),"https://www.facebook.com/lindaenvivo/posts/pfbid09kXBonchhUbNRHaBLgWDu9viZES3ekYQrjxFFSuE91tNjXeSEvgQinuY72zthh3pl")</f>
        <v>https://www.facebook.com/lindaenvivo/posts/pfbid09kXBonchhUbNRHaBLgWDu9viZES3ekYQrjxFFSuE91tNjXeSEvgQinuY72zthh3pl</v>
      </c>
    </row>
    <row r="1264">
      <c r="A1264" s="28" t="str">
        <f>IFERROR(__xludf.DUMMYFUNCTION("""COMPUTED_VALUE"""),"3046-MAYSEGVC")</f>
        <v>3046-MAYSEGVC</v>
      </c>
      <c r="B1264" s="28" t="str">
        <f>IFERROR(__xludf.DUMMYFUNCTION("""COMPUTED_VALUE"""),"RDV Ministros | Gabino Tapia 21/5 Comuna 10")</f>
        <v>RDV Ministros | Gabino Tapia 21/5 Comuna 10</v>
      </c>
      <c r="C1264" s="29" t="str">
        <f>IFERROR(__xludf.DUMMYFUNCTION("""COMPUTED_VALUE"""),"Pieza")</f>
        <v>Pieza</v>
      </c>
      <c r="D1264" s="28" t="str">
        <f>IFERROR(__xludf.DUMMYFUNCTION("""COMPUTED_VALUE"""),"3024-MAYINFGJ")</f>
        <v>3024-MAYINFGJ</v>
      </c>
      <c r="E1264" s="28" t="str">
        <f>IFERROR(__xludf.DUMMYFUNCTION("""COMPUTED_VALUE"""),"INFRAESTRUCTURA | RECAP OBRAS CABA")</f>
        <v>INFRAESTRUCTURA | RECAP OBRAS CABA</v>
      </c>
      <c r="F1264" s="29" t="str">
        <f>IFERROR(__xludf.DUMMYFUNCTION("""COMPUTED_VALUE"""),"https://www.facebook.com/reel/2068009630739529/")</f>
        <v>https://www.facebook.com/reel/2068009630739529/</v>
      </c>
    </row>
    <row r="1265">
      <c r="A1265" s="28" t="str">
        <f>IFERROR(__xludf.DUMMYFUNCTION("""COMPUTED_VALUE"""),"3034-MAYJDGAG")</f>
        <v>3034-MAYJDGAG</v>
      </c>
      <c r="B1265" s="28" t="str">
        <f>IFERROR(__xludf.DUMMYFUNCTION("""COMPUTED_VALUE"""),"RDV JM TEMÁTICA | TE CUENTO BS AS 21/05 MOVILIDAD EJE OESTE")</f>
        <v>RDV JM TEMÁTICA | TE CUENTO BS AS 21/05 MOVILIDAD EJE OESTE</v>
      </c>
      <c r="C1265" s="29" t="str">
        <f>IFERROR(__xludf.DUMMYFUNCTION("""COMPUTED_VALUE"""),"Pieza")</f>
        <v>Pieza</v>
      </c>
      <c r="D1265" s="28" t="str">
        <f>IFERROR(__xludf.DUMMYFUNCTION("""COMPUTED_VALUE"""),"3156-JUNJDGAG")</f>
        <v>3156-JUNJDGAG</v>
      </c>
      <c r="E1265" s="28" t="str">
        <f>IFERROR(__xludf.DUMMYFUNCTION("""COMPUTED_VALUE"""),"RDV JM | BOEDO | 12/06")</f>
        <v>RDV JM | BOEDO | 12/06</v>
      </c>
      <c r="F1265" s="29" t="str">
        <f>IFERROR(__xludf.DUMMYFUNCTION("""COMPUTED_VALUE"""),"https://www.facebook.com/reel/3544290305749640")</f>
        <v>https://www.facebook.com/reel/3544290305749640</v>
      </c>
    </row>
    <row r="1266">
      <c r="A1266" s="28" t="str">
        <f>IFERROR(__xludf.DUMMYFUNCTION("""COMPUTED_VALUE"""),"2961-ABRSEGGJ")</f>
        <v>2961-ABRSEGGJ</v>
      </c>
      <c r="B1266" s="28" t="str">
        <f>IFERROR(__xludf.DUMMYFUNCTION("""COMPUTED_VALUE"""),"Campaña ORDEN Y SEGURIDAD 2026")</f>
        <v>Campaña ORDEN Y SEGURIDAD 2026</v>
      </c>
      <c r="C1266" s="29" t="str">
        <f>IFERROR(__xludf.DUMMYFUNCTION("""COMPUTED_VALUE"""),"Pieza")</f>
        <v>Pieza</v>
      </c>
      <c r="D1266" s="28" t="str">
        <f>IFERROR(__xludf.DUMMYFUNCTION("""COMPUTED_VALUE"""),"3146-JUNEDUGC")</f>
        <v>3146-JUNEDUGC</v>
      </c>
      <c r="E1266" s="28" t="str">
        <f>IFERROR(__xludf.DUMMYFUNCTION("""COMPUTED_VALUE"""),"Inscripción - TUMO chacarita")</f>
        <v>Inscripción - TUMO chacarita</v>
      </c>
      <c r="F1266" s="29" t="str">
        <f>IFERROR(__xludf.DUMMYFUNCTION("""COMPUTED_VALUE"""),"https://www.facebook.com/baparticipacion/posts/pfbid037D5wWyZjNg97cDckHgFEvdVpvx7PvEGibc8TBFmc2DQrjtCTs1fS44Akw5kynYeRl")</f>
        <v>https://www.facebook.com/baparticipacion/posts/pfbid037D5wWyZjNg97cDckHgFEvdVpvx7PvEGibc8TBFmc2DQrjtCTs1fS44Akw5kynYeRl</v>
      </c>
    </row>
    <row r="1267">
      <c r="A1267" s="28" t="str">
        <f>IFERROR(__xludf.DUMMYFUNCTION("""COMPUTED_VALUE"""),"3051-MAYSEGGJ")</f>
        <v>3051-MAYSEGGJ</v>
      </c>
      <c r="B1267" s="28" t="str">
        <f>IFERROR(__xludf.DUMMYFUNCTION("""COMPUTED_VALUE"""),"Operativo Tormenta Negra")</f>
        <v>Operativo Tormenta Negra</v>
      </c>
      <c r="C1267" s="29" t="str">
        <f>IFERROR(__xludf.DUMMYFUNCTION("""COMPUTED_VALUE"""),"Pieza")</f>
        <v>Pieza</v>
      </c>
      <c r="D1267" s="28" t="str">
        <f>IFERROR(__xludf.DUMMYFUNCTION("""COMPUTED_VALUE"""),"3104-MAYDECGC")</f>
        <v>3104-MAYDECGC</v>
      </c>
      <c r="E1267" s="28" t="str">
        <f>IFERROR(__xludf.DUMMYFUNCTION("""COMPUTED_VALUE"""),"Encuesta satisfacción La Noche del Obelisco ")</f>
        <v>Encuesta satisfacción La Noche del Obelisco </v>
      </c>
      <c r="F1267" s="29" t="str">
        <f>IFERROR(__xludf.DUMMYFUNCTION("""COMPUTED_VALUE"""),"https://www.facebook.com/GCBA/posts/pfbid02Q2YxCRks1Ca59MFpy4T62W8UZyrKbDhXFonmqY44F2dXSwp69Yp757AgVKfBgPETl")</f>
        <v>https://www.facebook.com/GCBA/posts/pfbid02Q2YxCRks1Ca59MFpy4T62W8UZyrKbDhXFonmqY44F2dXSwp69Yp757AgVKfBgPETl</v>
      </c>
    </row>
    <row r="1268">
      <c r="A1268" s="28" t="str">
        <f>IFERROR(__xludf.DUMMYFUNCTION("""COMPUTED_VALUE"""),"3051-MAYSEGGJ")</f>
        <v>3051-MAYSEGGJ</v>
      </c>
      <c r="B1268" s="28" t="str">
        <f>IFERROR(__xludf.DUMMYFUNCTION("""COMPUTED_VALUE"""),"Operativo Tormenta Negra")</f>
        <v>Operativo Tormenta Negra</v>
      </c>
      <c r="C1268" s="29" t="str">
        <f>IFERROR(__xludf.DUMMYFUNCTION("""COMPUTED_VALUE"""),"Pieza")</f>
        <v>Pieza</v>
      </c>
      <c r="D1268" s="28" t="str">
        <f>IFERROR(__xludf.DUMMYFUNCTION("""COMPUTED_VALUE"""),"3144-JUNSALGC")</f>
        <v>3144-JUNSALGC</v>
      </c>
      <c r="E1268" s="28" t="str">
        <f>IFERROR(__xludf.DUMMYFUNCTION("""COMPUTED_VALUE"""),"Monóxido de Carbono - 2026")</f>
        <v>Monóxido de Carbono - 2026</v>
      </c>
      <c r="F1268" s="29" t="str">
        <f>IFERROR(__xludf.DUMMYFUNCTION("""COMPUTED_VALUE"""),"https://www.facebook.com/GCBA/posts/pfbid0YhueYGpntBgMxwJ72kfke9vjquz5VNdcd1gvDFdyw1CYKUTWgM3YrprNGk6n7F7Bl")</f>
        <v>https://www.facebook.com/GCBA/posts/pfbid0YhueYGpntBgMxwJ72kfke9vjquz5VNdcd1gvDFdyw1CYKUTWgM3YrprNGk6n7F7Bl</v>
      </c>
    </row>
    <row r="1269">
      <c r="A1269" s="28" t="str">
        <f>IFERROR(__xludf.DUMMYFUNCTION("""COMPUTED_VALUE"""),"2961-ABRSEGGJ")</f>
        <v>2961-ABRSEGGJ</v>
      </c>
      <c r="B1269" s="28" t="str">
        <f>IFERROR(__xludf.DUMMYFUNCTION("""COMPUTED_VALUE"""),"Campaña ORDEN Y SEGURIDAD 2026")</f>
        <v>Campaña ORDEN Y SEGURIDAD 2026</v>
      </c>
      <c r="C1269" s="29" t="str">
        <f>IFERROR(__xludf.DUMMYFUNCTION("""COMPUTED_VALUE"""),"Pieza")</f>
        <v>Pieza</v>
      </c>
      <c r="D1269" s="28" t="str">
        <f>IFERROR(__xludf.DUMMYFUNCTION("""COMPUTED_VALUE"""),"2666-FEBINFGC")</f>
        <v>2666-FEBINFGC</v>
      </c>
      <c r="E1269" s="28" t="str">
        <f>IFERROR(__xludf.DUMMYFUNCTION("""COMPUTED_VALUE"""),"Infraestructura I PBN Álvarez Thomas: inicio de obra")</f>
        <v>Infraestructura I PBN Álvarez Thomas: inicio de obra</v>
      </c>
      <c r="F1269" s="29" t="str">
        <f>IFERROR(__xludf.DUMMYFUNCTION("""COMPUTED_VALUE"""),"https://www.facebook.com/GCBA/posts/pfbid0Tdoi5ixpdKLWLRDv5uwSDLEZVc4bC98Nca66g4DVi1yEHuhsv7y8sAw17BkZ9QYAl")</f>
        <v>https://www.facebook.com/GCBA/posts/pfbid0Tdoi5ixpdKLWLRDv5uwSDLEZVc4bC98Nca66g4DVi1yEHuhsv7y8sAw17BkZ9QYAl</v>
      </c>
    </row>
    <row r="1270">
      <c r="A1270" s="28" t="str">
        <f>IFERROR(__xludf.DUMMYFUNCTION("""COMPUTED_VALUE"""),"3039-MAYJDGVC")</f>
        <v>3039-MAYJDGVC</v>
      </c>
      <c r="B1270" s="28" t="str">
        <f>IFERROR(__xludf.DUMMYFUNCTION("""COMPUTED_VALUE"""),"RDV Ministros | Gabriel Sánchéz Zinny - 22/5 - Villa Urquiza")</f>
        <v>RDV Ministros | Gabriel Sánchéz Zinny - 22/5 - Villa Urquiza</v>
      </c>
      <c r="C1270" s="29" t="str">
        <f>IFERROR(__xludf.DUMMYFUNCTION("""COMPUTED_VALUE"""),"Pieza")</f>
        <v>Pieza</v>
      </c>
      <c r="D1270" s="28" t="str">
        <f>IFERROR(__xludf.DUMMYFUNCTION("""COMPUTED_VALUE"""),"3184-JUNEDUGC")</f>
        <v>3184-JUNEDUGC</v>
      </c>
      <c r="E1270" s="28" t="str">
        <f>IFERROR(__xludf.DUMMYFUNCTION("""COMPUTED_VALUE"""),"Educación I Obras en escuelas")</f>
        <v>Educación I Obras en escuelas</v>
      </c>
      <c r="F1270" s="29" t="str">
        <f>IFERROR(__xludf.DUMMYFUNCTION("""COMPUTED_VALUE"""),"https://www.facebook.com/reel/963476160027647")</f>
        <v>https://www.facebook.com/reel/963476160027647</v>
      </c>
    </row>
    <row r="1271">
      <c r="A1271" s="28" t="str">
        <f>IFERROR(__xludf.DUMMYFUNCTION("""COMPUTED_VALUE"""),"3017-MAYAMBGC")</f>
        <v>3017-MAYAMBGC</v>
      </c>
      <c r="B1271" s="28" t="str">
        <f>IFERROR(__xludf.DUMMYFUNCTION("""COMPUTED_VALUE"""),"Animales BA: Nuevos servicios en la web")</f>
        <v>Animales BA: Nuevos servicios en la web</v>
      </c>
      <c r="C1271" s="29" t="str">
        <f>IFERROR(__xludf.DUMMYFUNCTION("""COMPUTED_VALUE"""),"Pieza")</f>
        <v>Pieza</v>
      </c>
      <c r="D1271" s="28" t="str">
        <f>IFERROR(__xludf.DUMMYFUNCTION("""COMPUTED_VALUE"""),"3184-JUNEDUGC")</f>
        <v>3184-JUNEDUGC</v>
      </c>
      <c r="E1271" s="28" t="str">
        <f>IFERROR(__xludf.DUMMYFUNCTION("""COMPUTED_VALUE"""),"Educación I Obras en escuelas")</f>
        <v>Educación I Obras en escuelas</v>
      </c>
      <c r="F1271" s="29" t="str">
        <f>IFERROR(__xludf.DUMMYFUNCTION("""COMPUTED_VALUE"""),"https://www.facebook.com/reel/2733476537035074/")</f>
        <v>https://www.facebook.com/reel/2733476537035074/</v>
      </c>
    </row>
    <row r="1272">
      <c r="A1272" s="28" t="str">
        <f>IFERROR(__xludf.DUMMYFUNCTION("""COMPUTED_VALUE"""),"3014-MAYTURGC")</f>
        <v>3014-MAYTURGC</v>
      </c>
      <c r="B1272" s="28" t="str">
        <f>IFERROR(__xludf.DUMMYFUNCTION("""COMPUTED_VALUE"""),"Sondeo Hotelero | Revolución de mayo 19/5")</f>
        <v>Sondeo Hotelero | Revolución de mayo 19/5</v>
      </c>
      <c r="C1272" s="29" t="str">
        <f>IFERROR(__xludf.DUMMYFUNCTION("""COMPUTED_VALUE"""),"Pieza")</f>
        <v>Pieza</v>
      </c>
      <c r="D1272" s="28" t="str">
        <f>IFERROR(__xludf.DUMMYFUNCTION("""COMPUTED_VALUE"""),"3214-JUNAMBVC")</f>
        <v>3214-JUNAMBVC</v>
      </c>
      <c r="E1272" s="28" t="str">
        <f>IFERROR(__xludf.DUMMYFUNCTION("""COMPUTED_VALUE"""),"CLARA MUZZIO 19/6 PALERMO")</f>
        <v>CLARA MUZZIO 19/6 PALERMO</v>
      </c>
      <c r="F1272" s="29" t="str">
        <f>IFERROR(__xludf.DUMMYFUNCTION("""COMPUTED_VALUE"""),"https://www.facebook.com/baparticipacion/posts/pfbid0321EGt37mCXnC23xuUfcZTrfDWmFiMzCQUjwqnMXJpMNzHrT1tnG2HALHeHoTgDyXl")</f>
        <v>https://www.facebook.com/baparticipacion/posts/pfbid0321EGt37mCXnC23xuUfcZTrfDWmFiMzCQUjwqnMXJpMNzHrT1tnG2HALHeHoTgDyXl</v>
      </c>
    </row>
    <row r="1273">
      <c r="A1273" s="28" t="str">
        <f>IFERROR(__xludf.DUMMYFUNCTION("""COMPUTED_VALUE"""),"3002-MAYSEGVC")</f>
        <v>3002-MAYSEGVC</v>
      </c>
      <c r="B1273" s="28" t="str">
        <f>IFERROR(__xludf.DUMMYFUNCTION("""COMPUTED_VALUE"""),"RDV Ministros | Ruth Landerrecheo 14/5 Comuna 8")</f>
        <v>RDV Ministros | Ruth Landerrecheo 14/5 Comuna 8</v>
      </c>
      <c r="C1273" s="29" t="str">
        <f>IFERROR(__xludf.DUMMYFUNCTION("""COMPUTED_VALUE"""),"Pieza")</f>
        <v>Pieza</v>
      </c>
      <c r="D1273" s="28" t="str">
        <f>IFERROR(__xludf.DUMMYFUNCTION("""COMPUTED_VALUE"""),"3222-JUNEPHVC")</f>
        <v>3222-JUNEPHVC</v>
      </c>
      <c r="E1273" s="28" t="str">
        <f>IFERROR(__xludf.DUMMYFUNCTION("""COMPUTED_VALUE"""),"IGNACIO BAISTROCCHI 22/6 COMUNA 9")</f>
        <v>IGNACIO BAISTROCCHI 22/6 COMUNA 9</v>
      </c>
      <c r="F1273" s="29" t="str">
        <f>IFERROR(__xludf.DUMMYFUNCTION("""COMPUTED_VALUE"""),"https://www.facebook.com/baparticipacion/posts/pfbid02JSro6FKNuoj4uvyZXx5EHrXMwoTS4uThvqZXGWQ3vQgxb67TRXw2nRcEkHWR9eNVl")</f>
        <v>https://www.facebook.com/baparticipacion/posts/pfbid02JSro6FKNuoj4uvyZXx5EHrXMwoTS4uThvqZXGWQ3vQgxb67TRXw2nRcEkHWR9eNVl</v>
      </c>
    </row>
    <row r="1274">
      <c r="A1274" s="28" t="str">
        <f>IFERROR(__xludf.DUMMYFUNCTION("""COMPUTED_VALUE"""),"3021-MAYVINVC")</f>
        <v>3021-MAYVINVC</v>
      </c>
      <c r="B1274" s="28" t="str">
        <f>IFERROR(__xludf.DUMMYFUNCTION("""COMPUTED_VALUE"""),"Más servicios en tu barrio 22/5 Villa Soldati")</f>
        <v>Más servicios en tu barrio 22/5 Villa Soldati</v>
      </c>
      <c r="C1274" s="29" t="str">
        <f>IFERROR(__xludf.DUMMYFUNCTION("""COMPUTED_VALUE"""),"Pieza")</f>
        <v>Pieza</v>
      </c>
      <c r="D1274" s="28" t="str">
        <f>IFERROR(__xludf.DUMMYFUNCTION("""COMPUTED_VALUE"""),"3224-JUNDECVC")</f>
        <v>3224-JUNDECVC</v>
      </c>
      <c r="E1274" s="28" t="str">
        <f>IFERROR(__xludf.DUMMYFUNCTION("""COMPUTED_VALUE"""),"LOMBARDI-TAPIA-PIRAGINE 24/6 EJE OESTE")</f>
        <v>LOMBARDI-TAPIA-PIRAGINE 24/6 EJE OESTE</v>
      </c>
      <c r="F1274" s="29" t="str">
        <f>IFERROR(__xludf.DUMMYFUNCTION("""COMPUTED_VALUE"""),"https://www.facebook.com/baparticipacion/posts/pfbid02LGuHo3AYMjoh7SpohtcvXqENEmnQxe15cNqbzjAnKFtQJKaQXTbb8aG8sa29nbdWl")</f>
        <v>https://www.facebook.com/baparticipacion/posts/pfbid02LGuHo3AYMjoh7SpohtcvXqENEmnQxe15cNqbzjAnKFtQJKaQXTbb8aG8sa29nbdWl</v>
      </c>
    </row>
    <row r="1275">
      <c r="A1275" s="28" t="str">
        <f>IFERROR(__xludf.DUMMYFUNCTION("""COMPUTED_VALUE"""),"3022-MAYVINVC")</f>
        <v>3022-MAYVINVC</v>
      </c>
      <c r="B1275" s="28" t="str">
        <f>IFERROR(__xludf.DUMMYFUNCTION("""COMPUTED_VALUE"""),"Más servicios en tu barrio 22/5 Villa Santa Rita")</f>
        <v>Más servicios en tu barrio 22/5 Villa Santa Rita</v>
      </c>
      <c r="C1275" s="29" t="str">
        <f>IFERROR(__xludf.DUMMYFUNCTION("""COMPUTED_VALUE"""),"Pieza")</f>
        <v>Pieza</v>
      </c>
      <c r="D1275" s="28" t="str">
        <f>IFERROR(__xludf.DUMMYFUNCTION("""COMPUTED_VALUE"""),"3223-JUNEDUVC")</f>
        <v>3223-JUNEDUVC</v>
      </c>
      <c r="E1275" s="28" t="str">
        <f>IFERROR(__xludf.DUMMYFUNCTION("""COMPUTED_VALUE"""),"MERCEDES MIGUEL 23/6 COMUNA 13")</f>
        <v>MERCEDES MIGUEL 23/6 COMUNA 13</v>
      </c>
      <c r="F1275" s="29" t="str">
        <f>IFERROR(__xludf.DUMMYFUNCTION("""COMPUTED_VALUE"""),"https://www.facebook.com/baparticipacion/posts/pfbid02dDTzKg9xjhAVC2WdsjHreqxFyff2zsh7nP49E7r1n24kuEcSLcnJXv9hSybPAvyEl")</f>
        <v>https://www.facebook.com/baparticipacion/posts/pfbid02dDTzKg9xjhAVC2WdsjHreqxFyff2zsh7nP49E7r1n24kuEcSLcnJXv9hSybPAvyEl</v>
      </c>
    </row>
    <row r="1276">
      <c r="A1276" s="28" t="str">
        <f>IFERROR(__xludf.DUMMYFUNCTION("""COMPUTED_VALUE"""),"3052-MAYFESGC")</f>
        <v>3052-MAYFESGC</v>
      </c>
      <c r="B1276" s="28" t="str">
        <f>IFERROR(__xludf.DUMMYFUNCTION("""COMPUTED_VALUE"""),"Sorteo Linda entradas Filarmonica viernes 22/5")</f>
        <v>Sorteo Linda entradas Filarmonica viernes 22/5</v>
      </c>
      <c r="C1276" s="29" t="str">
        <f>IFERROR(__xludf.DUMMYFUNCTION("""COMPUTED_VALUE"""),"Pieza")</f>
        <v>Pieza</v>
      </c>
      <c r="D1276" s="28" t="str">
        <f>IFERROR(__xludf.DUMMYFUNCTION("""COMPUTED_VALUE"""),"3232-JUNDHHVC")</f>
        <v>3232-JUNDHHVC</v>
      </c>
      <c r="E1276" s="28" t="str">
        <f>IFERROR(__xludf.DUMMYFUNCTION("""COMPUTED_VALUE"""),"RDV MINISTROS | GABRIEL MRAIDA 24/6 COMUNA 1")</f>
        <v>RDV MINISTROS | GABRIEL MRAIDA 24/6 COMUNA 1</v>
      </c>
      <c r="F1276" s="29" t="str">
        <f>IFERROR(__xludf.DUMMYFUNCTION("""COMPUTED_VALUE"""),"https://www.facebook.com/baparticipacion/posts/pfbid0AkC4KnzR9iBBuhU6CXSHuh8oigcs8PqAGLqY24QrzkeNApBzBKw5VGLqTzb9C5aWl")</f>
        <v>https://www.facebook.com/baparticipacion/posts/pfbid0AkC4KnzR9iBBuhU6CXSHuh8oigcs8PqAGLqY24QrzkeNApBzBKw5VGLqTzb9C5aWl</v>
      </c>
    </row>
    <row r="1277">
      <c r="A1277" s="28" t="str">
        <f>IFERROR(__xludf.DUMMYFUNCTION("""COMPUTED_VALUE"""),"3048-MAYSEGGJ")</f>
        <v>3048-MAYSEGGJ</v>
      </c>
      <c r="B1277" s="28" t="str">
        <f>IFERROR(__xludf.DUMMYFUNCTION("""COMPUTED_VALUE"""),"Desalojo N°100 en Balvanera")</f>
        <v>Desalojo N°100 en Balvanera</v>
      </c>
      <c r="C1277" s="29" t="str">
        <f>IFERROR(__xludf.DUMMYFUNCTION("""COMPUTED_VALUE"""),"Pieza")</f>
        <v>Pieza</v>
      </c>
      <c r="D1277" s="28" t="str">
        <f>IFERROR(__xludf.DUMMYFUNCTION("""COMPUTED_VALUE"""),"3210-JUNINFGC")</f>
        <v>3210-JUNINFGC</v>
      </c>
      <c r="E1277" s="28" t="str">
        <f>IFERROR(__xludf.DUMMYFUNCTION("""COMPUTED_VALUE"""),"Infraestructura I Activación banners Extensión horaria de Subte NUEVA ESTETICA LINEA D")</f>
        <v>Infraestructura I Activación banners Extensión horaria de Subte NUEVA ESTETICA LINEA D</v>
      </c>
      <c r="F1277" s="29" t="str">
        <f>IFERROR(__xludf.DUMMYFUNCTION("""COMPUTED_VALUE"""),"https://fb.me/adspreview/facebook/2isGbgWtxB7icBB")</f>
        <v>https://fb.me/adspreview/facebook/2isGbgWtxB7icBB</v>
      </c>
    </row>
    <row r="1278">
      <c r="A1278" s="28" t="str">
        <f>IFERROR(__xludf.DUMMYFUNCTION("""COMPUTED_VALUE"""),"3048-MAYSEGGJ")</f>
        <v>3048-MAYSEGGJ</v>
      </c>
      <c r="B1278" s="28" t="str">
        <f>IFERROR(__xludf.DUMMYFUNCTION("""COMPUTED_VALUE"""),"Desalojo N°100 en Balvanera")</f>
        <v>Desalojo N°100 en Balvanera</v>
      </c>
      <c r="C1278" s="29" t="str">
        <f>IFERROR(__xludf.DUMMYFUNCTION("""COMPUTED_VALUE"""),"Pieza")</f>
        <v>Pieza</v>
      </c>
      <c r="D1278" s="28" t="str">
        <f>IFERROR(__xludf.DUMMYFUNCTION("""COMPUTED_VALUE"""),"2496-ENEVINGC")</f>
        <v>2496-ENEVINGC</v>
      </c>
      <c r="E127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78" s="29" t="str">
        <f>IFERROR(__xludf.DUMMYFUNCTION("""COMPUTED_VALUE"""),"https://www.facebook.com/GCBA/posts/pfbid02Ln4X19gNEP6eKE4E2Ruhm7ikNzL8pdfuLwBKMLdUEdRJXQaiQWmLf2pLyTAKJuYbl")</f>
        <v>https://www.facebook.com/GCBA/posts/pfbid02Ln4X19gNEP6eKE4E2Ruhm7ikNzL8pdfuLwBKMLdUEdRJXQaiQWmLf2pLyTAKJuYbl</v>
      </c>
    </row>
    <row r="1279">
      <c r="A1279" s="28" t="str">
        <f>IFERROR(__xludf.DUMMYFUNCTION("""COMPUTED_VALUE"""),"3049-MAYSEGVC")</f>
        <v>3049-MAYSEGVC</v>
      </c>
      <c r="B1279" s="28" t="str">
        <f>IFERROR(__xludf.DUMMYFUNCTION("""COMPUTED_VALUE"""),"RDV MINISTROS SEGURIDAD | RUTH LANDERRECHE 21/5 COMUNA 4")</f>
        <v>RDV MINISTROS SEGURIDAD | RUTH LANDERRECHE 21/5 COMUNA 4</v>
      </c>
      <c r="C1279" s="29" t="str">
        <f>IFERROR(__xludf.DUMMYFUNCTION("""COMPUTED_VALUE"""),"Pieza")</f>
        <v>Pieza</v>
      </c>
      <c r="D1279" s="28" t="str">
        <f>IFERROR(__xludf.DUMMYFUNCTION("""COMPUTED_VALUE"""),"2496-ENEVINGC")</f>
        <v>2496-ENEVINGC</v>
      </c>
      <c r="E127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79" s="29" t="str">
        <f>IFERROR(__xludf.DUMMYFUNCTION("""COMPUTED_VALUE"""),"https://www.facebook.com/GCBA/posts/pfbid0NR5KWhCTLyp9EoiVBQq12h7XLiDd7jHMe5vvYYQ5tZwSdiVYhAxRWSej5kwVDD8ml")</f>
        <v>https://www.facebook.com/GCBA/posts/pfbid0NR5KWhCTLyp9EoiVBQq12h7XLiDd7jHMe5vvYYQ5tZwSdiVYhAxRWSej5kwVDD8ml</v>
      </c>
    </row>
    <row r="1280">
      <c r="A1280" s="28" t="str">
        <f>IFERROR(__xludf.DUMMYFUNCTION("""COMPUTED_VALUE"""),"1921-SEPAMBGC")</f>
        <v>1921-SEPAMBGC</v>
      </c>
      <c r="B1280" s="28" t="str">
        <f>IFERROR(__xludf.DUMMYFUNCTION("""COMPUTED_VALUE"""),"Vacunación Antirrabica Animales")</f>
        <v>Vacunación Antirrabica Animales</v>
      </c>
      <c r="C1280" s="29" t="str">
        <f>IFERROR(__xludf.DUMMYFUNCTION("""COMPUTED_VALUE"""),"Pieza")</f>
        <v>Pieza</v>
      </c>
      <c r="D1280" s="28" t="str">
        <f>IFERROR(__xludf.DUMMYFUNCTION("""COMPUTED_VALUE"""),"2496-ENEVINGC")</f>
        <v>2496-ENEVINGC</v>
      </c>
      <c r="E128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0" s="29" t="str">
        <f>IFERROR(__xludf.DUMMYFUNCTION("""COMPUTED_VALUE"""),"https://www.facebook.com/GCBA/posts/pfbid0bsGmhnfVTWcbRzFYo8cF29iT6RskdNkmq7TrxZsqknpXgTK8r3Rn5HPVCNAtzvB1l")</f>
        <v>https://www.facebook.com/GCBA/posts/pfbid0bsGmhnfVTWcbRzFYo8cF29iT6RskdNkmq7TrxZsqknpXgTK8r3Rn5HPVCNAtzvB1l</v>
      </c>
    </row>
    <row r="1281">
      <c r="A1281" s="28" t="str">
        <f>IFERROR(__xludf.DUMMYFUNCTION("""COMPUTED_VALUE"""),"3047-MAYSEGVC")</f>
        <v>3047-MAYSEGVC</v>
      </c>
      <c r="B1281" s="28" t="str">
        <f>IFERROR(__xludf.DUMMYFUNCTION("""COMPUTED_VALUE"""),"RDV Ministros | Maximiliano Piñeiro Comuna 11")</f>
        <v>RDV Ministros | Maximiliano Piñeiro Comuna 11</v>
      </c>
      <c r="C1281" s="29" t="str">
        <f>IFERROR(__xludf.DUMMYFUNCTION("""COMPUTED_VALUE"""),"Pieza")</f>
        <v>Pieza</v>
      </c>
      <c r="D1281" s="28" t="str">
        <f>IFERROR(__xludf.DUMMYFUNCTION("""COMPUTED_VALUE"""),"2496-ENEVINGC")</f>
        <v>2496-ENEVINGC</v>
      </c>
      <c r="E128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1" s="29" t="str">
        <f>IFERROR(__xludf.DUMMYFUNCTION("""COMPUTED_VALUE"""),"https://www.facebook.com/GCBA/posts/pfbid0xKjM4LTwRYmWcPrifhJ5CdzFYWPzvztWoYBfZ7wABLGhrRmoXrdFwnkAMSBPvYWWl")</f>
        <v>https://www.facebook.com/GCBA/posts/pfbid0xKjM4LTwRYmWcPrifhJ5CdzFYWPzvztWoYBfZ7wABLGhrRmoXrdFwnkAMSBPvYWWl</v>
      </c>
    </row>
    <row r="1282">
      <c r="A1282" s="28" t="str">
        <f>IFERROR(__xludf.DUMMYFUNCTION("""COMPUTED_VALUE"""),"3034-MAYJDGAG")</f>
        <v>3034-MAYJDGAG</v>
      </c>
      <c r="B1282" s="28" t="str">
        <f>IFERROR(__xludf.DUMMYFUNCTION("""COMPUTED_VALUE"""),"RDV JM TEMÁTICA | TE CUENTO BS AS 21/05 MOVILIDAD EJE OESTE")</f>
        <v>RDV JM TEMÁTICA | TE CUENTO BS AS 21/05 MOVILIDAD EJE OESTE</v>
      </c>
      <c r="C1282" s="29" t="str">
        <f>IFERROR(__xludf.DUMMYFUNCTION("""COMPUTED_VALUE"""),"Pieza")</f>
        <v>Pieza</v>
      </c>
      <c r="D1282" s="28" t="str">
        <f>IFERROR(__xludf.DUMMYFUNCTION("""COMPUTED_VALUE"""),"2496-ENEVINGC")</f>
        <v>2496-ENEVINGC</v>
      </c>
      <c r="E128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2" s="29" t="str">
        <f>IFERROR(__xludf.DUMMYFUNCTION("""COMPUTED_VALUE"""),"https://www.facebook.com/GCBA/posts/pfbid02z82SAfLYap92jjhR2ukoXQBgpAZNxaXGR8a8qbkaGS71Dz8hpx3kXeYwxNQzDpNUl")</f>
        <v>https://www.facebook.com/GCBA/posts/pfbid02z82SAfLYap92jjhR2ukoXQBgpAZNxaXGR8a8qbkaGS71Dz8hpx3kXeYwxNQzDpNUl</v>
      </c>
    </row>
    <row r="1283">
      <c r="A1283" s="28" t="str">
        <f>IFERROR(__xludf.DUMMYFUNCTION("""COMPUTED_VALUE"""),"2815-ABRCULGC")</f>
        <v>2815-ABRCULGC</v>
      </c>
      <c r="B1283" s="28" t="str">
        <f>IFERROR(__xludf.DUMMYFUNCTION("""COMPUTED_VALUE"""),"Feria del Libro 2026")</f>
        <v>Feria del Libro 2026</v>
      </c>
      <c r="C1283" s="29" t="str">
        <f>IFERROR(__xludf.DUMMYFUNCTION("""COMPUTED_VALUE"""),"Pieza")</f>
        <v>Pieza</v>
      </c>
      <c r="D1283" s="28" t="str">
        <f>IFERROR(__xludf.DUMMYFUNCTION("""COMPUTED_VALUE"""),"2496-ENEVINGC")</f>
        <v>2496-ENEVINGC</v>
      </c>
      <c r="E128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283" s="29" t="str">
        <f>IFERROR(__xludf.DUMMYFUNCTION("""COMPUTED_VALUE"""),"https://www.facebook.com/GCBA/posts/pfbid02T5v4qKgU7QdkQ74BompjV9MukcpHtX2Duj4jEoqA4NmFSqFEnNNub6XEq2JLrffrl")</f>
        <v>https://www.facebook.com/GCBA/posts/pfbid02T5v4qKgU7QdkQ74BompjV9MukcpHtX2Duj4jEoqA4NmFSqFEnNNub6XEq2JLrffrl</v>
      </c>
    </row>
    <row r="1284">
      <c r="A1284" s="28" t="str">
        <f>IFERROR(__xludf.DUMMYFUNCTION("""COMPUTED_VALUE"""),"3060-MAYINFGC")</f>
        <v>3060-MAYINFGC</v>
      </c>
      <c r="B1284" s="28" t="str">
        <f>IFERROR(__xludf.DUMMYFUNCTION("""COMPUTED_VALUE"""),"Infraestructura I Modificación de reglamentación de estacionamiento")</f>
        <v>Infraestructura I Modificación de reglamentación de estacionamiento</v>
      </c>
      <c r="C1284" s="29" t="str">
        <f>IFERROR(__xludf.DUMMYFUNCTION("""COMPUTED_VALUE"""),"Pieza")</f>
        <v>Pieza</v>
      </c>
      <c r="D1284" s="28" t="str">
        <f>IFERROR(__xludf.DUMMYFUNCTION("""COMPUTED_VALUE"""),"3139-JUNDHHGC")</f>
        <v>3139-JUNDHHGC</v>
      </c>
      <c r="E1284" s="28" t="str">
        <f>IFERROR(__xludf.DUMMYFUNCTION("""COMPUTED_VALUE"""),"Programas y Actividades para personas mayores")</f>
        <v>Programas y Actividades para personas mayores</v>
      </c>
      <c r="F1284" s="29" t="str">
        <f>IFERROR(__xludf.DUMMYFUNCTION("""COMPUTED_VALUE"""),"https://www.facebook.com/GCBA/posts/pfbid0ST19UoqhurJhZPhq7dJfEkZrJhyH4rZPrLJ7W6zqymdatS9zfuz5QK26T3aXaWbkl")</f>
        <v>https://www.facebook.com/GCBA/posts/pfbid0ST19UoqhurJhZPhq7dJfEkZrJhyH4rZPrLJ7W6zqymdatS9zfuz5QK26T3aXaWbkl</v>
      </c>
    </row>
    <row r="1285">
      <c r="A1285" s="28" t="str">
        <f>IFERROR(__xludf.DUMMYFUNCTION("""COMPUTED_VALUE"""),"3034-MAYJDGAG")</f>
        <v>3034-MAYJDGAG</v>
      </c>
      <c r="B1285" s="28" t="str">
        <f>IFERROR(__xludf.DUMMYFUNCTION("""COMPUTED_VALUE"""),"RDV JM TEMÁTICA | TE CUENTO BS AS 21/05 MOVILIDAD EJE OESTE")</f>
        <v>RDV JM TEMÁTICA | TE CUENTO BS AS 21/05 MOVILIDAD EJE OESTE</v>
      </c>
      <c r="C1285" s="29" t="str">
        <f>IFERROR(__xludf.DUMMYFUNCTION("""COMPUTED_VALUE"""),"Pieza")</f>
        <v>Pieza</v>
      </c>
      <c r="D1285" s="28" t="str">
        <f>IFERROR(__xludf.DUMMYFUNCTION("""COMPUTED_VALUE"""),"3237-JUNSALCG")</f>
        <v>3237-JUNSALCG</v>
      </c>
      <c r="E1285" s="28" t="str">
        <f>IFERROR(__xludf.DUMMYFUNCTION("""COMPUTED_VALUE"""),"Contenido Adicional Salud I Prioridad porteños")</f>
        <v>Contenido Adicional Salud I Prioridad porteños</v>
      </c>
      <c r="F1285" s="29" t="str">
        <f>IFERROR(__xludf.DUMMYFUNCTION("""COMPUTED_VALUE"""),"https://www.facebook.com/GCBA/posts/pfbid0b4e3p1kdCqSay8vtiHJSCCVLY7GjUq3R1LwXjZ4orfdwFFTNqqNXeh8NDwZcZNoTl")</f>
        <v>https://www.facebook.com/GCBA/posts/pfbid0b4e3p1kdCqSay8vtiHJSCCVLY7GjUq3R1LwXjZ4orfdwFFTNqqNXeh8NDwZcZNoTl</v>
      </c>
    </row>
    <row r="1286">
      <c r="A1286" s="28" t="str">
        <f>IFERROR(__xludf.DUMMYFUNCTION("""COMPUTED_VALUE"""),"3064-MAYINFGC")</f>
        <v>3064-MAYINFGC</v>
      </c>
      <c r="B1286" s="28" t="str">
        <f>IFERROR(__xludf.DUMMYFUNCTION("""COMPUTED_VALUE""")," Infraestructura I Habilitación Puente Río Negro AU Dellepiane")</f>
        <v> Infraestructura I Habilitación Puente Río Negro AU Dellepiane</v>
      </c>
      <c r="C1286" s="29" t="str">
        <f>IFERROR(__xludf.DUMMYFUNCTION("""COMPUTED_VALUE"""),"Pieza")</f>
        <v>Pieza</v>
      </c>
      <c r="D1286" s="28" t="str">
        <f>IFERROR(__xludf.DUMMYFUNCTION("""COMPUTED_VALUE"""),"3220-JUNSEGGJ")</f>
        <v>3220-JUNSEGGJ</v>
      </c>
      <c r="E1286" s="28" t="str">
        <f>IFERROR(__xludf.DUMMYFUNCTION("""COMPUTED_VALUE"""),"Sesiones Legislativas | Temas: Trapitos + VTV")</f>
        <v>Sesiones Legislativas | Temas: Trapitos + VTV</v>
      </c>
      <c r="F1286" s="29" t="str">
        <f>IFERROR(__xludf.DUMMYFUNCTION("""COMPUTED_VALUE"""),"https://www.facebook.com/GCBA/posts/pfbid0SCv36fUn9suSse5UeEgMhVjYT6xS8nEu9sNA4EDWjSv4HxcYY4oCzaUMJs2J9HQbl")</f>
        <v>https://www.facebook.com/GCBA/posts/pfbid0SCv36fUn9suSse5UeEgMhVjYT6xS8nEu9sNA4EDWjSv4HxcYY4oCzaUMJs2J9HQbl</v>
      </c>
    </row>
    <row r="1287">
      <c r="A1287" s="28" t="str">
        <f>IFERROR(__xludf.DUMMYFUNCTION("""COMPUTED_VALUE"""),"3051-MAYSEGGJ")</f>
        <v>3051-MAYSEGGJ</v>
      </c>
      <c r="B1287" s="28" t="str">
        <f>IFERROR(__xludf.DUMMYFUNCTION("""COMPUTED_VALUE"""),"Operativo Tormenta Negra")</f>
        <v>Operativo Tormenta Negra</v>
      </c>
      <c r="C1287" s="29" t="str">
        <f>IFERROR(__xludf.DUMMYFUNCTION("""COMPUTED_VALUE"""),"Pieza")</f>
        <v>Pieza</v>
      </c>
      <c r="D1287" s="28" t="str">
        <f>IFERROR(__xludf.DUMMYFUNCTION("""COMPUTED_VALUE"""),"3202-JUNJDGAG")</f>
        <v>3202-JUNJDGAG</v>
      </c>
      <c r="E1287" s="28" t="str">
        <f>IFERROR(__xludf.DUMMYFUNCTION("""COMPUTED_VALUE"""),"1 A 1 JM | COMUNA 5 17/06")</f>
        <v>1 A 1 JM | COMUNA 5 17/06</v>
      </c>
      <c r="F1287" s="29" t="str">
        <f>IFERROR(__xludf.DUMMYFUNCTION("""COMPUTED_VALUE"""),"https://www.facebook.com/reel/1680003459878017")</f>
        <v>https://www.facebook.com/reel/1680003459878017</v>
      </c>
    </row>
    <row r="1288">
      <c r="A1288" s="28" t="str">
        <f>IFERROR(__xludf.DUMMYFUNCTION("""COMPUTED_VALUE"""),"3051-MAYSEGGJ")</f>
        <v>3051-MAYSEGGJ</v>
      </c>
      <c r="B1288" s="28" t="str">
        <f>IFERROR(__xludf.DUMMYFUNCTION("""COMPUTED_VALUE"""),"Operativo Tormenta Negra")</f>
        <v>Operativo Tormenta Negra</v>
      </c>
      <c r="C1288" s="29" t="str">
        <f>IFERROR(__xludf.DUMMYFUNCTION("""COMPUTED_VALUE"""),"Pieza")</f>
        <v>Pieza</v>
      </c>
      <c r="D1288" s="28" t="str">
        <f>IFERROR(__xludf.DUMMYFUNCTION("""COMPUTED_VALUE"""),"3215-JUNSEGGJ")</f>
        <v>3215-JUNSEGGJ</v>
      </c>
      <c r="E1288" s="28" t="str">
        <f>IFERROR(__xludf.DUMMYFUNCTION("""COMPUTED_VALUE"""),"Desalojo de casa tomada en PP: Atuel 255")</f>
        <v>Desalojo de casa tomada en PP: Atuel 255</v>
      </c>
      <c r="F1288" s="29" t="str">
        <f>IFERROR(__xludf.DUMMYFUNCTION("""COMPUTED_VALUE"""),"https://www.facebook.com/reel/1739191770421854/")</f>
        <v>https://www.facebook.com/reel/1739191770421854/</v>
      </c>
    </row>
    <row r="1289">
      <c r="A1289" s="28" t="str">
        <f>IFERROR(__xludf.DUMMYFUNCTION("""COMPUTED_VALUE"""),"3050-MAYSEGVC")</f>
        <v>3050-MAYSEGVC</v>
      </c>
      <c r="B1289" s="28" t="str">
        <f>IFERROR(__xludf.DUMMYFUNCTION("""COMPUTED_VALUE"""),"RDV MINISTROS SEGURIDAD | HORACIO GIMÉNEZ 21/5 COMUNA 8")</f>
        <v>RDV MINISTROS SEGURIDAD | HORACIO GIMÉNEZ 21/5 COMUNA 8</v>
      </c>
      <c r="C1289" s="29" t="str">
        <f>IFERROR(__xludf.DUMMYFUNCTION("""COMPUTED_VALUE"""),"Pieza")</f>
        <v>Pieza</v>
      </c>
      <c r="D1289" s="28" t="str">
        <f>IFERROR(__xludf.DUMMYFUNCTION("""COMPUTED_VALUE"""),"3215-JUNSEGGJ")</f>
        <v>3215-JUNSEGGJ</v>
      </c>
      <c r="E1289" s="28" t="str">
        <f>IFERROR(__xludf.DUMMYFUNCTION("""COMPUTED_VALUE"""),"Desalojo de casa tomada en PP: Atuel 255")</f>
        <v>Desalojo de casa tomada en PP: Atuel 255</v>
      </c>
      <c r="F1289" s="29" t="str">
        <f>IFERROR(__xludf.DUMMYFUNCTION("""COMPUTED_VALUE"""),"https://www.facebook.com/reel/1739191770421854/")</f>
        <v>https://www.facebook.com/reel/1739191770421854/</v>
      </c>
    </row>
    <row r="1290">
      <c r="A1290" s="28" t="str">
        <f>IFERROR(__xludf.DUMMYFUNCTION("""COMPUTED_VALUE"""),"2961-ABRSEGGJ")</f>
        <v>2961-ABRSEGGJ</v>
      </c>
      <c r="B1290" s="28" t="str">
        <f>IFERROR(__xludf.DUMMYFUNCTION("""COMPUTED_VALUE"""),"Campaña ORDEN Y SEGURIDAD 2026")</f>
        <v>Campaña ORDEN Y SEGURIDAD 2026</v>
      </c>
      <c r="C1290" s="29" t="str">
        <f>IFERROR(__xludf.DUMMYFUNCTION("""COMPUTED_VALUE"""),"Pieza")</f>
        <v>Pieza</v>
      </c>
      <c r="D1290" s="28" t="str">
        <f>IFERROR(__xludf.DUMMYFUNCTION("""COMPUTED_VALUE"""),"3220-JUNSEGGJ")</f>
        <v>3220-JUNSEGGJ</v>
      </c>
      <c r="E1290" s="28" t="str">
        <f>IFERROR(__xludf.DUMMYFUNCTION("""COMPUTED_VALUE"""),"Sesiones Legislativas | Temas: Trapitos + VTV")</f>
        <v>Sesiones Legislativas | Temas: Trapitos + VTV</v>
      </c>
      <c r="F1290" s="29" t="str">
        <f>IFERROR(__xludf.DUMMYFUNCTION("""COMPUTED_VALUE"""),"https://www.facebook.com/reel/2391073264716114")</f>
        <v>https://www.facebook.com/reel/2391073264716114</v>
      </c>
    </row>
    <row r="1291">
      <c r="A1291" s="28" t="str">
        <f>IFERROR(__xludf.DUMMYFUNCTION("""COMPUTED_VALUE"""),"2972-MAYSEGGC")</f>
        <v>2972-MAYSEGGC</v>
      </c>
      <c r="B1291" s="28" t="str">
        <f>IFERROR(__xludf.DUMMYFUNCTION("""COMPUTED_VALUE"""),"Compactación de autos abandonados")</f>
        <v>Compactación de autos abandonados</v>
      </c>
      <c r="C1291" s="29" t="str">
        <f>IFERROR(__xludf.DUMMYFUNCTION("""COMPUTED_VALUE"""),"Pieza")</f>
        <v>Pieza</v>
      </c>
      <c r="D1291" s="28" t="str">
        <f>IFERROR(__xludf.DUMMYFUNCTION("""COMPUTED_VALUE"""),"3231-JUNJDGAG")</f>
        <v>3231-JUNJDGAG</v>
      </c>
      <c r="E1291" s="28" t="str">
        <f>IFERROR(__xludf.DUMMYFUNCTION("""COMPUTED_VALUE"""),"1 A 1 JM |  24/06 COMUNA 10")</f>
        <v>1 A 1 JM |  24/06 COMUNA 10</v>
      </c>
      <c r="F1291" s="29" t="str">
        <f>IFERROR(__xludf.DUMMYFUNCTION("""COMPUTED_VALUE"""),"https://www.facebook.com/GCBA/posts/pfbid037MiiHWnSJuAZbmEN4MWTeQWEiyEjLemT7MWQ7YXNnyJyeft5nCp6qUnvRCj7uv2Yl")</f>
        <v>https://www.facebook.com/GCBA/posts/pfbid037MiiHWnSJuAZbmEN4MWTeQWEiyEjLemT7MWQ7YXNnyJyeft5nCp6qUnvRCj7uv2Yl</v>
      </c>
    </row>
    <row r="1292">
      <c r="A1292" s="28" t="str">
        <f>IFERROR(__xludf.DUMMYFUNCTION("""COMPUTED_VALUE"""),"3017-MAYAMBGC")</f>
        <v>3017-MAYAMBGC</v>
      </c>
      <c r="B1292" s="28" t="str">
        <f>IFERROR(__xludf.DUMMYFUNCTION("""COMPUTED_VALUE"""),"Animales BA: Nuevos servicios en la web")</f>
        <v>Animales BA: Nuevos servicios en la web</v>
      </c>
      <c r="C1292" s="29" t="str">
        <f>IFERROR(__xludf.DUMMYFUNCTION("""COMPUTED_VALUE"""),"Pieza")</f>
        <v>Pieza</v>
      </c>
      <c r="D1292" s="28" t="str">
        <f>IFERROR(__xludf.DUMMYFUNCTION("""COMPUTED_VALUE"""),"3236-JUNINFGC")</f>
        <v>3236-JUNINFGC</v>
      </c>
      <c r="E1292" s="28" t="str">
        <f>IFERROR(__xludf.DUMMYFUNCTION("""COMPUTED_VALUE"""),"CORTES Y DESVÍOS POR PASO A NIVEL CHIVILCOY (VILLA DEVOTO)")</f>
        <v>CORTES Y DESVÍOS POR PASO A NIVEL CHIVILCOY (VILLA DEVOTO)</v>
      </c>
      <c r="F1292" s="29" t="str">
        <f>IFERROR(__xludf.DUMMYFUNCTION("""COMPUTED_VALUE"""),"https://fb.me/adspreview/facebook/22CmxRCVtbzCnkb")</f>
        <v>https://fb.me/adspreview/facebook/22CmxRCVtbzCnkb</v>
      </c>
    </row>
    <row r="1293">
      <c r="A1293" s="28" t="str">
        <f>IFERROR(__xludf.DUMMYFUNCTION("""COMPUTED_VALUE"""),"3046-MAYSEGVC")</f>
        <v>3046-MAYSEGVC</v>
      </c>
      <c r="B1293" s="28" t="str">
        <f>IFERROR(__xludf.DUMMYFUNCTION("""COMPUTED_VALUE"""),"RDV Ministros | Gabino Tapia 21/5 Comuna 10")</f>
        <v>RDV Ministros | Gabino Tapia 21/5 Comuna 10</v>
      </c>
      <c r="C1293" s="29" t="str">
        <f>IFERROR(__xludf.DUMMYFUNCTION("""COMPUTED_VALUE"""),"Pieza")</f>
        <v>Pieza</v>
      </c>
      <c r="D1293" s="28" t="str">
        <f>IFERROR(__xludf.DUMMYFUNCTION("""COMPUTED_VALUE"""),"3234-JUNINFGC")</f>
        <v>3234-JUNINFGC</v>
      </c>
      <c r="E1293" s="28" t="str">
        <f>IFERROR(__xludf.DUMMYFUNCTION("""COMPUTED_VALUE"""),"CORTES Y DESVÍOS POR EVENTO DEPORTIVO 21 K OLÍMPICOS")</f>
        <v>CORTES Y DESVÍOS POR EVENTO DEPORTIVO 21 K OLÍMPICOS</v>
      </c>
      <c r="F1293" s="29" t="str">
        <f>IFERROR(__xludf.DUMMYFUNCTION("""COMPUTED_VALUE"""),"https://fb.me/adspreview/facebook/26tQ7QVYkRlhgEw")</f>
        <v>https://fb.me/adspreview/facebook/26tQ7QVYkRlhgEw</v>
      </c>
    </row>
    <row r="1294">
      <c r="A1294" s="28" t="str">
        <f>IFERROR(__xludf.DUMMYFUNCTION("""COMPUTED_VALUE"""),"3053-MAYFESGC")</f>
        <v>3053-MAYFESGC</v>
      </c>
      <c r="B1294" s="28" t="str">
        <f>IFERROR(__xludf.DUMMYFUNCTION("""COMPUTED_VALUE"""),"Sorteo Linda entradas Complejo sabado Teatral 23/5")</f>
        <v>Sorteo Linda entradas Complejo sabado Teatral 23/5</v>
      </c>
      <c r="C1294" s="29" t="str">
        <f>IFERROR(__xludf.DUMMYFUNCTION("""COMPUTED_VALUE"""),"Pieza")</f>
        <v>Pieza</v>
      </c>
      <c r="D1294" s="28" t="str">
        <f>IFERROR(__xludf.DUMMYFUNCTION("""COMPUTED_VALUE"""),"3235-JUNINFGC")</f>
        <v>3235-JUNINFGC</v>
      </c>
      <c r="E1294" s="28" t="str">
        <f>IFERROR(__xludf.DUMMYFUNCTION("""COMPUTED_VALUE"""),"CORTES Y DESVÍOS AU DELLEPIANE POR MONTAJE DE PASARELA")</f>
        <v>CORTES Y DESVÍOS AU DELLEPIANE POR MONTAJE DE PASARELA</v>
      </c>
      <c r="F1294" s="29" t="str">
        <f>IFERROR(__xludf.DUMMYFUNCTION("""COMPUTED_VALUE"""),"https://fb.me/adspreview/facebook/2qUC8erS5AyVmEE")</f>
        <v>https://fb.me/adspreview/facebook/2qUC8erS5AyVmEE</v>
      </c>
    </row>
    <row r="1295">
      <c r="A1295" s="28" t="str">
        <f>IFERROR(__xludf.DUMMYFUNCTION("""COMPUTED_VALUE"""),"3052-MAYFESGC")</f>
        <v>3052-MAYFESGC</v>
      </c>
      <c r="B1295" s="28" t="str">
        <f>IFERROR(__xludf.DUMMYFUNCTION("""COMPUTED_VALUE"""),"Sorteo Linda entradas Filarmonica viernes 22/5")</f>
        <v>Sorteo Linda entradas Filarmonica viernes 22/5</v>
      </c>
      <c r="C1295" s="29" t="str">
        <f>IFERROR(__xludf.DUMMYFUNCTION("""COMPUTED_VALUE"""),"Pieza")</f>
        <v>Pieza</v>
      </c>
      <c r="D1295" s="28" t="str">
        <f>IFERROR(__xludf.DUMMYFUNCTION("""COMPUTED_VALUE"""),"3197-JUNJUSGC")</f>
        <v>3197-JUNJUSGC</v>
      </c>
      <c r="E1295" s="28" t="str">
        <f>IFERROR(__xludf.DUMMYFUNCTION("""COMPUTED_VALUE"""),"INSCRIPCIONES SERVICIO PENITENCIARIO")</f>
        <v>INSCRIPCIONES SERVICIO PENITENCIARIO</v>
      </c>
      <c r="F1295" s="29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296">
      <c r="A1296" s="28" t="str">
        <f>IFERROR(__xludf.DUMMYFUNCTION("""COMPUTED_VALUE"""),"3043-MAYINFGC")</f>
        <v>3043-MAYINFGC</v>
      </c>
      <c r="B1296" s="28" t="str">
        <f>IFERROR(__xludf.DUMMYFUNCTION("""COMPUTED_VALUE"""),"INFRAESTRUCTURA I Corte AU Dellepiane por obras hidráulicas")</f>
        <v>INFRAESTRUCTURA I Corte AU Dellepiane por obras hidráulicas</v>
      </c>
      <c r="C1296" s="29" t="str">
        <f>IFERROR(__xludf.DUMMYFUNCTION("""COMPUTED_VALUE"""),"Pieza")</f>
        <v>Pieza</v>
      </c>
      <c r="D1296" s="28" t="str">
        <f>IFERROR(__xludf.DUMMYFUNCTION("""COMPUTED_VALUE"""),"3240-JUNSEGVC")</f>
        <v>3240-JUNSEGVC</v>
      </c>
      <c r="E1296" s="28" t="str">
        <f>IFERROR(__xludf.DUMMYFUNCTION("""COMPUTED_VALUE"""),"RDV Ministros | Ruth Landerrece 25/6 Comuna 13")</f>
        <v>RDV Ministros | Ruth Landerrece 25/6 Comuna 13</v>
      </c>
      <c r="F1296" s="29" t="str">
        <f>IFERROR(__xludf.DUMMYFUNCTION("""COMPUTED_VALUE"""),"https://www.facebook.com/baparticipacion/posts/pfbid02WG9qdDvGGcxL9cvnqRGU2tutBeSufD7CYVK55FL34L5Zz81iuVtzo5eXcc1BPgptl")</f>
        <v>https://www.facebook.com/baparticipacion/posts/pfbid02WG9qdDvGGcxL9cvnqRGU2tutBeSufD7CYVK55FL34L5Zz81iuVtzo5eXcc1BPgptl</v>
      </c>
    </row>
    <row r="1297">
      <c r="A1297" s="28" t="str">
        <f>IFERROR(__xludf.DUMMYFUNCTION("""COMPUTED_VALUE"""),"2998-MAYFESGC")</f>
        <v>2998-MAYFESGC</v>
      </c>
      <c r="B1297" s="28" t="str">
        <f>IFERROR(__xludf.DUMMYFUNCTION("""COMPUTED_VALUE"""),"La noche del Obelisco : 90 años")</f>
        <v>La noche del Obelisco : 90 años</v>
      </c>
      <c r="C1297" s="29" t="str">
        <f>IFERROR(__xludf.DUMMYFUNCTION("""COMPUTED_VALUE"""),"Pieza")</f>
        <v>Pieza</v>
      </c>
      <c r="D1297" s="28" t="str">
        <f>IFERROR(__xludf.DUMMYFUNCTION("""COMPUTED_VALUE"""),"3241-JUNSEGVC")</f>
        <v>3241-JUNSEGVC</v>
      </c>
      <c r="E1297" s="28" t="str">
        <f>IFERROR(__xludf.DUMMYFUNCTION("""COMPUTED_VALUE"""),"RDV Ministros | Horacio Gimenez  25/6 Comuna 14")</f>
        <v>RDV Ministros | Horacio Gimenez  25/6 Comuna 14</v>
      </c>
      <c r="F1297" s="29" t="str">
        <f>IFERROR(__xludf.DUMMYFUNCTION("""COMPUTED_VALUE"""),"https://www.facebook.com/baparticipacion/posts/pfbid02DnZgeeMBCDtZf7ce2QRBReuqmNbgkG4184fUgsZLfnguymsSr4nRaT9fY5Zfety7l")</f>
        <v>https://www.facebook.com/baparticipacion/posts/pfbid02DnZgeeMBCDtZf7ce2QRBReuqmNbgkG4184fUgsZLfnguymsSr4nRaT9fY5Zfety7l</v>
      </c>
    </row>
    <row r="1298">
      <c r="A1298" s="28" t="str">
        <f>IFERROR(__xludf.DUMMYFUNCTION("""COMPUTED_VALUE"""),"3072-MAYCULVC")</f>
        <v>3072-MAYCULVC</v>
      </c>
      <c r="B1298" s="28" t="str">
        <f>IFERROR(__xludf.DUMMYFUNCTION("""COMPUTED_VALUE"""),"RDV Ministros | Gabriela Ricardes 26/5 Comuna 5")</f>
        <v>RDV Ministros | Gabriela Ricardes 26/5 Comuna 5</v>
      </c>
      <c r="C1298" s="29" t="str">
        <f>IFERROR(__xludf.DUMMYFUNCTION("""COMPUTED_VALUE"""),"Pieza")</f>
        <v>Pieza</v>
      </c>
      <c r="D1298" s="28" t="str">
        <f>IFERROR(__xludf.DUMMYFUNCTION("""COMPUTED_VALUE"""),"3239-JUNSEGVC")</f>
        <v>3239-JUNSEGVC</v>
      </c>
      <c r="E1298" s="28" t="str">
        <f>IFERROR(__xludf.DUMMYFUNCTION("""COMPUTED_VALUE"""),"RDV Ministros | Maximiliano Piñeiro 25/6 Comuna 12")</f>
        <v>RDV Ministros | Maximiliano Piñeiro 25/6 Comuna 12</v>
      </c>
      <c r="F1298" s="29" t="str">
        <f>IFERROR(__xludf.DUMMYFUNCTION("""COMPUTED_VALUE"""),"https://www.facebook.com/baparticipacion/posts/pfbid02S3JZwcAT2QCRPGavfdj36Ff7GYhqYXebVRTUJarmHgb7qDRbUF2FW6s4chXjBynnl")</f>
        <v>https://www.facebook.com/baparticipacion/posts/pfbid02S3JZwcAT2QCRPGavfdj36Ff7GYhqYXebVRTUJarmHgb7qDRbUF2FW6s4chXjBynnl</v>
      </c>
    </row>
    <row r="1299">
      <c r="A1299" s="28" t="str">
        <f>IFERROR(__xludf.DUMMYFUNCTION("""COMPUTED_VALUE"""),"3038-MAYJDGVC")</f>
        <v>3038-MAYJDGVC</v>
      </c>
      <c r="B1299" s="28" t="str">
        <f>IFERROR(__xludf.DUMMYFUNCTION("""COMPUTED_VALUE"""),"RDV Ministros | Gabriel Sánchez Zinny - 19/5 - Recoleta")</f>
        <v>RDV Ministros | Gabriel Sánchez Zinny - 19/5 - Recoleta</v>
      </c>
      <c r="C1299" s="29" t="str">
        <f>IFERROR(__xludf.DUMMYFUNCTION("""COMPUTED_VALUE"""),"Pieza")</f>
        <v>Pieza</v>
      </c>
      <c r="D1299" s="28" t="str">
        <f>IFERROR(__xludf.DUMMYFUNCTION("""COMPUTED_VALUE"""),"3246-JUNAMBVC")</f>
        <v>3246-JUNAMBVC</v>
      </c>
      <c r="E1299" s="28" t="str">
        <f>IFERROR(__xludf.DUMMYFUNCTION("""COMPUTED_VALUE"""),"RDV Ministros | Clara Muzzio - 26/6 - Temática")</f>
        <v>RDV Ministros | Clara Muzzio - 26/6 - Temática</v>
      </c>
      <c r="F1299" s="29" t="str">
        <f>IFERROR(__xludf.DUMMYFUNCTION("""COMPUTED_VALUE"""),"https://www.facebook.com/baparticipacion/posts/pfbid0srFKWoDRckyinLXUSPUHxt84fw2YQ18pC2hLHNdh2DLZtcrJAN5HNqLoeLJgFRVel")</f>
        <v>https://www.facebook.com/baparticipacion/posts/pfbid0srFKWoDRckyinLXUSPUHxt84fw2YQ18pC2hLHNdh2DLZtcrJAN5HNqLoeLJgFRVel</v>
      </c>
    </row>
    <row r="1300">
      <c r="A1300" s="28" t="str">
        <f>IFERROR(__xludf.DUMMYFUNCTION("""COMPUTED_VALUE"""),"3029-MAYSEGGJ")</f>
        <v>3029-MAYSEGGJ</v>
      </c>
      <c r="B1300" s="28" t="str">
        <f>IFERROR(__xludf.DUMMYFUNCTION("""COMPUTED_VALUE""")," Seguridad I Desmantelamiento búnker en la Villa 31")</f>
        <v> Seguridad I Desmantelamiento búnker en la Villa 31</v>
      </c>
      <c r="C1300" s="29" t="str">
        <f>IFERROR(__xludf.DUMMYFUNCTION("""COMPUTED_VALUE"""),"Pieza")</f>
        <v>Pieza</v>
      </c>
      <c r="D1300" s="28" t="str">
        <f>IFERROR(__xludf.DUMMYFUNCTION("""COMPUTED_VALUE"""),"3247-JUNSALVC")</f>
        <v>3247-JUNSALVC</v>
      </c>
      <c r="E1300" s="28" t="str">
        <f>IFERROR(__xludf.DUMMYFUNCTION("""COMPUTED_VALUE"""),"RDV Ministros | Fernán Quirós - 26/6 ")</f>
        <v>RDV Ministros | Fernán Quirós - 26/6 </v>
      </c>
      <c r="F1300" s="29" t="str">
        <f>IFERROR(__xludf.DUMMYFUNCTION("""COMPUTED_VALUE"""),"https://www.facebook.com/baparticipacion/posts/pfbid031oDtJGh4fxxuqVbmdz9z7keGnQQ6obNMcK8X5dA6zoZqFBNKw3sdx1u38eRB2AP5l")</f>
        <v>https://www.facebook.com/baparticipacion/posts/pfbid031oDtJGh4fxxuqVbmdz9z7keGnQQ6obNMcK8X5dA6zoZqFBNKw3sdx1u38eRB2AP5l</v>
      </c>
    </row>
    <row r="1301">
      <c r="A1301" s="28" t="str">
        <f>IFERROR(__xludf.DUMMYFUNCTION("""COMPUTED_VALUE"""),"3039-MAYJDGVC")</f>
        <v>3039-MAYJDGVC</v>
      </c>
      <c r="B1301" s="28" t="str">
        <f>IFERROR(__xludf.DUMMYFUNCTION("""COMPUTED_VALUE"""),"RDV Ministros | Gabriel Sánchéz Zinny - 22/5 - Villa Urquiza")</f>
        <v>RDV Ministros | Gabriel Sánchéz Zinny - 22/5 - Villa Urquiza</v>
      </c>
      <c r="C1301" s="29" t="str">
        <f>IFERROR(__xludf.DUMMYFUNCTION("""COMPUTED_VALUE"""),"Pieza")</f>
        <v>Pieza</v>
      </c>
      <c r="D1301" s="28" t="str">
        <f>IFERROR(__xludf.DUMMYFUNCTION("""COMPUTED_VALUE"""),"3248-JUNJDGVC")</f>
        <v>3248-JUNJDGVC</v>
      </c>
      <c r="E1301" s="28" t="str">
        <f>IFERROR(__xludf.DUMMYFUNCTION("""COMPUTED_VALUE"""),"RDV Ministros | Gabriel Sánchez Zinny - 26/6")</f>
        <v>RDV Ministros | Gabriel Sánchez Zinny - 26/6</v>
      </c>
      <c r="F1301" s="29" t="str">
        <f>IFERROR(__xludf.DUMMYFUNCTION("""COMPUTED_VALUE"""),"https://www.facebook.com/baparticipacion/posts/pfbid02E5P9braUAV2GccdDoU5XnWpQdunbKyp2euecdWbPyj6YjMiHkcYcwf1byNzqryFpl")</f>
        <v>https://www.facebook.com/baparticipacion/posts/pfbid02E5P9braUAV2GccdDoU5XnWpQdunbKyp2euecdWbPyj6YjMiHkcYcwf1byNzqryFpl</v>
      </c>
    </row>
    <row r="1302">
      <c r="A1302" s="28" t="str">
        <f>IFERROR(__xludf.DUMMYFUNCTION("""COMPUTED_VALUE"""),"2961-ABRSEGGJ")</f>
        <v>2961-ABRSEGGJ</v>
      </c>
      <c r="B1302" s="28" t="str">
        <f>IFERROR(__xludf.DUMMYFUNCTION("""COMPUTED_VALUE"""),"Campaña ORDEN Y SEGURIDAD 2026")</f>
        <v>Campaña ORDEN Y SEGURIDAD 2026</v>
      </c>
      <c r="C1302" s="29" t="str">
        <f>IFERROR(__xludf.DUMMYFUNCTION("""COMPUTED_VALUE"""),"Pieza")</f>
        <v>Pieza</v>
      </c>
      <c r="D1302" s="28" t="str">
        <f>IFERROR(__xludf.DUMMYFUNCTION("""COMPUTED_VALUE"""),"3147-JUNINFGC")</f>
        <v>3147-JUNINFGC</v>
      </c>
      <c r="E1302" s="28" t="str">
        <f>IFERROR(__xludf.DUMMYFUNCTION("""COMPUTED_VALUE"""),"PBN Lorca: apertura al tránsito | 12/6 Habilitacion primer tramo")</f>
        <v>PBN Lorca: apertura al tránsito | 12/6 Habilitacion primer tramo</v>
      </c>
      <c r="F1302" s="29" t="str">
        <f>IFERROR(__xludf.DUMMYFUNCTION("""COMPUTED_VALUE"""),"https://www.facebook.com/GCBA/posts/pfbid02iNNf4Ns7gcEo4HWoJUSAjz6751M9Kkh3PeVP3UnroYxyFBXFwehL5Y79KBHQHattl")</f>
        <v>https://www.facebook.com/GCBA/posts/pfbid02iNNf4Ns7gcEo4HWoJUSAjz6751M9Kkh3PeVP3UnroYxyFBXFwehL5Y79KBHQHattl</v>
      </c>
    </row>
    <row r="1303">
      <c r="A1303" s="28" t="str">
        <f>IFERROR(__xludf.DUMMYFUNCTION("""COMPUTED_VALUE"""),"2892-ABRSALGC")</f>
        <v>2892-ABRSALGC</v>
      </c>
      <c r="B1303" s="28" t="str">
        <f>IFERROR(__xludf.DUMMYFUNCTION("""COMPUTED_VALUE"""),"Centro de Desarrollo Laboral para Personas con Discapacidad")</f>
        <v>Centro de Desarrollo Laboral para Personas con Discapacidad</v>
      </c>
      <c r="C1303" s="29" t="str">
        <f>IFERROR(__xludf.DUMMYFUNCTION("""COMPUTED_VALUE"""),"Pieza")</f>
        <v>Pieza</v>
      </c>
      <c r="D1303" s="28" t="str">
        <f>IFERROR(__xludf.DUMMYFUNCTION("""COMPUTED_VALUE"""),"3216-JUNJDGAG")</f>
        <v>3216-JUNJDGAG</v>
      </c>
      <c r="E1303" s="28" t="str">
        <f>IFERROR(__xludf.DUMMYFUNCTION("""COMPUTED_VALUE"""),"RDV JM | TE CUENTO | CIUDAD ATRACTIVA EJE SUR 25/6")</f>
        <v>RDV JM | TE CUENTO | CIUDAD ATRACTIVA EJE SUR 25/6</v>
      </c>
      <c r="F1303" s="29" t="str">
        <f>IFERROR(__xludf.DUMMYFUNCTION("""COMPUTED_VALUE"""),"https://www.facebook.com/GCBA/posts/pfbid0pDN1KSpcwNmdzK3WhsivCjjDVoj8acsicMjBZk8kkhQjxJ74xtbXqJzP3PR3irb4l")</f>
        <v>https://www.facebook.com/GCBA/posts/pfbid0pDN1KSpcwNmdzK3WhsivCjjDVoj8acsicMjBZk8kkhQjxJ74xtbXqJzP3PR3irb4l</v>
      </c>
    </row>
    <row r="1304">
      <c r="A1304" s="28" t="str">
        <f>IFERROR(__xludf.DUMMYFUNCTION("""COMPUTED_VALUE"""),"2892-ABRSALGC")</f>
        <v>2892-ABRSALGC</v>
      </c>
      <c r="B1304" s="28" t="str">
        <f>IFERROR(__xludf.DUMMYFUNCTION("""COMPUTED_VALUE"""),"Centro de Desarrollo Laboral para Personas con Discapacidad")</f>
        <v>Centro de Desarrollo Laboral para Personas con Discapacidad</v>
      </c>
      <c r="C1304" s="29" t="str">
        <f>IFERROR(__xludf.DUMMYFUNCTION("""COMPUTED_VALUE"""),"Pieza")</f>
        <v>Pieza</v>
      </c>
      <c r="D1304" s="28" t="str">
        <f>IFERROR(__xludf.DUMMYFUNCTION("""COMPUTED_VALUE"""),"3216-JUNJDGAG")</f>
        <v>3216-JUNJDGAG</v>
      </c>
      <c r="E1304" s="28" t="str">
        <f>IFERROR(__xludf.DUMMYFUNCTION("""COMPUTED_VALUE"""),"RDV JM | TE CUENTO | CIUDAD ATRACTIVA EJE SUR 25/6")</f>
        <v>RDV JM | TE CUENTO | CIUDAD ATRACTIVA EJE SUR 25/6</v>
      </c>
      <c r="F1304" s="29" t="str">
        <f>IFERROR(__xludf.DUMMYFUNCTION("""COMPUTED_VALUE"""),"https://www.facebook.com/GCBA/posts/pfbid0pDN1KSpcwNmdzK3WhsivCjjDVoj8acsicMjBZk8kkhQjxJ74xtbXqJzP3PR3irb4l")</f>
        <v>https://www.facebook.com/GCBA/posts/pfbid0pDN1KSpcwNmdzK3WhsivCjjDVoj8acsicMjBZk8kkhQjxJ74xtbXqJzP3PR3irb4l</v>
      </c>
    </row>
    <row r="1305">
      <c r="A1305" s="28" t="str">
        <f>IFERROR(__xludf.DUMMYFUNCTION("""COMPUTED_VALUE"""),"3037-MAYSALVC")</f>
        <v>3037-MAYSALVC</v>
      </c>
      <c r="B1305" s="28" t="str">
        <f>IFERROR(__xludf.DUMMYFUNCTION("""COMPUTED_VALUE"""),"RDV Ministros | Fernán Quirós - 19/5 - Comuna 3")</f>
        <v>RDV Ministros | Fernán Quirós - 19/5 - Comuna 3</v>
      </c>
      <c r="C1305" s="29" t="str">
        <f>IFERROR(__xludf.DUMMYFUNCTION("""COMPUTED_VALUE"""),"Pieza")</f>
        <v>Pieza</v>
      </c>
      <c r="D1305" s="28" t="str">
        <f>IFERROR(__xludf.DUMMYFUNCTION("""COMPUTED_VALUE"""),"3228-JUNSALGC")</f>
        <v>3228-JUNSALGC</v>
      </c>
      <c r="E1305" s="28" t="str">
        <f>IFERROR(__xludf.DUMMYFUNCTION("""COMPUTED_VALUE"""),"Hospitar Ferrer: Obras")</f>
        <v>Hospitar Ferrer: Obras</v>
      </c>
      <c r="F1305" s="29" t="str">
        <f>IFERROR(__xludf.DUMMYFUNCTION("""COMPUTED_VALUE"""),"https://www.facebook.com/GCBA/posts/pfbid02yWyBiqhzRGVqqWo4wAFMjpuCdCXBAKuNVMMEAvS8QuuNwD6NK6T56RXZ9yfwrvXjl")</f>
        <v>https://www.facebook.com/GCBA/posts/pfbid02yWyBiqhzRGVqqWo4wAFMjpuCdCXBAKuNVMMEAvS8QuuNwD6NK6T56RXZ9yfwrvXjl</v>
      </c>
    </row>
    <row r="1306">
      <c r="A1306" s="28" t="str">
        <f>IFERROR(__xludf.DUMMYFUNCTION("""COMPUTED_VALUE"""),"3063-MAYSALGC")</f>
        <v>3063-MAYSALGC</v>
      </c>
      <c r="B1306" s="28" t="str">
        <f>IFERROR(__xludf.DUMMYFUNCTION("""COMPUTED_VALUE""")," SIGEHOS - Envío cierre de encuesta")</f>
        <v> SIGEHOS - Envío cierre de encuesta</v>
      </c>
      <c r="C1306" s="29" t="str">
        <f>IFERROR(__xludf.DUMMYFUNCTION("""COMPUTED_VALUE"""),"Pieza")</f>
        <v>Pieza</v>
      </c>
      <c r="D1306" s="28" t="str">
        <f>IFERROR(__xludf.DUMMYFUNCTION("""COMPUTED_VALUE"""),"3201-JUNJDGAG")</f>
        <v>3201-JUNJDGAG</v>
      </c>
      <c r="E1306" s="28" t="str">
        <f>IFERROR(__xludf.DUMMYFUNCTION("""COMPUTED_VALUE"""),"RDV JM MATADEROS 18/6")</f>
        <v>RDV JM MATADEROS 18/6</v>
      </c>
      <c r="F1306" s="29" t="str">
        <f>IFERROR(__xludf.DUMMYFUNCTION("""COMPUTED_VALUE"""),"https://www.facebook.com/reel/1034798936155144")</f>
        <v>https://www.facebook.com/reel/1034798936155144</v>
      </c>
    </row>
    <row r="1307">
      <c r="A1307" s="28" t="str">
        <f>IFERROR(__xludf.DUMMYFUNCTION("""COMPUTED_VALUE"""),"2425-DICEPHGC")</f>
        <v>2425-DICEPHGC</v>
      </c>
      <c r="B1307" s="28" t="str">
        <f>IFERROR(__xludf.DUMMYFUNCTION("""COMPUTED_VALUE"""),"Parques Iluminados  M2")</f>
        <v>Parques Iluminados  M2</v>
      </c>
      <c r="C1307" s="29" t="str">
        <f>IFERROR(__xludf.DUMMYFUNCTION("""COMPUTED_VALUE"""),"Pieza")</f>
        <v>Pieza</v>
      </c>
      <c r="D1307" s="28" t="str">
        <f>IFERROR(__xludf.DUMMYFUNCTION("""COMPUTED_VALUE"""),"3199-JUNDUDGC")</f>
        <v>3199-JUNDUDGC</v>
      </c>
      <c r="E1307" s="28" t="str">
        <f>IFERROR(__xludf.DUMMYFUNCTION("""COMPUTED_VALUE"""),"Sorteo entradas GCBA | 9k Carrera de la independencia")</f>
        <v>Sorteo entradas GCBA | 9k Carrera de la independencia</v>
      </c>
      <c r="F1307" s="29" t="str">
        <f>IFERROR(__xludf.DUMMYFUNCTION("""COMPUTED_VALUE"""),"https://www.facebook.com/GCBA/posts/pfbid09t4eBXvmBvMhaY6ZDfZBBJcTJy8a2tQ9AGN9TfUiSexR55gisERziVp2BXK5HpeXl")</f>
        <v>https://www.facebook.com/GCBA/posts/pfbid09t4eBXvmBvMhaY6ZDfZBBJcTJy8a2tQ9AGN9TfUiSexR55gisERziVp2BXK5HpeXl</v>
      </c>
    </row>
    <row r="1308">
      <c r="A1308" s="28" t="str">
        <f>IFERROR(__xludf.DUMMYFUNCTION("""COMPUTED_VALUE"""),"2956-ABRSALGC")</f>
        <v>2956-ABRSALGC</v>
      </c>
      <c r="B1308" s="28" t="str">
        <f>IFERROR(__xludf.DUMMYFUNCTION("""COMPUTED_VALUE""")," Centro Regional de Hemoterapia - Durante de obra")</f>
        <v> Centro Regional de Hemoterapia - Durante de obra</v>
      </c>
      <c r="C1308" s="29" t="str">
        <f>IFERROR(__xludf.DUMMYFUNCTION("""COMPUTED_VALUE"""),"Pieza")</f>
        <v>Pieza</v>
      </c>
      <c r="D1308" s="28" t="str">
        <f>IFERROR(__xludf.DUMMYFUNCTION("""COMPUTED_VALUE"""),"3227-JUNSALGC")</f>
        <v>3227-JUNSALGC</v>
      </c>
      <c r="E1308" s="28" t="str">
        <f>IFERROR(__xludf.DUMMYFUNCTION("""COMPUTED_VALUE"""),"Hospital Roca: Obras")</f>
        <v>Hospital Roca: Obras</v>
      </c>
      <c r="F1308" s="29" t="str">
        <f>IFERROR(__xludf.DUMMYFUNCTION("""COMPUTED_VALUE"""),"https://www.facebook.com/GCBA/posts/pfbid0hL6DnVWapHTEjHavJnJmhZrAV1oeXCFP5cu7KwkKVcgsUFRBsTZSBTT4W1LM6t76l")</f>
        <v>https://www.facebook.com/GCBA/posts/pfbid0hL6DnVWapHTEjHavJnJmhZrAV1oeXCFP5cu7KwkKVcgsUFRBsTZSBTT4W1LM6t76l</v>
      </c>
    </row>
    <row r="1309">
      <c r="A1309" s="28" t="str">
        <f>IFERROR(__xludf.DUMMYFUNCTION("""COMPUTED_VALUE"""),"3057-MAYFESGC")</f>
        <v>3057-MAYFESGC</v>
      </c>
      <c r="B1309" s="28" t="str">
        <f>IFERROR(__xludf.DUMMYFUNCTION("""COMPUTED_VALUE"""),"Sorteo GCBA Entradas Obelisco")</f>
        <v>Sorteo GCBA Entradas Obelisco</v>
      </c>
      <c r="C1309" s="29" t="str">
        <f>IFERROR(__xludf.DUMMYFUNCTION("""COMPUTED_VALUE"""),"Pieza")</f>
        <v>Pieza</v>
      </c>
      <c r="D1309" s="28" t="str">
        <f>IFERROR(__xludf.DUMMYFUNCTION("""COMPUTED_VALUE"""),"3178-JUNJDGAG")</f>
        <v>3178-JUNJDGAG</v>
      </c>
      <c r="E1309" s="28" t="str">
        <f>IFERROR(__xludf.DUMMYFUNCTION("""COMPUTED_VALUE""")," TE CUENTO BS AS JM | 16/6 EDUCACIÓN EJE OESTE")</f>
        <v> TE CUENTO BS AS JM | 16/6 EDUCACIÓN EJE OESTE</v>
      </c>
      <c r="F1309" s="29" t="str">
        <f>IFERROR(__xludf.DUMMYFUNCTION("""COMPUTED_VALUE"""),"https://www.facebook.com/reel/1333766678147057")</f>
        <v>https://www.facebook.com/reel/1333766678147057</v>
      </c>
    </row>
    <row r="1310">
      <c r="A1310" s="28" t="str">
        <f>IFERROR(__xludf.DUMMYFUNCTION("""COMPUTED_VALUE"""),"3084-MAYSEGVC")</f>
        <v>3084-MAYSEGVC</v>
      </c>
      <c r="B1310" s="28" t="str">
        <f>IFERROR(__xludf.DUMMYFUNCTION("""COMPUTED_VALUE"""),"RDV Ministros | Ruth Landerreche 28/5 Comuna 14")</f>
        <v>RDV Ministros | Ruth Landerreche 28/5 Comuna 14</v>
      </c>
      <c r="C1310" s="29" t="str">
        <f>IFERROR(__xludf.DUMMYFUNCTION("""COMPUTED_VALUE"""),"Pieza")</f>
        <v>Pieza</v>
      </c>
      <c r="D1310" s="28" t="str">
        <f>IFERROR(__xludf.DUMMYFUNCTION("""COMPUTED_VALUE"""),"3120-MAYINFGJ")</f>
        <v>3120-MAYINFGJ</v>
      </c>
      <c r="E1310" s="28" t="str">
        <f>IFERROR(__xludf.DUMMYFUNCTION("""COMPUTED_VALUE"""),"Infraestructura I Remoción de Estacionamientos Truchos")</f>
        <v>Infraestructura I Remoción de Estacionamientos Truchos</v>
      </c>
      <c r="F1310" s="29" t="str">
        <f>IFERROR(__xludf.DUMMYFUNCTION("""COMPUTED_VALUE"""),"https://www.facebook.com/reel/1538966754240714")</f>
        <v>https://www.facebook.com/reel/1538966754240714</v>
      </c>
    </row>
    <row r="1311">
      <c r="A1311" s="28" t="str">
        <f>IFERROR(__xludf.DUMMYFUNCTION("""COMPUTED_VALUE"""),"3053-MAYFESGC")</f>
        <v>3053-MAYFESGC</v>
      </c>
      <c r="B1311" s="28" t="str">
        <f>IFERROR(__xludf.DUMMYFUNCTION("""COMPUTED_VALUE"""),"Sorteo Linda entradas Complejo sabado Teatral 23/5")</f>
        <v>Sorteo Linda entradas Complejo sabado Teatral 23/5</v>
      </c>
      <c r="C1311" s="29" t="str">
        <f>IFERROR(__xludf.DUMMYFUNCTION("""COMPUTED_VALUE"""),"Pieza")</f>
        <v>Pieza</v>
      </c>
      <c r="D1311" s="28" t="str">
        <f>IFERROR(__xludf.DUMMYFUNCTION("""COMPUTED_VALUE"""),"3242-JUNSEGVC")</f>
        <v>3242-JUNSEGVC</v>
      </c>
      <c r="E1311" s="28" t="str">
        <f>IFERROR(__xludf.DUMMYFUNCTION("""COMPUTED_VALUE"""),"RDV Ministros | Gabino Tapia 25/6 Comuna 15")</f>
        <v>RDV Ministros | Gabino Tapia 25/6 Comuna 15</v>
      </c>
      <c r="F1311" s="29" t="str">
        <f>IFERROR(__xludf.DUMMYFUNCTION("""COMPUTED_VALUE"""),"https://www.facebook.com/baparticipacion/posts/pfbid02XyXvYR65F9FBrjQUsz3KfFBJaixgH4QL6YFKe2iQydGqmGAJP2WGj79Te26zjz64l")</f>
        <v>https://www.facebook.com/baparticipacion/posts/pfbid02XyXvYR65F9FBrjQUsz3KfFBJaixgH4QL6YFKe2iQydGqmGAJP2WGj79Te26zjz64l</v>
      </c>
    </row>
    <row r="1312">
      <c r="A1312" s="28" t="str">
        <f>IFERROR(__xludf.DUMMYFUNCTION("""COMPUTED_VALUE"""),"3053-MAYFESGC")</f>
        <v>3053-MAYFESGC</v>
      </c>
      <c r="B1312" s="28" t="str">
        <f>IFERROR(__xludf.DUMMYFUNCTION("""COMPUTED_VALUE"""),"Sorteo Linda entradas Complejo sabado Teatral 23/5")</f>
        <v>Sorteo Linda entradas Complejo sabado Teatral 23/5</v>
      </c>
      <c r="C1312" s="29" t="str">
        <f>IFERROR(__xludf.DUMMYFUNCTION("""COMPUTED_VALUE"""),"Pieza")</f>
        <v>Pieza</v>
      </c>
      <c r="D1312" s="28" t="str">
        <f>IFERROR(__xludf.DUMMYFUNCTION("""COMPUTED_VALUE"""),"3213-JUNINFGC")</f>
        <v>3213-JUNINFGC</v>
      </c>
      <c r="E1312" s="28" t="str">
        <f>IFERROR(__xludf.DUMMYFUNCTION("""COMPUTED_VALUE"""),"Av Fernández de la Cruz: fin de obra")</f>
        <v>Av Fernández de la Cruz: fin de obra</v>
      </c>
      <c r="F1312" s="29" t="str">
        <f>IFERROR(__xludf.DUMMYFUNCTION("""COMPUTED_VALUE"""),"https://www.facebook.com/GCBA/posts/pfbid08rDXqhyNHHgaXhxwyanZTXHtfRLQs15AaRbPk5k938ZVPg7ZL3Ea9rz5rPCgKLXEl")</f>
        <v>https://www.facebook.com/GCBA/posts/pfbid08rDXqhyNHHgaXhxwyanZTXHtfRLQs15AaRbPk5k938ZVPg7ZL3Ea9rz5rPCgKLXEl</v>
      </c>
    </row>
    <row r="1313">
      <c r="A1313" s="28" t="str">
        <f>IFERROR(__xludf.DUMMYFUNCTION("""COMPUTED_VALUE"""),"3053-MAYFESGC")</f>
        <v>3053-MAYFESGC</v>
      </c>
      <c r="B1313" s="28" t="str">
        <f>IFERROR(__xludf.DUMMYFUNCTION("""COMPUTED_VALUE"""),"Sorteo Linda entradas Complejo sabado Teatral 23/5")</f>
        <v>Sorteo Linda entradas Complejo sabado Teatral 23/5</v>
      </c>
      <c r="C1313" s="29" t="str">
        <f>IFERROR(__xludf.DUMMYFUNCTION("""COMPUTED_VALUE"""),"Pieza")</f>
        <v>Pieza</v>
      </c>
      <c r="D1313" s="28" t="str">
        <f>IFERROR(__xludf.DUMMYFUNCTION("""COMPUTED_VALUE"""),"3258-JUNJDGGJ")</f>
        <v>3258-JUNJDGGJ</v>
      </c>
      <c r="E1313" s="28" t="str">
        <f>IFERROR(__xludf.DUMMYFUNCTION("""COMPUTED_VALUE"""),"Decreto: Declaración de servicios esenciales")</f>
        <v>Decreto: Declaración de servicios esenciales</v>
      </c>
      <c r="F1313" s="29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4">
      <c r="A1314" s="28" t="str">
        <f>IFERROR(__xludf.DUMMYFUNCTION("""COMPUTED_VALUE"""),"3053-MAYFESGC")</f>
        <v>3053-MAYFESGC</v>
      </c>
      <c r="B1314" s="28" t="str">
        <f>IFERROR(__xludf.DUMMYFUNCTION("""COMPUTED_VALUE"""),"Sorteo Linda entradas Complejo sabado Teatral 23/5")</f>
        <v>Sorteo Linda entradas Complejo sabado Teatral 23/5</v>
      </c>
      <c r="C1314" s="29" t="str">
        <f>IFERROR(__xludf.DUMMYFUNCTION("""COMPUTED_VALUE"""),"Pieza")</f>
        <v>Pieza</v>
      </c>
      <c r="D1314" s="28" t="str">
        <f>IFERROR(__xludf.DUMMYFUNCTION("""COMPUTED_VALUE"""),"3140-JUNSALGC")</f>
        <v>3140-JUNSALGC</v>
      </c>
      <c r="E1314" s="28" t="str">
        <f>IFERROR(__xludf.DUMMYFUNCTION("""COMPUTED_VALUE"""),"Always On - Centros de Salud")</f>
        <v>Always On - Centros de Salud</v>
      </c>
      <c r="F1314" s="29" t="str">
        <f>IFERROR(__xludf.DUMMYFUNCTION("""COMPUTED_VALUE"""),"https://www.facebook.com/GCBA/posts/pfbid0MuG7Sbo5joqEuk2UWgNsVURV9frh2FTUkY1aQoaNkgEbc3aeURAPiq423LHA7Mwyl")</f>
        <v>https://www.facebook.com/GCBA/posts/pfbid0MuG7Sbo5joqEuk2UWgNsVURV9frh2FTUkY1aQoaNkgEbc3aeURAPiq423LHA7Mwyl</v>
      </c>
    </row>
    <row r="1315">
      <c r="A1315" s="28" t="str">
        <f>IFERROR(__xludf.DUMMYFUNCTION("""COMPUTED_VALUE"""),"3053-MAYFESGC")</f>
        <v>3053-MAYFESGC</v>
      </c>
      <c r="B1315" s="28" t="str">
        <f>IFERROR(__xludf.DUMMYFUNCTION("""COMPUTED_VALUE"""),"Sorteo Linda entradas Complejo sabado Teatral 23/5")</f>
        <v>Sorteo Linda entradas Complejo sabado Teatral 23/5</v>
      </c>
      <c r="C1315" s="29" t="str">
        <f>IFERROR(__xludf.DUMMYFUNCTION("""COMPUTED_VALUE"""),"Pieza")</f>
        <v>Pieza</v>
      </c>
      <c r="D1315" s="28" t="str">
        <f>IFERROR(__xludf.DUMMYFUNCTION("""COMPUTED_VALUE"""),"3257-JUNEDUGC")</f>
        <v>3257-JUNEDUGC</v>
      </c>
      <c r="E1315" s="28" t="str">
        <f>IFERROR(__xludf.DUMMYFUNCTION("""COMPUTED_VALUE"""),"Campaña GCBA I Educación I Vacaciones en la escuela edicion invierno 2026")</f>
        <v>Campaña GCBA I Educación I Vacaciones en la escuela edicion invierno 2026</v>
      </c>
      <c r="F1315" s="29" t="str">
        <f>IFERROR(__xludf.DUMMYFUNCTION("""COMPUTED_VALUE"""),"https://www.facebook.com/GCBA/posts/pfbid0A5kQ9DgeXP1KjXiXGvawRDSoK3g2jUFh52oVeNqUNwtKdBcfjwvEXPd23hetHUadl")</f>
        <v>https://www.facebook.com/GCBA/posts/pfbid0A5kQ9DgeXP1KjXiXGvawRDSoK3g2jUFh52oVeNqUNwtKdBcfjwvEXPd23hetHUadl</v>
      </c>
    </row>
    <row r="1316">
      <c r="A1316" s="28" t="str">
        <f>IFERROR(__xludf.DUMMYFUNCTION("""COMPUTED_VALUE"""),"3054-MAYFESGC")</f>
        <v>3054-MAYFESGC</v>
      </c>
      <c r="B1316" s="28" t="str">
        <f>IFERROR(__xludf.DUMMYFUNCTION("""COMPUTED_VALUE"""),"Sorteo Linda entradas Complejo domingo Teatral 24/6")</f>
        <v>Sorteo Linda entradas Complejo domingo Teatral 24/6</v>
      </c>
      <c r="C1316" s="29" t="str">
        <f>IFERROR(__xludf.DUMMYFUNCTION("""COMPUTED_VALUE"""),"Pieza")</f>
        <v>Pieza</v>
      </c>
      <c r="D1316" s="28" t="str">
        <f>IFERROR(__xludf.DUMMYFUNCTION("""COMPUTED_VALUE"""),"2496-ENEVINGC")</f>
        <v>2496-ENEVINGC</v>
      </c>
      <c r="E131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6" s="29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7">
      <c r="A1317" s="28" t="str">
        <f>IFERROR(__xludf.DUMMYFUNCTION("""COMPUTED_VALUE"""),"3054-MAYFESGC")</f>
        <v>3054-MAYFESGC</v>
      </c>
      <c r="B1317" s="28" t="str">
        <f>IFERROR(__xludf.DUMMYFUNCTION("""COMPUTED_VALUE"""),"Sorteo Linda entradas Complejo domingo Teatral 24/6")</f>
        <v>Sorteo Linda entradas Complejo domingo Teatral 24/6</v>
      </c>
      <c r="C1317" s="29" t="str">
        <f>IFERROR(__xludf.DUMMYFUNCTION("""COMPUTED_VALUE"""),"Pieza")</f>
        <v>Pieza</v>
      </c>
      <c r="D1317" s="28" t="str">
        <f>IFERROR(__xludf.DUMMYFUNCTION("""COMPUTED_VALUE"""),"2496-ENEVINGC")</f>
        <v>2496-ENEVINGC</v>
      </c>
      <c r="E1317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7" s="29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8">
      <c r="A1318" s="28" t="str">
        <f>IFERROR(__xludf.DUMMYFUNCTION("""COMPUTED_VALUE"""),"3054-MAYFESGC")</f>
        <v>3054-MAYFESGC</v>
      </c>
      <c r="B1318" s="28" t="str">
        <f>IFERROR(__xludf.DUMMYFUNCTION("""COMPUTED_VALUE"""),"Sorteo Linda entradas Complejo domingo Teatral 24/6")</f>
        <v>Sorteo Linda entradas Complejo domingo Teatral 24/6</v>
      </c>
      <c r="C1318" s="29" t="str">
        <f>IFERROR(__xludf.DUMMYFUNCTION("""COMPUTED_VALUE"""),"Pieza")</f>
        <v>Pieza</v>
      </c>
      <c r="D1318" s="28" t="str">
        <f>IFERROR(__xludf.DUMMYFUNCTION("""COMPUTED_VALUE"""),"2496-ENEVINGC")</f>
        <v>2496-ENEVINGC</v>
      </c>
      <c r="E1318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8" s="29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19">
      <c r="A1319" s="28" t="str">
        <f>IFERROR(__xludf.DUMMYFUNCTION("""COMPUTED_VALUE"""),"3054-MAYFESGC")</f>
        <v>3054-MAYFESGC</v>
      </c>
      <c r="B1319" s="28" t="str">
        <f>IFERROR(__xludf.DUMMYFUNCTION("""COMPUTED_VALUE"""),"Sorteo Linda entradas Complejo domingo Teatral 24/6")</f>
        <v>Sorteo Linda entradas Complejo domingo Teatral 24/6</v>
      </c>
      <c r="C1319" s="29" t="str">
        <f>IFERROR(__xludf.DUMMYFUNCTION("""COMPUTED_VALUE"""),"Pieza")</f>
        <v>Pieza</v>
      </c>
      <c r="D1319" s="28" t="str">
        <f>IFERROR(__xludf.DUMMYFUNCTION("""COMPUTED_VALUE"""),"2496-ENEVINGC")</f>
        <v>2496-ENEVINGC</v>
      </c>
      <c r="E1319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19" s="29" t="str">
        <f>IFERROR(__xludf.DUMMYFUNCTION("""COMPUTED_VALUE""")," https://www.facebook.com/GCBA/posts/pfbid0wwfh7zArrcy9SxKymxzrF81wbDKTyk4DhEibHMRC5hcvMHUSti1QfufYUt2mnEhTl")</f>
        <v> https://www.facebook.com/GCBA/posts/pfbid0wwfh7zArrcy9SxKymxzrF81wbDKTyk4DhEibHMRC5hcvMHUSti1QfufYUt2mnEhTl</v>
      </c>
    </row>
    <row r="1320">
      <c r="A1320" s="28" t="str">
        <f>IFERROR(__xludf.DUMMYFUNCTION("""COMPUTED_VALUE"""),"3054-MAYFESGC")</f>
        <v>3054-MAYFESGC</v>
      </c>
      <c r="B1320" s="28" t="str">
        <f>IFERROR(__xludf.DUMMYFUNCTION("""COMPUTED_VALUE"""),"Sorteo Linda entradas Complejo domingo Teatral 24/6")</f>
        <v>Sorteo Linda entradas Complejo domingo Teatral 24/6</v>
      </c>
      <c r="C1320" s="29" t="str">
        <f>IFERROR(__xludf.DUMMYFUNCTION("""COMPUTED_VALUE"""),"Pieza")</f>
        <v>Pieza</v>
      </c>
      <c r="D1320" s="28" t="str">
        <f>IFERROR(__xludf.DUMMYFUNCTION("""COMPUTED_VALUE"""),"2496-ENEVINGC")</f>
        <v>2496-ENEVINGC</v>
      </c>
      <c r="E132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20" s="29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21">
      <c r="A1321" s="28" t="str">
        <f>IFERROR(__xludf.DUMMYFUNCTION("""COMPUTED_VALUE"""),"3065-MAYVINVC")</f>
        <v>3065-MAYVINVC</v>
      </c>
      <c r="B1321" s="28" t="str">
        <f>IFERROR(__xludf.DUMMYFUNCTION("""COMPUTED_VALUE"""),"Mas servicios en tu barrio Lugano I y II 26 y 27/5")</f>
        <v>Mas servicios en tu barrio Lugano I y II 26 y 27/5</v>
      </c>
      <c r="C1321" s="29" t="str">
        <f>IFERROR(__xludf.DUMMYFUNCTION("""COMPUTED_VALUE"""),"Pieza")</f>
        <v>Pieza</v>
      </c>
      <c r="D1321" s="28" t="str">
        <f>IFERROR(__xludf.DUMMYFUNCTION("""COMPUTED_VALUE"""),"3262-JUNINFVC")</f>
        <v>3262-JUNINFVC</v>
      </c>
      <c r="E1321" s="28" t="str">
        <f>IFERROR(__xludf.DUMMYFUNCTION("""COMPUTED_VALUE"""),"RDV Ministros | Pablo Bereciartua 1/7")</f>
        <v>RDV Ministros | Pablo Bereciartua 1/7</v>
      </c>
      <c r="F1321" s="29" t="str">
        <f>IFERROR(__xludf.DUMMYFUNCTION("""COMPUTED_VALUE"""),"https://www.facebook.com/baparticipacion/posts/pfbid02XEBH1C6eXF5FMWMBqVy33XjkV4nVdrbGr88SK89TcvW4R3RUqfFhT383jA4b9xWNl")</f>
        <v>https://www.facebook.com/baparticipacion/posts/pfbid02XEBH1C6eXF5FMWMBqVy33XjkV4nVdrbGr88SK89TcvW4R3RUqfFhT383jA4b9xWNl</v>
      </c>
    </row>
    <row r="1322">
      <c r="A1322" s="28" t="str">
        <f>IFERROR(__xludf.DUMMYFUNCTION("""COMPUTED_VALUE"""),"3047-MAYSEGVC")</f>
        <v>3047-MAYSEGVC</v>
      </c>
      <c r="B1322" s="28" t="str">
        <f>IFERROR(__xludf.DUMMYFUNCTION("""COMPUTED_VALUE"""),"RDV Ministros | Maximiliano Piñeiro Comuna 11")</f>
        <v>RDV Ministros | Maximiliano Piñeiro Comuna 11</v>
      </c>
      <c r="C1322" s="29" t="str">
        <f>IFERROR(__xludf.DUMMYFUNCTION("""COMPUTED_VALUE"""),"Pieza")</f>
        <v>Pieza</v>
      </c>
      <c r="D1322" s="28" t="str">
        <f>IFERROR(__xludf.DUMMYFUNCTION("""COMPUTED_VALUE"""),"3260-JUNJDGAG")</f>
        <v>3260-JUNJDGAG</v>
      </c>
      <c r="E1322" s="28" t="str">
        <f>IFERROR(__xludf.DUMMYFUNCTION("""COMPUTED_VALUE"""),"1 A 1 JM | COMUNA 8 | 30/06")</f>
        <v>1 A 1 JM | COMUNA 8 | 30/06</v>
      </c>
      <c r="F1322" s="29" t="str">
        <f>IFERROR(__xludf.DUMMYFUNCTION("""COMPUTED_VALUE"""),"https://www.facebook.com/GCBA/posts/pfbid0k9U4ik32JNdW6AhwuhJKguBPXstCSyDS8XB9upp1Cv1N4yJ9YMvFHHbuCKgi3aQql")</f>
        <v>https://www.facebook.com/GCBA/posts/pfbid0k9U4ik32JNdW6AhwuhJKguBPXstCSyDS8XB9upp1Cv1N4yJ9YMvFHHbuCKgi3aQql</v>
      </c>
    </row>
    <row r="1323">
      <c r="A1323" s="28" t="str">
        <f>IFERROR(__xludf.DUMMYFUNCTION("""COMPUTED_VALUE"""),"3088-MAYINFGC")</f>
        <v>3088-MAYINFGC</v>
      </c>
      <c r="B1323" s="28" t="str">
        <f>IFERROR(__xludf.DUMMYFUNCTION("""COMPUTED_VALUE"""),"Infraestructura I Corte por Fiestas Mayas")</f>
        <v>Infraestructura I Corte por Fiestas Mayas</v>
      </c>
      <c r="C1323" s="29" t="str">
        <f>IFERROR(__xludf.DUMMYFUNCTION("""COMPUTED_VALUE"""),"Pieza")</f>
        <v>Pieza</v>
      </c>
      <c r="D1323" s="28" t="str">
        <f>IFERROR(__xludf.DUMMYFUNCTION("""COMPUTED_VALUE"""),"3265-JUNSEGVC")</f>
        <v>3265-JUNSEGVC</v>
      </c>
      <c r="E1323" s="28" t="str">
        <f>IFERROR(__xludf.DUMMYFUNCTION("""COMPUTED_VALUE"""),"RDV MINISTROS | EZEQUIEL SABOR 29/6 COMUNA 3")</f>
        <v>RDV MINISTROS | EZEQUIEL SABOR 29/6 COMUNA 3</v>
      </c>
      <c r="F1323" s="29" t="str">
        <f>IFERROR(__xludf.DUMMYFUNCTION("""COMPUTED_VALUE"""),"https://www.facebook.com/baparticipacion/posts/pfbid037qtw3oWHq5jBhk3YywZcc5Ujr5fwx5JCM42MJ8PEp9kgNoC2JZT8ZJdZk9iwKRZyl")</f>
        <v>https://www.facebook.com/baparticipacion/posts/pfbid037qtw3oWHq5jBhk3YywZcc5Ujr5fwx5JCM42MJ8PEp9kgNoC2JZT8ZJdZk9iwKRZyl</v>
      </c>
    </row>
    <row r="1324">
      <c r="A1324" s="28" t="str">
        <f>IFERROR(__xludf.DUMMYFUNCTION("""COMPUTED_VALUE"""),"3034-MAYJDGAG")</f>
        <v>3034-MAYJDGAG</v>
      </c>
      <c r="B1324" s="28" t="str">
        <f>IFERROR(__xludf.DUMMYFUNCTION("""COMPUTED_VALUE"""),"RDV JM TEMÁTICA | TE CUENTO BS AS 21/05 MOVILIDAD EJE OESTE")</f>
        <v>RDV JM TEMÁTICA | TE CUENTO BS AS 21/05 MOVILIDAD EJE OESTE</v>
      </c>
      <c r="C1324" s="29" t="str">
        <f>IFERROR(__xludf.DUMMYFUNCTION("""COMPUTED_VALUE"""),"Pieza")</f>
        <v>Pieza</v>
      </c>
      <c r="D1324" s="28" t="str">
        <f>IFERROR(__xludf.DUMMYFUNCTION("""COMPUTED_VALUE"""),"3264-JUNCULVC")</f>
        <v>3264-JUNCULVC</v>
      </c>
      <c r="E1324" s="28" t="str">
        <f>IFERROR(__xludf.DUMMYFUNCTION("""COMPUTED_VALUE"""),"RDV Ministros | Gabriela Ricardes 29/6 Comuna 9")</f>
        <v>RDV Ministros | Gabriela Ricardes 29/6 Comuna 9</v>
      </c>
      <c r="F1324" s="29" t="str">
        <f>IFERROR(__xludf.DUMMYFUNCTION("""COMPUTED_VALUE"""),"https://www.facebook.com/baparticipacion/posts/pfbid04rFhL1GxaswabuW6oAd8UqBuFvenPdwNSiRaYPh5agZp5WKUReLrPFTbh8zm9cW4l")</f>
        <v>https://www.facebook.com/baparticipacion/posts/pfbid04rFhL1GxaswabuW6oAd8UqBuFvenPdwNSiRaYPh5agZp5WKUReLrPFTbh8zm9cW4l</v>
      </c>
    </row>
    <row r="1325">
      <c r="A1325" s="28" t="str">
        <f>IFERROR(__xludf.DUMMYFUNCTION("""COMPUTED_VALUE"""),"3056-MAYFESGC")</f>
        <v>3056-MAYFESGC</v>
      </c>
      <c r="B1325" s="28" t="str">
        <f>IFERROR(__xludf.DUMMYFUNCTION("""COMPUTED_VALUE"""),"Celebración 25 de mayo")</f>
        <v>Celebración 25 de mayo</v>
      </c>
      <c r="C1325" s="29" t="str">
        <f>IFERROR(__xludf.DUMMYFUNCTION("""COMPUTED_VALUE"""),"Pieza")</f>
        <v>Pieza</v>
      </c>
      <c r="D1325" s="28" t="str">
        <f>IFERROR(__xludf.DUMMYFUNCTION("""COMPUTED_VALUE"""),"3256-JUNINFGC")</f>
        <v>3256-JUNINFGC</v>
      </c>
      <c r="E1325" s="28" t="str">
        <f>IFERROR(__xludf.DUMMYFUNCTION("""COMPUTED_VALUE"""),"CORTES Y DESVÍOS POR MUNDIAL DESCENTRALIZADO: MODO HINCHA EN BA")</f>
        <v>CORTES Y DESVÍOS POR MUNDIAL DESCENTRALIZADO: MODO HINCHA EN BA</v>
      </c>
      <c r="F1325" s="29" t="str">
        <f>IFERROR(__xludf.DUMMYFUNCTION("""COMPUTED_VALUE"""),"https://fb.me/adspreview/facebook/2a5pbu8JLbl6vVK")</f>
        <v>https://fb.me/adspreview/facebook/2a5pbu8JLbl6vVK</v>
      </c>
    </row>
    <row r="1326">
      <c r="A1326" s="28" t="str">
        <f>IFERROR(__xludf.DUMMYFUNCTION("""COMPUTED_VALUE"""),"3074-MAYJDGAG")</f>
        <v>3074-MAYJDGAG</v>
      </c>
      <c r="B1326" s="28" t="str">
        <f>IFERROR(__xludf.DUMMYFUNCTION("""COMPUTED_VALUE"""),"RDV JM TEMÁTICA | TE CUENTO BS AS 28/05 CIUDAD ATRACTIVA EJE ESTE")</f>
        <v>RDV JM TEMÁTICA | TE CUENTO BS AS 28/05 CIUDAD ATRACTIVA EJE ESTE</v>
      </c>
      <c r="C1326" s="29" t="str">
        <f>IFERROR(__xludf.DUMMYFUNCTION("""COMPUTED_VALUE"""),"Pieza")</f>
        <v>Pieza</v>
      </c>
      <c r="D1326" s="28" t="str">
        <f>IFERROR(__xludf.DUMMYFUNCTION("""COMPUTED_VALUE"""),"3231-JUNJDGAG")</f>
        <v>3231-JUNJDGAG</v>
      </c>
      <c r="E1326" s="28" t="str">
        <f>IFERROR(__xludf.DUMMYFUNCTION("""COMPUTED_VALUE"""),"1 A 1 JM |  24/06 COMUNA 10")</f>
        <v>1 A 1 JM |  24/06 COMUNA 10</v>
      </c>
      <c r="F1326" s="29" t="str">
        <f>IFERROR(__xludf.DUMMYFUNCTION("""COMPUTED_VALUE"""),"https://www.facebook.com/reel/2475612596197961")</f>
        <v>https://www.facebook.com/reel/2475612596197961</v>
      </c>
    </row>
    <row r="1327">
      <c r="A1327" s="28" t="str">
        <f>IFERROR(__xludf.DUMMYFUNCTION("""COMPUTED_VALUE"""),"3077-MAYINFVC")</f>
        <v>3077-MAYINFVC</v>
      </c>
      <c r="B1327" s="28" t="str">
        <f>IFERROR(__xludf.DUMMYFUNCTION("""COMPUTED_VALUE"""),"RDV Ministros | Pablo Bereciartua - 27/5 - Comuna 10")</f>
        <v>RDV Ministros | Pablo Bereciartua - 27/5 - Comuna 10</v>
      </c>
      <c r="C1327" s="29" t="str">
        <f>IFERROR(__xludf.DUMMYFUNCTION("""COMPUTED_VALUE"""),"Pieza")</f>
        <v>Pieza</v>
      </c>
      <c r="D1327" s="28" t="str">
        <f>IFERROR(__xludf.DUMMYFUNCTION("""COMPUTED_VALUE"""),"3274-JUNSEGVC")</f>
        <v>3274-JUNSEGVC</v>
      </c>
      <c r="E1327" s="28" t="str">
        <f>IFERROR(__xludf.DUMMYFUNCTION("""COMPUTED_VALUE"""),"RDV Ministros | Gabino Tapia 2/7 Comuna 3")</f>
        <v>RDV Ministros | Gabino Tapia 2/7 Comuna 3</v>
      </c>
      <c r="F1327" s="29" t="str">
        <f>IFERROR(__xludf.DUMMYFUNCTION("""COMPUTED_VALUE"""),"https://www.facebook.com/baparticipacion/posts/pfbid026rzt5SBsadw9mUfeiZnXRzw82KKCw9hrLaStHhkE38toe7FY9NXm1N7TmsCbdraol")</f>
        <v>https://www.facebook.com/baparticipacion/posts/pfbid026rzt5SBsadw9mUfeiZnXRzw82KKCw9hrLaStHhkE38toe7FY9NXm1N7TmsCbdraol</v>
      </c>
    </row>
    <row r="1328">
      <c r="A1328" s="28" t="str">
        <f>IFERROR(__xludf.DUMMYFUNCTION("""COMPUTED_VALUE"""),"3081-MAYINFGC")</f>
        <v>3081-MAYINFGC</v>
      </c>
      <c r="B1328" s="28" t="str">
        <f>IFERROR(__xludf.DUMMYFUNCTION("""COMPUTED_VALUE"""),"Infraestructura I Cortes de tránsito 90° Aniversario del Obelisco. ")</f>
        <v>Infraestructura I Cortes de tránsito 90° Aniversario del Obelisco. </v>
      </c>
      <c r="C1328" s="29" t="str">
        <f>IFERROR(__xludf.DUMMYFUNCTION("""COMPUTED_VALUE"""),"Pieza")</f>
        <v>Pieza</v>
      </c>
      <c r="D1328" s="28" t="str">
        <f>IFERROR(__xludf.DUMMYFUNCTION("""COMPUTED_VALUE"""),"3272-JUNSEGVC")</f>
        <v>3272-JUNSEGVC</v>
      </c>
      <c r="E1328" s="28" t="str">
        <f>IFERROR(__xludf.DUMMYFUNCTION("""COMPUTED_VALUE"""),"RDV Ministros | Ruth Landerreche 2/7 Comuna 1 Sur")</f>
        <v>RDV Ministros | Ruth Landerreche 2/7 Comuna 1 Sur</v>
      </c>
      <c r="F1328" s="29" t="str">
        <f>IFERROR(__xludf.DUMMYFUNCTION("""COMPUTED_VALUE"""),"https://www.facebook.com/baparticipacion/posts/pfbid0cqdBo8U6f7icGwi1UgY64Dq9b7kJVms3oxUzJRvEnieMK5d2eTXsYd7Ky2JVkPdnl")</f>
        <v>https://www.facebook.com/baparticipacion/posts/pfbid0cqdBo8U6f7icGwi1UgY64Dq9b7kJVms3oxUzJRvEnieMK5d2eTXsYd7Ky2JVkPdnl</v>
      </c>
    </row>
    <row r="1329">
      <c r="A1329" s="28" t="str">
        <f>IFERROR(__xludf.DUMMYFUNCTION("""COMPUTED_VALUE"""),"3083-MAYSEGVC")</f>
        <v>3083-MAYSEGVC</v>
      </c>
      <c r="B1329" s="28" t="str">
        <f>IFERROR(__xludf.DUMMYFUNCTION("""COMPUTED_VALUE"""),"RDV Ministros | Maximiliano Piñeiro 28/5 Comuna 15")</f>
        <v>RDV Ministros | Maximiliano Piñeiro 28/5 Comuna 15</v>
      </c>
      <c r="C1329" s="29" t="str">
        <f>IFERROR(__xludf.DUMMYFUNCTION("""COMPUTED_VALUE"""),"Pieza")</f>
        <v>Pieza</v>
      </c>
      <c r="D1329" s="28" t="str">
        <f>IFERROR(__xludf.DUMMYFUNCTION("""COMPUTED_VALUE"""),"3273-JUNSEGVC")</f>
        <v>3273-JUNSEGVC</v>
      </c>
      <c r="E1329" s="28" t="str">
        <f>IFERROR(__xludf.DUMMYFUNCTION("""COMPUTED_VALUE"""),"RDV Ministros | Maximiliano Piñeiro 2/7 Comuna 1 Norte")</f>
        <v>RDV Ministros | Maximiliano Piñeiro 2/7 Comuna 1 Norte</v>
      </c>
      <c r="F1329" s="29" t="str">
        <f>IFERROR(__xludf.DUMMYFUNCTION("""COMPUTED_VALUE"""),"https://www.facebook.com/baparticipacion/posts/pfbid02rYnMxmS6XD3RCsx9M9KBg9kR6JcG4PhAtUs7mrFDM5VFoD6HvNvYFGHsStd5qSRBl")</f>
        <v>https://www.facebook.com/baparticipacion/posts/pfbid02rYnMxmS6XD3RCsx9M9KBg9kR6JcG4PhAtUs7mrFDM5VFoD6HvNvYFGHsStd5qSRBl</v>
      </c>
    </row>
    <row r="1330">
      <c r="A1330" s="28" t="str">
        <f>IFERROR(__xludf.DUMMYFUNCTION("""COMPUTED_VALUE"""),"2961-ABRSEGGJ")</f>
        <v>2961-ABRSEGGJ</v>
      </c>
      <c r="B1330" s="28" t="str">
        <f>IFERROR(__xludf.DUMMYFUNCTION("""COMPUTED_VALUE"""),"Campaña ORDEN Y SEGURIDAD 2026")</f>
        <v>Campaña ORDEN Y SEGURIDAD 2026</v>
      </c>
      <c r="C1330" s="29" t="str">
        <f>IFERROR(__xludf.DUMMYFUNCTION("""COMPUTED_VALUE"""),"Pieza")</f>
        <v>Pieza</v>
      </c>
      <c r="D1330" s="28" t="str">
        <f>IFERROR(__xludf.DUMMYFUNCTION("""COMPUTED_VALUE"""),"3275-JUNSEGVC")</f>
        <v>3275-JUNSEGVC</v>
      </c>
      <c r="E1330" s="28" t="str">
        <f>IFERROR(__xludf.DUMMYFUNCTION("""COMPUTED_VALUE"""),"RDV Ministros | Horacio Giménez 2/7 Comuna 2")</f>
        <v>RDV Ministros | Horacio Giménez 2/7 Comuna 2</v>
      </c>
      <c r="F1330" s="29" t="str">
        <f>IFERROR(__xludf.DUMMYFUNCTION("""COMPUTED_VALUE"""),"https://www.facebook.com/baparticipacion/posts/pfbid0axrMxWPfqiqEgW2TPGJVJ7z6iCVkmyNhVnWv5W4f71YR7nzFvcZW3y5d8b9sHVYNl")</f>
        <v>https://www.facebook.com/baparticipacion/posts/pfbid0axrMxWPfqiqEgW2TPGJVJ7z6iCVkmyNhVnWv5W4f71YR7nzFvcZW3y5d8b9sHVYNl</v>
      </c>
    </row>
    <row r="1331">
      <c r="A1331" s="28" t="str">
        <f>IFERROR(__xludf.DUMMYFUNCTION("""COMPUTED_VALUE"""),"3085-MAYSEGVC")</f>
        <v>3085-MAYSEGVC</v>
      </c>
      <c r="B1331" s="28" t="str">
        <f>IFERROR(__xludf.DUMMYFUNCTION("""COMPUTED_VALUE"""),"RDV Ministros | Horacio Giménez 28/5 Comuna 13")</f>
        <v>RDV Ministros | Horacio Giménez 28/5 Comuna 13</v>
      </c>
      <c r="C1331" s="29" t="str">
        <f>IFERROR(__xludf.DUMMYFUNCTION("""COMPUTED_VALUE"""),"Pieza")</f>
        <v>Pieza</v>
      </c>
      <c r="D1331" s="28" t="str">
        <f>IFERROR(__xludf.DUMMYFUNCTION("""COMPUTED_VALUE"""),"3263-JUNJDGVC")</f>
        <v>3263-JUNJDGVC</v>
      </c>
      <c r="E1331" s="28" t="str">
        <f>IFERROR(__xludf.DUMMYFUNCTION("""COMPUTED_VALUE"""),"RDV Ministros | Gabriel Sánchez Zinny 2/7")</f>
        <v>RDV Ministros | Gabriel Sánchez Zinny 2/7</v>
      </c>
      <c r="F1331" s="29" t="str">
        <f>IFERROR(__xludf.DUMMYFUNCTION("""COMPUTED_VALUE"""),"https://www.facebook.com/baparticipacion/posts/pfbid0EB4cQrN1iH3u7G4YZcMwmp6NPeGqEmr5n4cD2wPMmMrYjPCd1s9d1H9Ha4CwQJs4l")</f>
        <v>https://www.facebook.com/baparticipacion/posts/pfbid0EB4cQrN1iH3u7G4YZcMwmp6NPeGqEmr5n4cD2wPMmMrYjPCd1s9d1H9Ha4CwQJs4l</v>
      </c>
    </row>
    <row r="1332">
      <c r="A1332" s="28" t="str">
        <f>IFERROR(__xludf.DUMMYFUNCTION("""COMPUTED_VALUE"""),"3075-MAYEPHVC")</f>
        <v>3075-MAYEPHVC</v>
      </c>
      <c r="B1332" s="28" t="str">
        <f>IFERROR(__xludf.DUMMYFUNCTION("""COMPUTED_VALUE"""),"RDV ministros | Ignacio Baistrocchi, Comuna 4 26/5")</f>
        <v>RDV ministros | Ignacio Baistrocchi, Comuna 4 26/5</v>
      </c>
      <c r="C1332" s="29" t="str">
        <f>IFERROR(__xludf.DUMMYFUNCTION("""COMPUTED_VALUE"""),"Pieza")</f>
        <v>Pieza</v>
      </c>
      <c r="D1332" s="28" t="str">
        <f>IFERROR(__xludf.DUMMYFUNCTION("""COMPUTED_VALUE"""),"3261-JUNJDGAG")</f>
        <v>3261-JUNJDGAG</v>
      </c>
      <c r="E1332" s="28" t="str">
        <f>IFERROR(__xludf.DUMMYFUNCTION("""COMPUTED_VALUE"""),"1 A 1 JM | COMUNA 11 | 3/7")</f>
        <v>1 A 1 JM | COMUNA 11 | 3/7</v>
      </c>
      <c r="F1332" s="28"/>
    </row>
    <row r="1333">
      <c r="A1333" s="28" t="str">
        <f>IFERROR(__xludf.DUMMYFUNCTION("""COMPUTED_VALUE"""),"1942-SEPEPHGC")</f>
        <v>1942-SEPEPHGC</v>
      </c>
      <c r="B1333" s="28" t="str">
        <f>IFERROR(__xludf.DUMMYFUNCTION("""COMPUTED_VALUE"""),"DGPLES | MEPHU  | REPARACIÓN DE VEREDAS")</f>
        <v>DGPLES | MEPHU  | REPARACIÓN DE VEREDAS</v>
      </c>
      <c r="C1333" s="29" t="str">
        <f>IFERROR(__xludf.DUMMYFUNCTION("""COMPUTED_VALUE"""),"Pieza")</f>
        <v>Pieza</v>
      </c>
      <c r="D1333" s="28" t="str">
        <f>IFERROR(__xludf.DUMMYFUNCTION("""COMPUTED_VALUE"""),"3263-JUNJDGVC")</f>
        <v>3263-JUNJDGVC</v>
      </c>
      <c r="E1333" s="28" t="str">
        <f>IFERROR(__xludf.DUMMYFUNCTION("""COMPUTED_VALUE"""),"RDV Ministros | Gabriel Sánchez Zinny 2/7")</f>
        <v>RDV Ministros | Gabriel Sánchez Zinny 2/7</v>
      </c>
      <c r="F1333" s="29" t="str">
        <f>IFERROR(__xludf.DUMMYFUNCTION("""COMPUTED_VALUE"""),"https://www.facebook.com/baparticipacion/posts/pfbid0EB4cQrN1iH3u7G4YZcMwmp6NPeGqEmr5n4cD2wPMmMrYjPCd1s9d1H9Ha4CwQJs4l")</f>
        <v>https://www.facebook.com/baparticipacion/posts/pfbid0EB4cQrN1iH3u7G4YZcMwmp6NPeGqEmr5n4cD2wPMmMrYjPCd1s9d1H9Ha4CwQJs4l</v>
      </c>
    </row>
    <row r="1334">
      <c r="A1334" s="28" t="str">
        <f>IFERROR(__xludf.DUMMYFUNCTION("""COMPUTED_VALUE"""),"2994-MAYEPHGC")</f>
        <v>2994-MAYEPHGC</v>
      </c>
      <c r="B1334" s="28" t="str">
        <f>IFERROR(__xludf.DUMMYFUNCTION("""COMPUTED_VALUE"""),"Luminarias Peatonales - Post")</f>
        <v>Luminarias Peatonales - Post</v>
      </c>
      <c r="C1334" s="29" t="str">
        <f>IFERROR(__xludf.DUMMYFUNCTION("""COMPUTED_VALUE"""),"Pieza")</f>
        <v>Pieza</v>
      </c>
      <c r="D1334" s="28" t="str">
        <f>IFERROR(__xludf.DUMMYFUNCTION("""COMPUTED_VALUE"""),"3275-JUNSEGVC")</f>
        <v>3275-JUNSEGVC</v>
      </c>
      <c r="E1334" s="28" t="str">
        <f>IFERROR(__xludf.DUMMYFUNCTION("""COMPUTED_VALUE"""),"RDV Ministros | Horacio Giménez 2/7 Comuna 2")</f>
        <v>RDV Ministros | Horacio Giménez 2/7 Comuna 2</v>
      </c>
      <c r="F1334" s="29" t="str">
        <f>IFERROR(__xludf.DUMMYFUNCTION("""COMPUTED_VALUE"""),"https://www.facebook.com/baparticipacion/posts/pfbid0axrMxWPfqiqEgW2TPGJVJ7z6iCVkmyNhVnWv5W4f71YR7nzFvcZW3y5d8b9sHVYNl")</f>
        <v>https://www.facebook.com/baparticipacion/posts/pfbid0axrMxWPfqiqEgW2TPGJVJ7z6iCVkmyNhVnWv5W4f71YR7nzFvcZW3y5d8b9sHVYNl</v>
      </c>
    </row>
    <row r="1335">
      <c r="A1335" s="28" t="str">
        <f>IFERROR(__xludf.DUMMYFUNCTION("""COMPUTED_VALUE"""),"1895-SEPEPHGC")</f>
        <v>1895-SEPEPHGC</v>
      </c>
      <c r="B1335" s="28" t="str">
        <f>IFERROR(__xludf.DUMMYFUNCTION("""COMPUTED_VALUE"""),"PIEZAS M2 | MEPHU | REPAVIMENTACIÓN")</f>
        <v>PIEZAS M2 | MEPHU | REPAVIMENTACIÓN</v>
      </c>
      <c r="C1335" s="29" t="str">
        <f>IFERROR(__xludf.DUMMYFUNCTION("""COMPUTED_VALUE"""),"Pieza")</f>
        <v>Pieza</v>
      </c>
      <c r="D1335" s="28" t="str">
        <f>IFERROR(__xludf.DUMMYFUNCTION("""COMPUTED_VALUE"""),"3273-JUNSEGVC")</f>
        <v>3273-JUNSEGVC</v>
      </c>
      <c r="E1335" s="28" t="str">
        <f>IFERROR(__xludf.DUMMYFUNCTION("""COMPUTED_VALUE"""),"RDV Ministros | Maximiliano Piñeiro 2/7 Comuna 1 Norte")</f>
        <v>RDV Ministros | Maximiliano Piñeiro 2/7 Comuna 1 Norte</v>
      </c>
      <c r="F1335" s="29" t="str">
        <f>IFERROR(__xludf.DUMMYFUNCTION("""COMPUTED_VALUE"""),"https://www.facebook.com/baparticipacion/posts/pfbid02rYnMxmS6XD3RCsx9M9KBg9kR6JcG4PhAtUs7mrFDM5VFoD6HvNvYFGHsStd5qSRBl")</f>
        <v>https://www.facebook.com/baparticipacion/posts/pfbid02rYnMxmS6XD3RCsx9M9KBg9kR6JcG4PhAtUs7mrFDM5VFoD6HvNvYFGHsStd5qSRBl</v>
      </c>
    </row>
    <row r="1336">
      <c r="A1336" s="28" t="str">
        <f>IFERROR(__xludf.DUMMYFUNCTION("""COMPUTED_VALUE"""),"3046-MAYSEGVC")</f>
        <v>3046-MAYSEGVC</v>
      </c>
      <c r="B1336" s="28" t="str">
        <f>IFERROR(__xludf.DUMMYFUNCTION("""COMPUTED_VALUE"""),"RDV Ministros | Gabino Tapia 21/5 Comuna 10")</f>
        <v>RDV Ministros | Gabino Tapia 21/5 Comuna 10</v>
      </c>
      <c r="C1336" s="29" t="str">
        <f>IFERROR(__xludf.DUMMYFUNCTION("""COMPUTED_VALUE"""),"Pieza")</f>
        <v>Pieza</v>
      </c>
      <c r="D1336" s="28" t="str">
        <f>IFERROR(__xludf.DUMMYFUNCTION("""COMPUTED_VALUE"""),"3283-JUNAMBVC")</f>
        <v>3283-JUNAMBVC</v>
      </c>
      <c r="E1336" s="28" t="str">
        <f>IFERROR(__xludf.DUMMYFUNCTION("""COMPUTED_VALUE"""),"RDV Ministros | Clara Muzzio - 3/7 - Temática")</f>
        <v>RDV Ministros | Clara Muzzio - 3/7 - Temática</v>
      </c>
      <c r="F1336" s="29" t="str">
        <f>IFERROR(__xludf.DUMMYFUNCTION("""COMPUTED_VALUE"""),"https://www.facebook.com/baparticipacion/posts/pfbid0EB4cQrN1iH3u7G4YZcMwmp6NPeGqEmr5n4cD2wPMmMrYjPCd1s9d1H9Ha4CwQJs4l")</f>
        <v>https://www.facebook.com/baparticipacion/posts/pfbid0EB4cQrN1iH3u7G4YZcMwmp6NPeGqEmr5n4cD2wPMmMrYjPCd1s9d1H9Ha4CwQJs4l</v>
      </c>
    </row>
    <row r="1337">
      <c r="A1337" s="28" t="str">
        <f>IFERROR(__xludf.DUMMYFUNCTION("""COMPUTED_VALUE"""),"3079-MAYDHHVC")</f>
        <v>3079-MAYDHHVC</v>
      </c>
      <c r="B1337" s="28" t="str">
        <f>IFERROR(__xludf.DUMMYFUNCTION("""COMPUTED_VALUE"""),"RDV Ministros | Gabriel Mraida - 27/5 - Comuna 14")</f>
        <v>RDV Ministros | Gabriel Mraida - 27/5 - Comuna 14</v>
      </c>
      <c r="C1337" s="29" t="str">
        <f>IFERROR(__xludf.DUMMYFUNCTION("""COMPUTED_VALUE"""),"Pieza")</f>
        <v>Pieza</v>
      </c>
      <c r="D1337" s="28" t="str">
        <f>IFERROR(__xludf.DUMMYFUNCTION("""COMPUTED_VALUE"""),"3272-JUNSEGVC")</f>
        <v>3272-JUNSEGVC</v>
      </c>
      <c r="E1337" s="28" t="str">
        <f>IFERROR(__xludf.DUMMYFUNCTION("""COMPUTED_VALUE"""),"RDV Ministros | Ruth Landerreche 2/7 Comuna 1 Sur")</f>
        <v>RDV Ministros | Ruth Landerreche 2/7 Comuna 1 Sur</v>
      </c>
      <c r="F1337" s="29" t="str">
        <f>IFERROR(__xludf.DUMMYFUNCTION("""COMPUTED_VALUE"""),"https://www.facebook.com/baparticipacion/posts/pfbid0cqdBo8U6f7icGwi1UgY64Dq9b7kJVms3oxUzJRvEnieMK5d2eTXsYd7Ky2JVkPdnl")</f>
        <v>https://www.facebook.com/baparticipacion/posts/pfbid0cqdBo8U6f7icGwi1UgY64Dq9b7kJVms3oxUzJRvEnieMK5d2eTXsYd7Ky2JVkPdnl</v>
      </c>
    </row>
    <row r="1338">
      <c r="A1338" s="28" t="str">
        <f>IFERROR(__xludf.DUMMYFUNCTION("""COMPUTED_VALUE"""),"3082-MAYSEGVC")</f>
        <v>3082-MAYSEGVC</v>
      </c>
      <c r="B1338" s="28" t="str">
        <f>IFERROR(__xludf.DUMMYFUNCTION("""COMPUTED_VALUE"""),"RDV Ministros | Gabino Tapia 28/5 Comuna 12")</f>
        <v>RDV Ministros | Gabino Tapia 28/5 Comuna 12</v>
      </c>
      <c r="C1338" s="29" t="str">
        <f>IFERROR(__xludf.DUMMYFUNCTION("""COMPUTED_VALUE"""),"Pieza")</f>
        <v>Pieza</v>
      </c>
      <c r="D1338" s="28" t="str">
        <f>IFERROR(__xludf.DUMMYFUNCTION("""COMPUTED_VALUE"""),"3274-JUNSEGVC")</f>
        <v>3274-JUNSEGVC</v>
      </c>
      <c r="E1338" s="28" t="str">
        <f>IFERROR(__xludf.DUMMYFUNCTION("""COMPUTED_VALUE"""),"RDV Ministros | Gabino Tapia 2/7 Comuna 3")</f>
        <v>RDV Ministros | Gabino Tapia 2/7 Comuna 3</v>
      </c>
      <c r="F1338" s="29" t="str">
        <f>IFERROR(__xludf.DUMMYFUNCTION("""COMPUTED_VALUE"""),"https://www.facebook.com/baparticipacion/posts/pfbid026rzt5SBsadw9mUfeiZnXRzw82KKCw9hrLaStHhkE38toe7FY9NXm1N7TmsCbdraol")</f>
        <v>https://www.facebook.com/baparticipacion/posts/pfbid026rzt5SBsadw9mUfeiZnXRzw82KKCw9hrLaStHhkE38toe7FY9NXm1N7TmsCbdraol</v>
      </c>
    </row>
    <row r="1339">
      <c r="A1339" s="28" t="str">
        <f>IFERROR(__xludf.DUMMYFUNCTION("""COMPUTED_VALUE"""),"3074-MAYJDGAG")</f>
        <v>3074-MAYJDGAG</v>
      </c>
      <c r="B1339" s="28" t="str">
        <f>IFERROR(__xludf.DUMMYFUNCTION("""COMPUTED_VALUE"""),"RDV JM TEMÁTICA | TE CUENTO BS AS 28/05 CIUDAD ATRACTIVA EJE ESTE")</f>
        <v>RDV JM TEMÁTICA | TE CUENTO BS AS 28/05 CIUDAD ATRACTIVA EJE ESTE</v>
      </c>
      <c r="C1339" s="29" t="str">
        <f>IFERROR(__xludf.DUMMYFUNCTION("""COMPUTED_VALUE"""),"Pieza")</f>
        <v>Pieza</v>
      </c>
      <c r="D1339" s="28" t="str">
        <f>IFERROR(__xludf.DUMMYFUNCTION("""COMPUTED_VALUE"""),"3144-JUNSALGC")</f>
        <v>3144-JUNSALGC</v>
      </c>
      <c r="E1339" s="28" t="str">
        <f>IFERROR(__xludf.DUMMYFUNCTION("""COMPUTED_VALUE"""),"Monóxido de Carbono - 2026")</f>
        <v>Monóxido de Carbono - 2026</v>
      </c>
      <c r="F1339" s="29" t="str">
        <f>IFERROR(__xludf.DUMMYFUNCTION("""COMPUTED_VALUE"""),"https://www.facebook.com/GCBA/posts/pfbid0YhueYGpntBgMxwJ72kfke9vjquz5VNdcd1gvDFdyw1CYKUTWgM3YrprNGk6n7F7Bl")</f>
        <v>https://www.facebook.com/GCBA/posts/pfbid0YhueYGpntBgMxwJ72kfke9vjquz5VNdcd1gvDFdyw1CYKUTWgM3YrprNGk6n7F7Bl</v>
      </c>
    </row>
    <row r="1340">
      <c r="A1340" s="28" t="str">
        <f>IFERROR(__xludf.DUMMYFUNCTION("""COMPUTED_VALUE"""),"3039-MAYJDGVC")</f>
        <v>3039-MAYJDGVC</v>
      </c>
      <c r="B1340" s="28" t="str">
        <f>IFERROR(__xludf.DUMMYFUNCTION("""COMPUTED_VALUE"""),"RDV Ministros | Gabriel Sánchéz Zinny - 22/5 - Villa Urquiza")</f>
        <v>RDV Ministros | Gabriel Sánchéz Zinny - 22/5 - Villa Urquiza</v>
      </c>
      <c r="C1340" s="29" t="str">
        <f>IFERROR(__xludf.DUMMYFUNCTION("""COMPUTED_VALUE"""),"Pieza")</f>
        <v>Pieza</v>
      </c>
      <c r="D1340" s="28" t="str">
        <f>IFERROR(__xludf.DUMMYFUNCTION("""COMPUTED_VALUE"""),"3237-JUNSALCG")</f>
        <v>3237-JUNSALCG</v>
      </c>
      <c r="E1340" s="28" t="str">
        <f>IFERROR(__xludf.DUMMYFUNCTION("""COMPUTED_VALUE"""),"Contenido Adicional Salud I Prioridad porteños")</f>
        <v>Contenido Adicional Salud I Prioridad porteños</v>
      </c>
      <c r="F1340" s="29" t="str">
        <f>IFERROR(__xludf.DUMMYFUNCTION("""COMPUTED_VALUE"""),"https://www.facebook.com/GCBA/posts/pfbid0b4e3p1kdCqSay8vtiHJSCCVLY7GjUq3R1LwXjZ4orfdwFFTNqqNXeh8NDwZcZNoTl")</f>
        <v>https://www.facebook.com/GCBA/posts/pfbid0b4e3p1kdCqSay8vtiHJSCCVLY7GjUq3R1LwXjZ4orfdwFFTNqqNXeh8NDwZcZNoTl</v>
      </c>
    </row>
    <row r="1341">
      <c r="A1341" s="28" t="str">
        <f>IFERROR(__xludf.DUMMYFUNCTION("""COMPUTED_VALUE"""),"2961-ABRSEGGJ")</f>
        <v>2961-ABRSEGGJ</v>
      </c>
      <c r="B1341" s="28" t="str">
        <f>IFERROR(__xludf.DUMMYFUNCTION("""COMPUTED_VALUE"""),"Campaña ORDEN Y SEGURIDAD 2026")</f>
        <v>Campaña ORDEN Y SEGURIDAD 2026</v>
      </c>
      <c r="C1341" s="29" t="str">
        <f>IFERROR(__xludf.DUMMYFUNCTION("""COMPUTED_VALUE"""),"Pieza")</f>
        <v>Pieza</v>
      </c>
      <c r="D1341" s="28" t="str">
        <f>IFERROR(__xludf.DUMMYFUNCTION("""COMPUTED_VALUE"""),"3024-MAYINFGJ")</f>
        <v>3024-MAYINFGJ</v>
      </c>
      <c r="E1341" s="28" t="str">
        <f>IFERROR(__xludf.DUMMYFUNCTION("""COMPUTED_VALUE"""),"INFRAESTRUCTURA | RECAP OBRAS CABA")</f>
        <v>INFRAESTRUCTURA | RECAP OBRAS CABA</v>
      </c>
      <c r="F1341" s="29" t="str">
        <f>IFERROR(__xludf.DUMMYFUNCTION("""COMPUTED_VALUE"""),"https://www.facebook.com/reel/2068009630739529/")</f>
        <v>https://www.facebook.com/reel/2068009630739529/</v>
      </c>
    </row>
    <row r="1342">
      <c r="A1342" s="28" t="str">
        <f>IFERROR(__xludf.DUMMYFUNCTION("""COMPUTED_VALUE"""),"3073-MAYJDGAG")</f>
        <v>3073-MAYJDGAG</v>
      </c>
      <c r="B1342" s="28" t="str">
        <f>IFERROR(__xludf.DUMMYFUNCTION("""COMPUTED_VALUE"""),"RDV JM | 29/5 - Saavedra")</f>
        <v>RDV JM | 29/5 - Saavedra</v>
      </c>
      <c r="C1342" s="29" t="str">
        <f>IFERROR(__xludf.DUMMYFUNCTION("""COMPUTED_VALUE"""),"Pieza")</f>
        <v>Pieza</v>
      </c>
      <c r="D1342" s="28" t="str">
        <f>IFERROR(__xludf.DUMMYFUNCTION("""COMPUTED_VALUE"""),"3024-MAYINFGJ")</f>
        <v>3024-MAYINFGJ</v>
      </c>
      <c r="E1342" s="28" t="str">
        <f>IFERROR(__xludf.DUMMYFUNCTION("""COMPUTED_VALUE"""),"INFRAESTRUCTURA | RECAP OBRAS CABA")</f>
        <v>INFRAESTRUCTURA | RECAP OBRAS CABA</v>
      </c>
      <c r="F1342" s="29" t="str">
        <f>IFERROR(__xludf.DUMMYFUNCTION("""COMPUTED_VALUE"""),"https://www.facebook.com/reel/1324354759615538")</f>
        <v>https://www.facebook.com/reel/1324354759615538</v>
      </c>
    </row>
    <row r="1343">
      <c r="A1343" s="28" t="str">
        <f>IFERROR(__xludf.DUMMYFUNCTION("""COMPUTED_VALUE"""),"3072-MAYCULVC")</f>
        <v>3072-MAYCULVC</v>
      </c>
      <c r="B1343" s="28" t="str">
        <f>IFERROR(__xludf.DUMMYFUNCTION("""COMPUTED_VALUE"""),"RDV Ministros | Gabriela Ricardes 26/5 Comuna 5")</f>
        <v>RDV Ministros | Gabriela Ricardes 26/5 Comuna 5</v>
      </c>
      <c r="C1343" s="29" t="str">
        <f>IFERROR(__xludf.DUMMYFUNCTION("""COMPUTED_VALUE"""),"Pieza")</f>
        <v>Pieza</v>
      </c>
      <c r="D1343" s="28" t="str">
        <f>IFERROR(__xludf.DUMMYFUNCTION("""COMPUTED_VALUE"""),"3220-JUNSEGGJ")</f>
        <v>3220-JUNSEGGJ</v>
      </c>
      <c r="E1343" s="28" t="str">
        <f>IFERROR(__xludf.DUMMYFUNCTION("""COMPUTED_VALUE"""),"Sesiones Legislativas | Temas: Trapitos + VTV")</f>
        <v>Sesiones Legislativas | Temas: Trapitos + VTV</v>
      </c>
      <c r="F1343" s="29" t="str">
        <f>IFERROR(__xludf.DUMMYFUNCTION("""COMPUTED_VALUE"""),"https://www.facebook.com/GCBA/posts/pfbid0SCv36fUn9suSse5UeEgMhVjYT6xS8nEu9sNA4EDWjSv4HxcYY4oCzaUMJs2J9HQbl")</f>
        <v>https://www.facebook.com/GCBA/posts/pfbid0SCv36fUn9suSse5UeEgMhVjYT6xS8nEu9sNA4EDWjSv4HxcYY4oCzaUMJs2J9HQbl</v>
      </c>
    </row>
    <row r="1344">
      <c r="A1344" s="28" t="str">
        <f>IFERROR(__xludf.DUMMYFUNCTION("""COMPUTED_VALUE"""),"3075-MAYEPHVC")</f>
        <v>3075-MAYEPHVC</v>
      </c>
      <c r="B1344" s="28" t="str">
        <f>IFERROR(__xludf.DUMMYFUNCTION("""COMPUTED_VALUE"""),"RDV ministros | Ignacio Baistrocchi, Comuna 4 26/5")</f>
        <v>RDV ministros | Ignacio Baistrocchi, Comuna 4 26/5</v>
      </c>
      <c r="C1344" s="29" t="str">
        <f>IFERROR(__xludf.DUMMYFUNCTION("""COMPUTED_VALUE"""),"Pieza")</f>
        <v>Pieza</v>
      </c>
      <c r="D1344" s="28" t="str">
        <f>IFERROR(__xludf.DUMMYFUNCTION("""COMPUTED_VALUE"""),"3220-JUNSEGGJ")</f>
        <v>3220-JUNSEGGJ</v>
      </c>
      <c r="E1344" s="28" t="str">
        <f>IFERROR(__xludf.DUMMYFUNCTION("""COMPUTED_VALUE"""),"Sesiones Legislativas | Temas: Trapitos + VTV")</f>
        <v>Sesiones Legislativas | Temas: Trapitos + VTV</v>
      </c>
      <c r="F1344" s="29" t="str">
        <f>IFERROR(__xludf.DUMMYFUNCTION("""COMPUTED_VALUE"""),"https://www.facebook.com/reel/2391073264716114")</f>
        <v>https://www.facebook.com/reel/2391073264716114</v>
      </c>
    </row>
    <row r="1345">
      <c r="A1345" s="28" t="str">
        <f>IFERROR(__xludf.DUMMYFUNCTION("""COMPUTED_VALUE"""),"2954-ABRSALGC")</f>
        <v>2954-ABRSALGC</v>
      </c>
      <c r="B1345" s="28" t="str">
        <f>IFERROR(__xludf.DUMMYFUNCTION("""COMPUTED_VALUE"""),"Inversión en Salud")</f>
        <v>Inversión en Salud</v>
      </c>
      <c r="C1345" s="29" t="str">
        <f>IFERROR(__xludf.DUMMYFUNCTION("""COMPUTED_VALUE"""),"Pieza")</f>
        <v>Pieza</v>
      </c>
      <c r="D1345" s="28" t="str">
        <f>IFERROR(__xludf.DUMMYFUNCTION("""COMPUTED_VALUE"""),"3011-MAYFESGC")</f>
        <v>3011-MAYFESGC</v>
      </c>
      <c r="E1345" s="28" t="str">
        <f>IFERROR(__xludf.DUMMYFUNCTION("""COMPUTED_VALUE"""),"La ciudad late mundial Genérica")</f>
        <v>La ciudad late mundial Genérica</v>
      </c>
      <c r="F1345" s="29" t="str">
        <f>IFERROR(__xludf.DUMMYFUNCTION("""COMPUTED_VALUE"""),"https://www.facebook.com/reel/1368798341811054/")</f>
        <v>https://www.facebook.com/reel/1368798341811054/</v>
      </c>
    </row>
    <row r="1346">
      <c r="A1346" s="28" t="str">
        <f>IFERROR(__xludf.DUMMYFUNCTION("""COMPUTED_VALUE"""),"3049-MAYSEGVC")</f>
        <v>3049-MAYSEGVC</v>
      </c>
      <c r="B1346" s="28" t="str">
        <f>IFERROR(__xludf.DUMMYFUNCTION("""COMPUTED_VALUE"""),"RDV MINISTROS SEGURIDAD | RUTH LANDERRECHE 21/5 COMUNA 4")</f>
        <v>RDV MINISTROS SEGURIDAD | RUTH LANDERRECHE 21/5 COMUNA 4</v>
      </c>
      <c r="C1346" s="29" t="str">
        <f>IFERROR(__xludf.DUMMYFUNCTION("""COMPUTED_VALUE"""),"Pieza")</f>
        <v>Pieza</v>
      </c>
      <c r="D1346" s="28" t="str">
        <f>IFERROR(__xludf.DUMMYFUNCTION("""COMPUTED_VALUE"""),"3011-MAYFESGC")</f>
        <v>3011-MAYFESGC</v>
      </c>
      <c r="E1346" s="28" t="str">
        <f>IFERROR(__xludf.DUMMYFUNCTION("""COMPUTED_VALUE"""),"La ciudad late mundial Genérica")</f>
        <v>La ciudad late mundial Genérica</v>
      </c>
      <c r="F1346" s="29" t="str">
        <f>IFERROR(__xludf.DUMMYFUNCTION("""COMPUTED_VALUE"""),"facebook.com/reel/1368798341811054/")</f>
        <v>facebook.com/reel/1368798341811054/</v>
      </c>
    </row>
    <row r="1347">
      <c r="A1347" s="28" t="str">
        <f>IFERROR(__xludf.DUMMYFUNCTION("""COMPUTED_VALUE"""),"3026-MAYPCCVC")</f>
        <v>3026-MAYPCCVC</v>
      </c>
      <c r="B1347" s="28" t="str">
        <f>IFERROR(__xludf.DUMMYFUNCTION("""COMPUTED_VALUE"""),"Opinión Ciudadana: Nombre del barrio VIlla Riachuelo")</f>
        <v>Opinión Ciudadana: Nombre del barrio VIlla Riachuelo</v>
      </c>
      <c r="C1347" s="29" t="str">
        <f>IFERROR(__xludf.DUMMYFUNCTION("""COMPUTED_VALUE"""),"Pieza")</f>
        <v>Pieza</v>
      </c>
      <c r="D1347" s="28" t="str">
        <f>IFERROR(__xludf.DUMMYFUNCTION("""COMPUTED_VALUE"""),"3227-JUNSALGC")</f>
        <v>3227-JUNSALGC</v>
      </c>
      <c r="E1347" s="28" t="str">
        <f>IFERROR(__xludf.DUMMYFUNCTION("""COMPUTED_VALUE"""),"Hospital Roca: Obras")</f>
        <v>Hospital Roca: Obras</v>
      </c>
      <c r="F1347" s="29" t="str">
        <f>IFERROR(__xludf.DUMMYFUNCTION("""COMPUTED_VALUE"""),"https://www.facebook.com/GCBA/posts/pfbid0hL6DnVWapHTEjHavJnJmhZrAV1oeXCFP5cu7KwkKVcgsUFRBsTZSBTT4W1LM6t76l")</f>
        <v>https://www.facebook.com/GCBA/posts/pfbid0hL6DnVWapHTEjHavJnJmhZrAV1oeXCFP5cu7KwkKVcgsUFRBsTZSBTT4W1LM6t76l</v>
      </c>
    </row>
    <row r="1348">
      <c r="A1348" s="28" t="str">
        <f>IFERROR(__xludf.DUMMYFUNCTION("""COMPUTED_VALUE"""),"3061-MAYPCCVC")</f>
        <v>3061-MAYPCCVC</v>
      </c>
      <c r="B1348" s="28" t="str">
        <f>IFERROR(__xludf.DUMMYFUNCTION("""COMPUTED_VALUE"""),"Envio de resultados PBN BOSCH")</f>
        <v>Envio de resultados PBN BOSCH</v>
      </c>
      <c r="C1348" s="29" t="str">
        <f>IFERROR(__xludf.DUMMYFUNCTION("""COMPUTED_VALUE"""),"Pieza")</f>
        <v>Pieza</v>
      </c>
      <c r="D1348" s="28" t="str">
        <f>IFERROR(__xludf.DUMMYFUNCTION("""COMPUTED_VALUE"""),"3015-MAYFESGC")</f>
        <v>3015-MAYFESGC</v>
      </c>
      <c r="E1348" s="28" t="str">
        <f>IFERROR(__xludf.DUMMYFUNCTION("""COMPUTED_VALUE"""),"La ciudad late mundial | Fan Fest FIFA")</f>
        <v>La ciudad late mundial | Fan Fest FIFA</v>
      </c>
      <c r="F1348" s="29" t="str">
        <f>IFERROR(__xludf.DUMMYFUNCTION("""COMPUTED_VALUE"""),"https://www.facebook.com/reel/2212657036254593")</f>
        <v>https://www.facebook.com/reel/2212657036254593</v>
      </c>
    </row>
    <row r="1349">
      <c r="A1349" s="28" t="str">
        <f>IFERROR(__xludf.DUMMYFUNCTION("""COMPUTED_VALUE"""),"3066-MAYVINVC")</f>
        <v>3066-MAYVINVC</v>
      </c>
      <c r="B1349" s="28" t="str">
        <f>IFERROR(__xludf.DUMMYFUNCTION("""COMPUTED_VALUE"""),"Más servicios en tu barrio Flores 28/5")</f>
        <v>Más servicios en tu barrio Flores 28/5</v>
      </c>
      <c r="C1349" s="29" t="str">
        <f>IFERROR(__xludf.DUMMYFUNCTION("""COMPUTED_VALUE"""),"Pieza")</f>
        <v>Pieza</v>
      </c>
      <c r="D1349" s="28" t="str">
        <f>IFERROR(__xludf.DUMMYFUNCTION("""COMPUTED_VALUE"""),"2961-ABRSEGGJ")</f>
        <v>2961-ABRSEGGJ</v>
      </c>
      <c r="E1349" s="28" t="str">
        <f>IFERROR(__xludf.DUMMYFUNCTION("""COMPUTED_VALUE"""),"Campaña ORDEN Y SEGURIDAD 2026")</f>
        <v>Campaña ORDEN Y SEGURIDAD 2026</v>
      </c>
      <c r="F1349" s="29" t="str">
        <f>IFERROR(__xludf.DUMMYFUNCTION("""COMPUTED_VALUE"""),"https://www.facebook.com/reel/1659762081812931")</f>
        <v>https://www.facebook.com/reel/1659762081812931</v>
      </c>
    </row>
    <row r="1350">
      <c r="A1350" s="28" t="str">
        <f>IFERROR(__xludf.DUMMYFUNCTION("""COMPUTED_VALUE"""),"3067-MAYVINVC")</f>
        <v>3067-MAYVINVC</v>
      </c>
      <c r="B1350" s="28" t="str">
        <f>IFERROR(__xludf.DUMMYFUNCTION("""COMPUTED_VALUE"""),"Más servicios en tu barrio Coghlan 29/5")</f>
        <v>Más servicios en tu barrio Coghlan 29/5</v>
      </c>
      <c r="C1350" s="29" t="str">
        <f>IFERROR(__xludf.DUMMYFUNCTION("""COMPUTED_VALUE"""),"Pieza")</f>
        <v>Pieza</v>
      </c>
      <c r="D1350" s="28" t="str">
        <f>IFERROR(__xludf.DUMMYFUNCTION("""COMPUTED_VALUE"""),"2961-ABRSEGGJ")</f>
        <v>2961-ABRSEGGJ</v>
      </c>
      <c r="E1350" s="28" t="str">
        <f>IFERROR(__xludf.DUMMYFUNCTION("""COMPUTED_VALUE"""),"Campaña ORDEN Y SEGURIDAD 2026")</f>
        <v>Campaña ORDEN Y SEGURIDAD 2026</v>
      </c>
      <c r="F1350" s="29" t="str">
        <f>IFERROR(__xludf.DUMMYFUNCTION("""COMPUTED_VALUE"""),"https://www.facebook.com/reel/1458725662138823")</f>
        <v>https://www.facebook.com/reel/1458725662138823</v>
      </c>
    </row>
    <row r="1351">
      <c r="A1351" s="28" t="str">
        <f>IFERROR(__xludf.DUMMYFUNCTION("""COMPUTED_VALUE"""),"3068-MAYVINVC")</f>
        <v>3068-MAYVINVC</v>
      </c>
      <c r="B1351" s="28" t="str">
        <f>IFERROR(__xludf.DUMMYFUNCTION("""COMPUTED_VALUE"""),"Más servicios en tu barrio Versalles 30/5")</f>
        <v>Más servicios en tu barrio Versalles 30/5</v>
      </c>
      <c r="C1351" s="29" t="str">
        <f>IFERROR(__xludf.DUMMYFUNCTION("""COMPUTED_VALUE"""),"Pieza")</f>
        <v>Pieza</v>
      </c>
      <c r="D1351" s="28" t="str">
        <f>IFERROR(__xludf.DUMMYFUNCTION("""COMPUTED_VALUE"""),"3258-JUNJDGGJ")</f>
        <v>3258-JUNJDGGJ</v>
      </c>
      <c r="E1351" s="28" t="str">
        <f>IFERROR(__xludf.DUMMYFUNCTION("""COMPUTED_VALUE"""),"Decreto: Declaración de servicios esenciales")</f>
        <v>Decreto: Declaración de servicios esenciales</v>
      </c>
      <c r="F1351" s="29" t="str">
        <f>IFERROR(__xludf.DUMMYFUNCTION("""COMPUTED_VALUE"""),"https://www.facebook.com/GCBA/posts/pfbid0NZouXVjpaRX7dWN4duRKXkSB2SFM7V8kETW9PxprU5sVCx7fMuzF9a9Dt3LGaH5Zl")</f>
        <v>https://www.facebook.com/GCBA/posts/pfbid0NZouXVjpaRX7dWN4duRKXkSB2SFM7V8kETW9PxprU5sVCx7fMuzF9a9Dt3LGaH5Zl</v>
      </c>
    </row>
    <row r="1352">
      <c r="A1352" s="28" t="str">
        <f>IFERROR(__xludf.DUMMYFUNCTION("""COMPUTED_VALUE"""),"3077-MAYINFVC")</f>
        <v>3077-MAYINFVC</v>
      </c>
      <c r="B1352" s="28" t="str">
        <f>IFERROR(__xludf.DUMMYFUNCTION("""COMPUTED_VALUE"""),"RDV Ministros | Pablo Bereciartua - 27/5 - Comuna 10")</f>
        <v>RDV Ministros | Pablo Bereciartua - 27/5 - Comuna 10</v>
      </c>
      <c r="C1352" s="29" t="str">
        <f>IFERROR(__xludf.DUMMYFUNCTION("""COMPUTED_VALUE"""),"Pieza")</f>
        <v>Pieza</v>
      </c>
      <c r="D1352" s="28" t="str">
        <f>IFERROR(__xludf.DUMMYFUNCTION("""COMPUTED_VALUE"""),"3044-MAYDUDGC")</f>
        <v>3044-MAYDUDGC</v>
      </c>
      <c r="E1352" s="28" t="str">
        <f>IFERROR(__xludf.DUMMYFUNCTION("""COMPUTED_VALUE"""),"BA Capital Mundial del deporte")</f>
        <v>BA Capital Mundial del deporte</v>
      </c>
      <c r="F1352" s="29" t="str">
        <f>IFERROR(__xludf.DUMMYFUNCTION("""COMPUTED_VALUE"""),"https://www.facebook.com/reel/2081566192790744")</f>
        <v>https://www.facebook.com/reel/2081566192790744</v>
      </c>
    </row>
    <row r="1353">
      <c r="A1353" s="28" t="str">
        <f>IFERROR(__xludf.DUMMYFUNCTION("""COMPUTED_VALUE"""),"3090-MAYINFGC")</f>
        <v>3090-MAYINFGC</v>
      </c>
      <c r="B1353" s="28" t="str">
        <f>IFERROR(__xludf.DUMMYFUNCTION("""COMPUTED_VALUE"""),"Infraestructura I Corte AU Dellepiane por obras (27/5)")</f>
        <v>Infraestructura I Corte AU Dellepiane por obras (27/5)</v>
      </c>
      <c r="C1353" s="29" t="str">
        <f>IFERROR(__xludf.DUMMYFUNCTION("""COMPUTED_VALUE"""),"Pieza")</f>
        <v>Pieza</v>
      </c>
      <c r="D1353" s="28" t="str">
        <f>IFERROR(__xludf.DUMMYFUNCTION("""COMPUTED_VALUE"""),"3231-JUNJDGAG")</f>
        <v>3231-JUNJDGAG</v>
      </c>
      <c r="E1353" s="28" t="str">
        <f>IFERROR(__xludf.DUMMYFUNCTION("""COMPUTED_VALUE"""),"1 A 1 JM |  24/06 COMUNA 10")</f>
        <v>1 A 1 JM |  24/06 COMUNA 10</v>
      </c>
      <c r="F1353" s="29" t="str">
        <f>IFERROR(__xludf.DUMMYFUNCTION("""COMPUTED_VALUE"""),"https://www.facebook.com/reel/2475612596197961")</f>
        <v>https://www.facebook.com/reel/2475612596197961</v>
      </c>
    </row>
    <row r="1354">
      <c r="A1354" s="28" t="str">
        <f>IFERROR(__xludf.DUMMYFUNCTION("""COMPUTED_VALUE"""),"3074-MAYJDGAG")</f>
        <v>3074-MAYJDGAG</v>
      </c>
      <c r="B1354" s="28" t="str">
        <f>IFERROR(__xludf.DUMMYFUNCTION("""COMPUTED_VALUE"""),"RDV JM TEMÁTICA | TE CUENTO BS AS 28/05 CIUDAD ATRACTIVA EJE ESTE")</f>
        <v>RDV JM TEMÁTICA | TE CUENTO BS AS 28/05 CIUDAD ATRACTIVA EJE ESTE</v>
      </c>
      <c r="C1354" s="29" t="str">
        <f>IFERROR(__xludf.DUMMYFUNCTION("""COMPUTED_VALUE"""),"Pieza")</f>
        <v>Pieza</v>
      </c>
      <c r="D1354" s="28" t="str">
        <f>IFERROR(__xludf.DUMMYFUNCTION("""COMPUTED_VALUE"""),"3215-JUNSEGGJ")</f>
        <v>3215-JUNSEGGJ</v>
      </c>
      <c r="E1354" s="28" t="str">
        <f>IFERROR(__xludf.DUMMYFUNCTION("""COMPUTED_VALUE"""),"Desalojo de casa tomada en PP: Atuel 255")</f>
        <v>Desalojo de casa tomada en PP: Atuel 255</v>
      </c>
      <c r="F1354" s="29" t="str">
        <f>IFERROR(__xludf.DUMMYFUNCTION("""COMPUTED_VALUE"""),"https://www.facebook.com/reel/1739191770421854/")</f>
        <v>https://www.facebook.com/reel/1739191770421854/</v>
      </c>
    </row>
    <row r="1355">
      <c r="A1355" s="28" t="str">
        <f>IFERROR(__xludf.DUMMYFUNCTION("""COMPUTED_VALUE"""),"3074-MAYJDGAG")</f>
        <v>3074-MAYJDGAG</v>
      </c>
      <c r="B1355" s="28" t="str">
        <f>IFERROR(__xludf.DUMMYFUNCTION("""COMPUTED_VALUE"""),"RDV JM TEMÁTICA | TE CUENTO BS AS 28/05 CIUDAD ATRACTIVA EJE ESTE")</f>
        <v>RDV JM TEMÁTICA | TE CUENTO BS AS 28/05 CIUDAD ATRACTIVA EJE ESTE</v>
      </c>
      <c r="C1355" s="29" t="str">
        <f>IFERROR(__xludf.DUMMYFUNCTION("""COMPUTED_VALUE"""),"Pieza")</f>
        <v>Pieza</v>
      </c>
      <c r="D1355" s="28" t="str">
        <f>IFERROR(__xludf.DUMMYFUNCTION("""COMPUTED_VALUE"""),"3215-JUNSEGGJ")</f>
        <v>3215-JUNSEGGJ</v>
      </c>
      <c r="E1355" s="28" t="str">
        <f>IFERROR(__xludf.DUMMYFUNCTION("""COMPUTED_VALUE"""),"Desalojo de casa tomada en PP: Atuel 255")</f>
        <v>Desalojo de casa tomada en PP: Atuel 255</v>
      </c>
      <c r="F1355" s="29" t="str">
        <f>IFERROR(__xludf.DUMMYFUNCTION("""COMPUTED_VALUE"""),"https://www.facebook.com/reel/1739191770421854/")</f>
        <v>https://www.facebook.com/reel/1739191770421854/</v>
      </c>
    </row>
    <row r="1356">
      <c r="A1356" s="28" t="str">
        <f>IFERROR(__xludf.DUMMYFUNCTION("""COMPUTED_VALUE"""),"3050-MAYSEGVC")</f>
        <v>3050-MAYSEGVC</v>
      </c>
      <c r="B1356" s="28" t="str">
        <f>IFERROR(__xludf.DUMMYFUNCTION("""COMPUTED_VALUE"""),"RDV MINISTROS SEGURIDAD | HORACIO GIMÉNEZ 21/5 COMUNA 8")</f>
        <v>RDV MINISTROS SEGURIDAD | HORACIO GIMÉNEZ 21/5 COMUNA 8</v>
      </c>
      <c r="C1356" s="29" t="str">
        <f>IFERROR(__xludf.DUMMYFUNCTION("""COMPUTED_VALUE"""),"Pieza")</f>
        <v>Pieza</v>
      </c>
      <c r="D1356" s="28" t="str">
        <f>IFERROR(__xludf.DUMMYFUNCTION("""COMPUTED_VALUE"""),"3140-JUNSALGC")</f>
        <v>3140-JUNSALGC</v>
      </c>
      <c r="E1356" s="28" t="str">
        <f>IFERROR(__xludf.DUMMYFUNCTION("""COMPUTED_VALUE"""),"Always On - Centros de Salud")</f>
        <v>Always On - Centros de Salud</v>
      </c>
      <c r="F1356" s="29" t="str">
        <f>IFERROR(__xludf.DUMMYFUNCTION("""COMPUTED_VALUE"""),"https://www.facebook.com/GCBA/posts/pfbid0MuG7Sbo5joqEuk2UWgNsVURV9frh2FTUkY1aQoaNkgEbc3aeURAPiq423LHA7Mwyl")</f>
        <v>https://www.facebook.com/GCBA/posts/pfbid0MuG7Sbo5joqEuk2UWgNsVURV9frh2FTUkY1aQoaNkgEbc3aeURAPiq423LHA7Mwyl</v>
      </c>
    </row>
    <row r="1357">
      <c r="A1357" s="28" t="str">
        <f>IFERROR(__xludf.DUMMYFUNCTION("""COMPUTED_VALUE"""),"3076-MAYEDUVC")</f>
        <v>3076-MAYEDUVC</v>
      </c>
      <c r="B1357" s="28" t="str">
        <f>IFERROR(__xludf.DUMMYFUNCTION("""COMPUTED_VALUE"""),"RDV MINISTROS | MERCEDES MIGUEL | COMUNA 8 | 29/5")</f>
        <v>RDV MINISTROS | MERCEDES MIGUEL | COMUNA 8 | 29/5</v>
      </c>
      <c r="C1357" s="29" t="str">
        <f>IFERROR(__xludf.DUMMYFUNCTION("""COMPUTED_VALUE"""),"Pieza")</f>
        <v>Pieza</v>
      </c>
      <c r="D1357" s="28" t="str">
        <f>IFERROR(__xludf.DUMMYFUNCTION("""COMPUTED_VALUE"""),"3201-JUNJDGAG")</f>
        <v>3201-JUNJDGAG</v>
      </c>
      <c r="E1357" s="28" t="str">
        <f>IFERROR(__xludf.DUMMYFUNCTION("""COMPUTED_VALUE"""),"RDV JM MATADEROS 18/6")</f>
        <v>RDV JM MATADEROS 18/6</v>
      </c>
      <c r="F1357" s="29" t="str">
        <f>IFERROR(__xludf.DUMMYFUNCTION("""COMPUTED_VALUE"""),"https://www.facebook.com/reel/1034798936155144")</f>
        <v>https://www.facebook.com/reel/1034798936155144</v>
      </c>
    </row>
    <row r="1358">
      <c r="A1358" s="28" t="str">
        <f>IFERROR(__xludf.DUMMYFUNCTION("""COMPUTED_VALUE"""),"2673-MARSALGC")</f>
        <v>2673-MARSALGC</v>
      </c>
      <c r="B1358" s="28" t="str">
        <f>IFERROR(__xludf.DUMMYFUNCTION("""COMPUTED_VALUE"""),"Mejoras en Centros de Salud")</f>
        <v>Mejoras en Centros de Salud</v>
      </c>
      <c r="C1358" s="29" t="str">
        <f>IFERROR(__xludf.DUMMYFUNCTION("""COMPUTED_VALUE"""),"Pieza")</f>
        <v>Pieza</v>
      </c>
      <c r="D1358" s="28" t="str">
        <f>IFERROR(__xludf.DUMMYFUNCTION("""COMPUTED_VALUE"""),"3178-JUNJDGAG")</f>
        <v>3178-JUNJDGAG</v>
      </c>
      <c r="E1358" s="28" t="str">
        <f>IFERROR(__xludf.DUMMYFUNCTION("""COMPUTED_VALUE""")," TE CUENTO BS AS JM | 16/6 EDUCACIÓN EJE OESTE")</f>
        <v> TE CUENTO BS AS JM | 16/6 EDUCACIÓN EJE OESTE</v>
      </c>
      <c r="F1358" s="29" t="str">
        <f>IFERROR(__xludf.DUMMYFUNCTION("""COMPUTED_VALUE"""),"https://www.facebook.com/reel/1333766678147057")</f>
        <v>https://www.facebook.com/reel/1333766678147057</v>
      </c>
    </row>
    <row r="1359">
      <c r="A1359" s="28" t="str">
        <f>IFERROR(__xludf.DUMMYFUNCTION("""COMPUTED_VALUE"""),"1942-SEPEPHGC")</f>
        <v>1942-SEPEPHGC</v>
      </c>
      <c r="B1359" s="28" t="str">
        <f>IFERROR(__xludf.DUMMYFUNCTION("""COMPUTED_VALUE"""),"DGPLES | MEPHU  | REPARACIÓN DE VEREDAS")</f>
        <v>DGPLES | MEPHU  | REPARACIÓN DE VEREDAS</v>
      </c>
      <c r="C1359" s="29" t="str">
        <f>IFERROR(__xludf.DUMMYFUNCTION("""COMPUTED_VALUE"""),"Pieza")</f>
        <v>Pieza</v>
      </c>
      <c r="D1359" s="28" t="str">
        <f>IFERROR(__xludf.DUMMYFUNCTION("""COMPUTED_VALUE"""),"2975-MAYPCCVC")</f>
        <v>2975-MAYPCCVC</v>
      </c>
      <c r="E1359" s="28" t="str">
        <f>IFERROR(__xludf.DUMMYFUNCTION("""COMPUTED_VALUE"""),"Campaña genéricas RDV Ministros")</f>
        <v>Campaña genéricas RDV Ministros</v>
      </c>
      <c r="F1359" s="29" t="str">
        <f>IFERROR(__xludf.DUMMYFUNCTION("""COMPUTED_VALUE"""),"facebook.com/reel/1023934959977410/")</f>
        <v>facebook.com/reel/1023934959977410/</v>
      </c>
    </row>
    <row r="1360">
      <c r="A1360" s="28" t="str">
        <f>IFERROR(__xludf.DUMMYFUNCTION("""COMPUTED_VALUE"""),"1943-SEPEPHGC")</f>
        <v>1943-SEPEPHGC</v>
      </c>
      <c r="B1360" s="28" t="str">
        <f>IFERROR(__xludf.DUMMYFUNCTION("""COMPUTED_VALUE"""),"DGPLES | MEPHU  | READOQUINADO")</f>
        <v>DGPLES | MEPHU  | READOQUINADO</v>
      </c>
      <c r="C1360" s="29" t="str">
        <f>IFERROR(__xludf.DUMMYFUNCTION("""COMPUTED_VALUE"""),"Pieza")</f>
        <v>Pieza</v>
      </c>
      <c r="D1360" s="28" t="str">
        <f>IFERROR(__xludf.DUMMYFUNCTION("""COMPUTED_VALUE"""),"3199-JUNDUDGC")</f>
        <v>3199-JUNDUDGC</v>
      </c>
      <c r="E1360" s="28" t="str">
        <f>IFERROR(__xludf.DUMMYFUNCTION("""COMPUTED_VALUE"""),"Sorteo entradas GCBA | 9k Carrera de la independencia")</f>
        <v>Sorteo entradas GCBA | 9k Carrera de la independencia</v>
      </c>
      <c r="F1360" s="29" t="str">
        <f>IFERROR(__xludf.DUMMYFUNCTION("""COMPUTED_VALUE"""),"https://www.facebook.com/GCBA/posts/pfbid09t4eBXvmBvMhaY6ZDfZBBJcTJy8a2tQ9AGN9TfUiSexR55gisERziVp2BXK5HpeXl")</f>
        <v>https://www.facebook.com/GCBA/posts/pfbid09t4eBXvmBvMhaY6ZDfZBBJcTJy8a2tQ9AGN9TfUiSexR55gisERziVp2BXK5HpeXl</v>
      </c>
    </row>
    <row r="1361">
      <c r="A1361" s="28" t="str">
        <f>IFERROR(__xludf.DUMMYFUNCTION("""COMPUTED_VALUE"""),"1946-SEPEPHGC")</f>
        <v>1946-SEPEPHGC</v>
      </c>
      <c r="B1361" s="28" t="str">
        <f>IFERROR(__xludf.DUMMYFUNCTION("""COMPUTED_VALUE"""),"CAMPAÑA GCBA | MEPHU  | PLUVIALES")</f>
        <v>CAMPAÑA GCBA | MEPHU  | PLUVIALES</v>
      </c>
      <c r="C1361" s="29" t="str">
        <f>IFERROR(__xludf.DUMMYFUNCTION("""COMPUTED_VALUE"""),"Pieza")</f>
        <v>Pieza</v>
      </c>
      <c r="D1361" s="28" t="str">
        <f>IFERROR(__xludf.DUMMYFUNCTION("""COMPUTED_VALUE"""),"2322-NOVEDUGC")</f>
        <v>2322-NOVEDUGC</v>
      </c>
      <c r="E1361" s="28" t="str">
        <f>IFERROR(__xludf.DUMMYFUNCTION("""COMPUTED_VALUE"""),"TUMO Parque de la Innovación")</f>
        <v>TUMO Parque de la Innovación</v>
      </c>
      <c r="F1361" s="29" t="str">
        <f>IFERROR(__xludf.DUMMYFUNCTION("""COMPUTED_VALUE"""),"https://www.facebook.com/reel/1259490412867632")</f>
        <v>https://www.facebook.com/reel/1259490412867632</v>
      </c>
    </row>
    <row r="1362">
      <c r="A1362" s="28" t="str">
        <f>IFERROR(__xludf.DUMMYFUNCTION("""COMPUTED_VALUE"""),"1964-SEPEPHGC")</f>
        <v>1964-SEPEPHGC</v>
      </c>
      <c r="B1362" s="28" t="str">
        <f>IFERROR(__xludf.DUMMYFUNCTION("""COMPUTED_VALUE"""),"MEPHU RECAMBIO TECNOLÓGICO M2")</f>
        <v>MEPHU RECAMBIO TECNOLÓGICO M2</v>
      </c>
      <c r="C1362" s="29" t="str">
        <f>IFERROR(__xludf.DUMMYFUNCTION("""COMPUTED_VALUE"""),"Pieza")</f>
        <v>Pieza</v>
      </c>
      <c r="D1362" s="28" t="str">
        <f>IFERROR(__xludf.DUMMYFUNCTION("""COMPUTED_VALUE"""),"2322-NOVEDUGC")</f>
        <v>2322-NOVEDUGC</v>
      </c>
      <c r="E1362" s="28" t="str">
        <f>IFERROR(__xludf.DUMMYFUNCTION("""COMPUTED_VALUE"""),"TUMO Parque de la Innovación")</f>
        <v>TUMO Parque de la Innovación</v>
      </c>
      <c r="F1362" s="29" t="str">
        <f>IFERROR(__xludf.DUMMYFUNCTION("""COMPUTED_VALUE"""),"https://www.facebook.com/reel/1259490412867632")</f>
        <v>https://www.facebook.com/reel/1259490412867632</v>
      </c>
    </row>
    <row r="1363">
      <c r="A1363" s="28" t="str">
        <f>IFERROR(__xludf.DUMMYFUNCTION("""COMPUTED_VALUE"""),"2862-ABRSALGC")</f>
        <v>2862-ABRSALGC</v>
      </c>
      <c r="B1363" s="28" t="str">
        <f>IFERROR(__xludf.DUMMYFUNCTION("""COMPUTED_VALUE"""),"Casa de Medio Camino Ruíz Díaz Guzmán")</f>
        <v>Casa de Medio Camino Ruíz Díaz Guzmán</v>
      </c>
      <c r="C1363" s="29" t="str">
        <f>IFERROR(__xludf.DUMMYFUNCTION("""COMPUTED_VALUE"""),"Pieza")</f>
        <v>Pieza</v>
      </c>
      <c r="D1363" s="28" t="str">
        <f>IFERROR(__xludf.DUMMYFUNCTION("""COMPUTED_VALUE"""),"2976-MAYPCCVC")</f>
        <v>2976-MAYPCCVC</v>
      </c>
      <c r="E1363" s="28" t="str">
        <f>IFERROR(__xludf.DUMMYFUNCTION("""COMPUTED_VALUE"""),"Campañas genéricias RDV JM")</f>
        <v>Campañas genéricias RDV JM</v>
      </c>
      <c r="F1363" s="29" t="str">
        <f>IFERROR(__xludf.DUMMYFUNCTION("""COMPUTED_VALUE"""),"facebook.com/reel/1634422507650526/")</f>
        <v>facebook.com/reel/1634422507650526/</v>
      </c>
    </row>
    <row r="1364">
      <c r="A1364" s="28" t="str">
        <f>IFERROR(__xludf.DUMMYFUNCTION("""COMPUTED_VALUE"""),"3089-MAYSALGC")</f>
        <v>3089-MAYSALGC</v>
      </c>
      <c r="B1364" s="28" t="str">
        <f>IFERROR(__xludf.DUMMYFUNCTION("""COMPUTED_VALUE"""),"SIGEHOS - Envío Deploy PEL - Semana 25/5")</f>
        <v>SIGEHOS - Envío Deploy PEL - Semana 25/5</v>
      </c>
      <c r="C1364" s="29" t="str">
        <f>IFERROR(__xludf.DUMMYFUNCTION("""COMPUTED_VALUE"""),"Pieza")</f>
        <v>Pieza</v>
      </c>
      <c r="D1364" s="28" t="str">
        <f>IFERROR(__xludf.DUMMYFUNCTION("""COMPUTED_VALUE"""),"2587-FEBCULGC")</f>
        <v>2587-FEBCULGC</v>
      </c>
      <c r="E1364" s="28" t="str">
        <f>IFERROR(__xludf.DUMMYFUNCTION("""COMPUTED_VALUE"""),"Campaña Suscripciones 2026")</f>
        <v>Campaña Suscripciones 2026</v>
      </c>
      <c r="F1364" s="29" t="str">
        <f>IFERROR(__xludf.DUMMYFUNCTION("""COMPUTED_VALUE"""),"https://www.facebook.com/reel/892334696944794")</f>
        <v>https://www.facebook.com/reel/892334696944794</v>
      </c>
    </row>
    <row r="1365">
      <c r="A1365" s="28" t="str">
        <f>IFERROR(__xludf.DUMMYFUNCTION("""COMPUTED_VALUE"""),"3079-MAYDHHVC")</f>
        <v>3079-MAYDHHVC</v>
      </c>
      <c r="B1365" s="28" t="str">
        <f>IFERROR(__xludf.DUMMYFUNCTION("""COMPUTED_VALUE"""),"RDV Ministros | Gabriel Mraida - 27/5 - Comuna 14")</f>
        <v>RDV Ministros | Gabriel Mraida - 27/5 - Comuna 14</v>
      </c>
      <c r="C1365" s="29" t="str">
        <f>IFERROR(__xludf.DUMMYFUNCTION("""COMPUTED_VALUE"""),"Pieza")</f>
        <v>Pieza</v>
      </c>
      <c r="D1365" s="28" t="str">
        <f>IFERROR(__xludf.DUMMYFUNCTION("""COMPUTED_VALUE"""),"2587-FEBCULGC")</f>
        <v>2587-FEBCULGC</v>
      </c>
      <c r="E1365" s="28" t="str">
        <f>IFERROR(__xludf.DUMMYFUNCTION("""COMPUTED_VALUE"""),"Campaña Suscripciones 2026")</f>
        <v>Campaña Suscripciones 2026</v>
      </c>
      <c r="F1365" s="29" t="str">
        <f>IFERROR(__xludf.DUMMYFUNCTION("""COMPUTED_VALUE"""),"https://www.facebook.com/GCBA/posts/pfbid03nkHcuji6X3anVJ2Sd42mxzzM1TFKDY6Gur9BTKCkfWSTXrquDv96uj5yQ4v8hV5l")</f>
        <v>https://www.facebook.com/GCBA/posts/pfbid03nkHcuji6X3anVJ2Sd42mxzzM1TFKDY6Gur9BTKCkfWSTXrquDv96uj5yQ4v8hV5l</v>
      </c>
    </row>
    <row r="1366">
      <c r="A1366" s="28" t="str">
        <f>IFERROR(__xludf.DUMMYFUNCTION("""COMPUTED_VALUE"""),"3084-MAYSEGVC")</f>
        <v>3084-MAYSEGVC</v>
      </c>
      <c r="B1366" s="28" t="str">
        <f>IFERROR(__xludf.DUMMYFUNCTION("""COMPUTED_VALUE"""),"RDV Ministros | Ruth Landerreche 28/5 Comuna 14")</f>
        <v>RDV Ministros | Ruth Landerreche 28/5 Comuna 14</v>
      </c>
      <c r="C1366" s="29" t="str">
        <f>IFERROR(__xludf.DUMMYFUNCTION("""COMPUTED_VALUE"""),"Pieza")</f>
        <v>Pieza</v>
      </c>
      <c r="D1366" s="28" t="str">
        <f>IFERROR(__xludf.DUMMYFUNCTION("""COMPUTED_VALUE"""),"3139-JUNDHHGC")</f>
        <v>3139-JUNDHHGC</v>
      </c>
      <c r="E1366" s="28" t="str">
        <f>IFERROR(__xludf.DUMMYFUNCTION("""COMPUTED_VALUE"""),"Programas y Actividades para personas mayores")</f>
        <v>Programas y Actividades para personas mayores</v>
      </c>
      <c r="F1366" s="29" t="str">
        <f>IFERROR(__xludf.DUMMYFUNCTION("""COMPUTED_VALUE"""),"https://www.facebook.com/GCBA/posts/pfbid0ST19UoqhurJhZPhq7dJfEkZrJhyH4rZPrLJ7W6zqymdatS9zfuz5QK26T3aXaWbkl")</f>
        <v>https://www.facebook.com/GCBA/posts/pfbid0ST19UoqhurJhZPhq7dJfEkZrJhyH4rZPrLJ7W6zqymdatS9zfuz5QK26T3aXaWbkl</v>
      </c>
    </row>
    <row r="1367">
      <c r="A1367" s="28" t="str">
        <f>IFERROR(__xludf.DUMMYFUNCTION("""COMPUTED_VALUE"""),"3057-MAYFESGC")</f>
        <v>3057-MAYFESGC</v>
      </c>
      <c r="B1367" s="28" t="str">
        <f>IFERROR(__xludf.DUMMYFUNCTION("""COMPUTED_VALUE"""),"Sorteo GCBA Entradas Obelisco")</f>
        <v>Sorteo GCBA Entradas Obelisco</v>
      </c>
      <c r="C1367" s="29" t="str">
        <f>IFERROR(__xludf.DUMMYFUNCTION("""COMPUTED_VALUE"""),"Pieza")</f>
        <v>Pieza</v>
      </c>
      <c r="D1367" s="28" t="str">
        <f>IFERROR(__xludf.DUMMYFUNCTION("""COMPUTED_VALUE"""),"3280-JUNINFGJ")</f>
        <v>3280-JUNINFGJ</v>
      </c>
      <c r="E1367" s="28" t="str">
        <f>IFERROR(__xludf.DUMMYFUNCTION("""COMPUTED_VALUE"""),"Infraestructura | AU Dellepiane: Colectora Norte apertura | 30/6")</f>
        <v>Infraestructura | AU Dellepiane: Colectora Norte apertura | 30/6</v>
      </c>
      <c r="F1367" s="28"/>
    </row>
    <row r="1368">
      <c r="A1368" s="28" t="str">
        <f>IFERROR(__xludf.DUMMYFUNCTION("""COMPUTED_VALUE"""),"3072-MAYCULVC")</f>
        <v>3072-MAYCULVC</v>
      </c>
      <c r="B1368" s="28" t="str">
        <f>IFERROR(__xludf.DUMMYFUNCTION("""COMPUTED_VALUE"""),"RDV Ministros | Gabriela Ricardes 26/5 Comuna 5")</f>
        <v>RDV Ministros | Gabriela Ricardes 26/5 Comuna 5</v>
      </c>
      <c r="C1368" s="29" t="str">
        <f>IFERROR(__xludf.DUMMYFUNCTION("""COMPUTED_VALUE"""),"Pieza")</f>
        <v>Pieza</v>
      </c>
      <c r="D1368" s="28" t="str">
        <f>IFERROR(__xludf.DUMMYFUNCTION("""COMPUTED_VALUE"""),"2900-ABREDUGC")</f>
        <v>2900-ABREDUGC</v>
      </c>
      <c r="E1368" s="28" t="str">
        <f>IFERROR(__xludf.DUMMYFUNCTION("""COMPUTED_VALUE"""),"NUEVA SEDE TUMO NUÑEZ")</f>
        <v>NUEVA SEDE TUMO NUÑEZ</v>
      </c>
      <c r="F1368" s="29" t="str">
        <f>IFERROR(__xludf.DUMMYFUNCTION("""COMPUTED_VALUE"""),"https://www.facebook.com/GCBA/posts/pfbid02oc4eGpxiTuWbRHkbF7CMFJgXHy2yjdoztoFr8hDs9YJLbAr91HSjsiqNqAK4F7opl")</f>
        <v>https://www.facebook.com/GCBA/posts/pfbid02oc4eGpxiTuWbRHkbF7CMFJgXHy2yjdoztoFr8hDs9YJLbAr91HSjsiqNqAK4F7opl</v>
      </c>
    </row>
    <row r="1369">
      <c r="A1369" s="28" t="str">
        <f>IFERROR(__xludf.DUMMYFUNCTION("""COMPUTED_VALUE"""),"3083-MAYSEGVC")</f>
        <v>3083-MAYSEGVC</v>
      </c>
      <c r="B1369" s="28" t="str">
        <f>IFERROR(__xludf.DUMMYFUNCTION("""COMPUTED_VALUE"""),"RDV Ministros | Maximiliano Piñeiro 28/5 Comuna 15")</f>
        <v>RDV Ministros | Maximiliano Piñeiro 28/5 Comuna 15</v>
      </c>
      <c r="C1369" s="29" t="str">
        <f>IFERROR(__xludf.DUMMYFUNCTION("""COMPUTED_VALUE"""),"Pieza")</f>
        <v>Pieza</v>
      </c>
      <c r="D1369" s="28" t="str">
        <f>IFERROR(__xludf.DUMMYFUNCTION("""COMPUTED_VALUE"""),"2775-MARSEGGJ")</f>
        <v>2775-MARSEGGJ</v>
      </c>
      <c r="E1369" s="28" t="str">
        <f>IFERROR(__xludf.DUMMYFUNCTION("""COMPUTED_VALUE"""),"ALTA INTERNA MATERIAL ADICIONAL | SEGURIDAD | Demolición Búnker Narco en B3")</f>
        <v>ALTA INTERNA MATERIAL ADICIONAL | SEGURIDAD | Demolición Búnker Narco en B3</v>
      </c>
      <c r="F1369" s="29" t="str">
        <f>IFERROR(__xludf.DUMMYFUNCTION("""COMPUTED_VALUE"""),"https://www.facebook.com/reel/1476952487457454")</f>
        <v>https://www.facebook.com/reel/1476952487457454</v>
      </c>
    </row>
    <row r="1370">
      <c r="A1370" s="28" t="str">
        <f>IFERROR(__xludf.DUMMYFUNCTION("""COMPUTED_VALUE"""),"3074-MAYJDGAG")</f>
        <v>3074-MAYJDGAG</v>
      </c>
      <c r="B1370" s="28" t="str">
        <f>IFERROR(__xludf.DUMMYFUNCTION("""COMPUTED_VALUE"""),"RDV JM TEMÁTICA | TE CUENTO BS AS 28/05 CIUDAD ATRACTIVA EJE ESTE")</f>
        <v>RDV JM TEMÁTICA | TE CUENTO BS AS 28/05 CIUDAD ATRACTIVA EJE ESTE</v>
      </c>
      <c r="C1370" s="29" t="str">
        <f>IFERROR(__xludf.DUMMYFUNCTION("""COMPUTED_VALUE"""),"Pieza")</f>
        <v>Pieza</v>
      </c>
      <c r="D1370" s="28" t="str">
        <f>IFERROR(__xludf.DUMMYFUNCTION("""COMPUTED_VALUE"""),"3146-JUNEDUGC")</f>
        <v>3146-JUNEDUGC</v>
      </c>
      <c r="E1370" s="28" t="str">
        <f>IFERROR(__xludf.DUMMYFUNCTION("""COMPUTED_VALUE"""),"Inscripción - TUMO chacarita")</f>
        <v>Inscripción - TUMO chacarita</v>
      </c>
      <c r="F1370" s="29" t="str">
        <f>IFERROR(__xludf.DUMMYFUNCTION("""COMPUTED_VALUE"""),"https://www.facebook.com/baparticipacion/posts/pfbid037D5wWyZjNg97cDckHgFEvdVpvx7PvEGibc8TBFmc2DQrjtCTs1fS44Akw5kynYeRl")</f>
        <v>https://www.facebook.com/baparticipacion/posts/pfbid037D5wWyZjNg97cDckHgFEvdVpvx7PvEGibc8TBFmc2DQrjtCTs1fS44Akw5kynYeRl</v>
      </c>
    </row>
    <row r="1371">
      <c r="A1371" s="28" t="str">
        <f>IFERROR(__xludf.DUMMYFUNCTION("""COMPUTED_VALUE"""),"3085-MAYSEGVC")</f>
        <v>3085-MAYSEGVC</v>
      </c>
      <c r="B1371" s="28" t="str">
        <f>IFERROR(__xludf.DUMMYFUNCTION("""COMPUTED_VALUE"""),"RDV Ministros | Horacio Giménez 28/5 Comuna 13")</f>
        <v>RDV Ministros | Horacio Giménez 28/5 Comuna 13</v>
      </c>
      <c r="C1371" s="29" t="str">
        <f>IFERROR(__xludf.DUMMYFUNCTION("""COMPUTED_VALUE"""),"Pieza")</f>
        <v>Pieza</v>
      </c>
      <c r="D1371" s="28" t="str">
        <f>IFERROR(__xludf.DUMMYFUNCTION("""COMPUTED_VALUE"""),"3266-JUNSALGC")</f>
        <v>3266-JUNSALGC</v>
      </c>
      <c r="E1371" s="28" t="str">
        <f>IFERROR(__xludf.DUMMYFUNCTION("""COMPUTED_VALUE"""),"Primer trasplante renal pediátrico de dos hospitales de la Ciudad")</f>
        <v>Primer trasplante renal pediátrico de dos hospitales de la Ciudad</v>
      </c>
      <c r="F1371" s="29" t="str">
        <f>IFERROR(__xludf.DUMMYFUNCTION("""COMPUTED_VALUE"""),"https://www.facebook.com/reel/1333766678147057")</f>
        <v>https://www.facebook.com/reel/1333766678147057</v>
      </c>
    </row>
    <row r="1372">
      <c r="A1372" s="28" t="str">
        <f>IFERROR(__xludf.DUMMYFUNCTION("""COMPUTED_VALUE"""),"3075-MAYEPHVC")</f>
        <v>3075-MAYEPHVC</v>
      </c>
      <c r="B1372" s="28" t="str">
        <f>IFERROR(__xludf.DUMMYFUNCTION("""COMPUTED_VALUE"""),"RDV ministros | Ignacio Baistrocchi, Comuna 4 26/5")</f>
        <v>RDV ministros | Ignacio Baistrocchi, Comuna 4 26/5</v>
      </c>
      <c r="C1372" s="29" t="str">
        <f>IFERROR(__xludf.DUMMYFUNCTION("""COMPUTED_VALUE"""),"Pieza")</f>
        <v>Pieza</v>
      </c>
      <c r="D1372" s="28" t="str">
        <f>IFERROR(__xludf.DUMMYFUNCTION("""COMPUTED_VALUE"""),"3016-MAYFESGC")</f>
        <v>3016-MAYFESGC</v>
      </c>
      <c r="E1372" s="28" t="str">
        <f>IFERROR(__xludf.DUMMYFUNCTION("""COMPUTED_VALUE"""),"La ciudad late mundial | Modo Hincha")</f>
        <v>La ciudad late mundial | Modo Hincha</v>
      </c>
      <c r="F1372" s="29" t="str">
        <f>IFERROR(__xludf.DUMMYFUNCTION("""COMPUTED_VALUE"""),"https://www.facebook.com/GCBA/posts/pfbid0oTTfRyRDjRtSWz1D2DEHt74VHK6N6rLVjYhLoitVw74XKk9AP7kXKcdgB2HbFSBTl")</f>
        <v>https://www.facebook.com/GCBA/posts/pfbid0oTTfRyRDjRtSWz1D2DEHt74VHK6N6rLVjYhLoitVw74XKk9AP7kXKcdgB2HbFSBTl</v>
      </c>
    </row>
    <row r="1373">
      <c r="A1373" s="28" t="str">
        <f>IFERROR(__xludf.DUMMYFUNCTION("""COMPUTED_VALUE"""),"3058-MAYSALGJ")</f>
        <v>3058-MAYSALGJ</v>
      </c>
      <c r="B1373" s="28" t="str">
        <f>IFERROR(__xludf.DUMMYFUNCTION("""COMPUTED_VALUE"""),"Hospital Tornú - Fin de obra")</f>
        <v>Hospital Tornú - Fin de obra</v>
      </c>
      <c r="C1373" s="29" t="str">
        <f>IFERROR(__xludf.DUMMYFUNCTION("""COMPUTED_VALUE"""),"Pieza")</f>
        <v>Pieza</v>
      </c>
      <c r="D1373" s="28" t="str">
        <f>IFERROR(__xludf.DUMMYFUNCTION("""COMPUTED_VALUE"""),"2496-ENEVINGC")</f>
        <v>2496-ENEVINGC</v>
      </c>
      <c r="E137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73" s="29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74">
      <c r="A1374" s="28" t="str">
        <f>IFERROR(__xludf.DUMMYFUNCTION("""COMPUTED_VALUE"""),"3082-MAYSEGVC")</f>
        <v>3082-MAYSEGVC</v>
      </c>
      <c r="B1374" s="28" t="str">
        <f>IFERROR(__xludf.DUMMYFUNCTION("""COMPUTED_VALUE"""),"RDV Ministros | Gabino Tapia 28/5 Comuna 12")</f>
        <v>RDV Ministros | Gabino Tapia 28/5 Comuna 12</v>
      </c>
      <c r="C1374" s="29" t="str">
        <f>IFERROR(__xludf.DUMMYFUNCTION("""COMPUTED_VALUE"""),"Pieza")</f>
        <v>Pieza</v>
      </c>
      <c r="D1374" s="28" t="str">
        <f>IFERROR(__xludf.DUMMYFUNCTION("""COMPUTED_VALUE"""),"2496-ENEVINGC")</f>
        <v>2496-ENEVINGC</v>
      </c>
      <c r="E137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74" s="29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75">
      <c r="A1375" s="28" t="str">
        <f>IFERROR(__xludf.DUMMYFUNCTION("""COMPUTED_VALUE"""),"3078-MAYDECGC")</f>
        <v>3078-MAYDECGC</v>
      </c>
      <c r="B1375" s="28" t="str">
        <f>IFERROR(__xludf.DUMMYFUNCTION("""COMPUTED_VALUE"""),"Barrios a la carta: Chacarita")</f>
        <v>Barrios a la carta: Chacarita</v>
      </c>
      <c r="C1375" s="29" t="str">
        <f>IFERROR(__xludf.DUMMYFUNCTION("""COMPUTED_VALUE"""),"Pieza")</f>
        <v>Pieza</v>
      </c>
      <c r="D1375" s="28" t="str">
        <f>IFERROR(__xludf.DUMMYFUNCTION("""COMPUTED_VALUE"""),"2496-ENEVINGC")</f>
        <v>2496-ENEVINGC</v>
      </c>
      <c r="E1375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375" s="29" t="str">
        <f>IFERROR(__xludf.DUMMYFUNCTION("""COMPUTED_VALUE"""),"https://www.facebook.com/GCBA/posts/pfbid022MDgtEFVF42Tvm8XsTYcDSMao8KngHzUWKkXbk6QXeNBKu29MDHyQoJgiAHeik4Wl")</f>
        <v>https://www.facebook.com/GCBA/posts/pfbid022MDgtEFVF42Tvm8XsTYcDSMao8KngHzUWKkXbk6QXeNBKu29MDHyQoJgiAHeik4Wl</v>
      </c>
    </row>
    <row r="1376">
      <c r="A1376" s="28" t="str">
        <f>IFERROR(__xludf.DUMMYFUNCTION("""COMPUTED_VALUE"""),"1921-SEPAMBGC")</f>
        <v>1921-SEPAMBGC</v>
      </c>
      <c r="B1376" s="28" t="str">
        <f>IFERROR(__xludf.DUMMYFUNCTION("""COMPUTED_VALUE"""),"Vacunación Antirrabica Animales")</f>
        <v>Vacunación Antirrabica Animales</v>
      </c>
      <c r="C1376" s="29" t="str">
        <f>IFERROR(__xludf.DUMMYFUNCTION("""COMPUTED_VALUE"""),"Pieza")</f>
        <v>Pieza</v>
      </c>
      <c r="D1376" s="28" t="str">
        <f>IFERROR(__xludf.DUMMYFUNCTION("""COMPUTED_VALUE"""),"2961-ABRSEGGJ")</f>
        <v>2961-ABRSEGGJ</v>
      </c>
      <c r="E1376" s="28" t="str">
        <f>IFERROR(__xludf.DUMMYFUNCTION("""COMPUTED_VALUE"""),"Campaña ORDEN Y SEGURIDAD 2026")</f>
        <v>Campaña ORDEN Y SEGURIDAD 2026</v>
      </c>
      <c r="F1376" s="29" t="str">
        <f>IFERROR(__xludf.DUMMYFUNCTION("""COMPUTED_VALUE"""),"https://www.facebook.com/reel/1659762081812931/")</f>
        <v>https://www.facebook.com/reel/1659762081812931/</v>
      </c>
    </row>
    <row r="1377">
      <c r="A1377" s="28" t="str">
        <f>IFERROR(__xludf.DUMMYFUNCTION("""COMPUTED_VALUE"""),"3077-MAYINFVC")</f>
        <v>3077-MAYINFVC</v>
      </c>
      <c r="B1377" s="28" t="str">
        <f>IFERROR(__xludf.DUMMYFUNCTION("""COMPUTED_VALUE"""),"RDV Ministros | Pablo Bereciartua - 27/5 - Comuna 10")</f>
        <v>RDV Ministros | Pablo Bereciartua - 27/5 - Comuna 10</v>
      </c>
      <c r="C1377" s="29" t="str">
        <f>IFERROR(__xludf.DUMMYFUNCTION("""COMPUTED_VALUE"""),"Pieza")</f>
        <v>Pieza</v>
      </c>
      <c r="D1377" s="28" t="str">
        <f>IFERROR(__xludf.DUMMYFUNCTION("""COMPUTED_VALUE"""),"2961-ABRSEGGJ")</f>
        <v>2961-ABRSEGGJ</v>
      </c>
      <c r="E1377" s="28" t="str">
        <f>IFERROR(__xludf.DUMMYFUNCTION("""COMPUTED_VALUE"""),"Campaña ORDEN Y SEGURIDAD 2026")</f>
        <v>Campaña ORDEN Y SEGURIDAD 2026</v>
      </c>
      <c r="F1377" s="29" t="str">
        <f>IFERROR(__xludf.DUMMYFUNCTION("""COMPUTED_VALUE"""),"https://www.facebook.com/reel/1520879146383969/")</f>
        <v>https://www.facebook.com/reel/1520879146383969/</v>
      </c>
    </row>
    <row r="1378">
      <c r="A1378" s="28" t="str">
        <f>IFERROR(__xludf.DUMMYFUNCTION("""COMPUTED_VALUE"""),"3027-MAYINFGC")</f>
        <v>3027-MAYINFGC</v>
      </c>
      <c r="B1378" s="28" t="str">
        <f>IFERROR(__xludf.DUMMYFUNCTION("""COMPUTED_VALUE"""),"Infraestructura I Cambio de sentido de las calles Udaondo y Campos Salles por obras")</f>
        <v>Infraestructura I Cambio de sentido de las calles Udaondo y Campos Salles por obras</v>
      </c>
      <c r="C1378" s="29" t="str">
        <f>IFERROR(__xludf.DUMMYFUNCTION("""COMPUTED_VALUE"""),"Pieza")</f>
        <v>Pieza</v>
      </c>
      <c r="D1378" s="28" t="str">
        <f>IFERROR(__xludf.DUMMYFUNCTION("""COMPUTED_VALUE"""),"2961-ABRSEGGJ")</f>
        <v>2961-ABRSEGGJ</v>
      </c>
      <c r="E1378" s="28" t="str">
        <f>IFERROR(__xludf.DUMMYFUNCTION("""COMPUTED_VALUE"""),"Campaña ORDEN Y SEGURIDAD 2026")</f>
        <v>Campaña ORDEN Y SEGURIDAD 2026</v>
      </c>
      <c r="F1378" s="29" t="str">
        <f>IFERROR(__xludf.DUMMYFUNCTION("""COMPUTED_VALUE"""),"https://www.facebook.com/reel/1659762081812931")</f>
        <v>https://www.facebook.com/reel/1659762081812931</v>
      </c>
    </row>
    <row r="1379">
      <c r="A1379" s="28" t="str">
        <f>IFERROR(__xludf.DUMMYFUNCTION("""COMPUTED_VALUE"""),"3071-MAYFESGC")</f>
        <v>3071-MAYFESGC</v>
      </c>
      <c r="B1379" s="28" t="str">
        <f>IFERROR(__xludf.DUMMYFUNCTION("""COMPUTED_VALUE"""),"POST La noche del obelisco: 90 años")</f>
        <v>POST La noche del obelisco: 90 años</v>
      </c>
      <c r="C1379" s="29" t="str">
        <f>IFERROR(__xludf.DUMMYFUNCTION("""COMPUTED_VALUE"""),"Pieza")</f>
        <v>Pieza</v>
      </c>
      <c r="D1379" s="28" t="str">
        <f>IFERROR(__xludf.DUMMYFUNCTION("""COMPUTED_VALUE"""),"3269-JUNDECGC")</f>
        <v>3269-JUNDECGC</v>
      </c>
      <c r="E1379" s="28" t="str">
        <f>IFERROR(__xludf.DUMMYFUNCTION("""COMPUTED_VALUE"""),"INCUBATE 2026")</f>
        <v>INCUBATE 2026</v>
      </c>
      <c r="F1379" s="28"/>
    </row>
    <row r="1380">
      <c r="A1380" s="28" t="str">
        <f>IFERROR(__xludf.DUMMYFUNCTION("""COMPUTED_VALUE"""),"3076-MAYEDUVC")</f>
        <v>3076-MAYEDUVC</v>
      </c>
      <c r="B1380" s="28" t="str">
        <f>IFERROR(__xludf.DUMMYFUNCTION("""COMPUTED_VALUE"""),"RDV MINISTROS | MERCEDES MIGUEL | COMUNA 8 | 29/5")</f>
        <v>RDV MINISTROS | MERCEDES MIGUEL | COMUNA 8 | 29/5</v>
      </c>
      <c r="C1380" s="29" t="str">
        <f>IFERROR(__xludf.DUMMYFUNCTION("""COMPUTED_VALUE"""),"Pieza")</f>
        <v>Pieza</v>
      </c>
      <c r="D1380" s="28" t="str">
        <f>IFERROR(__xludf.DUMMYFUNCTION("""COMPUTED_VALUE"""),"3292-JULINFGC")</f>
        <v>3292-JULINFGC</v>
      </c>
      <c r="E1380" s="28" t="str">
        <f>IFERROR(__xludf.DUMMYFUNCTION("""COMPUTED_VALUE""")," INFRAESTRUCTURA | CORTES Y DESVÍOS EN AV. LEOPOLDO LUGONES")</f>
        <v> INFRAESTRUCTURA | CORTES Y DESVÍOS EN AV. LEOPOLDO LUGONES</v>
      </c>
      <c r="F1380" s="28"/>
    </row>
    <row r="1381">
      <c r="A1381" s="28" t="str">
        <f>IFERROR(__xludf.DUMMYFUNCTION("""COMPUTED_VALUE"""),"3110-MAYJDGAG")</f>
        <v>3110-MAYJDGAG</v>
      </c>
      <c r="B1381" s="28" t="str">
        <f>IFERROR(__xludf.DUMMYFUNCTION("""COMPUTED_VALUE"""),"TE CUENTO BS AS JM | 3/6 ORDEN PÚBLICO EJE SUR")</f>
        <v>TE CUENTO BS AS JM | 3/6 ORDEN PÚBLICO EJE SUR</v>
      </c>
      <c r="C1381" s="29" t="str">
        <f>IFERROR(__xludf.DUMMYFUNCTION("""COMPUTED_VALUE"""),"Pieza")</f>
        <v>Pieza</v>
      </c>
      <c r="D1381" s="28" t="str">
        <f>IFERROR(__xludf.DUMMYFUNCTION("""COMPUTED_VALUE"""),"3282-JUNSEGGJ")</f>
        <v>3282-JUNSEGGJ</v>
      </c>
      <c r="E1381" s="28" t="str">
        <f>IFERROR(__xludf.DUMMYFUNCTION("""COMPUTED_VALUE"""),"Megaoperativo Marea Azul")</f>
        <v>Megaoperativo Marea Azul</v>
      </c>
      <c r="F1381" s="28"/>
    </row>
    <row r="1382">
      <c r="A1382" s="28" t="str">
        <f>IFERROR(__xludf.DUMMYFUNCTION("""COMPUTED_VALUE"""),"3107-MAYJDGVC")</f>
        <v>3107-MAYJDGVC</v>
      </c>
      <c r="B1382" s="28" t="str">
        <f>IFERROR(__xludf.DUMMYFUNCTION("""COMPUTED_VALUE"""),"Gabriel Sánchez Zinny - 1/6 - Villa Crespo")</f>
        <v>Gabriel Sánchez Zinny - 1/6 - Villa Crespo</v>
      </c>
      <c r="C1382" s="29" t="str">
        <f>IFERROR(__xludf.DUMMYFUNCTION("""COMPUTED_VALUE"""),"Pieza")</f>
        <v>Pieza</v>
      </c>
      <c r="D1382" s="28" t="str">
        <f>IFERROR(__xludf.DUMMYFUNCTION("""COMPUTED_VALUE"""),"3282-JUNSEGGJ")</f>
        <v>3282-JUNSEGGJ</v>
      </c>
      <c r="E1382" s="28" t="str">
        <f>IFERROR(__xludf.DUMMYFUNCTION("""COMPUTED_VALUE"""),"Megaoperativo Marea Azul")</f>
        <v>Megaoperativo Marea Azul</v>
      </c>
      <c r="F1382" s="28"/>
    </row>
    <row r="1383">
      <c r="A1383" s="28" t="str">
        <f>IFERROR(__xludf.DUMMYFUNCTION("""COMPUTED_VALUE"""),"3110-MAYJDGAG")</f>
        <v>3110-MAYJDGAG</v>
      </c>
      <c r="B1383" s="28" t="str">
        <f>IFERROR(__xludf.DUMMYFUNCTION("""COMPUTED_VALUE"""),"TE CUENTO BS AS JM | 3/6 ORDEN PÚBLICO EJE SUR")</f>
        <v>TE CUENTO BS AS JM | 3/6 ORDEN PÚBLICO EJE SUR</v>
      </c>
      <c r="C1383" s="29" t="str">
        <f>IFERROR(__xludf.DUMMYFUNCTION("""COMPUTED_VALUE"""),"Pieza")</f>
        <v>Pieza</v>
      </c>
      <c r="D1383" s="28" t="str">
        <f>IFERROR(__xludf.DUMMYFUNCTION("""COMPUTED_VALUE"""),"3267-JUNSALGC")</f>
        <v>3267-JUNSALGC</v>
      </c>
      <c r="E1383" s="28" t="str">
        <f>IFERROR(__xludf.DUMMYFUNCTION("""COMPUTED_VALUE"""),"Htal. Zubizarreta: Avance de Obra - GCBA ")</f>
        <v>Htal. Zubizarreta: Avance de Obra - GCBA </v>
      </c>
      <c r="F1383" s="28"/>
    </row>
    <row r="1384">
      <c r="A1384" s="28" t="str">
        <f>IFERROR(__xludf.DUMMYFUNCTION("""COMPUTED_VALUE"""),"2910-ABRSALGC")</f>
        <v>2910-ABRSALGC</v>
      </c>
      <c r="B1384" s="28" t="str">
        <f>IFERROR(__xludf.DUMMYFUNCTION("""COMPUTED_VALUE"""),"Programa de Acogimiento Familiar")</f>
        <v>Programa de Acogimiento Familiar</v>
      </c>
      <c r="C1384" s="29" t="str">
        <f>IFERROR(__xludf.DUMMYFUNCTION("""COMPUTED_VALUE"""),"Pieza")</f>
        <v>Pieza</v>
      </c>
      <c r="D1384" s="28" t="str">
        <f>IFERROR(__xludf.DUMMYFUNCTION("""COMPUTED_VALUE"""),"3147-JUNINFGC")</f>
        <v>3147-JUNINFGC</v>
      </c>
      <c r="E1384" s="28" t="str">
        <f>IFERROR(__xludf.DUMMYFUNCTION("""COMPUTED_VALUE"""),"PBN Lorca: apertura al tránsito | 12/6 Habilitacion primer tramo")</f>
        <v>PBN Lorca: apertura al tránsito | 12/6 Habilitacion primer tramo</v>
      </c>
      <c r="F1384" s="29" t="str">
        <f>IFERROR(__xludf.DUMMYFUNCTION("""COMPUTED_VALUE"""),"https://www.facebook.com/GCBA/posts/pfbid02iNNf4Ns7gcEo4HWoJUSAjz6751M9Kkh3PeVP3UnroYxyFBXFwehL5Y79KBHQHattl")</f>
        <v>https://www.facebook.com/GCBA/posts/pfbid02iNNf4Ns7gcEo4HWoJUSAjz6751M9Kkh3PeVP3UnroYxyFBXFwehL5Y79KBHQHattl</v>
      </c>
    </row>
    <row r="1385">
      <c r="A1385" s="28" t="str">
        <f>IFERROR(__xludf.DUMMYFUNCTION("""COMPUTED_VALUE"""),"1946-SEPEPHGC")</f>
        <v>1946-SEPEPHGC</v>
      </c>
      <c r="B1385" s="28" t="str">
        <f>IFERROR(__xludf.DUMMYFUNCTION("""COMPUTED_VALUE"""),"CAMPAÑA GCBA | MEPHU  | PLUVIALES")</f>
        <v>CAMPAÑA GCBA | MEPHU  | PLUVIALES</v>
      </c>
      <c r="C1385" s="29" t="str">
        <f>IFERROR(__xludf.DUMMYFUNCTION("""COMPUTED_VALUE"""),"Pieza")</f>
        <v>Pieza</v>
      </c>
      <c r="D1385" s="28" t="str">
        <f>IFERROR(__xludf.DUMMYFUNCTION("""COMPUTED_VALUE"""),"2478-ENEINNGC")</f>
        <v>2478-ENEINNGC</v>
      </c>
      <c r="E1385" s="28" t="str">
        <f>IFERROR(__xludf.DUMMYFUNCTION("""COMPUTED_VALUE"""),"Lanzamiento BAX")</f>
        <v>Lanzamiento BAX</v>
      </c>
      <c r="F1385" s="28"/>
    </row>
    <row r="1386">
      <c r="A1386" s="28" t="str">
        <f>IFERROR(__xludf.DUMMYFUNCTION("""COMPUTED_VALUE"""),"3108-MAYSALVC")</f>
        <v>3108-MAYSALVC</v>
      </c>
      <c r="B1386" s="28" t="str">
        <f>IFERROR(__xludf.DUMMYFUNCTION("""COMPUTED_VALUE"""),"Fernán Quirós - 2/6 - Comuna 9")</f>
        <v>Fernán Quirós - 2/6 - Comuna 9</v>
      </c>
      <c r="C1386" s="29" t="str">
        <f>IFERROR(__xludf.DUMMYFUNCTION("""COMPUTED_VALUE"""),"Pieza")</f>
        <v>Pieza</v>
      </c>
      <c r="D1386" s="28" t="str">
        <f>IFERROR(__xludf.DUMMYFUNCTION("""COMPUTED_VALUE"""),"2478-ENEINNGC")</f>
        <v>2478-ENEINNGC</v>
      </c>
      <c r="E1386" s="28" t="str">
        <f>IFERROR(__xludf.DUMMYFUNCTION("""COMPUTED_VALUE"""),"Lanzamiento BAX")</f>
        <v>Lanzamiento BAX</v>
      </c>
      <c r="F1386" s="28"/>
    </row>
    <row r="1387">
      <c r="A1387" s="28" t="str">
        <f>IFERROR(__xludf.DUMMYFUNCTION("""COMPUTED_VALUE"""),"3073-MAYJDGAG")</f>
        <v>3073-MAYJDGAG</v>
      </c>
      <c r="B1387" s="28" t="str">
        <f>IFERROR(__xludf.DUMMYFUNCTION("""COMPUTED_VALUE"""),"RDV JM | 29/5 - Saavedra")</f>
        <v>RDV JM | 29/5 - Saavedra</v>
      </c>
      <c r="C1387" s="29" t="str">
        <f>IFERROR(__xludf.DUMMYFUNCTION("""COMPUTED_VALUE"""),"Pieza")</f>
        <v>Pieza</v>
      </c>
      <c r="D1387" s="28" t="str">
        <f>IFERROR(__xludf.DUMMYFUNCTION("""COMPUTED_VALUE"""),"3228-JUNSALGC")</f>
        <v>3228-JUNSALGC</v>
      </c>
      <c r="E1387" s="28" t="str">
        <f>IFERROR(__xludf.DUMMYFUNCTION("""COMPUTED_VALUE"""),"Hospitar Ferrer: Obras")</f>
        <v>Hospitar Ferrer: Obras</v>
      </c>
      <c r="F1387" s="29" t="str">
        <f>IFERROR(__xludf.DUMMYFUNCTION("""COMPUTED_VALUE"""),"https://www.facebook.com/GCBA/posts/pfbid02yWyBiqhzRGVqqWo4wAFMjpuCdCXBAKuNVMMEAvS8QuuNwD6NK6T56RXZ9yfwrvXjl")</f>
        <v>https://www.facebook.com/GCBA/posts/pfbid02yWyBiqhzRGVqqWo4wAFMjpuCdCXBAKuNVMMEAvS8QuuNwD6NK6T56RXZ9yfwrvXjl</v>
      </c>
    </row>
    <row r="1388">
      <c r="A1388" s="28" t="str">
        <f>IFERROR(__xludf.DUMMYFUNCTION("""COMPUTED_VALUE"""),"3079-MAYDHHVC")</f>
        <v>3079-MAYDHHVC</v>
      </c>
      <c r="B1388" s="28" t="str">
        <f>IFERROR(__xludf.DUMMYFUNCTION("""COMPUTED_VALUE"""),"RDV Ministros | Gabriel Mraida - 27/5 - Comuna 14")</f>
        <v>RDV Ministros | Gabriel Mraida - 27/5 - Comuna 14</v>
      </c>
      <c r="C1388" s="29" t="str">
        <f>IFERROR(__xludf.DUMMYFUNCTION("""COMPUTED_VALUE"""),"Pieza")</f>
        <v>Pieza</v>
      </c>
      <c r="D1388" s="28" t="str">
        <f>IFERROR(__xludf.DUMMYFUNCTION("""COMPUTED_VALUE"""),"3197-JUNJUSGC")</f>
        <v>3197-JUNJUSGC</v>
      </c>
      <c r="E1388" s="28" t="str">
        <f>IFERROR(__xludf.DUMMYFUNCTION("""COMPUTED_VALUE"""),"INSCRIPCIONES SERVICIO PENITENCIARIO")</f>
        <v>INSCRIPCIONES SERVICIO PENITENCIARIO</v>
      </c>
      <c r="F1388" s="29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389">
      <c r="A1389" s="28" t="str">
        <f>IFERROR(__xludf.DUMMYFUNCTION("""COMPUTED_VALUE"""),"3119-MAYCCRSGC")</f>
        <v>3119-MAYCCRSGC</v>
      </c>
      <c r="B1389" s="28" t="str">
        <f>IFERROR(__xludf.DUMMYFUNCTION("""COMPUTED_VALUE""")," Vicejefatura | Envío Mail Día de la Familia Rosedal Palermo")</f>
        <v> Vicejefatura | Envío Mail Día de la Familia Rosedal Palermo</v>
      </c>
      <c r="C1389" s="29" t="str">
        <f>IFERROR(__xludf.DUMMYFUNCTION("""COMPUTED_VALUE"""),"Pieza")</f>
        <v>Pieza</v>
      </c>
      <c r="D1389" s="28" t="str">
        <f>IFERROR(__xludf.DUMMYFUNCTION("""COMPUTED_VALUE"""),"3197-JUNJUSGC")</f>
        <v>3197-JUNJUSGC</v>
      </c>
      <c r="E1389" s="28" t="str">
        <f>IFERROR(__xludf.DUMMYFUNCTION("""COMPUTED_VALUE"""),"INSCRIPCIONES SERVICIO PENITENCIARIO")</f>
        <v>INSCRIPCIONES SERVICIO PENITENCIARIO</v>
      </c>
      <c r="F1389" s="29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390">
      <c r="A1390" s="28" t="str">
        <f>IFERROR(__xludf.DUMMYFUNCTION("""COMPUTED_VALUE"""),"3084-MAYSEGVC")</f>
        <v>3084-MAYSEGVC</v>
      </c>
      <c r="B1390" s="28" t="str">
        <f>IFERROR(__xludf.DUMMYFUNCTION("""COMPUTED_VALUE"""),"RDV Ministros | Ruth Landerreche 28/5 Comuna 14")</f>
        <v>RDV Ministros | Ruth Landerreche 28/5 Comuna 14</v>
      </c>
      <c r="C1390" s="29" t="str">
        <f>IFERROR(__xludf.DUMMYFUNCTION("""COMPUTED_VALUE"""),"Pieza")</f>
        <v>Pieza</v>
      </c>
      <c r="D1390" s="28" t="str">
        <f>IFERROR(__xludf.DUMMYFUNCTION("""COMPUTED_VALUE"""),"2720-MARINFGC")</f>
        <v>2720-MARINFGC</v>
      </c>
      <c r="E1390" s="28" t="str">
        <f>IFERROR(__xludf.DUMMYFUNCTION("""COMPUTED_VALUE"""),"INFRAESTRUCTURA | Cortes y desvíos: derrumbe en PP")</f>
        <v>INFRAESTRUCTURA | Cortes y desvíos: derrumbe en PP</v>
      </c>
      <c r="F1390" s="29" t="str">
        <f>IFERROR(__xludf.DUMMYFUNCTION("""COMPUTED_VALUE"""),"https://www.facebook.com/GCBA/posts/pfbid034cMBPvEYHoNPJuLPYdvqvHwWddQVjVhrUZSfBwZtbsKxFZ1t9TibhaDTjQBLJRK6l")</f>
        <v>https://www.facebook.com/GCBA/posts/pfbid034cMBPvEYHoNPJuLPYdvqvHwWddQVjVhrUZSfBwZtbsKxFZ1t9TibhaDTjQBLJRK6l</v>
      </c>
    </row>
    <row r="1391">
      <c r="A1391" s="28" t="str">
        <f>IFERROR(__xludf.DUMMYFUNCTION("""COMPUTED_VALUE"""),"3116-MAYDECVC")</f>
        <v>3116-MAYDECVC</v>
      </c>
      <c r="B1391" s="28" t="str">
        <f>IFERROR(__xludf.DUMMYFUNCTION("""COMPUTED_VALUE"""),"RDV MINISTROS | LOMBARDI-TAPIA-PIRAGINE 1/6 EJE SUR")</f>
        <v>RDV MINISTROS | LOMBARDI-TAPIA-PIRAGINE 1/6 EJE SUR</v>
      </c>
      <c r="C1391" s="29" t="str">
        <f>IFERROR(__xludf.DUMMYFUNCTION("""COMPUTED_VALUE"""),"Pieza")</f>
        <v>Pieza</v>
      </c>
      <c r="D1391" s="28" t="str">
        <f>IFERROR(__xludf.DUMMYFUNCTION("""COMPUTED_VALUE"""),"3213-JUNINFGC")</f>
        <v>3213-JUNINFGC</v>
      </c>
      <c r="E1391" s="28" t="str">
        <f>IFERROR(__xludf.DUMMYFUNCTION("""COMPUTED_VALUE"""),"Av Fernández de la Cruz: fin de obra")</f>
        <v>Av Fernández de la Cruz: fin de obra</v>
      </c>
      <c r="F1391" s="29" t="str">
        <f>IFERROR(__xludf.DUMMYFUNCTION("""COMPUTED_VALUE"""),"https://www.facebook.com/GCBA/posts/pfbid08rDXqhyNHHgaXhxwyanZTXHtfRLQs15AaRbPk5k938ZVPg7ZL3Ea9rz5rPCgKLXEl")</f>
        <v>https://www.facebook.com/GCBA/posts/pfbid08rDXqhyNHHgaXhxwyanZTXHtfRLQs15AaRbPk5k938ZVPg7ZL3Ea9rz5rPCgKLXEl</v>
      </c>
    </row>
    <row r="1392">
      <c r="A1392" s="28" t="str">
        <f>IFERROR(__xludf.DUMMYFUNCTION("""COMPUTED_VALUE"""),"3117-MAYSEGVC")</f>
        <v>3117-MAYSEGVC</v>
      </c>
      <c r="B1392" s="28" t="str">
        <f>IFERROR(__xludf.DUMMYFUNCTION("""COMPUTED_VALUE"""),"RDV MINISTROS | EZEQUIEL SABOR 3/6 COMUNA 15")</f>
        <v>RDV MINISTROS | EZEQUIEL SABOR 3/6 COMUNA 15</v>
      </c>
      <c r="C1392" s="29" t="str">
        <f>IFERROR(__xludf.DUMMYFUNCTION("""COMPUTED_VALUE"""),"Pieza")</f>
        <v>Pieza</v>
      </c>
      <c r="D1392" s="28" t="str">
        <f>IFERROR(__xludf.DUMMYFUNCTION("""COMPUTED_VALUE"""),"3294-JULDHHVC")</f>
        <v>3294-JULDHHVC</v>
      </c>
      <c r="E1392" s="28" t="str">
        <f>IFERROR(__xludf.DUMMYFUNCTION("""COMPUTED_VALUE"""),"RDV Ministros | Gabriel Mraida - 8/7 ")</f>
        <v>RDV Ministros | Gabriel Mraida - 8/7 </v>
      </c>
      <c r="F1392" s="28"/>
    </row>
    <row r="1393">
      <c r="A1393" s="28" t="str">
        <f>IFERROR(__xludf.DUMMYFUNCTION("""COMPUTED_VALUE"""),"3026-MAYPCCVC")</f>
        <v>3026-MAYPCCVC</v>
      </c>
      <c r="B1393" s="28" t="str">
        <f>IFERROR(__xludf.DUMMYFUNCTION("""COMPUTED_VALUE"""),"Opinión Ciudadana: Nombre del barrio VIlla Riachuelo")</f>
        <v>Opinión Ciudadana: Nombre del barrio VIlla Riachuelo</v>
      </c>
      <c r="C1393" s="29" t="str">
        <f>IFERROR(__xludf.DUMMYFUNCTION("""COMPUTED_VALUE"""),"Pieza")</f>
        <v>Pieza</v>
      </c>
      <c r="D1393" s="28" t="str">
        <f>IFERROR(__xludf.DUMMYFUNCTION("""COMPUTED_VALUE"""),"3301-JULSEGGJ")</f>
        <v>3301-JULSEGGJ</v>
      </c>
      <c r="E1393" s="28" t="str">
        <f>IFERROR(__xludf.DUMMYFUNCTION("""COMPUTED_VALUE"""),"685 nuevos vehículos para la Policía de la Ciudad")</f>
        <v>685 nuevos vehículos para la Policía de la Ciudad</v>
      </c>
      <c r="F1393" s="28"/>
    </row>
    <row r="1394">
      <c r="A1394" s="28" t="str">
        <f>IFERROR(__xludf.DUMMYFUNCTION("""COMPUTED_VALUE"""),"3093-MAYVINVC")</f>
        <v>3093-MAYVINVC</v>
      </c>
      <c r="B1394" s="28" t="str">
        <f>IFERROR(__xludf.DUMMYFUNCTION("""COMPUTED_VALUE"""),"Más servicios en tu barrio - 1/6 - Parque Avellaneda (Ad-hoc operativo personas mayores)")</f>
        <v>Más servicios en tu barrio - 1/6 - Parque Avellaneda (Ad-hoc operativo personas mayores)</v>
      </c>
      <c r="C1394" s="29" t="str">
        <f>IFERROR(__xludf.DUMMYFUNCTION("""COMPUTED_VALUE"""),"Pieza")</f>
        <v>Pieza</v>
      </c>
      <c r="D1394" s="28" t="str">
        <f>IFERROR(__xludf.DUMMYFUNCTION("""COMPUTED_VALUE"""),"3281-JUNSEGGJ")</f>
        <v>3281-JUNSEGGJ</v>
      </c>
      <c r="E1394" s="28" t="str">
        <f>IFERROR(__xludf.DUMMYFUNCTION("""COMPUTED_VALUE"""),"Banco de ADN para identificar delincuentes")</f>
        <v>Banco de ADN para identificar delincuentes</v>
      </c>
      <c r="F1394" s="28"/>
    </row>
    <row r="1395">
      <c r="A1395" s="28" t="str">
        <f>IFERROR(__xludf.DUMMYFUNCTION("""COMPUTED_VALUE"""),"3094-MAYVINVC")</f>
        <v>3094-MAYVINVC</v>
      </c>
      <c r="B1395" s="28" t="str">
        <f>IFERROR(__xludf.DUMMYFUNCTION("""COMPUTED_VALUE"""),"Más servicios en tu barrio -  2/6 y 3/6 - Floresta")</f>
        <v>Más servicios en tu barrio -  2/6 y 3/6 - Floresta</v>
      </c>
      <c r="C1395" s="29" t="str">
        <f>IFERROR(__xludf.DUMMYFUNCTION("""COMPUTED_VALUE"""),"Pieza")</f>
        <v>Pieza</v>
      </c>
      <c r="D1395" s="28" t="str">
        <f>IFERROR(__xludf.DUMMYFUNCTION("""COMPUTED_VALUE"""),"3281-JUNSEGGJ")</f>
        <v>3281-JUNSEGGJ</v>
      </c>
      <c r="E1395" s="28" t="str">
        <f>IFERROR(__xludf.DUMMYFUNCTION("""COMPUTED_VALUE"""),"Banco de ADN para identificar delincuentes")</f>
        <v>Banco de ADN para identificar delincuentes</v>
      </c>
      <c r="F1395" s="28"/>
    </row>
    <row r="1396">
      <c r="A1396" s="28" t="str">
        <f>IFERROR(__xludf.DUMMYFUNCTION("""COMPUTED_VALUE"""),"3083-MAYSEGVC")</f>
        <v>3083-MAYSEGVC</v>
      </c>
      <c r="B1396" s="28" t="str">
        <f>IFERROR(__xludf.DUMMYFUNCTION("""COMPUTED_VALUE"""),"RDV Ministros | Maximiliano Piñeiro 28/5 Comuna 15")</f>
        <v>RDV Ministros | Maximiliano Piñeiro 28/5 Comuna 15</v>
      </c>
      <c r="C1396" s="29" t="str">
        <f>IFERROR(__xludf.DUMMYFUNCTION("""COMPUTED_VALUE"""),"Pieza")</f>
        <v>Pieza</v>
      </c>
      <c r="D1396" s="28" t="str">
        <f>IFERROR(__xludf.DUMMYFUNCTION("""COMPUTED_VALUE"""),"3297-JULEDUVC")</f>
        <v>3297-JULEDUVC</v>
      </c>
      <c r="E1396" s="28" t="str">
        <f>IFERROR(__xludf.DUMMYFUNCTION("""COMPUTED_VALUE"""),"RDV ministros | Mercedes Miguel 8/7")</f>
        <v>RDV ministros | Mercedes Miguel 8/7</v>
      </c>
      <c r="F1396" s="29" t="str">
        <f>IFERROR(__xludf.DUMMYFUNCTION("""COMPUTED_VALUE"""),"https://www.facebook.com/baparticipacion/posts/pfbid03nShGhw8AcRPUh8GTva7BXUhnPPEwnVDqp1DvY4vYB37kRU3pHSiRAzy8njd9J1kl")</f>
        <v>https://www.facebook.com/baparticipacion/posts/pfbid03nShGhw8AcRPUh8GTva7BXUhnPPEwnVDqp1DvY4vYB37kRU3pHSiRAzy8njd9J1kl</v>
      </c>
    </row>
    <row r="1397">
      <c r="A1397" s="28" t="str">
        <f>IFERROR(__xludf.DUMMYFUNCTION("""COMPUTED_VALUE"""),"3120-MAYINFGJ")</f>
        <v>3120-MAYINFGJ</v>
      </c>
      <c r="B1397" s="28" t="str">
        <f>IFERROR(__xludf.DUMMYFUNCTION("""COMPUTED_VALUE"""),"Infraestructura I Remoción de Estacionamientos Truchos")</f>
        <v>Infraestructura I Remoción de Estacionamientos Truchos</v>
      </c>
      <c r="C1397" s="29" t="str">
        <f>IFERROR(__xludf.DUMMYFUNCTION("""COMPUTED_VALUE"""),"Pieza")</f>
        <v>Pieza</v>
      </c>
      <c r="D1397" s="28" t="str">
        <f>IFERROR(__xludf.DUMMYFUNCTION("""COMPUTED_VALUE"""),"3290-JULDECLI")</f>
        <v>3290-JULDECLI</v>
      </c>
      <c r="E1397" s="28" t="str">
        <f>IFERROR(__xludf.DUMMYFUNCTION("""COMPUTED_VALUE"""),"Sorteo CAMINOS Y SABORES ")</f>
        <v>Sorteo CAMINOS Y SABORES </v>
      </c>
      <c r="F1397" s="28"/>
    </row>
    <row r="1398">
      <c r="A1398" s="28" t="str">
        <f>IFERROR(__xludf.DUMMYFUNCTION("""COMPUTED_VALUE"""),"3085-MAYSEGVC")</f>
        <v>3085-MAYSEGVC</v>
      </c>
      <c r="B1398" s="28" t="str">
        <f>IFERROR(__xludf.DUMMYFUNCTION("""COMPUTED_VALUE"""),"RDV Ministros | Horacio Giménez 28/5 Comuna 13")</f>
        <v>RDV Ministros | Horacio Giménez 28/5 Comuna 13</v>
      </c>
      <c r="C1398" s="29" t="str">
        <f>IFERROR(__xludf.DUMMYFUNCTION("""COMPUTED_VALUE"""),"Pieza")</f>
        <v>Pieza</v>
      </c>
      <c r="D1398" s="28" t="str">
        <f>IFERROR(__xludf.DUMMYFUNCTION("""COMPUTED_VALUE"""),"3197-JUNJUSGC")</f>
        <v>3197-JUNJUSGC</v>
      </c>
      <c r="E1398" s="28" t="str">
        <f>IFERROR(__xludf.DUMMYFUNCTION("""COMPUTED_VALUE"""),"INSCRIPCIONES SERVICIO PENITENCIARIO")</f>
        <v>INSCRIPCIONES SERVICIO PENITENCIARIO</v>
      </c>
      <c r="F1398" s="29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399">
      <c r="A1399" s="28" t="str">
        <f>IFERROR(__xludf.DUMMYFUNCTION("""COMPUTED_VALUE"""),"3110-MAYJDGAG")</f>
        <v>3110-MAYJDGAG</v>
      </c>
      <c r="B1399" s="28" t="str">
        <f>IFERROR(__xludf.DUMMYFUNCTION("""COMPUTED_VALUE"""),"TE CUENTO BS AS JM | 3/6 ORDEN PÚBLICO EJE SUR")</f>
        <v>TE CUENTO BS AS JM | 3/6 ORDEN PÚBLICO EJE SUR</v>
      </c>
      <c r="C1399" s="29" t="str">
        <f>IFERROR(__xludf.DUMMYFUNCTION("""COMPUTED_VALUE"""),"Pieza")</f>
        <v>Pieza</v>
      </c>
      <c r="D1399" s="28" t="str">
        <f>IFERROR(__xludf.DUMMYFUNCTION("""COMPUTED_VALUE"""),"3197-JUNJUSGC")</f>
        <v>3197-JUNJUSGC</v>
      </c>
      <c r="E1399" s="28" t="str">
        <f>IFERROR(__xludf.DUMMYFUNCTION("""COMPUTED_VALUE"""),"INSCRIPCIONES SERVICIO PENITENCIARIO")</f>
        <v>INSCRIPCIONES SERVICIO PENITENCIARIO</v>
      </c>
      <c r="F1399" s="29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400">
      <c r="A1400" s="28" t="str">
        <f>IFERROR(__xludf.DUMMYFUNCTION("""COMPUTED_VALUE"""),"3100-MAYSEGGJ")</f>
        <v>3100-MAYSEGGJ</v>
      </c>
      <c r="B1400" s="28" t="str">
        <f>IFERROR(__xludf.DUMMYFUNCTION("""COMPUTED_VALUE"""),"Desalojo N°800")</f>
        <v>Desalojo N°800</v>
      </c>
      <c r="C1400" s="29" t="str">
        <f>IFERROR(__xludf.DUMMYFUNCTION("""COMPUTED_VALUE"""),"Pieza")</f>
        <v>Pieza</v>
      </c>
      <c r="D1400" s="28" t="str">
        <f>IFERROR(__xludf.DUMMYFUNCTION("""COMPUTED_VALUE"""),"3295-JULSEGVC")</f>
        <v>3295-JULSEGVC</v>
      </c>
      <c r="E1400" s="28" t="str">
        <f>IFERROR(__xludf.DUMMYFUNCTION("""COMPUTED_VALUE"""),"RDV Ministros | Ezequiel Sabor 8/7")</f>
        <v>RDV Ministros | Ezequiel Sabor 8/7</v>
      </c>
      <c r="F1400" s="28"/>
    </row>
    <row r="1401">
      <c r="A1401" s="28" t="str">
        <f>IFERROR(__xludf.DUMMYFUNCTION("""COMPUTED_VALUE"""),"1964-SEPEPHGC")</f>
        <v>1964-SEPEPHGC</v>
      </c>
      <c r="B1401" s="28" t="str">
        <f>IFERROR(__xludf.DUMMYFUNCTION("""COMPUTED_VALUE"""),"MEPHU RECAMBIO TECNOLÓGICO M2")</f>
        <v>MEPHU RECAMBIO TECNOLÓGICO M2</v>
      </c>
      <c r="C1401" s="29" t="str">
        <f>IFERROR(__xludf.DUMMYFUNCTION("""COMPUTED_VALUE"""),"Pieza")</f>
        <v>Pieza</v>
      </c>
      <c r="D1401" s="28" t="str">
        <f>IFERROR(__xludf.DUMMYFUNCTION("""COMPUTED_VALUE"""),"3197-JUNJUSGC")</f>
        <v>3197-JUNJUSGC</v>
      </c>
      <c r="E1401" s="28" t="str">
        <f>IFERROR(__xludf.DUMMYFUNCTION("""COMPUTED_VALUE"""),"INSCRIPCIONES SERVICIO PENITENCIARIO")</f>
        <v>INSCRIPCIONES SERVICIO PENITENCIARIO</v>
      </c>
      <c r="F1401" s="29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402">
      <c r="A1402" s="28" t="str">
        <f>IFERROR(__xludf.DUMMYFUNCTION("""COMPUTED_VALUE"""),"1946-SEPEPHGC")</f>
        <v>1946-SEPEPHGC</v>
      </c>
      <c r="B1402" s="28" t="str">
        <f>IFERROR(__xludf.DUMMYFUNCTION("""COMPUTED_VALUE"""),"CAMPAÑA GCBA | MEPHU  | PLUVIALES")</f>
        <v>CAMPAÑA GCBA | MEPHU  | PLUVIALES</v>
      </c>
      <c r="C1402" s="29" t="str">
        <f>IFERROR(__xludf.DUMMYFUNCTION("""COMPUTED_VALUE"""),"Pieza")</f>
        <v>Pieza</v>
      </c>
      <c r="D1402" s="28" t="str">
        <f>IFERROR(__xludf.DUMMYFUNCTION("""COMPUTED_VALUE"""),"3197-JUNJUSGC")</f>
        <v>3197-JUNJUSGC</v>
      </c>
      <c r="E1402" s="28" t="str">
        <f>IFERROR(__xludf.DUMMYFUNCTION("""COMPUTED_VALUE"""),"INSCRIPCIONES SERVICIO PENITENCIARIO")</f>
        <v>INSCRIPCIONES SERVICIO PENITENCIARIO</v>
      </c>
      <c r="F1402" s="29" t="str">
        <f>IFERROR(__xludf.DUMMYFUNCTION("""COMPUTED_VALUE"""),"https://www.facebook.com/GCBA/posts/pfbid0hGpDjeWSoe8Gqw2N9T8VHKQMT4vT7GrXwibd72SVb33WbSymwwnpGdmZbQH9bvyXl")</f>
        <v>https://www.facebook.com/GCBA/posts/pfbid0hGpDjeWSoe8Gqw2N9T8VHKQMT4vT7GrXwibd72SVb33WbSymwwnpGdmZbQH9bvyXl</v>
      </c>
    </row>
    <row r="1403">
      <c r="A1403" s="28" t="str">
        <f>IFERROR(__xludf.DUMMYFUNCTION("""COMPUTED_VALUE"""),"1946-SEPEPHGC")</f>
        <v>1946-SEPEPHGC</v>
      </c>
      <c r="B1403" s="28" t="str">
        <f>IFERROR(__xludf.DUMMYFUNCTION("""COMPUTED_VALUE"""),"CAMPAÑA GCBA | MEPHU  | PLUVIALES")</f>
        <v>CAMPAÑA GCBA | MEPHU  | PLUVIALES</v>
      </c>
      <c r="C1403" s="29" t="str">
        <f>IFERROR(__xludf.DUMMYFUNCTION("""COMPUTED_VALUE"""),"Pieza")</f>
        <v>Pieza</v>
      </c>
      <c r="D1403" s="28" t="str">
        <f>IFERROR(__xludf.DUMMYFUNCTION("""COMPUTED_VALUE"""),"3172-JUNCDNNAGC")</f>
        <v>3172-JUNCDNNAGC</v>
      </c>
      <c r="E1403" s="28" t="str">
        <f>IFERROR(__xludf.DUMMYFUNCTION("""COMPUTED_VALUE"""),"CDNNyA | Programa de Adopción")</f>
        <v>CDNNyA | Programa de Adopción</v>
      </c>
      <c r="F1403" s="28"/>
    </row>
    <row r="1404">
      <c r="A1404" s="28" t="str">
        <f>IFERROR(__xludf.DUMMYFUNCTION("""COMPUTED_VALUE"""),"1942-SEPEPHGC")</f>
        <v>1942-SEPEPHGC</v>
      </c>
      <c r="B1404" s="28" t="str">
        <f>IFERROR(__xludf.DUMMYFUNCTION("""COMPUTED_VALUE"""),"DGPLES | MEPHU  | REPARACIÓN DE VEREDAS")</f>
        <v>DGPLES | MEPHU  | REPARACIÓN DE VEREDAS</v>
      </c>
      <c r="C1404" s="29" t="str">
        <f>IFERROR(__xludf.DUMMYFUNCTION("""COMPUTED_VALUE"""),"Pieza")</f>
        <v>Pieza</v>
      </c>
      <c r="D1404" s="28" t="str">
        <f>IFERROR(__xludf.DUMMYFUNCTION("""COMPUTED_VALUE"""),"3296-JULEPHVC")</f>
        <v>3296-JULEPHVC</v>
      </c>
      <c r="E1404" s="28" t="str">
        <f>IFERROR(__xludf.DUMMYFUNCTION("""COMPUTED_VALUE"""),"RDV Ministros | Ignacio Baistrocchi 8/7")</f>
        <v>RDV Ministros | Ignacio Baistrocchi 8/7</v>
      </c>
      <c r="F1404" s="29" t="str">
        <f>IFERROR(__xludf.DUMMYFUNCTION("""COMPUTED_VALUE"""),"https://www.facebook.com/baparticipacion/posts/pfbid02xPmu6xtSjfYqJgYT8HVdMi7mxE3FPErbVzTv2ZFK5PhNpzatcGxDE4SMWxcb7p2Vl")</f>
        <v>https://www.facebook.com/baparticipacion/posts/pfbid02xPmu6xtSjfYqJgYT8HVdMi7mxE3FPErbVzTv2ZFK5PhNpzatcGxDE4SMWxcb7p2Vl</v>
      </c>
    </row>
    <row r="1405">
      <c r="A1405" s="28" t="str">
        <f>IFERROR(__xludf.DUMMYFUNCTION("""COMPUTED_VALUE"""),"1942-SEPEPHGC")</f>
        <v>1942-SEPEPHGC</v>
      </c>
      <c r="B1405" s="28" t="str">
        <f>IFERROR(__xludf.DUMMYFUNCTION("""COMPUTED_VALUE"""),"DGPLES | MEPHU  | REPARACIÓN DE VEREDAS")</f>
        <v>DGPLES | MEPHU  | REPARACIÓN DE VEREDAS</v>
      </c>
      <c r="C1405" s="29" t="str">
        <f>IFERROR(__xludf.DUMMYFUNCTION("""COMPUTED_VALUE"""),"Pieza")</f>
        <v>Pieza</v>
      </c>
      <c r="D1405" s="28" t="str">
        <f>IFERROR(__xludf.DUMMYFUNCTION("""COMPUTED_VALUE"""),"3016-MAYFESGC")</f>
        <v>3016-MAYFESGC</v>
      </c>
      <c r="E1405" s="28" t="str">
        <f>IFERROR(__xludf.DUMMYFUNCTION("""COMPUTED_VALUE"""),"La ciudad late mundial | Modo Hincha")</f>
        <v>La ciudad late mundial | Modo Hincha</v>
      </c>
      <c r="F1405" s="28"/>
    </row>
    <row r="1406">
      <c r="A1406" s="28" t="str">
        <f>IFERROR(__xludf.DUMMYFUNCTION("""COMPUTED_VALUE"""),"1895-SEPEPHGC")</f>
        <v>1895-SEPEPHGC</v>
      </c>
      <c r="B1406" s="28" t="str">
        <f>IFERROR(__xludf.DUMMYFUNCTION("""COMPUTED_VALUE"""),"PIEZAS M2 | MEPHU | REPAVIMENTACIÓN")</f>
        <v>PIEZAS M2 | MEPHU | REPAVIMENTACIÓN</v>
      </c>
      <c r="C1406" s="29" t="str">
        <f>IFERROR(__xludf.DUMMYFUNCTION("""COMPUTED_VALUE"""),"Pieza")</f>
        <v>Pieza</v>
      </c>
      <c r="D1406" s="28" t="str">
        <f>IFERROR(__xludf.DUMMYFUNCTION("""COMPUTED_VALUE"""),"3216-JUNJDGAG")</f>
        <v>3216-JUNJDGAG</v>
      </c>
      <c r="E1406" s="28" t="str">
        <f>IFERROR(__xludf.DUMMYFUNCTION("""COMPUTED_VALUE"""),"RDV JM | TE CUENTO | CIUDAD ATRACTIVA EJE SUR 25/6")</f>
        <v>RDV JM | TE CUENTO | CIUDAD ATRACTIVA EJE SUR 25/6</v>
      </c>
      <c r="F1406" s="28"/>
    </row>
    <row r="1407">
      <c r="A1407" s="28" t="str">
        <f>IFERROR(__xludf.DUMMYFUNCTION("""COMPUTED_VALUE"""),"1943-SEPEPHGC")</f>
        <v>1943-SEPEPHGC</v>
      </c>
      <c r="B1407" s="28" t="str">
        <f>IFERROR(__xludf.DUMMYFUNCTION("""COMPUTED_VALUE"""),"DGPLES | MEPHU  | READOQUINADO")</f>
        <v>DGPLES | MEPHU  | READOQUINADO</v>
      </c>
      <c r="C1407" s="29" t="str">
        <f>IFERROR(__xludf.DUMMYFUNCTION("""COMPUTED_VALUE"""),"Pieza")</f>
        <v>Pieza</v>
      </c>
      <c r="D1407" s="28" t="str">
        <f>IFERROR(__xludf.DUMMYFUNCTION("""COMPUTED_VALUE"""),"3260-JUNJDGAG")</f>
        <v>3260-JUNJDGAG</v>
      </c>
      <c r="E1407" s="28" t="str">
        <f>IFERROR(__xludf.DUMMYFUNCTION("""COMPUTED_VALUE"""),"1 A 1 JM | COMUNA 8 | 30/06")</f>
        <v>1 A 1 JM | COMUNA 8 | 30/06</v>
      </c>
      <c r="F1407" s="28"/>
    </row>
    <row r="1408">
      <c r="A1408" s="28" t="str">
        <f>IFERROR(__xludf.DUMMYFUNCTION("""COMPUTED_VALUE"""),"2994-MAYEPHGC")</f>
        <v>2994-MAYEPHGC</v>
      </c>
      <c r="B1408" s="28" t="str">
        <f>IFERROR(__xludf.DUMMYFUNCTION("""COMPUTED_VALUE"""),"Luminarias Peatonales - Post")</f>
        <v>Luminarias Peatonales - Post</v>
      </c>
      <c r="C1408" s="29" t="str">
        <f>IFERROR(__xludf.DUMMYFUNCTION("""COMPUTED_VALUE"""),"Pieza")</f>
        <v>Pieza</v>
      </c>
      <c r="D1408" s="28" t="str">
        <f>IFERROR(__xludf.DUMMYFUNCTION("""COMPUTED_VALUE"""),"3306-JULCULGC")</f>
        <v>3306-JULCULGC</v>
      </c>
      <c r="E1408" s="28" t="str">
        <f>IFERROR(__xludf.DUMMYFUNCTION("""COMPUTED_VALUE"""),"Evento 9 de julio Casa de la Cultura")</f>
        <v>Evento 9 de julio Casa de la Cultura</v>
      </c>
      <c r="F1408" s="28"/>
    </row>
    <row r="1409">
      <c r="A1409" s="28" t="str">
        <f>IFERROR(__xludf.DUMMYFUNCTION("""COMPUTED_VALUE"""),"3129-MAYJDGAN")</f>
        <v>3129-MAYJDGAN</v>
      </c>
      <c r="B1409" s="28" t="str">
        <f>IFERROR(__xludf.DUMMYFUNCTION("""COMPUTED_VALUE"""),"Mail Deudores Alimentarios")</f>
        <v>Mail Deudores Alimentarios</v>
      </c>
      <c r="C1409" s="29" t="str">
        <f>IFERROR(__xludf.DUMMYFUNCTION("""COMPUTED_VALUE"""),"Pieza")</f>
        <v>Pieza</v>
      </c>
      <c r="D1409" s="28" t="str">
        <f>IFERROR(__xludf.DUMMYFUNCTION("""COMPUTED_VALUE"""),"3306-JULCULGC")</f>
        <v>3306-JULCULGC</v>
      </c>
      <c r="E1409" s="28" t="str">
        <f>IFERROR(__xludf.DUMMYFUNCTION("""COMPUTED_VALUE"""),"Evento 9 de julio Casa de la Cultura")</f>
        <v>Evento 9 de julio Casa de la Cultura</v>
      </c>
      <c r="F1409" s="28"/>
    </row>
    <row r="1410">
      <c r="A1410" s="28" t="str">
        <f>IFERROR(__xludf.DUMMYFUNCTION("""COMPUTED_VALUE"""),"3082-MAYSEGVC")</f>
        <v>3082-MAYSEGVC</v>
      </c>
      <c r="B1410" s="28" t="str">
        <f>IFERROR(__xludf.DUMMYFUNCTION("""COMPUTED_VALUE"""),"RDV Ministros | Gabino Tapia 28/5 Comuna 12")</f>
        <v>RDV Ministros | Gabino Tapia 28/5 Comuna 12</v>
      </c>
      <c r="C1410" s="29" t="str">
        <f>IFERROR(__xludf.DUMMYFUNCTION("""COMPUTED_VALUE"""),"Pieza")</f>
        <v>Pieza</v>
      </c>
      <c r="D1410" s="28" t="str">
        <f>IFERROR(__xludf.DUMMYFUNCTION("""COMPUTED_VALUE"""),"2496-ENEVINGC")</f>
        <v>2496-ENEVINGC</v>
      </c>
      <c r="E1410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0" s="28"/>
    </row>
    <row r="1411">
      <c r="A1411" s="28" t="str">
        <f>IFERROR(__xludf.DUMMYFUNCTION("""COMPUTED_VALUE"""),"3102-MAYJDGAG")</f>
        <v>3102-MAYJDGAG</v>
      </c>
      <c r="B1411" s="28" t="str">
        <f>IFERROR(__xludf.DUMMYFUNCTION("""COMPUTED_VALUE"""),"PRIMERA PERSONA | JM | MARIO PERGOLLINI 1/6")</f>
        <v>PRIMERA PERSONA | JM | MARIO PERGOLLINI 1/6</v>
      </c>
      <c r="C1411" s="29" t="str">
        <f>IFERROR(__xludf.DUMMYFUNCTION("""COMPUTED_VALUE"""),"Pieza")</f>
        <v>Pieza</v>
      </c>
      <c r="D1411" s="28" t="str">
        <f>IFERROR(__xludf.DUMMYFUNCTION("""COMPUTED_VALUE"""),"2496-ENEVINGC")</f>
        <v>2496-ENEVINGC</v>
      </c>
      <c r="E1411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1" s="28"/>
    </row>
    <row r="1412">
      <c r="A1412" s="28" t="str">
        <f>IFERROR(__xludf.DUMMYFUNCTION("""COMPUTED_VALUE"""),"3109-MAYAMBVC")</f>
        <v>3109-MAYAMBVC</v>
      </c>
      <c r="B1412" s="28" t="str">
        <f>IFERROR(__xludf.DUMMYFUNCTION("""COMPUTED_VALUE"""),"Clara Muzzio - 3/6 Palermo")</f>
        <v>Clara Muzzio - 3/6 Palermo</v>
      </c>
      <c r="C1412" s="29" t="str">
        <f>IFERROR(__xludf.DUMMYFUNCTION("""COMPUTED_VALUE"""),"Pieza")</f>
        <v>Pieza</v>
      </c>
      <c r="D1412" s="28" t="str">
        <f>IFERROR(__xludf.DUMMYFUNCTION("""COMPUTED_VALUE"""),"2496-ENEVINGC")</f>
        <v>2496-ENEVINGC</v>
      </c>
      <c r="E141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2" s="28"/>
    </row>
    <row r="1413">
      <c r="A1413" s="28" t="str">
        <f>IFERROR(__xludf.DUMMYFUNCTION("""COMPUTED_VALUE"""),"3127-MAYJDGAG")</f>
        <v>3127-MAYJDGAG</v>
      </c>
      <c r="B1413" s="28" t="str">
        <f>IFERROR(__xludf.DUMMYFUNCTION("""COMPUTED_VALUE"""),"RDV JM | VÉLEZ SARSFIELD | 5/6")</f>
        <v>RDV JM | VÉLEZ SARSFIELD | 5/6</v>
      </c>
      <c r="C1413" s="29" t="str">
        <f>IFERROR(__xludf.DUMMYFUNCTION("""COMPUTED_VALUE"""),"Pieza")</f>
        <v>Pieza</v>
      </c>
      <c r="D1413" s="28" t="str">
        <f>IFERROR(__xludf.DUMMYFUNCTION("""COMPUTED_VALUE"""),"2496-ENEVINGC")</f>
        <v>2496-ENEVINGC</v>
      </c>
      <c r="E141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3" s="28"/>
    </row>
    <row r="1414">
      <c r="A1414" s="28" t="str">
        <f>IFERROR(__xludf.DUMMYFUNCTION("""COMPUTED_VALUE"""),"3062-MAYPCCVC")</f>
        <v>3062-MAYPCCVC</v>
      </c>
      <c r="B1414" s="28" t="str">
        <f>IFERROR(__xludf.DUMMYFUNCTION("""COMPUTED_VALUE"""),"Reunión Informativa: Corredor Verde  Almagro")</f>
        <v>Reunión Informativa: Corredor Verde  Almagro</v>
      </c>
      <c r="C1414" s="29" t="str">
        <f>IFERROR(__xludf.DUMMYFUNCTION("""COMPUTED_VALUE"""),"Pieza")</f>
        <v>Pieza</v>
      </c>
      <c r="D1414" s="28" t="str">
        <f>IFERROR(__xludf.DUMMYFUNCTION("""COMPUTED_VALUE"""),"2496-ENEVINGC")</f>
        <v>2496-ENEVINGC</v>
      </c>
      <c r="E141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4" s="28"/>
    </row>
    <row r="1415">
      <c r="A1415" s="28" t="str">
        <f>IFERROR(__xludf.DUMMYFUNCTION("""COMPUTED_VALUE"""),"3116-MAYDECVC")</f>
        <v>3116-MAYDECVC</v>
      </c>
      <c r="B1415" s="28" t="str">
        <f>IFERROR(__xludf.DUMMYFUNCTION("""COMPUTED_VALUE"""),"RDV MINISTROS | LOMBARDI-TAPIA-PIRAGINE 1/6 EJE SUR")</f>
        <v>RDV MINISTROS | LOMBARDI-TAPIA-PIRAGINE 1/6 EJE SUR</v>
      </c>
      <c r="C1415" s="29" t="str">
        <f>IFERROR(__xludf.DUMMYFUNCTION("""COMPUTED_VALUE"""),"Pieza")</f>
        <v>Pieza</v>
      </c>
      <c r="D1415" s="28" t="str">
        <f>IFERROR(__xludf.DUMMYFUNCTION("""COMPUTED_VALUE"""),"2496-ENEVINGC")</f>
        <v>2496-ENEVINGC</v>
      </c>
      <c r="E1415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5" s="28"/>
    </row>
    <row r="1416">
      <c r="A1416" s="28" t="str">
        <f>IFERROR(__xludf.DUMMYFUNCTION("""COMPUTED_VALUE"""),"3107-MAYJDGVC")</f>
        <v>3107-MAYJDGVC</v>
      </c>
      <c r="B1416" s="28" t="str">
        <f>IFERROR(__xludf.DUMMYFUNCTION("""COMPUTED_VALUE"""),"Gabriel Sánchez Zinny - 1/6 - Villa Crespo")</f>
        <v>Gabriel Sánchez Zinny - 1/6 - Villa Crespo</v>
      </c>
      <c r="C1416" s="29" t="str">
        <f>IFERROR(__xludf.DUMMYFUNCTION("""COMPUTED_VALUE"""),"Pieza")</f>
        <v>Pieza</v>
      </c>
      <c r="D1416" s="28" t="str">
        <f>IFERROR(__xludf.DUMMYFUNCTION("""COMPUTED_VALUE"""),"2496-ENEVINGC")</f>
        <v>2496-ENEVINGC</v>
      </c>
      <c r="E141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16" s="28"/>
    </row>
    <row r="1417">
      <c r="A1417" s="28" t="str">
        <f>IFERROR(__xludf.DUMMYFUNCTION("""COMPUTED_VALUE"""),"3102-MAYJDGAG")</f>
        <v>3102-MAYJDGAG</v>
      </c>
      <c r="B1417" s="28" t="str">
        <f>IFERROR(__xludf.DUMMYFUNCTION("""COMPUTED_VALUE"""),"PRIMERA PERSONA | JM | MARIO PERGOLLINI 1/6")</f>
        <v>PRIMERA PERSONA | JM | MARIO PERGOLLINI 1/6</v>
      </c>
      <c r="C1417" s="29" t="str">
        <f>IFERROR(__xludf.DUMMYFUNCTION("""COMPUTED_VALUE"""),"Pieza")</f>
        <v>Pieza</v>
      </c>
      <c r="D1417" s="28" t="str">
        <f>IFERROR(__xludf.DUMMYFUNCTION("""COMPUTED_VALUE"""),"3309-JULJDGAG")</f>
        <v>3309-JULJDGAG</v>
      </c>
      <c r="E1417" s="28" t="str">
        <f>IFERROR(__xludf.DUMMYFUNCTION("""COMPUTED_VALUE"""),"1 a 1 | JM |  Recoleta 15/7")</f>
        <v>1 a 1 | JM |  Recoleta 15/7</v>
      </c>
      <c r="F1417" s="29" t="str">
        <f>IFERROR(__xludf.DUMMYFUNCTION("""COMPUTED_VALUE"""),"https://www.facebook.com/GCBA/posts/pfbid02E1tkaC6tXj44NDQ9wzrkGosi4PqV2XUtQTMpcjo4J31tLPRfaLMhDGf1nvcVT4SUl")</f>
        <v>https://www.facebook.com/GCBA/posts/pfbid02E1tkaC6tXj44NDQ9wzrkGosi4PqV2XUtQTMpcjo4J31tLPRfaLMhDGf1nvcVT4SUl</v>
      </c>
    </row>
    <row r="1418">
      <c r="A1418" s="28" t="str">
        <f>IFERROR(__xludf.DUMMYFUNCTION("""COMPUTED_VALUE"""),"3092-MAYPCCVC")</f>
        <v>3092-MAYPCCVC</v>
      </c>
      <c r="B1418" s="28" t="str">
        <f>IFERROR(__xludf.DUMMYFUNCTION("""COMPUTED_VALUE"""),"Encuentro ""Día del vecino participativo""")</f>
        <v>Encuentro "Día del vecino participativo"</v>
      </c>
      <c r="C1418" s="29" t="str">
        <f>IFERROR(__xludf.DUMMYFUNCTION("""COMPUTED_VALUE"""),"Pieza")</f>
        <v>Pieza</v>
      </c>
      <c r="D1418" s="28" t="str">
        <f>IFERROR(__xludf.DUMMYFUNCTION("""COMPUTED_VALUE"""),"3308-JULJDGAG")</f>
        <v>3308-JULJDGAG</v>
      </c>
      <c r="E1418" s="28" t="str">
        <f>IFERROR(__xludf.DUMMYFUNCTION("""COMPUTED_VALUE"""),"1 A 1 JM | COMUNA 11 | 13/7")</f>
        <v>1 A 1 JM | COMUNA 11 | 13/7</v>
      </c>
      <c r="F1418" s="29" t="str">
        <f>IFERROR(__xludf.DUMMYFUNCTION("""COMPUTED_VALUE"""),"https://www.facebook.com/GCBA/posts/pfbid02RS9HLQTL1GR6aqKApdtYULFTkSKZbxwp6JpHphRhLNsHj1CqG1aMDGj3Phcw748Ul")</f>
        <v>https://www.facebook.com/GCBA/posts/pfbid02RS9HLQTL1GR6aqKApdtYULFTkSKZbxwp6JpHphRhLNsHj1CqG1aMDGj3Phcw748Ul</v>
      </c>
    </row>
    <row r="1419">
      <c r="A1419" s="28" t="str">
        <f>IFERROR(__xludf.DUMMYFUNCTION("""COMPUTED_VALUE"""),"3101-MAYINFGC")</f>
        <v>3101-MAYINFGC</v>
      </c>
      <c r="B1419" s="28" t="str">
        <f>IFERROR(__xludf.DUMMYFUNCTION("""COMPUTED_VALUE""")," Infraestructura | Cambio de sentido de Montañeses")</f>
        <v> Infraestructura | Cambio de sentido de Montañeses</v>
      </c>
      <c r="C1419" s="29" t="str">
        <f>IFERROR(__xludf.DUMMYFUNCTION("""COMPUTED_VALUE"""),"Pieza")</f>
        <v>Pieza</v>
      </c>
      <c r="D1419" s="28" t="str">
        <f>IFERROR(__xludf.DUMMYFUNCTION("""COMPUTED_VALUE"""),"3316-JULDECVC")</f>
        <v>3316-JULDECVC</v>
      </c>
      <c r="E1419" s="28" t="str">
        <f>IFERROR(__xludf.DUMMYFUNCTION("""COMPUTED_VALUE"""),"RDV Ministros | LOMBARDI-TAPIA-PIRAGINE 13/7 EJE CENTRO")</f>
        <v>RDV Ministros | LOMBARDI-TAPIA-PIRAGINE 13/7 EJE CENTRO</v>
      </c>
      <c r="F1419" s="28"/>
    </row>
    <row r="1420">
      <c r="A1420" s="28" t="str">
        <f>IFERROR(__xludf.DUMMYFUNCTION("""COMPUTED_VALUE"""),"3121-MAYSEGVC")</f>
        <v>3121-MAYSEGVC</v>
      </c>
      <c r="B1420" s="28" t="str">
        <f>IFERROR(__xludf.DUMMYFUNCTION("""COMPUTED_VALUE"""),"RDV Ministros | Maximiliano Piñeiro 4/6 Comuna 1 Sur")</f>
        <v>RDV Ministros | Maximiliano Piñeiro 4/6 Comuna 1 Sur</v>
      </c>
      <c r="C1420" s="29" t="str">
        <f>IFERROR(__xludf.DUMMYFUNCTION("""COMPUTED_VALUE"""),"Pieza")</f>
        <v>Pieza</v>
      </c>
      <c r="D1420" s="28" t="str">
        <f>IFERROR(__xludf.DUMMYFUNCTION("""COMPUTED_VALUE"""),"3311-JULINFGC")</f>
        <v>3311-JULINFGC</v>
      </c>
      <c r="E1420" s="28" t="str">
        <f>IFERROR(__xludf.DUMMYFUNCTION("""COMPUTED_VALUE"""),"INFRAESTRUCTURA | CORTES Y DESVÍOS POR CARRERA 9K INDEPENDENCIA")</f>
        <v>INFRAESTRUCTURA | CORTES Y DESVÍOS POR CARRERA 9K INDEPENDENCIA</v>
      </c>
      <c r="F1420" s="28"/>
    </row>
    <row r="1421">
      <c r="A1421" s="28" t="str">
        <f>IFERROR(__xludf.DUMMYFUNCTION("""COMPUTED_VALUE"""),"3135-JUNVINVC")</f>
        <v>3135-JUNVINVC</v>
      </c>
      <c r="B1421" s="28" t="str">
        <f>IFERROR(__xludf.DUMMYFUNCTION("""COMPUTED_VALUE"""),"Más servicios en tu barrio - 4/6 - Villa Lugano")</f>
        <v>Más servicios en tu barrio - 4/6 - Villa Lugano</v>
      </c>
      <c r="C1421" s="29" t="str">
        <f>IFERROR(__xludf.DUMMYFUNCTION("""COMPUTED_VALUE"""),"Pieza")</f>
        <v>Pieza</v>
      </c>
      <c r="D1421" s="28" t="str">
        <f>IFERROR(__xludf.DUMMYFUNCTION("""COMPUTED_VALUE"""),"3323-JULSALVC")</f>
        <v>3323-JULSALVC</v>
      </c>
      <c r="E1421" s="28" t="str">
        <f>IFERROR(__xludf.DUMMYFUNCTION("""COMPUTED_VALUE"""),"RDV MINISTROS | FERNÁN QUIRÓS 13/7 COMUNA 14")</f>
        <v>RDV MINISTROS | FERNÁN QUIRÓS 13/7 COMUNA 14</v>
      </c>
      <c r="F1421" s="28"/>
    </row>
    <row r="1422">
      <c r="A1422" s="28" t="str">
        <f>IFERROR(__xludf.DUMMYFUNCTION("""COMPUTED_VALUE"""),"3076-MAYEDUVC")</f>
        <v>3076-MAYEDUVC</v>
      </c>
      <c r="B1422" s="28" t="str">
        <f>IFERROR(__xludf.DUMMYFUNCTION("""COMPUTED_VALUE"""),"RDV MINISTROS | MERCEDES MIGUEL | COMUNA 8 | 29/5")</f>
        <v>RDV MINISTROS | MERCEDES MIGUEL | COMUNA 8 | 29/5</v>
      </c>
      <c r="C1422" s="29" t="str">
        <f>IFERROR(__xludf.DUMMYFUNCTION("""COMPUTED_VALUE"""),"Pieza")</f>
        <v>Pieza</v>
      </c>
      <c r="D1422" s="28" t="str">
        <f>IFERROR(__xludf.DUMMYFUNCTION("""COMPUTED_VALUE"""),"3326-JULINFVC")</f>
        <v>3326-JULINFVC</v>
      </c>
      <c r="E1422" s="28" t="str">
        <f>IFERROR(__xludf.DUMMYFUNCTION("""COMPUTED_VALUE"""),"PABLO BERECIARTUA 13/7 COMUNA 1")</f>
        <v>PABLO BERECIARTUA 13/7 COMUNA 1</v>
      </c>
      <c r="F1422" s="28"/>
    </row>
    <row r="1423">
      <c r="A1423" s="28" t="str">
        <f>IFERROR(__xludf.DUMMYFUNCTION("""COMPUTED_VALUE"""),"3100-MAYSEGGJ")</f>
        <v>3100-MAYSEGGJ</v>
      </c>
      <c r="B1423" s="28" t="str">
        <f>IFERROR(__xludf.DUMMYFUNCTION("""COMPUTED_VALUE"""),"Desalojo N°800")</f>
        <v>Desalojo N°800</v>
      </c>
      <c r="C1423" s="29" t="str">
        <f>IFERROR(__xludf.DUMMYFUNCTION("""COMPUTED_VALUE"""),"Pieza")</f>
        <v>Pieza</v>
      </c>
      <c r="D1423" s="28" t="str">
        <f>IFERROR(__xludf.DUMMYFUNCTION("""COMPUTED_VALUE"""),"3302-JULDUDGC")</f>
        <v>3302-JULDUDGC</v>
      </c>
      <c r="E1423" s="28" t="str">
        <f>IFERROR(__xludf.DUMMYFUNCTION("""COMPUTED_VALUE"""),"Deportes | Media | Sorteo Maratón de Buenos Aires 2026")</f>
        <v>Deportes | Media | Sorteo Maratón de Buenos Aires 2026</v>
      </c>
      <c r="F1423" s="28"/>
    </row>
    <row r="1424">
      <c r="A1424" s="28" t="str">
        <f>IFERROR(__xludf.DUMMYFUNCTION("""COMPUTED_VALUE"""),"3110-MAYJDGAG")</f>
        <v>3110-MAYJDGAG</v>
      </c>
      <c r="B1424" s="28" t="str">
        <f>IFERROR(__xludf.DUMMYFUNCTION("""COMPUTED_VALUE"""),"TE CUENTO BS AS JM | 3/6 ORDEN PÚBLICO EJE SUR")</f>
        <v>TE CUENTO BS AS JM | 3/6 ORDEN PÚBLICO EJE SUR</v>
      </c>
      <c r="C1424" s="29" t="str">
        <f>IFERROR(__xludf.DUMMYFUNCTION("""COMPUTED_VALUE"""),"Pieza")</f>
        <v>Pieza</v>
      </c>
      <c r="D1424" s="28" t="str">
        <f>IFERROR(__xludf.DUMMYFUNCTION("""COMPUTED_VALUE"""),"3329-JULINFGC")</f>
        <v>3329-JULINFGC</v>
      </c>
      <c r="E1424" s="28" t="str">
        <f>IFERROR(__xludf.DUMMYFUNCTION("""COMPUTED_VALUE"""),"Cortes y desvios en Av. Cantilo")</f>
        <v>Cortes y desvios en Av. Cantilo</v>
      </c>
      <c r="F1424" s="28"/>
    </row>
    <row r="1425">
      <c r="A1425" s="28" t="str">
        <f>IFERROR(__xludf.DUMMYFUNCTION("""COMPUTED_VALUE"""),"3108-MAYSALVC")</f>
        <v>3108-MAYSALVC</v>
      </c>
      <c r="B1425" s="28" t="str">
        <f>IFERROR(__xludf.DUMMYFUNCTION("""COMPUTED_VALUE"""),"Fernán Quirós - 2/6 - Comuna 9")</f>
        <v>Fernán Quirós - 2/6 - Comuna 9</v>
      </c>
      <c r="C1425" s="29" t="str">
        <f>IFERROR(__xludf.DUMMYFUNCTION("""COMPUTED_VALUE"""),"Pieza")</f>
        <v>Pieza</v>
      </c>
      <c r="D1425" s="28" t="str">
        <f>IFERROR(__xludf.DUMMYFUNCTION("""COMPUTED_VALUE"""),"3307-JULFESGC")</f>
        <v>3307-JULFESGC</v>
      </c>
      <c r="E1425" s="28" t="str">
        <f>IFERROR(__xludf.DUMMYFUNCTION("""COMPUTED_VALUE"""),"Sorteo | Expo Rural 2026")</f>
        <v>Sorteo | Expo Rural 2026</v>
      </c>
      <c r="F1425" s="28"/>
    </row>
    <row r="1426">
      <c r="A1426" s="28" t="str">
        <f>IFERROR(__xludf.DUMMYFUNCTION("""COMPUTED_VALUE"""),"2673-MARSALGC")</f>
        <v>2673-MARSALGC</v>
      </c>
      <c r="B1426" s="28" t="str">
        <f>IFERROR(__xludf.DUMMYFUNCTION("""COMPUTED_VALUE"""),"Mejoras en Centros de Salud")</f>
        <v>Mejoras en Centros de Salud</v>
      </c>
      <c r="C1426" s="29" t="str">
        <f>IFERROR(__xludf.DUMMYFUNCTION("""COMPUTED_VALUE"""),"Pieza")</f>
        <v>Pieza</v>
      </c>
      <c r="D1426" s="28" t="str">
        <f>IFERROR(__xludf.DUMMYFUNCTION("""COMPUTED_VALUE"""),"3140-JUNSALGC")</f>
        <v>3140-JUNSALGC</v>
      </c>
      <c r="E1426" s="28" t="str">
        <f>IFERROR(__xludf.DUMMYFUNCTION("""COMPUTED_VALUE"""),"Always On - Centros de Salud")</f>
        <v>Always On - Centros de Salud</v>
      </c>
      <c r="F1426" s="29" t="str">
        <f>IFERROR(__xludf.DUMMYFUNCTION("""COMPUTED_VALUE"""),"https://www.facebook.com/GCBA/posts/pfbid0MuG7Sbo5joqEuk2UWgNsVURV9frh2FTUkY1aQoaNkgEbc3aeURAPiq423LHA7Mwyl")</f>
        <v>https://www.facebook.com/GCBA/posts/pfbid0MuG7Sbo5joqEuk2UWgNsVURV9frh2FTUkY1aQoaNkgEbc3aeURAPiq423LHA7Mwyl</v>
      </c>
    </row>
    <row r="1427">
      <c r="A1427" s="28" t="str">
        <f>IFERROR(__xludf.DUMMYFUNCTION("""COMPUTED_VALUE"""),"3103-MAYJUSGC")</f>
        <v>3103-MAYJUSGC</v>
      </c>
      <c r="B1427" s="28" t="str">
        <f>IFERROR(__xludf.DUMMYFUNCTION("""COMPUTED_VALUE"""),"congreso NNyA")</f>
        <v>congreso NNyA</v>
      </c>
      <c r="C1427" s="29" t="str">
        <f>IFERROR(__xludf.DUMMYFUNCTION("""COMPUTED_VALUE"""),"Pieza")</f>
        <v>Pieza</v>
      </c>
      <c r="D1427" s="28" t="str">
        <f>IFERROR(__xludf.DUMMYFUNCTION("""COMPUTED_VALUE"""),"3315-JULSEGVC")</f>
        <v>3315-JULSEGVC</v>
      </c>
      <c r="E1427" s="28" t="str">
        <f>IFERROR(__xludf.DUMMYFUNCTION("""COMPUTED_VALUE"""),"RDV Ministros | Gabino Tapia 16/7 Comuna 7")</f>
        <v>RDV Ministros | Gabino Tapia 16/7 Comuna 7</v>
      </c>
      <c r="F1427" s="28"/>
    </row>
    <row r="1428">
      <c r="A1428" s="28" t="str">
        <f>IFERROR(__xludf.DUMMYFUNCTION("""COMPUTED_VALUE"""),"3127-MAYJDGAG")</f>
        <v>3127-MAYJDGAG</v>
      </c>
      <c r="B1428" s="28" t="str">
        <f>IFERROR(__xludf.DUMMYFUNCTION("""COMPUTED_VALUE"""),"RDV JM | VÉLEZ SARSFIELD | 5/6")</f>
        <v>RDV JM | VÉLEZ SARSFIELD | 5/6</v>
      </c>
      <c r="C1428" s="29" t="str">
        <f>IFERROR(__xludf.DUMMYFUNCTION("""COMPUTED_VALUE"""),"Pieza")</f>
        <v>Pieza</v>
      </c>
      <c r="D1428" s="28" t="str">
        <f>IFERROR(__xludf.DUMMYFUNCTION("""COMPUTED_VALUE"""),"3312-JULSEGVC")</f>
        <v>3312-JULSEGVC</v>
      </c>
      <c r="E1428" s="28" t="str">
        <f>IFERROR(__xludf.DUMMYFUNCTION("""COMPUTED_VALUE"""),"RDV Ministros | Maximiliano Piñeiro 16/7 Comuna 4")</f>
        <v>RDV Ministros | Maximiliano Piñeiro 16/7 Comuna 4</v>
      </c>
      <c r="F1428" s="28"/>
    </row>
    <row r="1429">
      <c r="A1429" s="28" t="str">
        <f>IFERROR(__xludf.DUMMYFUNCTION("""COMPUTED_VALUE"""),"3117-MAYSEGVC")</f>
        <v>3117-MAYSEGVC</v>
      </c>
      <c r="B1429" s="28" t="str">
        <f>IFERROR(__xludf.DUMMYFUNCTION("""COMPUTED_VALUE"""),"RDV MINISTROS | EZEQUIEL SABOR 3/6 COMUNA 15")</f>
        <v>RDV MINISTROS | EZEQUIEL SABOR 3/6 COMUNA 15</v>
      </c>
      <c r="C1429" s="29" t="str">
        <f>IFERROR(__xludf.DUMMYFUNCTION("""COMPUTED_VALUE"""),"Pieza")</f>
        <v>Pieza</v>
      </c>
      <c r="D1429" s="28" t="str">
        <f>IFERROR(__xludf.DUMMYFUNCTION("""COMPUTED_VALUE"""),"3313-JULSEGVC")</f>
        <v>3313-JULSEGVC</v>
      </c>
      <c r="E1429" s="28" t="str">
        <f>IFERROR(__xludf.DUMMYFUNCTION("""COMPUTED_VALUE"""),"RDV Ministros | Ruth Landerreche 16/7 Comuna 5")</f>
        <v>RDV Ministros | Ruth Landerreche 16/7 Comuna 5</v>
      </c>
      <c r="F1429" s="29" t="str">
        <f>IFERROR(__xludf.DUMMYFUNCTION("""COMPUTED_VALUE"""),"https://www.facebook.com/baparticipacion/posts/pfbid08qne98U5gKrZJwYvNh71QvrTAnzTK3pionNhXwGcsD4TnBsSK5MaoWPCKUnu8UNbl")</f>
        <v>https://www.facebook.com/baparticipacion/posts/pfbid08qne98U5gKrZJwYvNh71QvrTAnzTK3pionNhXwGcsD4TnBsSK5MaoWPCKUnu8UNbl</v>
      </c>
    </row>
    <row r="1430">
      <c r="A1430" s="28" t="str">
        <f>IFERROR(__xludf.DUMMYFUNCTION("""COMPUTED_VALUE"""),"3095-MAYVINVC")</f>
        <v>3095-MAYVINVC</v>
      </c>
      <c r="B1430" s="28" t="str">
        <f>IFERROR(__xludf.DUMMYFUNCTION("""COMPUTED_VALUE"""),"Más servicios en tu barrio - 5/6 - Balvanera")</f>
        <v>Más servicios en tu barrio - 5/6 - Balvanera</v>
      </c>
      <c r="C1430" s="29" t="str">
        <f>IFERROR(__xludf.DUMMYFUNCTION("""COMPUTED_VALUE"""),"Pieza")</f>
        <v>Pieza</v>
      </c>
      <c r="D1430" s="28" t="str">
        <f>IFERROR(__xludf.DUMMYFUNCTION("""COMPUTED_VALUE"""),"2478-ENEINNGC")</f>
        <v>2478-ENEINNGC</v>
      </c>
      <c r="E1430" s="28" t="str">
        <f>IFERROR(__xludf.DUMMYFUNCTION("""COMPUTED_VALUE"""),"Lanzamiento BAX")</f>
        <v>Lanzamiento BAX</v>
      </c>
      <c r="F1430" s="28"/>
    </row>
    <row r="1431">
      <c r="A1431" s="28" t="str">
        <f>IFERROR(__xludf.DUMMYFUNCTION("""COMPUTED_VALUE"""),"3096-MAYVINVC")</f>
        <v>3096-MAYVINVC</v>
      </c>
      <c r="B1431" s="28" t="str">
        <f>IFERROR(__xludf.DUMMYFUNCTION("""COMPUTED_VALUE"""),"Más servicios en tu barrio - 5/6 - Villa Lugano (Barrio Popular) ")</f>
        <v>Más servicios en tu barrio - 5/6 - Villa Lugano (Barrio Popular) </v>
      </c>
      <c r="C1431" s="29" t="str">
        <f>IFERROR(__xludf.DUMMYFUNCTION("""COMPUTED_VALUE"""),"Pieza")</f>
        <v>Pieza</v>
      </c>
      <c r="D1431" s="28" t="str">
        <f>IFERROR(__xludf.DUMMYFUNCTION("""COMPUTED_VALUE"""),"2478-ENEINNGC")</f>
        <v>2478-ENEINNGC</v>
      </c>
      <c r="E1431" s="28" t="str">
        <f>IFERROR(__xludf.DUMMYFUNCTION("""COMPUTED_VALUE"""),"Lanzamiento BAX")</f>
        <v>Lanzamiento BAX</v>
      </c>
      <c r="F1431" s="28"/>
    </row>
    <row r="1432">
      <c r="A1432" s="28" t="str">
        <f>IFERROR(__xludf.DUMMYFUNCTION("""COMPUTED_VALUE"""),"3097-MAYVINVC")</f>
        <v>3097-MAYVINVC</v>
      </c>
      <c r="B1432" s="28" t="str">
        <f>IFERROR(__xludf.DUMMYFUNCTION("""COMPUTED_VALUE"""),"Más servicios en tu barrio - 6/5 - San Telmo")</f>
        <v>Más servicios en tu barrio - 6/5 - San Telmo</v>
      </c>
      <c r="C1432" s="29" t="str">
        <f>IFERROR(__xludf.DUMMYFUNCTION("""COMPUTED_VALUE"""),"Pieza")</f>
        <v>Pieza</v>
      </c>
      <c r="D1432" s="28" t="str">
        <f>IFERROR(__xludf.DUMMYFUNCTION("""COMPUTED_VALUE"""),"2478-ENEINNGC")</f>
        <v>2478-ENEINNGC</v>
      </c>
      <c r="E1432" s="28" t="str">
        <f>IFERROR(__xludf.DUMMYFUNCTION("""COMPUTED_VALUE"""),"Lanzamiento BAX")</f>
        <v>Lanzamiento BAX</v>
      </c>
      <c r="F1432" s="28"/>
    </row>
    <row r="1433">
      <c r="A1433" s="28" t="str">
        <f>IFERROR(__xludf.DUMMYFUNCTION("""COMPUTED_VALUE"""),"3074-MAYJDGAG")</f>
        <v>3074-MAYJDGAG</v>
      </c>
      <c r="B1433" s="28" t="str">
        <f>IFERROR(__xludf.DUMMYFUNCTION("""COMPUTED_VALUE"""),"RDV JM TEMÁTICA | TE CUENTO BS AS 28/05 CIUDAD ATRACTIVA EJE ESTE")</f>
        <v>RDV JM TEMÁTICA | TE CUENTO BS AS 28/05 CIUDAD ATRACTIVA EJE ESTE</v>
      </c>
      <c r="C1433" s="29" t="str">
        <f>IFERROR(__xludf.DUMMYFUNCTION("""COMPUTED_VALUE"""),"Pieza")</f>
        <v>Pieza</v>
      </c>
      <c r="D1433" s="28" t="str">
        <f>IFERROR(__xludf.DUMMYFUNCTION("""COMPUTED_VALUE"""),"2478-ENEINNGC")</f>
        <v>2478-ENEINNGC</v>
      </c>
      <c r="E1433" s="28" t="str">
        <f>IFERROR(__xludf.DUMMYFUNCTION("""COMPUTED_VALUE"""),"Lanzamiento BAX")</f>
        <v>Lanzamiento BAX</v>
      </c>
      <c r="F1433" s="28"/>
    </row>
    <row r="1434">
      <c r="A1434" s="28" t="str">
        <f>IFERROR(__xludf.DUMMYFUNCTION("""COMPUTED_VALUE"""),"3107-MAYJDGVC")</f>
        <v>3107-MAYJDGVC</v>
      </c>
      <c r="B1434" s="28" t="str">
        <f>IFERROR(__xludf.DUMMYFUNCTION("""COMPUTED_VALUE"""),"Gabriel Sánchez Zinny - 1/6 - Villa Crespo")</f>
        <v>Gabriel Sánchez Zinny - 1/6 - Villa Crespo</v>
      </c>
      <c r="C1434" s="29" t="str">
        <f>IFERROR(__xludf.DUMMYFUNCTION("""COMPUTED_VALUE"""),"Pieza")</f>
        <v>Pieza</v>
      </c>
      <c r="D1434" s="28" t="str">
        <f>IFERROR(__xludf.DUMMYFUNCTION("""COMPUTED_VALUE"""),"3329-JULINFGC")</f>
        <v>3329-JULINFGC</v>
      </c>
      <c r="E1434" s="28" t="str">
        <f>IFERROR(__xludf.DUMMYFUNCTION("""COMPUTED_VALUE"""),"Cortes y desvios en Av. Cantilo")</f>
        <v>Cortes y desvios en Av. Cantilo</v>
      </c>
      <c r="F1434" s="28"/>
    </row>
    <row r="1435">
      <c r="A1435" s="28" t="str">
        <f>IFERROR(__xludf.DUMMYFUNCTION("""COMPUTED_VALUE"""),"3122-MAYSEGVC")</f>
        <v>3122-MAYSEGVC</v>
      </c>
      <c r="B1435" s="28" t="str">
        <f>IFERROR(__xludf.DUMMYFUNCTION("""COMPUTED_VALUE"""),"RDV Ministros | Horacio Giménez 4/6 Comuna 1 Norte")</f>
        <v>RDV Ministros | Horacio Giménez 4/6 Comuna 1 Norte</v>
      </c>
      <c r="C1435" s="29" t="str">
        <f>IFERROR(__xludf.DUMMYFUNCTION("""COMPUTED_VALUE"""),"Pieza")</f>
        <v>Pieza</v>
      </c>
      <c r="D1435" s="28" t="str">
        <f>IFERROR(__xludf.DUMMYFUNCTION("""COMPUTED_VALUE"""),"3299-JULSALGC")</f>
        <v>3299-JULSALGC</v>
      </c>
      <c r="E1435" s="28" t="str">
        <f>IFERROR(__xludf.DUMMYFUNCTION("""COMPUTED_VALUE"""),"Hospital Penna: obras")</f>
        <v>Hospital Penna: obras</v>
      </c>
      <c r="F1435" s="29" t="str">
        <f>IFERROR(__xludf.DUMMYFUNCTION("""COMPUTED_VALUE"""),"https://www.facebook.com/GCBA/posts/pfbid02MhamHAHwvVGP2bmq1bwnjG4fMgD6ZzhHXjj1DBLZpD637Kof28Ry1HXnAt6SuqM7l")</f>
        <v>https://www.facebook.com/GCBA/posts/pfbid02MhamHAHwvVGP2bmq1bwnjG4fMgD6ZzhHXjj1DBLZpD637Kof28Ry1HXnAt6SuqM7l</v>
      </c>
    </row>
    <row r="1436">
      <c r="A1436" s="28" t="str">
        <f>IFERROR(__xludf.DUMMYFUNCTION("""COMPUTED_VALUE"""),"3110-MAYJDGAG")</f>
        <v>3110-MAYJDGAG</v>
      </c>
      <c r="B1436" s="28" t="str">
        <f>IFERROR(__xludf.DUMMYFUNCTION("""COMPUTED_VALUE"""),"TE CUENTO BS AS JM | 3/6 ORDEN PÚBLICO EJE SUR")</f>
        <v>TE CUENTO BS AS JM | 3/6 ORDEN PÚBLICO EJE SUR</v>
      </c>
      <c r="C1436" s="29" t="str">
        <f>IFERROR(__xludf.DUMMYFUNCTION("""COMPUTED_VALUE"""),"Pieza")</f>
        <v>Pieza</v>
      </c>
      <c r="D1436" s="28" t="str">
        <f>IFERROR(__xludf.DUMMYFUNCTION("""COMPUTED_VALUE"""),"3226-JUNFESGC")</f>
        <v>3226-JUNFESGC</v>
      </c>
      <c r="E1436" s="28" t="str">
        <f>IFERROR(__xludf.DUMMYFUNCTION("""COMPUTED_VALUE"""),"Vacaciones de invierno | Genérica")</f>
        <v>Vacaciones de invierno | Genérica</v>
      </c>
      <c r="F1436" s="29" t="str">
        <f>IFERROR(__xludf.DUMMYFUNCTION("""COMPUTED_VALUE"""),"https://www.facebook.com/reel/1658547745215552")</f>
        <v>https://www.facebook.com/reel/1658547745215552</v>
      </c>
    </row>
    <row r="1437">
      <c r="A1437" s="28" t="str">
        <f>IFERROR(__xludf.DUMMYFUNCTION("""COMPUTED_VALUE"""),"3106-MAYPCCVC")</f>
        <v>3106-MAYPCCVC</v>
      </c>
      <c r="B1437" s="28" t="str">
        <f>IFERROR(__xludf.DUMMYFUNCTION("""COMPUTED_VALUE"""),"Jornada de adopción para perros y gatos")</f>
        <v>Jornada de adopción para perros y gatos</v>
      </c>
      <c r="C1437" s="29" t="str">
        <f>IFERROR(__xludf.DUMMYFUNCTION("""COMPUTED_VALUE"""),"Pieza")</f>
        <v>Pieza</v>
      </c>
      <c r="D1437" s="28" t="str">
        <f>IFERROR(__xludf.DUMMYFUNCTION("""COMPUTED_VALUE"""),"2478-ENEINNGC")</f>
        <v>2478-ENEINNGC</v>
      </c>
      <c r="E1437" s="28" t="str">
        <f>IFERROR(__xludf.DUMMYFUNCTION("""COMPUTED_VALUE"""),"Lanzamiento BAX")</f>
        <v>Lanzamiento BAX</v>
      </c>
      <c r="F1437" s="28"/>
    </row>
    <row r="1438">
      <c r="A1438" s="28" t="str">
        <f>IFERROR(__xludf.DUMMYFUNCTION("""COMPUTED_VALUE"""),"3123-MAYSEGVC")</f>
        <v>3123-MAYSEGVC</v>
      </c>
      <c r="B1438" s="28" t="str">
        <f>IFERROR(__xludf.DUMMYFUNCTION("""COMPUTED_VALUE"""),"RDV Ministros | Ruth Landerreche 4/6 Comuna 3")</f>
        <v>RDV Ministros | Ruth Landerreche 4/6 Comuna 3</v>
      </c>
      <c r="C1438" s="29" t="str">
        <f>IFERROR(__xludf.DUMMYFUNCTION("""COMPUTED_VALUE"""),"Pieza")</f>
        <v>Pieza</v>
      </c>
      <c r="D1438" s="28" t="str">
        <f>IFERROR(__xludf.DUMMYFUNCTION("""COMPUTED_VALUE"""),"3305-JULSEGGJ")</f>
        <v>3305-JULSEGGJ</v>
      </c>
      <c r="E1438" s="28" t="str">
        <f>IFERROR(__xludf.DUMMYFUNCTION("""COMPUTED_VALUE"""),"Egreso más de 1000 Cadetes")</f>
        <v>Egreso más de 1000 Cadetes</v>
      </c>
      <c r="F1438" s="28"/>
    </row>
    <row r="1439">
      <c r="A1439" s="28" t="str">
        <f>IFERROR(__xludf.DUMMYFUNCTION("""COMPUTED_VALUE"""),"3058-MAYSALGJ")</f>
        <v>3058-MAYSALGJ</v>
      </c>
      <c r="B1439" s="28" t="str">
        <f>IFERROR(__xludf.DUMMYFUNCTION("""COMPUTED_VALUE"""),"Hospital Tornú - Fin de obra")</f>
        <v>Hospital Tornú - Fin de obra</v>
      </c>
      <c r="C1439" s="29" t="str">
        <f>IFERROR(__xludf.DUMMYFUNCTION("""COMPUTED_VALUE"""),"Pieza")</f>
        <v>Pieza</v>
      </c>
      <c r="D1439" s="28" t="str">
        <f>IFERROR(__xludf.DUMMYFUNCTION("""COMPUTED_VALUE"""),"3245-JUNFESGC")</f>
        <v>3245-JUNFESGC</v>
      </c>
      <c r="E1439" s="28" t="str">
        <f>IFERROR(__xludf.DUMMYFUNCTION("""COMPUTED_VALUE"""),"Vacaciones de Invierno | Invierno en las plazas ")</f>
        <v>Vacaciones de Invierno | Invierno en las plazas </v>
      </c>
      <c r="F1439" s="28"/>
    </row>
    <row r="1440">
      <c r="A1440" s="28" t="str">
        <f>IFERROR(__xludf.DUMMYFUNCTION("""COMPUTED_VALUE"""),"3129-MAYJDGAN")</f>
        <v>3129-MAYJDGAN</v>
      </c>
      <c r="B1440" s="28" t="str">
        <f>IFERROR(__xludf.DUMMYFUNCTION("""COMPUTED_VALUE"""),"Mail Deudores Alimentarios")</f>
        <v>Mail Deudores Alimentarios</v>
      </c>
      <c r="C1440" s="29" t="str">
        <f>IFERROR(__xludf.DUMMYFUNCTION("""COMPUTED_VALUE"""),"Pieza")</f>
        <v>Pieza</v>
      </c>
      <c r="D1440" s="28" t="str">
        <f>IFERROR(__xludf.DUMMYFUNCTION("""COMPUTED_VALUE"""),"3245-JUNFESGC")</f>
        <v>3245-JUNFESGC</v>
      </c>
      <c r="E1440" s="28" t="str">
        <f>IFERROR(__xludf.DUMMYFUNCTION("""COMPUTED_VALUE"""),"Vacaciones de Invierno | Invierno en las plazas ")</f>
        <v>Vacaciones de Invierno | Invierno en las plazas </v>
      </c>
      <c r="F1440" s="28"/>
    </row>
    <row r="1441">
      <c r="A1441" s="28" t="str">
        <f>IFERROR(__xludf.DUMMYFUNCTION("""COMPUTED_VALUE"""),"3124-MAYSEGVC")</f>
        <v>3124-MAYSEGVC</v>
      </c>
      <c r="B1441" s="28" t="str">
        <f>IFERROR(__xludf.DUMMYFUNCTION("""COMPUTED_VALUE"""),"RDV Ministros | Francisco Quintana 4/6 Comuna 2")</f>
        <v>RDV Ministros | Francisco Quintana 4/6 Comuna 2</v>
      </c>
      <c r="C1441" s="29" t="str">
        <f>IFERROR(__xludf.DUMMYFUNCTION("""COMPUTED_VALUE"""),"Pieza")</f>
        <v>Pieza</v>
      </c>
      <c r="D1441" s="28" t="str">
        <f>IFERROR(__xludf.DUMMYFUNCTION("""COMPUTED_VALUE"""),"3245-JUNFESGC")</f>
        <v>3245-JUNFESGC</v>
      </c>
      <c r="E1441" s="28" t="str">
        <f>IFERROR(__xludf.DUMMYFUNCTION("""COMPUTED_VALUE"""),"Vacaciones de Invierno | Invierno en las plazas ")</f>
        <v>Vacaciones de Invierno | Invierno en las plazas </v>
      </c>
      <c r="F1441" s="28"/>
    </row>
    <row r="1442">
      <c r="A1442" s="28" t="str">
        <f>IFERROR(__xludf.DUMMYFUNCTION("""COMPUTED_VALUE"""),"3126-MAYAMBVC")</f>
        <v>3126-MAYAMBVC</v>
      </c>
      <c r="B1442" s="28" t="str">
        <f>IFERROR(__xludf.DUMMYFUNCTION("""COMPUTED_VALUE"""),"Clara Muzzio - 5/6 - Núñez")</f>
        <v>Clara Muzzio - 5/6 - Núñez</v>
      </c>
      <c r="C1442" s="29" t="str">
        <f>IFERROR(__xludf.DUMMYFUNCTION("""COMPUTED_VALUE"""),"Pieza")</f>
        <v>Pieza</v>
      </c>
      <c r="D1442" s="28" t="str">
        <f>IFERROR(__xludf.DUMMYFUNCTION("""COMPUTED_VALUE"""),"3340-JULAMBVC")</f>
        <v>3340-JULAMBVC</v>
      </c>
      <c r="E1442" s="28" t="str">
        <f>IFERROR(__xludf.DUMMYFUNCTION("""COMPUTED_VALUE"""),"RDV Ministros | Clara Muzzio - 17/7 - Temática")</f>
        <v>RDV Ministros | Clara Muzzio - 17/7 - Temática</v>
      </c>
      <c r="F1442" s="28"/>
    </row>
    <row r="1443">
      <c r="A1443" s="28" t="str">
        <f>IFERROR(__xludf.DUMMYFUNCTION("""COMPUTED_VALUE"""),"3133-JUNJDGAG")</f>
        <v>3133-JUNJDGAG</v>
      </c>
      <c r="B1443" s="28" t="str">
        <f>IFERROR(__xludf.DUMMYFUNCTION("""COMPUTED_VALUE"""),"RDV JM | 5/6 Agronomía")</f>
        <v>RDV JM | 5/6 Agronomía</v>
      </c>
      <c r="C1443" s="29" t="str">
        <f>IFERROR(__xludf.DUMMYFUNCTION("""COMPUTED_VALUE"""),"Pieza")</f>
        <v>Pieza</v>
      </c>
      <c r="D1443" s="28" t="str">
        <f>IFERROR(__xludf.DUMMYFUNCTION("""COMPUTED_VALUE"""),"3314-JULSEGVC")</f>
        <v>3314-JULSEGVC</v>
      </c>
      <c r="E1443" s="28" t="str">
        <f>IFERROR(__xludf.DUMMYFUNCTION("""COMPUTED_VALUE"""),"RDV Ministros | Horacio Giménez 16/7 Comuna 6")</f>
        <v>RDV Ministros | Horacio Giménez 16/7 Comuna 6</v>
      </c>
      <c r="F1443" s="29" t="str">
        <f>IFERROR(__xludf.DUMMYFUNCTION("""COMPUTED_VALUE"""),"https://www.facebook.com/baparticipacion/posts/pfbid02CLhVvTsBABiNShNb6Ww6g2RXmyXEifyxTwhLpRuypur1NchYCicREEsoHp37kfEkl")</f>
        <v>https://www.facebook.com/baparticipacion/posts/pfbid02CLhVvTsBABiNShNb6Ww6g2RXmyXEifyxTwhLpRuypur1NchYCicREEsoHp37kfEkl</v>
      </c>
    </row>
    <row r="1444">
      <c r="A1444" s="28" t="str">
        <f>IFERROR(__xludf.DUMMYFUNCTION("""COMPUTED_VALUE"""),"1921-SEPAMBGC")</f>
        <v>1921-SEPAMBGC</v>
      </c>
      <c r="B1444" s="28" t="str">
        <f>IFERROR(__xludf.DUMMYFUNCTION("""COMPUTED_VALUE"""),"Vacunación Antirrabica Animales")</f>
        <v>Vacunación Antirrabica Animales</v>
      </c>
      <c r="C1444" s="29" t="str">
        <f>IFERROR(__xludf.DUMMYFUNCTION("""COMPUTED_VALUE"""),"Pieza")</f>
        <v>Pieza</v>
      </c>
      <c r="D1444" s="28" t="str">
        <f>IFERROR(__xludf.DUMMYFUNCTION("""COMPUTED_VALUE"""),"3347-JULJDGAG")</f>
        <v>3347-JULJDGAG</v>
      </c>
      <c r="E1444" s="28" t="str">
        <f>IFERROR(__xludf.DUMMYFUNCTION("""COMPUTED_VALUE"""),"TE CUENTO BS AS JM | 21/7 ORDEN PÚBLICO EJE NORTE")</f>
        <v>TE CUENTO BS AS JM | 21/7 ORDEN PÚBLICO EJE NORTE</v>
      </c>
      <c r="F1444" s="28"/>
    </row>
    <row r="1445">
      <c r="A1445" s="28" t="str">
        <f>IFERROR(__xludf.DUMMYFUNCTION("""COMPUTED_VALUE"""),"3092-MAYPCCVC")</f>
        <v>3092-MAYPCCVC</v>
      </c>
      <c r="B1445" s="28" t="str">
        <f>IFERROR(__xludf.DUMMYFUNCTION("""COMPUTED_VALUE"""),"Encuentro ""Día del vecino participativo""")</f>
        <v>Encuentro "Día del vecino participativo"</v>
      </c>
      <c r="C1445" s="29" t="str">
        <f>IFERROR(__xludf.DUMMYFUNCTION("""COMPUTED_VALUE"""),"Pieza")</f>
        <v>Pieza</v>
      </c>
      <c r="D1445" s="28" t="str">
        <f>IFERROR(__xludf.DUMMYFUNCTION("""COMPUTED_VALUE"""),"3347-JULJDGAG")</f>
        <v>3347-JULJDGAG</v>
      </c>
      <c r="E1445" s="28" t="str">
        <f>IFERROR(__xludf.DUMMYFUNCTION("""COMPUTED_VALUE"""),"TE CUENTO BS AS JM | 21/7 ORDEN PÚBLICO EJE NORTE")</f>
        <v>TE CUENTO BS AS JM | 21/7 ORDEN PÚBLICO EJE NORTE</v>
      </c>
      <c r="F1445" s="28"/>
    </row>
    <row r="1446">
      <c r="A1446" s="28" t="str">
        <f>IFERROR(__xludf.DUMMYFUNCTION("""COMPUTED_VALUE"""),"3121-MAYSEGVC")</f>
        <v>3121-MAYSEGVC</v>
      </c>
      <c r="B1446" s="28" t="str">
        <f>IFERROR(__xludf.DUMMYFUNCTION("""COMPUTED_VALUE"""),"RDV Ministros | Maximiliano Piñeiro 4/6 Comuna 1 Sur")</f>
        <v>RDV Ministros | Maximiliano Piñeiro 4/6 Comuna 1 Sur</v>
      </c>
      <c r="C1446" s="29" t="str">
        <f>IFERROR(__xludf.DUMMYFUNCTION("""COMPUTED_VALUE"""),"Pieza")</f>
        <v>Pieza</v>
      </c>
      <c r="D1446" s="28" t="str">
        <f>IFERROR(__xludf.DUMMYFUNCTION("""COMPUTED_VALUE"""),"3332-JULINFGC")</f>
        <v>3332-JULINFGC</v>
      </c>
      <c r="E1446" s="28" t="str">
        <f>IFERROR(__xludf.DUMMYFUNCTION("""COMPUTED_VALUE"""),"Infraestructura | Cambio de sentido calle: Oliden
")</f>
        <v>Infraestructura | Cambio de sentido calle: Oliden
</v>
      </c>
      <c r="F1446" s="28"/>
    </row>
    <row r="1447">
      <c r="A1447" s="28" t="str">
        <f>IFERROR(__xludf.DUMMYFUNCTION("""COMPUTED_VALUE"""),"3099-MAYINFGC")</f>
        <v>3099-MAYINFGC</v>
      </c>
      <c r="B1447" s="28" t="str">
        <f>IFERROR(__xludf.DUMMYFUNCTION("""COMPUTED_VALUE"""),"Cortes en Núñez por recital Lali - 6/6 y 7/6")</f>
        <v>Cortes en Núñez por recital Lali - 6/6 y 7/6</v>
      </c>
      <c r="C1447" s="29" t="str">
        <f>IFERROR(__xludf.DUMMYFUNCTION("""COMPUTED_VALUE"""),"Pieza")</f>
        <v>Pieza</v>
      </c>
      <c r="D1447" s="28" t="str">
        <f>IFERROR(__xludf.DUMMYFUNCTION("""COMPUTED_VALUE"""),"3349-JULINFGC")</f>
        <v>3349-JULINFGC</v>
      </c>
      <c r="E1447" s="28" t="str">
        <f>IFERROR(__xludf.DUMMYFUNCTION("""COMPUTED_VALUE"""),"INFRAESTRUCTURA | CORTES Y DESVÍOS ANIVERSARIO AMIA")</f>
        <v>INFRAESTRUCTURA | CORTES Y DESVÍOS ANIVERSARIO AMIA</v>
      </c>
      <c r="F1447" s="28"/>
    </row>
    <row r="1448">
      <c r="A1448" s="28" t="str">
        <f>IFERROR(__xludf.DUMMYFUNCTION("""COMPUTED_VALUE"""),"3122-MAYSEGVC")</f>
        <v>3122-MAYSEGVC</v>
      </c>
      <c r="B1448" s="28" t="str">
        <f>IFERROR(__xludf.DUMMYFUNCTION("""COMPUTED_VALUE"""),"RDV Ministros | Horacio Giménez 4/6 Comuna 1 Norte")</f>
        <v>RDV Ministros | Horacio Giménez 4/6 Comuna 1 Norte</v>
      </c>
      <c r="C1448" s="29" t="str">
        <f>IFERROR(__xludf.DUMMYFUNCTION("""COMPUTED_VALUE"""),"Pieza")</f>
        <v>Pieza</v>
      </c>
      <c r="D1448" s="28" t="str">
        <f>IFERROR(__xludf.DUMMYFUNCTION("""COMPUTED_VALUE"""),"3330-JULFESGC")</f>
        <v>3330-JULFESGC</v>
      </c>
      <c r="E1448" s="28" t="str">
        <f>IFERROR(__xludf.DUMMYFUNCTION("""COMPUTED_VALUE"""),"Sorteo Era Cretácica 2")</f>
        <v>Sorteo Era Cretácica 2</v>
      </c>
      <c r="F1448" s="28"/>
    </row>
    <row r="1449">
      <c r="A1449" s="28" t="str">
        <f>IFERROR(__xludf.DUMMYFUNCTION("""COMPUTED_VALUE"""),"3142-JUNFESGC")</f>
        <v>3142-JUNFESGC</v>
      </c>
      <c r="B1449" s="28" t="str">
        <f>IFERROR(__xludf.DUMMYFUNCTION("""COMPUTED_VALUE"""),"Sorteo entradas Soda Stereo")</f>
        <v>Sorteo entradas Soda Stereo</v>
      </c>
      <c r="C1449" s="29" t="str">
        <f>IFERROR(__xludf.DUMMYFUNCTION("""COMPUTED_VALUE"""),"Pieza")</f>
        <v>Pieza</v>
      </c>
      <c r="D1449" s="28" t="str">
        <f>IFERROR(__xludf.DUMMYFUNCTION("""COMPUTED_VALUE"""),"3244-JUNFESGC")</f>
        <v>3244-JUNFESGC</v>
      </c>
      <c r="E1449" s="28" t="str">
        <f>IFERROR(__xludf.DUMMYFUNCTION("""COMPUTED_VALUE"""),"Vacaciones de Invierno | Afters BA 24 hs")</f>
        <v>Vacaciones de Invierno | Afters BA 24 hs</v>
      </c>
      <c r="F1449" s="29" t="str">
        <f>IFERROR(__xludf.DUMMYFUNCTION("""COMPUTED_VALUE"""),"https://www.facebook.com/reel/1251270250318703")</f>
        <v>https://www.facebook.com/reel/1251270250318703</v>
      </c>
    </row>
    <row r="1450">
      <c r="A1450" s="28" t="str">
        <f>IFERROR(__xludf.DUMMYFUNCTION("""COMPUTED_VALUE"""),"2132-OCTSALGC")</f>
        <v>2132-OCTSALGC</v>
      </c>
      <c r="B1450" s="28" t="str">
        <f>IFERROR(__xludf.DUMMYFUNCTION("""COMPUTED_VALUE"""),"Envío Deploy RIS - Actualización Mejoras y Funciones")</f>
        <v>Envío Deploy RIS - Actualización Mejoras y Funciones</v>
      </c>
      <c r="C1450" s="29" t="str">
        <f>IFERROR(__xludf.DUMMYFUNCTION("""COMPUTED_VALUE"""),"Pieza")</f>
        <v>Pieza</v>
      </c>
      <c r="D1450" s="28" t="str">
        <f>IFERROR(__xludf.DUMMYFUNCTION("""COMPUTED_VALUE"""),"3346-JULJDGAG")</f>
        <v>3346-JULJDGAG</v>
      </c>
      <c r="E1450" s="28" t="str">
        <f>IFERROR(__xludf.DUMMYFUNCTION("""COMPUTED_VALUE"""),"1 A 1 JM | 24/7  RETIRO")</f>
        <v>1 A 1 JM | 24/7  RETIRO</v>
      </c>
      <c r="F1450" s="28"/>
    </row>
    <row r="1451">
      <c r="A1451" s="28" t="str">
        <f>IFERROR(__xludf.DUMMYFUNCTION("""COMPUTED_VALUE"""),"3123-MAYSEGVC")</f>
        <v>3123-MAYSEGVC</v>
      </c>
      <c r="B1451" s="28" t="str">
        <f>IFERROR(__xludf.DUMMYFUNCTION("""COMPUTED_VALUE"""),"RDV Ministros | Ruth Landerreche 4/6 Comuna 3")</f>
        <v>RDV Ministros | Ruth Landerreche 4/6 Comuna 3</v>
      </c>
      <c r="C1451" s="29" t="str">
        <f>IFERROR(__xludf.DUMMYFUNCTION("""COMPUTED_VALUE"""),"Pieza")</f>
        <v>Pieza</v>
      </c>
      <c r="D1451" s="28" t="str">
        <f>IFERROR(__xludf.DUMMYFUNCTION("""COMPUTED_VALUE"""),"3348-JULSEGCG")</f>
        <v>3348-JULSEGCG</v>
      </c>
      <c r="E1451" s="28" t="str">
        <f>IFERROR(__xludf.DUMMYFUNCTION("""COMPUTED_VALUE""")," Ciudad Inteligente | Pauta Canal de YouTube | Policía Científica")</f>
        <v> Ciudad Inteligente | Pauta Canal de YouTube | Policía Científica</v>
      </c>
      <c r="F1451" s="28"/>
    </row>
    <row r="1452">
      <c r="A1452" s="28" t="str">
        <f>IFERROR(__xludf.DUMMYFUNCTION("""COMPUTED_VALUE"""),"3073-MAYJDGAG")</f>
        <v>3073-MAYJDGAG</v>
      </c>
      <c r="B1452" s="28" t="str">
        <f>IFERROR(__xludf.DUMMYFUNCTION("""COMPUTED_VALUE"""),"RDV JM | 29/5 - Saavedra")</f>
        <v>RDV JM | 29/5 - Saavedra</v>
      </c>
      <c r="C1452" s="29" t="str">
        <f>IFERROR(__xludf.DUMMYFUNCTION("""COMPUTED_VALUE"""),"Pieza")</f>
        <v>Pieza</v>
      </c>
      <c r="D1452" s="28" t="str">
        <f>IFERROR(__xludf.DUMMYFUNCTION("""COMPUTED_VALUE"""),"2496-ENEVINGC")</f>
        <v>2496-ENEVINGC</v>
      </c>
      <c r="E1452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2" s="29" t="str">
        <f>IFERROR(__xludf.DUMMYFUNCTION("""COMPUTED_VALUE"""),"https://www.facebook.com/GCBA/posts/pfbid02DrWG17bH62zmCu6dU9wRLn2Nwk92fLqgYW21Aggato1nU66mStnvrqsHe9iVMQZnl")</f>
        <v>https://www.facebook.com/GCBA/posts/pfbid02DrWG17bH62zmCu6dU9wRLn2Nwk92fLqgYW21Aggato1nU66mStnvrqsHe9iVMQZnl</v>
      </c>
    </row>
    <row r="1453">
      <c r="A1453" s="28" t="str">
        <f>IFERROR(__xludf.DUMMYFUNCTION("""COMPUTED_VALUE"""),"3073-MAYJDGAG")</f>
        <v>3073-MAYJDGAG</v>
      </c>
      <c r="B1453" s="28" t="str">
        <f>IFERROR(__xludf.DUMMYFUNCTION("""COMPUTED_VALUE"""),"RDV JM | 29/5 - Saavedra")</f>
        <v>RDV JM | 29/5 - Saavedra</v>
      </c>
      <c r="C1453" s="29" t="str">
        <f>IFERROR(__xludf.DUMMYFUNCTION("""COMPUTED_VALUE"""),"Pieza")</f>
        <v>Pieza</v>
      </c>
      <c r="D1453" s="28" t="str">
        <f>IFERROR(__xludf.DUMMYFUNCTION("""COMPUTED_VALUE"""),"2496-ENEVINGC")</f>
        <v>2496-ENEVINGC</v>
      </c>
      <c r="E1453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3" s="29" t="str">
        <f>IFERROR(__xludf.DUMMYFUNCTION("""COMPUTED_VALUE""")," https://www.facebook.com/GCBA/posts/pfbid02JYYk1CGyVghG3CbeSPdXRz6gTCUqzHz5GHa2x16kXYYGjS9rsHzerF6js3y8m3fEl")</f>
        <v> https://www.facebook.com/GCBA/posts/pfbid02JYYk1CGyVghG3CbeSPdXRz6gTCUqzHz5GHa2x16kXYYGjS9rsHzerF6js3y8m3fEl</v>
      </c>
    </row>
    <row r="1454">
      <c r="A1454" s="28" t="str">
        <f>IFERROR(__xludf.DUMMYFUNCTION("""COMPUTED_VALUE"""),"3124-MAYSEGVC")</f>
        <v>3124-MAYSEGVC</v>
      </c>
      <c r="B1454" s="28" t="str">
        <f>IFERROR(__xludf.DUMMYFUNCTION("""COMPUTED_VALUE"""),"RDV Ministros | Francisco Quintana 4/6 Comuna 2")</f>
        <v>RDV Ministros | Francisco Quintana 4/6 Comuna 2</v>
      </c>
      <c r="C1454" s="29" t="str">
        <f>IFERROR(__xludf.DUMMYFUNCTION("""COMPUTED_VALUE"""),"Pieza")</f>
        <v>Pieza</v>
      </c>
      <c r="D1454" s="28" t="str">
        <f>IFERROR(__xludf.DUMMYFUNCTION("""COMPUTED_VALUE"""),"2496-ENEVINGC")</f>
        <v>2496-ENEVINGC</v>
      </c>
      <c r="E1454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4" s="29" t="str">
        <f>IFERROR(__xludf.DUMMYFUNCTION("""COMPUTED_VALUE"""),"https://www.facebook.com/GCBA/posts/pfbid0G2yLCG7ZQnybNLz4fQzuqWnVYUM12M9Bj5GtrBUXUa7VuqGGHFgHQKqMLUN2sHf6l")</f>
        <v>https://www.facebook.com/GCBA/posts/pfbid0G2yLCG7ZQnybNLz4fQzuqWnVYUM12M9Bj5GtrBUXUa7VuqGGHFgHQKqMLUN2sHf6l</v>
      </c>
    </row>
    <row r="1455">
      <c r="A1455" s="28" t="str">
        <f>IFERROR(__xludf.DUMMYFUNCTION("""COMPUTED_VALUE"""),"3116-MAYDECVC")</f>
        <v>3116-MAYDECVC</v>
      </c>
      <c r="B1455" s="28" t="str">
        <f>IFERROR(__xludf.DUMMYFUNCTION("""COMPUTED_VALUE"""),"RDV MINISTROS | LOMBARDI-TAPIA-PIRAGINE 1/6 EJE SUR")</f>
        <v>RDV MINISTROS | LOMBARDI-TAPIA-PIRAGINE 1/6 EJE SUR</v>
      </c>
      <c r="C1455" s="29" t="str">
        <f>IFERROR(__xludf.DUMMYFUNCTION("""COMPUTED_VALUE"""),"Pieza")</f>
        <v>Pieza</v>
      </c>
      <c r="D1455" s="28" t="str">
        <f>IFERROR(__xludf.DUMMYFUNCTION("""COMPUTED_VALUE"""),"2496-ENEVINGC")</f>
        <v>2496-ENEVINGC</v>
      </c>
      <c r="E1455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5" s="29" t="str">
        <f>IFERROR(__xludf.DUMMYFUNCTION("""COMPUTED_VALUE"""),"https://www.facebook.com/GCBA/posts/pfbid02EdidvFh5GkdQjSv2CC3NfL3DX9ckTRXkUM95ARJ4H9DGk5fh7QqWpEN4oTFShXC1l ")</f>
        <v>https://www.facebook.com/GCBA/posts/pfbid02EdidvFh5GkdQjSv2CC3NfL3DX9ckTRXkUM95ARJ4H9DGk5fh7QqWpEN4oTFShXC1l </v>
      </c>
    </row>
    <row r="1456">
      <c r="A1456" s="28" t="str">
        <f>IFERROR(__xludf.DUMMYFUNCTION("""COMPUTED_VALUE"""),"3151-JUNVINVC")</f>
        <v>3151-JUNVINVC</v>
      </c>
      <c r="B1456" s="28" t="str">
        <f>IFERROR(__xludf.DUMMYFUNCTION("""COMPUTED_VALUE"""),"Más servicios en tu barrio - 8/6 - Mataderos")</f>
        <v>Más servicios en tu barrio - 8/6 - Mataderos</v>
      </c>
      <c r="C1456" s="29" t="str">
        <f>IFERROR(__xludf.DUMMYFUNCTION("""COMPUTED_VALUE"""),"Pieza")</f>
        <v>Pieza</v>
      </c>
      <c r="D1456" s="28" t="str">
        <f>IFERROR(__xludf.DUMMYFUNCTION("""COMPUTED_VALUE"""),"2496-ENEVINGC")</f>
        <v>2496-ENEVINGC</v>
      </c>
      <c r="E1456" s="28" t="str">
        <f>IFERROR(__xludf.DUMMYFUNCTION("""COMPUTED_VALUE"""),"CAMPAÑA GCBA | VINCULO CIUDADANO | Mas servicios en tu barrio 2026: Recoleta 25/02")</f>
        <v>CAMPAÑA GCBA | VINCULO CIUDADANO | Mas servicios en tu barrio 2026: Recoleta 25/02</v>
      </c>
      <c r="F1456" s="29" t="str">
        <f>IFERROR(__xludf.DUMMYFUNCTION("""COMPUTED_VALUE"""),"https://www.facebook.com/GCBA/posts/pfbid0218TrSijT1ASJhztWEQm6c9s5EkmwjzjT1GwBTkNDaDXyapodUfeLNCe5TQV13nVil")</f>
        <v>https://www.facebook.com/GCBA/posts/pfbid0218TrSijT1ASJhztWEQm6c9s5EkmwjzjT1GwBTkNDaDXyapodUfeLNCe5TQV13nVil</v>
      </c>
    </row>
    <row r="1457">
      <c r="A1457" s="28" t="str">
        <f>IFERROR(__xludf.DUMMYFUNCTION("""COMPUTED_VALUE"""),"3136-JUNVINVC")</f>
        <v>3136-JUNVINVC</v>
      </c>
      <c r="B1457" s="28" t="str">
        <f>IFERROR(__xludf.DUMMYFUNCTION("""COMPUTED_VALUE"""),"Más servicios en tu barrio - 9/6 y 10/6 - Villa Riachuelo")</f>
        <v>Más servicios en tu barrio - 9/6 y 10/6 - Villa Riachuelo</v>
      </c>
      <c r="C1457" s="29" t="str">
        <f>IFERROR(__xludf.DUMMYFUNCTION("""COMPUTED_VALUE"""),"Pieza")</f>
        <v>Pieza</v>
      </c>
      <c r="D1457" s="28" t="str">
        <f>IFERROR(__xludf.DUMMYFUNCTION("""COMPUTED_VALUE"""),"3308-JULJDGAG")</f>
        <v>3308-JULJDGAG</v>
      </c>
      <c r="E1457" s="28" t="str">
        <f>IFERROR(__xludf.DUMMYFUNCTION("""COMPUTED_VALUE"""),"1 A 1 JM | COMUNA 11 | 13/7")</f>
        <v>1 A 1 JM | COMUNA 11 | 13/7</v>
      </c>
      <c r="F1457" s="28"/>
    </row>
    <row r="1458">
      <c r="A1458" s="28" t="str">
        <f>IFERROR(__xludf.DUMMYFUNCTION("""COMPUTED_VALUE"""),"3018-MAYEDUGJ")</f>
        <v>3018-MAYEDUGJ</v>
      </c>
      <c r="B1458" s="28" t="str">
        <f>IFERROR(__xludf.DUMMYFUNCTION("""COMPUTED_VALUE"""),"Educación | Iniciativa Formación Docente")</f>
        <v>Educación | Iniciativa Formación Docente</v>
      </c>
      <c r="C1458" s="29" t="str">
        <f>IFERROR(__xludf.DUMMYFUNCTION("""COMPUTED_VALUE"""),"Pieza")</f>
        <v>Pieza</v>
      </c>
      <c r="D1458" s="28" t="str">
        <f>IFERROR(__xludf.DUMMYFUNCTION("""COMPUTED_VALUE"""),"3309-JULJDGAG")</f>
        <v>3309-JULJDGAG</v>
      </c>
      <c r="E1458" s="28" t="str">
        <f>IFERROR(__xludf.DUMMYFUNCTION("""COMPUTED_VALUE"""),"1 a 1 | JM |  Recoleta 15/7")</f>
        <v>1 a 1 | JM |  Recoleta 15/7</v>
      </c>
      <c r="F1458" s="29" t="str">
        <f>IFERROR(__xludf.DUMMYFUNCTION("""COMPUTED_VALUE"""),"https://www.facebook.com/reel/1165651076637145")</f>
        <v>https://www.facebook.com/reel/1165651076637145</v>
      </c>
    </row>
    <row r="1459">
      <c r="A1459" s="28" t="str">
        <f>IFERROR(__xludf.DUMMYFUNCTION("""COMPUTED_VALUE"""),"3108-MAYSALVC")</f>
        <v>3108-MAYSALVC</v>
      </c>
      <c r="B1459" s="28" t="str">
        <f>IFERROR(__xludf.DUMMYFUNCTION("""COMPUTED_VALUE"""),"Fernán Quirós - 2/6 - Comuna 9")</f>
        <v>Fernán Quirós - 2/6 - Comuna 9</v>
      </c>
      <c r="C1459" s="29" t="str">
        <f>IFERROR(__xludf.DUMMYFUNCTION("""COMPUTED_VALUE"""),"Pieza")</f>
        <v>Pieza</v>
      </c>
      <c r="D1459" s="28" t="str">
        <f>IFERROR(__xludf.DUMMYFUNCTION("""COMPUTED_VALUE"""),"3350-JULPCCVC")</f>
        <v>3350-JULPCCVC</v>
      </c>
      <c r="E1459" s="28" t="str">
        <f>IFERROR(__xludf.DUMMYFUNCTION("""COMPUTED_VALUE"""),"Vacaciones de invierno PC")</f>
        <v>Vacaciones de invierno PC</v>
      </c>
      <c r="F1459" s="28"/>
    </row>
    <row r="1460">
      <c r="A1460" s="28" t="str">
        <f>IFERROR(__xludf.DUMMYFUNCTION("""COMPUTED_VALUE"""),"3143-JUNJDGAG")</f>
        <v>3143-JUNJDGAG</v>
      </c>
      <c r="B1460" s="28" t="str">
        <f>IFERROR(__xludf.DUMMYFUNCTION("""COMPUTED_VALUE"""),"TE CUENTO JM | 10/6 SALUD EJE NORTE")</f>
        <v>TE CUENTO JM | 10/6 SALUD EJE NORTE</v>
      </c>
      <c r="C1460" s="29" t="str">
        <f>IFERROR(__xludf.DUMMYFUNCTION("""COMPUTED_VALUE"""),"Pieza")</f>
        <v>Pieza</v>
      </c>
      <c r="D1460" s="28" t="str">
        <f>IFERROR(__xludf.DUMMYFUNCTION("""COMPUTED_VALUE"""),"3357-JULCULVC")</f>
        <v>3357-JULCULVC</v>
      </c>
      <c r="E1460" s="28" t="str">
        <f>IFERROR(__xludf.DUMMYFUNCTION("""COMPUTED_VALUE"""),"RDV Ministros | Gabriela Ricardes 20/7 Comuna 8")</f>
        <v>RDV Ministros | Gabriela Ricardes 20/7 Comuna 8</v>
      </c>
      <c r="F1460" s="28"/>
    </row>
    <row r="1461">
      <c r="A1461" s="28" t="str">
        <f>IFERROR(__xludf.DUMMYFUNCTION("""COMPUTED_VALUE"""),"3133-JUNJDGAG")</f>
        <v>3133-JUNJDGAG</v>
      </c>
      <c r="B1461" s="28" t="str">
        <f>IFERROR(__xludf.DUMMYFUNCTION("""COMPUTED_VALUE"""),"RDV JM | 5/6 Agronomía")</f>
        <v>RDV JM | 5/6 Agronomía</v>
      </c>
      <c r="C1461" s="29" t="str">
        <f>IFERROR(__xludf.DUMMYFUNCTION("""COMPUTED_VALUE"""),"Pieza")</f>
        <v>Pieza</v>
      </c>
      <c r="D1461" s="28" t="str">
        <f>IFERROR(__xludf.DUMMYFUNCTION("""COMPUTED_VALUE"""),"3356-JULDHHGC")</f>
        <v>3356-JULDHHGC</v>
      </c>
      <c r="E1461" s="28" t="str">
        <f>IFERROR(__xludf.DUMMYFUNCTION("""COMPUTED_VALUE"""),"RDV Ministros | Gabriel Mraida - 24/7")</f>
        <v>RDV Ministros | Gabriel Mraida - 24/7</v>
      </c>
      <c r="F1461" s="28"/>
    </row>
    <row r="1462">
      <c r="A1462" s="28" t="str">
        <f>IFERROR(__xludf.DUMMYFUNCTION("""COMPUTED_VALUE"""),"3117-MAYSEGVC")</f>
        <v>3117-MAYSEGVC</v>
      </c>
      <c r="B1462" s="28" t="str">
        <f>IFERROR(__xludf.DUMMYFUNCTION("""COMPUTED_VALUE"""),"RDV MINISTROS | EZEQUIEL SABOR 3/6 COMUNA 15")</f>
        <v>RDV MINISTROS | EZEQUIEL SABOR 3/6 COMUNA 15</v>
      </c>
      <c r="C1462" s="29" t="str">
        <f>IFERROR(__xludf.DUMMYFUNCTION("""COMPUTED_VALUE"""),"Pieza")</f>
        <v>Pieza</v>
      </c>
      <c r="D1462" s="28" t="str">
        <f>IFERROR(__xludf.DUMMYFUNCTION("""COMPUTED_VALUE"""),"3367-JULEMEGC")</f>
        <v>3367-JULEMEGC</v>
      </c>
      <c r="E1462" s="28" t="str">
        <f>IFERROR(__xludf.DUMMYFUNCTION("""COMPUTED_VALUE"""),"Alerta Amarilla 17/7")</f>
        <v>Alerta Amarilla 17/7</v>
      </c>
      <c r="F1462" s="28"/>
    </row>
    <row r="1463">
      <c r="A1463" s="28" t="str">
        <f>IFERROR(__xludf.DUMMYFUNCTION("""COMPUTED_VALUE"""),"3153-JUNDECGC")</f>
        <v>3153-JUNDECGC</v>
      </c>
      <c r="B1463" s="28" t="str">
        <f>IFERROR(__xludf.DUMMYFUNCTION("""COMPUTED_VALUE"""),"Experiencia BA")</f>
        <v>Experiencia BA</v>
      </c>
      <c r="C1463" s="29" t="str">
        <f>IFERROR(__xludf.DUMMYFUNCTION("""COMPUTED_VALUE"""),"Pieza")</f>
        <v>Pieza</v>
      </c>
      <c r="D1463" s="28" t="str">
        <f>IFERROR(__xludf.DUMMYFUNCTION("""COMPUTED_VALUE"""),"3354-JULJDGAG")</f>
        <v>3354-JULJDGAG</v>
      </c>
      <c r="E1463" s="28" t="str">
        <f>IFERROR(__xludf.DUMMYFUNCTION("""COMPUTED_VALUE"""),"1 A 1 JM | 23/7 SAN CRISTÓBAL")</f>
        <v>1 A 1 JM | 23/7 SAN CRISTÓBAL</v>
      </c>
      <c r="F1463" s="28"/>
    </row>
    <row r="1464">
      <c r="A1464" s="28" t="str">
        <f>IFERROR(__xludf.DUMMYFUNCTION("""COMPUTED_VALUE"""),"3121-MAYSEGVC")</f>
        <v>3121-MAYSEGVC</v>
      </c>
      <c r="B1464" s="28" t="str">
        <f>IFERROR(__xludf.DUMMYFUNCTION("""COMPUTED_VALUE"""),"RDV Ministros | Maximiliano Piñeiro 4/6 Comuna 1 Sur")</f>
        <v>RDV Ministros | Maximiliano Piñeiro 4/6 Comuna 1 Sur</v>
      </c>
      <c r="C1464" s="29" t="str">
        <f>IFERROR(__xludf.DUMMYFUNCTION("""COMPUTED_VALUE"""),"Pieza")</f>
        <v>Pieza</v>
      </c>
      <c r="D1464" s="28" t="str">
        <f>IFERROR(__xludf.DUMMYFUNCTION("""COMPUTED_VALUE"""),"3298-JULSALGC")</f>
        <v>3298-JULSALGC</v>
      </c>
      <c r="E1464" s="28" t="str">
        <f>IFERROR(__xludf.DUMMYFUNCTION("""COMPUTED_VALUE"""),"Hospital Udaondo: obras")</f>
        <v>Hospital Udaondo: obras</v>
      </c>
      <c r="F1464" s="28"/>
    </row>
    <row r="1465">
      <c r="A1465" s="28" t="str">
        <f>IFERROR(__xludf.DUMMYFUNCTION("""COMPUTED_VALUE"""),"3131-MAYCULGC")</f>
        <v>3131-MAYCULGC</v>
      </c>
      <c r="B1465" s="28" t="str">
        <f>IFERROR(__xludf.DUMMYFUNCTION("""COMPUTED_VALUE"""),"Sorteo | Entradas al Teatro Colón")</f>
        <v>Sorteo | Entradas al Teatro Colón</v>
      </c>
      <c r="C1465" s="29" t="str">
        <f>IFERROR(__xludf.DUMMYFUNCTION("""COMPUTED_VALUE"""),"Pieza")</f>
        <v>Pieza</v>
      </c>
      <c r="D1465" s="28" t="str">
        <f>IFERROR(__xludf.DUMMYFUNCTION("""COMPUTED_VALUE"""),"3289-JUNJDGAG")</f>
        <v>3289-JUNJDGAG</v>
      </c>
      <c r="E1465" s="28" t="str">
        <f>IFERROR(__xludf.DUMMYFUNCTION("""COMPUTED_VALUE"""),"PRIMERA PERSONA | JM | PAULA PARETTO 27/7")</f>
        <v>PRIMERA PERSONA | JM | PAULA PARETTO 27/7</v>
      </c>
      <c r="F1465" s="28"/>
    </row>
    <row r="1466">
      <c r="A1466" s="28" t="str">
        <f>IFERROR(__xludf.DUMMYFUNCTION("""COMPUTED_VALUE"""),"2917-ABRJDGGC")</f>
        <v>2917-ABRJDGGC</v>
      </c>
      <c r="B1466" s="28" t="str">
        <f>IFERROR(__xludf.DUMMYFUNCTION("""COMPUTED_VALUE"""),"Infraestructura I Apertura Piedras Línea A")</f>
        <v>Infraestructura I Apertura Piedras Línea A</v>
      </c>
      <c r="C1466" s="29" t="str">
        <f>IFERROR(__xludf.DUMMYFUNCTION("""COMPUTED_VALUE"""),"Pieza")</f>
        <v>Pieza</v>
      </c>
      <c r="D1466" s="28" t="str">
        <f>IFERROR(__xludf.DUMMYFUNCTION("""COMPUTED_VALUE"""),"2478-ENEINNGC")</f>
        <v>2478-ENEINNGC</v>
      </c>
      <c r="E1466" s="28" t="str">
        <f>IFERROR(__xludf.DUMMYFUNCTION("""COMPUTED_VALUE"""),"Lanzamiento BAX")</f>
        <v>Lanzamiento BAX</v>
      </c>
      <c r="F1466" s="28"/>
    </row>
    <row r="1467">
      <c r="A1467" s="28" t="str">
        <f>IFERROR(__xludf.DUMMYFUNCTION("""COMPUTED_VALUE"""),"3150-JUNINFGC")</f>
        <v>3150-JUNINFGC</v>
      </c>
      <c r="B1467" s="28" t="str">
        <f>IFERROR(__xludf.DUMMYFUNCTION("""COMPUTED_VALUE"""),"Cortes y Desvíos por evento deportivo 15K Adizero")</f>
        <v>Cortes y Desvíos por evento deportivo 15K Adizero</v>
      </c>
      <c r="C1467" s="29" t="str">
        <f>IFERROR(__xludf.DUMMYFUNCTION("""COMPUTED_VALUE"""),"Pieza")</f>
        <v>Pieza</v>
      </c>
      <c r="D1467" s="28" t="str">
        <f>IFERROR(__xludf.DUMMYFUNCTION("""COMPUTED_VALUE"""),"3366-JULEPHVC")</f>
        <v>3366-JULEPHVC</v>
      </c>
      <c r="E1467" s="28" t="str">
        <f>IFERROR(__xludf.DUMMYFUNCTION("""COMPUTED_VALUE"""),"RDV MINISTROS | IGNACIO BAISTROCCHI 22/7 COMUNA 11")</f>
        <v>RDV MINISTROS | IGNACIO BAISTROCCHI 22/7 COMUNA 11</v>
      </c>
      <c r="F1467" s="28"/>
    </row>
    <row r="1468">
      <c r="A1468" s="28" t="str">
        <f>IFERROR(__xludf.DUMMYFUNCTION("""COMPUTED_VALUE"""),"2795-MARINFGC")</f>
        <v>2795-MARINFGC</v>
      </c>
      <c r="B1468" s="28" t="str">
        <f>IFERROR(__xludf.DUMMYFUNCTION("""COMPUTED_VALUE"""),"Infraestructura | Mail reempadronamiento Movilidad Porteña: Discapacitados y transplantados")</f>
        <v>Infraestructura | Mail reempadronamiento Movilidad Porteña: Discapacitados y transplantados</v>
      </c>
      <c r="C1468" s="29" t="str">
        <f>IFERROR(__xludf.DUMMYFUNCTION("""COMPUTED_VALUE"""),"Pieza")</f>
        <v>Pieza</v>
      </c>
      <c r="D1468" s="28" t="str">
        <f>IFERROR(__xludf.DUMMYFUNCTION("""COMPUTED_VALUE"""),"3365-JULINFGC")</f>
        <v>3365-JULINFGC</v>
      </c>
      <c r="E1468" s="28" t="str">
        <f>IFERROR(__xludf.DUMMYFUNCTION("""COMPUTED_VALUE"""),"INFRAESTRUCTURA | CORTES Y DESVÍOS PUENTE LABRUNA")</f>
        <v>INFRAESTRUCTURA | CORTES Y DESVÍOS PUENTE LABRUNA</v>
      </c>
      <c r="F1468" s="28"/>
    </row>
    <row r="1469">
      <c r="A1469" s="28" t="str">
        <f>IFERROR(__xludf.DUMMYFUNCTION("""COMPUTED_VALUE"""),"3122-MAYSEGVC")</f>
        <v>3122-MAYSEGVC</v>
      </c>
      <c r="B1469" s="28" t="str">
        <f>IFERROR(__xludf.DUMMYFUNCTION("""COMPUTED_VALUE"""),"RDV Ministros | Horacio Giménez 4/6 Comuna 1 Norte")</f>
        <v>RDV Ministros | Horacio Giménez 4/6 Comuna 1 Norte</v>
      </c>
      <c r="C1469" s="29" t="str">
        <f>IFERROR(__xludf.DUMMYFUNCTION("""COMPUTED_VALUE"""),"Pieza")</f>
        <v>Pieza</v>
      </c>
      <c r="D1469" s="28" t="str">
        <f>IFERROR(__xludf.DUMMYFUNCTION("""COMPUTED_VALUE"""),"3375-JULEMEGC")</f>
        <v>3375-JULEMEGC</v>
      </c>
      <c r="E1469" s="28" t="str">
        <f>IFERROR(__xludf.DUMMYFUNCTION("""COMPUTED_VALUE"""),"Alerta Amarilla 18/7")</f>
        <v>Alerta Amarilla 18/7</v>
      </c>
      <c r="F1469" s="28"/>
    </row>
    <row r="1470">
      <c r="A1470" s="28" t="str">
        <f>IFERROR(__xludf.DUMMYFUNCTION("""COMPUTED_VALUE"""),"3157-JUNJDGVC")</f>
        <v>3157-JUNJDGVC</v>
      </c>
      <c r="B1470" s="28" t="str">
        <f>IFERROR(__xludf.DUMMYFUNCTION("""COMPUTED_VALUE"""),"RDV Ministros | Gabriel Sánchéz Zinny - 10/6 ")</f>
        <v>RDV Ministros | Gabriel Sánchéz Zinny - 10/6 </v>
      </c>
      <c r="C1470" s="29" t="str">
        <f>IFERROR(__xludf.DUMMYFUNCTION("""COMPUTED_VALUE"""),"Pieza")</f>
        <v>Pieza</v>
      </c>
      <c r="D1470" s="28" t="str">
        <f>IFERROR(__xludf.DUMMYFUNCTION("""COMPUTED_VALUE"""),"3015-MAYFESGC")</f>
        <v>3015-MAYFESGC</v>
      </c>
      <c r="E1470" s="28" t="str">
        <f>IFERROR(__xludf.DUMMYFUNCTION("""COMPUTED_VALUE"""),"La ciudad late mundial | Fan Fest FIFA")</f>
        <v>La ciudad late mundial | Fan Fest FIFA</v>
      </c>
      <c r="F1470" s="28"/>
    </row>
    <row r="1471">
      <c r="A1471" s="28" t="str">
        <f>IFERROR(__xludf.DUMMYFUNCTION("""COMPUTED_VALUE"""),"3148-JUNSEGGJ")</f>
        <v>3148-JUNSEGGJ</v>
      </c>
      <c r="B1471" s="28" t="str">
        <f>IFERROR(__xludf.DUMMYFUNCTION("""COMPUTED_VALUE"""),"Egreso de 650 nuevos policías (NICE)")</f>
        <v>Egreso de 650 nuevos policías (NICE)</v>
      </c>
      <c r="C1471" s="29" t="str">
        <f>IFERROR(__xludf.DUMMYFUNCTION("""COMPUTED_VALUE"""),"Pieza")</f>
        <v>Pieza</v>
      </c>
      <c r="D1471" s="28" t="str">
        <f>IFERROR(__xludf.DUMMYFUNCTION("""COMPUTED_VALUE"""),"3145-JUNEPHGC")</f>
        <v>3145-JUNEPHGC</v>
      </c>
      <c r="E1471" s="28" t="str">
        <f>IFERROR(__xludf.DUMMYFUNCTION("""COMPUTED_VALUE"""),"Refuerzo Grandes generadores de residuos")</f>
        <v>Refuerzo Grandes generadores de residuos</v>
      </c>
      <c r="F1471" s="28"/>
    </row>
    <row r="1472">
      <c r="A1472" s="28" t="str">
        <f>IFERROR(__xludf.DUMMYFUNCTION("""COMPUTED_VALUE"""),"3160-JUNSALGC")</f>
        <v>3160-JUNSALGC</v>
      </c>
      <c r="B1472" s="28" t="str">
        <f>IFERROR(__xludf.DUMMYFUNCTION("""COMPUTED_VALUE"""),"SIGEHOS - Actualización del módulo RIS - Junio")</f>
        <v>SIGEHOS - Actualización del módulo RIS - Junio</v>
      </c>
      <c r="C1472" s="29" t="str">
        <f>IFERROR(__xludf.DUMMYFUNCTION("""COMPUTED_VALUE"""),"Pieza")</f>
        <v>Pieza</v>
      </c>
      <c r="D1472" s="28" t="str">
        <f>IFERROR(__xludf.DUMMYFUNCTION("""COMPUTED_VALUE"""),"3145-JUNEPHGC")</f>
        <v>3145-JUNEPHGC</v>
      </c>
      <c r="E1472" s="28" t="str">
        <f>IFERROR(__xludf.DUMMYFUNCTION("""COMPUTED_VALUE"""),"Refuerzo Grandes generadores de residuos")</f>
        <v>Refuerzo Grandes generadores de residuos</v>
      </c>
      <c r="F1472" s="28"/>
    </row>
    <row r="1473">
      <c r="A1473" s="28" t="str">
        <f>IFERROR(__xludf.DUMMYFUNCTION("""COMPUTED_VALUE"""),"3155-JUNEPHVC")</f>
        <v>3155-JUNEPHVC</v>
      </c>
      <c r="B1473" s="28" t="str">
        <f>IFERROR(__xludf.DUMMYFUNCTION("""COMPUTED_VALUE"""),"RDV de Ignacio Baistrocchi  8/6 ")</f>
        <v>RDV de Ignacio Baistrocchi  8/6 </v>
      </c>
      <c r="C1473" s="29" t="str">
        <f>IFERROR(__xludf.DUMMYFUNCTION("""COMPUTED_VALUE"""),"Pieza")</f>
        <v>Pieza</v>
      </c>
      <c r="D1473" s="28" t="str">
        <f>IFERROR(__xludf.DUMMYFUNCTION("""COMPUTED_VALUE"""),"3145-JUNEPHGC")</f>
        <v>3145-JUNEPHGC</v>
      </c>
      <c r="E1473" s="28" t="str">
        <f>IFERROR(__xludf.DUMMYFUNCTION("""COMPUTED_VALUE"""),"Refuerzo Grandes generadores de residuos")</f>
        <v>Refuerzo Grandes generadores de residuos</v>
      </c>
      <c r="F1473" s="28"/>
    </row>
    <row r="1474">
      <c r="A1474" s="28" t="str">
        <f>IFERROR(__xludf.DUMMYFUNCTION("""COMPUTED_VALUE"""),"3123-MAYSEGVC")</f>
        <v>3123-MAYSEGVC</v>
      </c>
      <c r="B1474" s="28" t="str">
        <f>IFERROR(__xludf.DUMMYFUNCTION("""COMPUTED_VALUE"""),"RDV Ministros | Ruth Landerreche 4/6 Comuna 3")</f>
        <v>RDV Ministros | Ruth Landerreche 4/6 Comuna 3</v>
      </c>
      <c r="C1474" s="29" t="str">
        <f>IFERROR(__xludf.DUMMYFUNCTION("""COMPUTED_VALUE"""),"Pieza")</f>
        <v>Pieza</v>
      </c>
      <c r="D1474" s="28" t="str">
        <f>IFERROR(__xludf.DUMMYFUNCTION("""COMPUTED_VALUE"""),"3373-JULSEGVC")</f>
        <v>3373-JULSEGVC</v>
      </c>
      <c r="E1474" s="28" t="str">
        <f>IFERROR(__xludf.DUMMYFUNCTION("""COMPUTED_VALUE"""),"RDV Ministros | Ruth Landerreche 23/7 Comuna 11")</f>
        <v>RDV Ministros | Ruth Landerreche 23/7 Comuna 11</v>
      </c>
      <c r="F1474" s="28"/>
    </row>
    <row r="1475">
      <c r="A1475" s="28" t="str">
        <f>IFERROR(__xludf.DUMMYFUNCTION("""COMPUTED_VALUE"""),"2425-DICEPHGC")</f>
        <v>2425-DICEPHGC</v>
      </c>
      <c r="B1475" s="28" t="str">
        <f>IFERROR(__xludf.DUMMYFUNCTION("""COMPUTED_VALUE"""),"Parques Iluminados  M2")</f>
        <v>Parques Iluminados  M2</v>
      </c>
      <c r="C1475" s="29" t="str">
        <f>IFERROR(__xludf.DUMMYFUNCTION("""COMPUTED_VALUE"""),"Pieza")</f>
        <v>Pieza</v>
      </c>
      <c r="D1475" s="28" t="str">
        <f>IFERROR(__xludf.DUMMYFUNCTION("""COMPUTED_VALUE"""),"3372-JULSEGVC")</f>
        <v>3372-JULSEGVC</v>
      </c>
      <c r="E1475" s="28" t="str">
        <f>IFERROR(__xludf.DUMMYFUNCTION("""COMPUTED_VALUE"""),"RDV Ministros | Horacio Giménez 23/7 Comuna 10")</f>
        <v>RDV Ministros | Horacio Giménez 23/7 Comuna 10</v>
      </c>
      <c r="F1475" s="29" t="str">
        <f>IFERROR(__xludf.DUMMYFUNCTION("""COMPUTED_VALUE"""),"https://www.facebook.com/baparticipacion/posts/pfbid0sf1chk2ZLs8xzfJKggcMabUds4L66pkAMnx5yj54hmP2xVDQKxBNadhjKcHcs13fl")</f>
        <v>https://www.facebook.com/baparticipacion/posts/pfbid0sf1chk2ZLs8xzfJKggcMabUds4L66pkAMnx5yj54hmP2xVDQKxBNadhjKcHcs13fl</v>
      </c>
    </row>
    <row r="1476">
      <c r="A1476" s="28" t="str">
        <f>IFERROR(__xludf.DUMMYFUNCTION("""COMPUTED_VALUE"""),"1964-SEPEPHGC")</f>
        <v>1964-SEPEPHGC</v>
      </c>
      <c r="B1476" s="28" t="str">
        <f>IFERROR(__xludf.DUMMYFUNCTION("""COMPUTED_VALUE"""),"MEPHU RECAMBIO TECNOLÓGICO M2")</f>
        <v>MEPHU RECAMBIO TECNOLÓGICO M2</v>
      </c>
      <c r="C1476" s="29" t="str">
        <f>IFERROR(__xludf.DUMMYFUNCTION("""COMPUTED_VALUE"""),"Pieza")</f>
        <v>Pieza</v>
      </c>
      <c r="D1476" s="28" t="str">
        <f>IFERROR(__xludf.DUMMYFUNCTION("""COMPUTED_VALUE"""),"3370-JULSEGVC")</f>
        <v>3370-JULSEGVC</v>
      </c>
      <c r="E1476" s="28" t="str">
        <f>IFERROR(__xludf.DUMMYFUNCTION("""COMPUTED_VALUE"""),"RDV Ministros | Gabino Tapia 23/7 Comuna 8")</f>
        <v>RDV Ministros | Gabino Tapia 23/7 Comuna 8</v>
      </c>
      <c r="F1476" s="28"/>
    </row>
    <row r="1477">
      <c r="A1477" s="28" t="str">
        <f>IFERROR(__xludf.DUMMYFUNCTION("""COMPUTED_VALUE"""),"1946-SEPEPHGC")</f>
        <v>1946-SEPEPHGC</v>
      </c>
      <c r="B1477" s="28" t="str">
        <f>IFERROR(__xludf.DUMMYFUNCTION("""COMPUTED_VALUE"""),"CAMPAÑA GCBA | MEPHU  | PLUVIALES")</f>
        <v>CAMPAÑA GCBA | MEPHU  | PLUVIALES</v>
      </c>
      <c r="C1477" s="29" t="str">
        <f>IFERROR(__xludf.DUMMYFUNCTION("""COMPUTED_VALUE"""),"Pieza")</f>
        <v>Pieza</v>
      </c>
      <c r="D1477" s="28" t="str">
        <f>IFERROR(__xludf.DUMMYFUNCTION("""COMPUTED_VALUE"""),"3371-JULSEGVC")</f>
        <v>3371-JULSEGVC</v>
      </c>
      <c r="E1477" s="28" t="str">
        <f>IFERROR(__xludf.DUMMYFUNCTION("""COMPUTED_VALUE"""),"RDV Ministros | Maximiliano Piñerio  23/7 Comuna 9")</f>
        <v>RDV Ministros | Maximiliano Piñerio  23/7 Comuna 9</v>
      </c>
      <c r="F1477" s="28"/>
    </row>
    <row r="1478">
      <c r="A1478" s="28" t="str">
        <f>IFERROR(__xludf.DUMMYFUNCTION("""COMPUTED_VALUE"""),"1942-SEPEPHGC")</f>
        <v>1942-SEPEPHGC</v>
      </c>
      <c r="B1478" s="28" t="str">
        <f>IFERROR(__xludf.DUMMYFUNCTION("""COMPUTED_VALUE"""),"DGPLES | MEPHU  | REPARACIÓN DE VEREDAS")</f>
        <v>DGPLES | MEPHU  | REPARACIÓN DE VEREDAS</v>
      </c>
      <c r="C1478" s="29" t="str">
        <f>IFERROR(__xludf.DUMMYFUNCTION("""COMPUTED_VALUE"""),"Pieza")</f>
        <v>Pieza</v>
      </c>
      <c r="D1478" s="28" t="str">
        <f>IFERROR(__xludf.DUMMYFUNCTION("""COMPUTED_VALUE"""),"3245-JUNFESGC")</f>
        <v>3245-JUNFESGC</v>
      </c>
      <c r="E1478" s="28" t="str">
        <f>IFERROR(__xludf.DUMMYFUNCTION("""COMPUTED_VALUE"""),"Vacaciones de Invierno | Invierno en las plazas ")</f>
        <v>Vacaciones de Invierno | Invierno en las plazas </v>
      </c>
      <c r="F1478" s="28"/>
    </row>
    <row r="1479">
      <c r="A1479" s="28" t="str">
        <f>IFERROR(__xludf.DUMMYFUNCTION("""COMPUTED_VALUE"""),"1895-SEPEPHGC")</f>
        <v>1895-SEPEPHGC</v>
      </c>
      <c r="B1479" s="28" t="str">
        <f>IFERROR(__xludf.DUMMYFUNCTION("""COMPUTED_VALUE"""),"PIEZAS M2 | MEPHU | REPAVIMENTACIÓN")</f>
        <v>PIEZAS M2 | MEPHU | REPAVIMENTACIÓN</v>
      </c>
      <c r="C1479" s="29" t="str">
        <f>IFERROR(__xludf.DUMMYFUNCTION("""COMPUTED_VALUE"""),"Pieza")</f>
        <v>Pieza</v>
      </c>
      <c r="D1479" s="28" t="str">
        <f>IFERROR(__xludf.DUMMYFUNCTION("""COMPUTED_VALUE"""),"3245-JUNFESGC")</f>
        <v>3245-JUNFESGC</v>
      </c>
      <c r="E1479" s="28" t="str">
        <f>IFERROR(__xludf.DUMMYFUNCTION("""COMPUTED_VALUE"""),"Vacaciones de Invierno | Invierno en las plazas ")</f>
        <v>Vacaciones de Invierno | Invierno en las plazas </v>
      </c>
      <c r="F1479" s="28"/>
    </row>
    <row r="1480">
      <c r="A1480" s="28" t="str">
        <f>IFERROR(__xludf.DUMMYFUNCTION("""COMPUTED_VALUE"""),"1943-SEPEPHGC")</f>
        <v>1943-SEPEPHGC</v>
      </c>
      <c r="B1480" s="28" t="str">
        <f>IFERROR(__xludf.DUMMYFUNCTION("""COMPUTED_VALUE"""),"DGPLES | MEPHU  | READOQUINADO")</f>
        <v>DGPLES | MEPHU  | READOQUINADO</v>
      </c>
      <c r="C1480" s="29" t="str">
        <f>IFERROR(__xludf.DUMMYFUNCTION("""COMPUTED_VALUE"""),"Pieza")</f>
        <v>Pieza</v>
      </c>
      <c r="D1480" s="28" t="str">
        <f>IFERROR(__xludf.DUMMYFUNCTION("""COMPUTED_VALUE"""),"3245-JUNFESGC")</f>
        <v>3245-JUNFESGC</v>
      </c>
      <c r="E1480" s="28" t="str">
        <f>IFERROR(__xludf.DUMMYFUNCTION("""COMPUTED_VALUE"""),"Vacaciones de Invierno | Invierno en las plazas ")</f>
        <v>Vacaciones de Invierno | Invierno en las plazas </v>
      </c>
      <c r="F1480" s="28"/>
    </row>
    <row r="1481">
      <c r="A1481" s="28" t="str">
        <f>IFERROR(__xludf.DUMMYFUNCTION("""COMPUTED_VALUE"""),"2994-MAYEPHGC")</f>
        <v>2994-MAYEPHGC</v>
      </c>
      <c r="B1481" s="28" t="str">
        <f>IFERROR(__xludf.DUMMYFUNCTION("""COMPUTED_VALUE"""),"Luminarias Peatonales - Post")</f>
        <v>Luminarias Peatonales - Post</v>
      </c>
      <c r="C1481" s="29" t="str">
        <f>IFERROR(__xludf.DUMMYFUNCTION("""COMPUTED_VALUE"""),"Pieza")</f>
        <v>Pieza</v>
      </c>
      <c r="D1481" s="28" t="str">
        <f>IFERROR(__xludf.DUMMYFUNCTION("""COMPUTED_VALUE"""),"3374-JULEDUGC")</f>
        <v>3374-JULEDUGC</v>
      </c>
      <c r="E1481" s="28" t="str">
        <f>IFERROR(__xludf.DUMMYFUNCTION("""COMPUTED_VALUE"""),"Talento Tech: inscripción")</f>
        <v>Talento Tech: inscripción</v>
      </c>
      <c r="F1481" s="28"/>
    </row>
    <row r="1482">
      <c r="A1482" s="28" t="str">
        <f>IFERROR(__xludf.DUMMYFUNCTION("""COMPUTED_VALUE"""),"3143-JUNJDGAG")</f>
        <v>3143-JUNJDGAG</v>
      </c>
      <c r="B1482" s="28" t="str">
        <f>IFERROR(__xludf.DUMMYFUNCTION("""COMPUTED_VALUE"""),"TE CUENTO JM | 10/6 SALUD EJE NORTE")</f>
        <v>TE CUENTO JM | 10/6 SALUD EJE NORTE</v>
      </c>
      <c r="C1482" s="29" t="str">
        <f>IFERROR(__xludf.DUMMYFUNCTION("""COMPUTED_VALUE"""),"Pieza")</f>
        <v>Pieza</v>
      </c>
      <c r="D1482" s="28" t="str">
        <f>IFERROR(__xludf.DUMMYFUNCTION("""COMPUTED_VALUE"""),"3245-JUNFESGC")</f>
        <v>3245-JUNFESGC</v>
      </c>
      <c r="E1482" s="28" t="str">
        <f>IFERROR(__xludf.DUMMYFUNCTION("""COMPUTED_VALUE"""),"Vacaciones de Invierno | Invierno en las plazas ")</f>
        <v>Vacaciones de Invierno | Invierno en las plazas </v>
      </c>
      <c r="F1482" s="28"/>
    </row>
    <row r="1483">
      <c r="A1483" s="28" t="str">
        <f>IFERROR(__xludf.DUMMYFUNCTION("""COMPUTED_VALUE"""),"3109-MAYAMBVC")</f>
        <v>3109-MAYAMBVC</v>
      </c>
      <c r="B1483" s="28" t="str">
        <f>IFERROR(__xludf.DUMMYFUNCTION("""COMPUTED_VALUE"""),"Clara Muzzio - 3/6 Palermo")</f>
        <v>Clara Muzzio - 3/6 Palermo</v>
      </c>
      <c r="C1483" s="29" t="str">
        <f>IFERROR(__xludf.DUMMYFUNCTION("""COMPUTED_VALUE"""),"Pieza")</f>
        <v>Pieza</v>
      </c>
      <c r="D1483" s="28" t="str">
        <f>IFERROR(__xludf.DUMMYFUNCTION("""COMPUTED_VALUE"""),"3243-JUNFESGC")</f>
        <v>3243-JUNFESGC</v>
      </c>
      <c r="E1483" s="28" t="str">
        <f>IFERROR(__xludf.DUMMYFUNCTION("""COMPUTED_VALUE"""),"Vacaciones de invierno | Estación invierno")</f>
        <v>Vacaciones de invierno | Estación invierno</v>
      </c>
      <c r="F1483" s="28"/>
    </row>
    <row r="1484">
      <c r="A1484" s="28" t="str">
        <f>IFERROR(__xludf.DUMMYFUNCTION("""COMPUTED_VALUE"""),"3124-MAYSEGVC")</f>
        <v>3124-MAYSEGVC</v>
      </c>
      <c r="B1484" s="28" t="str">
        <f>IFERROR(__xludf.DUMMYFUNCTION("""COMPUTED_VALUE"""),"RDV Ministros | Francisco Quintana 4/6 Comuna 2")</f>
        <v>RDV Ministros | Francisco Quintana 4/6 Comuna 2</v>
      </c>
      <c r="C1484" s="29" t="str">
        <f>IFERROR(__xludf.DUMMYFUNCTION("""COMPUTED_VALUE"""),"Pieza")</f>
        <v>Pieza</v>
      </c>
      <c r="D1484" s="28" t="str">
        <f>IFERROR(__xludf.DUMMYFUNCTION("""COMPUTED_VALUE"""),"3360-JULCULGC")</f>
        <v>3360-JULCULGC</v>
      </c>
      <c r="E1484" s="28" t="str">
        <f>IFERROR(__xludf.DUMMYFUNCTION("""COMPUTED_VALUE"""),"Vacaciones de invierno | Actividades en la Usina")</f>
        <v>Vacaciones de invierno | Actividades en la Usina</v>
      </c>
      <c r="F1484" s="28"/>
    </row>
    <row r="1485">
      <c r="A1485" s="28" t="str">
        <f>IFERROR(__xludf.DUMMYFUNCTION("""COMPUTED_VALUE"""),"3158-JUNDHHVC")</f>
        <v>3158-JUNDHHVC</v>
      </c>
      <c r="B1485" s="28" t="str">
        <f>IFERROR(__xludf.DUMMYFUNCTION("""COMPUTED_VALUE"""),"RDV Ministros | Gabriel Mraida - 10/6")</f>
        <v>RDV Ministros | Gabriel Mraida - 10/6</v>
      </c>
      <c r="C1485" s="29" t="str">
        <f>IFERROR(__xludf.DUMMYFUNCTION("""COMPUTED_VALUE"""),"Pieza")</f>
        <v>Pieza</v>
      </c>
      <c r="D1485" s="28" t="str">
        <f>IFERROR(__xludf.DUMMYFUNCTION("""COMPUTED_VALUE"""),"3360-JULCULGC")</f>
        <v>3360-JULCULGC</v>
      </c>
      <c r="E1485" s="28" t="str">
        <f>IFERROR(__xludf.DUMMYFUNCTION("""COMPUTED_VALUE"""),"Vacaciones de invierno | Actividades en la Usina")</f>
        <v>Vacaciones de invierno | Actividades en la Usina</v>
      </c>
      <c r="F1485" s="28"/>
    </row>
    <row r="1486">
      <c r="A1486" s="28" t="str">
        <f>IFERROR(__xludf.DUMMYFUNCTION("""COMPUTED_VALUE"""),"3156-JUNJDGAG")</f>
        <v>3156-JUNJDGAG</v>
      </c>
      <c r="B1486" s="28" t="str">
        <f>IFERROR(__xludf.DUMMYFUNCTION("""COMPUTED_VALUE"""),"RDV JM | BOEDO | 12/06")</f>
        <v>RDV JM | BOEDO | 12/06</v>
      </c>
      <c r="C1486" s="29" t="str">
        <f>IFERROR(__xludf.DUMMYFUNCTION("""COMPUTED_VALUE"""),"Pieza")</f>
        <v>Pieza</v>
      </c>
      <c r="D1486" s="28" t="str">
        <f>IFERROR(__xludf.DUMMYFUNCTION("""COMPUTED_VALUE"""),"3389-JULJDGAG")</f>
        <v>3389-JULJDGAG</v>
      </c>
      <c r="E1486" s="28" t="str">
        <f>IFERROR(__xludf.DUMMYFUNCTION("""COMPUTED_VALUE"""),"1 A 1 JM | 29/7 NUEVA POMPEYA")</f>
        <v>1 A 1 JM | 29/7 NUEVA POMPEYA</v>
      </c>
      <c r="F1486" s="29" t="str">
        <f>IFERROR(__xludf.DUMMYFUNCTION("""COMPUTED_VALUE"""),"https://www.facebook.com/GCBA/posts/pfbid0JTXdLyaJwPfLAE4dkUaoddzSYvpCGxAmaCJbFYYMYtJwzkCAd5iDzCZSUSiRgtNrl")</f>
        <v>https://www.facebook.com/GCBA/posts/pfbid0JTXdLyaJwPfLAE4dkUaoddzSYvpCGxAmaCJbFYYMYtJwzkCAd5iDzCZSUSiRgtNrl</v>
      </c>
    </row>
    <row r="1487">
      <c r="A1487" s="28" t="str">
        <f>IFERROR(__xludf.DUMMYFUNCTION("""COMPUTED_VALUE"""),"3155-JUNEPHVC")</f>
        <v>3155-JUNEPHVC</v>
      </c>
      <c r="B1487" s="28" t="str">
        <f>IFERROR(__xludf.DUMMYFUNCTION("""COMPUTED_VALUE"""),"RDV de Ignacio Baistrocchi  8/6 ")</f>
        <v>RDV de Ignacio Baistrocchi  8/6 </v>
      </c>
      <c r="C1487" s="29" t="str">
        <f>IFERROR(__xludf.DUMMYFUNCTION("""COMPUTED_VALUE"""),"Pieza")</f>
        <v>Pieza</v>
      </c>
      <c r="D1487" s="28" t="str">
        <f>IFERROR(__xludf.DUMMYFUNCTION("""COMPUTED_VALUE"""),"3387-JULJDGGC")</f>
        <v>3387-JULJDGGC</v>
      </c>
      <c r="E1487" s="28" t="str">
        <f>IFERROR(__xludf.DUMMYFUNCTION("""COMPUTED_VALUE"""),"TE CUENTO BS AS JM | 28/7 ORDEN PÚBLICO EJE NORTE")</f>
        <v>TE CUENTO BS AS JM | 28/7 ORDEN PÚBLICO EJE NORTE</v>
      </c>
      <c r="F1487" s="28"/>
    </row>
    <row r="1488">
      <c r="A1488" s="28" t="str">
        <f>IFERROR(__xludf.DUMMYFUNCTION("""COMPUTED_VALUE"""),"3137-JUNVINVC")</f>
        <v>3137-JUNVINVC</v>
      </c>
      <c r="B1488" s="28" t="str">
        <f>IFERROR(__xludf.DUMMYFUNCTION("""COMPUTED_VALUE"""),"Más servicios en tu barrio - 11/6 y 12/6 - Liniers")</f>
        <v>Más servicios en tu barrio - 11/6 y 12/6 - Liniers</v>
      </c>
      <c r="C1488" s="29" t="str">
        <f>IFERROR(__xludf.DUMMYFUNCTION("""COMPUTED_VALUE"""),"Pieza")</f>
        <v>Pieza</v>
      </c>
      <c r="D1488" s="28" t="str">
        <f>IFERROR(__xludf.DUMMYFUNCTION("""COMPUTED_VALUE"""),"3327-JULSALGC")</f>
        <v>3327-JULSALGC</v>
      </c>
      <c r="E1488" s="28" t="str">
        <f>IFERROR(__xludf.DUMMYFUNCTION("""COMPUTED_VALUE"""),"Salud | Inauguración Centro de Diagnóstico Porteño en Palermo")</f>
        <v>Salud | Inauguración Centro de Diagnóstico Porteño en Palermo</v>
      </c>
      <c r="F1488" s="29" t="str">
        <f>IFERROR(__xludf.DUMMYFUNCTION("""COMPUTED_VALUE"""),"https://www.facebook.com/GCBA/posts/pfbid0YMAvJ4FjX7KdajVkgZaHfBTwQEpQRxi93KfW8bgbZknTXoa1s4k7jCHYxXPqmqS3l")</f>
        <v>https://www.facebook.com/GCBA/posts/pfbid0YMAvJ4FjX7KdajVkgZaHfBTwQEpQRxi93KfW8bgbZknTXoa1s4k7jCHYxXPqmqS3l</v>
      </c>
    </row>
    <row r="1489">
      <c r="A1489" s="28" t="str">
        <f>IFERROR(__xludf.DUMMYFUNCTION("""COMPUTED_VALUE"""),"3138-JUNVINVC")</f>
        <v>3138-JUNVINVC</v>
      </c>
      <c r="B1489" s="28" t="str">
        <f>IFERROR(__xludf.DUMMYFUNCTION("""COMPUTED_VALUE"""),"Más servicios en tu barrio - 13/6 - Chacarita")</f>
        <v>Más servicios en tu barrio - 13/6 - Chacarita</v>
      </c>
      <c r="C1489" s="29" t="str">
        <f>IFERROR(__xludf.DUMMYFUNCTION("""COMPUTED_VALUE"""),"Pieza")</f>
        <v>Pieza</v>
      </c>
      <c r="D1489" s="28" t="str">
        <f>IFERROR(__xludf.DUMMYFUNCTION("""COMPUTED_VALUE"""),"3380-JULJDGVC")</f>
        <v>3380-JULJDGVC</v>
      </c>
      <c r="E1489" s="28" t="str">
        <f>IFERROR(__xludf.DUMMYFUNCTION("""COMPUTED_VALUE"""),"Alta Interna Campaña VC | RDV Ministros | Gabrie Sánchez Zinny - 25/07")</f>
        <v>Alta Interna Campaña VC | RDV Ministros | Gabrie Sánchez Zinny - 25/07</v>
      </c>
      <c r="F1489" s="28"/>
    </row>
    <row r="1490">
      <c r="A1490" s="28" t="str">
        <f>IFERROR(__xludf.DUMMYFUNCTION("""COMPUTED_VALUE"""),"3165-JUNSEGVC")</f>
        <v>3165-JUNSEGVC</v>
      </c>
      <c r="B1490" s="28" t="str">
        <f>IFERROR(__xludf.DUMMYFUNCTION("""COMPUTED_VALUE"""),"RDV Ministros | Ruth Landerreche 11/6 Comuna 7")</f>
        <v>RDV Ministros | Ruth Landerreche 11/6 Comuna 7</v>
      </c>
      <c r="C1490" s="29" t="str">
        <f>IFERROR(__xludf.DUMMYFUNCTION("""COMPUTED_VALUE"""),"Pieza")</f>
        <v>Pieza</v>
      </c>
      <c r="D1490" s="28" t="str">
        <f>IFERROR(__xludf.DUMMYFUNCTION("""COMPUTED_VALUE"""),"3276-JUNDECGC")</f>
        <v>3276-JUNDECGC</v>
      </c>
      <c r="E1490" s="28" t="str">
        <f>IFERROR(__xludf.DUMMYFUNCTION("""COMPUTED_VALUE"""),"Principales programas y medidas para PyMEs de la Ciudad")</f>
        <v>Principales programas y medidas para PyMEs de la Ciudad</v>
      </c>
      <c r="F1490" s="28"/>
    </row>
    <row r="1491">
      <c r="A1491" s="28" t="str">
        <f>IFERROR(__xludf.DUMMYFUNCTION("""COMPUTED_VALUE"""),"3011-MAYFESGC")</f>
        <v>3011-MAYFESGC</v>
      </c>
      <c r="B1491" s="28" t="str">
        <f>IFERROR(__xludf.DUMMYFUNCTION("""COMPUTED_VALUE"""),"La ciudad late mundial Genérica")</f>
        <v>La ciudad late mundial Genérica</v>
      </c>
      <c r="C1491" s="29" t="str">
        <f>IFERROR(__xludf.DUMMYFUNCTION("""COMPUTED_VALUE"""),"Pieza")</f>
        <v>Pieza</v>
      </c>
      <c r="D1491" s="28" t="str">
        <f>IFERROR(__xludf.DUMMYFUNCTION("""COMPUTED_VALUE"""),"3388-JULAMBVC")</f>
        <v>3388-JULAMBVC</v>
      </c>
      <c r="E1491" s="28" t="str">
        <f>IFERROR(__xludf.DUMMYFUNCTION("""COMPUTED_VALUE"""),"RDV Ministros | Clara Muzzio 24/7 Palermo")</f>
        <v>RDV Ministros | Clara Muzzio 24/7 Palermo</v>
      </c>
      <c r="F1491" s="28"/>
    </row>
    <row r="1492">
      <c r="A1492" s="28" t="str">
        <f>IFERROR(__xludf.DUMMYFUNCTION("""COMPUTED_VALUE"""),"3015-MAYFESGC")</f>
        <v>3015-MAYFESGC</v>
      </c>
      <c r="B1492" s="28" t="str">
        <f>IFERROR(__xludf.DUMMYFUNCTION("""COMPUTED_VALUE"""),"La ciudad late mundial | Fan Fest FIFA")</f>
        <v>La ciudad late mundial | Fan Fest FIFA</v>
      </c>
      <c r="C1492" s="29" t="str">
        <f>IFERROR(__xludf.DUMMYFUNCTION("""COMPUTED_VALUE"""),"Pieza")</f>
        <v>Pieza</v>
      </c>
      <c r="D1492" s="28" t="str">
        <f>IFERROR(__xludf.DUMMYFUNCTION("""COMPUTED_VALUE"""),"3378-JULFESGC")</f>
        <v>3378-JULFESGC</v>
      </c>
      <c r="E1492" s="28" t="str">
        <f>IFERROR(__xludf.DUMMYFUNCTION("""COMPUTED_VALUE"""),"Vacaciones de invierno | Festival Ciudad Joven")</f>
        <v>Vacaciones de invierno | Festival Ciudad Joven</v>
      </c>
      <c r="F1492" s="29" t="str">
        <f>IFERROR(__xludf.DUMMYFUNCTION("""COMPUTED_VALUE"""),"https://www.facebook.com/GCBA/posts/pfbid09fWyeWxoTBB34jNooci5XFZDhQdQ3HDWXZ6Bt8k9nTPNFtDhX1WBj2nkKRf9tHJcl")</f>
        <v>https://www.facebook.com/GCBA/posts/pfbid09fWyeWxoTBB34jNooci5XFZDhQdQ3HDWXZ6Bt8k9nTPNFtDhX1WBj2nkKRf9tHJcl</v>
      </c>
    </row>
    <row r="1493">
      <c r="A1493" s="28" t="str">
        <f>IFERROR(__xludf.DUMMYFUNCTION("""COMPUTED_VALUE"""),"3011-MAYFESGC")</f>
        <v>3011-MAYFESGC</v>
      </c>
      <c r="B1493" s="28" t="str">
        <f>IFERROR(__xludf.DUMMYFUNCTION("""COMPUTED_VALUE"""),"La ciudad late mundial Genérica")</f>
        <v>La ciudad late mundial Genérica</v>
      </c>
      <c r="C1493" s="29" t="str">
        <f>IFERROR(__xludf.DUMMYFUNCTION("""COMPUTED_VALUE"""),"Pieza")</f>
        <v>Pieza</v>
      </c>
      <c r="D1493" s="28"/>
      <c r="E1493" s="28"/>
      <c r="F1493" s="28"/>
    </row>
    <row r="1494">
      <c r="A1494" s="28" t="str">
        <f>IFERROR(__xludf.DUMMYFUNCTION("""COMPUTED_VALUE"""),"3164-JUNSEGVC")</f>
        <v>3164-JUNSEGVC</v>
      </c>
      <c r="B1494" s="28" t="str">
        <f>IFERROR(__xludf.DUMMYFUNCTION("""COMPUTED_VALUE"""),"RDV Ministros | Maximiliano Piñeiro 11/6 Comuna 6")</f>
        <v>RDV Ministros | Maximiliano Piñeiro 11/6 Comuna 6</v>
      </c>
      <c r="C1494" s="29" t="str">
        <f>IFERROR(__xludf.DUMMYFUNCTION("""COMPUTED_VALUE"""),"Pieza")</f>
        <v>Pieza</v>
      </c>
      <c r="D1494" s="28"/>
      <c r="E1494" s="28"/>
      <c r="F1494" s="28"/>
    </row>
    <row r="1495">
      <c r="A1495" s="28" t="str">
        <f>IFERROR(__xludf.DUMMYFUNCTION("""COMPUTED_VALUE"""),"3148-JUNSEGGJ")</f>
        <v>3148-JUNSEGGJ</v>
      </c>
      <c r="B1495" s="28" t="str">
        <f>IFERROR(__xludf.DUMMYFUNCTION("""COMPUTED_VALUE"""),"Egreso de 650 nuevos policías (NICE)")</f>
        <v>Egreso de 650 nuevos policías (NICE)</v>
      </c>
      <c r="C1495" s="29" t="str">
        <f>IFERROR(__xludf.DUMMYFUNCTION("""COMPUTED_VALUE"""),"Pieza")</f>
        <v>Pieza</v>
      </c>
      <c r="D1495" s="28"/>
      <c r="E1495" s="28"/>
      <c r="F1495" s="28"/>
    </row>
    <row r="1496">
      <c r="A1496" s="28" t="str">
        <f>IFERROR(__xludf.DUMMYFUNCTION("""COMPUTED_VALUE"""),"3163-JUNSEGVC")</f>
        <v>3163-JUNSEGVC</v>
      </c>
      <c r="B1496" s="28" t="str">
        <f>IFERROR(__xludf.DUMMYFUNCTION("""COMPUTED_VALUE"""),"RDV Ministros | Horacio Giménez 11/6 Comuna 5")</f>
        <v>RDV Ministros | Horacio Giménez 11/6 Comuna 5</v>
      </c>
      <c r="C1496" s="29" t="str">
        <f>IFERROR(__xludf.DUMMYFUNCTION("""COMPUTED_VALUE"""),"Pieza")</f>
        <v>Pieza</v>
      </c>
      <c r="D1496" s="28"/>
      <c r="E1496" s="28"/>
      <c r="F1496" s="28"/>
    </row>
    <row r="1497">
      <c r="A1497" s="28" t="str">
        <f>IFERROR(__xludf.DUMMYFUNCTION("""COMPUTED_VALUE"""),"3159-JUNSEGGJ")</f>
        <v>3159-JUNSEGGJ</v>
      </c>
      <c r="B1497" s="28" t="str">
        <f>IFERROR(__xludf.DUMMYFUNCTION("""COMPUTED_VALUE""")," Megaoperativo de control de accesos entre la Ciudad y el Conurbano")</f>
        <v> Megaoperativo de control de accesos entre la Ciudad y el Conurbano</v>
      </c>
      <c r="C1497" s="29" t="str">
        <f>IFERROR(__xludf.DUMMYFUNCTION("""COMPUTED_VALUE"""),"Pieza")</f>
        <v>Pieza</v>
      </c>
      <c r="D1497" s="28"/>
      <c r="E1497" s="28"/>
      <c r="F1497" s="28"/>
    </row>
    <row r="1498">
      <c r="A1498" s="28" t="str">
        <f>IFERROR(__xludf.DUMMYFUNCTION("""COMPUTED_VALUE"""),"3142-JUNFESGC")</f>
        <v>3142-JUNFESGC</v>
      </c>
      <c r="B1498" s="28" t="str">
        <f>IFERROR(__xludf.DUMMYFUNCTION("""COMPUTED_VALUE"""),"Sorteo entradas Soda Stereo")</f>
        <v>Sorteo entradas Soda Stereo</v>
      </c>
      <c r="C1498" s="29" t="str">
        <f>IFERROR(__xludf.DUMMYFUNCTION("""COMPUTED_VALUE"""),"Pieza")</f>
        <v>Pieza</v>
      </c>
      <c r="D1498" s="28"/>
      <c r="E1498" s="28"/>
      <c r="F1498" s="28"/>
    </row>
    <row r="1499">
      <c r="A1499" s="28" t="str">
        <f>IFERROR(__xludf.DUMMYFUNCTION("""COMPUTED_VALUE"""),"3142-JUNFESGC")</f>
        <v>3142-JUNFESGC</v>
      </c>
      <c r="B1499" s="28" t="str">
        <f>IFERROR(__xludf.DUMMYFUNCTION("""COMPUTED_VALUE"""),"Sorteo entradas Soda Stereo")</f>
        <v>Sorteo entradas Soda Stereo</v>
      </c>
      <c r="C1499" s="29" t="str">
        <f>IFERROR(__xludf.DUMMYFUNCTION("""COMPUTED_VALUE"""),"Pieza")</f>
        <v>Pieza</v>
      </c>
      <c r="D1499" s="28"/>
      <c r="E1499" s="28"/>
      <c r="F1499" s="28"/>
    </row>
    <row r="1500">
      <c r="A1500" s="28" t="str">
        <f>IFERROR(__xludf.DUMMYFUNCTION("""COMPUTED_VALUE"""),"3142-JUNFESGC")</f>
        <v>3142-JUNFESGC</v>
      </c>
      <c r="B1500" s="28" t="str">
        <f>IFERROR(__xludf.DUMMYFUNCTION("""COMPUTED_VALUE"""),"Sorteo entradas Soda Stereo")</f>
        <v>Sorteo entradas Soda Stereo</v>
      </c>
      <c r="C1500" s="29" t="str">
        <f>IFERROR(__xludf.DUMMYFUNCTION("""COMPUTED_VALUE"""),"Pieza")</f>
        <v>Pieza</v>
      </c>
      <c r="D1500" s="28"/>
      <c r="E1500" s="28"/>
      <c r="F1500" s="28"/>
    </row>
    <row r="1501">
      <c r="A1501" s="28" t="str">
        <f>IFERROR(__xludf.DUMMYFUNCTION("""COMPUTED_VALUE"""),"3142-JUNFESGC")</f>
        <v>3142-JUNFESGC</v>
      </c>
      <c r="B1501" s="28" t="str">
        <f>IFERROR(__xludf.DUMMYFUNCTION("""COMPUTED_VALUE"""),"Sorteo entradas Soda Stereo")</f>
        <v>Sorteo entradas Soda Stereo</v>
      </c>
      <c r="C1501" s="29" t="str">
        <f>IFERROR(__xludf.DUMMYFUNCTION("""COMPUTED_VALUE"""),"Pieza")</f>
        <v>Pieza</v>
      </c>
      <c r="D1501" s="28"/>
      <c r="E1501" s="28"/>
      <c r="F1501" s="28"/>
    </row>
    <row r="1502">
      <c r="A1502" s="28" t="str">
        <f>IFERROR(__xludf.DUMMYFUNCTION("""COMPUTED_VALUE"""),"3143-JUNJDGAG")</f>
        <v>3143-JUNJDGAG</v>
      </c>
      <c r="B1502" s="28" t="str">
        <f>IFERROR(__xludf.DUMMYFUNCTION("""COMPUTED_VALUE"""),"TE CUENTO JM | 10/6 SALUD EJE NORTE")</f>
        <v>TE CUENTO JM | 10/6 SALUD EJE NORTE</v>
      </c>
      <c r="C1502" s="29" t="str">
        <f>IFERROR(__xludf.DUMMYFUNCTION("""COMPUTED_VALUE"""),"Pieza")</f>
        <v>Pieza</v>
      </c>
      <c r="D1502" s="28"/>
      <c r="E1502" s="28"/>
      <c r="F1502" s="28"/>
    </row>
    <row r="1503">
      <c r="A1503" s="28" t="str">
        <f>IFERROR(__xludf.DUMMYFUNCTION("""COMPUTED_VALUE"""),"3177-JUNEPHGC")</f>
        <v>3177-JUNEPHGC</v>
      </c>
      <c r="B1503" s="28" t="str">
        <f>IFERROR(__xludf.DUMMYFUNCTION("""COMPUTED_VALUE"""),"Concurso de Identidad BA: Diseño de elementos urbanos para el Microcentro")</f>
        <v>Concurso de Identidad BA: Diseño de elementos urbanos para el Microcentro</v>
      </c>
      <c r="C1503" s="29" t="str">
        <f>IFERROR(__xludf.DUMMYFUNCTION("""COMPUTED_VALUE"""),"Pieza")</f>
        <v>Pieza</v>
      </c>
      <c r="D1503" s="28"/>
      <c r="E1503" s="28"/>
      <c r="F1503" s="28"/>
    </row>
    <row r="1504">
      <c r="A1504" s="28" t="str">
        <f>IFERROR(__xludf.DUMMYFUNCTION("""COMPUTED_VALUE"""),"3152-JUNSALGC")</f>
        <v>3152-JUNSALGC</v>
      </c>
      <c r="B1504" s="28" t="str">
        <f>IFERROR(__xludf.DUMMYFUNCTION("""COMPUTED_VALUE"""),"Récord de trasplantes en la Ciudad")</f>
        <v>Récord de trasplantes en la Ciudad</v>
      </c>
      <c r="C1504" s="29" t="str">
        <f>IFERROR(__xludf.DUMMYFUNCTION("""COMPUTED_VALUE"""),"Pieza")</f>
        <v>Pieza</v>
      </c>
      <c r="D1504" s="28"/>
      <c r="E1504" s="28"/>
      <c r="F1504" s="28"/>
    </row>
    <row r="1505">
      <c r="A1505" s="28" t="str">
        <f>IFERROR(__xludf.DUMMYFUNCTION("""COMPUTED_VALUE"""),"3170-JUNCULVC")</f>
        <v>3170-JUNCULVC</v>
      </c>
      <c r="B1505" s="28" t="str">
        <f>IFERROR(__xludf.DUMMYFUNCTION("""COMPUTED_VALUE"""),"RDV Ministros | Gabriela Ricardes 12/6 Comuna 2")</f>
        <v>RDV Ministros | Gabriela Ricardes 12/6 Comuna 2</v>
      </c>
      <c r="C1505" s="29" t="str">
        <f>IFERROR(__xludf.DUMMYFUNCTION("""COMPUTED_VALUE"""),"Pieza")</f>
        <v>Pieza</v>
      </c>
      <c r="D1505" s="28"/>
      <c r="E1505" s="28"/>
      <c r="F1505" s="28"/>
    </row>
    <row r="1506">
      <c r="A1506" s="28" t="str">
        <f>IFERROR(__xludf.DUMMYFUNCTION("""COMPUTED_VALUE"""),"3171-JUNAMBVC")</f>
        <v>3171-JUNAMBVC</v>
      </c>
      <c r="B1506" s="28" t="str">
        <f>IFERROR(__xludf.DUMMYFUNCTION("""COMPUTED_VALUE"""),"RDV Ministros | Clara Muzzio - 12/6 - Temática")</f>
        <v>RDV Ministros | Clara Muzzio - 12/6 - Temática</v>
      </c>
      <c r="C1506" s="29" t="str">
        <f>IFERROR(__xludf.DUMMYFUNCTION("""COMPUTED_VALUE"""),"Pieza")</f>
        <v>Pieza</v>
      </c>
      <c r="D1506" s="28"/>
      <c r="E1506" s="28"/>
      <c r="F1506" s="28"/>
    </row>
    <row r="1507">
      <c r="A1507" s="28" t="str">
        <f>IFERROR(__xludf.DUMMYFUNCTION("""COMPUTED_VALUE"""),"3157-JUNJDGVC")</f>
        <v>3157-JUNJDGVC</v>
      </c>
      <c r="B1507" s="28" t="str">
        <f>IFERROR(__xludf.DUMMYFUNCTION("""COMPUTED_VALUE"""),"RDV Ministros | Gabriel Sánchéz Zinny - 10/6 ")</f>
        <v>RDV Ministros | Gabriel Sánchéz Zinny - 10/6 </v>
      </c>
      <c r="C1507" s="29" t="str">
        <f>IFERROR(__xludf.DUMMYFUNCTION("""COMPUTED_VALUE"""),"Pieza")</f>
        <v>Pieza</v>
      </c>
      <c r="D1507" s="28"/>
      <c r="E1507" s="28"/>
      <c r="F1507" s="28"/>
    </row>
    <row r="1508">
      <c r="A1508" s="28" t="str">
        <f>IFERROR(__xludf.DUMMYFUNCTION("""COMPUTED_VALUE"""),"3110-MAYJDGAG")</f>
        <v>3110-MAYJDGAG</v>
      </c>
      <c r="B1508" s="28" t="str">
        <f>IFERROR(__xludf.DUMMYFUNCTION("""COMPUTED_VALUE"""),"TE CUENTO BS AS JM | 3/6 ORDEN PÚBLICO EJE SUR")</f>
        <v>TE CUENTO BS AS JM | 3/6 ORDEN PÚBLICO EJE SUR</v>
      </c>
      <c r="C1508" s="29" t="str">
        <f>IFERROR(__xludf.DUMMYFUNCTION("""COMPUTED_VALUE"""),"Pieza")</f>
        <v>Pieza</v>
      </c>
      <c r="D1508" s="28"/>
      <c r="E1508" s="28"/>
      <c r="F1508" s="28"/>
    </row>
    <row r="1509">
      <c r="A1509" s="28" t="str">
        <f>IFERROR(__xludf.DUMMYFUNCTION("""COMPUTED_VALUE"""),"1942-SEPEPHGC")</f>
        <v>1942-SEPEPHGC</v>
      </c>
      <c r="B1509" s="28" t="str">
        <f>IFERROR(__xludf.DUMMYFUNCTION("""COMPUTED_VALUE"""),"DGPLES | MEPHU  | REPARACIÓN DE VEREDAS")</f>
        <v>DGPLES | MEPHU  | REPARACIÓN DE VEREDAS</v>
      </c>
      <c r="C1509" s="29" t="str">
        <f>IFERROR(__xludf.DUMMYFUNCTION("""COMPUTED_VALUE"""),"Pieza")</f>
        <v>Pieza</v>
      </c>
      <c r="D1509" s="28"/>
      <c r="E1509" s="28"/>
      <c r="F1509" s="28"/>
    </row>
    <row r="1510">
      <c r="A1510" s="28" t="str">
        <f>IFERROR(__xludf.DUMMYFUNCTION("""COMPUTED_VALUE"""),"3130-MAYTURGC")</f>
        <v>3130-MAYTURGC</v>
      </c>
      <c r="B1510" s="28" t="str">
        <f>IFERROR(__xludf.DUMMYFUNCTION("""COMPUTED_VALUE"""),"Sondeo Hotelero | Finde largo junio ")</f>
        <v>Sondeo Hotelero | Finde largo junio </v>
      </c>
      <c r="C1510" s="29" t="str">
        <f>IFERROR(__xludf.DUMMYFUNCTION("""COMPUTED_VALUE"""),"Pieza")</f>
        <v>Pieza</v>
      </c>
      <c r="D1510" s="28"/>
      <c r="E1510" s="28"/>
      <c r="F1510" s="28"/>
    </row>
    <row r="1511">
      <c r="A1511" s="28" t="str">
        <f>IFERROR(__xludf.DUMMYFUNCTION("""COMPUTED_VALUE"""),"3143-JUNJDGAG")</f>
        <v>3143-JUNJDGAG</v>
      </c>
      <c r="B1511" s="28" t="str">
        <f>IFERROR(__xludf.DUMMYFUNCTION("""COMPUTED_VALUE"""),"TE CUENTO JM | 10/6 SALUD EJE NORTE")</f>
        <v>TE CUENTO JM | 10/6 SALUD EJE NORTE</v>
      </c>
      <c r="C1511" s="29" t="str">
        <f>IFERROR(__xludf.DUMMYFUNCTION("""COMPUTED_VALUE"""),"Pieza")</f>
        <v>Pieza</v>
      </c>
      <c r="D1511" s="28"/>
      <c r="E1511" s="28"/>
      <c r="F1511" s="28"/>
    </row>
    <row r="1512">
      <c r="A1512" s="28" t="str">
        <f>IFERROR(__xludf.DUMMYFUNCTION("""COMPUTED_VALUE"""),"3143-JUNJDGAG")</f>
        <v>3143-JUNJDGAG</v>
      </c>
      <c r="B1512" s="28" t="str">
        <f>IFERROR(__xludf.DUMMYFUNCTION("""COMPUTED_VALUE"""),"TE CUENTO JM | 10/6 SALUD EJE NORTE")</f>
        <v>TE CUENTO JM | 10/6 SALUD EJE NORTE</v>
      </c>
      <c r="C1512" s="29" t="str">
        <f>IFERROR(__xludf.DUMMYFUNCTION("""COMPUTED_VALUE"""),"Pieza")</f>
        <v>Pieza</v>
      </c>
      <c r="D1512" s="28"/>
      <c r="E1512" s="28"/>
      <c r="F1512" s="28"/>
    </row>
    <row r="1513">
      <c r="A1513" s="28" t="str">
        <f>IFERROR(__xludf.DUMMYFUNCTION("""COMPUTED_VALUE"""),"3143-JUNJDGAG")</f>
        <v>3143-JUNJDGAG</v>
      </c>
      <c r="B1513" s="28" t="str">
        <f>IFERROR(__xludf.DUMMYFUNCTION("""COMPUTED_VALUE"""),"TE CUENTO JM | 10/6 SALUD EJE NORTE")</f>
        <v>TE CUENTO JM | 10/6 SALUD EJE NORTE</v>
      </c>
      <c r="C1513" s="29" t="str">
        <f>IFERROR(__xludf.DUMMYFUNCTION("""COMPUTED_VALUE"""),"Pieza")</f>
        <v>Pieza</v>
      </c>
      <c r="D1513" s="28"/>
      <c r="E1513" s="28"/>
      <c r="F1513" s="28"/>
    </row>
    <row r="1514">
      <c r="A1514" s="28" t="str">
        <f>IFERROR(__xludf.DUMMYFUNCTION("""COMPUTED_VALUE"""),"2945-ABRSALGC")</f>
        <v>2945-ABRSALGC</v>
      </c>
      <c r="B1514" s="28" t="str">
        <f>IFERROR(__xludf.DUMMYFUNCTION("""COMPUTED_VALUE"""),"CEMAR 4 - Durante de obra")</f>
        <v>CEMAR 4 - Durante de obra</v>
      </c>
      <c r="C1514" s="29" t="str">
        <f>IFERROR(__xludf.DUMMYFUNCTION("""COMPUTED_VALUE"""),"Pieza")</f>
        <v>Pieza</v>
      </c>
      <c r="D1514" s="28"/>
      <c r="E1514" s="28"/>
      <c r="F1514" s="28"/>
    </row>
    <row r="1515">
      <c r="A1515" s="28" t="str">
        <f>IFERROR(__xludf.DUMMYFUNCTION("""COMPUTED_VALUE"""),"3102-MAYJDGAG")</f>
        <v>3102-MAYJDGAG</v>
      </c>
      <c r="B1515" s="28" t="str">
        <f>IFERROR(__xludf.DUMMYFUNCTION("""COMPUTED_VALUE"""),"PRIMERA PERSONA | JM | MARIO PERGOLLINI 1/6")</f>
        <v>PRIMERA PERSONA | JM | MARIO PERGOLLINI 1/6</v>
      </c>
      <c r="C1515" s="29" t="str">
        <f>IFERROR(__xludf.DUMMYFUNCTION("""COMPUTED_VALUE"""),"Pieza")</f>
        <v>Pieza</v>
      </c>
      <c r="D1515" s="28"/>
      <c r="E1515" s="28"/>
      <c r="F1515" s="28"/>
    </row>
    <row r="1516">
      <c r="A1516" s="28" t="str">
        <f>IFERROR(__xludf.DUMMYFUNCTION("""COMPUTED_VALUE"""),"3158-JUNDHHVC")</f>
        <v>3158-JUNDHHVC</v>
      </c>
      <c r="B1516" s="28" t="str">
        <f>IFERROR(__xludf.DUMMYFUNCTION("""COMPUTED_VALUE"""),"RDV Ministros | Gabriel Mraida - 10/6")</f>
        <v>RDV Ministros | Gabriel Mraida - 10/6</v>
      </c>
      <c r="C1516" s="29" t="str">
        <f>IFERROR(__xludf.DUMMYFUNCTION("""COMPUTED_VALUE"""),"Pieza")</f>
        <v>Pieza</v>
      </c>
      <c r="D1516" s="28"/>
      <c r="E1516" s="28"/>
      <c r="F1516" s="28"/>
    </row>
    <row r="1517">
      <c r="A1517" s="28" t="str">
        <f>IFERROR(__xludf.DUMMYFUNCTION("""COMPUTED_VALUE"""),"3165-JUNSEGVC")</f>
        <v>3165-JUNSEGVC</v>
      </c>
      <c r="B1517" s="28" t="str">
        <f>IFERROR(__xludf.DUMMYFUNCTION("""COMPUTED_VALUE"""),"RDV Ministros | Ruth Landerreche 11/6 Comuna 7")</f>
        <v>RDV Ministros | Ruth Landerreche 11/6 Comuna 7</v>
      </c>
      <c r="C1517" s="29" t="str">
        <f>IFERROR(__xludf.DUMMYFUNCTION("""COMPUTED_VALUE"""),"Pieza")</f>
        <v>Pieza</v>
      </c>
      <c r="D1517" s="28"/>
      <c r="E1517" s="28"/>
      <c r="F1517" s="28"/>
    </row>
    <row r="1518">
      <c r="A1518" s="28" t="str">
        <f>IFERROR(__xludf.DUMMYFUNCTION("""COMPUTED_VALUE"""),"3173-JUNVINGC")</f>
        <v>3173-JUNVINGC</v>
      </c>
      <c r="B1518" s="28" t="str">
        <f>IFERROR(__xludf.DUMMYFUNCTION("""COMPUTED_VALUE"""),"Más servicios en tu barrio - 16/6 - Villa Santa Rita")</f>
        <v>Más servicios en tu barrio - 16/6 - Villa Santa Rita</v>
      </c>
      <c r="C1518" s="29" t="str">
        <f>IFERROR(__xludf.DUMMYFUNCTION("""COMPUTED_VALUE"""),"Pieza")</f>
        <v>Pieza</v>
      </c>
      <c r="D1518" s="28"/>
      <c r="E1518" s="28"/>
      <c r="F1518" s="28"/>
    </row>
    <row r="1519">
      <c r="A1519" s="28" t="str">
        <f>IFERROR(__xludf.DUMMYFUNCTION("""COMPUTED_VALUE"""),"3141-JUNINFGC")</f>
        <v>3141-JUNINFGC</v>
      </c>
      <c r="B1519" s="28" t="str">
        <f>IFERROR(__xludf.DUMMYFUNCTION("""COMPUTED_VALUE"""),"Cambio de sentido calles Pizarro y Zelada | 11/6")</f>
        <v>Cambio de sentido calles Pizarro y Zelada | 11/6</v>
      </c>
      <c r="C1519" s="29" t="str">
        <f>IFERROR(__xludf.DUMMYFUNCTION("""COMPUTED_VALUE"""),"Pieza")</f>
        <v>Pieza</v>
      </c>
      <c r="D1519" s="28"/>
      <c r="E1519" s="28"/>
      <c r="F1519" s="28"/>
    </row>
    <row r="1520">
      <c r="A1520" s="28" t="str">
        <f>IFERROR(__xludf.DUMMYFUNCTION("""COMPUTED_VALUE"""),"3164-JUNSEGVC")</f>
        <v>3164-JUNSEGVC</v>
      </c>
      <c r="B1520" s="28" t="str">
        <f>IFERROR(__xludf.DUMMYFUNCTION("""COMPUTED_VALUE"""),"RDV Ministros | Maximiliano Piñeiro 11/6 Comuna 6")</f>
        <v>RDV Ministros | Maximiliano Piñeiro 11/6 Comuna 6</v>
      </c>
      <c r="C1520" s="29" t="str">
        <f>IFERROR(__xludf.DUMMYFUNCTION("""COMPUTED_VALUE"""),"Pieza")</f>
        <v>Pieza</v>
      </c>
      <c r="D1520" s="28"/>
      <c r="E1520" s="28"/>
      <c r="F1520" s="28"/>
    </row>
    <row r="1521">
      <c r="A1521" s="28" t="str">
        <f>IFERROR(__xludf.DUMMYFUNCTION("""COMPUTED_VALUE"""),"3163-JUNSEGVC")</f>
        <v>3163-JUNSEGVC</v>
      </c>
      <c r="B1521" s="28" t="str">
        <f>IFERROR(__xludf.DUMMYFUNCTION("""COMPUTED_VALUE"""),"RDV Ministros | Horacio Giménez 11/6 Comuna 5")</f>
        <v>RDV Ministros | Horacio Giménez 11/6 Comuna 5</v>
      </c>
      <c r="C1521" s="29" t="str">
        <f>IFERROR(__xludf.DUMMYFUNCTION("""COMPUTED_VALUE"""),"Pieza")</f>
        <v>Pieza</v>
      </c>
      <c r="D1521" s="28"/>
      <c r="E1521" s="28"/>
      <c r="F1521" s="28"/>
    </row>
    <row r="1522">
      <c r="A1522" s="28" t="str">
        <f>IFERROR(__xludf.DUMMYFUNCTION("""COMPUTED_VALUE"""),"3178-JUNJDGAG")</f>
        <v>3178-JUNJDGAG</v>
      </c>
      <c r="B1522" s="28" t="str">
        <f>IFERROR(__xludf.DUMMYFUNCTION("""COMPUTED_VALUE""")," TE CUENTO BS AS JM | 16/6 EDUCACIÓN EJE OESTE")</f>
        <v> TE CUENTO BS AS JM | 16/6 EDUCACIÓN EJE OESTE</v>
      </c>
      <c r="C1522" s="29" t="str">
        <f>IFERROR(__xludf.DUMMYFUNCTION("""COMPUTED_VALUE"""),"Pieza")</f>
        <v>Pieza</v>
      </c>
      <c r="D1522" s="28"/>
      <c r="E1522" s="28"/>
      <c r="F1522" s="28"/>
    </row>
    <row r="1523">
      <c r="A1523" s="28" t="str">
        <f>IFERROR(__xludf.DUMMYFUNCTION("""COMPUTED_VALUE"""),"3155-JUNEPHVC")</f>
        <v>3155-JUNEPHVC</v>
      </c>
      <c r="B1523" s="28" t="str">
        <f>IFERROR(__xludf.DUMMYFUNCTION("""COMPUTED_VALUE"""),"RDV de Ignacio Baistrocchi  8/6 ")</f>
        <v>RDV de Ignacio Baistrocchi  8/6 </v>
      </c>
      <c r="C1523" s="29" t="str">
        <f>IFERROR(__xludf.DUMMYFUNCTION("""COMPUTED_VALUE"""),"Pieza")</f>
        <v>Pieza</v>
      </c>
      <c r="D1523" s="28"/>
      <c r="E1523" s="28"/>
      <c r="F1523" s="28"/>
    </row>
    <row r="1524">
      <c r="A1524" s="28" t="str">
        <f>IFERROR(__xludf.DUMMYFUNCTION("""COMPUTED_VALUE"""),"3174-JUNVINGC")</f>
        <v>3174-JUNVINGC</v>
      </c>
      <c r="B1524" s="28" t="str">
        <f>IFERROR(__xludf.DUMMYFUNCTION("""COMPUTED_VALUE"""),"Más servicios en tu barrio - 17/6 - Villa Devoto")</f>
        <v>Más servicios en tu barrio - 17/6 - Villa Devoto</v>
      </c>
      <c r="C1524" s="29" t="str">
        <f>IFERROR(__xludf.DUMMYFUNCTION("""COMPUTED_VALUE"""),"Pieza")</f>
        <v>Pieza</v>
      </c>
      <c r="D1524" s="28"/>
      <c r="E1524" s="28"/>
      <c r="F1524" s="28"/>
    </row>
    <row r="1525">
      <c r="A1525" s="28" t="str">
        <f>IFERROR(__xludf.DUMMYFUNCTION("""COMPUTED_VALUE"""),"1921-SEPAMBGC")</f>
        <v>1921-SEPAMBGC</v>
      </c>
      <c r="B1525" s="28" t="str">
        <f>IFERROR(__xludf.DUMMYFUNCTION("""COMPUTED_VALUE"""),"Vacunación Antirrabica Animales")</f>
        <v>Vacunación Antirrabica Animales</v>
      </c>
      <c r="C1525" s="29" t="str">
        <f>IFERROR(__xludf.DUMMYFUNCTION("""COMPUTED_VALUE"""),"Pieza")</f>
        <v>Pieza</v>
      </c>
      <c r="D1525" s="28"/>
      <c r="E1525" s="28"/>
      <c r="F1525" s="28"/>
    </row>
    <row r="1526">
      <c r="A1526" s="28" t="str">
        <f>IFERROR(__xludf.DUMMYFUNCTION("""COMPUTED_VALUE"""),"3016-MAYFESGC")</f>
        <v>3016-MAYFESGC</v>
      </c>
      <c r="B1526" s="28" t="str">
        <f>IFERROR(__xludf.DUMMYFUNCTION("""COMPUTED_VALUE"""),"La ciudad late mundial | Modo Hincha")</f>
        <v>La ciudad late mundial | Modo Hincha</v>
      </c>
      <c r="C1526" s="29" t="str">
        <f>IFERROR(__xludf.DUMMYFUNCTION("""COMPUTED_VALUE"""),"Pieza")</f>
        <v>Pieza</v>
      </c>
      <c r="D1526" s="28"/>
      <c r="E1526" s="28"/>
      <c r="F1526" s="28"/>
    </row>
    <row r="1527">
      <c r="A1527" s="28" t="str">
        <f>IFERROR(__xludf.DUMMYFUNCTION("""COMPUTED_VALUE"""),"3170-JUNCULVC")</f>
        <v>3170-JUNCULVC</v>
      </c>
      <c r="B1527" s="28" t="str">
        <f>IFERROR(__xludf.DUMMYFUNCTION("""COMPUTED_VALUE"""),"RDV Ministros | Gabriela Ricardes 12/6 Comuna 2")</f>
        <v>RDV Ministros | Gabriela Ricardes 12/6 Comuna 2</v>
      </c>
      <c r="C1527" s="29" t="str">
        <f>IFERROR(__xludf.DUMMYFUNCTION("""COMPUTED_VALUE"""),"Pieza")</f>
        <v>Pieza</v>
      </c>
      <c r="D1527" s="28"/>
      <c r="E1527" s="28"/>
      <c r="F1527" s="28"/>
    </row>
    <row r="1528">
      <c r="A1528" s="28" t="str">
        <f>IFERROR(__xludf.DUMMYFUNCTION("""COMPUTED_VALUE"""),"3196-JUNINFVC")</f>
        <v>3196-JUNINFVC</v>
      </c>
      <c r="B1528" s="28" t="str">
        <f>IFERROR(__xludf.DUMMYFUNCTION("""COMPUTED_VALUE"""),"RDV Ministros | Pablo Bereciartua - 17/6 - Comuna 4")</f>
        <v>RDV Ministros | Pablo Bereciartua - 17/6 - Comuna 4</v>
      </c>
      <c r="C1528" s="29" t="str">
        <f>IFERROR(__xludf.DUMMYFUNCTION("""COMPUTED_VALUE"""),"Pieza")</f>
        <v>Pieza</v>
      </c>
      <c r="D1528" s="28"/>
      <c r="E1528" s="28"/>
      <c r="F1528" s="28"/>
    </row>
    <row r="1529">
      <c r="A1529" s="28" t="str">
        <f>IFERROR(__xludf.DUMMYFUNCTION("""COMPUTED_VALUE"""),"3159-JUNSEGGJ")</f>
        <v>3159-JUNSEGGJ</v>
      </c>
      <c r="B1529" s="28" t="str">
        <f>IFERROR(__xludf.DUMMYFUNCTION("""COMPUTED_VALUE""")," Megaoperativo de control de accesos entre la Ciudad y el Conurbano")</f>
        <v> Megaoperativo de control de accesos entre la Ciudad y el Conurbano</v>
      </c>
      <c r="C1529" s="29" t="str">
        <f>IFERROR(__xludf.DUMMYFUNCTION("""COMPUTED_VALUE"""),"Pieza")</f>
        <v>Pieza</v>
      </c>
      <c r="D1529" s="28"/>
      <c r="E1529" s="28"/>
      <c r="F1529" s="28"/>
    </row>
    <row r="1530">
      <c r="A1530" s="28" t="str">
        <f>IFERROR(__xludf.DUMMYFUNCTION("""COMPUTED_VALUE"""),"3157-JUNJDGVC")</f>
        <v>3157-JUNJDGVC</v>
      </c>
      <c r="B1530" s="28" t="str">
        <f>IFERROR(__xludf.DUMMYFUNCTION("""COMPUTED_VALUE"""),"RDV Ministros | Gabriel Sánchéz Zinny - 10/6 ")</f>
        <v>RDV Ministros | Gabriel Sánchéz Zinny - 10/6 </v>
      </c>
      <c r="C1530" s="29" t="str">
        <f>IFERROR(__xludf.DUMMYFUNCTION("""COMPUTED_VALUE"""),"Pieza")</f>
        <v>Pieza</v>
      </c>
      <c r="D1530" s="28"/>
      <c r="E1530" s="28"/>
      <c r="F1530" s="28"/>
    </row>
    <row r="1531">
      <c r="A1531" s="28" t="str">
        <f>IFERROR(__xludf.DUMMYFUNCTION("""COMPUTED_VALUE"""),"3178-JUNJDGAG")</f>
        <v>3178-JUNJDGAG</v>
      </c>
      <c r="B1531" s="28" t="str">
        <f>IFERROR(__xludf.DUMMYFUNCTION("""COMPUTED_VALUE""")," TE CUENTO BS AS JM | 16/6 EDUCACIÓN EJE OESTE")</f>
        <v> TE CUENTO BS AS JM | 16/6 EDUCACIÓN EJE OESTE</v>
      </c>
      <c r="C1531" s="29" t="str">
        <f>IFERROR(__xludf.DUMMYFUNCTION("""COMPUTED_VALUE"""),"Pieza")</f>
        <v>Pieza</v>
      </c>
      <c r="D1531" s="28"/>
      <c r="E1531" s="28"/>
      <c r="F1531" s="28"/>
    </row>
    <row r="1532">
      <c r="A1532" s="28" t="str">
        <f>IFERROR(__xludf.DUMMYFUNCTION("""COMPUTED_VALUE"""),"3178-JUNJDGAG")</f>
        <v>3178-JUNJDGAG</v>
      </c>
      <c r="B1532" s="28" t="str">
        <f>IFERROR(__xludf.DUMMYFUNCTION("""COMPUTED_VALUE""")," TE CUENTO BS AS JM | 16/6 EDUCACIÓN EJE OESTE")</f>
        <v> TE CUENTO BS AS JM | 16/6 EDUCACIÓN EJE OESTE</v>
      </c>
      <c r="C1532" s="29" t="str">
        <f>IFERROR(__xludf.DUMMYFUNCTION("""COMPUTED_VALUE"""),"Pieza")</f>
        <v>Pieza</v>
      </c>
      <c r="D1532" s="28"/>
      <c r="E1532" s="28"/>
      <c r="F1532" s="28"/>
    </row>
    <row r="1533">
      <c r="A1533" s="28" t="str">
        <f>IFERROR(__xludf.DUMMYFUNCTION("""COMPUTED_VALUE"""),"3168-JUNSALGC")</f>
        <v>3168-JUNSALGC</v>
      </c>
      <c r="B1533" s="28" t="str">
        <f>IFERROR(__xludf.DUMMYFUNCTION("""COMPUTED_VALUE""")," SIGEHOS - Módulo GDE: mejoras - Junio")</f>
        <v> SIGEHOS - Módulo GDE: mejoras - Junio</v>
      </c>
      <c r="C1533" s="29" t="str">
        <f>IFERROR(__xludf.DUMMYFUNCTION("""COMPUTED_VALUE"""),"Pieza")</f>
        <v>Pieza</v>
      </c>
      <c r="D1533" s="28"/>
      <c r="E1533" s="28"/>
      <c r="F1533" s="28"/>
    </row>
    <row r="1534">
      <c r="A1534" s="28" t="str">
        <f>IFERROR(__xludf.DUMMYFUNCTION("""COMPUTED_VALUE"""),"3189-JUNSALVC")</f>
        <v>3189-JUNSALVC</v>
      </c>
      <c r="B1534" s="28" t="str">
        <f>IFERROR(__xludf.DUMMYFUNCTION("""COMPUTED_VALUE"""),"RDV Ministros | Fernán Quirós - 16/6 - Comuna 15")</f>
        <v>RDV Ministros | Fernán Quirós - 16/6 - Comuna 15</v>
      </c>
      <c r="C1534" s="29" t="str">
        <f>IFERROR(__xludf.DUMMYFUNCTION("""COMPUTED_VALUE"""),"Pieza")</f>
        <v>Pieza</v>
      </c>
      <c r="D1534" s="28"/>
      <c r="E1534" s="28"/>
      <c r="F1534" s="28"/>
    </row>
    <row r="1535">
      <c r="A1535" s="28" t="str">
        <f>IFERROR(__xludf.DUMMYFUNCTION("""COMPUTED_VALUE"""),"3143-JUNJDGAG")</f>
        <v>3143-JUNJDGAG</v>
      </c>
      <c r="B1535" s="28" t="str">
        <f>IFERROR(__xludf.DUMMYFUNCTION("""COMPUTED_VALUE"""),"TE CUENTO JM | 10/6 SALUD EJE NORTE")</f>
        <v>TE CUENTO JM | 10/6 SALUD EJE NORTE</v>
      </c>
      <c r="C1535" s="29" t="str">
        <f>IFERROR(__xludf.DUMMYFUNCTION("""COMPUTED_VALUE"""),"Pieza")</f>
        <v>Pieza</v>
      </c>
      <c r="D1535" s="28"/>
      <c r="E1535" s="28"/>
      <c r="F1535" s="28"/>
    </row>
    <row r="1536">
      <c r="A1536" s="28" t="str">
        <f>IFERROR(__xludf.DUMMYFUNCTION("""COMPUTED_VALUE"""),"3158-JUNDHHVC")</f>
        <v>3158-JUNDHHVC</v>
      </c>
      <c r="B1536" s="28" t="str">
        <f>IFERROR(__xludf.DUMMYFUNCTION("""COMPUTED_VALUE"""),"RDV Ministros | Gabriel Mraida - 10/6")</f>
        <v>RDV Ministros | Gabriel Mraida - 10/6</v>
      </c>
      <c r="C1536" s="29" t="str">
        <f>IFERROR(__xludf.DUMMYFUNCTION("""COMPUTED_VALUE"""),"Pieza")</f>
        <v>Pieza</v>
      </c>
      <c r="D1536" s="28"/>
      <c r="E1536" s="28"/>
      <c r="F1536" s="28"/>
    </row>
    <row r="1537">
      <c r="A1537" s="28" t="str">
        <f>IFERROR(__xludf.DUMMYFUNCTION("""COMPUTED_VALUE"""),"3156-JUNJDGAG")</f>
        <v>3156-JUNJDGAG</v>
      </c>
      <c r="B1537" s="28" t="str">
        <f>IFERROR(__xludf.DUMMYFUNCTION("""COMPUTED_VALUE"""),"RDV JM | BOEDO | 12/06")</f>
        <v>RDV JM | BOEDO | 12/06</v>
      </c>
      <c r="C1537" s="29" t="str">
        <f>IFERROR(__xludf.DUMMYFUNCTION("""COMPUTED_VALUE"""),"Pieza")</f>
        <v>Pieza</v>
      </c>
      <c r="D1537" s="28"/>
      <c r="E1537" s="28"/>
      <c r="F1537" s="28"/>
    </row>
    <row r="1538">
      <c r="A1538" s="28" t="str">
        <f>IFERROR(__xludf.DUMMYFUNCTION("""COMPUTED_VALUE"""),"3190-JUNAMBVC")</f>
        <v>3190-JUNAMBVC</v>
      </c>
      <c r="B1538" s="28" t="str">
        <f>IFERROR(__xludf.DUMMYFUNCTION("""COMPUTED_VALUE"""),"RDV Ministros | Clara Muzzio - 17/6 - Colegiales")</f>
        <v>RDV Ministros | Clara Muzzio - 17/6 - Colegiales</v>
      </c>
      <c r="C1538" s="29" t="str">
        <f>IFERROR(__xludf.DUMMYFUNCTION("""COMPUTED_VALUE"""),"Pieza")</f>
        <v>Pieza</v>
      </c>
      <c r="D1538" s="28"/>
      <c r="E1538" s="28"/>
      <c r="F1538" s="28"/>
    </row>
    <row r="1539">
      <c r="A1539" s="28" t="str">
        <f>IFERROR(__xludf.DUMMYFUNCTION("""COMPUTED_VALUE"""),"3188-JUNEPHGC")</f>
        <v>3188-JUNEPHGC</v>
      </c>
      <c r="B1539" s="28" t="str">
        <f>IFERROR(__xludf.DUMMYFUNCTION("""COMPUTED_VALUE"""),"Obligaciones en materia de gestión y disposición de residuos")</f>
        <v>Obligaciones en materia de gestión y disposición de residuos</v>
      </c>
      <c r="C1539" s="29" t="str">
        <f>IFERROR(__xludf.DUMMYFUNCTION("""COMPUTED_VALUE"""),"Pieza")</f>
        <v>Pieza</v>
      </c>
      <c r="D1539" s="28"/>
      <c r="E1539" s="28"/>
      <c r="F1539" s="28"/>
    </row>
    <row r="1540">
      <c r="A1540" s="28" t="str">
        <f>IFERROR(__xludf.DUMMYFUNCTION("""COMPUTED_VALUE"""),"3134-JUNPCCVC")</f>
        <v>3134-JUNPCCVC</v>
      </c>
      <c r="B1540" s="28" t="str">
        <f>IFERROR(__xludf.DUMMYFUNCTION("""COMPUTED_VALUE"""),"Reunión Informativa: ´Parque ferroviario palermo")</f>
        <v>Reunión Informativa: ´Parque ferroviario palermo</v>
      </c>
      <c r="C1540" s="29" t="str">
        <f>IFERROR(__xludf.DUMMYFUNCTION("""COMPUTED_VALUE"""),"Pieza")</f>
        <v>Pieza</v>
      </c>
      <c r="D1540" s="28"/>
      <c r="E1540" s="28"/>
      <c r="F1540" s="28"/>
    </row>
    <row r="1541">
      <c r="A1541" s="28" t="str">
        <f>IFERROR(__xludf.DUMMYFUNCTION("""COMPUTED_VALUE"""),"3165-JUNSEGVC")</f>
        <v>3165-JUNSEGVC</v>
      </c>
      <c r="B1541" s="28" t="str">
        <f>IFERROR(__xludf.DUMMYFUNCTION("""COMPUTED_VALUE"""),"RDV Ministros | Ruth Landerreche 11/6 Comuna 7")</f>
        <v>RDV Ministros | Ruth Landerreche 11/6 Comuna 7</v>
      </c>
      <c r="C1541" s="29" t="str">
        <f>IFERROR(__xludf.DUMMYFUNCTION("""COMPUTED_VALUE"""),"Pieza")</f>
        <v>Pieza</v>
      </c>
      <c r="D1541" s="28"/>
      <c r="E1541" s="28"/>
      <c r="F1541" s="28"/>
    </row>
    <row r="1542">
      <c r="A1542" s="28" t="str">
        <f>IFERROR(__xludf.DUMMYFUNCTION("""COMPUTED_VALUE"""),"3164-JUNSEGVC")</f>
        <v>3164-JUNSEGVC</v>
      </c>
      <c r="B1542" s="28" t="str">
        <f>IFERROR(__xludf.DUMMYFUNCTION("""COMPUTED_VALUE"""),"RDV Ministros | Maximiliano Piñeiro 11/6 Comuna 6")</f>
        <v>RDV Ministros | Maximiliano Piñeiro 11/6 Comuna 6</v>
      </c>
      <c r="C1542" s="29" t="str">
        <f>IFERROR(__xludf.DUMMYFUNCTION("""COMPUTED_VALUE"""),"Pieza")</f>
        <v>Pieza</v>
      </c>
      <c r="D1542" s="28"/>
      <c r="E1542" s="28"/>
      <c r="F1542" s="28"/>
    </row>
    <row r="1543">
      <c r="A1543" s="28" t="str">
        <f>IFERROR(__xludf.DUMMYFUNCTION("""COMPUTED_VALUE"""),"3180-JUNINFGC")</f>
        <v>3180-JUNINFGC</v>
      </c>
      <c r="B1543" s="28" t="str">
        <f>IFERROR(__xludf.DUMMYFUNCTION("""COMPUTED_VALUE"""),"AU Dellepiane: cambio de sentido calle Rio Negro y Colectora Norte | 16/6")</f>
        <v>AU Dellepiane: cambio de sentido calle Rio Negro y Colectora Norte | 16/6</v>
      </c>
      <c r="C1543" s="29" t="str">
        <f>IFERROR(__xludf.DUMMYFUNCTION("""COMPUTED_VALUE"""),"Pieza")</f>
        <v>Pieza</v>
      </c>
      <c r="D1543" s="28"/>
      <c r="E1543" s="28"/>
      <c r="F1543" s="28"/>
    </row>
    <row r="1544">
      <c r="A1544" s="28" t="str">
        <f>IFERROR(__xludf.DUMMYFUNCTION("""COMPUTED_VALUE"""),"3185-JUNINFGC")</f>
        <v>3185-JUNINFGC</v>
      </c>
      <c r="B1544" s="28" t="str">
        <f>IFERROR(__xludf.DUMMYFUNCTION("""COMPUTED_VALUE"""),"CORTES Y DESVÍOS POR PROCESIÓN RELIGIOSA")</f>
        <v>CORTES Y DESVÍOS POR PROCESIÓN RELIGIOSA</v>
      </c>
      <c r="C1544" s="29" t="str">
        <f>IFERROR(__xludf.DUMMYFUNCTION("""COMPUTED_VALUE"""),"Pieza")</f>
        <v>Pieza</v>
      </c>
      <c r="D1544" s="28"/>
      <c r="E1544" s="28"/>
      <c r="F1544" s="28"/>
    </row>
    <row r="1545">
      <c r="A1545" s="28" t="str">
        <f>IFERROR(__xludf.DUMMYFUNCTION("""COMPUTED_VALUE"""),"3163-JUNSEGVC")</f>
        <v>3163-JUNSEGVC</v>
      </c>
      <c r="B1545" s="28" t="str">
        <f>IFERROR(__xludf.DUMMYFUNCTION("""COMPUTED_VALUE"""),"RDV Ministros | Horacio Giménez 11/6 Comuna 5")</f>
        <v>RDV Ministros | Horacio Giménez 11/6 Comuna 5</v>
      </c>
      <c r="C1545" s="29" t="str">
        <f>IFERROR(__xludf.DUMMYFUNCTION("""COMPUTED_VALUE"""),"Pieza")</f>
        <v>Pieza</v>
      </c>
      <c r="D1545" s="28"/>
      <c r="E1545" s="28"/>
      <c r="F1545" s="28"/>
    </row>
    <row r="1546">
      <c r="A1546" s="28" t="str">
        <f>IFERROR(__xludf.DUMMYFUNCTION("""COMPUTED_VALUE"""),"3149-JUNEDUGC")</f>
        <v>3149-JUNEDUGC</v>
      </c>
      <c r="B1546" s="28" t="str">
        <f>IFERROR(__xludf.DUMMYFUNCTION("""COMPUTED_VALUE"""),"INSCRIPCIONES ABIERTAS EN LA UDELACIUDAD")</f>
        <v>INSCRIPCIONES ABIERTAS EN LA UDELACIUDAD</v>
      </c>
      <c r="C1546" s="29" t="str">
        <f>IFERROR(__xludf.DUMMYFUNCTION("""COMPUTED_VALUE"""),"Pieza")</f>
        <v>Pieza</v>
      </c>
      <c r="D1546" s="28"/>
      <c r="E1546" s="28"/>
      <c r="F1546" s="28"/>
    </row>
    <row r="1547">
      <c r="A1547" s="28" t="str">
        <f>IFERROR(__xludf.DUMMYFUNCTION("""COMPUTED_VALUE"""),"3149-JUNEDUGC")</f>
        <v>3149-JUNEDUGC</v>
      </c>
      <c r="B1547" s="28" t="str">
        <f>IFERROR(__xludf.DUMMYFUNCTION("""COMPUTED_VALUE"""),"INSCRIPCIONES ABIERTAS EN LA UDELACIUDAD")</f>
        <v>INSCRIPCIONES ABIERTAS EN LA UDELACIUDAD</v>
      </c>
      <c r="C1547" s="29" t="str">
        <f>IFERROR(__xludf.DUMMYFUNCTION("""COMPUTED_VALUE"""),"Pieza")</f>
        <v>Pieza</v>
      </c>
      <c r="D1547" s="28"/>
      <c r="E1547" s="28"/>
      <c r="F1547" s="28"/>
    </row>
    <row r="1548">
      <c r="A1548" s="28" t="str">
        <f>IFERROR(__xludf.DUMMYFUNCTION("""COMPUTED_VALUE"""),"3149-JUNEDUGC")</f>
        <v>3149-JUNEDUGC</v>
      </c>
      <c r="B1548" s="28" t="str">
        <f>IFERROR(__xludf.DUMMYFUNCTION("""COMPUTED_VALUE"""),"INSCRIPCIONES ABIERTAS EN LA UDELACIUDAD")</f>
        <v>INSCRIPCIONES ABIERTAS EN LA UDELACIUDAD</v>
      </c>
      <c r="C1548" s="29" t="str">
        <f>IFERROR(__xludf.DUMMYFUNCTION("""COMPUTED_VALUE"""),"Pieza")</f>
        <v>Pieza</v>
      </c>
      <c r="D1548" s="28"/>
      <c r="E1548" s="28"/>
      <c r="F1548" s="28"/>
    </row>
    <row r="1549">
      <c r="A1549" s="28" t="str">
        <f>IFERROR(__xludf.DUMMYFUNCTION("""COMPUTED_VALUE"""),"3187-JUNSEGGJ")</f>
        <v>3187-JUNSEGGJ</v>
      </c>
      <c r="B1549" s="28" t="str">
        <f>IFERROR(__xludf.DUMMYFUNCTION("""COMPUTED_VALUE"""),"Seguridad | Operativo de saturación en el Barrio 1-11-14 | 11/6")</f>
        <v>Seguridad | Operativo de saturación en el Barrio 1-11-14 | 11/6</v>
      </c>
      <c r="C1549" s="29" t="str">
        <f>IFERROR(__xludf.DUMMYFUNCTION("""COMPUTED_VALUE"""),"Pieza")</f>
        <v>Pieza</v>
      </c>
      <c r="D1549" s="28"/>
      <c r="E1549" s="28"/>
      <c r="F1549" s="28"/>
    </row>
    <row r="1550">
      <c r="A1550" s="28" t="str">
        <f>IFERROR(__xludf.DUMMYFUNCTION("""COMPUTED_VALUE"""),"1964-SEPEPHGC")</f>
        <v>1964-SEPEPHGC</v>
      </c>
      <c r="B1550" s="28" t="str">
        <f>IFERROR(__xludf.DUMMYFUNCTION("""COMPUTED_VALUE"""),"MEPHU RECAMBIO TECNOLÓGICO M2")</f>
        <v>MEPHU RECAMBIO TECNOLÓGICO M2</v>
      </c>
      <c r="C1550" s="29" t="str">
        <f>IFERROR(__xludf.DUMMYFUNCTION("""COMPUTED_VALUE"""),"Pieza")</f>
        <v>Pieza</v>
      </c>
      <c r="D1550" s="28"/>
      <c r="E1550" s="28"/>
      <c r="F1550" s="28"/>
    </row>
    <row r="1551">
      <c r="A1551" s="28" t="str">
        <f>IFERROR(__xludf.DUMMYFUNCTION("""COMPUTED_VALUE"""),"1946-SEPEPHGC")</f>
        <v>1946-SEPEPHGC</v>
      </c>
      <c r="B1551" s="28" t="str">
        <f>IFERROR(__xludf.DUMMYFUNCTION("""COMPUTED_VALUE"""),"CAMPAÑA GCBA | MEPHU  | PLUVIALES")</f>
        <v>CAMPAÑA GCBA | MEPHU  | PLUVIALES</v>
      </c>
      <c r="C1551" s="29" t="str">
        <f>IFERROR(__xludf.DUMMYFUNCTION("""COMPUTED_VALUE"""),"Pieza")</f>
        <v>Pieza</v>
      </c>
      <c r="D1551" s="28"/>
      <c r="E1551" s="28"/>
      <c r="F1551" s="28"/>
    </row>
    <row r="1552">
      <c r="A1552" s="28" t="str">
        <f>IFERROR(__xludf.DUMMYFUNCTION("""COMPUTED_VALUE"""),"1946-SEPEPHGC")</f>
        <v>1946-SEPEPHGC</v>
      </c>
      <c r="B1552" s="28" t="str">
        <f>IFERROR(__xludf.DUMMYFUNCTION("""COMPUTED_VALUE"""),"CAMPAÑA GCBA | MEPHU  | PLUVIALES")</f>
        <v>CAMPAÑA GCBA | MEPHU  | PLUVIALES</v>
      </c>
      <c r="C1552" s="29" t="str">
        <f>IFERROR(__xludf.DUMMYFUNCTION("""COMPUTED_VALUE"""),"Pieza")</f>
        <v>Pieza</v>
      </c>
      <c r="D1552" s="28"/>
      <c r="E1552" s="28"/>
      <c r="F1552" s="28"/>
    </row>
    <row r="1553">
      <c r="A1553" s="28" t="str">
        <f>IFERROR(__xludf.DUMMYFUNCTION("""COMPUTED_VALUE"""),"1942-SEPEPHGC")</f>
        <v>1942-SEPEPHGC</v>
      </c>
      <c r="B1553" s="28" t="str">
        <f>IFERROR(__xludf.DUMMYFUNCTION("""COMPUTED_VALUE"""),"DGPLES | MEPHU  | REPARACIÓN DE VEREDAS")</f>
        <v>DGPLES | MEPHU  | REPARACIÓN DE VEREDAS</v>
      </c>
      <c r="C1553" s="29" t="str">
        <f>IFERROR(__xludf.DUMMYFUNCTION("""COMPUTED_VALUE"""),"Pieza")</f>
        <v>Pieza</v>
      </c>
      <c r="D1553" s="28"/>
      <c r="E1553" s="28"/>
      <c r="F1553" s="28"/>
    </row>
    <row r="1554">
      <c r="A1554" s="28" t="str">
        <f>IFERROR(__xludf.DUMMYFUNCTION("""COMPUTED_VALUE"""),"1942-SEPEPHGC")</f>
        <v>1942-SEPEPHGC</v>
      </c>
      <c r="B1554" s="28" t="str">
        <f>IFERROR(__xludf.DUMMYFUNCTION("""COMPUTED_VALUE"""),"DGPLES | MEPHU  | REPARACIÓN DE VEREDAS")</f>
        <v>DGPLES | MEPHU  | REPARACIÓN DE VEREDAS</v>
      </c>
      <c r="C1554" s="29" t="str">
        <f>IFERROR(__xludf.DUMMYFUNCTION("""COMPUTED_VALUE"""),"Pieza")</f>
        <v>Pieza</v>
      </c>
      <c r="D1554" s="28"/>
      <c r="E1554" s="28"/>
      <c r="F1554" s="28"/>
    </row>
    <row r="1555">
      <c r="A1555" s="28" t="str">
        <f>IFERROR(__xludf.DUMMYFUNCTION("""COMPUTED_VALUE"""),"1475-JUNDDHFO")</f>
        <v>1475-JUNDDHFO</v>
      </c>
      <c r="B1555" s="28" t="str">
        <f>IFERROR(__xludf.DUMMYFUNCTION("""COMPUTED_VALUE"""),"Formularios | Analista de Tráfico")</f>
        <v>Formularios | Analista de Tráfico</v>
      </c>
      <c r="C1555" s="29" t="str">
        <f>IFERROR(__xludf.DUMMYFUNCTION("""COMPUTED_VALUE"""),"Pieza")</f>
        <v>Pieza</v>
      </c>
      <c r="D1555" s="28"/>
      <c r="E1555" s="28"/>
      <c r="F1555" s="28"/>
    </row>
    <row r="1556">
      <c r="A1556" s="28" t="str">
        <f>IFERROR(__xludf.DUMMYFUNCTION("""COMPUTED_VALUE"""),"2994-MAYEPHGC")</f>
        <v>2994-MAYEPHGC</v>
      </c>
      <c r="B1556" s="28" t="str">
        <f>IFERROR(__xludf.DUMMYFUNCTION("""COMPUTED_VALUE"""),"Luminarias Peatonales - Post")</f>
        <v>Luminarias Peatonales - Post</v>
      </c>
      <c r="C1556" s="29" t="str">
        <f>IFERROR(__xludf.DUMMYFUNCTION("""COMPUTED_VALUE"""),"Pieza")</f>
        <v>Pieza</v>
      </c>
      <c r="D1556" s="28"/>
      <c r="E1556" s="28"/>
      <c r="F1556" s="28"/>
    </row>
    <row r="1557">
      <c r="A1557" s="28" t="str">
        <f>IFERROR(__xludf.DUMMYFUNCTION("""COMPUTED_VALUE"""),"2033-SEPEPHGC")</f>
        <v>2033-SEPEPHGC</v>
      </c>
      <c r="B1557" s="28" t="str">
        <f>IFERROR(__xludf.DUMMYFUNCTION("""COMPUTED_VALUE"""),"M2 PODA")</f>
        <v>M2 PODA</v>
      </c>
      <c r="C1557" s="29" t="str">
        <f>IFERROR(__xludf.DUMMYFUNCTION("""COMPUTED_VALUE"""),"Pieza")</f>
        <v>Pieza</v>
      </c>
      <c r="D1557" s="28"/>
      <c r="E1557" s="28"/>
      <c r="F1557" s="28"/>
    </row>
    <row r="1558">
      <c r="A1558" s="28" t="str">
        <f>IFERROR(__xludf.DUMMYFUNCTION("""COMPUTED_VALUE"""),"2033-SEPEPHGC")</f>
        <v>2033-SEPEPHGC</v>
      </c>
      <c r="B1558" s="28" t="str">
        <f>IFERROR(__xludf.DUMMYFUNCTION("""COMPUTED_VALUE"""),"M2 PODA")</f>
        <v>M2 PODA</v>
      </c>
      <c r="C1558" s="29" t="str">
        <f>IFERROR(__xludf.DUMMYFUNCTION("""COMPUTED_VALUE"""),"Pieza")</f>
        <v>Pieza</v>
      </c>
      <c r="D1558" s="28"/>
      <c r="E1558" s="28"/>
      <c r="F1558" s="28"/>
    </row>
    <row r="1559">
      <c r="A1559" s="28" t="str">
        <f>IFERROR(__xludf.DUMMYFUNCTION("""COMPUTED_VALUE"""),"3187-JUNSEGGJ")</f>
        <v>3187-JUNSEGGJ</v>
      </c>
      <c r="B1559" s="28" t="str">
        <f>IFERROR(__xludf.DUMMYFUNCTION("""COMPUTED_VALUE"""),"Seguridad | Operativo de saturación en el Barrio 1-11-14 | 11/6")</f>
        <v>Seguridad | Operativo de saturación en el Barrio 1-11-14 | 11/6</v>
      </c>
      <c r="C1559" s="29" t="str">
        <f>IFERROR(__xludf.DUMMYFUNCTION("""COMPUTED_VALUE"""),"Pieza")</f>
        <v>Pieza</v>
      </c>
      <c r="D1559" s="28"/>
      <c r="E1559" s="28"/>
      <c r="F1559" s="28"/>
    </row>
    <row r="1560">
      <c r="A1560" s="28" t="str">
        <f>IFERROR(__xludf.DUMMYFUNCTION("""COMPUTED_VALUE"""),"3162-JUNSEGVC")</f>
        <v>3162-JUNSEGVC</v>
      </c>
      <c r="B1560" s="28" t="str">
        <f>IFERROR(__xludf.DUMMYFUNCTION("""COMPUTED_VALUE"""),"RDV Ministros | Gabino Tapia 11/6 Comuna 4")</f>
        <v>RDV Ministros | Gabino Tapia 11/6 Comuna 4</v>
      </c>
      <c r="C1560" s="29" t="str">
        <f>IFERROR(__xludf.DUMMYFUNCTION("""COMPUTED_VALUE"""),"Pieza")</f>
        <v>Pieza</v>
      </c>
      <c r="D1560" s="28"/>
      <c r="E1560" s="28"/>
      <c r="F1560" s="28"/>
    </row>
    <row r="1561">
      <c r="A1561" s="28" t="str">
        <f>IFERROR(__xludf.DUMMYFUNCTION("""COMPUTED_VALUE"""),"3195-JUNSEGVC")</f>
        <v>3195-JUNSEGVC</v>
      </c>
      <c r="B1561" s="28" t="str">
        <f>IFERROR(__xludf.DUMMYFUNCTION("""COMPUTED_VALUE"""),"RDV Ministros | Gabino Tapia 18/6 - Comuna 11")</f>
        <v>RDV Ministros | Gabino Tapia 18/6 - Comuna 11</v>
      </c>
      <c r="C1561" s="29" t="str">
        <f>IFERROR(__xludf.DUMMYFUNCTION("""COMPUTED_VALUE"""),"Pieza")</f>
        <v>Pieza</v>
      </c>
      <c r="D1561" s="28"/>
      <c r="E1561" s="28"/>
      <c r="F1561" s="28"/>
    </row>
    <row r="1562">
      <c r="A1562" s="28" t="str">
        <f>IFERROR(__xludf.DUMMYFUNCTION("""COMPUTED_VALUE"""),"3201-JUNJDGAG")</f>
        <v>3201-JUNJDGAG</v>
      </c>
      <c r="B1562" s="28" t="str">
        <f>IFERROR(__xludf.DUMMYFUNCTION("""COMPUTED_VALUE"""),"RDV JM MATADEROS 18/6")</f>
        <v>RDV JM MATADEROS 18/6</v>
      </c>
      <c r="C1562" s="29" t="str">
        <f>IFERROR(__xludf.DUMMYFUNCTION("""COMPUTED_VALUE"""),"Pieza")</f>
        <v>Pieza</v>
      </c>
      <c r="D1562" s="28"/>
      <c r="E1562" s="28"/>
      <c r="F1562" s="28"/>
    </row>
    <row r="1563">
      <c r="A1563" s="28" t="str">
        <f>IFERROR(__xludf.DUMMYFUNCTION("""COMPUTED_VALUE"""),"3188-JUNEPHGC")</f>
        <v>3188-JUNEPHGC</v>
      </c>
      <c r="B1563" s="28" t="str">
        <f>IFERROR(__xludf.DUMMYFUNCTION("""COMPUTED_VALUE"""),"Obligaciones en materia de gestión y disposición de residuos")</f>
        <v>Obligaciones en materia de gestión y disposición de residuos</v>
      </c>
      <c r="C1563" s="29" t="str">
        <f>IFERROR(__xludf.DUMMYFUNCTION("""COMPUTED_VALUE"""),"Pieza")</f>
        <v>Pieza</v>
      </c>
      <c r="D1563" s="28"/>
      <c r="E1563" s="28"/>
      <c r="F1563" s="28"/>
    </row>
    <row r="1564">
      <c r="A1564" s="28" t="str">
        <f>IFERROR(__xludf.DUMMYFUNCTION("""COMPUTED_VALUE"""),"3176-JUNAMBGC")</f>
        <v>3176-JUNAMBGC</v>
      </c>
      <c r="B1564" s="28" t="str">
        <f>IFERROR(__xludf.DUMMYFUNCTION("""COMPUTED_VALUE"""),"Cobro de entrada a Ecoparque")</f>
        <v>Cobro de entrada a Ecoparque</v>
      </c>
      <c r="C1564" s="29" t="str">
        <f>IFERROR(__xludf.DUMMYFUNCTION("""COMPUTED_VALUE"""),"Pieza")</f>
        <v>Pieza</v>
      </c>
      <c r="D1564" s="28"/>
      <c r="E1564" s="28"/>
      <c r="F1564" s="28"/>
    </row>
    <row r="1565">
      <c r="A1565" s="28" t="str">
        <f>IFERROR(__xludf.DUMMYFUNCTION("""COMPUTED_VALUE"""),"3176-JUNAMBGC")</f>
        <v>3176-JUNAMBGC</v>
      </c>
      <c r="B1565" s="28" t="str">
        <f>IFERROR(__xludf.DUMMYFUNCTION("""COMPUTED_VALUE"""),"Cobro de entrada a Ecoparque")</f>
        <v>Cobro de entrada a Ecoparque</v>
      </c>
      <c r="C1565" s="29" t="str">
        <f>IFERROR(__xludf.DUMMYFUNCTION("""COMPUTED_VALUE"""),"Pieza")</f>
        <v>Pieza</v>
      </c>
      <c r="D1565" s="28"/>
      <c r="E1565" s="28"/>
      <c r="F1565" s="28"/>
    </row>
    <row r="1566">
      <c r="A1566" s="28" t="str">
        <f>IFERROR(__xludf.DUMMYFUNCTION("""COMPUTED_VALUE"""),"3170-JUNCULVC")</f>
        <v>3170-JUNCULVC</v>
      </c>
      <c r="B1566" s="28" t="str">
        <f>IFERROR(__xludf.DUMMYFUNCTION("""COMPUTED_VALUE"""),"RDV Ministros | Gabriela Ricardes 12/6 Comuna 2")</f>
        <v>RDV Ministros | Gabriela Ricardes 12/6 Comuna 2</v>
      </c>
      <c r="C1566" s="29" t="str">
        <f>IFERROR(__xludf.DUMMYFUNCTION("""COMPUTED_VALUE"""),"Pieza")</f>
        <v>Pieza</v>
      </c>
      <c r="D1566" s="28"/>
      <c r="E1566" s="28"/>
      <c r="F1566" s="28"/>
    </row>
    <row r="1567">
      <c r="A1567" s="28" t="str">
        <f>IFERROR(__xludf.DUMMYFUNCTION("""COMPUTED_VALUE"""),"3171-JUNAMBVC")</f>
        <v>3171-JUNAMBVC</v>
      </c>
      <c r="B1567" s="28" t="str">
        <f>IFERROR(__xludf.DUMMYFUNCTION("""COMPUTED_VALUE"""),"RDV Ministros | Clara Muzzio - 12/6 - Temática")</f>
        <v>RDV Ministros | Clara Muzzio - 12/6 - Temática</v>
      </c>
      <c r="C1567" s="29" t="str">
        <f>IFERROR(__xludf.DUMMYFUNCTION("""COMPUTED_VALUE"""),"Pieza")</f>
        <v>Pieza</v>
      </c>
      <c r="D1567" s="28"/>
      <c r="E1567" s="28"/>
      <c r="F1567" s="28"/>
    </row>
    <row r="1568">
      <c r="A1568" s="28" t="str">
        <f>IFERROR(__xludf.DUMMYFUNCTION("""COMPUTED_VALUE"""),"3175-JUNVINGC")</f>
        <v>3175-JUNVINGC</v>
      </c>
      <c r="B1568" s="28" t="str">
        <f>IFERROR(__xludf.DUMMYFUNCTION("""COMPUTED_VALUE"""),"Más servicios en tu barrio - 18/6 y 19/6 - Villa Luro")</f>
        <v>Más servicios en tu barrio - 18/6 y 19/6 - Villa Luro</v>
      </c>
      <c r="C1568" s="29" t="str">
        <f>IFERROR(__xludf.DUMMYFUNCTION("""COMPUTED_VALUE"""),"Pieza")</f>
        <v>Pieza</v>
      </c>
      <c r="D1568" s="28"/>
      <c r="E1568" s="28"/>
      <c r="F1568" s="28"/>
    </row>
    <row r="1569">
      <c r="A1569" s="28" t="str">
        <f>IFERROR(__xludf.DUMMYFUNCTION("""COMPUTED_VALUE"""),"3194-JUNSEGVC")</f>
        <v>3194-JUNSEGVC</v>
      </c>
      <c r="B1569" s="28" t="str">
        <f>IFERROR(__xludf.DUMMYFUNCTION("""COMPUTED_VALUE"""),"RDV Ministros | Ruth Landerreche 18/6 - Comuna 10")</f>
        <v>RDV Ministros | Ruth Landerreche 18/6 - Comuna 10</v>
      </c>
      <c r="C1569" s="29" t="str">
        <f>IFERROR(__xludf.DUMMYFUNCTION("""COMPUTED_VALUE"""),"Pieza")</f>
        <v>Pieza</v>
      </c>
      <c r="D1569" s="28"/>
      <c r="E1569" s="28"/>
      <c r="F1569" s="28"/>
    </row>
    <row r="1570">
      <c r="A1570" s="28" t="str">
        <f>IFERROR(__xludf.DUMMYFUNCTION("""COMPUTED_VALUE"""),"3192-JUNSEGVC")</f>
        <v>3192-JUNSEGVC</v>
      </c>
      <c r="B1570" s="28" t="str">
        <f>IFERROR(__xludf.DUMMYFUNCTION("""COMPUTED_VALUE"""),"RDV Ministros | Maximiliano Piñeiro 18/6 - Comuna 8")</f>
        <v>RDV Ministros | Maximiliano Piñeiro 18/6 - Comuna 8</v>
      </c>
      <c r="C1570" s="29" t="str">
        <f>IFERROR(__xludf.DUMMYFUNCTION("""COMPUTED_VALUE"""),"Pieza")</f>
        <v>Pieza</v>
      </c>
      <c r="D1570" s="28"/>
      <c r="E1570" s="28"/>
      <c r="F1570" s="28"/>
    </row>
    <row r="1571">
      <c r="A1571" s="28" t="str">
        <f>IFERROR(__xludf.DUMMYFUNCTION("""COMPUTED_VALUE"""),"3193-JUNSEGVC")</f>
        <v>3193-JUNSEGVC</v>
      </c>
      <c r="B1571" s="28" t="str">
        <f>IFERROR(__xludf.DUMMYFUNCTION("""COMPUTED_VALUE"""),"RDV Ministros | Horacio Giménez 18/6 - Comuna 9")</f>
        <v>RDV Ministros | Horacio Giménez 18/6 - Comuna 9</v>
      </c>
      <c r="C1571" s="29" t="str">
        <f>IFERROR(__xludf.DUMMYFUNCTION("""COMPUTED_VALUE"""),"Pieza")</f>
        <v>Pieza</v>
      </c>
      <c r="D1571" s="28"/>
      <c r="E1571" s="28"/>
      <c r="F1571" s="28"/>
    </row>
    <row r="1572">
      <c r="A1572" s="28" t="str">
        <f>IFERROR(__xludf.DUMMYFUNCTION("""COMPUTED_VALUE"""),"3178-JUNJDGAG")</f>
        <v>3178-JUNJDGAG</v>
      </c>
      <c r="B1572" s="28" t="str">
        <f>IFERROR(__xludf.DUMMYFUNCTION("""COMPUTED_VALUE""")," TE CUENTO BS AS JM | 16/6 EDUCACIÓN EJE OESTE")</f>
        <v> TE CUENTO BS AS JM | 16/6 EDUCACIÓN EJE OESTE</v>
      </c>
      <c r="C1572" s="29" t="str">
        <f>IFERROR(__xludf.DUMMYFUNCTION("""COMPUTED_VALUE"""),"Pieza")</f>
        <v>Pieza</v>
      </c>
      <c r="D1572" s="28"/>
      <c r="E1572" s="28"/>
      <c r="F1572" s="28"/>
    </row>
    <row r="1573">
      <c r="A1573" s="28" t="str">
        <f>IFERROR(__xludf.DUMMYFUNCTION("""COMPUTED_VALUE"""),"3189-JUNSALVC")</f>
        <v>3189-JUNSALVC</v>
      </c>
      <c r="B1573" s="28" t="str">
        <f>IFERROR(__xludf.DUMMYFUNCTION("""COMPUTED_VALUE"""),"RDV Ministros | Fernán Quirós - 16/6 - Comuna 15")</f>
        <v>RDV Ministros | Fernán Quirós - 16/6 - Comuna 15</v>
      </c>
      <c r="C1573" s="29" t="str">
        <f>IFERROR(__xludf.DUMMYFUNCTION("""COMPUTED_VALUE"""),"Pieza")</f>
        <v>Pieza</v>
      </c>
      <c r="D1573" s="28"/>
      <c r="E1573" s="28"/>
      <c r="F1573" s="28"/>
    </row>
    <row r="1574">
      <c r="A1574" s="28" t="str">
        <f>IFERROR(__xludf.DUMMYFUNCTION("""COMPUTED_VALUE"""),"3194-JUNSEGVC")</f>
        <v>3194-JUNSEGVC</v>
      </c>
      <c r="B1574" s="28" t="str">
        <f>IFERROR(__xludf.DUMMYFUNCTION("""COMPUTED_VALUE"""),"RDV Ministros | Ruth Landerreche 18/6 - Comuna 10")</f>
        <v>RDV Ministros | Ruth Landerreche 18/6 - Comuna 10</v>
      </c>
      <c r="C1574" s="29" t="str">
        <f>IFERROR(__xludf.DUMMYFUNCTION("""COMPUTED_VALUE"""),"Pieza")</f>
        <v>Pieza</v>
      </c>
      <c r="D1574" s="28"/>
      <c r="E1574" s="28"/>
      <c r="F1574" s="28"/>
    </row>
    <row r="1575">
      <c r="A1575" s="28" t="str">
        <f>IFERROR(__xludf.DUMMYFUNCTION("""COMPUTED_VALUE"""),"3016-MAYFESGC")</f>
        <v>3016-MAYFESGC</v>
      </c>
      <c r="B1575" s="28" t="str">
        <f>IFERROR(__xludf.DUMMYFUNCTION("""COMPUTED_VALUE"""),"La ciudad late mundial | Modo Hincha")</f>
        <v>La ciudad late mundial | Modo Hincha</v>
      </c>
      <c r="C1575" s="29" t="str">
        <f>IFERROR(__xludf.DUMMYFUNCTION("""COMPUTED_VALUE"""),"Pieza")</f>
        <v>Pieza</v>
      </c>
      <c r="D1575" s="28"/>
      <c r="E1575" s="28"/>
      <c r="F1575" s="28"/>
    </row>
    <row r="1576">
      <c r="A1576" s="28" t="str">
        <f>IFERROR(__xludf.DUMMYFUNCTION("""COMPUTED_VALUE"""),"3196-JUNINFVC")</f>
        <v>3196-JUNINFVC</v>
      </c>
      <c r="B1576" s="28" t="str">
        <f>IFERROR(__xludf.DUMMYFUNCTION("""COMPUTED_VALUE"""),"RDV Ministros | Pablo Bereciartua - 17/6 - Comuna 4")</f>
        <v>RDV Ministros | Pablo Bereciartua - 17/6 - Comuna 4</v>
      </c>
      <c r="C1576" s="29" t="str">
        <f>IFERROR(__xludf.DUMMYFUNCTION("""COMPUTED_VALUE"""),"Pieza")</f>
        <v>Pieza</v>
      </c>
      <c r="D1576" s="28"/>
      <c r="E1576" s="28"/>
      <c r="F1576" s="28"/>
    </row>
    <row r="1577">
      <c r="A1577" s="28" t="str">
        <f>IFERROR(__xludf.DUMMYFUNCTION("""COMPUTED_VALUE"""),"3091-MAYCULGC")</f>
        <v>3091-MAYCULGC</v>
      </c>
      <c r="B1577" s="28" t="str">
        <f>IFERROR(__xludf.DUMMYFUNCTION("""COMPUTED_VALUE"""),"Cultura | Reapertura del Palacio Ceci")</f>
        <v>Cultura | Reapertura del Palacio Ceci</v>
      </c>
      <c r="C1577" s="29" t="str">
        <f>IFERROR(__xludf.DUMMYFUNCTION("""COMPUTED_VALUE"""),"Pieza")</f>
        <v>Pieza</v>
      </c>
      <c r="D1577" s="28"/>
      <c r="E1577" s="28"/>
      <c r="F1577" s="28"/>
    </row>
    <row r="1578">
      <c r="A1578" s="28" t="str">
        <f>IFERROR(__xludf.DUMMYFUNCTION("""COMPUTED_VALUE"""),"3187-JUNSEGGJ")</f>
        <v>3187-JUNSEGGJ</v>
      </c>
      <c r="B1578" s="28" t="str">
        <f>IFERROR(__xludf.DUMMYFUNCTION("""COMPUTED_VALUE"""),"Seguridad | Operativo de saturación en el Barrio 1-11-14 | 11/6")</f>
        <v>Seguridad | Operativo de saturación en el Barrio 1-11-14 | 11/6</v>
      </c>
      <c r="C1578" s="29" t="str">
        <f>IFERROR(__xludf.DUMMYFUNCTION("""COMPUTED_VALUE"""),"Pieza")</f>
        <v>Pieza</v>
      </c>
      <c r="D1578" s="28"/>
      <c r="E1578" s="28"/>
      <c r="F1578" s="28"/>
    </row>
    <row r="1579">
      <c r="A1579" s="28" t="str">
        <f>IFERROR(__xludf.DUMMYFUNCTION("""COMPUTED_VALUE"""),"3187-JUNSEGGJ")</f>
        <v>3187-JUNSEGGJ</v>
      </c>
      <c r="B1579" s="28" t="str">
        <f>IFERROR(__xludf.DUMMYFUNCTION("""COMPUTED_VALUE"""),"Seguridad | Operativo de saturación en el Barrio 1-11-14 | 11/6")</f>
        <v>Seguridad | Operativo de saturación en el Barrio 1-11-14 | 11/6</v>
      </c>
      <c r="C1579" s="29" t="str">
        <f>IFERROR(__xludf.DUMMYFUNCTION("""COMPUTED_VALUE"""),"Pieza")</f>
        <v>Pieza</v>
      </c>
      <c r="D1579" s="28"/>
      <c r="E1579" s="28"/>
      <c r="F1579" s="28"/>
    </row>
    <row r="1580">
      <c r="A1580" s="28" t="str">
        <f>IFERROR(__xludf.DUMMYFUNCTION("""COMPUTED_VALUE"""),"3125-MAYPCCVC")</f>
        <v>3125-MAYPCCVC</v>
      </c>
      <c r="B1580" s="28" t="str">
        <f>IFERROR(__xludf.DUMMYFUNCTION("""COMPUTED_VALUE"""),"Semana del Vecino Participativo")</f>
        <v>Semana del Vecino Participativo</v>
      </c>
      <c r="C1580" s="29" t="str">
        <f>IFERROR(__xludf.DUMMYFUNCTION("""COMPUTED_VALUE"""),"Pieza")</f>
        <v>Pieza</v>
      </c>
      <c r="D1580" s="28"/>
      <c r="E1580" s="28"/>
      <c r="F1580" s="28"/>
    </row>
    <row r="1581">
      <c r="A1581" s="28" t="str">
        <f>IFERROR(__xludf.DUMMYFUNCTION("""COMPUTED_VALUE"""),"3194-JUNSEGVC")</f>
        <v>3194-JUNSEGVC</v>
      </c>
      <c r="B1581" s="28" t="str">
        <f>IFERROR(__xludf.DUMMYFUNCTION("""COMPUTED_VALUE"""),"RDV Ministros | Ruth Landerreche 18/6 - Comuna 10")</f>
        <v>RDV Ministros | Ruth Landerreche 18/6 - Comuna 10</v>
      </c>
      <c r="C1581" s="29" t="str">
        <f>IFERROR(__xludf.DUMMYFUNCTION("""COMPUTED_VALUE"""),"Pieza")</f>
        <v>Pieza</v>
      </c>
      <c r="D1581" s="28"/>
      <c r="E1581" s="28"/>
      <c r="F1581" s="28"/>
    </row>
    <row r="1582">
      <c r="A1582" s="28" t="str">
        <f>IFERROR(__xludf.DUMMYFUNCTION("""COMPUTED_VALUE"""),"3192-JUNSEGVC")</f>
        <v>3192-JUNSEGVC</v>
      </c>
      <c r="B1582" s="28" t="str">
        <f>IFERROR(__xludf.DUMMYFUNCTION("""COMPUTED_VALUE"""),"RDV Ministros | Maximiliano Piñeiro 18/6 - Comuna 8")</f>
        <v>RDV Ministros | Maximiliano Piñeiro 18/6 - Comuna 8</v>
      </c>
      <c r="C1582" s="29" t="str">
        <f>IFERROR(__xludf.DUMMYFUNCTION("""COMPUTED_VALUE"""),"Pieza")</f>
        <v>Pieza</v>
      </c>
      <c r="D1582" s="28"/>
      <c r="E1582" s="28"/>
      <c r="F1582" s="28"/>
    </row>
    <row r="1583">
      <c r="A1583" s="28" t="str">
        <f>IFERROR(__xludf.DUMMYFUNCTION("""COMPUTED_VALUE"""),"3161-JUNJDGGC")</f>
        <v>3161-JUNJDGGC</v>
      </c>
      <c r="B1583" s="28" t="str">
        <f>IFERROR(__xludf.DUMMYFUNCTION("""COMPUTED_VALUE"""),"Infraestructura | Cambio de sentido calle Zequeira")</f>
        <v>Infraestructura | Cambio de sentido calle Zequeira</v>
      </c>
      <c r="C1583" s="29" t="str">
        <f>IFERROR(__xludf.DUMMYFUNCTION("""COMPUTED_VALUE"""),"Pieza")</f>
        <v>Pieza</v>
      </c>
      <c r="D1583" s="28"/>
      <c r="E1583" s="28"/>
      <c r="F1583" s="28"/>
    </row>
    <row r="1584">
      <c r="A1584" s="28" t="str">
        <f>IFERROR(__xludf.DUMMYFUNCTION("""COMPUTED_VALUE"""),"3230-JUNINFGJ")</f>
        <v>3230-JUNINFGJ</v>
      </c>
      <c r="B1584" s="28" t="str">
        <f>IFERROR(__xludf.DUMMYFUNCTION("""COMPUTED_VALUE"""),"Infraestructura I PBN Álvarez Thomas: inicio de obra")</f>
        <v>Infraestructura I PBN Álvarez Thomas: inicio de obra</v>
      </c>
      <c r="C1584" s="29" t="str">
        <f>IFERROR(__xludf.DUMMYFUNCTION("""COMPUTED_VALUE"""),"Pieza")</f>
        <v>Pieza</v>
      </c>
      <c r="D1584" s="28"/>
      <c r="E1584" s="28"/>
      <c r="F1584" s="28"/>
    </row>
    <row r="1585">
      <c r="A1585" s="28" t="str">
        <f>IFERROR(__xludf.DUMMYFUNCTION("""COMPUTED_VALUE"""),"3186-JUNFESGC")</f>
        <v>3186-JUNFESGC</v>
      </c>
      <c r="B1585" s="28" t="str">
        <f>IFERROR(__xludf.DUMMYFUNCTION("""COMPUTED_VALUE"""),"Sorteo Entradas Linda | Life chronicles")</f>
        <v>Sorteo Entradas Linda | Life chronicles</v>
      </c>
      <c r="C1585" s="29" t="str">
        <f>IFERROR(__xludf.DUMMYFUNCTION("""COMPUTED_VALUE"""),"Pieza")</f>
        <v>Pieza</v>
      </c>
      <c r="D1585" s="28"/>
      <c r="E1585" s="28"/>
      <c r="F1585" s="28"/>
    </row>
    <row r="1586">
      <c r="A1586" s="28" t="str">
        <f>IFERROR(__xludf.DUMMYFUNCTION("""COMPUTED_VALUE"""),"3193-JUNSEGVC")</f>
        <v>3193-JUNSEGVC</v>
      </c>
      <c r="B1586" s="28" t="str">
        <f>IFERROR(__xludf.DUMMYFUNCTION("""COMPUTED_VALUE"""),"RDV Ministros | Horacio Giménez 18/6 - Comuna 9")</f>
        <v>RDV Ministros | Horacio Giménez 18/6 - Comuna 9</v>
      </c>
      <c r="C1586" s="29" t="str">
        <f>IFERROR(__xludf.DUMMYFUNCTION("""COMPUTED_VALUE"""),"Pieza")</f>
        <v>Pieza</v>
      </c>
      <c r="D1586" s="28"/>
      <c r="E1586" s="28"/>
      <c r="F1586" s="28"/>
    </row>
    <row r="1587">
      <c r="A1587" s="28" t="str">
        <f>IFERROR(__xludf.DUMMYFUNCTION("""COMPUTED_VALUE"""),"3184-JUNEDUGC")</f>
        <v>3184-JUNEDUGC</v>
      </c>
      <c r="B1587" s="28" t="str">
        <f>IFERROR(__xludf.DUMMYFUNCTION("""COMPUTED_VALUE"""),"Educación I Obras en escuelas")</f>
        <v>Educación I Obras en escuelas</v>
      </c>
      <c r="C1587" s="29" t="str">
        <f>IFERROR(__xludf.DUMMYFUNCTION("""COMPUTED_VALUE"""),"Pieza")</f>
        <v>Pieza</v>
      </c>
      <c r="D1587" s="28"/>
      <c r="E1587" s="28"/>
      <c r="F1587" s="28"/>
    </row>
    <row r="1588">
      <c r="A1588" s="28" t="str">
        <f>IFERROR(__xludf.DUMMYFUNCTION("""COMPUTED_VALUE"""),"3203-JUNTURGC")</f>
        <v>3203-JUNTURGC</v>
      </c>
      <c r="B1588" s="28" t="str">
        <f>IFERROR(__xludf.DUMMYFUNCTION("""COMPUTED_VALUE"""),"Público Final | Vacaciones de invierno")</f>
        <v>Público Final | Vacaciones de invierno</v>
      </c>
      <c r="C1588" s="29" t="str">
        <f>IFERROR(__xludf.DUMMYFUNCTION("""COMPUTED_VALUE"""),"Pieza")</f>
        <v>Pieza</v>
      </c>
      <c r="D1588" s="28"/>
      <c r="E1588" s="28"/>
      <c r="F1588" s="28"/>
    </row>
    <row r="1589">
      <c r="A1589" s="28" t="str">
        <f>IFERROR(__xludf.DUMMYFUNCTION("""COMPUTED_VALUE"""),"2425-DICEPHGC")</f>
        <v>2425-DICEPHGC</v>
      </c>
      <c r="B1589" s="28" t="str">
        <f>IFERROR(__xludf.DUMMYFUNCTION("""COMPUTED_VALUE"""),"Parques Iluminados  M2")</f>
        <v>Parques Iluminados  M2</v>
      </c>
      <c r="C1589" s="29" t="str">
        <f>IFERROR(__xludf.DUMMYFUNCTION("""COMPUTED_VALUE"""),"Pieza")</f>
        <v>Pieza</v>
      </c>
      <c r="D1589" s="28"/>
      <c r="E1589" s="28"/>
      <c r="F1589" s="28"/>
    </row>
    <row r="1590">
      <c r="A1590" s="28" t="str">
        <f>IFERROR(__xludf.DUMMYFUNCTION("""COMPUTED_VALUE"""),"2425-DICEPHGC")</f>
        <v>2425-DICEPHGC</v>
      </c>
      <c r="B1590" s="28" t="str">
        <f>IFERROR(__xludf.DUMMYFUNCTION("""COMPUTED_VALUE"""),"Parques Iluminados  M2")</f>
        <v>Parques Iluminados  M2</v>
      </c>
      <c r="C1590" s="29" t="str">
        <f>IFERROR(__xludf.DUMMYFUNCTION("""COMPUTED_VALUE"""),"Pieza")</f>
        <v>Pieza</v>
      </c>
      <c r="D1590" s="28"/>
      <c r="E1590" s="28"/>
      <c r="F1590" s="28"/>
    </row>
    <row r="1591">
      <c r="A1591" s="28" t="str">
        <f>IFERROR(__xludf.DUMMYFUNCTION("""COMPUTED_VALUE"""),"3156-JUNJDGAG")</f>
        <v>3156-JUNJDGAG</v>
      </c>
      <c r="B1591" s="28" t="str">
        <f>IFERROR(__xludf.DUMMYFUNCTION("""COMPUTED_VALUE"""),"RDV JM | BOEDO | 12/06")</f>
        <v>RDV JM | BOEDO | 12/06</v>
      </c>
      <c r="C1591" s="29" t="str">
        <f>IFERROR(__xludf.DUMMYFUNCTION("""COMPUTED_VALUE"""),"Pieza")</f>
        <v>Pieza</v>
      </c>
      <c r="D1591" s="28"/>
      <c r="E1591" s="28"/>
      <c r="F1591" s="28"/>
    </row>
    <row r="1592">
      <c r="A1592" s="28" t="str">
        <f>IFERROR(__xludf.DUMMYFUNCTION("""COMPUTED_VALUE"""),"3156-JUNJDGAG")</f>
        <v>3156-JUNJDGAG</v>
      </c>
      <c r="B1592" s="28" t="str">
        <f>IFERROR(__xludf.DUMMYFUNCTION("""COMPUTED_VALUE"""),"RDV JM | BOEDO | 12/06")</f>
        <v>RDV JM | BOEDO | 12/06</v>
      </c>
      <c r="C1592" s="29" t="str">
        <f>IFERROR(__xludf.DUMMYFUNCTION("""COMPUTED_VALUE"""),"Pieza")</f>
        <v>Pieza</v>
      </c>
      <c r="D1592" s="28"/>
      <c r="E1592" s="28"/>
      <c r="F1592" s="28"/>
    </row>
    <row r="1593">
      <c r="A1593" s="28" t="str">
        <f>IFERROR(__xludf.DUMMYFUNCTION("""COMPUTED_VALUE"""),"3195-JUNSEGVC")</f>
        <v>3195-JUNSEGVC</v>
      </c>
      <c r="B1593" s="28" t="str">
        <f>IFERROR(__xludf.DUMMYFUNCTION("""COMPUTED_VALUE"""),"RDV Ministros | Gabino Tapia 18/6 - Comuna 11")</f>
        <v>RDV Ministros | Gabino Tapia 18/6 - Comuna 11</v>
      </c>
      <c r="C1593" s="29" t="str">
        <f>IFERROR(__xludf.DUMMYFUNCTION("""COMPUTED_VALUE"""),"Pieza")</f>
        <v>Pieza</v>
      </c>
      <c r="D1593" s="28"/>
      <c r="E1593" s="28"/>
      <c r="F1593" s="28"/>
    </row>
    <row r="1594">
      <c r="A1594" s="28" t="str">
        <f>IFERROR(__xludf.DUMMYFUNCTION("""COMPUTED_VALUE"""),"3201-JUNJDGAG")</f>
        <v>3201-JUNJDGAG</v>
      </c>
      <c r="B1594" s="28" t="str">
        <f>IFERROR(__xludf.DUMMYFUNCTION("""COMPUTED_VALUE"""),"RDV JM MATADEROS 18/6")</f>
        <v>RDV JM MATADEROS 18/6</v>
      </c>
      <c r="C1594" s="29" t="str">
        <f>IFERROR(__xludf.DUMMYFUNCTION("""COMPUTED_VALUE"""),"Pieza")</f>
        <v>Pieza</v>
      </c>
      <c r="D1594" s="28"/>
      <c r="E1594" s="28"/>
      <c r="F1594" s="28"/>
    </row>
    <row r="1595">
      <c r="A1595" s="28" t="str">
        <f>IFERROR(__xludf.DUMMYFUNCTION("""COMPUTED_VALUE"""),"3166-JUNAMBGC")</f>
        <v>3166-JUNAMBGC</v>
      </c>
      <c r="B1595" s="28" t="str">
        <f>IFERROR(__xludf.DUMMYFUNCTION("""COMPUTED_VALUE"""),"Banco de herramientas Junio")</f>
        <v>Banco de herramientas Junio</v>
      </c>
      <c r="C1595" s="29" t="str">
        <f>IFERROR(__xludf.DUMMYFUNCTION("""COMPUTED_VALUE"""),"Pieza")</f>
        <v>Pieza</v>
      </c>
      <c r="D1595" s="28"/>
      <c r="E1595" s="28"/>
      <c r="F1595" s="28"/>
    </row>
    <row r="1596">
      <c r="A1596" s="28" t="str">
        <f>IFERROR(__xludf.DUMMYFUNCTION("""COMPUTED_VALUE"""),"3214-JUNAMBVC")</f>
        <v>3214-JUNAMBVC</v>
      </c>
      <c r="B1596" s="28" t="str">
        <f>IFERROR(__xludf.DUMMYFUNCTION("""COMPUTED_VALUE"""),"CLARA MUZZIO 19/6 PALERMO")</f>
        <v>CLARA MUZZIO 19/6 PALERMO</v>
      </c>
      <c r="C1596" s="29" t="str">
        <f>IFERROR(__xludf.DUMMYFUNCTION("""COMPUTED_VALUE"""),"Pieza")</f>
        <v>Pieza</v>
      </c>
      <c r="D1596" s="28"/>
      <c r="E1596" s="28"/>
      <c r="F1596" s="28"/>
    </row>
    <row r="1597">
      <c r="A1597" s="28" t="str">
        <f>IFERROR(__xludf.DUMMYFUNCTION("""COMPUTED_VALUE"""),"3212-JUNPCCVC")</f>
        <v>3212-JUNPCCVC</v>
      </c>
      <c r="B1597" s="28" t="str">
        <f>IFERROR(__xludf.DUMMYFUNCTION("""COMPUTED_VALUE"""),"Reunión de Co - Creación | PBN Lorca")</f>
        <v>Reunión de Co - Creación | PBN Lorca</v>
      </c>
      <c r="C1597" s="29" t="str">
        <f>IFERROR(__xludf.DUMMYFUNCTION("""COMPUTED_VALUE"""),"Pieza")</f>
        <v>Pieza</v>
      </c>
      <c r="D1597" s="28"/>
      <c r="E1597" s="28"/>
      <c r="F1597" s="28"/>
    </row>
    <row r="1598">
      <c r="A1598" s="28" t="str">
        <f>IFERROR(__xludf.DUMMYFUNCTION("""COMPUTED_VALUE"""),"3044-MAYDUDGC")</f>
        <v>3044-MAYDUDGC</v>
      </c>
      <c r="B1598" s="28" t="str">
        <f>IFERROR(__xludf.DUMMYFUNCTION("""COMPUTED_VALUE"""),"BA Capital Mundial del deporte")</f>
        <v>BA Capital Mundial del deporte</v>
      </c>
      <c r="C1598" s="29" t="str">
        <f>IFERROR(__xludf.DUMMYFUNCTION("""COMPUTED_VALUE"""),"Pieza")</f>
        <v>Pieza</v>
      </c>
      <c r="D1598" s="28"/>
      <c r="E1598" s="28"/>
      <c r="F1598" s="28"/>
    </row>
    <row r="1599">
      <c r="A1599" s="28" t="str">
        <f>IFERROR(__xludf.DUMMYFUNCTION("""COMPUTED_VALUE"""),"3169-JUNPCCVC")</f>
        <v>3169-JUNPCCVC</v>
      </c>
      <c r="B1599" s="28" t="str">
        <f>IFERROR(__xludf.DUMMYFUNCTION("""COMPUTED_VALUE"""),"Ordenamiento de entorno - Barracas ")</f>
        <v>Ordenamiento de entorno - Barracas </v>
      </c>
      <c r="C1599" s="29" t="str">
        <f>IFERROR(__xludf.DUMMYFUNCTION("""COMPUTED_VALUE"""),"Pieza")</f>
        <v>Pieza</v>
      </c>
      <c r="D1599" s="28"/>
      <c r="E1599" s="28"/>
      <c r="F1599" s="28"/>
    </row>
    <row r="1600">
      <c r="A1600" s="28" t="str">
        <f>IFERROR(__xludf.DUMMYFUNCTION("""COMPUTED_VALUE"""),"3196-JUNINFVC")</f>
        <v>3196-JUNINFVC</v>
      </c>
      <c r="B1600" s="28" t="str">
        <f>IFERROR(__xludf.DUMMYFUNCTION("""COMPUTED_VALUE"""),"RDV Ministros | Pablo Bereciartua - 17/6 - Comuna 4")</f>
        <v>RDV Ministros | Pablo Bereciartua - 17/6 - Comuna 4</v>
      </c>
      <c r="C1600" s="29" t="str">
        <f>IFERROR(__xludf.DUMMYFUNCTION("""COMPUTED_VALUE"""),"Pieza")</f>
        <v>Pieza</v>
      </c>
      <c r="D1600" s="28"/>
      <c r="E1600" s="28"/>
      <c r="F1600" s="28"/>
    </row>
    <row r="1601">
      <c r="A1601" s="28" t="str">
        <f>IFERROR(__xludf.DUMMYFUNCTION("""COMPUTED_VALUE"""),"3146-JUNEDUGC")</f>
        <v>3146-JUNEDUGC</v>
      </c>
      <c r="B1601" s="28" t="str">
        <f>IFERROR(__xludf.DUMMYFUNCTION("""COMPUTED_VALUE"""),"Inscripción - TUMO chacarita")</f>
        <v>Inscripción - TUMO chacarita</v>
      </c>
      <c r="C1601" s="29" t="str">
        <f>IFERROR(__xludf.DUMMYFUNCTION("""COMPUTED_VALUE"""),"Pieza")</f>
        <v>Pieza</v>
      </c>
      <c r="D1601" s="28"/>
      <c r="E1601" s="28"/>
      <c r="F1601" s="28"/>
    </row>
    <row r="1602">
      <c r="A1602" s="28" t="str">
        <f>IFERROR(__xludf.DUMMYFUNCTION("""COMPUTED_VALUE"""),"3223-JUNEDUVC")</f>
        <v>3223-JUNEDUVC</v>
      </c>
      <c r="B1602" s="28" t="str">
        <f>IFERROR(__xludf.DUMMYFUNCTION("""COMPUTED_VALUE"""),"MERCEDES MIGUEL 23/6 COMUNA 13")</f>
        <v>MERCEDES MIGUEL 23/6 COMUNA 13</v>
      </c>
      <c r="C1602" s="29" t="str">
        <f>IFERROR(__xludf.DUMMYFUNCTION("""COMPUTED_VALUE"""),"Pieza")</f>
        <v>Pieza</v>
      </c>
      <c r="D1602" s="28"/>
      <c r="E1602" s="28"/>
      <c r="F1602" s="28"/>
    </row>
    <row r="1603">
      <c r="A1603" s="28" t="str">
        <f>IFERROR(__xludf.DUMMYFUNCTION("""COMPUTED_VALUE"""),"3189-JUNSALVC")</f>
        <v>3189-JUNSALVC</v>
      </c>
      <c r="B1603" s="28" t="str">
        <f>IFERROR(__xludf.DUMMYFUNCTION("""COMPUTED_VALUE"""),"RDV Ministros | Fernán Quirós - 16/6 - Comuna 15")</f>
        <v>RDV Ministros | Fernán Quirós - 16/6 - Comuna 15</v>
      </c>
      <c r="C1603" s="29" t="str">
        <f>IFERROR(__xludf.DUMMYFUNCTION("""COMPUTED_VALUE"""),"Pieza")</f>
        <v>Pieza</v>
      </c>
      <c r="D1603" s="28"/>
      <c r="E1603" s="28"/>
      <c r="F1603" s="28"/>
    </row>
    <row r="1604">
      <c r="A1604" s="28" t="str">
        <f>IFERROR(__xludf.DUMMYFUNCTION("""COMPUTED_VALUE"""),"3144-JUNSALGC")</f>
        <v>3144-JUNSALGC</v>
      </c>
      <c r="B1604" s="28" t="str">
        <f>IFERROR(__xludf.DUMMYFUNCTION("""COMPUTED_VALUE"""),"Monóxido de Carbono - 2026")</f>
        <v>Monóxido de Carbono - 2026</v>
      </c>
      <c r="C1604" s="29" t="str">
        <f>IFERROR(__xludf.DUMMYFUNCTION("""COMPUTED_VALUE"""),"Pieza")</f>
        <v>Pieza</v>
      </c>
      <c r="D1604" s="28"/>
      <c r="E1604" s="28"/>
      <c r="F1604" s="28"/>
    </row>
    <row r="1605">
      <c r="A1605" s="28" t="str">
        <f>IFERROR(__xludf.DUMMYFUNCTION("""COMPUTED_VALUE"""),"3222-JUNEPHVC")</f>
        <v>3222-JUNEPHVC</v>
      </c>
      <c r="B1605" s="28" t="str">
        <f>IFERROR(__xludf.DUMMYFUNCTION("""COMPUTED_VALUE"""),"IGNACIO BAISTROCCHI 22/6 COMUNA 9")</f>
        <v>IGNACIO BAISTROCCHI 22/6 COMUNA 9</v>
      </c>
      <c r="C1605" s="29" t="str">
        <f>IFERROR(__xludf.DUMMYFUNCTION("""COMPUTED_VALUE"""),"Pieza")</f>
        <v>Pieza</v>
      </c>
      <c r="D1605" s="28"/>
      <c r="E1605" s="28"/>
      <c r="F1605" s="28"/>
    </row>
    <row r="1606">
      <c r="A1606" s="28" t="str">
        <f>IFERROR(__xludf.DUMMYFUNCTION("""COMPUTED_VALUE"""),"1921-SEPAMBGC")</f>
        <v>1921-SEPAMBGC</v>
      </c>
      <c r="B1606" s="28" t="str">
        <f>IFERROR(__xludf.DUMMYFUNCTION("""COMPUTED_VALUE"""),"Vacunación Antirrabica Animales")</f>
        <v>Vacunación Antirrabica Animales</v>
      </c>
      <c r="C1606" s="29" t="str">
        <f>IFERROR(__xludf.DUMMYFUNCTION("""COMPUTED_VALUE"""),"Pieza")</f>
        <v>Pieza</v>
      </c>
      <c r="D1606" s="28"/>
      <c r="E1606" s="28"/>
      <c r="F1606" s="28"/>
    </row>
    <row r="1607">
      <c r="A1607" s="28" t="str">
        <f>IFERROR(__xludf.DUMMYFUNCTION("""COMPUTED_VALUE"""),"3224-JUNDECVC")</f>
        <v>3224-JUNDECVC</v>
      </c>
      <c r="B1607" s="28" t="str">
        <f>IFERROR(__xludf.DUMMYFUNCTION("""COMPUTED_VALUE"""),"LOMBARDI-TAPIA-PIRAGINE 24/6 EJE OESTE")</f>
        <v>LOMBARDI-TAPIA-PIRAGINE 24/6 EJE OESTE</v>
      </c>
      <c r="C1607" s="29" t="str">
        <f>IFERROR(__xludf.DUMMYFUNCTION("""COMPUTED_VALUE"""),"Pieza")</f>
        <v>Pieza</v>
      </c>
      <c r="D1607" s="28"/>
      <c r="E1607" s="28"/>
      <c r="F1607" s="28"/>
    </row>
    <row r="1608">
      <c r="A1608" s="28" t="str">
        <f>IFERROR(__xludf.DUMMYFUNCTION("""COMPUTED_VALUE"""),"3204-JUNVINGC")</f>
        <v>3204-JUNVINGC</v>
      </c>
      <c r="B1608" s="28" t="str">
        <f>IFERROR(__xludf.DUMMYFUNCTION("""COMPUTED_VALUE"""),"Más servicios en tu barrio - 22/6 - Villa Pueyrredón")</f>
        <v>Más servicios en tu barrio - 22/6 - Villa Pueyrredón</v>
      </c>
      <c r="C1608" s="29" t="str">
        <f>IFERROR(__xludf.DUMMYFUNCTION("""COMPUTED_VALUE"""),"Pieza")</f>
        <v>Pieza</v>
      </c>
      <c r="D1608" s="28"/>
      <c r="E1608" s="28"/>
      <c r="F1608" s="28"/>
    </row>
    <row r="1609">
      <c r="A1609" s="28" t="str">
        <f>IFERROR(__xludf.DUMMYFUNCTION("""COMPUTED_VALUE"""),"3205-JUNVINGC")</f>
        <v>3205-JUNVINGC</v>
      </c>
      <c r="B1609" s="28" t="str">
        <f>IFERROR(__xludf.DUMMYFUNCTION("""COMPUTED_VALUE"""),"Más servicios en tu barrio -23/6 - Mataderos")</f>
        <v>Más servicios en tu barrio -23/6 - Mataderos</v>
      </c>
      <c r="C1609" s="29" t="str">
        <f>IFERROR(__xludf.DUMMYFUNCTION("""COMPUTED_VALUE"""),"Pieza")</f>
        <v>Pieza</v>
      </c>
      <c r="D1609" s="28"/>
      <c r="E1609" s="28"/>
      <c r="F1609" s="28"/>
    </row>
    <row r="1610">
      <c r="A1610" s="28" t="str">
        <f>IFERROR(__xludf.DUMMYFUNCTION("""COMPUTED_VALUE"""),"3206-JUNVINGC")</f>
        <v>3206-JUNVINGC</v>
      </c>
      <c r="B1610" s="28" t="str">
        <f>IFERROR(__xludf.DUMMYFUNCTION("""COMPUTED_VALUE"""),"Más servicios en tu barrio - 24/6 - Belgrano")</f>
        <v>Más servicios en tu barrio - 24/6 - Belgrano</v>
      </c>
      <c r="C1610" s="29" t="str">
        <f>IFERROR(__xludf.DUMMYFUNCTION("""COMPUTED_VALUE"""),"Pieza")</f>
        <v>Pieza</v>
      </c>
      <c r="D1610" s="28"/>
      <c r="E1610" s="28"/>
      <c r="F1610" s="28"/>
    </row>
    <row r="1611">
      <c r="A1611" s="28" t="str">
        <f>IFERROR(__xludf.DUMMYFUNCTION("""COMPUTED_VALUE"""),"3194-JUNSEGVC")</f>
        <v>3194-JUNSEGVC</v>
      </c>
      <c r="B1611" s="28" t="str">
        <f>IFERROR(__xludf.DUMMYFUNCTION("""COMPUTED_VALUE"""),"RDV Ministros | Ruth Landerreche 18/6 - Comuna 10")</f>
        <v>RDV Ministros | Ruth Landerreche 18/6 - Comuna 10</v>
      </c>
      <c r="C1611" s="29" t="str">
        <f>IFERROR(__xludf.DUMMYFUNCTION("""COMPUTED_VALUE"""),"Pieza")</f>
        <v>Pieza</v>
      </c>
      <c r="D1611" s="28"/>
      <c r="E1611" s="28"/>
      <c r="F1611" s="28"/>
    </row>
    <row r="1612">
      <c r="A1612" s="28" t="str">
        <f>IFERROR(__xludf.DUMMYFUNCTION("""COMPUTED_VALUE"""),"3192-JUNSEGVC")</f>
        <v>3192-JUNSEGVC</v>
      </c>
      <c r="B1612" s="28" t="str">
        <f>IFERROR(__xludf.DUMMYFUNCTION("""COMPUTED_VALUE"""),"RDV Ministros | Maximiliano Piñeiro 18/6 - Comuna 8")</f>
        <v>RDV Ministros | Maximiliano Piñeiro 18/6 - Comuna 8</v>
      </c>
      <c r="C1612" s="29" t="str">
        <f>IFERROR(__xludf.DUMMYFUNCTION("""COMPUTED_VALUE"""),"Pieza")</f>
        <v>Pieza</v>
      </c>
      <c r="D1612" s="28"/>
      <c r="E1612" s="28"/>
      <c r="F1612" s="28"/>
    </row>
    <row r="1613">
      <c r="A1613" s="28" t="str">
        <f>IFERROR(__xludf.DUMMYFUNCTION("""COMPUTED_VALUE"""),"3230-JUNINFGJ")</f>
        <v>3230-JUNINFGJ</v>
      </c>
      <c r="B1613" s="28" t="str">
        <f>IFERROR(__xludf.DUMMYFUNCTION("""COMPUTED_VALUE"""),"Infraestructura I PBN Álvarez Thomas: inicio de obra")</f>
        <v>Infraestructura I PBN Álvarez Thomas: inicio de obra</v>
      </c>
      <c r="C1613" s="29" t="str">
        <f>IFERROR(__xludf.DUMMYFUNCTION("""COMPUTED_VALUE"""),"Pieza")</f>
        <v>Pieza</v>
      </c>
      <c r="D1613" s="28"/>
      <c r="E1613" s="28"/>
      <c r="F1613" s="28"/>
    </row>
    <row r="1614">
      <c r="A1614" s="28" t="str">
        <f>IFERROR(__xludf.DUMMYFUNCTION("""COMPUTED_VALUE"""),"3236-JUNINFGC")</f>
        <v>3236-JUNINFGC</v>
      </c>
      <c r="B1614" s="28" t="str">
        <f>IFERROR(__xludf.DUMMYFUNCTION("""COMPUTED_VALUE"""),"CORTES Y DESVÍOS POR PASO A NIVEL CHIVILCOY (VILLA DEVOTO)")</f>
        <v>CORTES Y DESVÍOS POR PASO A NIVEL CHIVILCOY (VILLA DEVOTO)</v>
      </c>
      <c r="C1614" s="29" t="str">
        <f>IFERROR(__xludf.DUMMYFUNCTION("""COMPUTED_VALUE"""),"Pieza")</f>
        <v>Pieza</v>
      </c>
      <c r="D1614" s="28"/>
      <c r="E1614" s="28"/>
      <c r="F1614" s="28"/>
    </row>
    <row r="1615">
      <c r="A1615" s="28" t="str">
        <f>IFERROR(__xludf.DUMMYFUNCTION("""COMPUTED_VALUE"""),"3235-JUNINFGC")</f>
        <v>3235-JUNINFGC</v>
      </c>
      <c r="B1615" s="28" t="str">
        <f>IFERROR(__xludf.DUMMYFUNCTION("""COMPUTED_VALUE"""),"CORTES Y DESVÍOS AU DELLEPIANE POR MONTAJE DE PASARELA")</f>
        <v>CORTES Y DESVÍOS AU DELLEPIANE POR MONTAJE DE PASARELA</v>
      </c>
      <c r="C1615" s="29" t="str">
        <f>IFERROR(__xludf.DUMMYFUNCTION("""COMPUTED_VALUE"""),"Pieza")</f>
        <v>Pieza</v>
      </c>
      <c r="D1615" s="28"/>
      <c r="E1615" s="28"/>
      <c r="F1615" s="28"/>
    </row>
    <row r="1616">
      <c r="A1616" s="28" t="str">
        <f>IFERROR(__xludf.DUMMYFUNCTION("""COMPUTED_VALUE"""),"3193-JUNSEGVC")</f>
        <v>3193-JUNSEGVC</v>
      </c>
      <c r="B1616" s="28" t="str">
        <f>IFERROR(__xludf.DUMMYFUNCTION("""COMPUTED_VALUE"""),"RDV Ministros | Horacio Giménez 18/6 - Comuna 9")</f>
        <v>RDV Ministros | Horacio Giménez 18/6 - Comuna 9</v>
      </c>
      <c r="C1616" s="29" t="str">
        <f>IFERROR(__xludf.DUMMYFUNCTION("""COMPUTED_VALUE"""),"Pieza")</f>
        <v>Pieza</v>
      </c>
      <c r="D1616" s="28"/>
      <c r="E1616" s="28"/>
      <c r="F1616" s="28"/>
    </row>
    <row r="1617">
      <c r="A1617" s="28" t="str">
        <f>IFERROR(__xludf.DUMMYFUNCTION("""COMPUTED_VALUE"""),"3146-JUNEDUGC")</f>
        <v>3146-JUNEDUGC</v>
      </c>
      <c r="B1617" s="28" t="str">
        <f>IFERROR(__xludf.DUMMYFUNCTION("""COMPUTED_VALUE"""),"Inscripción - TUMO chacarita")</f>
        <v>Inscripción - TUMO chacarita</v>
      </c>
      <c r="C1617" s="29" t="str">
        <f>IFERROR(__xludf.DUMMYFUNCTION("""COMPUTED_VALUE"""),"Pieza")</f>
        <v>Pieza</v>
      </c>
      <c r="D1617" s="28"/>
      <c r="E1617" s="28"/>
      <c r="F1617" s="28"/>
    </row>
    <row r="1618">
      <c r="A1618" s="28" t="str">
        <f>IFERROR(__xludf.DUMMYFUNCTION("""COMPUTED_VALUE"""),"3215-JUNSEGGJ")</f>
        <v>3215-JUNSEGGJ</v>
      </c>
      <c r="B1618" s="28" t="str">
        <f>IFERROR(__xludf.DUMMYFUNCTION("""COMPUTED_VALUE"""),"Desalojo de casa tomada en PP: Atuel 255")</f>
        <v>Desalojo de casa tomada en PP: Atuel 255</v>
      </c>
      <c r="C1618" s="29" t="str">
        <f>IFERROR(__xludf.DUMMYFUNCTION("""COMPUTED_VALUE"""),"Pieza")</f>
        <v>Pieza</v>
      </c>
      <c r="D1618" s="28"/>
      <c r="E1618" s="28"/>
      <c r="F1618" s="28"/>
    </row>
    <row r="1619">
      <c r="A1619" s="28" t="str">
        <f>IFERROR(__xludf.DUMMYFUNCTION("""COMPUTED_VALUE"""),"3144-JUNSALGC")</f>
        <v>3144-JUNSALGC</v>
      </c>
      <c r="B1619" s="28" t="str">
        <f>IFERROR(__xludf.DUMMYFUNCTION("""COMPUTED_VALUE"""),"Monóxido de Carbono - 2026")</f>
        <v>Monóxido de Carbono - 2026</v>
      </c>
      <c r="C1619" s="29" t="str">
        <f>IFERROR(__xludf.DUMMYFUNCTION("""COMPUTED_VALUE"""),"Pieza")</f>
        <v>Pieza</v>
      </c>
      <c r="D1619" s="28"/>
      <c r="E1619" s="28"/>
      <c r="F1619" s="28"/>
    </row>
    <row r="1620">
      <c r="A1620" s="28" t="str">
        <f>IFERROR(__xludf.DUMMYFUNCTION("""COMPUTED_VALUE"""),"3144-JUNSALGC")</f>
        <v>3144-JUNSALGC</v>
      </c>
      <c r="B1620" s="28" t="str">
        <f>IFERROR(__xludf.DUMMYFUNCTION("""COMPUTED_VALUE"""),"Monóxido de Carbono - 2026")</f>
        <v>Monóxido de Carbono - 2026</v>
      </c>
      <c r="C1620" s="29" t="str">
        <f>IFERROR(__xludf.DUMMYFUNCTION("""COMPUTED_VALUE"""),"Pieza")</f>
        <v>Pieza</v>
      </c>
      <c r="D1620" s="28"/>
      <c r="E1620" s="28"/>
      <c r="F1620" s="28"/>
    </row>
    <row r="1621">
      <c r="A1621" s="28" t="str">
        <f>IFERROR(__xludf.DUMMYFUNCTION("""COMPUTED_VALUE"""),"3030-MAYTURGC")</f>
        <v>3030-MAYTURGC</v>
      </c>
      <c r="B1621" s="28" t="str">
        <f>IFERROR(__xludf.DUMMYFUNCTION("""COMPUTED_VALUE"""),"Informe mensual Observatorio Turismo 15/5")</f>
        <v>Informe mensual Observatorio Turismo 15/5</v>
      </c>
      <c r="C1621" s="29" t="str">
        <f>IFERROR(__xludf.DUMMYFUNCTION("""COMPUTED_VALUE"""),"Pieza")</f>
        <v>Pieza</v>
      </c>
      <c r="D1621" s="28"/>
      <c r="E1621" s="28"/>
      <c r="F1621" s="28"/>
    </row>
    <row r="1622">
      <c r="A1622" s="28" t="str">
        <f>IFERROR(__xludf.DUMMYFUNCTION("""COMPUTED_VALUE"""),"1964-SEPEPHGC")</f>
        <v>1964-SEPEPHGC</v>
      </c>
      <c r="B1622" s="28" t="str">
        <f>IFERROR(__xludf.DUMMYFUNCTION("""COMPUTED_VALUE"""),"MEPHU RECAMBIO TECNOLÓGICO M2")</f>
        <v>MEPHU RECAMBIO TECNOLÓGICO M2</v>
      </c>
      <c r="C1622" s="29" t="str">
        <f>IFERROR(__xludf.DUMMYFUNCTION("""COMPUTED_VALUE"""),"Pieza")</f>
        <v>Pieza</v>
      </c>
      <c r="D1622" s="28"/>
      <c r="E1622" s="28"/>
      <c r="F1622" s="28"/>
    </row>
    <row r="1623">
      <c r="A1623" s="28" t="str">
        <f>IFERROR(__xludf.DUMMYFUNCTION("""COMPUTED_VALUE"""),"1946-SEPEPHGC")</f>
        <v>1946-SEPEPHGC</v>
      </c>
      <c r="B1623" s="28" t="str">
        <f>IFERROR(__xludf.DUMMYFUNCTION("""COMPUTED_VALUE"""),"CAMPAÑA GCBA | MEPHU  | PLUVIALES")</f>
        <v>CAMPAÑA GCBA | MEPHU  | PLUVIALES</v>
      </c>
      <c r="C1623" s="29" t="str">
        <f>IFERROR(__xludf.DUMMYFUNCTION("""COMPUTED_VALUE"""),"Pieza")</f>
        <v>Pieza</v>
      </c>
      <c r="D1623" s="28"/>
      <c r="E1623" s="28"/>
      <c r="F1623" s="28"/>
    </row>
    <row r="1624">
      <c r="A1624" s="28" t="str">
        <f>IFERROR(__xludf.DUMMYFUNCTION("""COMPUTED_VALUE"""),"1946-SEPEPHGC")</f>
        <v>1946-SEPEPHGC</v>
      </c>
      <c r="B1624" s="28" t="str">
        <f>IFERROR(__xludf.DUMMYFUNCTION("""COMPUTED_VALUE"""),"CAMPAÑA GCBA | MEPHU  | PLUVIALES")</f>
        <v>CAMPAÑA GCBA | MEPHU  | PLUVIALES</v>
      </c>
      <c r="C1624" s="29" t="str">
        <f>IFERROR(__xludf.DUMMYFUNCTION("""COMPUTED_VALUE"""),"Pieza")</f>
        <v>Pieza</v>
      </c>
      <c r="D1624" s="28"/>
      <c r="E1624" s="28"/>
      <c r="F1624" s="28"/>
    </row>
    <row r="1625">
      <c r="A1625" s="28" t="str">
        <f>IFERROR(__xludf.DUMMYFUNCTION("""COMPUTED_VALUE"""),"1942-SEPEPHGC")</f>
        <v>1942-SEPEPHGC</v>
      </c>
      <c r="B1625" s="28" t="str">
        <f>IFERROR(__xludf.DUMMYFUNCTION("""COMPUTED_VALUE"""),"DGPLES | MEPHU  | REPARACIÓN DE VEREDAS")</f>
        <v>DGPLES | MEPHU  | REPARACIÓN DE VEREDAS</v>
      </c>
      <c r="C1625" s="29" t="str">
        <f>IFERROR(__xludf.DUMMYFUNCTION("""COMPUTED_VALUE"""),"Pieza")</f>
        <v>Pieza</v>
      </c>
      <c r="D1625" s="28"/>
      <c r="E1625" s="28"/>
      <c r="F1625" s="28"/>
    </row>
    <row r="1626">
      <c r="A1626" s="28" t="str">
        <f>IFERROR(__xludf.DUMMYFUNCTION("""COMPUTED_VALUE"""),"1942-SEPEPHGC")</f>
        <v>1942-SEPEPHGC</v>
      </c>
      <c r="B1626" s="28" t="str">
        <f>IFERROR(__xludf.DUMMYFUNCTION("""COMPUTED_VALUE"""),"DGPLES | MEPHU  | REPARACIÓN DE VEREDAS")</f>
        <v>DGPLES | MEPHU  | REPARACIÓN DE VEREDAS</v>
      </c>
      <c r="C1626" s="29" t="str">
        <f>IFERROR(__xludf.DUMMYFUNCTION("""COMPUTED_VALUE"""),"Pieza")</f>
        <v>Pieza</v>
      </c>
      <c r="D1626" s="28"/>
      <c r="E1626" s="28"/>
      <c r="F1626" s="28"/>
    </row>
    <row r="1627">
      <c r="A1627" s="28" t="str">
        <f>IFERROR(__xludf.DUMMYFUNCTION("""COMPUTED_VALUE"""),"1943-SEPEPHGC")</f>
        <v>1943-SEPEPHGC</v>
      </c>
      <c r="B1627" s="28" t="str">
        <f>IFERROR(__xludf.DUMMYFUNCTION("""COMPUTED_VALUE"""),"DGPLES | MEPHU  | READOQUINADO")</f>
        <v>DGPLES | MEPHU  | READOQUINADO</v>
      </c>
      <c r="C1627" s="29" t="str">
        <f>IFERROR(__xludf.DUMMYFUNCTION("""COMPUTED_VALUE"""),"Pieza")</f>
        <v>Pieza</v>
      </c>
      <c r="D1627" s="28"/>
      <c r="E1627" s="28"/>
      <c r="F1627" s="28"/>
    </row>
    <row r="1628">
      <c r="A1628" s="28" t="str">
        <f>IFERROR(__xludf.DUMMYFUNCTION("""COMPUTED_VALUE"""),"2994-MAYEPHGC")</f>
        <v>2994-MAYEPHGC</v>
      </c>
      <c r="B1628" s="28" t="str">
        <f>IFERROR(__xludf.DUMMYFUNCTION("""COMPUTED_VALUE"""),"Luminarias Peatonales - Post")</f>
        <v>Luminarias Peatonales - Post</v>
      </c>
      <c r="C1628" s="29" t="str">
        <f>IFERROR(__xludf.DUMMYFUNCTION("""COMPUTED_VALUE"""),"Pieza")</f>
        <v>Pieza</v>
      </c>
      <c r="D1628" s="28"/>
      <c r="E1628" s="28"/>
      <c r="F1628" s="28"/>
    </row>
    <row r="1629">
      <c r="A1629" s="28" t="str">
        <f>IFERROR(__xludf.DUMMYFUNCTION("""COMPUTED_VALUE"""),"3190-JUNAMBVC")</f>
        <v>3190-JUNAMBVC</v>
      </c>
      <c r="B1629" s="28" t="str">
        <f>IFERROR(__xludf.DUMMYFUNCTION("""COMPUTED_VALUE"""),"RDV Ministros | Clara Muzzio - 17/6 - Colegiales")</f>
        <v>RDV Ministros | Clara Muzzio - 17/6 - Colegiales</v>
      </c>
      <c r="C1629" s="29" t="str">
        <f>IFERROR(__xludf.DUMMYFUNCTION("""COMPUTED_VALUE"""),"Pieza")</f>
        <v>Pieza</v>
      </c>
      <c r="D1629" s="28"/>
      <c r="E1629" s="28"/>
      <c r="F1629" s="28"/>
    </row>
    <row r="1630">
      <c r="A1630" s="28" t="str">
        <f>IFERROR(__xludf.DUMMYFUNCTION("""COMPUTED_VALUE"""),"3197-JUNJUSGC")</f>
        <v>3197-JUNJUSGC</v>
      </c>
      <c r="B1630" s="28" t="str">
        <f>IFERROR(__xludf.DUMMYFUNCTION("""COMPUTED_VALUE"""),"INSCRIPCIONES SERVICIO PENITENCIARIO")</f>
        <v>INSCRIPCIONES SERVICIO PENITENCIARIO</v>
      </c>
      <c r="C1630" s="29" t="str">
        <f>IFERROR(__xludf.DUMMYFUNCTION("""COMPUTED_VALUE"""),"Pieza")</f>
        <v>Pieza</v>
      </c>
      <c r="D1630" s="28"/>
      <c r="E1630" s="28"/>
      <c r="F1630" s="28"/>
    </row>
    <row r="1631">
      <c r="A1631" s="28" t="str">
        <f>IFERROR(__xludf.DUMMYFUNCTION("""COMPUTED_VALUE"""),"3232-JUNDHHVC")</f>
        <v>3232-JUNDHHVC</v>
      </c>
      <c r="B1631" s="28" t="str">
        <f>IFERROR(__xludf.DUMMYFUNCTION("""COMPUTED_VALUE"""),"RDV MINISTROS | GABRIEL MRAIDA 24/6 COMUNA 1")</f>
        <v>RDV MINISTROS | GABRIEL MRAIDA 24/6 COMUNA 1</v>
      </c>
      <c r="C1631" s="29" t="str">
        <f>IFERROR(__xludf.DUMMYFUNCTION("""COMPUTED_VALUE"""),"Pieza")</f>
        <v>Pieza</v>
      </c>
      <c r="D1631" s="28"/>
      <c r="E1631" s="28"/>
      <c r="F1631" s="28"/>
    </row>
    <row r="1632">
      <c r="A1632" s="28" t="str">
        <f>IFERROR(__xludf.DUMMYFUNCTION("""COMPUTED_VALUE"""),"2033-SEPEPHGC")</f>
        <v>2033-SEPEPHGC</v>
      </c>
      <c r="B1632" s="28" t="str">
        <f>IFERROR(__xludf.DUMMYFUNCTION("""COMPUTED_VALUE"""),"M2 PODA")</f>
        <v>M2 PODA</v>
      </c>
      <c r="C1632" s="29" t="str">
        <f>IFERROR(__xludf.DUMMYFUNCTION("""COMPUTED_VALUE"""),"Pieza")</f>
        <v>Pieza</v>
      </c>
      <c r="D1632" s="28"/>
      <c r="E1632" s="28"/>
      <c r="F1632" s="28"/>
    </row>
    <row r="1633">
      <c r="A1633" s="28" t="str">
        <f>IFERROR(__xludf.DUMMYFUNCTION("""COMPUTED_VALUE"""),"2033-SEPEPHGC")</f>
        <v>2033-SEPEPHGC</v>
      </c>
      <c r="B1633" s="28" t="str">
        <f>IFERROR(__xludf.DUMMYFUNCTION("""COMPUTED_VALUE"""),"M2 PODA")</f>
        <v>M2 PODA</v>
      </c>
      <c r="C1633" s="29" t="str">
        <f>IFERROR(__xludf.DUMMYFUNCTION("""COMPUTED_VALUE"""),"Pieza")</f>
        <v>Pieza</v>
      </c>
      <c r="D1633" s="28"/>
      <c r="E1633" s="28"/>
      <c r="F1633" s="28"/>
    </row>
    <row r="1634">
      <c r="A1634" s="28" t="str">
        <f>IFERROR(__xludf.DUMMYFUNCTION("""COMPUTED_VALUE"""),"3147-JUNINFGC")</f>
        <v>3147-JUNINFGC</v>
      </c>
      <c r="B1634" s="28" t="str">
        <f>IFERROR(__xludf.DUMMYFUNCTION("""COMPUTED_VALUE"""),"PBN Lorca: apertura al tránsito | 12/6 Habilitacion primer tramo")</f>
        <v>PBN Lorca: apertura al tránsito | 12/6 Habilitacion primer tramo</v>
      </c>
      <c r="C1634" s="29" t="str">
        <f>IFERROR(__xludf.DUMMYFUNCTION("""COMPUTED_VALUE"""),"Pieza")</f>
        <v>Pieza</v>
      </c>
      <c r="D1634" s="28"/>
      <c r="E1634" s="28"/>
      <c r="F1634" s="28"/>
    </row>
    <row r="1635">
      <c r="A1635" s="28" t="str">
        <f>IFERROR(__xludf.DUMMYFUNCTION("""COMPUTED_VALUE"""),"3216-JUNJDGAG")</f>
        <v>3216-JUNJDGAG</v>
      </c>
      <c r="B1635" s="28" t="str">
        <f>IFERROR(__xludf.DUMMYFUNCTION("""COMPUTED_VALUE"""),"RDV JM | TE CUENTO | CIUDAD ATRACTIVA EJE SUR 25/6")</f>
        <v>RDV JM | TE CUENTO | CIUDAD ATRACTIVA EJE SUR 25/6</v>
      </c>
      <c r="C1635" s="29" t="str">
        <f>IFERROR(__xludf.DUMMYFUNCTION("""COMPUTED_VALUE"""),"Pieza")</f>
        <v>Pieza</v>
      </c>
      <c r="D1635" s="28"/>
      <c r="E1635" s="28"/>
      <c r="F1635" s="28"/>
    </row>
    <row r="1636">
      <c r="A1636" s="28" t="str">
        <f>IFERROR(__xludf.DUMMYFUNCTION("""COMPUTED_VALUE"""),"3216-JUNJDGAG")</f>
        <v>3216-JUNJDGAG</v>
      </c>
      <c r="B1636" s="28" t="str">
        <f>IFERROR(__xludf.DUMMYFUNCTION("""COMPUTED_VALUE"""),"RDV JM | TE CUENTO | CIUDAD ATRACTIVA EJE SUR 25/6")</f>
        <v>RDV JM | TE CUENTO | CIUDAD ATRACTIVA EJE SUR 25/6</v>
      </c>
      <c r="C1636" s="29" t="str">
        <f>IFERROR(__xludf.DUMMYFUNCTION("""COMPUTED_VALUE"""),"Pieza")</f>
        <v>Pieza</v>
      </c>
      <c r="D1636" s="28"/>
      <c r="E1636" s="28"/>
      <c r="F1636" s="28"/>
    </row>
    <row r="1637">
      <c r="A1637" s="28" t="str">
        <f>IFERROR(__xludf.DUMMYFUNCTION("""COMPUTED_VALUE"""),"3215-JUNSEGGJ")</f>
        <v>3215-JUNSEGGJ</v>
      </c>
      <c r="B1637" s="28" t="str">
        <f>IFERROR(__xludf.DUMMYFUNCTION("""COMPUTED_VALUE"""),"Desalojo de casa tomada en PP: Atuel 255")</f>
        <v>Desalojo de casa tomada en PP: Atuel 255</v>
      </c>
      <c r="C1637" s="29" t="str">
        <f>IFERROR(__xludf.DUMMYFUNCTION("""COMPUTED_VALUE"""),"Pieza")</f>
        <v>Pieza</v>
      </c>
      <c r="D1637" s="28"/>
      <c r="E1637" s="28"/>
      <c r="F1637" s="28"/>
    </row>
    <row r="1638">
      <c r="A1638" s="28" t="str">
        <f>IFERROR(__xludf.DUMMYFUNCTION("""COMPUTED_VALUE"""),"3222-JUNEPHVC")</f>
        <v>3222-JUNEPHVC</v>
      </c>
      <c r="B1638" s="28" t="str">
        <f>IFERROR(__xludf.DUMMYFUNCTION("""COMPUTED_VALUE"""),"IGNACIO BAISTROCCHI 22/6 COMUNA 9")</f>
        <v>IGNACIO BAISTROCCHI 22/6 COMUNA 9</v>
      </c>
      <c r="C1638" s="29" t="str">
        <f>IFERROR(__xludf.DUMMYFUNCTION("""COMPUTED_VALUE"""),"Pieza")</f>
        <v>Pieza</v>
      </c>
      <c r="D1638" s="28"/>
      <c r="E1638" s="28"/>
      <c r="F1638" s="28"/>
    </row>
    <row r="1639">
      <c r="A1639" s="28" t="str">
        <f>IFERROR(__xludf.DUMMYFUNCTION("""COMPUTED_VALUE"""),"3207-JUNVINGC")</f>
        <v>3207-JUNVINGC</v>
      </c>
      <c r="B1639" s="28" t="str">
        <f>IFERROR(__xludf.DUMMYFUNCTION("""COMPUTED_VALUE"""),"Más servicios en tu barrio - 25/6 - Villa Soldati")</f>
        <v>Más servicios en tu barrio - 25/6 - Villa Soldati</v>
      </c>
      <c r="C1639" s="29" t="str">
        <f>IFERROR(__xludf.DUMMYFUNCTION("""COMPUTED_VALUE"""),"Pieza")</f>
        <v>Pieza</v>
      </c>
      <c r="D1639" s="28"/>
      <c r="E1639" s="28"/>
      <c r="F1639" s="28"/>
    </row>
    <row r="1640">
      <c r="A1640" s="28" t="str">
        <f>IFERROR(__xludf.DUMMYFUNCTION("""COMPUTED_VALUE"""),"3208-JUNVINGC")</f>
        <v>3208-JUNVINGC</v>
      </c>
      <c r="B1640" s="28" t="str">
        <f>IFERROR(__xludf.DUMMYFUNCTION("""COMPUTED_VALUE"""),"Más servicios en tu barrio - 26/6 - Constitución")</f>
        <v>Más servicios en tu barrio - 26/6 - Constitución</v>
      </c>
      <c r="C1640" s="29" t="str">
        <f>IFERROR(__xludf.DUMMYFUNCTION("""COMPUTED_VALUE"""),"Pieza")</f>
        <v>Pieza</v>
      </c>
      <c r="D1640" s="28"/>
      <c r="E1640" s="28"/>
      <c r="F1640" s="28"/>
    </row>
    <row r="1641">
      <c r="A1641" s="28" t="str">
        <f>IFERROR(__xludf.DUMMYFUNCTION("""COMPUTED_VALUE"""),"3209-JUNVINGC")</f>
        <v>3209-JUNVINGC</v>
      </c>
      <c r="B1641" s="28" t="str">
        <f>IFERROR(__xludf.DUMMYFUNCTION("""COMPUTED_VALUE"""),"Más servicios en tu barrio - 27/6 - Villa Lugano (Barrio Popular)")</f>
        <v>Más servicios en tu barrio - 27/6 - Villa Lugano (Barrio Popular)</v>
      </c>
      <c r="C1641" s="29" t="str">
        <f>IFERROR(__xludf.DUMMYFUNCTION("""COMPUTED_VALUE"""),"Pieza")</f>
        <v>Pieza</v>
      </c>
      <c r="D1641" s="28"/>
      <c r="E1641" s="28"/>
      <c r="F1641" s="28"/>
    </row>
    <row r="1642">
      <c r="A1642" s="28" t="str">
        <f>IFERROR(__xludf.DUMMYFUNCTION("""COMPUTED_VALUE"""),"3240-JUNSEGVC")</f>
        <v>3240-JUNSEGVC</v>
      </c>
      <c r="B1642" s="28" t="str">
        <f>IFERROR(__xludf.DUMMYFUNCTION("""COMPUTED_VALUE"""),"RDV Ministros | Ruth Landerrece 25/6 Comuna 13")</f>
        <v>RDV Ministros | Ruth Landerrece 25/6 Comuna 13</v>
      </c>
      <c r="C1642" s="29" t="str">
        <f>IFERROR(__xludf.DUMMYFUNCTION("""COMPUTED_VALUE"""),"Pieza")</f>
        <v>Pieza</v>
      </c>
      <c r="D1642" s="28"/>
      <c r="E1642" s="28"/>
      <c r="F1642" s="28"/>
    </row>
    <row r="1643">
      <c r="A1643" s="28" t="str">
        <f>IFERROR(__xludf.DUMMYFUNCTION("""COMPUTED_VALUE"""),"2482-ENEINFGC")</f>
        <v>2482-ENEINFGC</v>
      </c>
      <c r="B1643" s="28" t="str">
        <f>IFERROR(__xludf.DUMMYFUNCTION("""COMPUTED_VALUE"""),"VTV - Recordatorio de turno 2026")</f>
        <v>VTV - Recordatorio de turno 2026</v>
      </c>
      <c r="C1643" s="29" t="str">
        <f>IFERROR(__xludf.DUMMYFUNCTION("""COMPUTED_VALUE"""),"Pieza")</f>
        <v>Pieza</v>
      </c>
      <c r="D1643" s="28"/>
      <c r="E1643" s="28"/>
      <c r="F1643" s="28"/>
    </row>
    <row r="1644">
      <c r="A1644" s="28" t="str">
        <f>IFERROR(__xludf.DUMMYFUNCTION("""COMPUTED_VALUE"""),"2482-ENEINFGC")</f>
        <v>2482-ENEINFGC</v>
      </c>
      <c r="B1644" s="28" t="str">
        <f>IFERROR(__xludf.DUMMYFUNCTION("""COMPUTED_VALUE"""),"VTV - Recordatorio de turno 2026")</f>
        <v>VTV - Recordatorio de turno 2026</v>
      </c>
      <c r="C1644" s="29" t="str">
        <f>IFERROR(__xludf.DUMMYFUNCTION("""COMPUTED_VALUE"""),"Pieza")</f>
        <v>Pieza</v>
      </c>
      <c r="D1644" s="28"/>
      <c r="E1644" s="28"/>
      <c r="F1644" s="28"/>
    </row>
    <row r="1645">
      <c r="A1645" s="28" t="str">
        <f>IFERROR(__xludf.DUMMYFUNCTION("""COMPUTED_VALUE"""),"3016-MAYFESGC")</f>
        <v>3016-MAYFESGC</v>
      </c>
      <c r="B1645" s="28" t="str">
        <f>IFERROR(__xludf.DUMMYFUNCTION("""COMPUTED_VALUE"""),"La ciudad late mundial | Modo Hincha")</f>
        <v>La ciudad late mundial | Modo Hincha</v>
      </c>
      <c r="C1645" s="29" t="str">
        <f>IFERROR(__xludf.DUMMYFUNCTION("""COMPUTED_VALUE"""),"Pieza")</f>
        <v>Pieza</v>
      </c>
      <c r="D1645" s="28"/>
      <c r="E1645" s="28"/>
      <c r="F1645" s="28"/>
    </row>
    <row r="1646">
      <c r="A1646" s="28" t="str">
        <f>IFERROR(__xludf.DUMMYFUNCTION("""COMPUTED_VALUE"""),"3239-JUNSEGVC")</f>
        <v>3239-JUNSEGVC</v>
      </c>
      <c r="B1646" s="28" t="str">
        <f>IFERROR(__xludf.DUMMYFUNCTION("""COMPUTED_VALUE"""),"RDV Ministros | Maximiliano Piñeiro 25/6 Comuna 12")</f>
        <v>RDV Ministros | Maximiliano Piñeiro 25/6 Comuna 12</v>
      </c>
      <c r="C1646" s="29" t="str">
        <f>IFERROR(__xludf.DUMMYFUNCTION("""COMPUTED_VALUE"""),"Pieza")</f>
        <v>Pieza</v>
      </c>
      <c r="D1646" s="28"/>
      <c r="E1646" s="28"/>
      <c r="F1646" s="28"/>
    </row>
    <row r="1647">
      <c r="A1647" s="28" t="str">
        <f>IFERROR(__xludf.DUMMYFUNCTION("""COMPUTED_VALUE"""),"3216-JUNJDGAG")</f>
        <v>3216-JUNJDGAG</v>
      </c>
      <c r="B1647" s="28" t="str">
        <f>IFERROR(__xludf.DUMMYFUNCTION("""COMPUTED_VALUE"""),"RDV JM | TE CUENTO | CIUDAD ATRACTIVA EJE SUR 25/6")</f>
        <v>RDV JM | TE CUENTO | CIUDAD ATRACTIVA EJE SUR 25/6</v>
      </c>
      <c r="C1647" s="29" t="str">
        <f>IFERROR(__xludf.DUMMYFUNCTION("""COMPUTED_VALUE"""),"Pieza")</f>
        <v>Pieza</v>
      </c>
      <c r="D1647" s="28"/>
      <c r="E1647" s="28"/>
      <c r="F1647" s="28"/>
    </row>
    <row r="1648">
      <c r="A1648" s="28" t="str">
        <f>IFERROR(__xludf.DUMMYFUNCTION("""COMPUTED_VALUE"""),"3216-JUNJDGAG")</f>
        <v>3216-JUNJDGAG</v>
      </c>
      <c r="B1648" s="28" t="str">
        <f>IFERROR(__xludf.DUMMYFUNCTION("""COMPUTED_VALUE"""),"RDV JM | TE CUENTO | CIUDAD ATRACTIVA EJE SUR 25/6")</f>
        <v>RDV JM | TE CUENTO | CIUDAD ATRACTIVA EJE SUR 25/6</v>
      </c>
      <c r="C1648" s="29" t="str">
        <f>IFERROR(__xludf.DUMMYFUNCTION("""COMPUTED_VALUE"""),"Pieza")</f>
        <v>Pieza</v>
      </c>
      <c r="D1648" s="28"/>
      <c r="E1648" s="28"/>
      <c r="F1648" s="28"/>
    </row>
    <row r="1649">
      <c r="A1649" s="28" t="str">
        <f>IFERROR(__xludf.DUMMYFUNCTION("""COMPUTED_VALUE"""),"3186-JUNFESGC")</f>
        <v>3186-JUNFESGC</v>
      </c>
      <c r="B1649" s="28" t="str">
        <f>IFERROR(__xludf.DUMMYFUNCTION("""COMPUTED_VALUE"""),"Sorteo Entradas Linda | Life chronicles")</f>
        <v>Sorteo Entradas Linda | Life chronicles</v>
      </c>
      <c r="C1649" s="29" t="str">
        <f>IFERROR(__xludf.DUMMYFUNCTION("""COMPUTED_VALUE"""),"Pieza")</f>
        <v>Pieza</v>
      </c>
      <c r="D1649" s="28"/>
      <c r="E1649" s="28"/>
      <c r="F1649" s="28"/>
    </row>
    <row r="1650">
      <c r="A1650" s="28" t="str">
        <f>IFERROR(__xludf.DUMMYFUNCTION("""COMPUTED_VALUE"""),"3186-JUNFESGC")</f>
        <v>3186-JUNFESGC</v>
      </c>
      <c r="B1650" s="28" t="str">
        <f>IFERROR(__xludf.DUMMYFUNCTION("""COMPUTED_VALUE"""),"Sorteo Entradas Linda | Life chronicles")</f>
        <v>Sorteo Entradas Linda | Life chronicles</v>
      </c>
      <c r="C1650" s="29" t="str">
        <f>IFERROR(__xludf.DUMMYFUNCTION("""COMPUTED_VALUE"""),"Pieza")</f>
        <v>Pieza</v>
      </c>
      <c r="D1650" s="28"/>
      <c r="E1650" s="28"/>
      <c r="F1650" s="28"/>
    </row>
    <row r="1651">
      <c r="A1651" s="28" t="str">
        <f>IFERROR(__xludf.DUMMYFUNCTION("""COMPUTED_VALUE"""),"3186-JUNFESGC")</f>
        <v>3186-JUNFESGC</v>
      </c>
      <c r="B1651" s="28" t="str">
        <f>IFERROR(__xludf.DUMMYFUNCTION("""COMPUTED_VALUE"""),"Sorteo Entradas Linda | Life chronicles")</f>
        <v>Sorteo Entradas Linda | Life chronicles</v>
      </c>
      <c r="C1651" s="29" t="str">
        <f>IFERROR(__xludf.DUMMYFUNCTION("""COMPUTED_VALUE"""),"Pieza")</f>
        <v>Pieza</v>
      </c>
      <c r="D1651" s="28"/>
      <c r="E1651" s="28"/>
      <c r="F1651" s="28"/>
    </row>
    <row r="1652">
      <c r="A1652" s="28" t="str">
        <f>IFERROR(__xludf.DUMMYFUNCTION("""COMPUTED_VALUE"""),"3186-JUNFESGC")</f>
        <v>3186-JUNFESGC</v>
      </c>
      <c r="B1652" s="28" t="str">
        <f>IFERROR(__xludf.DUMMYFUNCTION("""COMPUTED_VALUE"""),"Sorteo Entradas Linda | Life chronicles")</f>
        <v>Sorteo Entradas Linda | Life chronicles</v>
      </c>
      <c r="C1652" s="29" t="str">
        <f>IFERROR(__xludf.DUMMYFUNCTION("""COMPUTED_VALUE"""),"Pieza")</f>
        <v>Pieza</v>
      </c>
      <c r="D1652" s="28"/>
      <c r="E1652" s="28"/>
      <c r="F1652" s="28"/>
    </row>
    <row r="1653">
      <c r="A1653" s="28" t="str">
        <f>IFERROR(__xludf.DUMMYFUNCTION("""COMPUTED_VALUE"""),"3186-JUNFESGC")</f>
        <v>3186-JUNFESGC</v>
      </c>
      <c r="B1653" s="28" t="str">
        <f>IFERROR(__xludf.DUMMYFUNCTION("""COMPUTED_VALUE"""),"Sorteo Entradas Linda | Life chronicles")</f>
        <v>Sorteo Entradas Linda | Life chronicles</v>
      </c>
      <c r="C1653" s="29" t="str">
        <f>IFERROR(__xludf.DUMMYFUNCTION("""COMPUTED_VALUE"""),"Pieza")</f>
        <v>Pieza</v>
      </c>
      <c r="D1653" s="28"/>
      <c r="E1653" s="28"/>
      <c r="F1653" s="28"/>
    </row>
    <row r="1654">
      <c r="A1654" s="28" t="str">
        <f>IFERROR(__xludf.DUMMYFUNCTION("""COMPUTED_VALUE"""),"3223-JUNEDUVC")</f>
        <v>3223-JUNEDUVC</v>
      </c>
      <c r="B1654" s="28" t="str">
        <f>IFERROR(__xludf.DUMMYFUNCTION("""COMPUTED_VALUE"""),"MERCEDES MIGUEL 23/6 COMUNA 13")</f>
        <v>MERCEDES MIGUEL 23/6 COMUNA 13</v>
      </c>
      <c r="C1654" s="29" t="str">
        <f>IFERROR(__xludf.DUMMYFUNCTION("""COMPUTED_VALUE"""),"Pieza")</f>
        <v>Pieza</v>
      </c>
      <c r="D1654" s="28"/>
      <c r="E1654" s="28"/>
      <c r="F1654" s="28"/>
    </row>
    <row r="1655">
      <c r="A1655" s="28" t="str">
        <f>IFERROR(__xludf.DUMMYFUNCTION("""COMPUTED_VALUE"""),"3220-JUNSEGGJ")</f>
        <v>3220-JUNSEGGJ</v>
      </c>
      <c r="B1655" s="28" t="str">
        <f>IFERROR(__xludf.DUMMYFUNCTION("""COMPUTED_VALUE"""),"Sesiones Legislativas | Temas: Trapitos + VTV")</f>
        <v>Sesiones Legislativas | Temas: Trapitos + VTV</v>
      </c>
      <c r="C1655" s="29" t="str">
        <f>IFERROR(__xludf.DUMMYFUNCTION("""COMPUTED_VALUE"""),"Pieza")</f>
        <v>Pieza</v>
      </c>
      <c r="D1655" s="28"/>
      <c r="E1655" s="28"/>
      <c r="F1655" s="28"/>
    </row>
    <row r="1656">
      <c r="A1656" s="28" t="str">
        <f>IFERROR(__xludf.DUMMYFUNCTION("""COMPUTED_VALUE"""),"3220-JUNSEGGJ")</f>
        <v>3220-JUNSEGGJ</v>
      </c>
      <c r="B1656" s="28" t="str">
        <f>IFERROR(__xludf.DUMMYFUNCTION("""COMPUTED_VALUE"""),"Sesiones Legislativas | Temas: Trapitos + VTV")</f>
        <v>Sesiones Legislativas | Temas: Trapitos + VTV</v>
      </c>
      <c r="C1656" s="29" t="str">
        <f>IFERROR(__xludf.DUMMYFUNCTION("""COMPUTED_VALUE"""),"Pieza")</f>
        <v>Pieza</v>
      </c>
      <c r="D1656" s="28"/>
      <c r="E1656" s="28"/>
      <c r="F1656" s="28"/>
    </row>
    <row r="1657">
      <c r="A1657" s="28" t="str">
        <f>IFERROR(__xludf.DUMMYFUNCTION("""COMPUTED_VALUE"""),"3220-JUNSEGGJ")</f>
        <v>3220-JUNSEGGJ</v>
      </c>
      <c r="B1657" s="28" t="str">
        <f>IFERROR(__xludf.DUMMYFUNCTION("""COMPUTED_VALUE"""),"Sesiones Legislativas | Temas: Trapitos + VTV")</f>
        <v>Sesiones Legislativas | Temas: Trapitos + VTV</v>
      </c>
      <c r="C1657" s="29" t="str">
        <f>IFERROR(__xludf.DUMMYFUNCTION("""COMPUTED_VALUE"""),"Pieza")</f>
        <v>Pieza</v>
      </c>
      <c r="D1657" s="28"/>
      <c r="E1657" s="28"/>
      <c r="F1657" s="28"/>
    </row>
    <row r="1658">
      <c r="A1658" s="28" t="str">
        <f>IFERROR(__xludf.DUMMYFUNCTION("""COMPUTED_VALUE"""),"3241-JUNSEGVC")</f>
        <v>3241-JUNSEGVC</v>
      </c>
      <c r="B1658" s="28" t="str">
        <f>IFERROR(__xludf.DUMMYFUNCTION("""COMPUTED_VALUE"""),"RDV Ministros | Horacio Gimenez  25/6 Comuna 14")</f>
        <v>RDV Ministros | Horacio Gimenez  25/6 Comuna 14</v>
      </c>
      <c r="C1658" s="29" t="str">
        <f>IFERROR(__xludf.DUMMYFUNCTION("""COMPUTED_VALUE"""),"Pieza")</f>
        <v>Pieza</v>
      </c>
      <c r="D1658" s="28"/>
      <c r="E1658" s="28"/>
      <c r="F1658" s="28"/>
    </row>
    <row r="1659">
      <c r="A1659" s="28" t="str">
        <f>IFERROR(__xludf.DUMMYFUNCTION("""COMPUTED_VALUE"""),"3233-JUNSALGC")</f>
        <v>3233-JUNSALGC</v>
      </c>
      <c r="B1659" s="28" t="str">
        <f>IFERROR(__xludf.DUMMYFUNCTION("""COMPUTED_VALUE""")," Envío Deploy GDE Mejoras 22/6")</f>
        <v> Envío Deploy GDE Mejoras 22/6</v>
      </c>
      <c r="C1659" s="29" t="str">
        <f>IFERROR(__xludf.DUMMYFUNCTION("""COMPUTED_VALUE"""),"Pieza")</f>
        <v>Pieza</v>
      </c>
      <c r="D1659" s="28"/>
      <c r="E1659" s="28"/>
      <c r="F1659" s="28"/>
    </row>
    <row r="1660">
      <c r="A1660" s="28" t="str">
        <f>IFERROR(__xludf.DUMMYFUNCTION("""COMPUTED_VALUE"""),"3195-JUNSEGVC")</f>
        <v>3195-JUNSEGVC</v>
      </c>
      <c r="B1660" s="28" t="str">
        <f>IFERROR(__xludf.DUMMYFUNCTION("""COMPUTED_VALUE"""),"RDV Ministros | Gabino Tapia 18/6 - Comuna 11")</f>
        <v>RDV Ministros | Gabino Tapia 18/6 - Comuna 11</v>
      </c>
      <c r="C1660" s="29" t="str">
        <f>IFERROR(__xludf.DUMMYFUNCTION("""COMPUTED_VALUE"""),"Pieza")</f>
        <v>Pieza</v>
      </c>
      <c r="D1660" s="28"/>
      <c r="E1660" s="28"/>
      <c r="F1660" s="28"/>
    </row>
    <row r="1661">
      <c r="A1661" s="28" t="str">
        <f>IFERROR(__xludf.DUMMYFUNCTION("""COMPUTED_VALUE"""),"3242-JUNSEGVC")</f>
        <v>3242-JUNSEGVC</v>
      </c>
      <c r="B1661" s="28" t="str">
        <f>IFERROR(__xludf.DUMMYFUNCTION("""COMPUTED_VALUE"""),"RDV Ministros | Gabino Tapia 25/6 Comuna 15")</f>
        <v>RDV Ministros | Gabino Tapia 25/6 Comuna 15</v>
      </c>
      <c r="C1661" s="29" t="str">
        <f>IFERROR(__xludf.DUMMYFUNCTION("""COMPUTED_VALUE"""),"Pieza")</f>
        <v>Pieza</v>
      </c>
      <c r="D1661" s="28"/>
      <c r="E1661" s="28"/>
      <c r="F1661" s="28"/>
    </row>
    <row r="1662">
      <c r="A1662" s="28" t="str">
        <f>IFERROR(__xludf.DUMMYFUNCTION("""COMPUTED_VALUE"""),"3224-JUNDECVC")</f>
        <v>3224-JUNDECVC</v>
      </c>
      <c r="B1662" s="28" t="str">
        <f>IFERROR(__xludf.DUMMYFUNCTION("""COMPUTED_VALUE"""),"LOMBARDI-TAPIA-PIRAGINE 24/6 EJE OESTE")</f>
        <v>LOMBARDI-TAPIA-PIRAGINE 24/6 EJE OESTE</v>
      </c>
      <c r="C1662" s="29" t="str">
        <f>IFERROR(__xludf.DUMMYFUNCTION("""COMPUTED_VALUE"""),"Pieza")</f>
        <v>Pieza</v>
      </c>
      <c r="D1662" s="28"/>
      <c r="E1662" s="28"/>
      <c r="F1662" s="28"/>
    </row>
    <row r="1663">
      <c r="A1663" s="28" t="str">
        <f>IFERROR(__xludf.DUMMYFUNCTION("""COMPUTED_VALUE"""),"3131-MAYCULGC")</f>
        <v>3131-MAYCULGC</v>
      </c>
      <c r="B1663" s="28" t="str">
        <f>IFERROR(__xludf.DUMMYFUNCTION("""COMPUTED_VALUE"""),"Sorteo | Entradas al Teatro Colón")</f>
        <v>Sorteo | Entradas al Teatro Colón</v>
      </c>
      <c r="C1663" s="29" t="str">
        <f>IFERROR(__xludf.DUMMYFUNCTION("""COMPUTED_VALUE"""),"Pieza")</f>
        <v>Pieza</v>
      </c>
      <c r="D1663" s="28"/>
      <c r="E1663" s="28"/>
      <c r="F1663" s="28"/>
    </row>
    <row r="1664">
      <c r="A1664" s="28" t="str">
        <f>IFERROR(__xludf.DUMMYFUNCTION("""COMPUTED_VALUE"""),"3220-JUNSEGGJ")</f>
        <v>3220-JUNSEGGJ</v>
      </c>
      <c r="B1664" s="28" t="str">
        <f>IFERROR(__xludf.DUMMYFUNCTION("""COMPUTED_VALUE"""),"Sesiones Legislativas | Temas: Trapitos + VTV")</f>
        <v>Sesiones Legislativas | Temas: Trapitos + VTV</v>
      </c>
      <c r="C1664" s="29" t="str">
        <f>IFERROR(__xludf.DUMMYFUNCTION("""COMPUTED_VALUE"""),"Pieza")</f>
        <v>Pieza</v>
      </c>
      <c r="D1664" s="28"/>
      <c r="E1664" s="28"/>
      <c r="F1664" s="28"/>
    </row>
    <row r="1665">
      <c r="A1665" s="28" t="str">
        <f>IFERROR(__xludf.DUMMYFUNCTION("""COMPUTED_VALUE"""),"3215-JUNSEGGJ")</f>
        <v>3215-JUNSEGGJ</v>
      </c>
      <c r="B1665" s="28" t="str">
        <f>IFERROR(__xludf.DUMMYFUNCTION("""COMPUTED_VALUE"""),"Desalojo de casa tomada en PP: Atuel 255")</f>
        <v>Desalojo de casa tomada en PP: Atuel 255</v>
      </c>
      <c r="C1665" s="29" t="str">
        <f>IFERROR(__xludf.DUMMYFUNCTION("""COMPUTED_VALUE"""),"Pieza")</f>
        <v>Pieza</v>
      </c>
      <c r="D1665" s="28"/>
      <c r="E1665" s="28"/>
      <c r="F1665" s="28"/>
    </row>
    <row r="1666">
      <c r="A1666" s="28" t="str">
        <f>IFERROR(__xludf.DUMMYFUNCTION("""COMPUTED_VALUE"""),"3178-JUNJDGAG")</f>
        <v>3178-JUNJDGAG</v>
      </c>
      <c r="B1666" s="28" t="str">
        <f>IFERROR(__xludf.DUMMYFUNCTION("""COMPUTED_VALUE""")," TE CUENTO BS AS JM | 16/6 EDUCACIÓN EJE OESTE")</f>
        <v> TE CUENTO BS AS JM | 16/6 EDUCACIÓN EJE OESTE</v>
      </c>
      <c r="C1666" s="29" t="str">
        <f>IFERROR(__xludf.DUMMYFUNCTION("""COMPUTED_VALUE"""),"Pieza")</f>
        <v>Pieza</v>
      </c>
      <c r="D1666" s="28"/>
      <c r="E1666" s="28"/>
      <c r="F1666" s="28"/>
    </row>
    <row r="1667">
      <c r="A1667" s="28" t="str">
        <f>IFERROR(__xludf.DUMMYFUNCTION("""COMPUTED_VALUE"""),"3248-JUNJDGVC")</f>
        <v>3248-JUNJDGVC</v>
      </c>
      <c r="B1667" s="28" t="str">
        <f>IFERROR(__xludf.DUMMYFUNCTION("""COMPUTED_VALUE"""),"RDV Ministros | Gabriel Sánchez Zinny - 26/6")</f>
        <v>RDV Ministros | Gabriel Sánchez Zinny - 26/6</v>
      </c>
      <c r="C1667" s="29" t="str">
        <f>IFERROR(__xludf.DUMMYFUNCTION("""COMPUTED_VALUE"""),"Pieza")</f>
        <v>Pieza</v>
      </c>
      <c r="D1667" s="28"/>
      <c r="E1667" s="28"/>
      <c r="F1667" s="28"/>
    </row>
    <row r="1668">
      <c r="A1668" s="28" t="str">
        <f>IFERROR(__xludf.DUMMYFUNCTION("""COMPUTED_VALUE"""),"3257-JUNEDUGC")</f>
        <v>3257-JUNEDUGC</v>
      </c>
      <c r="B1668" s="28" t="str">
        <f>IFERROR(__xludf.DUMMYFUNCTION("""COMPUTED_VALUE"""),"Campaña GCBA I Educación I Vacaciones en la escuela edicion invierno 2026")</f>
        <v>Campaña GCBA I Educación I Vacaciones en la escuela edicion invierno 2026</v>
      </c>
      <c r="C1668" s="29" t="str">
        <f>IFERROR(__xludf.DUMMYFUNCTION("""COMPUTED_VALUE"""),"Pieza")</f>
        <v>Pieza</v>
      </c>
      <c r="D1668" s="28"/>
      <c r="E1668" s="28"/>
      <c r="F1668" s="28"/>
    </row>
    <row r="1669">
      <c r="A1669" s="28" t="str">
        <f>IFERROR(__xludf.DUMMYFUNCTION("""COMPUTED_VALUE"""),"3222-JUNEPHVC")</f>
        <v>3222-JUNEPHVC</v>
      </c>
      <c r="B1669" s="28" t="str">
        <f>IFERROR(__xludf.DUMMYFUNCTION("""COMPUTED_VALUE"""),"IGNACIO BAISTROCCHI 22/6 COMUNA 9")</f>
        <v>IGNACIO BAISTROCCHI 22/6 COMUNA 9</v>
      </c>
      <c r="C1669" s="29" t="str">
        <f>IFERROR(__xludf.DUMMYFUNCTION("""COMPUTED_VALUE"""),"Pieza")</f>
        <v>Pieza</v>
      </c>
      <c r="D1669" s="28"/>
      <c r="E1669" s="28"/>
      <c r="F1669" s="28"/>
    </row>
    <row r="1670">
      <c r="A1670" s="28" t="str">
        <f>IFERROR(__xludf.DUMMYFUNCTION("""COMPUTED_VALUE"""),"3238-JUNSALGC")</f>
        <v>3238-JUNSALGC</v>
      </c>
      <c r="B1670" s="28" t="str">
        <f>IFERROR(__xludf.DUMMYFUNCTION("""COMPUTED_VALUE"""),"SIGEHOS - Envío Deploy RIS - Nuevas novedades - Junio")</f>
        <v>SIGEHOS - Envío Deploy RIS - Nuevas novedades - Junio</v>
      </c>
      <c r="C1670" s="29" t="str">
        <f>IFERROR(__xludf.DUMMYFUNCTION("""COMPUTED_VALUE"""),"Pieza")</f>
        <v>Pieza</v>
      </c>
      <c r="D1670" s="28"/>
      <c r="E1670" s="28"/>
      <c r="F1670" s="28"/>
    </row>
    <row r="1671">
      <c r="A1671" s="28" t="str">
        <f>IFERROR(__xludf.DUMMYFUNCTION("""COMPUTED_VALUE"""),"3247-JUNSALVC")</f>
        <v>3247-JUNSALVC</v>
      </c>
      <c r="B1671" s="28" t="str">
        <f>IFERROR(__xludf.DUMMYFUNCTION("""COMPUTED_VALUE"""),"RDV Ministros | Fernán Quirós - 26/6 ")</f>
        <v>RDV Ministros | Fernán Quirós - 26/6 </v>
      </c>
      <c r="C1671" s="29" t="str">
        <f>IFERROR(__xludf.DUMMYFUNCTION("""COMPUTED_VALUE"""),"Pieza")</f>
        <v>Pieza</v>
      </c>
      <c r="D1671" s="28"/>
      <c r="E1671" s="28"/>
      <c r="F1671" s="28"/>
    </row>
    <row r="1672">
      <c r="A1672" s="28" t="str">
        <f>IFERROR(__xludf.DUMMYFUNCTION("""COMPUTED_VALUE"""),"3139-JUNDHHGC")</f>
        <v>3139-JUNDHHGC</v>
      </c>
      <c r="B1672" s="28" t="str">
        <f>IFERROR(__xludf.DUMMYFUNCTION("""COMPUTED_VALUE"""),"Programas y Actividades para personas mayores")</f>
        <v>Programas y Actividades para personas mayores</v>
      </c>
      <c r="C1672" s="29" t="str">
        <f>IFERROR(__xludf.DUMMYFUNCTION("""COMPUTED_VALUE"""),"Pieza")</f>
        <v>Pieza</v>
      </c>
      <c r="D1672" s="28"/>
      <c r="E1672" s="28"/>
      <c r="F1672" s="28"/>
    </row>
    <row r="1673">
      <c r="A1673" s="28" t="str">
        <f>IFERROR(__xludf.DUMMYFUNCTION("""COMPUTED_VALUE"""),"3201-JUNJDGAG")</f>
        <v>3201-JUNJDGAG</v>
      </c>
      <c r="B1673" s="28" t="str">
        <f>IFERROR(__xludf.DUMMYFUNCTION("""COMPUTED_VALUE"""),"RDV JM MATADEROS 18/6")</f>
        <v>RDV JM MATADEROS 18/6</v>
      </c>
      <c r="C1673" s="29" t="str">
        <f>IFERROR(__xludf.DUMMYFUNCTION("""COMPUTED_VALUE"""),"Pieza")</f>
        <v>Pieza</v>
      </c>
      <c r="D1673" s="28"/>
      <c r="E1673" s="28"/>
      <c r="F1673" s="28"/>
    </row>
    <row r="1674">
      <c r="A1674" s="28" t="str">
        <f>IFERROR(__xludf.DUMMYFUNCTION("""COMPUTED_VALUE"""),"3201-JUNJDGAG")</f>
        <v>3201-JUNJDGAG</v>
      </c>
      <c r="B1674" s="28" t="str">
        <f>IFERROR(__xludf.DUMMYFUNCTION("""COMPUTED_VALUE"""),"RDV JM MATADEROS 18/6")</f>
        <v>RDV JM MATADEROS 18/6</v>
      </c>
      <c r="C1674" s="29" t="str">
        <f>IFERROR(__xludf.DUMMYFUNCTION("""COMPUTED_VALUE"""),"Pieza")</f>
        <v>Pieza</v>
      </c>
      <c r="D1674" s="28"/>
      <c r="E1674" s="28"/>
      <c r="F1674" s="28"/>
    </row>
    <row r="1675">
      <c r="A1675" s="28" t="str">
        <f>IFERROR(__xludf.DUMMYFUNCTION("""COMPUTED_VALUE"""),"3232-JUNDHHVC")</f>
        <v>3232-JUNDHHVC</v>
      </c>
      <c r="B1675" s="28" t="str">
        <f>IFERROR(__xludf.DUMMYFUNCTION("""COMPUTED_VALUE"""),"RDV MINISTROS | GABRIEL MRAIDA 24/6 COMUNA 1")</f>
        <v>RDV MINISTROS | GABRIEL MRAIDA 24/6 COMUNA 1</v>
      </c>
      <c r="C1675" s="29" t="str">
        <f>IFERROR(__xludf.DUMMYFUNCTION("""COMPUTED_VALUE"""),"Pieza")</f>
        <v>Pieza</v>
      </c>
      <c r="D1675" s="28"/>
      <c r="E1675" s="28"/>
      <c r="F1675" s="28"/>
    </row>
    <row r="1676">
      <c r="A1676" s="28" t="str">
        <f>IFERROR(__xludf.DUMMYFUNCTION("""COMPUTED_VALUE"""),"3139-JUNDHHGC")</f>
        <v>3139-JUNDHHGC</v>
      </c>
      <c r="B1676" s="28" t="str">
        <f>IFERROR(__xludf.DUMMYFUNCTION("""COMPUTED_VALUE"""),"Programas y Actividades para personas mayores")</f>
        <v>Programas y Actividades para personas mayores</v>
      </c>
      <c r="C1676" s="29" t="str">
        <f>IFERROR(__xludf.DUMMYFUNCTION("""COMPUTED_VALUE"""),"Pieza")</f>
        <v>Pieza</v>
      </c>
      <c r="D1676" s="28"/>
      <c r="E1676" s="28"/>
      <c r="F1676" s="28"/>
    </row>
    <row r="1677">
      <c r="A1677" s="28" t="str">
        <f>IFERROR(__xludf.DUMMYFUNCTION("""COMPUTED_VALUE"""),"3246-JUNAMBVC")</f>
        <v>3246-JUNAMBVC</v>
      </c>
      <c r="B1677" s="28" t="str">
        <f>IFERROR(__xludf.DUMMYFUNCTION("""COMPUTED_VALUE"""),"RDV Ministros | Clara Muzzio - 26/6 - Temática")</f>
        <v>RDV Ministros | Clara Muzzio - 26/6 - Temática</v>
      </c>
      <c r="C1677" s="29" t="str">
        <f>IFERROR(__xludf.DUMMYFUNCTION("""COMPUTED_VALUE"""),"Pieza")</f>
        <v>Pieza</v>
      </c>
      <c r="D1677" s="28"/>
      <c r="E1677" s="28"/>
      <c r="F1677" s="28"/>
    </row>
    <row r="1678">
      <c r="A1678" s="28" t="str">
        <f>IFERROR(__xludf.DUMMYFUNCTION("""COMPUTED_VALUE"""),"3199-JUNDUDGC")</f>
        <v>3199-JUNDUDGC</v>
      </c>
      <c r="B1678" s="28" t="str">
        <f>IFERROR(__xludf.DUMMYFUNCTION("""COMPUTED_VALUE"""),"Sorteo entradas GCBA | 9k Carrera de la independencia")</f>
        <v>Sorteo entradas GCBA | 9k Carrera de la independencia</v>
      </c>
      <c r="C1678" s="29" t="str">
        <f>IFERROR(__xludf.DUMMYFUNCTION("""COMPUTED_VALUE"""),"Pieza")</f>
        <v>Pieza</v>
      </c>
      <c r="D1678" s="28"/>
      <c r="E1678" s="28"/>
      <c r="F1678" s="28"/>
    </row>
    <row r="1679">
      <c r="A1679" s="28" t="str">
        <f>IFERROR(__xludf.DUMMYFUNCTION("""COMPUTED_VALUE"""),"3240-JUNSEGVC")</f>
        <v>3240-JUNSEGVC</v>
      </c>
      <c r="B1679" s="28" t="str">
        <f>IFERROR(__xludf.DUMMYFUNCTION("""COMPUTED_VALUE"""),"RDV Ministros | Ruth Landerrece 25/6 Comuna 13")</f>
        <v>RDV Ministros | Ruth Landerrece 25/6 Comuna 13</v>
      </c>
      <c r="C1679" s="29" t="str">
        <f>IFERROR(__xludf.DUMMYFUNCTION("""COMPUTED_VALUE"""),"Pieza")</f>
        <v>Pieza</v>
      </c>
      <c r="D1679" s="28"/>
      <c r="E1679" s="28"/>
      <c r="F1679" s="28"/>
    </row>
    <row r="1680">
      <c r="A1680" s="28" t="str">
        <f>IFERROR(__xludf.DUMMYFUNCTION("""COMPUTED_VALUE"""),"3216-JUNJDGAG")</f>
        <v>3216-JUNJDGAG</v>
      </c>
      <c r="B1680" s="28" t="str">
        <f>IFERROR(__xludf.DUMMYFUNCTION("""COMPUTED_VALUE"""),"RDV JM | TE CUENTO | CIUDAD ATRACTIVA EJE SUR 25/6")</f>
        <v>RDV JM | TE CUENTO | CIUDAD ATRACTIVA EJE SUR 25/6</v>
      </c>
      <c r="C1680" s="29" t="str">
        <f>IFERROR(__xludf.DUMMYFUNCTION("""COMPUTED_VALUE"""),"Pieza")</f>
        <v>Pieza</v>
      </c>
      <c r="D1680" s="28"/>
      <c r="E1680" s="28"/>
      <c r="F1680" s="28"/>
    </row>
    <row r="1681">
      <c r="A1681" s="28" t="str">
        <f>IFERROR(__xludf.DUMMYFUNCTION("""COMPUTED_VALUE"""),"3239-JUNSEGVC")</f>
        <v>3239-JUNSEGVC</v>
      </c>
      <c r="B1681" s="28" t="str">
        <f>IFERROR(__xludf.DUMMYFUNCTION("""COMPUTED_VALUE"""),"RDV Ministros | Maximiliano Piñeiro 25/6 Comuna 12")</f>
        <v>RDV Ministros | Maximiliano Piñeiro 25/6 Comuna 12</v>
      </c>
      <c r="C1681" s="29" t="str">
        <f>IFERROR(__xludf.DUMMYFUNCTION("""COMPUTED_VALUE"""),"Pieza")</f>
        <v>Pieza</v>
      </c>
      <c r="D1681" s="28"/>
      <c r="E1681" s="28"/>
      <c r="F1681" s="28"/>
    </row>
    <row r="1682">
      <c r="A1682" s="28" t="str">
        <f>IFERROR(__xludf.DUMMYFUNCTION("""COMPUTED_VALUE"""),"3147-JUNINFGC")</f>
        <v>3147-JUNINFGC</v>
      </c>
      <c r="B1682" s="28" t="str">
        <f>IFERROR(__xludf.DUMMYFUNCTION("""COMPUTED_VALUE"""),"PBN Lorca: apertura al tránsito | 12/6 Habilitacion primer tramo")</f>
        <v>PBN Lorca: apertura al tránsito | 12/6 Habilitacion primer tramo</v>
      </c>
      <c r="C1682" s="29" t="str">
        <f>IFERROR(__xludf.DUMMYFUNCTION("""COMPUTED_VALUE"""),"Pieza")</f>
        <v>Pieza</v>
      </c>
      <c r="D1682" s="28"/>
      <c r="E1682" s="28"/>
      <c r="F1682" s="28"/>
    </row>
    <row r="1683">
      <c r="A1683" s="28" t="str">
        <f>IFERROR(__xludf.DUMMYFUNCTION("""COMPUTED_VALUE"""),"3241-JUNSEGVC")</f>
        <v>3241-JUNSEGVC</v>
      </c>
      <c r="B1683" s="28" t="str">
        <f>IFERROR(__xludf.DUMMYFUNCTION("""COMPUTED_VALUE"""),"RDV Ministros | Horacio Gimenez  25/6 Comuna 14")</f>
        <v>RDV Ministros | Horacio Gimenez  25/6 Comuna 14</v>
      </c>
      <c r="C1683" s="29" t="str">
        <f>IFERROR(__xludf.DUMMYFUNCTION("""COMPUTED_VALUE"""),"Pieza")</f>
        <v>Pieza</v>
      </c>
      <c r="D1683" s="28"/>
      <c r="E1683" s="28"/>
      <c r="F1683" s="28"/>
    </row>
    <row r="1684">
      <c r="A1684" s="28" t="str">
        <f>IFERROR(__xludf.DUMMYFUNCTION("""COMPUTED_VALUE"""),"3220-JUNSEGGJ")</f>
        <v>3220-JUNSEGGJ</v>
      </c>
      <c r="B1684" s="28" t="str">
        <f>IFERROR(__xludf.DUMMYFUNCTION("""COMPUTED_VALUE"""),"Sesiones Legislativas | Temas: Trapitos + VTV")</f>
        <v>Sesiones Legislativas | Temas: Trapitos + VTV</v>
      </c>
      <c r="C1684" s="29" t="str">
        <f>IFERROR(__xludf.DUMMYFUNCTION("""COMPUTED_VALUE"""),"Pieza")</f>
        <v>Pieza</v>
      </c>
      <c r="D1684" s="28"/>
      <c r="E1684" s="28"/>
      <c r="F1684" s="28"/>
    </row>
    <row r="1685">
      <c r="A1685" s="28" t="str">
        <f>IFERROR(__xludf.DUMMYFUNCTION("""COMPUTED_VALUE"""),"3220-JUNSEGGJ")</f>
        <v>3220-JUNSEGGJ</v>
      </c>
      <c r="B1685" s="28" t="str">
        <f>IFERROR(__xludf.DUMMYFUNCTION("""COMPUTED_VALUE"""),"Sesiones Legislativas | Temas: Trapitos + VTV")</f>
        <v>Sesiones Legislativas | Temas: Trapitos + VTV</v>
      </c>
      <c r="C1685" s="29" t="str">
        <f>IFERROR(__xludf.DUMMYFUNCTION("""COMPUTED_VALUE"""),"Pieza")</f>
        <v>Pieza</v>
      </c>
      <c r="D1685" s="28"/>
      <c r="E1685" s="28"/>
      <c r="F1685" s="28"/>
    </row>
    <row r="1686">
      <c r="A1686" s="28" t="str">
        <f>IFERROR(__xludf.DUMMYFUNCTION("""COMPUTED_VALUE"""),"3242-JUNSEGVC")</f>
        <v>3242-JUNSEGVC</v>
      </c>
      <c r="B1686" s="28" t="str">
        <f>IFERROR(__xludf.DUMMYFUNCTION("""COMPUTED_VALUE"""),"RDV Ministros | Gabino Tapia 25/6 Comuna 15")</f>
        <v>RDV Ministros | Gabino Tapia 25/6 Comuna 15</v>
      </c>
      <c r="C1686" s="29" t="str">
        <f>IFERROR(__xludf.DUMMYFUNCTION("""COMPUTED_VALUE"""),"Pieza")</f>
        <v>Pieza</v>
      </c>
      <c r="D1686" s="28"/>
      <c r="E1686" s="28"/>
      <c r="F1686" s="28"/>
    </row>
    <row r="1687">
      <c r="A1687" s="28" t="str">
        <f>IFERROR(__xludf.DUMMYFUNCTION("""COMPUTED_VALUE"""),"3224-JUNDECVC")</f>
        <v>3224-JUNDECVC</v>
      </c>
      <c r="B1687" s="28" t="str">
        <f>IFERROR(__xludf.DUMMYFUNCTION("""COMPUTED_VALUE"""),"LOMBARDI-TAPIA-PIRAGINE 24/6 EJE OESTE")</f>
        <v>LOMBARDI-TAPIA-PIRAGINE 24/6 EJE OESTE</v>
      </c>
      <c r="C1687" s="29" t="str">
        <f>IFERROR(__xludf.DUMMYFUNCTION("""COMPUTED_VALUE"""),"Pieza")</f>
        <v>Pieza</v>
      </c>
      <c r="D1687" s="28"/>
      <c r="E1687" s="28"/>
      <c r="F1687" s="28"/>
    </row>
    <row r="1688">
      <c r="A1688" s="28" t="str">
        <f>IFERROR(__xludf.DUMMYFUNCTION("""COMPUTED_VALUE"""),"3250-JUNVINGC")</f>
        <v>3250-JUNVINGC</v>
      </c>
      <c r="B1688" s="28" t="str">
        <f>IFERROR(__xludf.DUMMYFUNCTION("""COMPUTED_VALUE"""),"Más servicios en tu barrio - 29/6 - Parque Patricios")</f>
        <v>Más servicios en tu barrio - 29/6 - Parque Patricios</v>
      </c>
      <c r="C1688" s="29" t="str">
        <f>IFERROR(__xludf.DUMMYFUNCTION("""COMPUTED_VALUE"""),"Pieza")</f>
        <v>Pieza</v>
      </c>
      <c r="D1688" s="28"/>
      <c r="E1688" s="28"/>
      <c r="F1688" s="28"/>
    </row>
    <row r="1689">
      <c r="A1689" s="28" t="str">
        <f>IFERROR(__xludf.DUMMYFUNCTION("""COMPUTED_VALUE"""),"3251-JUNVINGC")</f>
        <v>3251-JUNVINGC</v>
      </c>
      <c r="B1689" s="28" t="str">
        <f>IFERROR(__xludf.DUMMYFUNCTION("""COMPUTED_VALUE"""),"Más servicios en tu barrio - 30/6 - Vélez Sarsfield")</f>
        <v>Más servicios en tu barrio - 30/6 - Vélez Sarsfield</v>
      </c>
      <c r="C1689" s="29" t="str">
        <f>IFERROR(__xludf.DUMMYFUNCTION("""COMPUTED_VALUE"""),"Pieza")</f>
        <v>Pieza</v>
      </c>
      <c r="D1689" s="28"/>
      <c r="E1689" s="28"/>
      <c r="F1689" s="28"/>
    </row>
    <row r="1690">
      <c r="A1690" s="28" t="str">
        <f>IFERROR(__xludf.DUMMYFUNCTION("""COMPUTED_VALUE"""),"1921-SEPAMBGC")</f>
        <v>1921-SEPAMBGC</v>
      </c>
      <c r="B1690" s="28" t="str">
        <f>IFERROR(__xludf.DUMMYFUNCTION("""COMPUTED_VALUE"""),"Vacunación Antirrabica Animales")</f>
        <v>Vacunación Antirrabica Animales</v>
      </c>
      <c r="C1690" s="29" t="str">
        <f>IFERROR(__xludf.DUMMYFUNCTION("""COMPUTED_VALUE"""),"Pieza")</f>
        <v>Pieza</v>
      </c>
      <c r="D1690" s="28"/>
      <c r="E1690" s="28"/>
      <c r="F1690" s="28"/>
    </row>
    <row r="1691">
      <c r="A1691" s="28" t="str">
        <f>IFERROR(__xludf.DUMMYFUNCTION("""COMPUTED_VALUE"""),"3016-MAYFESGC")</f>
        <v>3016-MAYFESGC</v>
      </c>
      <c r="B1691" s="28" t="str">
        <f>IFERROR(__xludf.DUMMYFUNCTION("""COMPUTED_VALUE"""),"La ciudad late mundial | Modo Hincha")</f>
        <v>La ciudad late mundial | Modo Hincha</v>
      </c>
      <c r="C1691" s="29" t="str">
        <f>IFERROR(__xludf.DUMMYFUNCTION("""COMPUTED_VALUE"""),"Pieza")</f>
        <v>Pieza</v>
      </c>
      <c r="D1691" s="28"/>
      <c r="E1691" s="28"/>
      <c r="F1691" s="28"/>
    </row>
    <row r="1692">
      <c r="A1692" s="28" t="str">
        <f>IFERROR(__xludf.DUMMYFUNCTION("""COMPUTED_VALUE"""),"3264-JUNCULVC")</f>
        <v>3264-JUNCULVC</v>
      </c>
      <c r="B1692" s="28" t="str">
        <f>IFERROR(__xludf.DUMMYFUNCTION("""COMPUTED_VALUE"""),"RDV Ministros | Gabriela Ricardes 29/6 Comuna 9")</f>
        <v>RDV Ministros | Gabriela Ricardes 29/6 Comuna 9</v>
      </c>
      <c r="C1692" s="29" t="str">
        <f>IFERROR(__xludf.DUMMYFUNCTION("""COMPUTED_VALUE"""),"Pieza")</f>
        <v>Pieza</v>
      </c>
      <c r="D1692" s="28"/>
      <c r="E1692" s="28"/>
      <c r="F1692" s="28"/>
    </row>
    <row r="1693">
      <c r="A1693" s="28" t="str">
        <f>IFERROR(__xludf.DUMMYFUNCTION("""COMPUTED_VALUE"""),"3220-JUNSEGGJ")</f>
        <v>3220-JUNSEGGJ</v>
      </c>
      <c r="B1693" s="28" t="str">
        <f>IFERROR(__xludf.DUMMYFUNCTION("""COMPUTED_VALUE"""),"Sesiones Legislativas | Temas: Trapitos + VTV")</f>
        <v>Sesiones Legislativas | Temas: Trapitos + VTV</v>
      </c>
      <c r="C1693" s="29" t="str">
        <f>IFERROR(__xludf.DUMMYFUNCTION("""COMPUTED_VALUE"""),"Pieza")</f>
        <v>Pieza</v>
      </c>
      <c r="D1693" s="28"/>
      <c r="E1693" s="28"/>
      <c r="F1693" s="28"/>
    </row>
    <row r="1694">
      <c r="A1694" s="28" t="str">
        <f>IFERROR(__xludf.DUMMYFUNCTION("""COMPUTED_VALUE"""),"3220-JUNSEGGJ")</f>
        <v>3220-JUNSEGGJ</v>
      </c>
      <c r="B1694" s="28" t="str">
        <f>IFERROR(__xludf.DUMMYFUNCTION("""COMPUTED_VALUE"""),"Sesiones Legislativas | Temas: Trapitos + VTV")</f>
        <v>Sesiones Legislativas | Temas: Trapitos + VTV</v>
      </c>
      <c r="C1694" s="29" t="str">
        <f>IFERROR(__xludf.DUMMYFUNCTION("""COMPUTED_VALUE"""),"Pieza")</f>
        <v>Pieza</v>
      </c>
      <c r="D1694" s="28"/>
      <c r="E1694" s="28"/>
      <c r="F1694" s="28"/>
    </row>
    <row r="1695">
      <c r="A1695" s="28" t="str">
        <f>IFERROR(__xludf.DUMMYFUNCTION("""COMPUTED_VALUE"""),"3223-JUNEDUVC")</f>
        <v>3223-JUNEDUVC</v>
      </c>
      <c r="B1695" s="28" t="str">
        <f>IFERROR(__xludf.DUMMYFUNCTION("""COMPUTED_VALUE"""),"MERCEDES MIGUEL 23/6 COMUNA 13")</f>
        <v>MERCEDES MIGUEL 23/6 COMUNA 13</v>
      </c>
      <c r="C1695" s="29" t="str">
        <f>IFERROR(__xludf.DUMMYFUNCTION("""COMPUTED_VALUE"""),"Pieza")</f>
        <v>Pieza</v>
      </c>
      <c r="D1695" s="28"/>
      <c r="E1695" s="28"/>
      <c r="F1695" s="28"/>
    </row>
    <row r="1696">
      <c r="A1696" s="28" t="str">
        <f>IFERROR(__xludf.DUMMYFUNCTION("""COMPUTED_VALUE"""),"3248-JUNJDGVC")</f>
        <v>3248-JUNJDGVC</v>
      </c>
      <c r="B1696" s="28" t="str">
        <f>IFERROR(__xludf.DUMMYFUNCTION("""COMPUTED_VALUE"""),"RDV Ministros | Gabriel Sánchez Zinny - 26/6")</f>
        <v>RDV Ministros | Gabriel Sánchez Zinny - 26/6</v>
      </c>
      <c r="C1696" s="29" t="str">
        <f>IFERROR(__xludf.DUMMYFUNCTION("""COMPUTED_VALUE"""),"Pieza")</f>
        <v>Pieza</v>
      </c>
      <c r="D1696" s="28"/>
      <c r="E1696" s="28"/>
      <c r="F1696" s="28"/>
    </row>
    <row r="1697">
      <c r="A1697" s="28" t="str">
        <f>IFERROR(__xludf.DUMMYFUNCTION("""COMPUTED_VALUE"""),"3258-JUNJDGGJ")</f>
        <v>3258-JUNJDGGJ</v>
      </c>
      <c r="B1697" s="28" t="str">
        <f>IFERROR(__xludf.DUMMYFUNCTION("""COMPUTED_VALUE"""),"Decreto: Declaración de servicios esenciales")</f>
        <v>Decreto: Declaración de servicios esenciales</v>
      </c>
      <c r="C1697" s="29" t="str">
        <f>IFERROR(__xludf.DUMMYFUNCTION("""COMPUTED_VALUE"""),"Pieza")</f>
        <v>Pieza</v>
      </c>
      <c r="D1697" s="28"/>
      <c r="E1697" s="28"/>
      <c r="F1697" s="28"/>
    </row>
    <row r="1698">
      <c r="A1698" s="28" t="str">
        <f>IFERROR(__xludf.DUMMYFUNCTION("""COMPUTED_VALUE"""),"3247-JUNSALVC")</f>
        <v>3247-JUNSALVC</v>
      </c>
      <c r="B1698" s="28" t="str">
        <f>IFERROR(__xludf.DUMMYFUNCTION("""COMPUTED_VALUE"""),"RDV Ministros | Fernán Quirós - 26/6 ")</f>
        <v>RDV Ministros | Fernán Quirós - 26/6 </v>
      </c>
      <c r="C1698" s="29" t="str">
        <f>IFERROR(__xludf.DUMMYFUNCTION("""COMPUTED_VALUE"""),"Pieza")</f>
        <v>Pieza</v>
      </c>
      <c r="D1698" s="28"/>
      <c r="E1698" s="28"/>
      <c r="F1698" s="28"/>
    </row>
    <row r="1699">
      <c r="A1699" s="28" t="str">
        <f>IFERROR(__xludf.DUMMYFUNCTION("""COMPUTED_VALUE"""),"1964-SEPEPHGC")</f>
        <v>1964-SEPEPHGC</v>
      </c>
      <c r="B1699" s="28" t="str">
        <f>IFERROR(__xludf.DUMMYFUNCTION("""COMPUTED_VALUE"""),"MEPHU RECAMBIO TECNOLÓGICO M2")</f>
        <v>MEPHU RECAMBIO TECNOLÓGICO M2</v>
      </c>
      <c r="C1699" s="29" t="str">
        <f>IFERROR(__xludf.DUMMYFUNCTION("""COMPUTED_VALUE"""),"Pieza")</f>
        <v>Pieza</v>
      </c>
      <c r="D1699" s="28"/>
      <c r="E1699" s="28"/>
      <c r="F1699" s="28"/>
    </row>
    <row r="1700">
      <c r="A1700" s="28" t="str">
        <f>IFERROR(__xludf.DUMMYFUNCTION("""COMPUTED_VALUE"""),"1946-SEPEPHGC")</f>
        <v>1946-SEPEPHGC</v>
      </c>
      <c r="B1700" s="28" t="str">
        <f>IFERROR(__xludf.DUMMYFUNCTION("""COMPUTED_VALUE"""),"CAMPAÑA GCBA | MEPHU  | PLUVIALES")</f>
        <v>CAMPAÑA GCBA | MEPHU  | PLUVIALES</v>
      </c>
      <c r="C1700" s="29" t="str">
        <f>IFERROR(__xludf.DUMMYFUNCTION("""COMPUTED_VALUE"""),"Pieza")</f>
        <v>Pieza</v>
      </c>
      <c r="D1700" s="28"/>
      <c r="E1700" s="28"/>
      <c r="F1700" s="28"/>
    </row>
    <row r="1701">
      <c r="A1701" s="28" t="str">
        <f>IFERROR(__xludf.DUMMYFUNCTION("""COMPUTED_VALUE"""),"1942-SEPEPHGC")</f>
        <v>1942-SEPEPHGC</v>
      </c>
      <c r="B1701" s="28" t="str">
        <f>IFERROR(__xludf.DUMMYFUNCTION("""COMPUTED_VALUE"""),"DGPLES | MEPHU  | REPARACIÓN DE VEREDAS")</f>
        <v>DGPLES | MEPHU  | REPARACIÓN DE VEREDAS</v>
      </c>
      <c r="C1701" s="29" t="str">
        <f>IFERROR(__xludf.DUMMYFUNCTION("""COMPUTED_VALUE"""),"Pieza")</f>
        <v>Pieza</v>
      </c>
      <c r="D1701" s="28"/>
      <c r="E1701" s="28"/>
      <c r="F1701" s="28"/>
    </row>
    <row r="1702">
      <c r="A1702" s="28" t="str">
        <f>IFERROR(__xludf.DUMMYFUNCTION("""COMPUTED_VALUE"""),"1942-SEPEPHGC")</f>
        <v>1942-SEPEPHGC</v>
      </c>
      <c r="B1702" s="28" t="str">
        <f>IFERROR(__xludf.DUMMYFUNCTION("""COMPUTED_VALUE"""),"DGPLES | MEPHU  | REPARACIÓN DE VEREDAS")</f>
        <v>DGPLES | MEPHU  | REPARACIÓN DE VEREDAS</v>
      </c>
      <c r="C1702" s="29" t="str">
        <f>IFERROR(__xludf.DUMMYFUNCTION("""COMPUTED_VALUE"""),"Pieza")</f>
        <v>Pieza</v>
      </c>
      <c r="D1702" s="28"/>
      <c r="E1702" s="28"/>
      <c r="F1702" s="28"/>
    </row>
    <row r="1703">
      <c r="A1703" s="28" t="str">
        <f>IFERROR(__xludf.DUMMYFUNCTION("""COMPUTED_VALUE"""),"1475-JUNDDHFO")</f>
        <v>1475-JUNDDHFO</v>
      </c>
      <c r="B1703" s="28" t="str">
        <f>IFERROR(__xludf.DUMMYFUNCTION("""COMPUTED_VALUE"""),"Formularios | Analista de Tráfico")</f>
        <v>Formularios | Analista de Tráfico</v>
      </c>
      <c r="C1703" s="29" t="str">
        <f>IFERROR(__xludf.DUMMYFUNCTION("""COMPUTED_VALUE"""),"Pieza")</f>
        <v>Pieza</v>
      </c>
      <c r="D1703" s="28"/>
      <c r="E1703" s="28"/>
      <c r="F1703" s="28"/>
    </row>
    <row r="1704">
      <c r="A1704" s="28" t="str">
        <f>IFERROR(__xludf.DUMMYFUNCTION("""COMPUTED_VALUE"""),"2994-MAYEPHGC")</f>
        <v>2994-MAYEPHGC</v>
      </c>
      <c r="B1704" s="28" t="str">
        <f>IFERROR(__xludf.DUMMYFUNCTION("""COMPUTED_VALUE"""),"Luminarias Peatonales - Post")</f>
        <v>Luminarias Peatonales - Post</v>
      </c>
      <c r="C1704" s="29" t="str">
        <f>IFERROR(__xludf.DUMMYFUNCTION("""COMPUTED_VALUE"""),"Pieza")</f>
        <v>Pieza</v>
      </c>
      <c r="D1704" s="28"/>
      <c r="E1704" s="28"/>
      <c r="F1704" s="28"/>
    </row>
    <row r="1705">
      <c r="A1705" s="28" t="str">
        <f>IFERROR(__xludf.DUMMYFUNCTION("""COMPUTED_VALUE"""),"3240-JUNSEGVC")</f>
        <v>3240-JUNSEGVC</v>
      </c>
      <c r="B1705" s="28" t="str">
        <f>IFERROR(__xludf.DUMMYFUNCTION("""COMPUTED_VALUE"""),"RDV Ministros | Ruth Landerrece 25/6 Comuna 13")</f>
        <v>RDV Ministros | Ruth Landerrece 25/6 Comuna 13</v>
      </c>
      <c r="C1705" s="29" t="str">
        <f>IFERROR(__xludf.DUMMYFUNCTION("""COMPUTED_VALUE"""),"Pieza")</f>
        <v>Pieza</v>
      </c>
      <c r="D1705" s="28"/>
      <c r="E1705" s="28"/>
      <c r="F1705" s="28"/>
    </row>
    <row r="1706">
      <c r="A1706" s="28" t="str">
        <f>IFERROR(__xludf.DUMMYFUNCTION("""COMPUTED_VALUE"""),"3252-JUNVINGC")</f>
        <v>3252-JUNVINGC</v>
      </c>
      <c r="B1706" s="28" t="str">
        <f>IFERROR(__xludf.DUMMYFUNCTION("""COMPUTED_VALUE"""),"Más servicios en tu barrio - 1/7 - Barracas")</f>
        <v>Más servicios en tu barrio - 1/7 - Barracas</v>
      </c>
      <c r="C1706" s="29" t="str">
        <f>IFERROR(__xludf.DUMMYFUNCTION("""COMPUTED_VALUE"""),"Pieza")</f>
        <v>Pieza</v>
      </c>
      <c r="D1706" s="28"/>
      <c r="E1706" s="28"/>
      <c r="F1706" s="28"/>
    </row>
    <row r="1707">
      <c r="A1707" s="28" t="str">
        <f>IFERROR(__xludf.DUMMYFUNCTION("""COMPUTED_VALUE"""),"2033-SEPEPHGC")</f>
        <v>2033-SEPEPHGC</v>
      </c>
      <c r="B1707" s="28" t="str">
        <f>IFERROR(__xludf.DUMMYFUNCTION("""COMPUTED_VALUE"""),"M2 PODA")</f>
        <v>M2 PODA</v>
      </c>
      <c r="C1707" s="29" t="str">
        <f>IFERROR(__xludf.DUMMYFUNCTION("""COMPUTED_VALUE"""),"Pieza")</f>
        <v>Pieza</v>
      </c>
      <c r="D1707" s="28"/>
      <c r="E1707" s="28"/>
      <c r="F1707" s="28"/>
    </row>
    <row r="1708">
      <c r="A1708" s="28" t="str">
        <f>IFERROR(__xludf.DUMMYFUNCTION("""COMPUTED_VALUE"""),"2033-SEPEPHGC")</f>
        <v>2033-SEPEPHGC</v>
      </c>
      <c r="B1708" s="28" t="str">
        <f>IFERROR(__xludf.DUMMYFUNCTION("""COMPUTED_VALUE"""),"M2 PODA")</f>
        <v>M2 PODA</v>
      </c>
      <c r="C1708" s="29" t="str">
        <f>IFERROR(__xludf.DUMMYFUNCTION("""COMPUTED_VALUE"""),"Pieza")</f>
        <v>Pieza</v>
      </c>
      <c r="D1708" s="28"/>
      <c r="E1708" s="28"/>
      <c r="F1708" s="28"/>
    </row>
    <row r="1709">
      <c r="A1709" s="28" t="str">
        <f>IFERROR(__xludf.DUMMYFUNCTION("""COMPUTED_VALUE"""),"1921-SEPAMBGC")</f>
        <v>1921-SEPAMBGC</v>
      </c>
      <c r="B1709" s="28" t="str">
        <f>IFERROR(__xludf.DUMMYFUNCTION("""COMPUTED_VALUE"""),"Vacunación Antirrabica Animales")</f>
        <v>Vacunación Antirrabica Animales</v>
      </c>
      <c r="C1709" s="29" t="str">
        <f>IFERROR(__xludf.DUMMYFUNCTION("""COMPUTED_VALUE"""),"Pieza")</f>
        <v>Pieza</v>
      </c>
      <c r="D1709" s="28"/>
      <c r="E1709" s="28"/>
      <c r="F1709" s="28"/>
    </row>
    <row r="1710">
      <c r="A1710" s="28" t="str">
        <f>IFERROR(__xludf.DUMMYFUNCTION("""COMPUTED_VALUE"""),"3265-JUNSEGVC")</f>
        <v>3265-JUNSEGVC</v>
      </c>
      <c r="B1710" s="28" t="str">
        <f>IFERROR(__xludf.DUMMYFUNCTION("""COMPUTED_VALUE"""),"RDV MINISTROS | EZEQUIEL SABOR 29/6 COMUNA 3")</f>
        <v>RDV MINISTROS | EZEQUIEL SABOR 29/6 COMUNA 3</v>
      </c>
      <c r="C1710" s="29" t="str">
        <f>IFERROR(__xludf.DUMMYFUNCTION("""COMPUTED_VALUE"""),"Pieza")</f>
        <v>Pieza</v>
      </c>
      <c r="D1710" s="28"/>
      <c r="E1710" s="28"/>
      <c r="F1710" s="28"/>
    </row>
    <row r="1711">
      <c r="A1711" s="28" t="str">
        <f>IFERROR(__xludf.DUMMYFUNCTION("""COMPUTED_VALUE"""),"3199-JUNDUDGC")</f>
        <v>3199-JUNDUDGC</v>
      </c>
      <c r="B1711" s="28" t="str">
        <f>IFERROR(__xludf.DUMMYFUNCTION("""COMPUTED_VALUE"""),"Sorteo entradas GCBA | 9k Carrera de la independencia")</f>
        <v>Sorteo entradas GCBA | 9k Carrera de la independencia</v>
      </c>
      <c r="C1711" s="29" t="str">
        <f>IFERROR(__xludf.DUMMYFUNCTION("""COMPUTED_VALUE"""),"Pieza")</f>
        <v>Pieza</v>
      </c>
      <c r="D1711" s="28"/>
      <c r="E1711" s="28"/>
      <c r="F1711" s="28"/>
    </row>
    <row r="1712">
      <c r="A1712" s="28" t="str">
        <f>IFERROR(__xludf.DUMMYFUNCTION("""COMPUTED_VALUE"""),"3262-JUNINFVC")</f>
        <v>3262-JUNINFVC</v>
      </c>
      <c r="B1712" s="28" t="str">
        <f>IFERROR(__xludf.DUMMYFUNCTION("""COMPUTED_VALUE"""),"RDV Ministros | Pablo Bereciartua 1/7")</f>
        <v>RDV Ministros | Pablo Bereciartua 1/7</v>
      </c>
      <c r="C1712" s="29" t="str">
        <f>IFERROR(__xludf.DUMMYFUNCTION("""COMPUTED_VALUE"""),"Pieza")</f>
        <v>Pieza</v>
      </c>
      <c r="D1712" s="28"/>
      <c r="E1712" s="28"/>
      <c r="F1712" s="28"/>
    </row>
    <row r="1713">
      <c r="A1713" s="28" t="str">
        <f>IFERROR(__xludf.DUMMYFUNCTION("""COMPUTED_VALUE"""),"3239-JUNSEGVC")</f>
        <v>3239-JUNSEGVC</v>
      </c>
      <c r="B1713" s="28" t="str">
        <f>IFERROR(__xludf.DUMMYFUNCTION("""COMPUTED_VALUE"""),"RDV Ministros | Maximiliano Piñeiro 25/6 Comuna 12")</f>
        <v>RDV Ministros | Maximiliano Piñeiro 25/6 Comuna 12</v>
      </c>
      <c r="C1713" s="29" t="str">
        <f>IFERROR(__xludf.DUMMYFUNCTION("""COMPUTED_VALUE"""),"Pieza")</f>
        <v>Pieza</v>
      </c>
      <c r="D1713" s="28"/>
      <c r="E1713" s="28"/>
      <c r="F1713" s="28"/>
    </row>
    <row r="1714">
      <c r="A1714" s="28" t="str">
        <f>IFERROR(__xludf.DUMMYFUNCTION("""COMPUTED_VALUE"""),"3256-JUNINFGC")</f>
        <v>3256-JUNINFGC</v>
      </c>
      <c r="B1714" s="28" t="str">
        <f>IFERROR(__xludf.DUMMYFUNCTION("""COMPUTED_VALUE"""),"CORTES Y DESVÍOS POR MUNDIAL DESCENTRALIZADO: MODO HINCHA EN BA")</f>
        <v>CORTES Y DESVÍOS POR MUNDIAL DESCENTRALIZADO: MODO HINCHA EN BA</v>
      </c>
      <c r="C1714" s="29" t="str">
        <f>IFERROR(__xludf.DUMMYFUNCTION("""COMPUTED_VALUE"""),"Pieza")</f>
        <v>Pieza</v>
      </c>
      <c r="D1714" s="28"/>
      <c r="E1714" s="28"/>
      <c r="F1714" s="28"/>
    </row>
    <row r="1715">
      <c r="A1715" s="28" t="str">
        <f>IFERROR(__xludf.DUMMYFUNCTION("""COMPUTED_VALUE"""),"3258-JUNJDGGJ")</f>
        <v>3258-JUNJDGGJ</v>
      </c>
      <c r="B1715" s="28" t="str">
        <f>IFERROR(__xludf.DUMMYFUNCTION("""COMPUTED_VALUE"""),"Decreto: Declaración de servicios esenciales")</f>
        <v>Decreto: Declaración de servicios esenciales</v>
      </c>
      <c r="C1715" s="29" t="str">
        <f>IFERROR(__xludf.DUMMYFUNCTION("""COMPUTED_VALUE"""),"Pieza")</f>
        <v>Pieza</v>
      </c>
      <c r="D1715" s="28"/>
      <c r="E1715" s="28"/>
      <c r="F1715" s="28"/>
    </row>
    <row r="1716">
      <c r="A1716" s="28" t="str">
        <f>IFERROR(__xludf.DUMMYFUNCTION("""COMPUTED_VALUE"""),"3241-JUNSEGVC")</f>
        <v>3241-JUNSEGVC</v>
      </c>
      <c r="B1716" s="28" t="str">
        <f>IFERROR(__xludf.DUMMYFUNCTION("""COMPUTED_VALUE"""),"RDV Ministros | Horacio Gimenez  25/6 Comuna 14")</f>
        <v>RDV Ministros | Horacio Gimenez  25/6 Comuna 14</v>
      </c>
      <c r="C1716" s="29" t="str">
        <f>IFERROR(__xludf.DUMMYFUNCTION("""COMPUTED_VALUE"""),"Pieza")</f>
        <v>Pieza</v>
      </c>
      <c r="D1716" s="28"/>
      <c r="E1716" s="28"/>
      <c r="F1716" s="28"/>
    </row>
    <row r="1717">
      <c r="A1717" s="28" t="str">
        <f>IFERROR(__xludf.DUMMYFUNCTION("""COMPUTED_VALUE"""),"3259-JUNEDUGC")</f>
        <v>3259-JUNEDUGC</v>
      </c>
      <c r="B1717" s="28" t="str">
        <f>IFERROR(__xludf.DUMMYFUNCTION("""COMPUTED_VALUE"""),"Premio Docentes de la Ciudad 2026")</f>
        <v>Premio Docentes de la Ciudad 2026</v>
      </c>
      <c r="C1717" s="29" t="str">
        <f>IFERROR(__xludf.DUMMYFUNCTION("""COMPUTED_VALUE"""),"Pieza")</f>
        <v>Pieza</v>
      </c>
      <c r="D1717" s="28"/>
      <c r="E1717" s="28"/>
      <c r="F1717" s="28"/>
    </row>
    <row r="1718">
      <c r="A1718" s="28" t="str">
        <f>IFERROR(__xludf.DUMMYFUNCTION("""COMPUTED_VALUE"""),"3242-JUNSEGVC")</f>
        <v>3242-JUNSEGVC</v>
      </c>
      <c r="B1718" s="28" t="str">
        <f>IFERROR(__xludf.DUMMYFUNCTION("""COMPUTED_VALUE"""),"RDV Ministros | Gabino Tapia 25/6 Comuna 15")</f>
        <v>RDV Ministros | Gabino Tapia 25/6 Comuna 15</v>
      </c>
      <c r="C1718" s="29" t="str">
        <f>IFERROR(__xludf.DUMMYFUNCTION("""COMPUTED_VALUE"""),"Pieza")</f>
        <v>Pieza</v>
      </c>
      <c r="D1718" s="28"/>
      <c r="E1718" s="28"/>
      <c r="F1718" s="28"/>
    </row>
    <row r="1719">
      <c r="A1719" s="28" t="str">
        <f>IFERROR(__xludf.DUMMYFUNCTION("""COMPUTED_VALUE"""),"3247-JUNSALVC")</f>
        <v>3247-JUNSALVC</v>
      </c>
      <c r="B1719" s="28" t="str">
        <f>IFERROR(__xludf.DUMMYFUNCTION("""COMPUTED_VALUE"""),"RDV Ministros | Fernán Quirós - 26/6 ")</f>
        <v>RDV Ministros | Fernán Quirós - 26/6 </v>
      </c>
      <c r="C1719" s="29" t="str">
        <f>IFERROR(__xludf.DUMMYFUNCTION("""COMPUTED_VALUE"""),"Pieza")</f>
        <v>Pieza</v>
      </c>
      <c r="D1719" s="28"/>
      <c r="E1719" s="28"/>
      <c r="F1719" s="28"/>
    </row>
    <row r="1720">
      <c r="A1720" s="28" t="str">
        <f>IFERROR(__xludf.DUMMYFUNCTION("""COMPUTED_VALUE"""),"3200-JUNJUSGC")</f>
        <v>3200-JUNJUSGC</v>
      </c>
      <c r="B1720" s="28" t="str">
        <f>IFERROR(__xludf.DUMMYFUNCTION("""COMPUTED_VALUE"""),"Audiencias virtuales dgai")</f>
        <v>Audiencias virtuales dgai</v>
      </c>
      <c r="C1720" s="29" t="str">
        <f>IFERROR(__xludf.DUMMYFUNCTION("""COMPUTED_VALUE"""),"Pieza")</f>
        <v>Pieza</v>
      </c>
      <c r="D1720" s="28"/>
      <c r="E1720" s="28"/>
      <c r="F1720" s="28"/>
    </row>
    <row r="1721">
      <c r="A1721" s="28" t="str">
        <f>IFERROR(__xludf.DUMMYFUNCTION("""COMPUTED_VALUE"""),"3200-JUNJUSGC")</f>
        <v>3200-JUNJUSGC</v>
      </c>
      <c r="B1721" s="28" t="str">
        <f>IFERROR(__xludf.DUMMYFUNCTION("""COMPUTED_VALUE"""),"Audiencias virtuales dgai")</f>
        <v>Audiencias virtuales dgai</v>
      </c>
      <c r="C1721" s="29" t="str">
        <f>IFERROR(__xludf.DUMMYFUNCTION("""COMPUTED_VALUE"""),"Pieza")</f>
        <v>Pieza</v>
      </c>
      <c r="D1721" s="28"/>
      <c r="E1721" s="28"/>
      <c r="F1721" s="28"/>
    </row>
    <row r="1722">
      <c r="A1722" s="28" t="str">
        <f>IFERROR(__xludf.DUMMYFUNCTION("""COMPUTED_VALUE"""),"3264-JUNCULVC")</f>
        <v>3264-JUNCULVC</v>
      </c>
      <c r="B1722" s="28" t="str">
        <f>IFERROR(__xludf.DUMMYFUNCTION("""COMPUTED_VALUE"""),"RDV Ministros | Gabriela Ricardes 29/6 Comuna 9")</f>
        <v>RDV Ministros | Gabriela Ricardes 29/6 Comuna 9</v>
      </c>
      <c r="C1722" s="29" t="str">
        <f>IFERROR(__xludf.DUMMYFUNCTION("""COMPUTED_VALUE"""),"Pieza")</f>
        <v>Pieza</v>
      </c>
      <c r="D1722" s="28"/>
      <c r="E1722" s="28"/>
      <c r="F1722" s="28"/>
    </row>
    <row r="1723">
      <c r="A1723" s="28" t="str">
        <f>IFERROR(__xludf.DUMMYFUNCTION("""COMPUTED_VALUE"""),"3253-JUNVINGC")</f>
        <v>3253-JUNVINGC</v>
      </c>
      <c r="B1723" s="28" t="str">
        <f>IFERROR(__xludf.DUMMYFUNCTION("""COMPUTED_VALUE"""),"Más servicios en tu barrio - 2/7 - Villa Urquiza")</f>
        <v>Más servicios en tu barrio - 2/7 - Villa Urquiza</v>
      </c>
      <c r="C1723" s="29" t="str">
        <f>IFERROR(__xludf.DUMMYFUNCTION("""COMPUTED_VALUE"""),"Pieza")</f>
        <v>Pieza</v>
      </c>
      <c r="D1723" s="28"/>
      <c r="E1723" s="28"/>
      <c r="F1723" s="28"/>
    </row>
    <row r="1724">
      <c r="A1724" s="28" t="str">
        <f>IFERROR(__xludf.DUMMYFUNCTION("""COMPUTED_VALUE"""),"3254-JUNVINGC")</f>
        <v>3254-JUNVINGC</v>
      </c>
      <c r="B1724" s="28" t="str">
        <f>IFERROR(__xludf.DUMMYFUNCTION("""COMPUTED_VALUE"""),"Más servicios en tu barrio - 3/7 - Núñez")</f>
        <v>Más servicios en tu barrio - 3/7 - Núñez</v>
      </c>
      <c r="C1724" s="29" t="str">
        <f>IFERROR(__xludf.DUMMYFUNCTION("""COMPUTED_VALUE"""),"Pieza")</f>
        <v>Pieza</v>
      </c>
      <c r="D1724" s="28"/>
      <c r="E1724" s="28"/>
      <c r="F1724" s="28"/>
    </row>
    <row r="1725">
      <c r="A1725" s="28" t="str">
        <f>IFERROR(__xludf.DUMMYFUNCTION("""COMPUTED_VALUE"""),"3265-JUNSEGVC")</f>
        <v>3265-JUNSEGVC</v>
      </c>
      <c r="B1725" s="28" t="str">
        <f>IFERROR(__xludf.DUMMYFUNCTION("""COMPUTED_VALUE"""),"RDV MINISTROS | EZEQUIEL SABOR 29/6 COMUNA 3")</f>
        <v>RDV MINISTROS | EZEQUIEL SABOR 29/6 COMUNA 3</v>
      </c>
      <c r="C1725" s="29" t="str">
        <f>IFERROR(__xludf.DUMMYFUNCTION("""COMPUTED_VALUE"""),"Pieza")</f>
        <v>Pieza</v>
      </c>
      <c r="D1725" s="28"/>
      <c r="E1725" s="28"/>
      <c r="F1725" s="28"/>
    </row>
    <row r="1726">
      <c r="A1726" s="28" t="str">
        <f>IFERROR(__xludf.DUMMYFUNCTION("""COMPUTED_VALUE"""),"3272-JUNSEGVC")</f>
        <v>3272-JUNSEGVC</v>
      </c>
      <c r="B1726" s="28" t="str">
        <f>IFERROR(__xludf.DUMMYFUNCTION("""COMPUTED_VALUE"""),"RDV Ministros | Ruth Landerreche 2/7 Comuna 1 Sur")</f>
        <v>RDV Ministros | Ruth Landerreche 2/7 Comuna 1 Sur</v>
      </c>
      <c r="C1726" s="29" t="str">
        <f>IFERROR(__xludf.DUMMYFUNCTION("""COMPUTED_VALUE"""),"Pieza")</f>
        <v>Pieza</v>
      </c>
      <c r="D1726" s="28"/>
      <c r="E1726" s="28"/>
      <c r="F1726" s="28"/>
    </row>
    <row r="1727">
      <c r="A1727" s="28" t="str">
        <f>IFERROR(__xludf.DUMMYFUNCTION("""COMPUTED_VALUE"""),"3213-JUNINFGC")</f>
        <v>3213-JUNINFGC</v>
      </c>
      <c r="B1727" s="28" t="str">
        <f>IFERROR(__xludf.DUMMYFUNCTION("""COMPUTED_VALUE"""),"Av Fernández de la Cruz: fin de obra")</f>
        <v>Av Fernández de la Cruz: fin de obra</v>
      </c>
      <c r="C1727" s="29" t="str">
        <f>IFERROR(__xludf.DUMMYFUNCTION("""COMPUTED_VALUE"""),"Pieza")</f>
        <v>Pieza</v>
      </c>
      <c r="D1727" s="28"/>
      <c r="E1727" s="28"/>
      <c r="F1727" s="28"/>
    </row>
    <row r="1728">
      <c r="A1728" s="28" t="str">
        <f>IFERROR(__xludf.DUMMYFUNCTION("""COMPUTED_VALUE"""),"3273-JUNSEGVC")</f>
        <v>3273-JUNSEGVC</v>
      </c>
      <c r="B1728" s="28" t="str">
        <f>IFERROR(__xludf.DUMMYFUNCTION("""COMPUTED_VALUE"""),"RDV Ministros | Maximiliano Piñeiro 2/7 Comuna 1 Norte")</f>
        <v>RDV Ministros | Maximiliano Piñeiro 2/7 Comuna 1 Norte</v>
      </c>
      <c r="C1728" s="29" t="str">
        <f>IFERROR(__xludf.DUMMYFUNCTION("""COMPUTED_VALUE"""),"Pieza")</f>
        <v>Pieza</v>
      </c>
      <c r="D1728" s="28"/>
      <c r="E1728" s="28"/>
      <c r="F1728" s="28"/>
    </row>
    <row r="1729">
      <c r="A1729" s="28" t="str">
        <f>IFERROR(__xludf.DUMMYFUNCTION("""COMPUTED_VALUE"""),"3258-JUNJDGGJ")</f>
        <v>3258-JUNJDGGJ</v>
      </c>
      <c r="B1729" s="28" t="str">
        <f>IFERROR(__xludf.DUMMYFUNCTION("""COMPUTED_VALUE"""),"Decreto: Declaración de servicios esenciales")</f>
        <v>Decreto: Declaración de servicios esenciales</v>
      </c>
      <c r="C1729" s="29" t="str">
        <f>IFERROR(__xludf.DUMMYFUNCTION("""COMPUTED_VALUE"""),"Pieza")</f>
        <v>Pieza</v>
      </c>
      <c r="D1729" s="28"/>
      <c r="E1729" s="28"/>
      <c r="F1729" s="28"/>
    </row>
    <row r="1730">
      <c r="A1730" s="28" t="str">
        <f>IFERROR(__xludf.DUMMYFUNCTION("""COMPUTED_VALUE"""),"3275-JUNSEGVC")</f>
        <v>3275-JUNSEGVC</v>
      </c>
      <c r="B1730" s="28" t="str">
        <f>IFERROR(__xludf.DUMMYFUNCTION("""COMPUTED_VALUE"""),"RDV Ministros | Horacio Giménez 2/7 Comuna 2")</f>
        <v>RDV Ministros | Horacio Giménez 2/7 Comuna 2</v>
      </c>
      <c r="C1730" s="29" t="str">
        <f>IFERROR(__xludf.DUMMYFUNCTION("""COMPUTED_VALUE"""),"Pieza")</f>
        <v>Pieza</v>
      </c>
      <c r="D1730" s="28"/>
      <c r="E1730" s="28"/>
      <c r="F1730" s="28"/>
    </row>
    <row r="1731">
      <c r="A1731" s="28" t="str">
        <f>IFERROR(__xludf.DUMMYFUNCTION("""COMPUTED_VALUE"""),"3263-JUNJDGVC")</f>
        <v>3263-JUNJDGVC</v>
      </c>
      <c r="B1731" s="28" t="str">
        <f>IFERROR(__xludf.DUMMYFUNCTION("""COMPUTED_VALUE"""),"RDV Ministros | Gabriel Sánchez Zinny 2/7")</f>
        <v>RDV Ministros | Gabriel Sánchez Zinny 2/7</v>
      </c>
      <c r="C1731" s="29" t="str">
        <f>IFERROR(__xludf.DUMMYFUNCTION("""COMPUTED_VALUE"""),"Pieza")</f>
        <v>Pieza</v>
      </c>
      <c r="D1731" s="28"/>
      <c r="E1731" s="28"/>
      <c r="F1731" s="28"/>
    </row>
    <row r="1732">
      <c r="A1732" s="28" t="str">
        <f>IFERROR(__xludf.DUMMYFUNCTION("""COMPUTED_VALUE"""),"3220-JUNSEGGJ")</f>
        <v>3220-JUNSEGGJ</v>
      </c>
      <c r="B1732" s="28" t="str">
        <f>IFERROR(__xludf.DUMMYFUNCTION("""COMPUTED_VALUE"""),"Sesiones Legislativas | Temas: Trapitos + VTV")</f>
        <v>Sesiones Legislativas | Temas: Trapitos + VTV</v>
      </c>
      <c r="C1732" s="29" t="str">
        <f>IFERROR(__xludf.DUMMYFUNCTION("""COMPUTED_VALUE"""),"Pieza")</f>
        <v>Pieza</v>
      </c>
      <c r="D1732" s="28"/>
      <c r="E1732" s="28"/>
      <c r="F1732" s="28"/>
    </row>
    <row r="1733">
      <c r="A1733" s="28" t="str">
        <f>IFERROR(__xludf.DUMMYFUNCTION("""COMPUTED_VALUE"""),"3220-JUNSEGGJ")</f>
        <v>3220-JUNSEGGJ</v>
      </c>
      <c r="B1733" s="28" t="str">
        <f>IFERROR(__xludf.DUMMYFUNCTION("""COMPUTED_VALUE"""),"Sesiones Legislativas | Temas: Trapitos + VTV")</f>
        <v>Sesiones Legislativas | Temas: Trapitos + VTV</v>
      </c>
      <c r="C1733" s="29" t="str">
        <f>IFERROR(__xludf.DUMMYFUNCTION("""COMPUTED_VALUE"""),"Pieza")</f>
        <v>Pieza</v>
      </c>
      <c r="D1733" s="28"/>
      <c r="E1733" s="28"/>
      <c r="F1733" s="28"/>
    </row>
    <row r="1734">
      <c r="A1734" s="28" t="str">
        <f>IFERROR(__xludf.DUMMYFUNCTION("""COMPUTED_VALUE"""),"3258-JUNJDGGJ")</f>
        <v>3258-JUNJDGGJ</v>
      </c>
      <c r="B1734" s="28" t="str">
        <f>IFERROR(__xludf.DUMMYFUNCTION("""COMPUTED_VALUE"""),"Decreto: Declaración de servicios esenciales")</f>
        <v>Decreto: Declaración de servicios esenciales</v>
      </c>
      <c r="C1734" s="29" t="str">
        <f>IFERROR(__xludf.DUMMYFUNCTION("""COMPUTED_VALUE"""),"Pieza")</f>
        <v>Pieza</v>
      </c>
      <c r="D1734" s="28"/>
      <c r="E1734" s="28"/>
      <c r="F1734" s="28"/>
    </row>
    <row r="1735">
      <c r="A1735" s="28" t="str">
        <f>IFERROR(__xludf.DUMMYFUNCTION("""COMPUTED_VALUE"""),"3255-JUNCCRSGC")</f>
        <v>3255-JUNCCRSGC</v>
      </c>
      <c r="B1735" s="28" t="str">
        <f>IFERROR(__xludf.DUMMYFUNCTION("""COMPUTED_VALUE"""),"Programa Proyectate")</f>
        <v>Programa Proyectate</v>
      </c>
      <c r="C1735" s="29" t="str">
        <f>IFERROR(__xludf.DUMMYFUNCTION("""COMPUTED_VALUE"""),"Pieza")</f>
        <v>Pieza</v>
      </c>
      <c r="D1735" s="28"/>
      <c r="E1735" s="28"/>
      <c r="F1735" s="28"/>
    </row>
    <row r="1736">
      <c r="A1736" s="28" t="str">
        <f>IFERROR(__xludf.DUMMYFUNCTION("""COMPUTED_VALUE"""),"3255-JUNCCRSGC")</f>
        <v>3255-JUNCCRSGC</v>
      </c>
      <c r="B1736" s="28" t="str">
        <f>IFERROR(__xludf.DUMMYFUNCTION("""COMPUTED_VALUE"""),"Programa Proyectate")</f>
        <v>Programa Proyectate</v>
      </c>
      <c r="C1736" s="29" t="str">
        <f>IFERROR(__xludf.DUMMYFUNCTION("""COMPUTED_VALUE"""),"Pieza")</f>
        <v>Pieza</v>
      </c>
      <c r="D1736" s="28"/>
      <c r="E1736" s="28"/>
      <c r="F1736" s="28"/>
    </row>
    <row r="1737">
      <c r="A1737" s="28" t="str">
        <f>IFERROR(__xludf.DUMMYFUNCTION("""COMPUTED_VALUE"""),"3264-JUNCULVC")</f>
        <v>3264-JUNCULVC</v>
      </c>
      <c r="B1737" s="28" t="str">
        <f>IFERROR(__xludf.DUMMYFUNCTION("""COMPUTED_VALUE"""),"RDV Ministros | Gabriela Ricardes 29/6 Comuna 9")</f>
        <v>RDV Ministros | Gabriela Ricardes 29/6 Comuna 9</v>
      </c>
      <c r="C1737" s="29" t="str">
        <f>IFERROR(__xludf.DUMMYFUNCTION("""COMPUTED_VALUE"""),"Pieza")</f>
        <v>Pieza</v>
      </c>
      <c r="D1737" s="28"/>
      <c r="E1737" s="28"/>
      <c r="F1737" s="28"/>
    </row>
    <row r="1738">
      <c r="A1738" s="28" t="str">
        <f>IFERROR(__xludf.DUMMYFUNCTION("""COMPUTED_VALUE"""),"3262-JUNINFVC")</f>
        <v>3262-JUNINFVC</v>
      </c>
      <c r="B1738" s="28" t="str">
        <f>IFERROR(__xludf.DUMMYFUNCTION("""COMPUTED_VALUE"""),"RDV Ministros | Pablo Bereciartua 1/7")</f>
        <v>RDV Ministros | Pablo Bereciartua 1/7</v>
      </c>
      <c r="C1738" s="29" t="str">
        <f>IFERROR(__xludf.DUMMYFUNCTION("""COMPUTED_VALUE"""),"Pieza")</f>
        <v>Pieza</v>
      </c>
      <c r="D1738" s="28"/>
      <c r="E1738" s="28"/>
      <c r="F1738" s="28"/>
    </row>
    <row r="1739">
      <c r="A1739" s="28" t="str">
        <f>IFERROR(__xludf.DUMMYFUNCTION("""COMPUTED_VALUE"""),"3216-JUNJDGAG")</f>
        <v>3216-JUNJDGAG</v>
      </c>
      <c r="B1739" s="28" t="str">
        <f>IFERROR(__xludf.DUMMYFUNCTION("""COMPUTED_VALUE"""),"RDV JM | TE CUENTO | CIUDAD ATRACTIVA EJE SUR 25/6")</f>
        <v>RDV JM | TE CUENTO | CIUDAD ATRACTIVA EJE SUR 25/6</v>
      </c>
      <c r="C1739" s="29" t="str">
        <f>IFERROR(__xludf.DUMMYFUNCTION("""COMPUTED_VALUE"""),"Pieza")</f>
        <v>Pieza</v>
      </c>
      <c r="D1739" s="28"/>
      <c r="E1739" s="28"/>
      <c r="F1739" s="28"/>
    </row>
    <row r="1740">
      <c r="A1740" s="28" t="str">
        <f>IFERROR(__xludf.DUMMYFUNCTION("""COMPUTED_VALUE"""),"3248-JUNJDGVC")</f>
        <v>3248-JUNJDGVC</v>
      </c>
      <c r="B1740" s="28" t="str">
        <f>IFERROR(__xludf.DUMMYFUNCTION("""COMPUTED_VALUE"""),"RDV Ministros | Gabriel Sánchez Zinny - 26/6")</f>
        <v>RDV Ministros | Gabriel Sánchez Zinny - 26/6</v>
      </c>
      <c r="C1740" s="29" t="str">
        <f>IFERROR(__xludf.DUMMYFUNCTION("""COMPUTED_VALUE"""),"Pieza")</f>
        <v>Pieza</v>
      </c>
      <c r="D1740" s="28"/>
      <c r="E1740" s="28"/>
      <c r="F1740" s="28"/>
    </row>
    <row r="1741">
      <c r="A1741" s="28" t="str">
        <f>IFERROR(__xludf.DUMMYFUNCTION("""COMPUTED_VALUE"""),"3266-JUNSALGC")</f>
        <v>3266-JUNSALGC</v>
      </c>
      <c r="B1741" s="28" t="str">
        <f>IFERROR(__xludf.DUMMYFUNCTION("""COMPUTED_VALUE"""),"Primer trasplante renal pediátrico de dos hospitales de la Ciudad")</f>
        <v>Primer trasplante renal pediátrico de dos hospitales de la Ciudad</v>
      </c>
      <c r="C1741" s="29" t="str">
        <f>IFERROR(__xludf.DUMMYFUNCTION("""COMPUTED_VALUE"""),"Pieza")</f>
        <v>Pieza</v>
      </c>
      <c r="D1741" s="28"/>
      <c r="E1741" s="28"/>
      <c r="F1741" s="28"/>
    </row>
    <row r="1742">
      <c r="A1742" s="28" t="str">
        <f>IFERROR(__xludf.DUMMYFUNCTION("""COMPUTED_VALUE"""),"3266-JUNSALGC")</f>
        <v>3266-JUNSALGC</v>
      </c>
      <c r="B1742" s="28" t="str">
        <f>IFERROR(__xludf.DUMMYFUNCTION("""COMPUTED_VALUE"""),"Primer trasplante renal pediátrico de dos hospitales de la Ciudad")</f>
        <v>Primer trasplante renal pediátrico de dos hospitales de la Ciudad</v>
      </c>
      <c r="C1742" s="29" t="str">
        <f>IFERROR(__xludf.DUMMYFUNCTION("""COMPUTED_VALUE"""),"Pieza")</f>
        <v>Pieza</v>
      </c>
      <c r="D1742" s="28"/>
      <c r="E1742" s="28"/>
      <c r="F1742" s="28"/>
    </row>
    <row r="1743">
      <c r="A1743" s="28" t="str">
        <f>IFERROR(__xludf.DUMMYFUNCTION("""COMPUTED_VALUE"""),"3274-JUNSEGVC")</f>
        <v>3274-JUNSEGVC</v>
      </c>
      <c r="B1743" s="28" t="str">
        <f>IFERROR(__xludf.DUMMYFUNCTION("""COMPUTED_VALUE"""),"RDV Ministros | Gabino Tapia 2/7 Comuna 3")</f>
        <v>RDV Ministros | Gabino Tapia 2/7 Comuna 3</v>
      </c>
      <c r="C1743" s="29" t="str">
        <f>IFERROR(__xludf.DUMMYFUNCTION("""COMPUTED_VALUE"""),"Pieza")</f>
        <v>Pieza</v>
      </c>
      <c r="D1743" s="28"/>
      <c r="E1743" s="28"/>
      <c r="F1743" s="28"/>
    </row>
    <row r="1744">
      <c r="A1744" s="28" t="str">
        <f>IFERROR(__xludf.DUMMYFUNCTION("""COMPUTED_VALUE"""),"3283-JUNAMBVC")</f>
        <v>3283-JUNAMBVC</v>
      </c>
      <c r="B1744" s="28" t="str">
        <f>IFERROR(__xludf.DUMMYFUNCTION("""COMPUTED_VALUE"""),"RDV Ministros | Clara Muzzio - 3/7 - Temática")</f>
        <v>RDV Ministros | Clara Muzzio - 3/7 - Temática</v>
      </c>
      <c r="C1744" s="29" t="str">
        <f>IFERROR(__xludf.DUMMYFUNCTION("""COMPUTED_VALUE"""),"Pieza")</f>
        <v>Pieza</v>
      </c>
      <c r="D1744" s="28"/>
      <c r="E1744" s="28"/>
      <c r="F1744" s="28"/>
    </row>
    <row r="1745">
      <c r="A1745" s="28" t="str">
        <f>IFERROR(__xludf.DUMMYFUNCTION("""COMPUTED_VALUE"""),"3265-JUNSEGVC")</f>
        <v>3265-JUNSEGVC</v>
      </c>
      <c r="B1745" s="28" t="str">
        <f>IFERROR(__xludf.DUMMYFUNCTION("""COMPUTED_VALUE"""),"RDV MINISTROS | EZEQUIEL SABOR 29/6 COMUNA 3")</f>
        <v>RDV MINISTROS | EZEQUIEL SABOR 29/6 COMUNA 3</v>
      </c>
      <c r="C1745" s="29" t="str">
        <f>IFERROR(__xludf.DUMMYFUNCTION("""COMPUTED_VALUE"""),"Pieza")</f>
        <v>Pieza</v>
      </c>
      <c r="D1745" s="28"/>
      <c r="E1745" s="28"/>
      <c r="F1745" s="28"/>
    </row>
    <row r="1746">
      <c r="A1746" s="28" t="str">
        <f>IFERROR(__xludf.DUMMYFUNCTION("""COMPUTED_VALUE"""),"3270-JUNPCCVC")</f>
        <v>3270-JUNPCCVC</v>
      </c>
      <c r="B1746" s="28" t="str">
        <f>IFERROR(__xludf.DUMMYFUNCTION("""COMPUTED_VALUE"""),"Experiencia BA | Monumento Dos Congresos")</f>
        <v>Experiencia BA | Monumento Dos Congresos</v>
      </c>
      <c r="C1746" s="29" t="str">
        <f>IFERROR(__xludf.DUMMYFUNCTION("""COMPUTED_VALUE"""),"Pieza")</f>
        <v>Pieza</v>
      </c>
      <c r="D1746" s="28"/>
      <c r="E1746" s="28"/>
      <c r="F1746" s="28"/>
    </row>
    <row r="1747">
      <c r="A1747" s="28" t="str">
        <f>IFERROR(__xludf.DUMMYFUNCTION("""COMPUTED_VALUE"""),"3272-JUNSEGVC")</f>
        <v>3272-JUNSEGVC</v>
      </c>
      <c r="B1747" s="28" t="str">
        <f>IFERROR(__xludf.DUMMYFUNCTION("""COMPUTED_VALUE"""),"RDV Ministros | Ruth Landerreche 2/7 Comuna 1 Sur")</f>
        <v>RDV Ministros | Ruth Landerreche 2/7 Comuna 1 Sur</v>
      </c>
      <c r="C1747" s="29" t="str">
        <f>IFERROR(__xludf.DUMMYFUNCTION("""COMPUTED_VALUE"""),"Pieza")</f>
        <v>Pieza</v>
      </c>
      <c r="D1747" s="28"/>
      <c r="E1747" s="28"/>
      <c r="F1747" s="28"/>
    </row>
    <row r="1748">
      <c r="A1748" s="28" t="str">
        <f>IFERROR(__xludf.DUMMYFUNCTION("""COMPUTED_VALUE"""),"3284-JUNINFGC")</f>
        <v>3284-JUNINFGC</v>
      </c>
      <c r="B1748" s="28" t="str">
        <f>IFERROR(__xludf.DUMMYFUNCTION("""COMPUTED_VALUE"""),"INFRAESTRUCTURA | M2 | TRAMBUS JULIO 2026")</f>
        <v>INFRAESTRUCTURA | M2 | TRAMBUS JULIO 2026</v>
      </c>
      <c r="C1748" s="29" t="str">
        <f>IFERROR(__xludf.DUMMYFUNCTION("""COMPUTED_VALUE"""),"Pieza")</f>
        <v>Pieza</v>
      </c>
      <c r="D1748" s="28"/>
      <c r="E1748" s="28"/>
      <c r="F1748" s="28"/>
    </row>
    <row r="1749">
      <c r="A1749" s="28" t="str">
        <f>IFERROR(__xludf.DUMMYFUNCTION("""COMPUTED_VALUE"""),"3273-JUNSEGVC")</f>
        <v>3273-JUNSEGVC</v>
      </c>
      <c r="B1749" s="28" t="str">
        <f>IFERROR(__xludf.DUMMYFUNCTION("""COMPUTED_VALUE"""),"RDV Ministros | Maximiliano Piñeiro 2/7 Comuna 1 Norte")</f>
        <v>RDV Ministros | Maximiliano Piñeiro 2/7 Comuna 1 Norte</v>
      </c>
      <c r="C1749" s="29" t="str">
        <f>IFERROR(__xludf.DUMMYFUNCTION("""COMPUTED_VALUE"""),"Pieza")</f>
        <v>Pieza</v>
      </c>
      <c r="D1749" s="28"/>
      <c r="E1749" s="28"/>
      <c r="F1749" s="28"/>
    </row>
    <row r="1750">
      <c r="A1750" s="28" t="str">
        <f>IFERROR(__xludf.DUMMYFUNCTION("""COMPUTED_VALUE"""),"3280-JUNINFGJ")</f>
        <v>3280-JUNINFGJ</v>
      </c>
      <c r="B1750" s="28" t="str">
        <f>IFERROR(__xludf.DUMMYFUNCTION("""COMPUTED_VALUE"""),"Infraestructura | AU Dellepiane: Colectora Norte apertura | 30/6")</f>
        <v>Infraestructura | AU Dellepiane: Colectora Norte apertura | 30/6</v>
      </c>
      <c r="C1750" s="29" t="str">
        <f>IFERROR(__xludf.DUMMYFUNCTION("""COMPUTED_VALUE"""),"Pieza")</f>
        <v>Pieza</v>
      </c>
      <c r="D1750" s="28"/>
      <c r="E1750" s="28"/>
      <c r="F1750" s="28"/>
    </row>
    <row r="1751">
      <c r="A1751" s="28" t="str">
        <f>IFERROR(__xludf.DUMMYFUNCTION("""COMPUTED_VALUE"""),"3275-JUNSEGVC")</f>
        <v>3275-JUNSEGVC</v>
      </c>
      <c r="B1751" s="28" t="str">
        <f>IFERROR(__xludf.DUMMYFUNCTION("""COMPUTED_VALUE"""),"RDV Ministros | Horacio Giménez 2/7 Comuna 2")</f>
        <v>RDV Ministros | Horacio Giménez 2/7 Comuna 2</v>
      </c>
      <c r="C1751" s="29" t="str">
        <f>IFERROR(__xludf.DUMMYFUNCTION("""COMPUTED_VALUE"""),"Pieza")</f>
        <v>Pieza</v>
      </c>
      <c r="D1751" s="28"/>
      <c r="E1751" s="28"/>
      <c r="F1751" s="28"/>
    </row>
    <row r="1752">
      <c r="A1752" s="28" t="str">
        <f>IFERROR(__xludf.DUMMYFUNCTION("""COMPUTED_VALUE"""),"3263-JUNJDGVC")</f>
        <v>3263-JUNJDGVC</v>
      </c>
      <c r="B1752" s="28" t="str">
        <f>IFERROR(__xludf.DUMMYFUNCTION("""COMPUTED_VALUE"""),"RDV Ministros | Gabriel Sánchez Zinny 2/7")</f>
        <v>RDV Ministros | Gabriel Sánchez Zinny 2/7</v>
      </c>
      <c r="C1752" s="29" t="str">
        <f>IFERROR(__xludf.DUMMYFUNCTION("""COMPUTED_VALUE"""),"Pieza")</f>
        <v>Pieza</v>
      </c>
      <c r="D1752" s="28"/>
      <c r="E1752" s="28"/>
      <c r="F1752" s="28"/>
    </row>
    <row r="1753">
      <c r="A1753" s="28" t="str">
        <f>IFERROR(__xludf.DUMMYFUNCTION("""COMPUTED_VALUE"""),"3282-JUNSEGGJ")</f>
        <v>3282-JUNSEGGJ</v>
      </c>
      <c r="B1753" s="28" t="str">
        <f>IFERROR(__xludf.DUMMYFUNCTION("""COMPUTED_VALUE"""),"Megaoperativo Marea Azul")</f>
        <v>Megaoperativo Marea Azul</v>
      </c>
      <c r="C1753" s="29" t="str">
        <f>IFERROR(__xludf.DUMMYFUNCTION("""COMPUTED_VALUE"""),"Pieza")</f>
        <v>Pieza</v>
      </c>
      <c r="D1753" s="28"/>
      <c r="E1753" s="28"/>
      <c r="F1753" s="28"/>
    </row>
    <row r="1754">
      <c r="A1754" s="28" t="str">
        <f>IFERROR(__xludf.DUMMYFUNCTION("""COMPUTED_VALUE"""),"3266-JUNSALGC")</f>
        <v>3266-JUNSALGC</v>
      </c>
      <c r="B1754" s="28" t="str">
        <f>IFERROR(__xludf.DUMMYFUNCTION("""COMPUTED_VALUE"""),"Primer trasplante renal pediátrico de dos hospitales de la Ciudad")</f>
        <v>Primer trasplante renal pediátrico de dos hospitales de la Ciudad</v>
      </c>
      <c r="C1754" s="29" t="str">
        <f>IFERROR(__xludf.DUMMYFUNCTION("""COMPUTED_VALUE"""),"Pieza")</f>
        <v>Pieza</v>
      </c>
      <c r="D1754" s="28"/>
      <c r="E1754" s="28"/>
      <c r="F1754" s="28"/>
    </row>
    <row r="1755">
      <c r="A1755" s="28" t="str">
        <f>IFERROR(__xludf.DUMMYFUNCTION("""COMPUTED_VALUE"""),"3246-JUNAMBVC")</f>
        <v>3246-JUNAMBVC</v>
      </c>
      <c r="B1755" s="28" t="str">
        <f>IFERROR(__xludf.DUMMYFUNCTION("""COMPUTED_VALUE"""),"RDV Ministros | Clara Muzzio - 26/6 - Temática")</f>
        <v>RDV Ministros | Clara Muzzio - 26/6 - Temática</v>
      </c>
      <c r="C1755" s="29" t="str">
        <f>IFERROR(__xludf.DUMMYFUNCTION("""COMPUTED_VALUE"""),"Pieza")</f>
        <v>Pieza</v>
      </c>
      <c r="D1755" s="28"/>
      <c r="E1755" s="28"/>
      <c r="F1755" s="28"/>
    </row>
    <row r="1756">
      <c r="A1756" s="28" t="str">
        <f>IFERROR(__xludf.DUMMYFUNCTION("""COMPUTED_VALUE"""),"3274-JUNSEGVC")</f>
        <v>3274-JUNSEGVC</v>
      </c>
      <c r="B1756" s="28" t="str">
        <f>IFERROR(__xludf.DUMMYFUNCTION("""COMPUTED_VALUE"""),"RDV Ministros | Gabino Tapia 2/7 Comuna 3")</f>
        <v>RDV Ministros | Gabino Tapia 2/7 Comuna 3</v>
      </c>
      <c r="C1756" s="29" t="str">
        <f>IFERROR(__xludf.DUMMYFUNCTION("""COMPUTED_VALUE"""),"Pieza")</f>
        <v>Pieza</v>
      </c>
      <c r="D1756" s="28"/>
      <c r="E1756" s="28"/>
      <c r="F1756" s="28"/>
    </row>
    <row r="1757">
      <c r="A1757" s="28" t="str">
        <f>IFERROR(__xludf.DUMMYFUNCTION("""COMPUTED_VALUE"""),"3286-JUNAMBGC")</f>
        <v>3286-JUNAMBGC</v>
      </c>
      <c r="B1757" s="28" t="str">
        <f>IFERROR(__xludf.DUMMYFUNCTION("""COMPUTED_VALUE"""),"Banco de herramientas Junio - Comuna 12")</f>
        <v>Banco de herramientas Junio - Comuna 12</v>
      </c>
      <c r="C1757" s="29" t="str">
        <f>IFERROR(__xludf.DUMMYFUNCTION("""COMPUTED_VALUE"""),"Pieza")</f>
        <v>Pieza</v>
      </c>
      <c r="D1757" s="28"/>
      <c r="E1757" s="28"/>
      <c r="F1757" s="28"/>
    </row>
    <row r="1758">
      <c r="A1758" s="28" t="str">
        <f>IFERROR(__xludf.DUMMYFUNCTION("""COMPUTED_VALUE"""),"3286-JUNAMBGC")</f>
        <v>3286-JUNAMBGC</v>
      </c>
      <c r="B1758" s="28" t="str">
        <f>IFERROR(__xludf.DUMMYFUNCTION("""COMPUTED_VALUE"""),"Banco de herramientas Junio - Comuna 12")</f>
        <v>Banco de herramientas Junio - Comuna 12</v>
      </c>
      <c r="C1758" s="29" t="str">
        <f>IFERROR(__xludf.DUMMYFUNCTION("""COMPUTED_VALUE"""),"Pieza")</f>
        <v>Pieza</v>
      </c>
      <c r="D1758" s="28"/>
      <c r="E1758" s="28"/>
      <c r="F1758" s="28"/>
    </row>
    <row r="1759">
      <c r="A1759" s="28" t="str">
        <f>IFERROR(__xludf.DUMMYFUNCTION("""COMPUTED_VALUE"""),"3269-JUNDECGC")</f>
        <v>3269-JUNDECGC</v>
      </c>
      <c r="B1759" s="28" t="str">
        <f>IFERROR(__xludf.DUMMYFUNCTION("""COMPUTED_VALUE"""),"INCUBATE 2026")</f>
        <v>INCUBATE 2026</v>
      </c>
      <c r="C1759" s="29" t="str">
        <f>IFERROR(__xludf.DUMMYFUNCTION("""COMPUTED_VALUE"""),"Pieza")</f>
        <v>Pieza</v>
      </c>
      <c r="D1759" s="28"/>
      <c r="E1759" s="28"/>
      <c r="F1759" s="28"/>
    </row>
    <row r="1760">
      <c r="A1760" s="28" t="str">
        <f>IFERROR(__xludf.DUMMYFUNCTION("""COMPUTED_VALUE"""),"3277-JUNVINGC")</f>
        <v>3277-JUNVINGC</v>
      </c>
      <c r="B1760" s="28" t="str">
        <f>IFERROR(__xludf.DUMMYFUNCTION("""COMPUTED_VALUE"""),"Más servicios en tu barrio - 6/7 - Parque Patricios ")</f>
        <v>Más servicios en tu barrio - 6/7 - Parque Patricios </v>
      </c>
      <c r="C1760" s="29" t="str">
        <f>IFERROR(__xludf.DUMMYFUNCTION("""COMPUTED_VALUE"""),"Pieza")</f>
        <v>Pieza</v>
      </c>
      <c r="D1760" s="28"/>
      <c r="E1760" s="28"/>
      <c r="F1760" s="28"/>
    </row>
    <row r="1761">
      <c r="A1761" s="28" t="str">
        <f>IFERROR(__xludf.DUMMYFUNCTION("""COMPUTED_VALUE"""),"3278-JUNVINGC")</f>
        <v>3278-JUNVINGC</v>
      </c>
      <c r="B1761" s="28" t="str">
        <f>IFERROR(__xludf.DUMMYFUNCTION("""COMPUTED_VALUE"""),"Más servicios en tu barrio - 7/7 - Retiro")</f>
        <v>Más servicios en tu barrio - 7/7 - Retiro</v>
      </c>
      <c r="C1761" s="29" t="str">
        <f>IFERROR(__xludf.DUMMYFUNCTION("""COMPUTED_VALUE"""),"Pieza")</f>
        <v>Pieza</v>
      </c>
      <c r="D1761" s="28"/>
      <c r="E1761" s="28"/>
      <c r="F1761" s="28"/>
    </row>
    <row r="1762">
      <c r="A1762" s="28" t="str">
        <f>IFERROR(__xludf.DUMMYFUNCTION("""COMPUTED_VALUE"""),"3279-JUNVINGC")</f>
        <v>3279-JUNVINGC</v>
      </c>
      <c r="B1762" s="28" t="str">
        <f>IFERROR(__xludf.DUMMYFUNCTION("""COMPUTED_VALUE"""),"Más servicios en tu barrio - 8/7 - Boedo")</f>
        <v>Más servicios en tu barrio - 8/7 - Boedo</v>
      </c>
      <c r="C1762" s="29" t="str">
        <f>IFERROR(__xludf.DUMMYFUNCTION("""COMPUTED_VALUE"""),"Pieza")</f>
        <v>Pieza</v>
      </c>
      <c r="D1762" s="28"/>
      <c r="E1762" s="28"/>
      <c r="F1762" s="28"/>
    </row>
    <row r="1763">
      <c r="A1763" s="28" t="str">
        <f>IFERROR(__xludf.DUMMYFUNCTION("""COMPUTED_VALUE"""),"3199-JUNDUDGC")</f>
        <v>3199-JUNDUDGC</v>
      </c>
      <c r="B1763" s="28" t="str">
        <f>IFERROR(__xludf.DUMMYFUNCTION("""COMPUTED_VALUE"""),"Sorteo entradas GCBA | 9k Carrera de la independencia")</f>
        <v>Sorteo entradas GCBA | 9k Carrera de la independencia</v>
      </c>
      <c r="C1763" s="29" t="str">
        <f>IFERROR(__xludf.DUMMYFUNCTION("""COMPUTED_VALUE"""),"Pieza")</f>
        <v>Pieza</v>
      </c>
      <c r="D1763" s="28"/>
      <c r="E1763" s="28"/>
      <c r="F1763" s="28"/>
    </row>
    <row r="1764">
      <c r="A1764" s="28" t="str">
        <f>IFERROR(__xludf.DUMMYFUNCTION("""COMPUTED_VALUE"""),"3199-JUNDUDGC")</f>
        <v>3199-JUNDUDGC</v>
      </c>
      <c r="B1764" s="28" t="str">
        <f>IFERROR(__xludf.DUMMYFUNCTION("""COMPUTED_VALUE"""),"Sorteo entradas GCBA | 9k Carrera de la independencia")</f>
        <v>Sorteo entradas GCBA | 9k Carrera de la independencia</v>
      </c>
      <c r="C1764" s="29" t="str">
        <f>IFERROR(__xludf.DUMMYFUNCTION("""COMPUTED_VALUE"""),"Pieza")</f>
        <v>Pieza</v>
      </c>
      <c r="D1764" s="28"/>
      <c r="E1764" s="28"/>
      <c r="F1764" s="28"/>
    </row>
    <row r="1765">
      <c r="A1765" s="28" t="str">
        <f>IFERROR(__xludf.DUMMYFUNCTION("""COMPUTED_VALUE"""),"3199-JUNDUDGC")</f>
        <v>3199-JUNDUDGC</v>
      </c>
      <c r="B1765" s="28" t="str">
        <f>IFERROR(__xludf.DUMMYFUNCTION("""COMPUTED_VALUE"""),"Sorteo entradas GCBA | 9k Carrera de la independencia")</f>
        <v>Sorteo entradas GCBA | 9k Carrera de la independencia</v>
      </c>
      <c r="C1765" s="29" t="str">
        <f>IFERROR(__xludf.DUMMYFUNCTION("""COMPUTED_VALUE"""),"Pieza")</f>
        <v>Pieza</v>
      </c>
      <c r="D1765" s="28"/>
      <c r="E1765" s="28"/>
      <c r="F1765" s="28"/>
    </row>
    <row r="1766">
      <c r="A1766" s="28" t="str">
        <f>IFERROR(__xludf.DUMMYFUNCTION("""COMPUTED_VALUE"""),"2478-ENEINNGC")</f>
        <v>2478-ENEINNGC</v>
      </c>
      <c r="B1766" s="28" t="str">
        <f>IFERROR(__xludf.DUMMYFUNCTION("""COMPUTED_VALUE"""),"Lanzamiento BAX")</f>
        <v>Lanzamiento BAX</v>
      </c>
      <c r="C1766" s="29" t="str">
        <f>IFERROR(__xludf.DUMMYFUNCTION("""COMPUTED_VALUE"""),"Pieza")</f>
        <v>Pieza</v>
      </c>
      <c r="D1766" s="28"/>
      <c r="E1766" s="28"/>
      <c r="F1766" s="28"/>
    </row>
    <row r="1767">
      <c r="A1767" s="28" t="str">
        <f>IFERROR(__xludf.DUMMYFUNCTION("""COMPUTED_VALUE"""),"1921-SEPAMBGC")</f>
        <v>1921-SEPAMBGC</v>
      </c>
      <c r="B1767" s="28" t="str">
        <f>IFERROR(__xludf.DUMMYFUNCTION("""COMPUTED_VALUE"""),"Vacunación Antirrabica Animales")</f>
        <v>Vacunación Antirrabica Animales</v>
      </c>
      <c r="C1767" s="29" t="str">
        <f>IFERROR(__xludf.DUMMYFUNCTION("""COMPUTED_VALUE"""),"Pieza")</f>
        <v>Pieza</v>
      </c>
      <c r="D1767" s="28"/>
      <c r="E1767" s="28"/>
      <c r="F1767" s="28"/>
    </row>
    <row r="1768">
      <c r="A1768" s="28" t="str">
        <f>IFERROR(__xludf.DUMMYFUNCTION("""COMPUTED_VALUE"""),"2482-ENEINFGC")</f>
        <v>2482-ENEINFGC</v>
      </c>
      <c r="B1768" s="28" t="str">
        <f>IFERROR(__xludf.DUMMYFUNCTION("""COMPUTED_VALUE"""),"VTV - Recordatorio de turno 2026")</f>
        <v>VTV - Recordatorio de turno 2026</v>
      </c>
      <c r="C1768" s="29" t="str">
        <f>IFERROR(__xludf.DUMMYFUNCTION("""COMPUTED_VALUE"""),"Pieza")</f>
        <v>Pieza</v>
      </c>
      <c r="D1768" s="28"/>
      <c r="E1768" s="28"/>
      <c r="F1768" s="28"/>
    </row>
    <row r="1769">
      <c r="A1769" s="28" t="str">
        <f>IFERROR(__xludf.DUMMYFUNCTION("""COMPUTED_VALUE"""),"2482-ENEINFGC")</f>
        <v>2482-ENEINFGC</v>
      </c>
      <c r="B1769" s="28" t="str">
        <f>IFERROR(__xludf.DUMMYFUNCTION("""COMPUTED_VALUE"""),"VTV - Recordatorio de turno 2026")</f>
        <v>VTV - Recordatorio de turno 2026</v>
      </c>
      <c r="C1769" s="29" t="str">
        <f>IFERROR(__xludf.DUMMYFUNCTION("""COMPUTED_VALUE"""),"Pieza")</f>
        <v>Pieza</v>
      </c>
      <c r="D1769" s="28"/>
      <c r="E1769" s="28"/>
      <c r="F1769" s="28"/>
    </row>
    <row r="1770">
      <c r="A1770" s="28" t="str">
        <f>IFERROR(__xludf.DUMMYFUNCTION("""COMPUTED_VALUE"""),"3262-JUNINFVC")</f>
        <v>3262-JUNINFVC</v>
      </c>
      <c r="B1770" s="28" t="str">
        <f>IFERROR(__xludf.DUMMYFUNCTION("""COMPUTED_VALUE"""),"RDV Ministros | Pablo Bereciartua 1/7")</f>
        <v>RDV Ministros | Pablo Bereciartua 1/7</v>
      </c>
      <c r="C1770" s="29" t="str">
        <f>IFERROR(__xludf.DUMMYFUNCTION("""COMPUTED_VALUE"""),"Pieza")</f>
        <v>Pieza</v>
      </c>
      <c r="D1770" s="28"/>
      <c r="E1770" s="28"/>
      <c r="F1770" s="28"/>
    </row>
    <row r="1771">
      <c r="A1771" s="28" t="str">
        <f>IFERROR(__xludf.DUMMYFUNCTION("""COMPUTED_VALUE"""),"3016-MAYFESGC")</f>
        <v>3016-MAYFESGC</v>
      </c>
      <c r="B1771" s="28" t="str">
        <f>IFERROR(__xludf.DUMMYFUNCTION("""COMPUTED_VALUE"""),"La ciudad late mundial | Modo Hincha")</f>
        <v>La ciudad late mundial | Modo Hincha</v>
      </c>
      <c r="C1771" s="29" t="str">
        <f>IFERROR(__xludf.DUMMYFUNCTION("""COMPUTED_VALUE"""),"Pieza")</f>
        <v>Pieza</v>
      </c>
      <c r="D1771" s="28"/>
      <c r="E1771" s="28"/>
      <c r="F1771" s="28"/>
    </row>
    <row r="1772">
      <c r="A1772" s="28" t="str">
        <f>IFERROR(__xludf.DUMMYFUNCTION("""COMPUTED_VALUE"""),"3282-JUNSEGGJ")</f>
        <v>3282-JUNSEGGJ</v>
      </c>
      <c r="B1772" s="28" t="str">
        <f>IFERROR(__xludf.DUMMYFUNCTION("""COMPUTED_VALUE"""),"Megaoperativo Marea Azul")</f>
        <v>Megaoperativo Marea Azul</v>
      </c>
      <c r="C1772" s="29" t="str">
        <f>IFERROR(__xludf.DUMMYFUNCTION("""COMPUTED_VALUE"""),"Pieza")</f>
        <v>Pieza</v>
      </c>
      <c r="D1772" s="28"/>
      <c r="E1772" s="28"/>
      <c r="F1772" s="28"/>
    </row>
    <row r="1773">
      <c r="A1773" s="28" t="str">
        <f>IFERROR(__xludf.DUMMYFUNCTION("""COMPUTED_VALUE"""),"3272-JUNSEGVC")</f>
        <v>3272-JUNSEGVC</v>
      </c>
      <c r="B1773" s="28" t="str">
        <f>IFERROR(__xludf.DUMMYFUNCTION("""COMPUTED_VALUE"""),"RDV Ministros | Ruth Landerreche 2/7 Comuna 1 Sur")</f>
        <v>RDV Ministros | Ruth Landerreche 2/7 Comuna 1 Sur</v>
      </c>
      <c r="C1773" s="29" t="str">
        <f>IFERROR(__xludf.DUMMYFUNCTION("""COMPUTED_VALUE"""),"Pieza")</f>
        <v>Pieza</v>
      </c>
      <c r="D1773" s="28"/>
      <c r="E1773" s="28"/>
      <c r="F1773" s="28"/>
    </row>
    <row r="1774">
      <c r="A1774" s="28" t="str">
        <f>IFERROR(__xludf.DUMMYFUNCTION("""COMPUTED_VALUE"""),"3273-JUNSEGVC")</f>
        <v>3273-JUNSEGVC</v>
      </c>
      <c r="B1774" s="28" t="str">
        <f>IFERROR(__xludf.DUMMYFUNCTION("""COMPUTED_VALUE"""),"RDV Ministros | Maximiliano Piñeiro 2/7 Comuna 1 Norte")</f>
        <v>RDV Ministros | Maximiliano Piñeiro 2/7 Comuna 1 Norte</v>
      </c>
      <c r="C1774" s="29" t="str">
        <f>IFERROR(__xludf.DUMMYFUNCTION("""COMPUTED_VALUE"""),"Pieza")</f>
        <v>Pieza</v>
      </c>
      <c r="D1774" s="28"/>
      <c r="E1774" s="28"/>
      <c r="F1774" s="28"/>
    </row>
    <row r="1775">
      <c r="A1775" s="28" t="str">
        <f>IFERROR(__xludf.DUMMYFUNCTION("""COMPUTED_VALUE"""),"3275-JUNSEGVC")</f>
        <v>3275-JUNSEGVC</v>
      </c>
      <c r="B1775" s="28" t="str">
        <f>IFERROR(__xludf.DUMMYFUNCTION("""COMPUTED_VALUE"""),"RDV Ministros | Horacio Giménez 2/7 Comuna 2")</f>
        <v>RDV Ministros | Horacio Giménez 2/7 Comuna 2</v>
      </c>
      <c r="C1775" s="29" t="str">
        <f>IFERROR(__xludf.DUMMYFUNCTION("""COMPUTED_VALUE"""),"Pieza")</f>
        <v>Pieza</v>
      </c>
      <c r="D1775" s="28"/>
      <c r="E1775" s="28"/>
      <c r="F1775" s="28"/>
    </row>
    <row r="1776">
      <c r="A1776" s="28" t="str">
        <f>IFERROR(__xludf.DUMMYFUNCTION("""COMPUTED_VALUE"""),"3297-JULEDUVC")</f>
        <v>3297-JULEDUVC</v>
      </c>
      <c r="B1776" s="28" t="str">
        <f>IFERROR(__xludf.DUMMYFUNCTION("""COMPUTED_VALUE"""),"RDV ministros | Mercedes Miguel 8/7")</f>
        <v>RDV ministros | Mercedes Miguel 8/7</v>
      </c>
      <c r="C1776" s="29" t="str">
        <f>IFERROR(__xludf.DUMMYFUNCTION("""COMPUTED_VALUE"""),"Pieza")</f>
        <v>Pieza</v>
      </c>
      <c r="D1776" s="28"/>
      <c r="E1776" s="28"/>
      <c r="F1776" s="28"/>
    </row>
    <row r="1777">
      <c r="A1777" s="28" t="str">
        <f>IFERROR(__xludf.DUMMYFUNCTION("""COMPUTED_VALUE"""),"3301-JULSEGGJ")</f>
        <v>3301-JULSEGGJ</v>
      </c>
      <c r="B1777" s="28" t="str">
        <f>IFERROR(__xludf.DUMMYFUNCTION("""COMPUTED_VALUE"""),"685 nuevos vehículos para la Policía de la Ciudad")</f>
        <v>685 nuevos vehículos para la Policía de la Ciudad</v>
      </c>
      <c r="C1777" s="29" t="str">
        <f>IFERROR(__xludf.DUMMYFUNCTION("""COMPUTED_VALUE"""),"Pieza")</f>
        <v>Pieza</v>
      </c>
      <c r="D1777" s="28"/>
      <c r="E1777" s="28"/>
      <c r="F1777" s="28"/>
    </row>
    <row r="1778">
      <c r="A1778" s="28" t="str">
        <f>IFERROR(__xludf.DUMMYFUNCTION("""COMPUTED_VALUE"""),"1964-SEPEPHGC")</f>
        <v>1964-SEPEPHGC</v>
      </c>
      <c r="B1778" s="28" t="str">
        <f>IFERROR(__xludf.DUMMYFUNCTION("""COMPUTED_VALUE"""),"MEPHU RECAMBIO TECNOLÓGICO M2")</f>
        <v>MEPHU RECAMBIO TECNOLÓGICO M2</v>
      </c>
      <c r="C1778" s="29" t="str">
        <f>IFERROR(__xludf.DUMMYFUNCTION("""COMPUTED_VALUE"""),"Pieza")</f>
        <v>Pieza</v>
      </c>
      <c r="D1778" s="28"/>
      <c r="E1778" s="28"/>
      <c r="F1778" s="28"/>
    </row>
    <row r="1779">
      <c r="A1779" s="28" t="str">
        <f>IFERROR(__xludf.DUMMYFUNCTION("""COMPUTED_VALUE"""),"1946-SEPEPHGC")</f>
        <v>1946-SEPEPHGC</v>
      </c>
      <c r="B1779" s="28" t="str">
        <f>IFERROR(__xludf.DUMMYFUNCTION("""COMPUTED_VALUE"""),"CAMPAÑA GCBA | MEPHU  | PLUVIALES")</f>
        <v>CAMPAÑA GCBA | MEPHU  | PLUVIALES</v>
      </c>
      <c r="C1779" s="29" t="str">
        <f>IFERROR(__xludf.DUMMYFUNCTION("""COMPUTED_VALUE"""),"Pieza")</f>
        <v>Pieza</v>
      </c>
      <c r="D1779" s="28"/>
      <c r="E1779" s="28"/>
      <c r="F1779" s="28"/>
    </row>
    <row r="1780">
      <c r="A1780" s="28" t="str">
        <f>IFERROR(__xludf.DUMMYFUNCTION("""COMPUTED_VALUE"""),"1946-SEPEPHGC")</f>
        <v>1946-SEPEPHGC</v>
      </c>
      <c r="B1780" s="28" t="str">
        <f>IFERROR(__xludf.DUMMYFUNCTION("""COMPUTED_VALUE"""),"CAMPAÑA GCBA | MEPHU  | PLUVIALES")</f>
        <v>CAMPAÑA GCBA | MEPHU  | PLUVIALES</v>
      </c>
      <c r="C1780" s="29" t="str">
        <f>IFERROR(__xludf.DUMMYFUNCTION("""COMPUTED_VALUE"""),"Pieza")</f>
        <v>Pieza</v>
      </c>
      <c r="D1780" s="28"/>
      <c r="E1780" s="28"/>
      <c r="F1780" s="28"/>
    </row>
    <row r="1781">
      <c r="A1781" s="28" t="str">
        <f>IFERROR(__xludf.DUMMYFUNCTION("""COMPUTED_VALUE"""),"1942-SEPEPHGC")</f>
        <v>1942-SEPEPHGC</v>
      </c>
      <c r="B1781" s="28" t="str">
        <f>IFERROR(__xludf.DUMMYFUNCTION("""COMPUTED_VALUE"""),"DGPLES | MEPHU  | REPARACIÓN DE VEREDAS")</f>
        <v>DGPLES | MEPHU  | REPARACIÓN DE VEREDAS</v>
      </c>
      <c r="C1781" s="29" t="str">
        <f>IFERROR(__xludf.DUMMYFUNCTION("""COMPUTED_VALUE"""),"Pieza")</f>
        <v>Pieza</v>
      </c>
      <c r="D1781" s="28"/>
      <c r="E1781" s="28"/>
      <c r="F1781" s="28"/>
    </row>
    <row r="1782">
      <c r="A1782" s="28" t="str">
        <f>IFERROR(__xludf.DUMMYFUNCTION("""COMPUTED_VALUE"""),"1942-SEPEPHGC")</f>
        <v>1942-SEPEPHGC</v>
      </c>
      <c r="B1782" s="28" t="str">
        <f>IFERROR(__xludf.DUMMYFUNCTION("""COMPUTED_VALUE"""),"DGPLES | MEPHU  | REPARACIÓN DE VEREDAS")</f>
        <v>DGPLES | MEPHU  | REPARACIÓN DE VEREDAS</v>
      </c>
      <c r="C1782" s="29" t="str">
        <f>IFERROR(__xludf.DUMMYFUNCTION("""COMPUTED_VALUE"""),"Pieza")</f>
        <v>Pieza</v>
      </c>
      <c r="D1782" s="28"/>
      <c r="E1782" s="28"/>
      <c r="F1782" s="28"/>
    </row>
    <row r="1783">
      <c r="A1783" s="28" t="str">
        <f>IFERROR(__xludf.DUMMYFUNCTION("""COMPUTED_VALUE"""),"1943-SEPEPHGC")</f>
        <v>1943-SEPEPHGC</v>
      </c>
      <c r="B1783" s="28" t="str">
        <f>IFERROR(__xludf.DUMMYFUNCTION("""COMPUTED_VALUE"""),"DGPLES | MEPHU  | READOQUINADO")</f>
        <v>DGPLES | MEPHU  | READOQUINADO</v>
      </c>
      <c r="C1783" s="29" t="str">
        <f>IFERROR(__xludf.DUMMYFUNCTION("""COMPUTED_VALUE"""),"Pieza")</f>
        <v>Pieza</v>
      </c>
      <c r="D1783" s="28"/>
      <c r="E1783" s="28"/>
      <c r="F1783" s="28"/>
    </row>
    <row r="1784">
      <c r="A1784" s="28" t="str">
        <f>IFERROR(__xludf.DUMMYFUNCTION("""COMPUTED_VALUE"""),"2994-MAYEPHGC")</f>
        <v>2994-MAYEPHGC</v>
      </c>
      <c r="B1784" s="28" t="str">
        <f>IFERROR(__xludf.DUMMYFUNCTION("""COMPUTED_VALUE"""),"Luminarias Peatonales - Post")</f>
        <v>Luminarias Peatonales - Post</v>
      </c>
      <c r="C1784" s="29" t="str">
        <f>IFERROR(__xludf.DUMMYFUNCTION("""COMPUTED_VALUE"""),"Pieza")</f>
        <v>Pieza</v>
      </c>
      <c r="D1784" s="28"/>
      <c r="E1784" s="28"/>
      <c r="F1784" s="28"/>
    </row>
    <row r="1785">
      <c r="A1785" s="28" t="str">
        <f>IFERROR(__xludf.DUMMYFUNCTION("""COMPUTED_VALUE"""),"3296-JULEPHVC")</f>
        <v>3296-JULEPHVC</v>
      </c>
      <c r="B1785" s="28" t="str">
        <f>IFERROR(__xludf.DUMMYFUNCTION("""COMPUTED_VALUE"""),"RDV Ministros | Ignacio Baistrocchi 8/7")</f>
        <v>RDV Ministros | Ignacio Baistrocchi 8/7</v>
      </c>
      <c r="C1785" s="29" t="str">
        <f>IFERROR(__xludf.DUMMYFUNCTION("""COMPUTED_VALUE"""),"Pieza")</f>
        <v>Pieza</v>
      </c>
      <c r="D1785" s="28"/>
      <c r="E1785" s="28"/>
      <c r="F1785" s="28"/>
    </row>
    <row r="1786">
      <c r="A1786" s="28" t="str">
        <f>IFERROR(__xludf.DUMMYFUNCTION("""COMPUTED_VALUE"""),"2033-SEPEPHGC")</f>
        <v>2033-SEPEPHGC</v>
      </c>
      <c r="B1786" s="28" t="str">
        <f>IFERROR(__xludf.DUMMYFUNCTION("""COMPUTED_VALUE"""),"M2 PODA")</f>
        <v>M2 PODA</v>
      </c>
      <c r="C1786" s="29" t="str">
        <f>IFERROR(__xludf.DUMMYFUNCTION("""COMPUTED_VALUE"""),"Pieza")</f>
        <v>Pieza</v>
      </c>
      <c r="D1786" s="28"/>
      <c r="E1786" s="28"/>
      <c r="F1786" s="28"/>
    </row>
    <row r="1787">
      <c r="A1787" s="28" t="str">
        <f>IFERROR(__xludf.DUMMYFUNCTION("""COMPUTED_VALUE"""),"2033-SEPEPHGC")</f>
        <v>2033-SEPEPHGC</v>
      </c>
      <c r="B1787" s="28" t="str">
        <f>IFERROR(__xludf.DUMMYFUNCTION("""COMPUTED_VALUE"""),"M2 PODA")</f>
        <v>M2 PODA</v>
      </c>
      <c r="C1787" s="29" t="str">
        <f>IFERROR(__xludf.DUMMYFUNCTION("""COMPUTED_VALUE"""),"Pieza")</f>
        <v>Pieza</v>
      </c>
      <c r="D1787" s="28"/>
      <c r="E1787" s="28"/>
      <c r="F1787" s="28"/>
    </row>
    <row r="1788">
      <c r="A1788" s="28" t="str">
        <f>IFERROR(__xludf.DUMMYFUNCTION("""COMPUTED_VALUE"""),"3274-JUNSEGVC")</f>
        <v>3274-JUNSEGVC</v>
      </c>
      <c r="B1788" s="28" t="str">
        <f>IFERROR(__xludf.DUMMYFUNCTION("""COMPUTED_VALUE"""),"RDV Ministros | Gabino Tapia 2/7 Comuna 3")</f>
        <v>RDV Ministros | Gabino Tapia 2/7 Comuna 3</v>
      </c>
      <c r="C1788" s="29" t="str">
        <f>IFERROR(__xludf.DUMMYFUNCTION("""COMPUTED_VALUE"""),"Pieza")</f>
        <v>Pieza</v>
      </c>
      <c r="D1788" s="28"/>
      <c r="E1788" s="28"/>
      <c r="F1788" s="28"/>
    </row>
    <row r="1789">
      <c r="A1789" s="28" t="str">
        <f>IFERROR(__xludf.DUMMYFUNCTION("""COMPUTED_VALUE"""),"3286-JUNAMBGC")</f>
        <v>3286-JUNAMBGC</v>
      </c>
      <c r="B1789" s="28" t="str">
        <f>IFERROR(__xludf.DUMMYFUNCTION("""COMPUTED_VALUE"""),"Banco de herramientas Junio - Comuna 12")</f>
        <v>Banco de herramientas Junio - Comuna 12</v>
      </c>
      <c r="C1789" s="29" t="str">
        <f>IFERROR(__xludf.DUMMYFUNCTION("""COMPUTED_VALUE"""),"Pieza")</f>
        <v>Pieza</v>
      </c>
      <c r="D1789" s="28"/>
      <c r="E1789" s="28"/>
      <c r="F1789" s="28"/>
    </row>
    <row r="1790">
      <c r="A1790" s="28" t="str">
        <f>IFERROR(__xludf.DUMMYFUNCTION("""COMPUTED_VALUE"""),"3294-JULDHHVC")</f>
        <v>3294-JULDHHVC</v>
      </c>
      <c r="B1790" s="28" t="str">
        <f>IFERROR(__xludf.DUMMYFUNCTION("""COMPUTED_VALUE"""),"RDV Ministros | Gabriel Mraida - 8/7 ")</f>
        <v>RDV Ministros | Gabriel Mraida - 8/7 </v>
      </c>
      <c r="C1790" s="29" t="str">
        <f>IFERROR(__xludf.DUMMYFUNCTION("""COMPUTED_VALUE"""),"Pieza")</f>
        <v>Pieza</v>
      </c>
      <c r="D1790" s="28"/>
      <c r="E1790" s="28"/>
      <c r="F1790" s="28"/>
    </row>
    <row r="1791">
      <c r="A1791" s="28" t="str">
        <f>IFERROR(__xludf.DUMMYFUNCTION("""COMPUTED_VALUE"""),"3197-JUNJUSGC")</f>
        <v>3197-JUNJUSGC</v>
      </c>
      <c r="B1791" s="28" t="str">
        <f>IFERROR(__xludf.DUMMYFUNCTION("""COMPUTED_VALUE"""),"INSCRIPCIONES SERVICIO PENITENCIARIO")</f>
        <v>INSCRIPCIONES SERVICIO PENITENCIARIO</v>
      </c>
      <c r="C1791" s="29" t="str">
        <f>IFERROR(__xludf.DUMMYFUNCTION("""COMPUTED_VALUE"""),"Pieza")</f>
        <v>Pieza</v>
      </c>
      <c r="D1791" s="28"/>
      <c r="E1791" s="28"/>
      <c r="F1791" s="28"/>
    </row>
    <row r="1792">
      <c r="A1792" s="28" t="str">
        <f>IFERROR(__xludf.DUMMYFUNCTION("""COMPUTED_VALUE"""),"3197-JUNJUSGC")</f>
        <v>3197-JUNJUSGC</v>
      </c>
      <c r="B1792" s="28" t="str">
        <f>IFERROR(__xludf.DUMMYFUNCTION("""COMPUTED_VALUE"""),"INSCRIPCIONES SERVICIO PENITENCIARIO")</f>
        <v>INSCRIPCIONES SERVICIO PENITENCIARIO</v>
      </c>
      <c r="C1792" s="29" t="str">
        <f>IFERROR(__xludf.DUMMYFUNCTION("""COMPUTED_VALUE"""),"Pieza")</f>
        <v>Pieza</v>
      </c>
      <c r="D1792" s="28"/>
      <c r="E1792" s="28"/>
      <c r="F1792" s="28"/>
    </row>
    <row r="1793">
      <c r="A1793" s="28" t="str">
        <f>IFERROR(__xludf.DUMMYFUNCTION("""COMPUTED_VALUE"""),"3295-JULSEGVC")</f>
        <v>3295-JULSEGVC</v>
      </c>
      <c r="B1793" s="28" t="str">
        <f>IFERROR(__xludf.DUMMYFUNCTION("""COMPUTED_VALUE"""),"RDV Ministros | Ezequiel Sabor 8/7")</f>
        <v>RDV Ministros | Ezequiel Sabor 8/7</v>
      </c>
      <c r="C1793" s="29" t="str">
        <f>IFERROR(__xludf.DUMMYFUNCTION("""COMPUTED_VALUE"""),"Pieza")</f>
        <v>Pieza</v>
      </c>
      <c r="D1793" s="28"/>
      <c r="E1793" s="28"/>
      <c r="F1793" s="28"/>
    </row>
    <row r="1794">
      <c r="A1794" s="28" t="str">
        <f>IFERROR(__xludf.DUMMYFUNCTION("""COMPUTED_VALUE"""),"3016-MAYFESGC")</f>
        <v>3016-MAYFESGC</v>
      </c>
      <c r="B1794" s="28" t="str">
        <f>IFERROR(__xludf.DUMMYFUNCTION("""COMPUTED_VALUE"""),"La ciudad late mundial | Modo Hincha")</f>
        <v>La ciudad late mundial | Modo Hincha</v>
      </c>
      <c r="C1794" s="29" t="str">
        <f>IFERROR(__xludf.DUMMYFUNCTION("""COMPUTED_VALUE"""),"Pieza")</f>
        <v>Pieza</v>
      </c>
      <c r="D1794" s="28"/>
      <c r="E1794" s="28"/>
      <c r="F1794" s="28"/>
    </row>
    <row r="1795">
      <c r="A1795" s="28" t="str">
        <f>IFERROR(__xludf.DUMMYFUNCTION("""COMPUTED_VALUE"""),"3282-JUNSEGGJ")</f>
        <v>3282-JUNSEGGJ</v>
      </c>
      <c r="B1795" s="28" t="str">
        <f>IFERROR(__xludf.DUMMYFUNCTION("""COMPUTED_VALUE"""),"Megaoperativo Marea Azul")</f>
        <v>Megaoperativo Marea Azul</v>
      </c>
      <c r="C1795" s="29" t="str">
        <f>IFERROR(__xludf.DUMMYFUNCTION("""COMPUTED_VALUE"""),"Pieza")</f>
        <v>Pieza</v>
      </c>
      <c r="D1795" s="28"/>
      <c r="E1795" s="28"/>
      <c r="F1795" s="28"/>
    </row>
    <row r="1796">
      <c r="A1796" s="28" t="str">
        <f>IFERROR(__xludf.DUMMYFUNCTION("""COMPUTED_VALUE"""),"3281-JUNSEGGJ")</f>
        <v>3281-JUNSEGGJ</v>
      </c>
      <c r="B1796" s="28" t="str">
        <f>IFERROR(__xludf.DUMMYFUNCTION("""COMPUTED_VALUE"""),"Banco de ADN para identificar delincuentes")</f>
        <v>Banco de ADN para identificar delincuentes</v>
      </c>
      <c r="C1796" s="29" t="str">
        <f>IFERROR(__xludf.DUMMYFUNCTION("""COMPUTED_VALUE"""),"Pieza")</f>
        <v>Pieza</v>
      </c>
      <c r="D1796" s="28"/>
      <c r="E1796" s="28"/>
      <c r="F1796" s="28"/>
    </row>
    <row r="1797">
      <c r="A1797" s="28" t="str">
        <f>IFERROR(__xludf.DUMMYFUNCTION("""COMPUTED_VALUE"""),"3301-JULSEGGJ")</f>
        <v>3301-JULSEGGJ</v>
      </c>
      <c r="B1797" s="28" t="str">
        <f>IFERROR(__xludf.DUMMYFUNCTION("""COMPUTED_VALUE"""),"685 nuevos vehículos para la Policía de la Ciudad")</f>
        <v>685 nuevos vehículos para la Policía de la Ciudad</v>
      </c>
      <c r="C1797" s="29" t="str">
        <f>IFERROR(__xludf.DUMMYFUNCTION("""COMPUTED_VALUE"""),"Pieza")</f>
        <v>Pieza</v>
      </c>
      <c r="D1797" s="28"/>
      <c r="E1797" s="28"/>
      <c r="F1797" s="28"/>
    </row>
    <row r="1798">
      <c r="A1798" s="28" t="str">
        <f>IFERROR(__xludf.DUMMYFUNCTION("""COMPUTED_VALUE"""),"3271-JUNTURGC")</f>
        <v>3271-JUNTURGC</v>
      </c>
      <c r="B1798" s="28" t="str">
        <f>IFERROR(__xludf.DUMMYFUNCTION("""COMPUTED_VALUE"""),"Sondeo Hotelero | Finde largo julio ")</f>
        <v>Sondeo Hotelero | Finde largo julio </v>
      </c>
      <c r="C1798" s="29" t="str">
        <f>IFERROR(__xludf.DUMMYFUNCTION("""COMPUTED_VALUE"""),"Pieza")</f>
        <v>Pieza</v>
      </c>
      <c r="D1798" s="28"/>
      <c r="E1798" s="28"/>
      <c r="F1798" s="28"/>
    </row>
    <row r="1799">
      <c r="A1799" s="28" t="str">
        <f>IFERROR(__xludf.DUMMYFUNCTION("""COMPUTED_VALUE"""),"3290-JULDECLI")</f>
        <v>3290-JULDECLI</v>
      </c>
      <c r="B1799" s="28" t="str">
        <f>IFERROR(__xludf.DUMMYFUNCTION("""COMPUTED_VALUE"""),"Sorteo CAMINOS Y SABORES ")</f>
        <v>Sorteo CAMINOS Y SABORES </v>
      </c>
      <c r="C1799" s="29" t="str">
        <f>IFERROR(__xludf.DUMMYFUNCTION("""COMPUTED_VALUE"""),"Pieza")</f>
        <v>Pieza</v>
      </c>
      <c r="D1799" s="28"/>
      <c r="E1799" s="28"/>
      <c r="F1799" s="28"/>
    </row>
    <row r="1800">
      <c r="A1800" s="28" t="str">
        <f>IFERROR(__xludf.DUMMYFUNCTION("""COMPUTED_VALUE"""),"3263-JUNJDGVC")</f>
        <v>3263-JUNJDGVC</v>
      </c>
      <c r="B1800" s="28" t="str">
        <f>IFERROR(__xludf.DUMMYFUNCTION("""COMPUTED_VALUE"""),"RDV Ministros | Gabriel Sánchez Zinny 2/7")</f>
        <v>RDV Ministros | Gabriel Sánchez Zinny 2/7</v>
      </c>
      <c r="C1800" s="29" t="str">
        <f>IFERROR(__xludf.DUMMYFUNCTION("""COMPUTED_VALUE"""),"Pieza")</f>
        <v>Pieza</v>
      </c>
      <c r="D1800" s="28"/>
      <c r="E1800" s="28"/>
      <c r="F1800" s="28"/>
    </row>
    <row r="1801">
      <c r="A1801" s="28" t="str">
        <f>IFERROR(__xludf.DUMMYFUNCTION("""COMPUTED_VALUE"""),"3297-JULEDUVC")</f>
        <v>3297-JULEDUVC</v>
      </c>
      <c r="B1801" s="28" t="str">
        <f>IFERROR(__xludf.DUMMYFUNCTION("""COMPUTED_VALUE"""),"RDV ministros | Mercedes Miguel 8/7")</f>
        <v>RDV ministros | Mercedes Miguel 8/7</v>
      </c>
      <c r="C1801" s="29" t="str">
        <f>IFERROR(__xludf.DUMMYFUNCTION("""COMPUTED_VALUE"""),"Pieza")</f>
        <v>Pieza</v>
      </c>
      <c r="D1801" s="28"/>
      <c r="E1801" s="28"/>
      <c r="F1801" s="28"/>
    </row>
    <row r="1802">
      <c r="A1802" s="28" t="str">
        <f>IFERROR(__xludf.DUMMYFUNCTION("""COMPUTED_VALUE"""),"3296-JULEPHVC")</f>
        <v>3296-JULEPHVC</v>
      </c>
      <c r="B1802" s="28" t="str">
        <f>IFERROR(__xludf.DUMMYFUNCTION("""COMPUTED_VALUE"""),"RDV Ministros | Ignacio Baistrocchi 8/7")</f>
        <v>RDV Ministros | Ignacio Baistrocchi 8/7</v>
      </c>
      <c r="C1802" s="29" t="str">
        <f>IFERROR(__xludf.DUMMYFUNCTION("""COMPUTED_VALUE"""),"Pieza")</f>
        <v>Pieza</v>
      </c>
      <c r="D1802" s="28"/>
      <c r="E1802" s="28"/>
      <c r="F1802" s="28"/>
    </row>
    <row r="1803">
      <c r="A1803" s="28" t="str">
        <f>IFERROR(__xludf.DUMMYFUNCTION("""COMPUTED_VALUE"""),"3306-JULCULGC")</f>
        <v>3306-JULCULGC</v>
      </c>
      <c r="B1803" s="28" t="str">
        <f>IFERROR(__xludf.DUMMYFUNCTION("""COMPUTED_VALUE"""),"Evento 9 de julio Casa de la Cultura")</f>
        <v>Evento 9 de julio Casa de la Cultura</v>
      </c>
      <c r="C1803" s="29" t="str">
        <f>IFERROR(__xludf.DUMMYFUNCTION("""COMPUTED_VALUE"""),"Pieza")</f>
        <v>Pieza</v>
      </c>
      <c r="D1803" s="28"/>
      <c r="E1803" s="28"/>
      <c r="F1803" s="28"/>
    </row>
    <row r="1804">
      <c r="A1804" s="28" t="str">
        <f>IFERROR(__xludf.DUMMYFUNCTION("""COMPUTED_VALUE"""),"3283-JUNAMBVC")</f>
        <v>3283-JUNAMBVC</v>
      </c>
      <c r="B1804" s="28" t="str">
        <f>IFERROR(__xludf.DUMMYFUNCTION("""COMPUTED_VALUE"""),"RDV Ministros | Clara Muzzio - 3/7 - Temática")</f>
        <v>RDV Ministros | Clara Muzzio - 3/7 - Temática</v>
      </c>
      <c r="C1804" s="29" t="str">
        <f>IFERROR(__xludf.DUMMYFUNCTION("""COMPUTED_VALUE"""),"Pieza")</f>
        <v>Pieza</v>
      </c>
      <c r="D1804" s="28"/>
      <c r="E1804" s="28"/>
      <c r="F1804" s="28"/>
    </row>
    <row r="1805">
      <c r="A1805" s="28" t="str">
        <f>IFERROR(__xludf.DUMMYFUNCTION("""COMPUTED_VALUE"""),"3294-JULDHHVC")</f>
        <v>3294-JULDHHVC</v>
      </c>
      <c r="B1805" s="28" t="str">
        <f>IFERROR(__xludf.DUMMYFUNCTION("""COMPUTED_VALUE"""),"RDV Ministros | Gabriel Mraida - 8/7 ")</f>
        <v>RDV Ministros | Gabriel Mraida - 8/7 </v>
      </c>
      <c r="C1805" s="29" t="str">
        <f>IFERROR(__xludf.DUMMYFUNCTION("""COMPUTED_VALUE"""),"Pieza")</f>
        <v>Pieza</v>
      </c>
      <c r="D1805" s="28"/>
      <c r="E1805" s="28"/>
      <c r="F1805" s="28"/>
    </row>
    <row r="1806">
      <c r="A1806" s="28" t="str">
        <f>IFERROR(__xludf.DUMMYFUNCTION("""COMPUTED_VALUE"""),"3295-JULSEGVC")</f>
        <v>3295-JULSEGVC</v>
      </c>
      <c r="B1806" s="28" t="str">
        <f>IFERROR(__xludf.DUMMYFUNCTION("""COMPUTED_VALUE"""),"RDV Ministros | Ezequiel Sabor 8/7")</f>
        <v>RDV Ministros | Ezequiel Sabor 8/7</v>
      </c>
      <c r="C1806" s="29" t="str">
        <f>IFERROR(__xludf.DUMMYFUNCTION("""COMPUTED_VALUE"""),"Pieza")</f>
        <v>Pieza</v>
      </c>
      <c r="D1806" s="28"/>
      <c r="E1806" s="28"/>
      <c r="F1806" s="28"/>
    </row>
    <row r="1807">
      <c r="A1807" s="28" t="str">
        <f>IFERROR(__xludf.DUMMYFUNCTION("""COMPUTED_VALUE"""),"1921-SEPAMBGC")</f>
        <v>1921-SEPAMBGC</v>
      </c>
      <c r="B1807" s="28" t="str">
        <f>IFERROR(__xludf.DUMMYFUNCTION("""COMPUTED_VALUE"""),"Vacunación Antirrabica Animales")</f>
        <v>Vacunación Antirrabica Animales</v>
      </c>
      <c r="C1807" s="29" t="str">
        <f>IFERROR(__xludf.DUMMYFUNCTION("""COMPUTED_VALUE"""),"Pieza")</f>
        <v>Pieza</v>
      </c>
      <c r="D1807" s="28"/>
      <c r="E1807" s="28"/>
      <c r="F1807" s="28"/>
    </row>
    <row r="1808">
      <c r="A1808" s="28" t="str">
        <f>IFERROR(__xludf.DUMMYFUNCTION("""COMPUTED_VALUE"""),"3301-JULSEGGJ")</f>
        <v>3301-JULSEGGJ</v>
      </c>
      <c r="B1808" s="28" t="str">
        <f>IFERROR(__xludf.DUMMYFUNCTION("""COMPUTED_VALUE"""),"685 nuevos vehículos para la Policía de la Ciudad")</f>
        <v>685 nuevos vehículos para la Policía de la Ciudad</v>
      </c>
      <c r="C1808" s="29" t="str">
        <f>IFERROR(__xludf.DUMMYFUNCTION("""COMPUTED_VALUE"""),"Pieza")</f>
        <v>Pieza</v>
      </c>
      <c r="D1808" s="28"/>
      <c r="E1808" s="28"/>
      <c r="F1808" s="28"/>
    </row>
    <row r="1809">
      <c r="A1809" s="28" t="str">
        <f>IFERROR(__xludf.DUMMYFUNCTION("""COMPUTED_VALUE"""),"3311-JULINFGC")</f>
        <v>3311-JULINFGC</v>
      </c>
      <c r="B1809" s="28" t="str">
        <f>IFERROR(__xludf.DUMMYFUNCTION("""COMPUTED_VALUE"""),"INFRAESTRUCTURA | CORTES Y DESVÍOS POR CARRERA 9K INDEPENDENCIA")</f>
        <v>INFRAESTRUCTURA | CORTES Y DESVÍOS POR CARRERA 9K INDEPENDENCIA</v>
      </c>
      <c r="C1809" s="29" t="str">
        <f>IFERROR(__xludf.DUMMYFUNCTION("""COMPUTED_VALUE"""),"Pieza")</f>
        <v>Pieza</v>
      </c>
      <c r="D1809" s="28"/>
      <c r="E1809" s="28"/>
      <c r="F1809" s="28"/>
    </row>
    <row r="1810">
      <c r="A1810" s="28" t="str">
        <f>IFERROR(__xludf.DUMMYFUNCTION("""COMPUTED_VALUE"""),"3326-JULINFVC")</f>
        <v>3326-JULINFVC</v>
      </c>
      <c r="B1810" s="28" t="str">
        <f>IFERROR(__xludf.DUMMYFUNCTION("""COMPUTED_VALUE"""),"PABLO BERECIARTUA 13/7 COMUNA 1")</f>
        <v>PABLO BERECIARTUA 13/7 COMUNA 1</v>
      </c>
      <c r="C1810" s="29" t="str">
        <f>IFERROR(__xludf.DUMMYFUNCTION("""COMPUTED_VALUE"""),"Pieza")</f>
        <v>Pieza</v>
      </c>
      <c r="D1810" s="28"/>
      <c r="E1810" s="28"/>
      <c r="F1810" s="28"/>
    </row>
    <row r="1811">
      <c r="A1811" s="28" t="str">
        <f>IFERROR(__xludf.DUMMYFUNCTION("""COMPUTED_VALUE"""),"3301-JULSEGGJ")</f>
        <v>3301-JULSEGGJ</v>
      </c>
      <c r="B1811" s="28" t="str">
        <f>IFERROR(__xludf.DUMMYFUNCTION("""COMPUTED_VALUE"""),"685 nuevos vehículos para la Policía de la Ciudad")</f>
        <v>685 nuevos vehículos para la Policía de la Ciudad</v>
      </c>
      <c r="C1811" s="29" t="str">
        <f>IFERROR(__xludf.DUMMYFUNCTION("""COMPUTED_VALUE"""),"Pieza")</f>
        <v>Pieza</v>
      </c>
      <c r="D1811" s="28"/>
      <c r="E1811" s="28"/>
      <c r="F1811" s="28"/>
    </row>
    <row r="1812">
      <c r="A1812" s="28" t="str">
        <f>IFERROR(__xludf.DUMMYFUNCTION("""COMPUTED_VALUE"""),"1964-SEPEPHGC")</f>
        <v>1964-SEPEPHGC</v>
      </c>
      <c r="B1812" s="28" t="str">
        <f>IFERROR(__xludf.DUMMYFUNCTION("""COMPUTED_VALUE"""),"MEPHU RECAMBIO TECNOLÓGICO M2")</f>
        <v>MEPHU RECAMBIO TECNOLÓGICO M2</v>
      </c>
      <c r="C1812" s="29" t="str">
        <f>IFERROR(__xludf.DUMMYFUNCTION("""COMPUTED_VALUE"""),"Pieza")</f>
        <v>Pieza</v>
      </c>
      <c r="D1812" s="28"/>
      <c r="E1812" s="28"/>
      <c r="F1812" s="28"/>
    </row>
    <row r="1813">
      <c r="A1813" s="28" t="str">
        <f>IFERROR(__xludf.DUMMYFUNCTION("""COMPUTED_VALUE"""),"1946-SEPEPHGC")</f>
        <v>1946-SEPEPHGC</v>
      </c>
      <c r="B1813" s="28" t="str">
        <f>IFERROR(__xludf.DUMMYFUNCTION("""COMPUTED_VALUE"""),"CAMPAÑA GCBA | MEPHU  | PLUVIALES")</f>
        <v>CAMPAÑA GCBA | MEPHU  | PLUVIALES</v>
      </c>
      <c r="C1813" s="29" t="str">
        <f>IFERROR(__xludf.DUMMYFUNCTION("""COMPUTED_VALUE"""),"Pieza")</f>
        <v>Pieza</v>
      </c>
      <c r="D1813" s="28"/>
      <c r="E1813" s="28"/>
      <c r="F1813" s="28"/>
    </row>
    <row r="1814">
      <c r="A1814" s="28" t="str">
        <f>IFERROR(__xludf.DUMMYFUNCTION("""COMPUTED_VALUE"""),"1946-SEPEPHGC")</f>
        <v>1946-SEPEPHGC</v>
      </c>
      <c r="B1814" s="28" t="str">
        <f>IFERROR(__xludf.DUMMYFUNCTION("""COMPUTED_VALUE"""),"CAMPAÑA GCBA | MEPHU  | PLUVIALES")</f>
        <v>CAMPAÑA GCBA | MEPHU  | PLUVIALES</v>
      </c>
      <c r="C1814" s="29" t="str">
        <f>IFERROR(__xludf.DUMMYFUNCTION("""COMPUTED_VALUE"""),"Pieza")</f>
        <v>Pieza</v>
      </c>
      <c r="D1814" s="28"/>
      <c r="E1814" s="28"/>
      <c r="F1814" s="28"/>
    </row>
    <row r="1815">
      <c r="A1815" s="28" t="str">
        <f>IFERROR(__xludf.DUMMYFUNCTION("""COMPUTED_VALUE"""),"2994-MAYEPHGC")</f>
        <v>2994-MAYEPHGC</v>
      </c>
      <c r="B1815" s="28" t="str">
        <f>IFERROR(__xludf.DUMMYFUNCTION("""COMPUTED_VALUE"""),"Luminarias Peatonales - Post")</f>
        <v>Luminarias Peatonales - Post</v>
      </c>
      <c r="C1815" s="29" t="str">
        <f>IFERROR(__xludf.DUMMYFUNCTION("""COMPUTED_VALUE"""),"Pieza")</f>
        <v>Pieza</v>
      </c>
      <c r="D1815" s="28"/>
      <c r="E1815" s="28"/>
      <c r="F1815" s="28"/>
    </row>
    <row r="1816">
      <c r="A1816" s="28" t="str">
        <f>IFERROR(__xludf.DUMMYFUNCTION("""COMPUTED_VALUE"""),"3323-JULSALVC")</f>
        <v>3323-JULSALVC</v>
      </c>
      <c r="B1816" s="28" t="str">
        <f>IFERROR(__xludf.DUMMYFUNCTION("""COMPUTED_VALUE"""),"RDV MINISTROS | FERNÁN QUIRÓS 13/7 COMUNA 14")</f>
        <v>RDV MINISTROS | FERNÁN QUIRÓS 13/7 COMUNA 14</v>
      </c>
      <c r="C1816" s="29" t="str">
        <f>IFERROR(__xludf.DUMMYFUNCTION("""COMPUTED_VALUE"""),"Pieza")</f>
        <v>Pieza</v>
      </c>
      <c r="D1816" s="28"/>
      <c r="E1816" s="28"/>
      <c r="F1816" s="28"/>
    </row>
    <row r="1817">
      <c r="A1817" s="28" t="str">
        <f>IFERROR(__xludf.DUMMYFUNCTION("""COMPUTED_VALUE"""),"3228-JUNSALGC")</f>
        <v>3228-JUNSALGC</v>
      </c>
      <c r="B1817" s="28" t="str">
        <f>IFERROR(__xludf.DUMMYFUNCTION("""COMPUTED_VALUE"""),"Hospitar Ferrer: Obras")</f>
        <v>Hospitar Ferrer: Obras</v>
      </c>
      <c r="C1817" s="29" t="str">
        <f>IFERROR(__xludf.DUMMYFUNCTION("""COMPUTED_VALUE"""),"Pieza")</f>
        <v>Pieza</v>
      </c>
      <c r="D1817" s="28"/>
      <c r="E1817" s="28"/>
      <c r="F1817" s="28"/>
    </row>
    <row r="1818">
      <c r="A1818" s="28" t="str">
        <f>IFERROR(__xludf.DUMMYFUNCTION("""COMPUTED_VALUE"""),"3227-JUNSALGC")</f>
        <v>3227-JUNSALGC</v>
      </c>
      <c r="B1818" s="28" t="str">
        <f>IFERROR(__xludf.DUMMYFUNCTION("""COMPUTED_VALUE"""),"Hospital Roca: Obras")</f>
        <v>Hospital Roca: Obras</v>
      </c>
      <c r="C1818" s="29" t="str">
        <f>IFERROR(__xludf.DUMMYFUNCTION("""COMPUTED_VALUE"""),"Pieza")</f>
        <v>Pieza</v>
      </c>
      <c r="D1818" s="28"/>
      <c r="E1818" s="28"/>
      <c r="F1818" s="28"/>
    </row>
    <row r="1819">
      <c r="A1819" s="28" t="str">
        <f>IFERROR(__xludf.DUMMYFUNCTION("""COMPUTED_VALUE"""),"3145-JUNEPHGC")</f>
        <v>3145-JUNEPHGC</v>
      </c>
      <c r="B1819" s="28" t="str">
        <f>IFERROR(__xludf.DUMMYFUNCTION("""COMPUTED_VALUE"""),"Refuerzo Grandes generadores de residuos")</f>
        <v>Refuerzo Grandes generadores de residuos</v>
      </c>
      <c r="C1819" s="29" t="str">
        <f>IFERROR(__xludf.DUMMYFUNCTION("""COMPUTED_VALUE"""),"Pieza")</f>
        <v>Pieza</v>
      </c>
      <c r="D1819" s="28"/>
      <c r="E1819" s="28"/>
      <c r="F1819" s="28"/>
    </row>
    <row r="1820">
      <c r="A1820" s="28" t="str">
        <f>IFERROR(__xludf.DUMMYFUNCTION("""COMPUTED_VALUE"""),"3145-JUNEPHGC")</f>
        <v>3145-JUNEPHGC</v>
      </c>
      <c r="B1820" s="28" t="str">
        <f>IFERROR(__xludf.DUMMYFUNCTION("""COMPUTED_VALUE"""),"Refuerzo Grandes generadores de residuos")</f>
        <v>Refuerzo Grandes generadores de residuos</v>
      </c>
      <c r="C1820" s="29" t="str">
        <f>IFERROR(__xludf.DUMMYFUNCTION("""COMPUTED_VALUE"""),"Pieza")</f>
        <v>Pieza</v>
      </c>
      <c r="D1820" s="28"/>
      <c r="E1820" s="28"/>
      <c r="F1820" s="28"/>
    </row>
    <row r="1821">
      <c r="A1821" s="28" t="str">
        <f>IFERROR(__xludf.DUMMYFUNCTION("""COMPUTED_VALUE"""),"3145-JUNEPHGC")</f>
        <v>3145-JUNEPHGC</v>
      </c>
      <c r="B1821" s="28" t="str">
        <f>IFERROR(__xludf.DUMMYFUNCTION("""COMPUTED_VALUE"""),"Refuerzo Grandes generadores de residuos")</f>
        <v>Refuerzo Grandes generadores de residuos</v>
      </c>
      <c r="C1821" s="29" t="str">
        <f>IFERROR(__xludf.DUMMYFUNCTION("""COMPUTED_VALUE"""),"Pieza")</f>
        <v>Pieza</v>
      </c>
      <c r="D1821" s="28"/>
      <c r="E1821" s="28"/>
      <c r="F1821" s="28"/>
    </row>
    <row r="1822">
      <c r="A1822" s="28" t="str">
        <f>IFERROR(__xludf.DUMMYFUNCTION("""COMPUTED_VALUE"""),"3290-JULDECLI")</f>
        <v>3290-JULDECLI</v>
      </c>
      <c r="B1822" s="28" t="str">
        <f>IFERROR(__xludf.DUMMYFUNCTION("""COMPUTED_VALUE"""),"Sorteo CAMINOS Y SABORES ")</f>
        <v>Sorteo CAMINOS Y SABORES </v>
      </c>
      <c r="C1822" s="29" t="str">
        <f>IFERROR(__xludf.DUMMYFUNCTION("""COMPUTED_VALUE"""),"Pieza")</f>
        <v>Pieza</v>
      </c>
      <c r="D1822" s="28"/>
      <c r="E1822" s="28"/>
      <c r="F1822" s="28"/>
    </row>
    <row r="1823">
      <c r="A1823" s="28" t="str">
        <f>IFERROR(__xludf.DUMMYFUNCTION("""COMPUTED_VALUE"""),"3290-JULDECLI")</f>
        <v>3290-JULDECLI</v>
      </c>
      <c r="B1823" s="28" t="str">
        <f>IFERROR(__xludf.DUMMYFUNCTION("""COMPUTED_VALUE"""),"Sorteo CAMINOS Y SABORES ")</f>
        <v>Sorteo CAMINOS Y SABORES </v>
      </c>
      <c r="C1823" s="29" t="str">
        <f>IFERROR(__xludf.DUMMYFUNCTION("""COMPUTED_VALUE"""),"Pieza")</f>
        <v>Pieza</v>
      </c>
      <c r="D1823" s="28"/>
      <c r="E1823" s="28"/>
      <c r="F1823" s="28"/>
    </row>
    <row r="1824">
      <c r="A1824" s="28" t="str">
        <f>IFERROR(__xludf.DUMMYFUNCTION("""COMPUTED_VALUE"""),"3290-JULDECLI")</f>
        <v>3290-JULDECLI</v>
      </c>
      <c r="B1824" s="28" t="str">
        <f>IFERROR(__xludf.DUMMYFUNCTION("""COMPUTED_VALUE"""),"Sorteo CAMINOS Y SABORES ")</f>
        <v>Sorteo CAMINOS Y SABORES </v>
      </c>
      <c r="C1824" s="29" t="str">
        <f>IFERROR(__xludf.DUMMYFUNCTION("""COMPUTED_VALUE"""),"Pieza")</f>
        <v>Pieza</v>
      </c>
      <c r="D1824" s="28"/>
      <c r="E1824" s="28"/>
      <c r="F1824" s="28"/>
    </row>
    <row r="1825">
      <c r="A1825" s="28" t="str">
        <f>IFERROR(__xludf.DUMMYFUNCTION("""COMPUTED_VALUE"""),"3290-JULDECLI")</f>
        <v>3290-JULDECLI</v>
      </c>
      <c r="B1825" s="28" t="str">
        <f>IFERROR(__xludf.DUMMYFUNCTION("""COMPUTED_VALUE"""),"Sorteo CAMINOS Y SABORES ")</f>
        <v>Sorteo CAMINOS Y SABORES </v>
      </c>
      <c r="C1825" s="29" t="str">
        <f>IFERROR(__xludf.DUMMYFUNCTION("""COMPUTED_VALUE"""),"Pieza")</f>
        <v>Pieza</v>
      </c>
      <c r="D1825" s="28"/>
      <c r="E1825" s="28"/>
      <c r="F1825" s="28"/>
    </row>
    <row r="1826">
      <c r="A1826" s="28" t="str">
        <f>IFERROR(__xludf.DUMMYFUNCTION("""COMPUTED_VALUE"""),"3290-JULDECLI")</f>
        <v>3290-JULDECLI</v>
      </c>
      <c r="B1826" s="28" t="str">
        <f>IFERROR(__xludf.DUMMYFUNCTION("""COMPUTED_VALUE"""),"Sorteo CAMINOS Y SABORES ")</f>
        <v>Sorteo CAMINOS Y SABORES </v>
      </c>
      <c r="C1826" s="29" t="str">
        <f>IFERROR(__xludf.DUMMYFUNCTION("""COMPUTED_VALUE"""),"Pieza")</f>
        <v>Pieza</v>
      </c>
      <c r="D1826" s="28"/>
      <c r="E1826" s="28"/>
      <c r="F1826" s="28"/>
    </row>
    <row r="1827">
      <c r="A1827" s="28" t="str">
        <f>IFERROR(__xludf.DUMMYFUNCTION("""COMPUTED_VALUE"""),"3290-JULDECLI")</f>
        <v>3290-JULDECLI</v>
      </c>
      <c r="B1827" s="28" t="str">
        <f>IFERROR(__xludf.DUMMYFUNCTION("""COMPUTED_VALUE"""),"Sorteo CAMINOS Y SABORES ")</f>
        <v>Sorteo CAMINOS Y SABORES </v>
      </c>
      <c r="C1827" s="29" t="str">
        <f>IFERROR(__xludf.DUMMYFUNCTION("""COMPUTED_VALUE"""),"Pieza")</f>
        <v>Pieza</v>
      </c>
      <c r="D1827" s="28"/>
      <c r="E1827" s="28"/>
      <c r="F1827" s="28"/>
    </row>
    <row r="1828">
      <c r="A1828" s="28" t="str">
        <f>IFERROR(__xludf.DUMMYFUNCTION("""COMPUTED_VALUE"""),"3290-JULDECLI")</f>
        <v>3290-JULDECLI</v>
      </c>
      <c r="B1828" s="28" t="str">
        <f>IFERROR(__xludf.DUMMYFUNCTION("""COMPUTED_VALUE"""),"Sorteo CAMINOS Y SABORES ")</f>
        <v>Sorteo CAMINOS Y SABORES </v>
      </c>
      <c r="C1828" s="29" t="str">
        <f>IFERROR(__xludf.DUMMYFUNCTION("""COMPUTED_VALUE"""),"Pieza")</f>
        <v>Pieza</v>
      </c>
      <c r="D1828" s="28"/>
      <c r="E1828" s="28"/>
      <c r="F1828" s="28"/>
    </row>
    <row r="1829">
      <c r="A1829" s="28" t="str">
        <f>IFERROR(__xludf.DUMMYFUNCTION("""COMPUTED_VALUE"""),"3290-JULDECLI")</f>
        <v>3290-JULDECLI</v>
      </c>
      <c r="B1829" s="28" t="str">
        <f>IFERROR(__xludf.DUMMYFUNCTION("""COMPUTED_VALUE"""),"Sorteo CAMINOS Y SABORES ")</f>
        <v>Sorteo CAMINOS Y SABORES </v>
      </c>
      <c r="C1829" s="29" t="str">
        <f>IFERROR(__xludf.DUMMYFUNCTION("""COMPUTED_VALUE"""),"Pieza")</f>
        <v>Pieza</v>
      </c>
      <c r="D1829" s="28"/>
      <c r="E1829" s="28"/>
      <c r="F1829" s="28"/>
    </row>
    <row r="1830">
      <c r="A1830" s="28" t="str">
        <f>IFERROR(__xludf.DUMMYFUNCTION("""COMPUTED_VALUE"""),"3290-JULDECLI")</f>
        <v>3290-JULDECLI</v>
      </c>
      <c r="B1830" s="28" t="str">
        <f>IFERROR(__xludf.DUMMYFUNCTION("""COMPUTED_VALUE"""),"Sorteo CAMINOS Y SABORES ")</f>
        <v>Sorteo CAMINOS Y SABORES </v>
      </c>
      <c r="C1830" s="29" t="str">
        <f>IFERROR(__xludf.DUMMYFUNCTION("""COMPUTED_VALUE"""),"Pieza")</f>
        <v>Pieza</v>
      </c>
      <c r="D1830" s="28"/>
      <c r="E1830" s="28"/>
      <c r="F1830" s="28"/>
    </row>
    <row r="1831">
      <c r="A1831" s="28" t="str">
        <f>IFERROR(__xludf.DUMMYFUNCTION("""COMPUTED_VALUE"""),"3302-JULDUDGC")</f>
        <v>3302-JULDUDGC</v>
      </c>
      <c r="B1831" s="28" t="str">
        <f>IFERROR(__xludf.DUMMYFUNCTION("""COMPUTED_VALUE"""),"Deportes | Media | Sorteo Maratón de Buenos Aires 2026")</f>
        <v>Deportes | Media | Sorteo Maratón de Buenos Aires 2026</v>
      </c>
      <c r="C1831" s="29" t="str">
        <f>IFERROR(__xludf.DUMMYFUNCTION("""COMPUTED_VALUE"""),"Pieza")</f>
        <v>Pieza</v>
      </c>
      <c r="D1831" s="28"/>
      <c r="E1831" s="28"/>
      <c r="F1831" s="28"/>
    </row>
    <row r="1832">
      <c r="A1832" s="28" t="str">
        <f>IFERROR(__xludf.DUMMYFUNCTION("""COMPUTED_VALUE"""),"3316-JULDECVC")</f>
        <v>3316-JULDECVC</v>
      </c>
      <c r="B1832" s="28" t="str">
        <f>IFERROR(__xludf.DUMMYFUNCTION("""COMPUTED_VALUE"""),"RDV Ministros | LOMBARDI-TAPIA-PIRAGINE 13/7 EJE CENTRO")</f>
        <v>RDV Ministros | LOMBARDI-TAPIA-PIRAGINE 13/7 EJE CENTRO</v>
      </c>
      <c r="C1832" s="29" t="str">
        <f>IFERROR(__xludf.DUMMYFUNCTION("""COMPUTED_VALUE"""),"Pieza")</f>
        <v>Pieza</v>
      </c>
      <c r="D1832" s="28"/>
      <c r="E1832" s="28"/>
      <c r="F1832" s="28"/>
    </row>
    <row r="1833">
      <c r="A1833" s="28" t="str">
        <f>IFERROR(__xludf.DUMMYFUNCTION("""COMPUTED_VALUE"""),"3317-JULVINGC")</f>
        <v>3317-JULVINGC</v>
      </c>
      <c r="B1833" s="28" t="str">
        <f>IFERROR(__xludf.DUMMYFUNCTION("""COMPUTED_VALUE"""),"Más servicios en tu barrio Parque Avellaneda 13/7")</f>
        <v>Más servicios en tu barrio Parque Avellaneda 13/7</v>
      </c>
      <c r="C1833" s="29" t="str">
        <f>IFERROR(__xludf.DUMMYFUNCTION("""COMPUTED_VALUE"""),"Pieza")</f>
        <v>Pieza</v>
      </c>
      <c r="D1833" s="28"/>
      <c r="E1833" s="28"/>
      <c r="F1833" s="28"/>
    </row>
    <row r="1834">
      <c r="A1834" s="28" t="str">
        <f>IFERROR(__xludf.DUMMYFUNCTION("""COMPUTED_VALUE"""),"3320-JULVINGC")</f>
        <v>3320-JULVINGC</v>
      </c>
      <c r="B1834" s="28" t="str">
        <f>IFERROR(__xludf.DUMMYFUNCTION("""COMPUTED_VALUE"""),"Más servicios en tu barrio San Telmo 15/7")</f>
        <v>Más servicios en tu barrio San Telmo 15/7</v>
      </c>
      <c r="C1834" s="29" t="str">
        <f>IFERROR(__xludf.DUMMYFUNCTION("""COMPUTED_VALUE"""),"Pieza")</f>
        <v>Pieza</v>
      </c>
      <c r="D1834" s="28"/>
      <c r="E1834" s="28"/>
      <c r="F1834" s="28"/>
    </row>
    <row r="1835">
      <c r="A1835" s="28" t="str">
        <f>IFERROR(__xludf.DUMMYFUNCTION("""COMPUTED_VALUE"""),"3318-JULVINGC")</f>
        <v>3318-JULVINGC</v>
      </c>
      <c r="B1835" s="28" t="str">
        <f>IFERROR(__xludf.DUMMYFUNCTION("""COMPUTED_VALUE"""),"Más servicios en tu barrio Villa Devoto 14/7")</f>
        <v>Más servicios en tu barrio Villa Devoto 14/7</v>
      </c>
      <c r="C1835" s="29" t="str">
        <f>IFERROR(__xludf.DUMMYFUNCTION("""COMPUTED_VALUE"""),"Pieza")</f>
        <v>Pieza</v>
      </c>
      <c r="D1835" s="28"/>
      <c r="E1835" s="28"/>
      <c r="F1835" s="28"/>
    </row>
    <row r="1836">
      <c r="A1836" s="28" t="str">
        <f>IFERROR(__xludf.DUMMYFUNCTION("""COMPUTED_VALUE"""),"3319-JULVINGC")</f>
        <v>3319-JULVINGC</v>
      </c>
      <c r="B1836" s="28" t="str">
        <f>IFERROR(__xludf.DUMMYFUNCTION("""COMPUTED_VALUE"""),"Más servicios en tu barrio  Puerto Madero Barrio Popular  15/7")</f>
        <v>Más servicios en tu barrio  Puerto Madero Barrio Popular  15/7</v>
      </c>
      <c r="C1836" s="29" t="str">
        <f>IFERROR(__xludf.DUMMYFUNCTION("""COMPUTED_VALUE"""),"Pieza")</f>
        <v>Pieza</v>
      </c>
      <c r="D1836" s="28"/>
      <c r="E1836" s="28"/>
      <c r="F1836" s="28"/>
    </row>
    <row r="1837">
      <c r="A1837" s="28" t="str">
        <f>IFERROR(__xludf.DUMMYFUNCTION("""COMPUTED_VALUE"""),"3324-JULVINGC")</f>
        <v>3324-JULVINGC</v>
      </c>
      <c r="B1837" s="28" t="str">
        <f>IFERROR(__xludf.DUMMYFUNCTION("""COMPUTED_VALUE"""),"Más servicios en tu barrio Villa Lugano 13/7")</f>
        <v>Más servicios en tu barrio Villa Lugano 13/7</v>
      </c>
      <c r="C1837" s="29" t="str">
        <f>IFERROR(__xludf.DUMMYFUNCTION("""COMPUTED_VALUE"""),"Pieza")</f>
        <v>Pieza</v>
      </c>
      <c r="D1837" s="28"/>
      <c r="E1837" s="28"/>
      <c r="F1837" s="28"/>
    </row>
    <row r="1838">
      <c r="A1838" s="28" t="str">
        <f>IFERROR(__xludf.DUMMYFUNCTION("""COMPUTED_VALUE"""),"3329-JULINFGC")</f>
        <v>3329-JULINFGC</v>
      </c>
      <c r="B1838" s="28" t="str">
        <f>IFERROR(__xludf.DUMMYFUNCTION("""COMPUTED_VALUE"""),"Cortes y desvios en Av. Cantilo")</f>
        <v>Cortes y desvios en Av. Cantilo</v>
      </c>
      <c r="C1838" s="29" t="str">
        <f>IFERROR(__xludf.DUMMYFUNCTION("""COMPUTED_VALUE"""),"Pieza")</f>
        <v>Pieza</v>
      </c>
      <c r="D1838" s="28"/>
      <c r="E1838" s="28"/>
      <c r="F1838" s="28"/>
    </row>
    <row r="1839">
      <c r="A1839" s="28" t="str">
        <f>IFERROR(__xludf.DUMMYFUNCTION("""COMPUTED_VALUE"""),"3307-JULFESGC")</f>
        <v>3307-JULFESGC</v>
      </c>
      <c r="B1839" s="28" t="str">
        <f>IFERROR(__xludf.DUMMYFUNCTION("""COMPUTED_VALUE"""),"Sorteo | Expo Rural 2026")</f>
        <v>Sorteo | Expo Rural 2026</v>
      </c>
      <c r="C1839" s="29" t="str">
        <f>IFERROR(__xludf.DUMMYFUNCTION("""COMPUTED_VALUE"""),"Pieza")</f>
        <v>Pieza</v>
      </c>
      <c r="D1839" s="28"/>
      <c r="E1839" s="28"/>
      <c r="F1839" s="28"/>
    </row>
    <row r="1840">
      <c r="A1840" s="28" t="str">
        <f>IFERROR(__xludf.DUMMYFUNCTION("""COMPUTED_VALUE"""),"3281-JUNSEGGJ")</f>
        <v>3281-JUNSEGGJ</v>
      </c>
      <c r="B1840" s="28" t="str">
        <f>IFERROR(__xludf.DUMMYFUNCTION("""COMPUTED_VALUE"""),"Banco de ADN para identificar delincuentes")</f>
        <v>Banco de ADN para identificar delincuentes</v>
      </c>
      <c r="C1840" s="29" t="str">
        <f>IFERROR(__xludf.DUMMYFUNCTION("""COMPUTED_VALUE"""),"Pieza")</f>
        <v>Pieza</v>
      </c>
      <c r="D1840" s="28"/>
      <c r="E1840" s="28"/>
      <c r="F1840" s="28"/>
    </row>
    <row r="1841">
      <c r="A1841" s="28" t="str">
        <f>IFERROR(__xludf.DUMMYFUNCTION("""COMPUTED_VALUE"""),"1942-SEPEPHGC")</f>
        <v>1942-SEPEPHGC</v>
      </c>
      <c r="B1841" s="28" t="str">
        <f>IFERROR(__xludf.DUMMYFUNCTION("""COMPUTED_VALUE"""),"DGPLES | MEPHU  | REPARACIÓN DE VEREDAS")</f>
        <v>DGPLES | MEPHU  | REPARACIÓN DE VEREDAS</v>
      </c>
      <c r="C1841" s="29" t="str">
        <f>IFERROR(__xludf.DUMMYFUNCTION("""COMPUTED_VALUE"""),"Pieza")</f>
        <v>Pieza</v>
      </c>
      <c r="D1841" s="28"/>
      <c r="E1841" s="28"/>
      <c r="F1841" s="28"/>
    </row>
    <row r="1842">
      <c r="A1842" s="28" t="str">
        <f>IFERROR(__xludf.DUMMYFUNCTION("""COMPUTED_VALUE"""),"3172-JUNCDNNAGC")</f>
        <v>3172-JUNCDNNAGC</v>
      </c>
      <c r="B1842" s="28" t="str">
        <f>IFERROR(__xludf.DUMMYFUNCTION("""COMPUTED_VALUE"""),"CDNNyA | Programa de Adopción")</f>
        <v>CDNNyA | Programa de Adopción</v>
      </c>
      <c r="C1842" s="29" t="str">
        <f>IFERROR(__xludf.DUMMYFUNCTION("""COMPUTED_VALUE"""),"Pieza")</f>
        <v>Pieza</v>
      </c>
      <c r="D1842" s="28"/>
      <c r="E1842" s="28"/>
      <c r="F1842" s="28"/>
    </row>
    <row r="1843">
      <c r="A1843" s="28" t="str">
        <f>IFERROR(__xludf.DUMMYFUNCTION("""COMPUTED_VALUE"""),"3197-JUNJUSGC")</f>
        <v>3197-JUNJUSGC</v>
      </c>
      <c r="B1843" s="28" t="str">
        <f>IFERROR(__xludf.DUMMYFUNCTION("""COMPUTED_VALUE"""),"INSCRIPCIONES SERVICIO PENITENCIARIO")</f>
        <v>INSCRIPCIONES SERVICIO PENITENCIARIO</v>
      </c>
      <c r="C1843" s="29" t="str">
        <f>IFERROR(__xludf.DUMMYFUNCTION("""COMPUTED_VALUE"""),"Pieza")</f>
        <v>Pieza</v>
      </c>
      <c r="D1843" s="28"/>
      <c r="E1843" s="28"/>
      <c r="F1843" s="28"/>
    </row>
    <row r="1844">
      <c r="A1844" s="28" t="str">
        <f>IFERROR(__xludf.DUMMYFUNCTION("""COMPUTED_VALUE"""),"3316-JULDECVC")</f>
        <v>3316-JULDECVC</v>
      </c>
      <c r="B1844" s="28" t="str">
        <f>IFERROR(__xludf.DUMMYFUNCTION("""COMPUTED_VALUE"""),"RDV Ministros | LOMBARDI-TAPIA-PIRAGINE 13/7 EJE CENTRO")</f>
        <v>RDV Ministros | LOMBARDI-TAPIA-PIRAGINE 13/7 EJE CENTRO</v>
      </c>
      <c r="C1844" s="29" t="str">
        <f>IFERROR(__xludf.DUMMYFUNCTION("""COMPUTED_VALUE"""),"Pieza")</f>
        <v>Pieza</v>
      </c>
      <c r="D1844" s="28"/>
      <c r="E1844" s="28"/>
      <c r="F1844" s="28"/>
    </row>
    <row r="1845">
      <c r="A1845" s="28" t="str">
        <f>IFERROR(__xludf.DUMMYFUNCTION("""COMPUTED_VALUE"""),"3326-JULINFVC")</f>
        <v>3326-JULINFVC</v>
      </c>
      <c r="B1845" s="28" t="str">
        <f>IFERROR(__xludf.DUMMYFUNCTION("""COMPUTED_VALUE"""),"PABLO BERECIARTUA 13/7 COMUNA 1")</f>
        <v>PABLO BERECIARTUA 13/7 COMUNA 1</v>
      </c>
      <c r="C1845" s="29" t="str">
        <f>IFERROR(__xludf.DUMMYFUNCTION("""COMPUTED_VALUE"""),"Pieza")</f>
        <v>Pieza</v>
      </c>
      <c r="D1845" s="28"/>
      <c r="E1845" s="28"/>
      <c r="F1845" s="28"/>
    </row>
    <row r="1846">
      <c r="A1846" s="28" t="str">
        <f>IFERROR(__xludf.DUMMYFUNCTION("""COMPUTED_VALUE"""),"3323-JULSALVC")</f>
        <v>3323-JULSALVC</v>
      </c>
      <c r="B1846" s="28" t="str">
        <f>IFERROR(__xludf.DUMMYFUNCTION("""COMPUTED_VALUE"""),"RDV MINISTROS | FERNÁN QUIRÓS 13/7 COMUNA 14")</f>
        <v>RDV MINISTROS | FERNÁN QUIRÓS 13/7 COMUNA 14</v>
      </c>
      <c r="C1846" s="29" t="str">
        <f>IFERROR(__xludf.DUMMYFUNCTION("""COMPUTED_VALUE"""),"Pieza")</f>
        <v>Pieza</v>
      </c>
      <c r="D1846" s="28"/>
      <c r="E1846" s="28"/>
      <c r="F1846" s="28"/>
    </row>
    <row r="1847">
      <c r="A1847" s="28" t="str">
        <f>IFERROR(__xludf.DUMMYFUNCTION("""COMPUTED_VALUE"""),"3288-JUNPCCVC")</f>
        <v>3288-JUNPCCVC</v>
      </c>
      <c r="B1847" s="28" t="str">
        <f>IFERROR(__xludf.DUMMYFUNCTION("""COMPUTED_VALUE"""),"Visita Circuito Riachuelo")</f>
        <v>Visita Circuito Riachuelo</v>
      </c>
      <c r="C1847" s="29" t="str">
        <f>IFERROR(__xludf.DUMMYFUNCTION("""COMPUTED_VALUE"""),"Pieza")</f>
        <v>Pieza</v>
      </c>
      <c r="D1847" s="28"/>
      <c r="E1847" s="28"/>
      <c r="F1847" s="28"/>
    </row>
    <row r="1848">
      <c r="A1848" s="28" t="str">
        <f>IFERROR(__xludf.DUMMYFUNCTION("""COMPUTED_VALUE"""),"2033-SEPEPHGC")</f>
        <v>2033-SEPEPHGC</v>
      </c>
      <c r="B1848" s="28" t="str">
        <f>IFERROR(__xludf.DUMMYFUNCTION("""COMPUTED_VALUE"""),"M2 PODA")</f>
        <v>M2 PODA</v>
      </c>
      <c r="C1848" s="29" t="str">
        <f>IFERROR(__xludf.DUMMYFUNCTION("""COMPUTED_VALUE"""),"Pieza")</f>
        <v>Pieza</v>
      </c>
      <c r="D1848" s="28"/>
      <c r="E1848" s="28"/>
      <c r="F1848" s="28"/>
    </row>
    <row r="1849">
      <c r="A1849" s="28" t="str">
        <f>IFERROR(__xludf.DUMMYFUNCTION("""COMPUTED_VALUE"""),"2033-SEPEPHGC")</f>
        <v>2033-SEPEPHGC</v>
      </c>
      <c r="B1849" s="28" t="str">
        <f>IFERROR(__xludf.DUMMYFUNCTION("""COMPUTED_VALUE"""),"M2 PODA")</f>
        <v>M2 PODA</v>
      </c>
      <c r="C1849" s="29" t="str">
        <f>IFERROR(__xludf.DUMMYFUNCTION("""COMPUTED_VALUE"""),"Pieza")</f>
        <v>Pieza</v>
      </c>
      <c r="D1849" s="28"/>
      <c r="E1849" s="28"/>
      <c r="F1849" s="28"/>
    </row>
    <row r="1850">
      <c r="A1850" s="28" t="str">
        <f>IFERROR(__xludf.DUMMYFUNCTION("""COMPUTED_VALUE"""),"3297-JULEDUVC")</f>
        <v>3297-JULEDUVC</v>
      </c>
      <c r="B1850" s="28" t="str">
        <f>IFERROR(__xludf.DUMMYFUNCTION("""COMPUTED_VALUE"""),"RDV ministros | Mercedes Miguel 8/7")</f>
        <v>RDV ministros | Mercedes Miguel 8/7</v>
      </c>
      <c r="C1850" s="29" t="str">
        <f>IFERROR(__xludf.DUMMYFUNCTION("""COMPUTED_VALUE"""),"Pieza")</f>
        <v>Pieza</v>
      </c>
      <c r="D1850" s="28"/>
      <c r="E1850" s="28"/>
      <c r="F1850" s="28"/>
    </row>
    <row r="1851">
      <c r="A1851" s="28" t="str">
        <f>IFERROR(__xludf.DUMMYFUNCTION("""COMPUTED_VALUE"""),"1943-SEPEPHGC")</f>
        <v>1943-SEPEPHGC</v>
      </c>
      <c r="B1851" s="28" t="str">
        <f>IFERROR(__xludf.DUMMYFUNCTION("""COMPUTED_VALUE"""),"DGPLES | MEPHU  | READOQUINADO")</f>
        <v>DGPLES | MEPHU  | READOQUINADO</v>
      </c>
      <c r="C1851" s="29" t="str">
        <f>IFERROR(__xludf.DUMMYFUNCTION("""COMPUTED_VALUE"""),"Pieza")</f>
        <v>Pieza</v>
      </c>
      <c r="D1851" s="28"/>
      <c r="E1851" s="28"/>
      <c r="F1851" s="28"/>
    </row>
    <row r="1852">
      <c r="A1852" s="28" t="str">
        <f>IFERROR(__xludf.DUMMYFUNCTION("""COMPUTED_VALUE"""),"1942-SEPEPHGC")</f>
        <v>1942-SEPEPHGC</v>
      </c>
      <c r="B1852" s="28" t="str">
        <f>IFERROR(__xludf.DUMMYFUNCTION("""COMPUTED_VALUE"""),"DGPLES | MEPHU  | REPARACIÓN DE VEREDAS")</f>
        <v>DGPLES | MEPHU  | REPARACIÓN DE VEREDAS</v>
      </c>
      <c r="C1852" s="29" t="str">
        <f>IFERROR(__xludf.DUMMYFUNCTION("""COMPUTED_VALUE"""),"Pieza")</f>
        <v>Pieza</v>
      </c>
      <c r="D1852" s="28"/>
      <c r="E1852" s="28"/>
      <c r="F1852" s="28"/>
    </row>
    <row r="1853">
      <c r="A1853" s="28" t="str">
        <f>IFERROR(__xludf.DUMMYFUNCTION("""COMPUTED_VALUE"""),"3296-JULEPHVC")</f>
        <v>3296-JULEPHVC</v>
      </c>
      <c r="B1853" s="28" t="str">
        <f>IFERROR(__xludf.DUMMYFUNCTION("""COMPUTED_VALUE"""),"RDV Ministros | Ignacio Baistrocchi 8/7")</f>
        <v>RDV Ministros | Ignacio Baistrocchi 8/7</v>
      </c>
      <c r="C1853" s="29" t="str">
        <f>IFERROR(__xludf.DUMMYFUNCTION("""COMPUTED_VALUE"""),"Pieza")</f>
        <v>Pieza</v>
      </c>
      <c r="D1853" s="28"/>
      <c r="E1853" s="28"/>
      <c r="F1853" s="28"/>
    </row>
    <row r="1854">
      <c r="A1854" s="28" t="str">
        <f>IFERROR(__xludf.DUMMYFUNCTION("""COMPUTED_VALUE"""),"3294-JULDHHVC")</f>
        <v>3294-JULDHHVC</v>
      </c>
      <c r="B1854" s="28" t="str">
        <f>IFERROR(__xludf.DUMMYFUNCTION("""COMPUTED_VALUE"""),"RDV Ministros | Gabriel Mraida - 8/7 ")</f>
        <v>RDV Ministros | Gabriel Mraida - 8/7 </v>
      </c>
      <c r="C1854" s="29" t="str">
        <f>IFERROR(__xludf.DUMMYFUNCTION("""COMPUTED_VALUE"""),"Pieza")</f>
        <v>Pieza</v>
      </c>
      <c r="D1854" s="28"/>
      <c r="E1854" s="28"/>
      <c r="F1854" s="28"/>
    </row>
    <row r="1855">
      <c r="A1855" s="28" t="str">
        <f>IFERROR(__xludf.DUMMYFUNCTION("""COMPUTED_VALUE"""),"3295-JULSEGVC")</f>
        <v>3295-JULSEGVC</v>
      </c>
      <c r="B1855" s="28" t="str">
        <f>IFERROR(__xludf.DUMMYFUNCTION("""COMPUTED_VALUE"""),"RDV Ministros | Ezequiel Sabor 8/7")</f>
        <v>RDV Ministros | Ezequiel Sabor 8/7</v>
      </c>
      <c r="C1855" s="29" t="str">
        <f>IFERROR(__xludf.DUMMYFUNCTION("""COMPUTED_VALUE"""),"Pieza")</f>
        <v>Pieza</v>
      </c>
      <c r="D1855" s="28"/>
      <c r="E1855" s="28"/>
      <c r="F1855" s="28"/>
    </row>
    <row r="1856">
      <c r="A1856" s="28" t="str">
        <f>IFERROR(__xludf.DUMMYFUNCTION("""COMPUTED_VALUE"""),"3313-JULSEGVC")</f>
        <v>3313-JULSEGVC</v>
      </c>
      <c r="B1856" s="28" t="str">
        <f>IFERROR(__xludf.DUMMYFUNCTION("""COMPUTED_VALUE"""),"RDV Ministros | Ruth Landerreche 16/7 Comuna 5")</f>
        <v>RDV Ministros | Ruth Landerreche 16/7 Comuna 5</v>
      </c>
      <c r="C1856" s="29" t="str">
        <f>IFERROR(__xludf.DUMMYFUNCTION("""COMPUTED_VALUE"""),"Pieza")</f>
        <v>Pieza</v>
      </c>
      <c r="D1856" s="28"/>
      <c r="E1856" s="28"/>
      <c r="F1856" s="28"/>
    </row>
    <row r="1857">
      <c r="A1857" s="28" t="str">
        <f>IFERROR(__xludf.DUMMYFUNCTION("""COMPUTED_VALUE"""),"3321-JULVINGC")</f>
        <v>3321-JULVINGC</v>
      </c>
      <c r="B1857" s="28" t="str">
        <f>IFERROR(__xludf.DUMMYFUNCTION("""COMPUTED_VALUE"""),"Más servicios en tu barrio  Parque Chacabuco 16/7")</f>
        <v>Más servicios en tu barrio  Parque Chacabuco 16/7</v>
      </c>
      <c r="C1857" s="29" t="str">
        <f>IFERROR(__xludf.DUMMYFUNCTION("""COMPUTED_VALUE"""),"Pieza")</f>
        <v>Pieza</v>
      </c>
      <c r="D1857" s="28"/>
      <c r="E1857" s="28"/>
      <c r="F1857" s="28"/>
    </row>
    <row r="1858">
      <c r="A1858" s="28" t="str">
        <f>IFERROR(__xludf.DUMMYFUNCTION("""COMPUTED_VALUE"""),"3322-JULVINGC")</f>
        <v>3322-JULVINGC</v>
      </c>
      <c r="B1858" s="28" t="str">
        <f>IFERROR(__xludf.DUMMYFUNCTION("""COMPUTED_VALUE"""),"Más servicios en tu barrio  La Boca 17/7")</f>
        <v>Más servicios en tu barrio  La Boca 17/7</v>
      </c>
      <c r="C1858" s="29" t="str">
        <f>IFERROR(__xludf.DUMMYFUNCTION("""COMPUTED_VALUE"""),"Pieza")</f>
        <v>Pieza</v>
      </c>
      <c r="D1858" s="28"/>
      <c r="E1858" s="28"/>
      <c r="F1858" s="28"/>
    </row>
    <row r="1859">
      <c r="A1859" s="28" t="str">
        <f>IFERROR(__xludf.DUMMYFUNCTION("""COMPUTED_VALUE"""),"3312-JULSEGVC")</f>
        <v>3312-JULSEGVC</v>
      </c>
      <c r="B1859" s="28" t="str">
        <f>IFERROR(__xludf.DUMMYFUNCTION("""COMPUTED_VALUE"""),"RDV Ministros | Maximiliano Piñeiro 16/7 Comuna 4")</f>
        <v>RDV Ministros | Maximiliano Piñeiro 16/7 Comuna 4</v>
      </c>
      <c r="C1859" s="29" t="str">
        <f>IFERROR(__xludf.DUMMYFUNCTION("""COMPUTED_VALUE"""),"Pieza")</f>
        <v>Pieza</v>
      </c>
      <c r="D1859" s="28"/>
      <c r="E1859" s="28"/>
      <c r="F1859" s="28"/>
    </row>
    <row r="1860">
      <c r="A1860" s="28" t="str">
        <f>IFERROR(__xludf.DUMMYFUNCTION("""COMPUTED_VALUE"""),"3332-JULINFGC")</f>
        <v>3332-JULINFGC</v>
      </c>
      <c r="B1860" s="28" t="str">
        <f>IFERROR(__xludf.DUMMYFUNCTION("""COMPUTED_VALUE"""),"Infraestructura | Cambio de sentido calle: Oliden
")</f>
        <v>Infraestructura | Cambio de sentido calle: Oliden
</v>
      </c>
      <c r="C1860" s="29" t="str">
        <f>IFERROR(__xludf.DUMMYFUNCTION("""COMPUTED_VALUE"""),"Pieza")</f>
        <v>Pieza</v>
      </c>
      <c r="D1860" s="28"/>
      <c r="E1860" s="28"/>
      <c r="F1860" s="28"/>
    </row>
    <row r="1861">
      <c r="A1861" s="28" t="str">
        <f>IFERROR(__xludf.DUMMYFUNCTION("""COMPUTED_VALUE"""),"3016-MAYFESGC")</f>
        <v>3016-MAYFESGC</v>
      </c>
      <c r="B1861" s="28" t="str">
        <f>IFERROR(__xludf.DUMMYFUNCTION("""COMPUTED_VALUE"""),"La ciudad late mundial | Modo Hincha")</f>
        <v>La ciudad late mundial | Modo Hincha</v>
      </c>
      <c r="C1861" s="29" t="str">
        <f>IFERROR(__xludf.DUMMYFUNCTION("""COMPUTED_VALUE"""),"Pieza")</f>
        <v>Pieza</v>
      </c>
      <c r="D1861" s="28"/>
      <c r="E1861" s="28"/>
      <c r="F1861" s="28"/>
    </row>
    <row r="1862">
      <c r="A1862" s="28" t="str">
        <f>IFERROR(__xludf.DUMMYFUNCTION("""COMPUTED_VALUE"""),"3326-JULINFVC")</f>
        <v>3326-JULINFVC</v>
      </c>
      <c r="B1862" s="28" t="str">
        <f>IFERROR(__xludf.DUMMYFUNCTION("""COMPUTED_VALUE"""),"PABLO BERECIARTUA 13/7 COMUNA 1")</f>
        <v>PABLO BERECIARTUA 13/7 COMUNA 1</v>
      </c>
      <c r="C1862" s="29" t="str">
        <f>IFERROR(__xludf.DUMMYFUNCTION("""COMPUTED_VALUE"""),"Pieza")</f>
        <v>Pieza</v>
      </c>
      <c r="D1862" s="28"/>
      <c r="E1862" s="28"/>
      <c r="F1862" s="28"/>
    </row>
    <row r="1863">
      <c r="A1863" s="28" t="str">
        <f>IFERROR(__xludf.DUMMYFUNCTION("""COMPUTED_VALUE"""),"3314-JULSEGVC")</f>
        <v>3314-JULSEGVC</v>
      </c>
      <c r="B1863" s="28" t="str">
        <f>IFERROR(__xludf.DUMMYFUNCTION("""COMPUTED_VALUE"""),"RDV Ministros | Horacio Giménez 16/7 Comuna 6")</f>
        <v>RDV Ministros | Horacio Giménez 16/7 Comuna 6</v>
      </c>
      <c r="C1863" s="29" t="str">
        <f>IFERROR(__xludf.DUMMYFUNCTION("""COMPUTED_VALUE"""),"Pieza")</f>
        <v>Pieza</v>
      </c>
      <c r="D1863" s="28"/>
      <c r="E1863" s="28"/>
      <c r="F1863" s="28"/>
    </row>
    <row r="1864">
      <c r="A1864" s="28" t="str">
        <f>IFERROR(__xludf.DUMMYFUNCTION("""COMPUTED_VALUE"""),"3325-JULTURGC")</f>
        <v>3325-JULTURGC</v>
      </c>
      <c r="B1864" s="28" t="str">
        <f>IFERROR(__xludf.DUMMYFUNCTION("""COMPUTED_VALUE"""),"Sondeo Hotelero por vacaciones de invierno 14/7")</f>
        <v>Sondeo Hotelero por vacaciones de invierno 14/7</v>
      </c>
      <c r="C1864" s="29" t="str">
        <f>IFERROR(__xludf.DUMMYFUNCTION("""COMPUTED_VALUE"""),"Pieza")</f>
        <v>Pieza</v>
      </c>
      <c r="D1864" s="28"/>
      <c r="E1864" s="28"/>
      <c r="F1864" s="28"/>
    </row>
    <row r="1865">
      <c r="A1865" s="28" t="str">
        <f>IFERROR(__xludf.DUMMYFUNCTION("""COMPUTED_VALUE"""),"3323-JULSALVC")</f>
        <v>3323-JULSALVC</v>
      </c>
      <c r="B1865" s="28" t="str">
        <f>IFERROR(__xludf.DUMMYFUNCTION("""COMPUTED_VALUE"""),"RDV MINISTROS | FERNÁN QUIRÓS 13/7 COMUNA 14")</f>
        <v>RDV MINISTROS | FERNÁN QUIRÓS 13/7 COMUNA 14</v>
      </c>
      <c r="C1865" s="29" t="str">
        <f>IFERROR(__xludf.DUMMYFUNCTION("""COMPUTED_VALUE"""),"Pieza")</f>
        <v>Pieza</v>
      </c>
      <c r="D1865" s="28"/>
      <c r="E1865" s="28"/>
      <c r="F1865" s="28"/>
    </row>
    <row r="1866">
      <c r="A1866" s="28" t="str">
        <f>IFERROR(__xludf.DUMMYFUNCTION("""COMPUTED_VALUE"""),"3315-JULSEGVC")</f>
        <v>3315-JULSEGVC</v>
      </c>
      <c r="B1866" s="28" t="str">
        <f>IFERROR(__xludf.DUMMYFUNCTION("""COMPUTED_VALUE"""),"RDV Ministros | Gabino Tapia 16/7 Comuna 7")</f>
        <v>RDV Ministros | Gabino Tapia 16/7 Comuna 7</v>
      </c>
      <c r="C1866" s="29" t="str">
        <f>IFERROR(__xludf.DUMMYFUNCTION("""COMPUTED_VALUE"""),"Pieza")</f>
        <v>Pieza</v>
      </c>
      <c r="D1866" s="28"/>
      <c r="E1866" s="28"/>
      <c r="F1866" s="28"/>
    </row>
    <row r="1867">
      <c r="A1867" s="28" t="str">
        <f>IFERROR(__xludf.DUMMYFUNCTION("""COMPUTED_VALUE"""),"3293-JULPCCVC")</f>
        <v>3293-JULPCCVC</v>
      </c>
      <c r="B1867" s="28" t="str">
        <f>IFERROR(__xludf.DUMMYFUNCTION("""COMPUTED_VALUE"""),"Alta Interna Campaña VC | Invierno en la Ciudad - 1/7")</f>
        <v>Alta Interna Campaña VC | Invierno en la Ciudad - 1/7</v>
      </c>
      <c r="C1867" s="29" t="str">
        <f>IFERROR(__xludf.DUMMYFUNCTION("""COMPUTED_VALUE"""),"Pieza")</f>
        <v>Pieza</v>
      </c>
      <c r="D1867" s="28"/>
      <c r="E1867" s="28"/>
      <c r="F1867" s="28"/>
    </row>
    <row r="1868">
      <c r="A1868" s="28" t="str">
        <f>IFERROR(__xludf.DUMMYFUNCTION("""COMPUTED_VALUE"""),"3313-JULSEGVC")</f>
        <v>3313-JULSEGVC</v>
      </c>
      <c r="B1868" s="28" t="str">
        <f>IFERROR(__xludf.DUMMYFUNCTION("""COMPUTED_VALUE"""),"RDV Ministros | Ruth Landerreche 16/7 Comuna 5")</f>
        <v>RDV Ministros | Ruth Landerreche 16/7 Comuna 5</v>
      </c>
      <c r="C1868" s="29" t="str">
        <f>IFERROR(__xludf.DUMMYFUNCTION("""COMPUTED_VALUE"""),"Pieza")</f>
        <v>Pieza</v>
      </c>
      <c r="D1868" s="28"/>
      <c r="E1868" s="28"/>
      <c r="F1868" s="28"/>
    </row>
    <row r="1869">
      <c r="A1869" s="28" t="str">
        <f>IFERROR(__xludf.DUMMYFUNCTION("""COMPUTED_VALUE"""),"3312-JULSEGVC")</f>
        <v>3312-JULSEGVC</v>
      </c>
      <c r="B1869" s="28" t="str">
        <f>IFERROR(__xludf.DUMMYFUNCTION("""COMPUTED_VALUE"""),"RDV Ministros | Maximiliano Piñeiro 16/7 Comuna 4")</f>
        <v>RDV Ministros | Maximiliano Piñeiro 16/7 Comuna 4</v>
      </c>
      <c r="C1869" s="29" t="str">
        <f>IFERROR(__xludf.DUMMYFUNCTION("""COMPUTED_VALUE"""),"Pieza")</f>
        <v>Pieza</v>
      </c>
      <c r="D1869" s="28"/>
      <c r="E1869" s="28"/>
      <c r="F1869" s="28"/>
    </row>
    <row r="1870">
      <c r="A1870" s="28" t="str">
        <f>IFERROR(__xludf.DUMMYFUNCTION("""COMPUTED_VALUE"""),"3349-JULINFGC")</f>
        <v>3349-JULINFGC</v>
      </c>
      <c r="B1870" s="28" t="str">
        <f>IFERROR(__xludf.DUMMYFUNCTION("""COMPUTED_VALUE"""),"INFRAESTRUCTURA | CORTES Y DESVÍOS ANIVERSARIO AMIA")</f>
        <v>INFRAESTRUCTURA | CORTES Y DESVÍOS ANIVERSARIO AMIA</v>
      </c>
      <c r="C1870" s="29" t="str">
        <f>IFERROR(__xludf.DUMMYFUNCTION("""COMPUTED_VALUE"""),"Pieza")</f>
        <v>Pieza</v>
      </c>
      <c r="D1870" s="28"/>
      <c r="E1870" s="28"/>
      <c r="F1870" s="28"/>
    </row>
    <row r="1871">
      <c r="A1871" s="28" t="str">
        <f>IFERROR(__xludf.DUMMYFUNCTION("""COMPUTED_VALUE"""),"3314-JULSEGVC")</f>
        <v>3314-JULSEGVC</v>
      </c>
      <c r="B1871" s="28" t="str">
        <f>IFERROR(__xludf.DUMMYFUNCTION("""COMPUTED_VALUE"""),"RDV Ministros | Horacio Giménez 16/7 Comuna 6")</f>
        <v>RDV Ministros | Horacio Giménez 16/7 Comuna 6</v>
      </c>
      <c r="C1871" s="29" t="str">
        <f>IFERROR(__xludf.DUMMYFUNCTION("""COMPUTED_VALUE"""),"Pieza")</f>
        <v>Pieza</v>
      </c>
      <c r="D1871" s="28"/>
      <c r="E1871" s="28"/>
      <c r="F1871" s="28"/>
    </row>
    <row r="1872">
      <c r="A1872" s="28" t="str">
        <f>IFERROR(__xludf.DUMMYFUNCTION("""COMPUTED_VALUE"""),"3315-JULSEGVC")</f>
        <v>3315-JULSEGVC</v>
      </c>
      <c r="B1872" s="28" t="str">
        <f>IFERROR(__xludf.DUMMYFUNCTION("""COMPUTED_VALUE"""),"RDV Ministros | Gabino Tapia 16/7 Comuna 7")</f>
        <v>RDV Ministros | Gabino Tapia 16/7 Comuna 7</v>
      </c>
      <c r="C1872" s="29" t="str">
        <f>IFERROR(__xludf.DUMMYFUNCTION("""COMPUTED_VALUE"""),"Pieza")</f>
        <v>Pieza</v>
      </c>
      <c r="D1872" s="28"/>
      <c r="E1872" s="28"/>
      <c r="F1872" s="28"/>
    </row>
    <row r="1873">
      <c r="A1873" s="28" t="str">
        <f>IFERROR(__xludf.DUMMYFUNCTION("""COMPUTED_VALUE"""),"3340-JULAMBVC")</f>
        <v>3340-JULAMBVC</v>
      </c>
      <c r="B1873" s="28" t="str">
        <f>IFERROR(__xludf.DUMMYFUNCTION("""COMPUTED_VALUE"""),"RDV Ministros | Clara Muzzio - 17/7 - Temática")</f>
        <v>RDV Ministros | Clara Muzzio - 17/7 - Temática</v>
      </c>
      <c r="C1873" s="29" t="str">
        <f>IFERROR(__xludf.DUMMYFUNCTION("""COMPUTED_VALUE"""),"Pieza")</f>
        <v>Pieza</v>
      </c>
      <c r="D1873" s="28"/>
      <c r="E1873" s="28"/>
      <c r="F1873" s="28"/>
    </row>
    <row r="1874">
      <c r="A1874" s="28" t="str">
        <f>IFERROR(__xludf.DUMMYFUNCTION("""COMPUTED_VALUE"""),"3316-JULDECVC")</f>
        <v>3316-JULDECVC</v>
      </c>
      <c r="B1874" s="28" t="str">
        <f>IFERROR(__xludf.DUMMYFUNCTION("""COMPUTED_VALUE"""),"RDV Ministros | LOMBARDI-TAPIA-PIRAGINE 13/7 EJE CENTRO")</f>
        <v>RDV Ministros | LOMBARDI-TAPIA-PIRAGINE 13/7 EJE CENTRO</v>
      </c>
      <c r="C1874" s="29" t="str">
        <f>IFERROR(__xludf.DUMMYFUNCTION("""COMPUTED_VALUE"""),"Pieza")</f>
        <v>Pieza</v>
      </c>
      <c r="D1874" s="28"/>
      <c r="E1874" s="28"/>
      <c r="F1874" s="28"/>
    </row>
    <row r="1875">
      <c r="A1875" s="28" t="str">
        <f>IFERROR(__xludf.DUMMYFUNCTION("""COMPUTED_VALUE"""),"3307-JULFESGC")</f>
        <v>3307-JULFESGC</v>
      </c>
      <c r="B1875" s="28" t="str">
        <f>IFERROR(__xludf.DUMMYFUNCTION("""COMPUTED_VALUE"""),"Sorteo | Expo Rural 2026")</f>
        <v>Sorteo | Expo Rural 2026</v>
      </c>
      <c r="C1875" s="29" t="str">
        <f>IFERROR(__xludf.DUMMYFUNCTION("""COMPUTED_VALUE"""),"Pieza")</f>
        <v>Pieza</v>
      </c>
      <c r="D1875" s="28"/>
      <c r="E1875" s="28"/>
      <c r="F1875" s="28"/>
    </row>
    <row r="1876">
      <c r="A1876" s="28" t="str">
        <f>IFERROR(__xludf.DUMMYFUNCTION("""COMPUTED_VALUE"""),"3330-JULFESGC")</f>
        <v>3330-JULFESGC</v>
      </c>
      <c r="B1876" s="28" t="str">
        <f>IFERROR(__xludf.DUMMYFUNCTION("""COMPUTED_VALUE"""),"Sorteo Era Cretácica 2")</f>
        <v>Sorteo Era Cretácica 2</v>
      </c>
      <c r="C1876" s="29" t="str">
        <f>IFERROR(__xludf.DUMMYFUNCTION("""COMPUTED_VALUE"""),"Pieza")</f>
        <v>Pieza</v>
      </c>
      <c r="D1876" s="28"/>
      <c r="E1876" s="28"/>
      <c r="F1876" s="28"/>
    </row>
    <row r="1877">
      <c r="A1877" s="28" t="str">
        <f>IFERROR(__xludf.DUMMYFUNCTION("""COMPUTED_VALUE"""),"3016-MAYFESGC")</f>
        <v>3016-MAYFESGC</v>
      </c>
      <c r="B1877" s="28" t="str">
        <f>IFERROR(__xludf.DUMMYFUNCTION("""COMPUTED_VALUE"""),"La ciudad late mundial | Modo Hincha")</f>
        <v>La ciudad late mundial | Modo Hincha</v>
      </c>
      <c r="C1877" s="29" t="str">
        <f>IFERROR(__xludf.DUMMYFUNCTION("""COMPUTED_VALUE"""),"Pieza")</f>
        <v>Pieza</v>
      </c>
      <c r="D1877" s="28"/>
      <c r="E1877" s="28"/>
      <c r="F1877" s="28"/>
    </row>
    <row r="1878">
      <c r="A1878" s="28" t="str">
        <f>IFERROR(__xludf.DUMMYFUNCTION("""COMPUTED_VALUE"""),"3016-MAYFESGC")</f>
        <v>3016-MAYFESGC</v>
      </c>
      <c r="B1878" s="28" t="str">
        <f>IFERROR(__xludf.DUMMYFUNCTION("""COMPUTED_VALUE"""),"La ciudad late mundial | Modo Hincha")</f>
        <v>La ciudad late mundial | Modo Hincha</v>
      </c>
      <c r="C1878" s="29" t="str">
        <f>IFERROR(__xludf.DUMMYFUNCTION("""COMPUTED_VALUE"""),"Pieza")</f>
        <v>Pieza</v>
      </c>
      <c r="D1878" s="28"/>
      <c r="E1878" s="28"/>
      <c r="F1878" s="28"/>
    </row>
    <row r="1879">
      <c r="A1879" s="28" t="str">
        <f>IFERROR(__xludf.DUMMYFUNCTION("""COMPUTED_VALUE"""),"3338-JULVINGC")</f>
        <v>3338-JULVINGC</v>
      </c>
      <c r="B1879" s="28" t="str">
        <f>IFERROR(__xludf.DUMMYFUNCTION("""COMPUTED_VALUE""")," COMUNA 14 TRASLADO SEDE")</f>
        <v> COMUNA 14 TRASLADO SEDE</v>
      </c>
      <c r="C1879" s="29" t="str">
        <f>IFERROR(__xludf.DUMMYFUNCTION("""COMPUTED_VALUE"""),"Pieza")</f>
        <v>Pieza</v>
      </c>
      <c r="D1879" s="28"/>
      <c r="E1879" s="28"/>
      <c r="F1879" s="28"/>
    </row>
    <row r="1880">
      <c r="A1880" s="28" t="str">
        <f>IFERROR(__xludf.DUMMYFUNCTION("""COMPUTED_VALUE"""),"3341-JULVINGC")</f>
        <v>3341-JULVINGC</v>
      </c>
      <c r="B1880" s="28" t="str">
        <f>IFERROR(__xludf.DUMMYFUNCTION("""COMPUTED_VALUE"""),"Más servicios en tu barrio - Villa Lugano -  20/7")</f>
        <v>Más servicios en tu barrio - Villa Lugano -  20/7</v>
      </c>
      <c r="C1880" s="29" t="str">
        <f>IFERROR(__xludf.DUMMYFUNCTION("""COMPUTED_VALUE"""),"Pieza")</f>
        <v>Pieza</v>
      </c>
      <c r="D1880" s="28"/>
      <c r="E1880" s="28"/>
      <c r="F1880" s="28"/>
    </row>
    <row r="1881">
      <c r="A1881" s="28" t="str">
        <f>IFERROR(__xludf.DUMMYFUNCTION("""COMPUTED_VALUE"""),"3342-JULVINGC")</f>
        <v>3342-JULVINGC</v>
      </c>
      <c r="B1881" s="28" t="str">
        <f>IFERROR(__xludf.DUMMYFUNCTION("""COMPUTED_VALUE"""),"Más servicios en tu barrio - Caballito - 21/7")</f>
        <v>Más servicios en tu barrio - Caballito - 21/7</v>
      </c>
      <c r="C1881" s="29" t="str">
        <f>IFERROR(__xludf.DUMMYFUNCTION("""COMPUTED_VALUE"""),"Pieza")</f>
        <v>Pieza</v>
      </c>
      <c r="D1881" s="28"/>
      <c r="E1881" s="28"/>
      <c r="F1881" s="28"/>
    </row>
    <row r="1882">
      <c r="A1882" s="28" t="str">
        <f>IFERROR(__xludf.DUMMYFUNCTION("""COMPUTED_VALUE"""),"3343-JULVINGC")</f>
        <v>3343-JULVINGC</v>
      </c>
      <c r="B1882" s="28" t="str">
        <f>IFERROR(__xludf.DUMMYFUNCTION("""COMPUTED_VALUE"""),"Más servicios en tu barrio - Parque Patricios - 22/7")</f>
        <v>Más servicios en tu barrio - Parque Patricios - 22/7</v>
      </c>
      <c r="C1882" s="29" t="str">
        <f>IFERROR(__xludf.DUMMYFUNCTION("""COMPUTED_VALUE"""),"Pieza")</f>
        <v>Pieza</v>
      </c>
      <c r="D1882" s="28"/>
      <c r="E1882" s="28"/>
      <c r="F1882" s="28"/>
    </row>
    <row r="1883">
      <c r="A1883" s="28" t="str">
        <f>IFERROR(__xludf.DUMMYFUNCTION("""COMPUTED_VALUE"""),"3312-JULSEGVC")</f>
        <v>3312-JULSEGVC</v>
      </c>
      <c r="B1883" s="28" t="str">
        <f>IFERROR(__xludf.DUMMYFUNCTION("""COMPUTED_VALUE"""),"RDV Ministros | Maximiliano Piñeiro 16/7 Comuna 4")</f>
        <v>RDV Ministros | Maximiliano Piñeiro 16/7 Comuna 4</v>
      </c>
      <c r="C1883" s="29" t="str">
        <f>IFERROR(__xludf.DUMMYFUNCTION("""COMPUTED_VALUE"""),"Pieza")</f>
        <v>Pieza</v>
      </c>
      <c r="D1883" s="28"/>
      <c r="E1883" s="28"/>
      <c r="F1883" s="28"/>
    </row>
    <row r="1884">
      <c r="A1884" s="28" t="str">
        <f>IFERROR(__xludf.DUMMYFUNCTION("""COMPUTED_VALUE"""),"3244-JUNFESGC")</f>
        <v>3244-JUNFESGC</v>
      </c>
      <c r="B1884" s="28" t="str">
        <f>IFERROR(__xludf.DUMMYFUNCTION("""COMPUTED_VALUE"""),"Vacaciones de Invierno | Afters BA 24 hs")</f>
        <v>Vacaciones de Invierno | Afters BA 24 hs</v>
      </c>
      <c r="C1884" s="29" t="str">
        <f>IFERROR(__xludf.DUMMYFUNCTION("""COMPUTED_VALUE"""),"Pieza")</f>
        <v>Pieza</v>
      </c>
      <c r="D1884" s="28"/>
      <c r="E1884" s="28"/>
      <c r="F1884" s="28"/>
    </row>
    <row r="1885">
      <c r="A1885" s="28" t="str">
        <f>IFERROR(__xludf.DUMMYFUNCTION("""COMPUTED_VALUE"""),"3357-JULCULVC")</f>
        <v>3357-JULCULVC</v>
      </c>
      <c r="B1885" s="28" t="str">
        <f>IFERROR(__xludf.DUMMYFUNCTION("""COMPUTED_VALUE"""),"RDV Ministros | Gabriela Ricardes 20/7 Comuna 8")</f>
        <v>RDV Ministros | Gabriela Ricardes 20/7 Comuna 8</v>
      </c>
      <c r="C1885" s="29" t="str">
        <f>IFERROR(__xludf.DUMMYFUNCTION("""COMPUTED_VALUE"""),"Pieza")</f>
        <v>Pieza</v>
      </c>
      <c r="D1885" s="28"/>
      <c r="E1885" s="28"/>
      <c r="F1885" s="28"/>
    </row>
    <row r="1886">
      <c r="A1886" s="28" t="str">
        <f>IFERROR(__xludf.DUMMYFUNCTION("""COMPUTED_VALUE"""),"3226-JUNFESGC")</f>
        <v>3226-JUNFESGC</v>
      </c>
      <c r="B1886" s="28" t="str">
        <f>IFERROR(__xludf.DUMMYFUNCTION("""COMPUTED_VALUE"""),"Vacaciones de invierno | Genérica")</f>
        <v>Vacaciones de invierno | Genérica</v>
      </c>
      <c r="C1886" s="29" t="str">
        <f>IFERROR(__xludf.DUMMYFUNCTION("""COMPUTED_VALUE"""),"Pieza")</f>
        <v>Pieza</v>
      </c>
      <c r="D1886" s="28"/>
      <c r="E1886" s="28"/>
      <c r="F1886" s="28"/>
    </row>
    <row r="1887">
      <c r="A1887" s="28" t="str">
        <f>IFERROR(__xludf.DUMMYFUNCTION("""COMPUTED_VALUE"""),"3226-JUNFESGC")</f>
        <v>3226-JUNFESGC</v>
      </c>
      <c r="B1887" s="28" t="str">
        <f>IFERROR(__xludf.DUMMYFUNCTION("""COMPUTED_VALUE"""),"Vacaciones de invierno | Genérica")</f>
        <v>Vacaciones de invierno | Genérica</v>
      </c>
      <c r="C1887" s="29" t="str">
        <f>IFERROR(__xludf.DUMMYFUNCTION("""COMPUTED_VALUE"""),"Pieza")</f>
        <v>Pieza</v>
      </c>
      <c r="D1887" s="28"/>
      <c r="E1887" s="28"/>
      <c r="F1887" s="28"/>
    </row>
    <row r="1888">
      <c r="A1888" s="28" t="str">
        <f>IFERROR(__xludf.DUMMYFUNCTION("""COMPUTED_VALUE"""),"3016-MAYFESGC")</f>
        <v>3016-MAYFESGC</v>
      </c>
      <c r="B1888" s="28" t="str">
        <f>IFERROR(__xludf.DUMMYFUNCTION("""COMPUTED_VALUE"""),"La ciudad late mundial | Modo Hincha")</f>
        <v>La ciudad late mundial | Modo Hincha</v>
      </c>
      <c r="C1888" s="29" t="str">
        <f>IFERROR(__xludf.DUMMYFUNCTION("""COMPUTED_VALUE"""),"Pieza")</f>
        <v>Pieza</v>
      </c>
      <c r="D1888" s="28"/>
      <c r="E1888" s="28"/>
      <c r="F1888" s="28"/>
    </row>
    <row r="1889">
      <c r="A1889" s="28" t="str">
        <f>IFERROR(__xludf.DUMMYFUNCTION("""COMPUTED_VALUE"""),"3357-JULCULVC")</f>
        <v>3357-JULCULVC</v>
      </c>
      <c r="B1889" s="28" t="str">
        <f>IFERROR(__xludf.DUMMYFUNCTION("""COMPUTED_VALUE"""),"RDV Ministros | Gabriela Ricardes 20/7 Comuna 8")</f>
        <v>RDV Ministros | Gabriela Ricardes 20/7 Comuna 8</v>
      </c>
      <c r="C1889" s="28" t="str">
        <f>IFERROR(__xludf.DUMMYFUNCTION("""COMPUTED_VALUE"""),"Pieza")</f>
        <v>Pieza</v>
      </c>
      <c r="D1889" s="28"/>
      <c r="E1889" s="28"/>
      <c r="F1889" s="28"/>
    </row>
    <row r="1890">
      <c r="A1890" s="28" t="str">
        <f>IFERROR(__xludf.DUMMYFUNCTION("""COMPUTED_VALUE"""),"3314-JULSEGVC")</f>
        <v>3314-JULSEGVC</v>
      </c>
      <c r="B1890" s="28" t="str">
        <f>IFERROR(__xludf.DUMMYFUNCTION("""COMPUTED_VALUE"""),"RDV Ministros | Horacio Giménez 16/7 Comuna 6")</f>
        <v>RDV Ministros | Horacio Giménez 16/7 Comuna 6</v>
      </c>
      <c r="C1890" s="29" t="str">
        <f>IFERROR(__xludf.DUMMYFUNCTION("""COMPUTED_VALUE"""),"Pieza")</f>
        <v>Pieza</v>
      </c>
      <c r="D1890" s="28"/>
      <c r="E1890" s="28"/>
      <c r="F1890" s="28"/>
    </row>
    <row r="1891">
      <c r="A1891" s="28" t="str">
        <f>IFERROR(__xludf.DUMMYFUNCTION("""COMPUTED_VALUE"""),"3305-JULSEGGJ")</f>
        <v>3305-JULSEGGJ</v>
      </c>
      <c r="B1891" s="28" t="str">
        <f>IFERROR(__xludf.DUMMYFUNCTION("""COMPUTED_VALUE"""),"Egreso más de 1000 Cadetes")</f>
        <v>Egreso más de 1000 Cadetes</v>
      </c>
      <c r="C1891" s="29" t="str">
        <f>IFERROR(__xludf.DUMMYFUNCTION("""COMPUTED_VALUE"""),"Pieza")</f>
        <v>Pieza</v>
      </c>
      <c r="D1891" s="28"/>
      <c r="E1891" s="28"/>
      <c r="F1891" s="28"/>
    </row>
    <row r="1892">
      <c r="A1892" s="28" t="str">
        <f>IFERROR(__xludf.DUMMYFUNCTION("""COMPUTED_VALUE"""),"3347-JULJDGAG")</f>
        <v>3347-JULJDGAG</v>
      </c>
      <c r="B1892" s="28" t="str">
        <f>IFERROR(__xludf.DUMMYFUNCTION("""COMPUTED_VALUE"""),"TE CUENTO BS AS JM | 21/7 ORDEN PÚBLICO EJE NORTE")</f>
        <v>TE CUENTO BS AS JM | 21/7 ORDEN PÚBLICO EJE NORTE</v>
      </c>
      <c r="C1892" s="29" t="str">
        <f>IFERROR(__xludf.DUMMYFUNCTION("""COMPUTED_VALUE"""),"Pieza")</f>
        <v>Pieza</v>
      </c>
      <c r="D1892" s="28"/>
      <c r="E1892" s="28"/>
      <c r="F1892" s="28"/>
    </row>
    <row r="1893">
      <c r="A1893" s="28" t="str">
        <f>IFERROR(__xludf.DUMMYFUNCTION("""COMPUTED_VALUE"""),"3298-JULSALGC")</f>
        <v>3298-JULSALGC</v>
      </c>
      <c r="B1893" s="28" t="str">
        <f>IFERROR(__xludf.DUMMYFUNCTION("""COMPUTED_VALUE"""),"Hospital Udaondo: obras")</f>
        <v>Hospital Udaondo: obras</v>
      </c>
      <c r="C1893" s="29" t="str">
        <f>IFERROR(__xludf.DUMMYFUNCTION("""COMPUTED_VALUE"""),"Pieza")</f>
        <v>Pieza</v>
      </c>
      <c r="D1893" s="28"/>
      <c r="E1893" s="28"/>
      <c r="F1893" s="28"/>
    </row>
    <row r="1894">
      <c r="A1894" s="28" t="str">
        <f>IFERROR(__xludf.DUMMYFUNCTION("""COMPUTED_VALUE"""),"3366-JULEPHVC")</f>
        <v>3366-JULEPHVC</v>
      </c>
      <c r="B1894" s="28" t="str">
        <f>IFERROR(__xludf.DUMMYFUNCTION("""COMPUTED_VALUE"""),"RDV MINISTROS | IGNACIO BAISTROCCHI 22/7 COMUNA 11")</f>
        <v>RDV MINISTROS | IGNACIO BAISTROCCHI 22/7 COMUNA 11</v>
      </c>
      <c r="C1894" s="29" t="str">
        <f>IFERROR(__xludf.DUMMYFUNCTION("""COMPUTED_VALUE"""),"Pieza")</f>
        <v>Pieza</v>
      </c>
      <c r="D1894" s="28"/>
      <c r="E1894" s="28"/>
      <c r="F1894" s="28"/>
    </row>
    <row r="1895">
      <c r="A1895" s="28" t="str">
        <f>IFERROR(__xludf.DUMMYFUNCTION("""COMPUTED_VALUE"""),"1964-SEPEPHGC")</f>
        <v>1964-SEPEPHGC</v>
      </c>
      <c r="B1895" s="28" t="str">
        <f>IFERROR(__xludf.DUMMYFUNCTION("""COMPUTED_VALUE"""),"MEPHU RECAMBIO TECNOLÓGICO M2")</f>
        <v>MEPHU RECAMBIO TECNOLÓGICO M2</v>
      </c>
      <c r="C1895" s="29" t="str">
        <f>IFERROR(__xludf.DUMMYFUNCTION("""COMPUTED_VALUE"""),"Pieza")</f>
        <v>Pieza</v>
      </c>
      <c r="D1895" s="28"/>
      <c r="E1895" s="28"/>
      <c r="F1895" s="28"/>
    </row>
    <row r="1896">
      <c r="A1896" s="28" t="str">
        <f>IFERROR(__xludf.DUMMYFUNCTION("""COMPUTED_VALUE"""),"2994-MAYEPHGC")</f>
        <v>2994-MAYEPHGC</v>
      </c>
      <c r="B1896" s="28" t="str">
        <f>IFERROR(__xludf.DUMMYFUNCTION("""COMPUTED_VALUE"""),"Luminarias Peatonales - Post")</f>
        <v>Luminarias Peatonales - Post</v>
      </c>
      <c r="C1896" s="29" t="str">
        <f>IFERROR(__xludf.DUMMYFUNCTION("""COMPUTED_VALUE"""),"Pieza")</f>
        <v>Pieza</v>
      </c>
      <c r="D1896" s="28"/>
      <c r="E1896" s="28"/>
      <c r="F1896" s="28"/>
    </row>
    <row r="1897">
      <c r="A1897" s="28" t="str">
        <f>IFERROR(__xludf.DUMMYFUNCTION("""COMPUTED_VALUE"""),"1942-SEPEPHGC")</f>
        <v>1942-SEPEPHGC</v>
      </c>
      <c r="B1897" s="28" t="str">
        <f>IFERROR(__xludf.DUMMYFUNCTION("""COMPUTED_VALUE"""),"DGPLES | MEPHU  | REPARACIÓN DE VEREDAS")</f>
        <v>DGPLES | MEPHU  | REPARACIÓN DE VEREDAS</v>
      </c>
      <c r="C1897" s="29" t="str">
        <f>IFERROR(__xludf.DUMMYFUNCTION("""COMPUTED_VALUE"""),"Pieza")</f>
        <v>Pieza</v>
      </c>
      <c r="D1897" s="28"/>
      <c r="E1897" s="28"/>
      <c r="F1897" s="28"/>
    </row>
    <row r="1898">
      <c r="A1898" s="28" t="str">
        <f>IFERROR(__xludf.DUMMYFUNCTION("""COMPUTED_VALUE"""),"1946-SEPEPHGC")</f>
        <v>1946-SEPEPHGC</v>
      </c>
      <c r="B1898" s="28" t="str">
        <f>IFERROR(__xludf.DUMMYFUNCTION("""COMPUTED_VALUE"""),"CAMPAÑA GCBA | MEPHU  | PLUVIALES")</f>
        <v>CAMPAÑA GCBA | MEPHU  | PLUVIALES</v>
      </c>
      <c r="C1898" s="29" t="str">
        <f>IFERROR(__xludf.DUMMYFUNCTION("""COMPUTED_VALUE"""),"Pieza")</f>
        <v>Pieza</v>
      </c>
      <c r="D1898" s="28"/>
      <c r="E1898" s="28"/>
      <c r="F1898" s="28"/>
    </row>
    <row r="1899">
      <c r="A1899" s="28" t="str">
        <f>IFERROR(__xludf.DUMMYFUNCTION("""COMPUTED_VALUE"""),"3328-JULPCCVC")</f>
        <v>3328-JULPCCVC</v>
      </c>
      <c r="B1899" s="28" t="str">
        <f>IFERROR(__xludf.DUMMYFUNCTION("""COMPUTED_VALUE"""),"Reunión informativa Linea F")</f>
        <v>Reunión informativa Linea F</v>
      </c>
      <c r="C1899" s="29" t="str">
        <f>IFERROR(__xludf.DUMMYFUNCTION("""COMPUTED_VALUE"""),"Pieza")</f>
        <v>Pieza</v>
      </c>
      <c r="D1899" s="28"/>
      <c r="E1899" s="28"/>
      <c r="F1899" s="28"/>
    </row>
    <row r="1900">
      <c r="A1900" s="28" t="str">
        <f>IFERROR(__xludf.DUMMYFUNCTION("""COMPUTED_VALUE"""),"3315-JULSEGVC")</f>
        <v>3315-JULSEGVC</v>
      </c>
      <c r="B1900" s="28" t="str">
        <f>IFERROR(__xludf.DUMMYFUNCTION("""COMPUTED_VALUE"""),"RDV Ministros | Gabino Tapia 16/7 Comuna 7")</f>
        <v>RDV Ministros | Gabino Tapia 16/7 Comuna 7</v>
      </c>
      <c r="C1900" s="29" t="str">
        <f>IFERROR(__xludf.DUMMYFUNCTION("""COMPUTED_VALUE"""),"Pieza")</f>
        <v>Pieza</v>
      </c>
      <c r="D1900" s="28"/>
      <c r="E1900" s="28"/>
      <c r="F1900" s="28"/>
    </row>
    <row r="1901">
      <c r="A1901" s="28" t="str">
        <f>IFERROR(__xludf.DUMMYFUNCTION("""COMPUTED_VALUE"""),"3356-JULDHHGC")</f>
        <v>3356-JULDHHGC</v>
      </c>
      <c r="B1901" s="28" t="str">
        <f>IFERROR(__xludf.DUMMYFUNCTION("""COMPUTED_VALUE"""),"RDV Ministros | Gabriel Mraida - 24/7")</f>
        <v>RDV Ministros | Gabriel Mraida - 24/7</v>
      </c>
      <c r="C1901" s="29" t="str">
        <f>IFERROR(__xludf.DUMMYFUNCTION("""COMPUTED_VALUE"""),"Pieza")</f>
        <v>Pieza</v>
      </c>
      <c r="D1901" s="28"/>
      <c r="E1901" s="28"/>
      <c r="F1901" s="28"/>
    </row>
    <row r="1902">
      <c r="A1902" s="28" t="str">
        <f>IFERROR(__xludf.DUMMYFUNCTION("""COMPUTED_VALUE"""),"3103-MAYJUSGC")</f>
        <v>3103-MAYJUSGC</v>
      </c>
      <c r="B1902" s="28" t="str">
        <f>IFERROR(__xludf.DUMMYFUNCTION("""COMPUTED_VALUE"""),"congreso NNyA")</f>
        <v>congreso NNyA</v>
      </c>
      <c r="C1902" s="29" t="str">
        <f>IFERROR(__xludf.DUMMYFUNCTION("""COMPUTED_VALUE"""),"Pieza")</f>
        <v>Pieza</v>
      </c>
      <c r="D1902" s="28"/>
      <c r="E1902" s="28"/>
      <c r="F1902" s="28"/>
    </row>
    <row r="1903">
      <c r="A1903" s="28" t="str">
        <f>IFERROR(__xludf.DUMMYFUNCTION("""COMPUTED_VALUE"""),"3365-JULINFGC")</f>
        <v>3365-JULINFGC</v>
      </c>
      <c r="B1903" s="28" t="str">
        <f>IFERROR(__xludf.DUMMYFUNCTION("""COMPUTED_VALUE"""),"INFRAESTRUCTURA | CORTES Y DESVÍOS PUENTE LABRUNA")</f>
        <v>INFRAESTRUCTURA | CORTES Y DESVÍOS PUENTE LABRUNA</v>
      </c>
      <c r="C1903" s="29" t="str">
        <f>IFERROR(__xludf.DUMMYFUNCTION("""COMPUTED_VALUE"""),"Pieza")</f>
        <v>Pieza</v>
      </c>
      <c r="D1903" s="28"/>
      <c r="E1903" s="28"/>
      <c r="F1903" s="28"/>
    </row>
    <row r="1904">
      <c r="A1904" s="28" t="str">
        <f>IFERROR(__xludf.DUMMYFUNCTION("""COMPUTED_VALUE"""),"3226-JUNFESGC")</f>
        <v>3226-JUNFESGC</v>
      </c>
      <c r="B1904" s="28" t="str">
        <f>IFERROR(__xludf.DUMMYFUNCTION("""COMPUTED_VALUE"""),"Vacaciones de invierno | Genérica")</f>
        <v>Vacaciones de invierno | Genérica</v>
      </c>
      <c r="C1904" s="29" t="str">
        <f>IFERROR(__xludf.DUMMYFUNCTION("""COMPUTED_VALUE"""),"Pieza")</f>
        <v>Pieza</v>
      </c>
      <c r="D1904" s="28"/>
      <c r="E1904" s="28"/>
      <c r="F1904" s="28"/>
    </row>
    <row r="1905">
      <c r="A1905" s="28" t="str">
        <f>IFERROR(__xludf.DUMMYFUNCTION("""COMPUTED_VALUE"""),"3356-JULDHHGC")</f>
        <v>3356-JULDHHGC</v>
      </c>
      <c r="B1905" s="28" t="str">
        <f>IFERROR(__xludf.DUMMYFUNCTION("""COMPUTED_VALUE"""),"RDV Ministros | Gabriel Mraida - 24/7")</f>
        <v>RDV Ministros | Gabriel Mraida - 24/7</v>
      </c>
      <c r="C1905" s="29" t="str">
        <f>IFERROR(__xludf.DUMMYFUNCTION("""COMPUTED_VALUE"""),"Pieza")</f>
        <v>Pieza</v>
      </c>
      <c r="D1905" s="28"/>
      <c r="E1905" s="28"/>
      <c r="F1905" s="28"/>
    </row>
    <row r="1906">
      <c r="A1906" s="28" t="str">
        <f>IFERROR(__xludf.DUMMYFUNCTION("""COMPUTED_VALUE"""),"3305-JULSEGGJ")</f>
        <v>3305-JULSEGGJ</v>
      </c>
      <c r="B1906" s="28" t="str">
        <f>IFERROR(__xludf.DUMMYFUNCTION("""COMPUTED_VALUE"""),"Egreso más de 1000 Cadetes")</f>
        <v>Egreso más de 1000 Cadetes</v>
      </c>
      <c r="C1906" s="29" t="str">
        <f>IFERROR(__xludf.DUMMYFUNCTION("""COMPUTED_VALUE"""),"Pieza")</f>
        <v>Pieza</v>
      </c>
      <c r="D1906" s="28"/>
      <c r="E1906" s="28"/>
      <c r="F1906" s="28"/>
    </row>
    <row r="1907">
      <c r="A1907" s="28" t="str">
        <f>IFERROR(__xludf.DUMMYFUNCTION("""COMPUTED_VALUE"""),"2478-ENEINNGC")</f>
        <v>2478-ENEINNGC</v>
      </c>
      <c r="B1907" s="28" t="str">
        <f>IFERROR(__xludf.DUMMYFUNCTION("""COMPUTED_VALUE"""),"Lanzamiento BAX")</f>
        <v>Lanzamiento BAX</v>
      </c>
      <c r="C1907" s="29" t="str">
        <f>IFERROR(__xludf.DUMMYFUNCTION("""COMPUTED_VALUE"""),"Pieza")</f>
        <v>Pieza</v>
      </c>
      <c r="D1907" s="28"/>
      <c r="E1907" s="28"/>
      <c r="F1907" s="28"/>
    </row>
    <row r="1908">
      <c r="A1908" s="28" t="str">
        <f>IFERROR(__xludf.DUMMYFUNCTION("""COMPUTED_VALUE"""),"2478-ENEINNGC")</f>
        <v>2478-ENEINNGC</v>
      </c>
      <c r="B1908" s="28" t="str">
        <f>IFERROR(__xludf.DUMMYFUNCTION("""COMPUTED_VALUE"""),"Lanzamiento BAX")</f>
        <v>Lanzamiento BAX</v>
      </c>
      <c r="C1908" s="29" t="str">
        <f>IFERROR(__xludf.DUMMYFUNCTION("""COMPUTED_VALUE"""),"Pieza")</f>
        <v>Pieza</v>
      </c>
      <c r="D1908" s="28"/>
      <c r="E1908" s="28"/>
      <c r="F1908" s="28"/>
    </row>
    <row r="1909">
      <c r="A1909" s="28" t="str">
        <f>IFERROR(__xludf.DUMMYFUNCTION("""COMPUTED_VALUE"""),"3302-JULDUDGC")</f>
        <v>3302-JULDUDGC</v>
      </c>
      <c r="B1909" s="28" t="str">
        <f>IFERROR(__xludf.DUMMYFUNCTION("""COMPUTED_VALUE"""),"Deportes | Media | Sorteo Maratón de Buenos Aires 2026")</f>
        <v>Deportes | Media | Sorteo Maratón de Buenos Aires 2026</v>
      </c>
      <c r="C1909" s="29" t="str">
        <f>IFERROR(__xludf.DUMMYFUNCTION("""COMPUTED_VALUE"""),"Pieza")</f>
        <v>Pieza</v>
      </c>
      <c r="D1909" s="28"/>
      <c r="E1909" s="28"/>
      <c r="F1909" s="28"/>
    </row>
    <row r="1910">
      <c r="A1910" s="28" t="str">
        <f>IFERROR(__xludf.DUMMYFUNCTION("""COMPUTED_VALUE"""),"3344-JULVINGC")</f>
        <v>3344-JULVINGC</v>
      </c>
      <c r="B1910" s="28" t="str">
        <f>IFERROR(__xludf.DUMMYFUNCTION("""COMPUTED_VALUE"""),"Más servicios en tu barrio - Villa del Parque - 23/7")</f>
        <v>Más servicios en tu barrio - Villa del Parque - 23/7</v>
      </c>
      <c r="C1910" s="29" t="str">
        <f>IFERROR(__xludf.DUMMYFUNCTION("""COMPUTED_VALUE"""),"Pieza")</f>
        <v>Pieza</v>
      </c>
      <c r="D1910" s="28"/>
      <c r="E1910" s="28"/>
      <c r="F1910" s="28"/>
    </row>
    <row r="1911">
      <c r="A1911" s="28" t="str">
        <f>IFERROR(__xludf.DUMMYFUNCTION("""COMPUTED_VALUE"""),"3345-JULVINGC")</f>
        <v>3345-JULVINGC</v>
      </c>
      <c r="B1911" s="28" t="str">
        <f>IFERROR(__xludf.DUMMYFUNCTION("""COMPUTED_VALUE"""),"Más servicios en tu barrio - Villa Crespo - 24/7")</f>
        <v>Más servicios en tu barrio - Villa Crespo - 24/7</v>
      </c>
      <c r="C1911" s="29" t="str">
        <f>IFERROR(__xludf.DUMMYFUNCTION("""COMPUTED_VALUE"""),"Pieza")</f>
        <v>Pieza</v>
      </c>
      <c r="D1911" s="28"/>
      <c r="E1911" s="28"/>
      <c r="F1911" s="28"/>
    </row>
    <row r="1912">
      <c r="A1912" s="28" t="str">
        <f>IFERROR(__xludf.DUMMYFUNCTION("""COMPUTED_VALUE"""),"3371-JULSEGVC")</f>
        <v>3371-JULSEGVC</v>
      </c>
      <c r="B1912" s="28" t="str">
        <f>IFERROR(__xludf.DUMMYFUNCTION("""COMPUTED_VALUE"""),"RDV Ministros | Maximiliano Piñerio  23/7 Comuna 9")</f>
        <v>RDV Ministros | Maximiliano Piñerio  23/7 Comuna 9</v>
      </c>
      <c r="C1912" s="29" t="str">
        <f>IFERROR(__xludf.DUMMYFUNCTION("""COMPUTED_VALUE"""),"Pieza")</f>
        <v>Pieza</v>
      </c>
      <c r="D1912" s="28"/>
      <c r="E1912" s="28"/>
      <c r="F1912" s="28"/>
    </row>
    <row r="1913">
      <c r="A1913" s="28" t="str">
        <f>IFERROR(__xludf.DUMMYFUNCTION("""COMPUTED_VALUE"""),"3305-JULSEGGJ")</f>
        <v>3305-JULSEGGJ</v>
      </c>
      <c r="B1913" s="28" t="str">
        <f>IFERROR(__xludf.DUMMYFUNCTION("""COMPUTED_VALUE"""),"Egreso más de 1000 Cadetes")</f>
        <v>Egreso más de 1000 Cadetes</v>
      </c>
      <c r="C1913" s="29" t="str">
        <f>IFERROR(__xludf.DUMMYFUNCTION("""COMPUTED_VALUE"""),"Pieza")</f>
        <v>Pieza</v>
      </c>
      <c r="D1913" s="28"/>
      <c r="E1913" s="28"/>
      <c r="F1913" s="28"/>
    </row>
    <row r="1914">
      <c r="A1914" s="28" t="str">
        <f>IFERROR(__xludf.DUMMYFUNCTION("""COMPUTED_VALUE"""),"3372-JULSEGVC")</f>
        <v>3372-JULSEGVC</v>
      </c>
      <c r="B1914" s="28" t="str">
        <f>IFERROR(__xludf.DUMMYFUNCTION("""COMPUTED_VALUE"""),"RDV Ministros | Horacio Giménez 23/7 Comuna 10")</f>
        <v>RDV Ministros | Horacio Giménez 23/7 Comuna 10</v>
      </c>
      <c r="C1914" s="29" t="str">
        <f>IFERROR(__xludf.DUMMYFUNCTION("""COMPUTED_VALUE"""),"Pieza")</f>
        <v>Pieza</v>
      </c>
      <c r="D1914" s="28"/>
      <c r="E1914" s="28"/>
      <c r="F1914" s="28"/>
    </row>
    <row r="1915">
      <c r="A1915" s="28" t="str">
        <f>IFERROR(__xludf.DUMMYFUNCTION("""COMPUTED_VALUE"""),"1942-SEPEPHGC")</f>
        <v>1942-SEPEPHGC</v>
      </c>
      <c r="B1915" s="28" t="str">
        <f>IFERROR(__xludf.DUMMYFUNCTION("""COMPUTED_VALUE"""),"DGPLES | MEPHU  | REPARACIÓN DE VEREDAS")</f>
        <v>DGPLES | MEPHU  | REPARACIÓN DE VEREDAS</v>
      </c>
      <c r="C1915" s="29" t="str">
        <f>IFERROR(__xludf.DUMMYFUNCTION("""COMPUTED_VALUE"""),"Pieza")</f>
        <v>Pieza</v>
      </c>
      <c r="D1915" s="28"/>
      <c r="E1915" s="28"/>
      <c r="F1915" s="28"/>
    </row>
    <row r="1916">
      <c r="A1916" s="28" t="str">
        <f>IFERROR(__xludf.DUMMYFUNCTION("""COMPUTED_VALUE"""),"1943-SEPEPHGC")</f>
        <v>1943-SEPEPHGC</v>
      </c>
      <c r="B1916" s="28" t="str">
        <f>IFERROR(__xludf.DUMMYFUNCTION("""COMPUTED_VALUE"""),"DGPLES | MEPHU  | READOQUINADO")</f>
        <v>DGPLES | MEPHU  | READOQUINADO</v>
      </c>
      <c r="C1916" s="29" t="str">
        <f>IFERROR(__xludf.DUMMYFUNCTION("""COMPUTED_VALUE"""),"Pieza")</f>
        <v>Pieza</v>
      </c>
      <c r="D1916" s="28"/>
      <c r="E1916" s="28"/>
      <c r="F1916" s="28"/>
    </row>
    <row r="1917">
      <c r="A1917" s="28" t="str">
        <f>IFERROR(__xludf.DUMMYFUNCTION("""COMPUTED_VALUE"""),"1946-SEPEPHGC")</f>
        <v>1946-SEPEPHGC</v>
      </c>
      <c r="B1917" s="28" t="str">
        <f>IFERROR(__xludf.DUMMYFUNCTION("""COMPUTED_VALUE"""),"CAMPAÑA GCBA | MEPHU  | PLUVIALES")</f>
        <v>CAMPAÑA GCBA | MEPHU  | PLUVIALES</v>
      </c>
      <c r="C1917" s="29" t="str">
        <f>IFERROR(__xludf.DUMMYFUNCTION("""COMPUTED_VALUE"""),"Pieza")</f>
        <v>Pieza</v>
      </c>
      <c r="D1917" s="28"/>
      <c r="E1917" s="28"/>
      <c r="F1917" s="28"/>
    </row>
    <row r="1918">
      <c r="A1918" s="28" t="str">
        <f>IFERROR(__xludf.DUMMYFUNCTION("""COMPUTED_VALUE"""),"3373-JULSEGVC")</f>
        <v>3373-JULSEGVC</v>
      </c>
      <c r="B1918" s="28" t="str">
        <f>IFERROR(__xludf.DUMMYFUNCTION("""COMPUTED_VALUE"""),"RDV Ministros | Ruth Landerreche 23/7 Comuna 11")</f>
        <v>RDV Ministros | Ruth Landerreche 23/7 Comuna 11</v>
      </c>
      <c r="C1918" s="29" t="str">
        <f>IFERROR(__xludf.DUMMYFUNCTION("""COMPUTED_VALUE"""),"Pieza")</f>
        <v>Pieza</v>
      </c>
      <c r="D1918" s="28"/>
      <c r="E1918" s="28"/>
      <c r="F1918" s="28"/>
    </row>
    <row r="1919">
      <c r="A1919" s="28" t="str">
        <f>IFERROR(__xludf.DUMMYFUNCTION("""COMPUTED_VALUE"""),"2478-ENEINNGC")</f>
        <v>2478-ENEINNGC</v>
      </c>
      <c r="B1919" s="28" t="str">
        <f>IFERROR(__xludf.DUMMYFUNCTION("""COMPUTED_VALUE"""),"Lanzamiento BAX")</f>
        <v>Lanzamiento BAX</v>
      </c>
      <c r="C1919" s="29" t="str">
        <f>IFERROR(__xludf.DUMMYFUNCTION("""COMPUTED_VALUE"""),"Pieza")</f>
        <v>Pieza</v>
      </c>
      <c r="D1919" s="28"/>
      <c r="E1919" s="28"/>
      <c r="F1919" s="28"/>
    </row>
    <row r="1920">
      <c r="A1920" s="28" t="str">
        <f>IFERROR(__xludf.DUMMYFUNCTION("""COMPUTED_VALUE"""),"2478-ENEINNGC")</f>
        <v>2478-ENEINNGC</v>
      </c>
      <c r="B1920" s="28" t="str">
        <f>IFERROR(__xludf.DUMMYFUNCTION("""COMPUTED_VALUE"""),"Lanzamiento BAX")</f>
        <v>Lanzamiento BAX</v>
      </c>
      <c r="C1920" s="29" t="str">
        <f>IFERROR(__xludf.DUMMYFUNCTION("""COMPUTED_VALUE"""),"Pieza")</f>
        <v>Pieza</v>
      </c>
      <c r="D1920" s="28"/>
      <c r="E1920" s="28"/>
      <c r="F1920" s="28"/>
    </row>
    <row r="1921">
      <c r="A1921" s="28" t="str">
        <f>IFERROR(__xludf.DUMMYFUNCTION("""COMPUTED_VALUE"""),"3331-JULINFGC")</f>
        <v>3331-JULINFGC</v>
      </c>
      <c r="B1921" s="28" t="str">
        <f>IFERROR(__xludf.DUMMYFUNCTION("""COMPUTED_VALUE""")," Infraestructura | Cambio de sentido: calle Estanislao San Zeballos")</f>
        <v> Infraestructura | Cambio de sentido: calle Estanislao San Zeballos</v>
      </c>
      <c r="C1921" s="29" t="str">
        <f>IFERROR(__xludf.DUMMYFUNCTION("""COMPUTED_VALUE"""),"Pieza")</f>
        <v>Pieza</v>
      </c>
      <c r="D1921" s="28"/>
      <c r="E1921" s="28"/>
      <c r="F1921" s="28"/>
    </row>
    <row r="1922">
      <c r="A1922" s="28" t="str">
        <f>IFERROR(__xludf.DUMMYFUNCTION("""COMPUTED_VALUE"""),"3245-JUNFESGC")</f>
        <v>3245-JUNFESGC</v>
      </c>
      <c r="B1922" s="28" t="str">
        <f>IFERROR(__xludf.DUMMYFUNCTION("""COMPUTED_VALUE"""),"Vacaciones de Invierno | Invierno en las plazas ")</f>
        <v>Vacaciones de Invierno | Invierno en las plazas </v>
      </c>
      <c r="C1922" s="29" t="str">
        <f>IFERROR(__xludf.DUMMYFUNCTION("""COMPUTED_VALUE"""),"Pieza")</f>
        <v>Pieza</v>
      </c>
      <c r="D1922" s="28"/>
      <c r="E1922" s="28"/>
      <c r="F1922" s="28"/>
    </row>
    <row r="1923">
      <c r="A1923" s="28" t="str">
        <f>IFERROR(__xludf.DUMMYFUNCTION("""COMPUTED_VALUE"""),"3245-JUNFESGC")</f>
        <v>3245-JUNFESGC</v>
      </c>
      <c r="B1923" s="28" t="str">
        <f>IFERROR(__xludf.DUMMYFUNCTION("""COMPUTED_VALUE"""),"Vacaciones de Invierno | Invierno en las plazas ")</f>
        <v>Vacaciones de Invierno | Invierno en las plazas </v>
      </c>
      <c r="C1923" s="29" t="str">
        <f>IFERROR(__xludf.DUMMYFUNCTION("""COMPUTED_VALUE"""),"Pieza")</f>
        <v>Pieza</v>
      </c>
      <c r="D1923" s="28"/>
      <c r="E1923" s="28"/>
      <c r="F1923" s="28"/>
    </row>
    <row r="1924">
      <c r="A1924" s="28" t="str">
        <f>IFERROR(__xludf.DUMMYFUNCTION("""COMPUTED_VALUE"""),"3245-JUNFESGC")</f>
        <v>3245-JUNFESGC</v>
      </c>
      <c r="B1924" s="28" t="str">
        <f>IFERROR(__xludf.DUMMYFUNCTION("""COMPUTED_VALUE"""),"Vacaciones de Invierno | Invierno en las plazas ")</f>
        <v>Vacaciones de Invierno | Invierno en las plazas </v>
      </c>
      <c r="C1924" s="29" t="str">
        <f>IFERROR(__xludf.DUMMYFUNCTION("""COMPUTED_VALUE"""),"Pieza")</f>
        <v>Pieza</v>
      </c>
      <c r="D1924" s="28"/>
      <c r="E1924" s="28"/>
      <c r="F1924" s="28"/>
    </row>
    <row r="1925">
      <c r="A1925" s="28" t="str">
        <f>IFERROR(__xludf.DUMMYFUNCTION("""COMPUTED_VALUE"""),"3366-JULEPHVC")</f>
        <v>3366-JULEPHVC</v>
      </c>
      <c r="B1925" s="28" t="str">
        <f>IFERROR(__xludf.DUMMYFUNCTION("""COMPUTED_VALUE"""),"RDV MINISTROS | IGNACIO BAISTROCCHI 22/7 COMUNA 11")</f>
        <v>RDV MINISTROS | IGNACIO BAISTROCCHI 22/7 COMUNA 11</v>
      </c>
      <c r="C1925" s="29" t="str">
        <f>IFERROR(__xludf.DUMMYFUNCTION("""COMPUTED_VALUE"""),"Pieza")</f>
        <v>Pieza</v>
      </c>
      <c r="D1925" s="28"/>
      <c r="E1925" s="28"/>
      <c r="F1925" s="28"/>
    </row>
    <row r="1926">
      <c r="A1926" s="28" t="str">
        <f>IFERROR(__xludf.DUMMYFUNCTION("""COMPUTED_VALUE"""),"3146-JUNEDUGC")</f>
        <v>3146-JUNEDUGC</v>
      </c>
      <c r="B1926" s="28" t="str">
        <f>IFERROR(__xludf.DUMMYFUNCTION("""COMPUTED_VALUE"""),"Inscripción - TUMO chacarita")</f>
        <v>Inscripción - TUMO chacarita</v>
      </c>
      <c r="C1926" s="29" t="str">
        <f>IFERROR(__xludf.DUMMYFUNCTION("""COMPUTED_VALUE"""),"Pieza")</f>
        <v>Pieza</v>
      </c>
      <c r="D1926" s="28"/>
      <c r="E1926" s="28"/>
      <c r="F1926" s="28"/>
    </row>
    <row r="1927">
      <c r="A1927" s="28" t="str">
        <f>IFERROR(__xludf.DUMMYFUNCTION("""COMPUTED_VALUE"""),"3146-JUNEDUGC")</f>
        <v>3146-JUNEDUGC</v>
      </c>
      <c r="B1927" s="28" t="str">
        <f>IFERROR(__xludf.DUMMYFUNCTION("""COMPUTED_VALUE"""),"Inscripción - TUMO chacarita")</f>
        <v>Inscripción - TUMO chacarita</v>
      </c>
      <c r="C1927" s="29" t="str">
        <f>IFERROR(__xludf.DUMMYFUNCTION("""COMPUTED_VALUE"""),"Pieza")</f>
        <v>Pieza</v>
      </c>
      <c r="D1927" s="28"/>
      <c r="E1927" s="28"/>
      <c r="F1927" s="28"/>
    </row>
    <row r="1928">
      <c r="A1928" s="28" t="str">
        <f>IFERROR(__xludf.DUMMYFUNCTION("""COMPUTED_VALUE"""),"3313-JULSEGVC")</f>
        <v>3313-JULSEGVC</v>
      </c>
      <c r="B1928" s="28" t="str">
        <f>IFERROR(__xludf.DUMMYFUNCTION("""COMPUTED_VALUE"""),"RDV Ministros | Ruth Landerreche 16/7 Comuna 5")</f>
        <v>RDV Ministros | Ruth Landerreche 16/7 Comuna 5</v>
      </c>
      <c r="C1928" s="29" t="str">
        <f>IFERROR(__xludf.DUMMYFUNCTION("""COMPUTED_VALUE"""),"Pieza")</f>
        <v>Pieza</v>
      </c>
      <c r="D1928" s="28"/>
      <c r="E1928" s="28"/>
      <c r="F1928" s="28"/>
    </row>
    <row r="1929">
      <c r="A1929" s="28" t="str">
        <f>IFERROR(__xludf.DUMMYFUNCTION("""COMPUTED_VALUE"""),"3371-JULSEGVC")</f>
        <v>3371-JULSEGVC</v>
      </c>
      <c r="B1929" s="28" t="str">
        <f>IFERROR(__xludf.DUMMYFUNCTION("""COMPUTED_VALUE"""),"RDV Ministros | Maximiliano Piñerio  23/7 Comuna 9")</f>
        <v>RDV Ministros | Maximiliano Piñerio  23/7 Comuna 9</v>
      </c>
      <c r="C1929" s="29" t="str">
        <f>IFERROR(__xludf.DUMMYFUNCTION("""COMPUTED_VALUE"""),"Pieza")</f>
        <v>Pieza</v>
      </c>
      <c r="D1929" s="28"/>
      <c r="E1929" s="28"/>
      <c r="F1929" s="28"/>
    </row>
    <row r="1930">
      <c r="A1930" s="28" t="str">
        <f>IFERROR(__xludf.DUMMYFUNCTION("""COMPUTED_VALUE"""),"3330-JULFESGC")</f>
        <v>3330-JULFESGC</v>
      </c>
      <c r="B1930" s="28" t="str">
        <f>IFERROR(__xludf.DUMMYFUNCTION("""COMPUTED_VALUE"""),"Sorteo Era Cretácica 2")</f>
        <v>Sorteo Era Cretácica 2</v>
      </c>
      <c r="C1930" s="29" t="str">
        <f>IFERROR(__xludf.DUMMYFUNCTION("""COMPUTED_VALUE"""),"Pieza")</f>
        <v>Pieza</v>
      </c>
      <c r="D1930" s="28"/>
      <c r="E1930" s="28"/>
      <c r="F1930" s="28"/>
    </row>
    <row r="1931">
      <c r="A1931" s="28" t="str">
        <f>IFERROR(__xludf.DUMMYFUNCTION("""COMPUTED_VALUE"""),"3374-JULEDUGC")</f>
        <v>3374-JULEDUGC</v>
      </c>
      <c r="B1931" s="28" t="str">
        <f>IFERROR(__xludf.DUMMYFUNCTION("""COMPUTED_VALUE"""),"Talento Tech: inscripción")</f>
        <v>Talento Tech: inscripción</v>
      </c>
      <c r="C1931" s="29" t="str">
        <f>IFERROR(__xludf.DUMMYFUNCTION("""COMPUTED_VALUE"""),"Pieza")</f>
        <v>Pieza</v>
      </c>
      <c r="D1931" s="28"/>
      <c r="E1931" s="28"/>
      <c r="F1931" s="28"/>
    </row>
    <row r="1932">
      <c r="A1932" s="28" t="str">
        <f>IFERROR(__xludf.DUMMYFUNCTION("""COMPUTED_VALUE"""),"3371-JULSEGVC")</f>
        <v>3371-JULSEGVC</v>
      </c>
      <c r="B1932" s="28" t="str">
        <f>IFERROR(__xludf.DUMMYFUNCTION("""COMPUTED_VALUE"""),"RDV Ministros | Maximiliano Piñerio  23/7 Comuna 9")</f>
        <v>RDV Ministros | Maximiliano Piñerio  23/7 Comuna 9</v>
      </c>
      <c r="C1932" s="28" t="str">
        <f>IFERROR(__xludf.DUMMYFUNCTION("""COMPUTED_VALUE"""),"Pieza")</f>
        <v>Pieza</v>
      </c>
      <c r="D1932" s="28"/>
      <c r="E1932" s="28"/>
      <c r="F1932" s="28"/>
    </row>
    <row r="1933">
      <c r="A1933" s="28" t="str">
        <f>IFERROR(__xludf.DUMMYFUNCTION("""COMPUTED_VALUE"""),"3245-JUNFESGC")</f>
        <v>3245-JUNFESGC</v>
      </c>
      <c r="B1933" s="28" t="str">
        <f>IFERROR(__xludf.DUMMYFUNCTION("""COMPUTED_VALUE"""),"Vacaciones de Invierno | Invierno en las plazas ")</f>
        <v>Vacaciones de Invierno | Invierno en las plazas </v>
      </c>
      <c r="C1933" s="29" t="str">
        <f>IFERROR(__xludf.DUMMYFUNCTION("""COMPUTED_VALUE"""),"Pieza")</f>
        <v>Pieza</v>
      </c>
      <c r="D1933" s="28"/>
      <c r="E1933" s="28"/>
      <c r="F1933" s="28"/>
    </row>
    <row r="1934">
      <c r="A1934" s="28" t="str">
        <f>IFERROR(__xludf.DUMMYFUNCTION("""COMPUTED_VALUE"""),"3245-JUNFESGC")</f>
        <v>3245-JUNFESGC</v>
      </c>
      <c r="B1934" s="28" t="str">
        <f>IFERROR(__xludf.DUMMYFUNCTION("""COMPUTED_VALUE"""),"Vacaciones de Invierno | Invierno en las plazas ")</f>
        <v>Vacaciones de Invierno | Invierno en las plazas </v>
      </c>
      <c r="C1934" s="29" t="str">
        <f>IFERROR(__xludf.DUMMYFUNCTION("""COMPUTED_VALUE"""),"Pieza")</f>
        <v>Pieza</v>
      </c>
      <c r="D1934" s="28"/>
      <c r="E1934" s="28"/>
      <c r="F1934" s="28"/>
    </row>
    <row r="1935">
      <c r="A1935" s="28" t="str">
        <f>IFERROR(__xludf.DUMMYFUNCTION("""COMPUTED_VALUE"""),"3333-JULINFGC")</f>
        <v>3333-JULINFGC</v>
      </c>
      <c r="B1935" s="28" t="str">
        <f>IFERROR(__xludf.DUMMYFUNCTION("""COMPUTED_VALUE"""),"Infraestructura | Cambio de sentido calle José Hernández")</f>
        <v>Infraestructura | Cambio de sentido calle José Hernández</v>
      </c>
      <c r="C1935" s="29" t="str">
        <f>IFERROR(__xludf.DUMMYFUNCTION("""COMPUTED_VALUE"""),"Pieza")</f>
        <v>Pieza</v>
      </c>
      <c r="D1935" s="28"/>
      <c r="E1935" s="28"/>
      <c r="F1935" s="28"/>
    </row>
    <row r="1936">
      <c r="A1936" s="28" t="str">
        <f>IFERROR(__xludf.DUMMYFUNCTION("""COMPUTED_VALUE"""),"3016-MAYFESGC")</f>
        <v>3016-MAYFESGC</v>
      </c>
      <c r="B1936" s="28" t="str">
        <f>IFERROR(__xludf.DUMMYFUNCTION("""COMPUTED_VALUE"""),"La ciudad late mundial | Modo Hincha")</f>
        <v>La ciudad late mundial | Modo Hincha</v>
      </c>
      <c r="C1936" s="28"/>
      <c r="D1936" s="28"/>
      <c r="E1936" s="28"/>
      <c r="F1936" s="28"/>
    </row>
    <row r="1937">
      <c r="A1937" s="28" t="str">
        <f>IFERROR(__xludf.DUMMYFUNCTION("""COMPUTED_VALUE"""),"3214-JUNAMBVC")</f>
        <v>3214-JUNAMBVC</v>
      </c>
      <c r="B1937" s="28" t="str">
        <f>IFERROR(__xludf.DUMMYFUNCTION("""COMPUTED_VALUE"""),"CLARA MUZZIO 19/6 PALERMO")</f>
        <v>CLARA MUZZIO 19/6 PALERMO</v>
      </c>
      <c r="C1937" s="29" t="str">
        <f>IFERROR(__xludf.DUMMYFUNCTION("""COMPUTED_VALUE"""),"Pieza")</f>
        <v>Pieza</v>
      </c>
      <c r="D1937" s="28"/>
      <c r="E1937" s="28"/>
      <c r="F1937" s="28"/>
    </row>
    <row r="1938">
      <c r="A1938" s="28" t="str">
        <f>IFERROR(__xludf.DUMMYFUNCTION("""COMPUTED_VALUE"""),"3232-JUNDHHVC")</f>
        <v>3232-JUNDHHVC</v>
      </c>
      <c r="B1938" s="28" t="str">
        <f>IFERROR(__xludf.DUMMYFUNCTION("""COMPUTED_VALUE"""),"RDV MINISTROS | GABRIEL MRAIDA 24/6 COMUNA 1")</f>
        <v>RDV MINISTROS | GABRIEL MRAIDA 24/6 COMUNA 1</v>
      </c>
      <c r="C1938" s="29" t="str">
        <f>IFERROR(__xludf.DUMMYFUNCTION("""COMPUTED_VALUE"""),"Pieza")</f>
        <v>Pieza</v>
      </c>
      <c r="D1938" s="28"/>
      <c r="E1938" s="28"/>
      <c r="F1938" s="28"/>
    </row>
    <row r="1939">
      <c r="A1939" s="28" t="str">
        <f>IFERROR(__xludf.DUMMYFUNCTION("""COMPUTED_VALUE"""),"3276-JUNDECGC")</f>
        <v>3276-JUNDECGC</v>
      </c>
      <c r="B1939" s="28" t="str">
        <f>IFERROR(__xludf.DUMMYFUNCTION("""COMPUTED_VALUE"""),"Principales programas y medidas para PyMEs de la Ciudad")</f>
        <v>Principales programas y medidas para PyMEs de la Ciudad</v>
      </c>
      <c r="C1939" s="29" t="str">
        <f>IFERROR(__xludf.DUMMYFUNCTION("""COMPUTED_VALUE"""),"Pieza")</f>
        <v>Pieza</v>
      </c>
      <c r="D1939" s="28"/>
      <c r="E1939" s="28"/>
      <c r="F1939" s="28"/>
    </row>
    <row r="1940">
      <c r="A1940" s="28" t="str">
        <f>IFERROR(__xludf.DUMMYFUNCTION("""COMPUTED_VALUE"""),"3310-JULPCCVC")</f>
        <v>3310-JULPCCVC</v>
      </c>
      <c r="B1940" s="28" t="str">
        <f>IFERROR(__xludf.DUMMYFUNCTION("""COMPUTED_VALUE"""),"Priorización Nombramiento del Paso Bajo Nivel Lorca")</f>
        <v>Priorización Nombramiento del Paso Bajo Nivel Lorca</v>
      </c>
      <c r="C1940" s="28"/>
      <c r="D1940" s="28"/>
      <c r="E1940" s="28"/>
      <c r="F1940" s="28"/>
    </row>
    <row r="1941">
      <c r="A1941" s="28" t="str">
        <f>IFERROR(__xludf.DUMMYFUNCTION("""COMPUTED_VALUE"""),"1921-SEPAMBGC")</f>
        <v>1921-SEPAMBGC</v>
      </c>
      <c r="B1941" s="28" t="str">
        <f>IFERROR(__xludf.DUMMYFUNCTION("""COMPUTED_VALUE"""),"Vacunación Antirrabica Animales")</f>
        <v>Vacunación Antirrabica Animales</v>
      </c>
      <c r="C1941" s="29" t="str">
        <f>IFERROR(__xludf.DUMMYFUNCTION("""COMPUTED_VALUE"""),"Pieza")</f>
        <v>Pieza</v>
      </c>
      <c r="D1941" s="28"/>
      <c r="E1941" s="28"/>
      <c r="F1941" s="28"/>
    </row>
    <row r="1942">
      <c r="A1942" s="28" t="str">
        <f>IFERROR(__xludf.DUMMYFUNCTION("""COMPUTED_VALUE"""),"3358-JULPCCVC")</f>
        <v>3358-JULPCCVC</v>
      </c>
      <c r="B1942" s="28" t="str">
        <f>IFERROR(__xludf.DUMMYFUNCTION("""COMPUTED_VALUE"""),"Encuentro de dialogo | ADP Pompeya ")</f>
        <v>Encuentro de dialogo | ADP Pompeya </v>
      </c>
      <c r="C1942" s="28"/>
      <c r="D1942" s="28"/>
      <c r="E1942" s="28"/>
      <c r="F1942" s="28"/>
    </row>
    <row r="1943">
      <c r="A1943" s="28" t="str">
        <f>IFERROR(__xludf.DUMMYFUNCTION("""COMPUTED_VALUE"""),"2478-ENEINNGC")</f>
        <v>2478-ENEINNGC</v>
      </c>
      <c r="B1943" s="28" t="str">
        <f>IFERROR(__xludf.DUMMYFUNCTION("""COMPUTED_VALUE"""),"Lanzamiento BAX")</f>
        <v>Lanzamiento BAX</v>
      </c>
      <c r="C1943" s="29" t="str">
        <f>IFERROR(__xludf.DUMMYFUNCTION("""COMPUTED_VALUE"""),"Pieza")</f>
        <v>Pieza</v>
      </c>
      <c r="D1943" s="28"/>
      <c r="E1943" s="28"/>
      <c r="F1943" s="28"/>
    </row>
    <row r="1944">
      <c r="A1944" s="28" t="str">
        <f>IFERROR(__xludf.DUMMYFUNCTION("""COMPUTED_VALUE"""),"2478-ENEINNGC")</f>
        <v>2478-ENEINNGC</v>
      </c>
      <c r="B1944" s="28" t="str">
        <f>IFERROR(__xludf.DUMMYFUNCTION("""COMPUTED_VALUE"""),"Lanzamiento BAX")</f>
        <v>Lanzamiento BAX</v>
      </c>
      <c r="C1944" s="29" t="str">
        <f>IFERROR(__xludf.DUMMYFUNCTION("""COMPUTED_VALUE"""),"Pieza")</f>
        <v>Pieza</v>
      </c>
      <c r="D1944" s="28"/>
      <c r="E1944" s="28"/>
      <c r="F1944" s="28"/>
    </row>
    <row r="1945">
      <c r="A1945" s="28" t="str">
        <f>IFERROR(__xludf.DUMMYFUNCTION("""COMPUTED_VALUE"""),"3293-JULPCCVC")</f>
        <v>3293-JULPCCVC</v>
      </c>
      <c r="B1945" s="28" t="str">
        <f>IFERROR(__xludf.DUMMYFUNCTION("""COMPUTED_VALUE"""),"Alta Interna Campaña VC | Invierno en la Ciudad - 1/7")</f>
        <v>Alta Interna Campaña VC | Invierno en la Ciudad - 1/7</v>
      </c>
      <c r="C1945" s="28"/>
      <c r="D1945" s="28"/>
      <c r="E1945" s="28"/>
      <c r="F1945" s="28"/>
    </row>
    <row r="1946">
      <c r="A1946" s="28" t="str">
        <f>IFERROR(__xludf.DUMMYFUNCTION("""COMPUTED_VALUE"""),"2681-MARINFGC")</f>
        <v>2681-MARINFGC</v>
      </c>
      <c r="B1946" s="28" t="str">
        <f>IFERROR(__xludf.DUMMYFUNCTION("""COMPUTED_VALUE""")," Infraestructura I Cortes en Av. Elcano por obras")</f>
        <v> Infraestructura I Cortes en Av. Elcano por obras</v>
      </c>
      <c r="C1946" s="28" t="str">
        <f>IFERROR(__xludf.DUMMYFUNCTION("""COMPUTED_VALUE"""),"Pieza")</f>
        <v>Pieza</v>
      </c>
      <c r="D1946" s="28"/>
      <c r="E1946" s="28"/>
      <c r="F1946" s="28"/>
    </row>
    <row r="1947">
      <c r="A1947" s="28" t="str">
        <f>IFERROR(__xludf.DUMMYFUNCTION("""COMPUTED_VALUE"""),"2742-MARFESGC")</f>
        <v>2742-MARFESGC</v>
      </c>
      <c r="B1947" s="28" t="str">
        <f>IFERROR(__xludf.DUMMYFUNCTION("""COMPUTED_VALUE"""),"Obras en anfiteatros")</f>
        <v>Obras en anfiteatros</v>
      </c>
      <c r="C1947" s="28" t="str">
        <f>IFERROR(__xludf.DUMMYFUNCTION("""COMPUTED_VALUE"""),"Pieza")</f>
        <v>Pieza</v>
      </c>
      <c r="D1947" s="28"/>
      <c r="E1947" s="28"/>
      <c r="F1947" s="28"/>
    </row>
    <row r="1948">
      <c r="A1948" s="28" t="str">
        <f>IFERROR(__xludf.DUMMYFUNCTION("""COMPUTED_VALUE"""),"1907-SEPINFGC")</f>
        <v>1907-SEPINFGC</v>
      </c>
      <c r="B1948" s="28" t="str">
        <f>IFERROR(__xludf.DUMMYFUNCTION("""COMPUTED_VALUE"""),"Infraestructura I Colocación de reductores de velocidad y semáforos M2")</f>
        <v>Infraestructura I Colocación de reductores de velocidad y semáforos M2</v>
      </c>
      <c r="C1948" s="28" t="str">
        <f>IFERROR(__xludf.DUMMYFUNCTION("""COMPUTED_VALUE"""),"Pieza")</f>
        <v>Pieza</v>
      </c>
      <c r="D1948" s="28"/>
      <c r="E1948" s="28"/>
      <c r="F1948" s="28"/>
    </row>
    <row r="1949">
      <c r="A1949" s="28" t="str">
        <f>IFERROR(__xludf.DUMMYFUNCTION("""COMPUTED_VALUE"""),"3045-MAYFESGC")</f>
        <v>3045-MAYFESGC</v>
      </c>
      <c r="B1949" s="28" t="str">
        <f>IFERROR(__xludf.DUMMYFUNCTION("""COMPUTED_VALUE"""),"BA 24 hs | Segunda etapa")</f>
        <v>BA 24 hs | Segunda etapa</v>
      </c>
      <c r="C1949" s="28" t="str">
        <f>IFERROR(__xludf.DUMMYFUNCTION("""COMPUTED_VALUE"""),"Pieza")</f>
        <v>Pieza</v>
      </c>
      <c r="D1949" s="28"/>
      <c r="E1949" s="28"/>
      <c r="F1949" s="28"/>
    </row>
    <row r="1950">
      <c r="A1950" s="28" t="str">
        <f>IFERROR(__xludf.DUMMYFUNCTION("""COMPUTED_VALUE"""),"3245-JUNFESGC")</f>
        <v>3245-JUNFESGC</v>
      </c>
      <c r="B1950" s="28" t="str">
        <f>IFERROR(__xludf.DUMMYFUNCTION("""COMPUTED_VALUE"""),"Vacaciones de Invierno | Invierno en las plazas ")</f>
        <v>Vacaciones de Invierno | Invierno en las plazas </v>
      </c>
      <c r="C1950" s="28" t="str">
        <f>IFERROR(__xludf.DUMMYFUNCTION("""COMPUTED_VALUE"""),"Pieza")</f>
        <v>Pieza</v>
      </c>
      <c r="D1950" s="28"/>
      <c r="E1950" s="28"/>
      <c r="F1950" s="28"/>
    </row>
    <row r="1951">
      <c r="A1951" s="28" t="str">
        <f>IFERROR(__xludf.DUMMYFUNCTION("""COMPUTED_VALUE"""),"3245-JUNFESGC")</f>
        <v>3245-JUNFESGC</v>
      </c>
      <c r="B1951" s="28" t="str">
        <f>IFERROR(__xludf.DUMMYFUNCTION("""COMPUTED_VALUE"""),"Vacaciones de Invierno | Invierno en las plazas ")</f>
        <v>Vacaciones de Invierno | Invierno en las plazas </v>
      </c>
      <c r="C1951" s="28" t="str">
        <f>IFERROR(__xludf.DUMMYFUNCTION("""COMPUTED_VALUE"""),"Pieza")</f>
        <v>Pieza</v>
      </c>
      <c r="D1951" s="28"/>
      <c r="E1951" s="28"/>
      <c r="F1951" s="28"/>
    </row>
    <row r="1952">
      <c r="A1952" s="28" t="str">
        <f>IFERROR(__xludf.DUMMYFUNCTION("""COMPUTED_VALUE"""),"3243-JUNFESGC")</f>
        <v>3243-JUNFESGC</v>
      </c>
      <c r="B1952" s="28" t="str">
        <f>IFERROR(__xludf.DUMMYFUNCTION("""COMPUTED_VALUE"""),"Vacaciones de invierno | Estación invierno")</f>
        <v>Vacaciones de invierno | Estación invierno</v>
      </c>
      <c r="C1952" s="28" t="str">
        <f>IFERROR(__xludf.DUMMYFUNCTION("""COMPUTED_VALUE"""),"Pieza")</f>
        <v>Pieza</v>
      </c>
      <c r="D1952" s="28"/>
      <c r="E1952" s="28"/>
      <c r="F1952" s="28"/>
    </row>
    <row r="1953">
      <c r="A1953" s="28" t="str">
        <f>IFERROR(__xludf.DUMMYFUNCTION("""COMPUTED_VALUE"""),"3336-JULJDGGC")</f>
        <v>3336-JULJDGGC</v>
      </c>
      <c r="B1953" s="28" t="str">
        <f>IFERROR(__xludf.DUMMYFUNCTION("""COMPUTED_VALUE"""),"Evento Urban Cities 2026")</f>
        <v>Evento Urban Cities 2026</v>
      </c>
      <c r="C1953" s="28" t="str">
        <f>IFERROR(__xludf.DUMMYFUNCTION("""COMPUTED_VALUE"""),"Pieza")</f>
        <v>Pieza</v>
      </c>
      <c r="D1953" s="28"/>
      <c r="E1953" s="28"/>
      <c r="F1953" s="28"/>
    </row>
    <row r="1954">
      <c r="A1954" s="28" t="str">
        <f>IFERROR(__xludf.DUMMYFUNCTION("""COMPUTED_VALUE"""),"3339-JULFESGC")</f>
        <v>3339-JULFESGC</v>
      </c>
      <c r="B1954" s="28" t="str">
        <f>IFERROR(__xludf.DUMMYFUNCTION("""COMPUTED_VALUE"""),"Día del Niño")</f>
        <v>Día del Niño</v>
      </c>
      <c r="C1954" s="28" t="str">
        <f>IFERROR(__xludf.DUMMYFUNCTION("""COMPUTED_VALUE"""),"Pieza")</f>
        <v>Pieza</v>
      </c>
      <c r="D1954" s="28"/>
      <c r="E1954" s="28"/>
      <c r="F1954" s="28"/>
    </row>
    <row r="1955">
      <c r="A1955" s="28" t="str">
        <f>IFERROR(__xludf.DUMMYFUNCTION("""COMPUTED_VALUE"""),"3369-JULVINGC")</f>
        <v>3369-JULVINGC</v>
      </c>
      <c r="B1955" s="28" t="str">
        <f>IFERROR(__xludf.DUMMYFUNCTION("""COMPUTED_VALUE"""),"OBRAS EN PARQUES Y PLAZAS (PATIOS DE JUEGOS) - PLAN 2026")</f>
        <v>OBRAS EN PARQUES Y PLAZAS (PATIOS DE JUEGOS) - PLAN 2026</v>
      </c>
      <c r="C1955" s="28" t="str">
        <f>IFERROR(__xludf.DUMMYFUNCTION("""COMPUTED_VALUE"""),"Pieza")</f>
        <v>Pieza</v>
      </c>
      <c r="D1955" s="28"/>
      <c r="E1955" s="28"/>
      <c r="F1955" s="28"/>
    </row>
    <row r="1956">
      <c r="A1956" s="28" t="str">
        <f>IFERROR(__xludf.DUMMYFUNCTION("""COMPUTED_VALUE"""),"3379-JULINFGC")</f>
        <v>3379-JULINFGC</v>
      </c>
      <c r="B1956" s="28" t="str">
        <f>IFERROR(__xludf.DUMMYFUNCTION("""COMPUTED_VALUE"""),"INFRAESTRUCTURA | CORTES Y DESVÍOS EN AU DELLEPIANE POR PASARELA PEATONAL ALBARIÑO
")</f>
        <v>INFRAESTRUCTURA | CORTES Y DESVÍOS EN AU DELLEPIANE POR PASARELA PEATONAL ALBARIÑO
</v>
      </c>
      <c r="C1956" s="28" t="str">
        <f>IFERROR(__xludf.DUMMYFUNCTION("""COMPUTED_VALUE"""),"Pieza")</f>
        <v>Pieza</v>
      </c>
      <c r="D1956" s="28"/>
      <c r="E1956" s="28"/>
      <c r="F1956" s="28"/>
    </row>
    <row r="1957">
      <c r="A1957" s="28" t="str">
        <f>IFERROR(__xludf.DUMMYFUNCTION("""COMPUTED_VALUE"""),"3381-JULINFGC")</f>
        <v>3381-JULINFGC</v>
      </c>
      <c r="B1957" s="28" t="str">
        <f>IFERROR(__xludf.DUMMYFUNCTION("""COMPUTED_VALUE"""),"CORTES Y DESVÍOS EN AV. CANTILO Y AU ILLIA")</f>
        <v>CORTES Y DESVÍOS EN AV. CANTILO Y AU ILLIA</v>
      </c>
      <c r="C1957" s="28" t="str">
        <f>IFERROR(__xludf.DUMMYFUNCTION("""COMPUTED_VALUE"""),"Pieza")</f>
        <v>Pieza</v>
      </c>
      <c r="D1957" s="28"/>
      <c r="E1957" s="28"/>
      <c r="F1957" s="28"/>
    </row>
    <row r="1958">
      <c r="A1958" s="28" t="str">
        <f>IFERROR(__xludf.DUMMYFUNCTION("""COMPUTED_VALUE"""),"3366-JULEPHVC")</f>
        <v>3366-JULEPHVC</v>
      </c>
      <c r="B1958" s="28" t="str">
        <f>IFERROR(__xludf.DUMMYFUNCTION("""COMPUTED_VALUE"""),"RDV MINISTROS | IGNACIO BAISTROCCHI 22/7 COMUNA 11")</f>
        <v>RDV MINISTROS | IGNACIO BAISTROCCHI 22/7 COMUNA 11</v>
      </c>
      <c r="C1958" s="28" t="str">
        <f>IFERROR(__xludf.DUMMYFUNCTION("""COMPUTED_VALUE"""),"Pieza")</f>
        <v>Pieza</v>
      </c>
      <c r="D1958" s="28"/>
      <c r="E1958" s="28"/>
      <c r="F1958" s="28"/>
    </row>
    <row r="1959">
      <c r="A1959" s="28" t="str">
        <f>IFERROR(__xludf.DUMMYFUNCTION("""COMPUTED_VALUE"""),"3372-JULSEGVC")</f>
        <v>3372-JULSEGVC</v>
      </c>
      <c r="B1959" s="28" t="str">
        <f>IFERROR(__xludf.DUMMYFUNCTION("""COMPUTED_VALUE"""),"RDV Ministros | Horacio Giménez 23/7 Comuna 10")</f>
        <v>RDV Ministros | Horacio Giménez 23/7 Comuna 10</v>
      </c>
      <c r="C1959" s="29" t="str">
        <f>IFERROR(__xludf.DUMMYFUNCTION("""COMPUTED_VALUE"""),"Pieza")</f>
        <v>Pieza</v>
      </c>
      <c r="D1959" s="28"/>
      <c r="E1959" s="28"/>
      <c r="F1959" s="28"/>
    </row>
    <row r="1960">
      <c r="A1960" s="28" t="str">
        <f>IFERROR(__xludf.DUMMYFUNCTION("""COMPUTED_VALUE"""),"3372-JULSEGVC")</f>
        <v>3372-JULSEGVC</v>
      </c>
      <c r="B1960" s="28" t="str">
        <f>IFERROR(__xludf.DUMMYFUNCTION("""COMPUTED_VALUE"""),"RDV Ministros | Horacio Giménez 23/7 Comuna 10")</f>
        <v>RDV Ministros | Horacio Giménez 23/7 Comuna 10</v>
      </c>
      <c r="C1960" s="28" t="str">
        <f>IFERROR(__xludf.DUMMYFUNCTION("""COMPUTED_VALUE"""),"Pieza")</f>
        <v>Pieza</v>
      </c>
      <c r="D1960" s="28"/>
      <c r="E1960" s="28"/>
      <c r="F1960" s="28"/>
    </row>
    <row r="1961">
      <c r="A1961" s="28" t="str">
        <f>IFERROR(__xludf.DUMMYFUNCTION("""COMPUTED_VALUE"""),"3373-JULSEGVC")</f>
        <v>3373-JULSEGVC</v>
      </c>
      <c r="B1961" s="28" t="str">
        <f>IFERROR(__xludf.DUMMYFUNCTION("""COMPUTED_VALUE"""),"RDV Ministros | Ruth Landerreche 23/7 Comuna 11")</f>
        <v>RDV Ministros | Ruth Landerreche 23/7 Comuna 11</v>
      </c>
      <c r="C1961" s="29" t="str">
        <f>IFERROR(__xludf.DUMMYFUNCTION("""COMPUTED_VALUE"""),"Pieza")</f>
        <v>Pieza</v>
      </c>
      <c r="D1961" s="28"/>
      <c r="E1961" s="28"/>
      <c r="F1961" s="28"/>
    </row>
    <row r="1962">
      <c r="A1962" s="28" t="str">
        <f>IFERROR(__xludf.DUMMYFUNCTION("""COMPUTED_VALUE"""),"3373-JULSEGVC")</f>
        <v>3373-JULSEGVC</v>
      </c>
      <c r="B1962" s="28" t="str">
        <f>IFERROR(__xludf.DUMMYFUNCTION("""COMPUTED_VALUE"""),"RDV Ministros | Ruth Landerreche 23/7 Comuna 11")</f>
        <v>RDV Ministros | Ruth Landerreche 23/7 Comuna 11</v>
      </c>
      <c r="C1962" s="28" t="str">
        <f>IFERROR(__xludf.DUMMYFUNCTION("""COMPUTED_VALUE"""),"Pieza")</f>
        <v>Pieza</v>
      </c>
      <c r="D1962" s="28"/>
      <c r="E1962" s="28"/>
      <c r="F1962" s="28"/>
    </row>
    <row r="1963">
      <c r="A1963" s="28" t="str">
        <f>IFERROR(__xludf.DUMMYFUNCTION("""COMPUTED_VALUE"""),"3385-JULVINGC")</f>
        <v>3385-JULVINGC</v>
      </c>
      <c r="B1963" s="28" t="str">
        <f>IFERROR(__xludf.DUMMYFUNCTION("""COMPUTED_VALUE"""),"Registro Civil - Vacunación menores 2 y 3 meses")</f>
        <v>Registro Civil - Vacunación menores 2 y 3 meses</v>
      </c>
      <c r="C1963" s="28"/>
      <c r="D1963" s="28"/>
      <c r="E1963" s="28"/>
      <c r="F1963" s="28"/>
    </row>
    <row r="1964">
      <c r="A1964" s="28" t="str">
        <f>IFERROR(__xludf.DUMMYFUNCTION("""COMPUTED_VALUE"""),"3393-JULVINGC")</f>
        <v>3393-JULVINGC</v>
      </c>
      <c r="B1964" s="28" t="str">
        <f>IFERROR(__xludf.DUMMYFUNCTION("""COMPUTED_VALUE"""),"Registro Civil - Vacunación menores 4 y 5 meses")</f>
        <v>Registro Civil - Vacunación menores 4 y 5 meses</v>
      </c>
      <c r="C1964" s="28"/>
      <c r="D1964" s="28"/>
      <c r="E1964" s="28"/>
      <c r="F1964" s="28"/>
    </row>
    <row r="1965">
      <c r="A1965" s="28" t="str">
        <f>IFERROR(__xludf.DUMMYFUNCTION("""COMPUTED_VALUE"""),"3394-JULVINGC")</f>
        <v>3394-JULVINGC</v>
      </c>
      <c r="B1965" s="28" t="str">
        <f>IFERROR(__xludf.DUMMYFUNCTION("""COMPUTED_VALUE"""),"Registro Civil - Vacunación menores 6 a 11 meses")</f>
        <v>Registro Civil - Vacunación menores 6 a 11 meses</v>
      </c>
      <c r="C1965" s="28"/>
      <c r="D1965" s="28"/>
      <c r="E1965" s="28"/>
      <c r="F1965" s="28"/>
    </row>
    <row r="1966">
      <c r="A1966" s="28" t="str">
        <f>IFERROR(__xludf.DUMMYFUNCTION("""COMPUTED_VALUE"""),"3396-JULVINGC")</f>
        <v>3396-JULVINGC</v>
      </c>
      <c r="B1966" s="28" t="str">
        <f>IFERROR(__xludf.DUMMYFUNCTION("""COMPUTED_VALUE"""),"Registro Civil - Vacunación menores 5 años")</f>
        <v>Registro Civil - Vacunación menores 5 años</v>
      </c>
      <c r="C1966" s="28"/>
      <c r="D1966" s="28"/>
      <c r="E1966" s="28"/>
      <c r="F1966" s="28"/>
    </row>
    <row r="1967">
      <c r="A1967" s="28" t="str">
        <f>IFERROR(__xludf.DUMMYFUNCTION("""COMPUTED_VALUE"""),"3395-JULVINGC")</f>
        <v>3395-JULVINGC</v>
      </c>
      <c r="B1967" s="28" t="str">
        <f>IFERROR(__xludf.DUMMYFUNCTION("""COMPUTED_VALUE"""),"Registro Civil - Vacunación menores 12 a 23 meses")</f>
        <v>Registro Civil - Vacunación menores 12 a 23 meses</v>
      </c>
      <c r="C1967" s="28"/>
      <c r="D1967" s="28"/>
      <c r="E1967" s="28"/>
      <c r="F1967" s="28"/>
    </row>
    <row r="1968">
      <c r="A1968" s="28" t="str">
        <f>IFERROR(__xludf.DUMMYFUNCTION("""COMPUTED_VALUE"""),"3397-JULVINGC")</f>
        <v>3397-JULVINGC</v>
      </c>
      <c r="B1968" s="28" t="str">
        <f>IFERROR(__xludf.DUMMYFUNCTION("""COMPUTED_VALUE"""),"Registro Civil - Vacunación menores 11 años")</f>
        <v>Registro Civil - Vacunación menores 11 años</v>
      </c>
      <c r="C1968" s="28"/>
      <c r="D1968" s="28"/>
      <c r="E1968" s="28"/>
      <c r="F1968" s="28"/>
    </row>
    <row r="1969">
      <c r="A1969" s="28" t="str">
        <f>IFERROR(__xludf.DUMMYFUNCTION("""COMPUTED_VALUE"""),"3398-JULVINGC")</f>
        <v>3398-JULVINGC</v>
      </c>
      <c r="B1969" s="28" t="str">
        <f>IFERROR(__xludf.DUMMYFUNCTION("""COMPUTED_VALUE"""),"Registro Civil - Vacunación Adulto Mayores 65 años")</f>
        <v>Registro Civil - Vacunación Adulto Mayores 65 años</v>
      </c>
      <c r="C1969" s="28"/>
      <c r="D1969" s="28"/>
      <c r="E1969" s="28"/>
      <c r="F1969" s="28"/>
    </row>
    <row r="1970">
      <c r="A1970" s="28" t="str">
        <f>IFERROR(__xludf.DUMMYFUNCTION("""COMPUTED_VALUE"""),"3383-JULVINGC")</f>
        <v>3383-JULVINGC</v>
      </c>
      <c r="B1970" s="28" t="str">
        <f>IFERROR(__xludf.DUMMYFUNCTION("""COMPUTED_VALUE"""),"Registro Civil - Renovación DNI - 5 años")</f>
        <v>Registro Civil - Renovación DNI - 5 años</v>
      </c>
      <c r="C1970" s="28"/>
      <c r="D1970" s="28"/>
      <c r="E1970" s="28"/>
      <c r="F1970" s="28"/>
    </row>
    <row r="1971">
      <c r="A1971" s="28" t="str">
        <f>IFERROR(__xludf.DUMMYFUNCTION("""COMPUTED_VALUE"""),"3392-JULVINGC")</f>
        <v>3392-JULVINGC</v>
      </c>
      <c r="B1971" s="28" t="str">
        <f>IFERROR(__xludf.DUMMYFUNCTION("""COMPUTED_VALUE"""),"Registro Civil - Renovación DNI - 14 años")</f>
        <v>Registro Civil - Renovación DNI - 14 años</v>
      </c>
      <c r="C1971" s="28"/>
      <c r="D1971" s="28"/>
      <c r="E1971" s="28"/>
      <c r="F1971" s="28"/>
    </row>
    <row r="1972">
      <c r="A1972" s="28" t="str">
        <f>IFERROR(__xludf.DUMMYFUNCTION("""COMPUTED_VALUE"""),"3386-JULVINGC")</f>
        <v>3386-JULVINGC</v>
      </c>
      <c r="B1972" s="28" t="str">
        <f>IFERROR(__xludf.DUMMYFUNCTION("""COMPUTED_VALUE"""),"Registro Civil - Matrimonio")</f>
        <v>Registro Civil - Matrimonio</v>
      </c>
      <c r="C1972" s="28"/>
      <c r="D1972" s="28"/>
      <c r="E1972" s="28"/>
      <c r="F1972" s="28"/>
    </row>
    <row r="1973">
      <c r="A1973" s="28" t="str">
        <f>IFERROR(__xludf.DUMMYFUNCTION("""COMPUTED_VALUE"""),"3384-JULVINGC")</f>
        <v>3384-JULVINGC</v>
      </c>
      <c r="B1973" s="28" t="str">
        <f>IFERROR(__xludf.DUMMYFUNCTION("""COMPUTED_VALUE"""),"Registro Civil - Renovación DNI - Nacimientos")</f>
        <v>Registro Civil - Renovación DNI - Nacimientos</v>
      </c>
      <c r="C1973" s="28"/>
      <c r="D1973" s="28"/>
      <c r="E1973" s="28"/>
      <c r="F1973" s="28"/>
    </row>
    <row r="1974">
      <c r="A1974" s="28" t="str">
        <f>IFERROR(__xludf.DUMMYFUNCTION("""COMPUTED_VALUE"""),"2746-MARDECGC")</f>
        <v>2746-MARDECGC</v>
      </c>
      <c r="B1974" s="28" t="str">
        <f>IFERROR(__xludf.DUMMYFUNCTION("""COMPUTED_VALUE"""),"Anuncio Créditos Hipotecarios")</f>
        <v>Anuncio Créditos Hipotecarios</v>
      </c>
      <c r="C1974" s="29" t="str">
        <f>IFERROR(__xludf.DUMMYFUNCTION("""COMPUTED_VALUE"""),"Pieza")</f>
        <v>Pieza</v>
      </c>
      <c r="D1974" s="28"/>
      <c r="E1974" s="28"/>
      <c r="F1974" s="28"/>
    </row>
    <row r="1975">
      <c r="A1975" s="28" t="str">
        <f>IFERROR(__xludf.DUMMYFUNCTION("""COMPUTED_VALUE"""),"3289-JUNJDGAG")</f>
        <v>3289-JUNJDGAG</v>
      </c>
      <c r="B1975" s="28" t="str">
        <f>IFERROR(__xludf.DUMMYFUNCTION("""COMPUTED_VALUE"""),"PRIMERA PERSONA | JM | PAULA PARETTO 27/7")</f>
        <v>PRIMERA PERSONA | JM | PAULA PARETTO 27/7</v>
      </c>
      <c r="C1975" s="29" t="str">
        <f>IFERROR(__xludf.DUMMYFUNCTION("""COMPUTED_VALUE"""),"Pieza")</f>
        <v>Pieza</v>
      </c>
      <c r="D1975" s="28"/>
      <c r="E1975" s="28"/>
      <c r="F1975" s="28"/>
    </row>
    <row r="1976">
      <c r="A1976" s="28" t="str">
        <f>IFERROR(__xludf.DUMMYFUNCTION("""COMPUTED_VALUE"""),"3289-JUNJDGAG")</f>
        <v>3289-JUNJDGAG</v>
      </c>
      <c r="B1976" s="28" t="str">
        <f>IFERROR(__xludf.DUMMYFUNCTION("""COMPUTED_VALUE"""),"PRIMERA PERSONA | JM | PAULA PARETTO 27/7")</f>
        <v>PRIMERA PERSONA | JM | PAULA PARETTO 27/7</v>
      </c>
      <c r="C1976" s="28"/>
      <c r="D1976" s="28"/>
      <c r="E1976" s="28"/>
      <c r="F1976" s="28"/>
    </row>
    <row r="1977">
      <c r="A1977" s="28" t="str">
        <f>IFERROR(__xludf.DUMMYFUNCTION("""COMPUTED_VALUE"""),"3289-JUNJDGAG")</f>
        <v>3289-JUNJDGAG</v>
      </c>
      <c r="B1977" s="28" t="str">
        <f>IFERROR(__xludf.DUMMYFUNCTION("""COMPUTED_VALUE"""),"PRIMERA PERSONA | JM | PAULA PARETTO 27/7")</f>
        <v>PRIMERA PERSONA | JM | PAULA PARETTO 27/7</v>
      </c>
      <c r="C1977" s="28"/>
      <c r="D1977" s="28"/>
      <c r="E1977" s="28"/>
      <c r="F1977" s="28"/>
    </row>
    <row r="1978">
      <c r="A1978" s="28" t="str">
        <f>IFERROR(__xludf.DUMMYFUNCTION("""COMPUTED_VALUE"""),"3268-JUNHYFGC")</f>
        <v>3268-JUNHYFGC</v>
      </c>
      <c r="B1978" s="28" t="str">
        <f>IFERROR(__xludf.DUMMYFUNCTION("""COMPUTED_VALUE"""),"Créditos Hipotecarios UVA “Ciudad Primera Vivienda”,")</f>
        <v>Créditos Hipotecarios UVA “Ciudad Primera Vivienda”,</v>
      </c>
      <c r="C1978" s="28"/>
      <c r="D1978" s="28"/>
      <c r="E1978" s="28"/>
      <c r="F1978" s="28"/>
    </row>
    <row r="1979">
      <c r="A1979" s="28" t="str">
        <f>IFERROR(__xludf.DUMMYFUNCTION("""COMPUTED_VALUE"""),"3340-JULAMBVC")</f>
        <v>3340-JULAMBVC</v>
      </c>
      <c r="B1979" s="28" t="str">
        <f>IFERROR(__xludf.DUMMYFUNCTION("""COMPUTED_VALUE"""),"RDV Ministros | Clara Muzzio - 17/7 - Temática")</f>
        <v>RDV Ministros | Clara Muzzio - 17/7 - Temática</v>
      </c>
      <c r="C1979" s="29" t="str">
        <f>IFERROR(__xludf.DUMMYFUNCTION("""COMPUTED_VALUE"""),"Pieza")</f>
        <v>Pieza</v>
      </c>
      <c r="D1979" s="28"/>
      <c r="E1979" s="28"/>
      <c r="F1979" s="28"/>
    </row>
    <row r="1980">
      <c r="A1980" s="28" t="str">
        <f>IFERROR(__xludf.DUMMYFUNCTION("""COMPUTED_VALUE"""),"3356-JULDHHGC")</f>
        <v>3356-JULDHHGC</v>
      </c>
      <c r="B1980" s="28" t="str">
        <f>IFERROR(__xludf.DUMMYFUNCTION("""COMPUTED_VALUE"""),"RDV Ministros | Gabriel Mraida - 24/7")</f>
        <v>RDV Ministros | Gabriel Mraida - 24/7</v>
      </c>
      <c r="C1980" s="28" t="str">
        <f>IFERROR(__xludf.DUMMYFUNCTION("""COMPUTED_VALUE"""),"Pieza")</f>
        <v>Pieza</v>
      </c>
      <c r="D1980" s="28"/>
      <c r="E1980" s="28"/>
      <c r="F1980" s="28"/>
    </row>
    <row r="1981">
      <c r="A1981" s="28" t="str">
        <f>IFERROR(__xludf.DUMMYFUNCTION("""COMPUTED_VALUE"""),"3356-JULDHHGC")</f>
        <v>3356-JULDHHGC</v>
      </c>
      <c r="B1981" s="28" t="str">
        <f>IFERROR(__xludf.DUMMYFUNCTION("""COMPUTED_VALUE"""),"RDV Ministros | Gabriel Mraida - 24/7")</f>
        <v>RDV Ministros | Gabriel Mraida - 24/7</v>
      </c>
      <c r="C1981" s="28" t="str">
        <f>IFERROR(__xludf.DUMMYFUNCTION("""COMPUTED_VALUE"""),"Pieza")</f>
        <v>Pieza</v>
      </c>
      <c r="D1981" s="28"/>
      <c r="E1981" s="28"/>
      <c r="F1981" s="28"/>
    </row>
    <row r="1982">
      <c r="A1982" s="28" t="str">
        <f>IFERROR(__xludf.DUMMYFUNCTION("""COMPUTED_VALUE"""),"3370-JULSEGVC")</f>
        <v>3370-JULSEGVC</v>
      </c>
      <c r="B1982" s="28" t="str">
        <f>IFERROR(__xludf.DUMMYFUNCTION("""COMPUTED_VALUE"""),"RDV Ministros | Gabino Tapia 23/7 Comuna 8")</f>
        <v>RDV Ministros | Gabino Tapia 23/7 Comuna 8</v>
      </c>
      <c r="C1982" s="28"/>
      <c r="D1982" s="28"/>
      <c r="E1982" s="28"/>
      <c r="F1982" s="28"/>
    </row>
    <row r="1983">
      <c r="A1983" s="28" t="str">
        <f>IFERROR(__xludf.DUMMYFUNCTION("""COMPUTED_VALUE"""),"3370-JULSEGVC")</f>
        <v>3370-JULSEGVC</v>
      </c>
      <c r="B1983" s="28" t="str">
        <f>IFERROR(__xludf.DUMMYFUNCTION("""COMPUTED_VALUE"""),"RDV Ministros | Gabino Tapia 23/7 Comuna 8")</f>
        <v>RDV Ministros | Gabino Tapia 23/7 Comuna 8</v>
      </c>
      <c r="C1983" s="28"/>
      <c r="D1983" s="28"/>
      <c r="E1983" s="28"/>
      <c r="F1983" s="28"/>
    </row>
    <row r="1984">
      <c r="A1984" s="28" t="str">
        <f>IFERROR(__xludf.DUMMYFUNCTION("""COMPUTED_VALUE"""),"3370-JULSEGVC")</f>
        <v>3370-JULSEGVC</v>
      </c>
      <c r="B1984" s="28" t="str">
        <f>IFERROR(__xludf.DUMMYFUNCTION("""COMPUTED_VALUE"""),"RDV Ministros | Gabino Tapia 23/7 Comuna 8")</f>
        <v>RDV Ministros | Gabino Tapia 23/7 Comuna 8</v>
      </c>
      <c r="C1984" s="28"/>
      <c r="D1984" s="28"/>
      <c r="E1984" s="28"/>
      <c r="F1984" s="28"/>
    </row>
    <row r="1985">
      <c r="A1985" s="28" t="str">
        <f>IFERROR(__xludf.DUMMYFUNCTION("""COMPUTED_VALUE"""),"3327-JULSALGC")</f>
        <v>3327-JULSALGC</v>
      </c>
      <c r="B1985" s="28" t="str">
        <f>IFERROR(__xludf.DUMMYFUNCTION("""COMPUTED_VALUE"""),"Salud | Inauguración Centro de Diagnóstico Porteño en Palermo")</f>
        <v>Salud | Inauguración Centro de Diagnóstico Porteño en Palermo</v>
      </c>
      <c r="C1985" s="28"/>
      <c r="D1985" s="28"/>
      <c r="E1985" s="28"/>
      <c r="F1985" s="28"/>
    </row>
    <row r="1986">
      <c r="A1986" s="28" t="str">
        <f>IFERROR(__xludf.DUMMYFUNCTION("""COMPUTED_VALUE"""),"3351-JULCULGC")</f>
        <v>3351-JULCULGC</v>
      </c>
      <c r="B1986" s="28" t="str">
        <f>IFERROR(__xludf.DUMMYFUNCTION("""COMPUTED_VALUE"""),"Vacaciones de invierno | Actividades en Museos")</f>
        <v>Vacaciones de invierno | Actividades en Museos</v>
      </c>
      <c r="C1986" s="29" t="str">
        <f>IFERROR(__xludf.DUMMYFUNCTION("""COMPUTED_VALUE"""),"Pieza")</f>
        <v>Pieza</v>
      </c>
      <c r="D1986" s="28"/>
      <c r="E1986" s="28"/>
      <c r="F1986" s="28"/>
    </row>
    <row r="1987">
      <c r="A1987" s="28" t="str">
        <f>IFERROR(__xludf.DUMMYFUNCTION("""COMPUTED_VALUE"""),"3327-JULSALGC")</f>
        <v>3327-JULSALGC</v>
      </c>
      <c r="B1987" s="28" t="str">
        <f>IFERROR(__xludf.DUMMYFUNCTION("""COMPUTED_VALUE"""),"Salud | Inauguración Centro de Diagnóstico Porteño en Palermo")</f>
        <v>Salud | Inauguración Centro de Diagnóstico Porteño en Palermo</v>
      </c>
      <c r="C1987" s="28"/>
      <c r="D1987" s="28"/>
      <c r="E1987" s="28"/>
      <c r="F1987" s="28"/>
    </row>
    <row r="1988">
      <c r="A1988" s="28" t="str">
        <f>IFERROR(__xludf.DUMMYFUNCTION("""COMPUTED_VALUE"""),"3356-JULDHHGC")</f>
        <v>3356-JULDHHGC</v>
      </c>
      <c r="B1988" s="28" t="str">
        <f>IFERROR(__xludf.DUMMYFUNCTION("""COMPUTED_VALUE"""),"RDV Ministros | Gabriel Mraida - 24/7")</f>
        <v>RDV Ministros | Gabriel Mraida - 24/7</v>
      </c>
      <c r="C1988" s="28"/>
      <c r="D1988" s="28"/>
      <c r="E1988" s="28"/>
      <c r="F1988" s="28"/>
    </row>
    <row r="1989">
      <c r="A1989" s="28" t="str">
        <f>IFERROR(__xludf.DUMMYFUNCTION("""COMPUTED_VALUE"""),"3387-JULJDGGC")</f>
        <v>3387-JULJDGGC</v>
      </c>
      <c r="B1989" s="28" t="str">
        <f>IFERROR(__xludf.DUMMYFUNCTION("""COMPUTED_VALUE"""),"TE CUENTO BS AS JM | 28/7 ORDEN PÚBLICO EJE NORTE")</f>
        <v>TE CUENTO BS AS JM | 28/7 ORDEN PÚBLICO EJE NORTE</v>
      </c>
      <c r="C1989" s="29" t="str">
        <f>IFERROR(__xludf.DUMMYFUNCTION("""COMPUTED_VALUE"""),"Pieza")</f>
        <v>Pieza</v>
      </c>
      <c r="D1989" s="28"/>
      <c r="E1989" s="28"/>
      <c r="F1989" s="28"/>
    </row>
    <row r="1990">
      <c r="A1990" s="28" t="str">
        <f>IFERROR(__xludf.DUMMYFUNCTION("""COMPUTED_VALUE"""),"3387-JULJDGGC")</f>
        <v>3387-JULJDGGC</v>
      </c>
      <c r="B1990" s="28" t="str">
        <f>IFERROR(__xludf.DUMMYFUNCTION("""COMPUTED_VALUE"""),"TE CUENTO BS AS JM | 28/7 ORDEN PÚBLICO EJE NORTE")</f>
        <v>TE CUENTO BS AS JM | 28/7 ORDEN PÚBLICO EJE NORTE</v>
      </c>
      <c r="C1990" s="29" t="str">
        <f>IFERROR(__xludf.DUMMYFUNCTION("""COMPUTED_VALUE"""),"Pieza")</f>
        <v>Pieza</v>
      </c>
      <c r="D1990" s="28"/>
      <c r="E1990" s="28"/>
      <c r="F1990" s="28"/>
    </row>
    <row r="1991">
      <c r="A1991" s="28" t="str">
        <f>IFERROR(__xludf.DUMMYFUNCTION("""COMPUTED_VALUE"""),"3362-JULCULGC")</f>
        <v>3362-JULCULGC</v>
      </c>
      <c r="B1991" s="28" t="str">
        <f>IFERROR(__xludf.DUMMYFUNCTION("""COMPUTED_VALUE"""),"Vacaciones de invierno | Ambiente | Paseo Ambiental del sur")</f>
        <v>Vacaciones de invierno | Ambiente | Paseo Ambiental del sur</v>
      </c>
      <c r="C1991" s="28" t="str">
        <f>IFERROR(__xludf.DUMMYFUNCTION("""COMPUTED_VALUE"""),"Pieza")</f>
        <v>Pieza</v>
      </c>
      <c r="D1991" s="28"/>
      <c r="E1991" s="28"/>
      <c r="F1991" s="28"/>
    </row>
    <row r="1992">
      <c r="A1992" s="28" t="str">
        <f>IFERROR(__xludf.DUMMYFUNCTION("""COMPUTED_VALUE"""),"3353-JULCULGC")</f>
        <v>3353-JULCULGC</v>
      </c>
      <c r="B1992" s="28" t="str">
        <f>IFERROR(__xludf.DUMMYFUNCTION("""COMPUTED_VALUE"""),"Vacaciones de invierno | Actividades en Espacios Culturales")</f>
        <v>Vacaciones de invierno | Actividades en Espacios Culturales</v>
      </c>
      <c r="C1992" s="29" t="str">
        <f>IFERROR(__xludf.DUMMYFUNCTION("""COMPUTED_VALUE"""),"Pieza")</f>
        <v>Pieza</v>
      </c>
      <c r="D1992" s="28"/>
      <c r="E1992" s="28"/>
      <c r="F1992" s="28"/>
    </row>
    <row r="1993">
      <c r="A1993" s="28" t="str">
        <f>IFERROR(__xludf.DUMMYFUNCTION("""COMPUTED_VALUE"""),"3327-JULSALGC")</f>
        <v>3327-JULSALGC</v>
      </c>
      <c r="B1993" s="28" t="str">
        <f>IFERROR(__xludf.DUMMYFUNCTION("""COMPUTED_VALUE"""),"Salud | Inauguración Centro de Diagnóstico Porteño en Palermo")</f>
        <v>Salud | Inauguración Centro de Diagnóstico Porteño en Palermo</v>
      </c>
      <c r="C1993" s="28"/>
      <c r="D1993" s="28"/>
      <c r="E1993" s="28"/>
      <c r="F1993" s="28"/>
    </row>
    <row r="1994">
      <c r="A1994" s="28" t="str">
        <f>IFERROR(__xludf.DUMMYFUNCTION("""COMPUTED_VALUE"""),"3327-JULSALGC")</f>
        <v>3327-JULSALGC</v>
      </c>
      <c r="B1994" s="28" t="str">
        <f>IFERROR(__xludf.DUMMYFUNCTION("""COMPUTED_VALUE"""),"Salud | Inauguración Centro de Diagnóstico Porteño en Palermo")</f>
        <v>Salud | Inauguración Centro de Diagnóstico Porteño en Palermo</v>
      </c>
      <c r="C1994" s="28"/>
      <c r="D1994" s="28"/>
      <c r="E1994" s="28"/>
      <c r="F1994" s="28"/>
    </row>
    <row r="1995">
      <c r="A1995" s="28" t="str">
        <f>IFERROR(__xludf.DUMMYFUNCTION("""COMPUTED_VALUE"""),"3380-JULJDGVC")</f>
        <v>3380-JULJDGVC</v>
      </c>
      <c r="B1995" s="28"/>
      <c r="C1995" s="28" t="str">
        <f>IFERROR(__xludf.DUMMYFUNCTION("""COMPUTED_VALUE"""),"Pieza")</f>
        <v>Pieza</v>
      </c>
      <c r="D1995" s="28"/>
      <c r="E1995" s="28"/>
      <c r="F1995" s="28"/>
    </row>
    <row r="1996">
      <c r="A1996" s="28" t="str">
        <f>IFERROR(__xludf.DUMMYFUNCTION("""COMPUTED_VALUE"""),"3380-JULJDGVC")</f>
        <v>3380-JULJDGVC</v>
      </c>
      <c r="B1996" s="28"/>
      <c r="C1996" s="28" t="str">
        <f>IFERROR(__xludf.DUMMYFUNCTION("""COMPUTED_VALUE"""),"Pieza")</f>
        <v>Pieza</v>
      </c>
      <c r="D1996" s="28"/>
      <c r="E1996" s="28"/>
      <c r="F1996" s="28"/>
    </row>
    <row r="1997">
      <c r="A1997" s="28" t="str">
        <f>IFERROR(__xludf.DUMMYFUNCTION("""COMPUTED_VALUE"""),"3380-JULJDGVC")</f>
        <v>3380-JULJDGVC</v>
      </c>
      <c r="B1997" s="28"/>
      <c r="C1997" s="28" t="str">
        <f>IFERROR(__xludf.DUMMYFUNCTION("""COMPUTED_VALUE"""),"Pieza")</f>
        <v>Pieza</v>
      </c>
      <c r="D1997" s="28"/>
      <c r="E1997" s="28"/>
      <c r="F1997" s="28"/>
    </row>
    <row r="1998">
      <c r="A1998" s="28" t="str">
        <f>IFERROR(__xludf.DUMMYFUNCTION("""COMPUTED_VALUE"""),"3369-JULVINGC")</f>
        <v>3369-JULVINGC</v>
      </c>
      <c r="B1998" s="28"/>
      <c r="C1998" s="29" t="str">
        <f>IFERROR(__xludf.DUMMYFUNCTION("""COMPUTED_VALUE"""),"Pieza")</f>
        <v>Pieza</v>
      </c>
      <c r="D1998" s="28"/>
      <c r="E1998" s="28"/>
      <c r="F1998" s="28"/>
    </row>
    <row r="1999">
      <c r="A1999" s="28" t="str">
        <f>IFERROR(__xludf.DUMMYFUNCTION("""COMPUTED_VALUE"""),"3399-JULVINGC")</f>
        <v>3399-JULVINGC</v>
      </c>
      <c r="B1999" s="28"/>
      <c r="C1999" s="28"/>
      <c r="D1999" s="28"/>
      <c r="E1999" s="28"/>
      <c r="F1999" s="28"/>
    </row>
    <row r="2000">
      <c r="A2000" s="28" t="str">
        <f>IFERROR(__xludf.DUMMYFUNCTION("""COMPUTED_VALUE"""),"3400-JULVINGC")</f>
        <v>3400-JULVINGC</v>
      </c>
      <c r="B2000" s="28"/>
      <c r="C2000" s="28"/>
      <c r="D2000" s="28"/>
      <c r="E2000" s="28"/>
      <c r="F2000" s="28"/>
    </row>
    <row r="2001">
      <c r="A2001" s="28" t="str">
        <f>IFERROR(__xludf.DUMMYFUNCTION("""COMPUTED_VALUE"""),"3401-JULVINGC")</f>
        <v>3401-JULVINGC</v>
      </c>
      <c r="B2001" s="28"/>
      <c r="C2001" s="28"/>
      <c r="D2001" s="28"/>
      <c r="E2001" s="28"/>
      <c r="F2001" s="28"/>
    </row>
    <row r="2002">
      <c r="A2002" s="28" t="str">
        <f>IFERROR(__xludf.DUMMYFUNCTION("""COMPUTED_VALUE"""),"3402-JULVINGC")</f>
        <v>3402-JULVINGC</v>
      </c>
      <c r="B2002" s="28"/>
      <c r="C2002" s="28"/>
    </row>
    <row r="2003">
      <c r="A2003" s="28" t="str">
        <f>IFERROR(__xludf.DUMMYFUNCTION("""COMPUTED_VALUE"""),"3403-JULVINGC")</f>
        <v>3403-JULVINGC</v>
      </c>
      <c r="B2003" s="28"/>
      <c r="C2003" s="28"/>
    </row>
    <row r="2004">
      <c r="A2004" s="28" t="str">
        <f>IFERROR(__xludf.DUMMYFUNCTION("""COMPUTED_VALUE"""),"3327-JULSALGC")</f>
        <v>3327-JULSALGC</v>
      </c>
      <c r="B2004" s="28"/>
      <c r="C2004" s="28"/>
    </row>
    <row r="2005">
      <c r="A2005" s="28" t="str">
        <f>IFERROR(__xludf.DUMMYFUNCTION("""COMPUTED_VALUE"""),"3388-JULAMBVC")</f>
        <v>3388-JULAMBVC</v>
      </c>
      <c r="B2005" s="28"/>
      <c r="C2005" s="28"/>
    </row>
    <row r="2006">
      <c r="A2006" s="28"/>
      <c r="B2006" s="28"/>
      <c r="C2006" s="28"/>
    </row>
    <row r="2007">
      <c r="A2007" s="28"/>
      <c r="B2007" s="28"/>
      <c r="C2007" s="28"/>
    </row>
    <row r="2008">
      <c r="A2008" s="28"/>
      <c r="B2008" s="28"/>
      <c r="C2008" s="28"/>
    </row>
    <row r="2009">
      <c r="A2009" s="28"/>
      <c r="B2009" s="28"/>
      <c r="C2009" s="28"/>
    </row>
    <row r="2010">
      <c r="A2010" s="28"/>
      <c r="B2010" s="28"/>
      <c r="C2010" s="28"/>
    </row>
    <row r="2011">
      <c r="A2011" s="28"/>
      <c r="B2011" s="28"/>
      <c r="C2011" s="28"/>
    </row>
    <row r="2012">
      <c r="A2012" s="28"/>
      <c r="B2012" s="28"/>
      <c r="C2012" s="28"/>
    </row>
    <row r="2013">
      <c r="A2013" s="28"/>
      <c r="B2013" s="28"/>
      <c r="C2013" s="28"/>
    </row>
    <row r="2014">
      <c r="A2014" s="28"/>
      <c r="B2014" s="28"/>
      <c r="C2014" s="28"/>
    </row>
    <row r="2015">
      <c r="A2015" s="28"/>
      <c r="B2015" s="28"/>
      <c r="C2015" s="28"/>
    </row>
    <row r="2016">
      <c r="A2016" s="28"/>
      <c r="B2016" s="28"/>
      <c r="C2016" s="28"/>
    </row>
    <row r="2017">
      <c r="A2017" s="28"/>
      <c r="B2017" s="28"/>
      <c r="C2017" s="28"/>
    </row>
    <row r="2018">
      <c r="A2018" s="28"/>
      <c r="B2018" s="28"/>
      <c r="C2018" s="28"/>
    </row>
    <row r="2019">
      <c r="A2019" s="28"/>
      <c r="B2019" s="28"/>
      <c r="C2019" s="28"/>
    </row>
    <row r="2020">
      <c r="A2020" s="28"/>
      <c r="B2020" s="28"/>
      <c r="C2020" s="28"/>
    </row>
    <row r="2021">
      <c r="A2021" s="28"/>
      <c r="B2021" s="28"/>
      <c r="C2021" s="28"/>
    </row>
    <row r="2022">
      <c r="A2022" s="28"/>
      <c r="B2022" s="28"/>
      <c r="C2022" s="28"/>
    </row>
    <row r="2023">
      <c r="A2023" s="28"/>
      <c r="B2023" s="28"/>
      <c r="C2023" s="28"/>
    </row>
    <row r="2024">
      <c r="A2024" s="28"/>
      <c r="B2024" s="28"/>
      <c r="C2024" s="28"/>
    </row>
    <row r="2025">
      <c r="A2025" s="28"/>
      <c r="B2025" s="28"/>
      <c r="C2025" s="28"/>
    </row>
    <row r="2026">
      <c r="A2026" s="28"/>
      <c r="B2026" s="28"/>
      <c r="C2026" s="28"/>
    </row>
    <row r="2027">
      <c r="A2027" s="28"/>
      <c r="B2027" s="28"/>
      <c r="C2027" s="28"/>
    </row>
    <row r="2028">
      <c r="A2028" s="28"/>
      <c r="B2028" s="28"/>
      <c r="C2028" s="28"/>
    </row>
    <row r="2029">
      <c r="A2029" s="28"/>
      <c r="B2029" s="28"/>
      <c r="C2029" s="28"/>
    </row>
    <row r="2030">
      <c r="A2030" s="28"/>
      <c r="B2030" s="28"/>
      <c r="C2030" s="28"/>
    </row>
    <row r="2031">
      <c r="A2031" s="28"/>
      <c r="B2031" s="28"/>
      <c r="C2031" s="28"/>
    </row>
    <row r="2032">
      <c r="A2032" s="28"/>
      <c r="B2032" s="28"/>
      <c r="C2032" s="28"/>
    </row>
    <row r="2033">
      <c r="A2033" s="28"/>
      <c r="B2033" s="28"/>
      <c r="C2033" s="28"/>
    </row>
    <row r="2034">
      <c r="A2034" s="28"/>
      <c r="B2034" s="28"/>
      <c r="C2034" s="28"/>
    </row>
    <row r="2035">
      <c r="A2035" s="28"/>
      <c r="B2035" s="28"/>
      <c r="C2035" s="28"/>
    </row>
    <row r="2036">
      <c r="A2036" s="28"/>
      <c r="B2036" s="28"/>
      <c r="C2036" s="28"/>
    </row>
    <row r="2037">
      <c r="A2037" s="28"/>
      <c r="B2037" s="28"/>
      <c r="C2037" s="28"/>
    </row>
    <row r="2038">
      <c r="A2038" s="28"/>
      <c r="B2038" s="28"/>
      <c r="C2038" s="28"/>
    </row>
    <row r="2039">
      <c r="A2039" s="28"/>
      <c r="B2039" s="28"/>
      <c r="C2039" s="28"/>
    </row>
    <row r="2040">
      <c r="A2040" s="28"/>
      <c r="B2040" s="28"/>
      <c r="C2040" s="28"/>
    </row>
    <row r="2041">
      <c r="A2041" s="28"/>
      <c r="B2041" s="28"/>
      <c r="C2041" s="28"/>
    </row>
    <row r="2042">
      <c r="A2042" s="28"/>
      <c r="B2042" s="28"/>
      <c r="C2042" s="28"/>
    </row>
    <row r="2043">
      <c r="A2043" s="28"/>
      <c r="B2043" s="28"/>
      <c r="C2043" s="28"/>
    </row>
    <row r="2044">
      <c r="A2044" s="28"/>
      <c r="B2044" s="28"/>
      <c r="C2044" s="28"/>
    </row>
    <row r="2045">
      <c r="A2045" s="28"/>
      <c r="B2045" s="28"/>
      <c r="C2045" s="28"/>
    </row>
    <row r="2046">
      <c r="A2046" s="28"/>
      <c r="B2046" s="28"/>
      <c r="C2046" s="28"/>
    </row>
    <row r="2047">
      <c r="A2047" s="28"/>
      <c r="B2047" s="28"/>
      <c r="C2047" s="28"/>
    </row>
    <row r="2048">
      <c r="A2048" s="28"/>
      <c r="B2048" s="28"/>
      <c r="C2048" s="28"/>
    </row>
    <row r="2049">
      <c r="A2049" s="28"/>
      <c r="B2049" s="28"/>
      <c r="C2049" s="28"/>
    </row>
    <row r="2050">
      <c r="A2050" s="28"/>
      <c r="B2050" s="28"/>
      <c r="C2050" s="28"/>
    </row>
    <row r="2051">
      <c r="A2051" s="28"/>
      <c r="B2051" s="28"/>
      <c r="C2051" s="28"/>
    </row>
    <row r="2052">
      <c r="A2052" s="28"/>
      <c r="B2052" s="28"/>
      <c r="C2052" s="28"/>
    </row>
    <row r="2053">
      <c r="A2053" s="28"/>
      <c r="B2053" s="28"/>
      <c r="C2053" s="28"/>
    </row>
    <row r="2054">
      <c r="A2054" s="28"/>
      <c r="B2054" s="28"/>
      <c r="C2054" s="28"/>
    </row>
    <row r="2055">
      <c r="A2055" s="28"/>
      <c r="B2055" s="28"/>
      <c r="C2055" s="28"/>
    </row>
    <row r="2056">
      <c r="A2056" s="28"/>
      <c r="B2056" s="28"/>
      <c r="C2056" s="28"/>
    </row>
    <row r="2057">
      <c r="A2057" s="28"/>
      <c r="B2057" s="28"/>
      <c r="C2057" s="28"/>
    </row>
    <row r="2058">
      <c r="A2058" s="28"/>
      <c r="B2058" s="28"/>
      <c r="C2058" s="28"/>
    </row>
    <row r="2059">
      <c r="A2059" s="28"/>
      <c r="B2059" s="28"/>
      <c r="C2059" s="28"/>
    </row>
    <row r="2060">
      <c r="A2060" s="28"/>
      <c r="B2060" s="28"/>
      <c r="C2060" s="28"/>
    </row>
    <row r="2061">
      <c r="A2061" s="28"/>
      <c r="B2061" s="28"/>
      <c r="C2061" s="28"/>
    </row>
    <row r="2062">
      <c r="A2062" s="28"/>
      <c r="B2062" s="28"/>
      <c r="C2062" s="28"/>
    </row>
    <row r="2063">
      <c r="A2063" s="28"/>
      <c r="B2063" s="28"/>
      <c r="C2063" s="28"/>
    </row>
    <row r="2064">
      <c r="A2064" s="28"/>
      <c r="B2064" s="28"/>
      <c r="C2064" s="28"/>
    </row>
    <row r="2065">
      <c r="A2065" s="28"/>
      <c r="B2065" s="28"/>
      <c r="C2065" s="28"/>
    </row>
    <row r="2066">
      <c r="A2066" s="28"/>
      <c r="B2066" s="28"/>
      <c r="C2066" s="28"/>
    </row>
    <row r="2067">
      <c r="A2067" s="28"/>
      <c r="B2067" s="28"/>
      <c r="C2067" s="28"/>
    </row>
    <row r="2068">
      <c r="A2068" s="28"/>
      <c r="B2068" s="28"/>
      <c r="C2068" s="28"/>
    </row>
    <row r="2069">
      <c r="A2069" s="28"/>
      <c r="B2069" s="28"/>
      <c r="C2069" s="28"/>
    </row>
    <row r="2070">
      <c r="A2070" s="28"/>
      <c r="B2070" s="28"/>
      <c r="C2070" s="28"/>
    </row>
    <row r="2071">
      <c r="A2071" s="28"/>
      <c r="B2071" s="28"/>
      <c r="C2071" s="28"/>
    </row>
    <row r="2072">
      <c r="A2072" s="28"/>
      <c r="B2072" s="28"/>
      <c r="C2072" s="28"/>
    </row>
    <row r="2073">
      <c r="A2073" s="28"/>
      <c r="B2073" s="28"/>
      <c r="C2073" s="28"/>
    </row>
    <row r="2074">
      <c r="A2074" s="28"/>
      <c r="B2074" s="28"/>
      <c r="C2074" s="28"/>
    </row>
    <row r="2075">
      <c r="A2075" s="28"/>
      <c r="B2075" s="28"/>
      <c r="C2075" s="28"/>
    </row>
    <row r="2076">
      <c r="A2076" s="28"/>
      <c r="B2076" s="28"/>
      <c r="C2076" s="28"/>
    </row>
    <row r="2077">
      <c r="A2077" s="28"/>
      <c r="B2077" s="28"/>
      <c r="C2077" s="28"/>
    </row>
    <row r="2078">
      <c r="A2078" s="28"/>
      <c r="B2078" s="28"/>
      <c r="C2078" s="28"/>
    </row>
    <row r="2079">
      <c r="A2079" s="28"/>
      <c r="B2079" s="28"/>
      <c r="C2079" s="28"/>
    </row>
    <row r="2080">
      <c r="A2080" s="28"/>
      <c r="B2080" s="28"/>
      <c r="C2080" s="28"/>
    </row>
    <row r="2081">
      <c r="A2081" s="28"/>
      <c r="B2081" s="28"/>
      <c r="C2081" s="28"/>
    </row>
    <row r="2082">
      <c r="A2082" s="28"/>
      <c r="B2082" s="28"/>
      <c r="C2082" s="28"/>
    </row>
    <row r="2083">
      <c r="A2083" s="28"/>
      <c r="B2083" s="28"/>
      <c r="C2083" s="28"/>
    </row>
    <row r="2084">
      <c r="A2084" s="28"/>
      <c r="B2084" s="28"/>
      <c r="C2084" s="28"/>
    </row>
    <row r="2085">
      <c r="A2085" s="28"/>
      <c r="B2085" s="28"/>
      <c r="C2085" s="28"/>
    </row>
    <row r="2086">
      <c r="A2086" s="28"/>
      <c r="B2086" s="28"/>
      <c r="C2086" s="28"/>
    </row>
    <row r="2087">
      <c r="A2087" s="28"/>
      <c r="B2087" s="28"/>
      <c r="C2087" s="28"/>
    </row>
    <row r="2088">
      <c r="A2088" s="28"/>
      <c r="B2088" s="28"/>
      <c r="C2088" s="28"/>
    </row>
    <row r="2089">
      <c r="A2089" s="28"/>
      <c r="B2089" s="28"/>
      <c r="C2089" s="28"/>
    </row>
    <row r="2090">
      <c r="A2090" s="28"/>
      <c r="B2090" s="28"/>
      <c r="C2090" s="28"/>
    </row>
    <row r="2091">
      <c r="A2091" s="28"/>
      <c r="B2091" s="28"/>
      <c r="C2091" s="28"/>
    </row>
    <row r="2092">
      <c r="A2092" s="28"/>
      <c r="B2092" s="28"/>
      <c r="C2092" s="28"/>
    </row>
    <row r="2093">
      <c r="A2093" s="28"/>
      <c r="B2093" s="28"/>
      <c r="C2093" s="28"/>
    </row>
    <row r="2094">
      <c r="A2094" s="28"/>
      <c r="B2094" s="28"/>
      <c r="C2094" s="28"/>
    </row>
    <row r="2095">
      <c r="A2095" s="28"/>
      <c r="B2095" s="28"/>
      <c r="C2095" s="28"/>
    </row>
    <row r="2096">
      <c r="A2096" s="28"/>
      <c r="B2096" s="28"/>
      <c r="C2096" s="28"/>
    </row>
    <row r="2097">
      <c r="A2097" s="28"/>
      <c r="B2097" s="28"/>
      <c r="C2097" s="28"/>
    </row>
    <row r="2098">
      <c r="A2098" s="28"/>
      <c r="B2098" s="28"/>
      <c r="C2098" s="28"/>
    </row>
    <row r="2099">
      <c r="A2099" s="28"/>
      <c r="B2099" s="28"/>
      <c r="C2099" s="28"/>
    </row>
    <row r="2100">
      <c r="A2100" s="28"/>
      <c r="B2100" s="28"/>
      <c r="C2100" s="28"/>
    </row>
    <row r="2101">
      <c r="A2101" s="28"/>
      <c r="B2101" s="28"/>
      <c r="C2101" s="28"/>
    </row>
    <row r="2102">
      <c r="A2102" s="28"/>
      <c r="B2102" s="28"/>
      <c r="C2102" s="28"/>
    </row>
    <row r="2103">
      <c r="A2103" s="28"/>
      <c r="B2103" s="28"/>
      <c r="C2103" s="28"/>
    </row>
    <row r="2104">
      <c r="A2104" s="28"/>
      <c r="B2104" s="28"/>
      <c r="C2104" s="28"/>
    </row>
    <row r="2105">
      <c r="A2105" s="28"/>
      <c r="B2105" s="28"/>
      <c r="C2105" s="28"/>
    </row>
    <row r="2106">
      <c r="A2106" s="28"/>
      <c r="B2106" s="28"/>
      <c r="C2106" s="28"/>
    </row>
    <row r="2107">
      <c r="A2107" s="28"/>
      <c r="B2107" s="28"/>
      <c r="C2107" s="28"/>
    </row>
    <row r="2108">
      <c r="A2108" s="28"/>
      <c r="B2108" s="28"/>
      <c r="C2108" s="28"/>
    </row>
    <row r="2109">
      <c r="A2109" s="28"/>
      <c r="B2109" s="28"/>
      <c r="C2109" s="28"/>
    </row>
    <row r="2110">
      <c r="A2110" s="28"/>
      <c r="B2110" s="28"/>
      <c r="C2110" s="28"/>
    </row>
    <row r="2111">
      <c r="A2111" s="28"/>
      <c r="B2111" s="28"/>
      <c r="C2111" s="28"/>
    </row>
    <row r="2112">
      <c r="A2112" s="28"/>
      <c r="B2112" s="28"/>
      <c r="C2112" s="28"/>
    </row>
    <row r="2113">
      <c r="A2113" s="28"/>
      <c r="B2113" s="28"/>
      <c r="C2113" s="28"/>
    </row>
    <row r="2114">
      <c r="A2114" s="28"/>
      <c r="B2114" s="28"/>
      <c r="C2114" s="28"/>
    </row>
    <row r="2115">
      <c r="A2115" s="28"/>
      <c r="B2115" s="28"/>
      <c r="C2115" s="28"/>
    </row>
    <row r="2116">
      <c r="A2116" s="28"/>
      <c r="B2116" s="28"/>
      <c r="C2116" s="28"/>
    </row>
    <row r="2117">
      <c r="A2117" s="28"/>
      <c r="B2117" s="28"/>
      <c r="C2117" s="28"/>
    </row>
    <row r="2118">
      <c r="A2118" s="28"/>
      <c r="B2118" s="28"/>
      <c r="C2118" s="28"/>
    </row>
    <row r="2119">
      <c r="A2119" s="28"/>
      <c r="B2119" s="28"/>
      <c r="C2119" s="28"/>
    </row>
    <row r="2120">
      <c r="A2120" s="28"/>
      <c r="B2120" s="28"/>
      <c r="C2120" s="28"/>
    </row>
    <row r="2121">
      <c r="A2121" s="28"/>
      <c r="B2121" s="28"/>
      <c r="C2121" s="28"/>
    </row>
    <row r="2122">
      <c r="A2122" s="28"/>
      <c r="B2122" s="28"/>
      <c r="C2122" s="28"/>
    </row>
    <row r="2123">
      <c r="A2123" s="28"/>
      <c r="B2123" s="28"/>
      <c r="C2123" s="28"/>
    </row>
    <row r="2124">
      <c r="A2124" s="28"/>
      <c r="B2124" s="28"/>
      <c r="C2124" s="28"/>
    </row>
    <row r="2125">
      <c r="A2125" s="28"/>
      <c r="B2125" s="28"/>
      <c r="C2125" s="28"/>
    </row>
    <row r="2126">
      <c r="A2126" s="28"/>
      <c r="B2126" s="28"/>
      <c r="C2126" s="28"/>
    </row>
    <row r="2127">
      <c r="A2127" s="28"/>
      <c r="B2127" s="28"/>
      <c r="C2127" s="28"/>
    </row>
    <row r="2128">
      <c r="A2128" s="28"/>
      <c r="B2128" s="28"/>
      <c r="C2128" s="28"/>
    </row>
    <row r="2129">
      <c r="A2129" s="28"/>
      <c r="B2129" s="28"/>
      <c r="C2129" s="28"/>
    </row>
    <row r="2130">
      <c r="A2130" s="28"/>
      <c r="B2130" s="28"/>
      <c r="C2130" s="28"/>
    </row>
    <row r="2131">
      <c r="A2131" s="28"/>
      <c r="B2131" s="28"/>
      <c r="C2131" s="28"/>
    </row>
    <row r="2132">
      <c r="A2132" s="28"/>
      <c r="B2132" s="28"/>
      <c r="C2132" s="28"/>
    </row>
    <row r="2133">
      <c r="A2133" s="28"/>
      <c r="B2133" s="28"/>
      <c r="C2133" s="28"/>
    </row>
    <row r="2134">
      <c r="A2134" s="28"/>
      <c r="B2134" s="28"/>
      <c r="C2134" s="28"/>
    </row>
    <row r="2135">
      <c r="A2135" s="28"/>
      <c r="B2135" s="28"/>
      <c r="C2135" s="28"/>
    </row>
    <row r="2136">
      <c r="A2136" s="28"/>
      <c r="B2136" s="28"/>
      <c r="C2136" s="28"/>
    </row>
    <row r="2137">
      <c r="A2137" s="28"/>
      <c r="B2137" s="28"/>
      <c r="C2137" s="28"/>
    </row>
    <row r="2138">
      <c r="A2138" s="28"/>
      <c r="B2138" s="28"/>
      <c r="C2138" s="28"/>
    </row>
    <row r="2139">
      <c r="A2139" s="28"/>
      <c r="B2139" s="28"/>
      <c r="C2139" s="28"/>
    </row>
    <row r="2140">
      <c r="A2140" s="28"/>
      <c r="B2140" s="28"/>
      <c r="C2140" s="28"/>
    </row>
    <row r="2141">
      <c r="A2141" s="28"/>
      <c r="B2141" s="28"/>
      <c r="C2141" s="28"/>
    </row>
    <row r="2142">
      <c r="A2142" s="28"/>
      <c r="B2142" s="28"/>
      <c r="C2142" s="28"/>
    </row>
    <row r="2143">
      <c r="A2143" s="28"/>
      <c r="B2143" s="28"/>
      <c r="C2143" s="28"/>
    </row>
    <row r="2144">
      <c r="A2144" s="28"/>
      <c r="B2144" s="28"/>
      <c r="C2144" s="28"/>
    </row>
    <row r="2145">
      <c r="A2145" s="28"/>
      <c r="B2145" s="28"/>
      <c r="C2145" s="28"/>
    </row>
    <row r="2146">
      <c r="A2146" s="28"/>
      <c r="B2146" s="28"/>
      <c r="C2146" s="28"/>
    </row>
    <row r="2147">
      <c r="A2147" s="28"/>
      <c r="B2147" s="28"/>
      <c r="C2147" s="28"/>
    </row>
    <row r="2148">
      <c r="A2148" s="28"/>
      <c r="B2148" s="28"/>
      <c r="C2148" s="28"/>
    </row>
    <row r="2149">
      <c r="A2149" s="28"/>
      <c r="B2149" s="28"/>
      <c r="C2149" s="28"/>
    </row>
    <row r="2150">
      <c r="A2150" s="28"/>
      <c r="B2150" s="28"/>
      <c r="C2150" s="28"/>
    </row>
    <row r="2151">
      <c r="A2151" s="28"/>
      <c r="B2151" s="28"/>
      <c r="C2151" s="28"/>
    </row>
    <row r="2152">
      <c r="A2152" s="28"/>
      <c r="B2152" s="28"/>
      <c r="C2152" s="28"/>
    </row>
    <row r="2153">
      <c r="A2153" s="28"/>
      <c r="B2153" s="28"/>
      <c r="C2153" s="28"/>
    </row>
    <row r="2154">
      <c r="A2154" s="28"/>
      <c r="B2154" s="28"/>
      <c r="C2154" s="28"/>
    </row>
    <row r="2155">
      <c r="A2155" s="28"/>
      <c r="B2155" s="28"/>
      <c r="C2155" s="28"/>
    </row>
    <row r="2156">
      <c r="A2156" s="28"/>
      <c r="B2156" s="28"/>
      <c r="C2156" s="28"/>
    </row>
    <row r="2157">
      <c r="A2157" s="28"/>
      <c r="B2157" s="28"/>
      <c r="C2157" s="28"/>
    </row>
    <row r="2158">
      <c r="A2158" s="28"/>
      <c r="B2158" s="28"/>
      <c r="C2158" s="28"/>
    </row>
    <row r="2159">
      <c r="A2159" s="28"/>
      <c r="B2159" s="28"/>
      <c r="C2159" s="28"/>
    </row>
    <row r="2160">
      <c r="A2160" s="28"/>
      <c r="B2160" s="28"/>
      <c r="C2160" s="28"/>
    </row>
    <row r="2161">
      <c r="A2161" s="28"/>
      <c r="B2161" s="28"/>
      <c r="C2161" s="28"/>
    </row>
    <row r="2162">
      <c r="A2162" s="28"/>
      <c r="B2162" s="28"/>
      <c r="C2162" s="28"/>
    </row>
    <row r="2163">
      <c r="A2163" s="28"/>
      <c r="B2163" s="28"/>
      <c r="C2163" s="28"/>
    </row>
    <row r="2164">
      <c r="A2164" s="28"/>
      <c r="B2164" s="28"/>
      <c r="C2164" s="28"/>
    </row>
    <row r="2165">
      <c r="A2165" s="28"/>
      <c r="B2165" s="28"/>
      <c r="C2165" s="28"/>
    </row>
    <row r="2166">
      <c r="A2166" s="28"/>
      <c r="B2166" s="28"/>
      <c r="C2166" s="28"/>
    </row>
    <row r="2167">
      <c r="A2167" s="28"/>
      <c r="B2167" s="28"/>
      <c r="C2167" s="28"/>
    </row>
    <row r="2168">
      <c r="A2168" s="28"/>
      <c r="B2168" s="28"/>
      <c r="C2168" s="28"/>
    </row>
    <row r="2169">
      <c r="A2169" s="28"/>
      <c r="B2169" s="28"/>
      <c r="C2169" s="28"/>
    </row>
    <row r="2170">
      <c r="A2170" s="28"/>
      <c r="B2170" s="28"/>
      <c r="C2170" s="28"/>
    </row>
    <row r="2171">
      <c r="A2171" s="28"/>
      <c r="B2171" s="28"/>
      <c r="C2171" s="28"/>
    </row>
    <row r="2172">
      <c r="A2172" s="28"/>
      <c r="B2172" s="28"/>
      <c r="C2172" s="28"/>
    </row>
    <row r="2173">
      <c r="A2173" s="28"/>
      <c r="B2173" s="28"/>
      <c r="C2173" s="28"/>
    </row>
    <row r="2174">
      <c r="A2174" s="28"/>
      <c r="B2174" s="28"/>
      <c r="C2174" s="28"/>
    </row>
    <row r="2175">
      <c r="A2175" s="28"/>
      <c r="B2175" s="28"/>
      <c r="C2175" s="28"/>
    </row>
    <row r="2176">
      <c r="A2176" s="28"/>
      <c r="B2176" s="28"/>
      <c r="C2176" s="28"/>
    </row>
    <row r="2177">
      <c r="A2177" s="28"/>
      <c r="B2177" s="28"/>
      <c r="C2177" s="28"/>
    </row>
    <row r="2178">
      <c r="A2178" s="28"/>
      <c r="B2178" s="28"/>
      <c r="C2178" s="28"/>
    </row>
    <row r="2179">
      <c r="A2179" s="28"/>
      <c r="B2179" s="28"/>
      <c r="C2179" s="28"/>
    </row>
    <row r="2180">
      <c r="A2180" s="28"/>
      <c r="B2180" s="28"/>
      <c r="C2180" s="28"/>
    </row>
    <row r="2181">
      <c r="A2181" s="28"/>
      <c r="B2181" s="28"/>
      <c r="C2181" s="28"/>
    </row>
    <row r="2182">
      <c r="A2182" s="28"/>
      <c r="B2182" s="28"/>
      <c r="C2182" s="28"/>
    </row>
    <row r="2183">
      <c r="A2183" s="28"/>
      <c r="B2183" s="28"/>
      <c r="C2183" s="28"/>
    </row>
    <row r="2184">
      <c r="A2184" s="28"/>
      <c r="B2184" s="28"/>
      <c r="C2184" s="28"/>
    </row>
    <row r="2185">
      <c r="A2185" s="28"/>
      <c r="B2185" s="28"/>
      <c r="C2185" s="28"/>
    </row>
    <row r="2186">
      <c r="A2186" s="28"/>
      <c r="B2186" s="28"/>
      <c r="C2186" s="28"/>
    </row>
    <row r="2187">
      <c r="A2187" s="28"/>
      <c r="B2187" s="28"/>
      <c r="C2187" s="28"/>
    </row>
    <row r="2188">
      <c r="A2188" s="28"/>
      <c r="B2188" s="28"/>
      <c r="C2188" s="28"/>
    </row>
    <row r="2189">
      <c r="A2189" s="28"/>
      <c r="B2189" s="28"/>
      <c r="C2189" s="28"/>
    </row>
    <row r="2190">
      <c r="A2190" s="28"/>
      <c r="B2190" s="28"/>
      <c r="C2190" s="28"/>
    </row>
    <row r="2191">
      <c r="A2191" s="28"/>
      <c r="B2191" s="28"/>
      <c r="C2191" s="28"/>
    </row>
    <row r="2192">
      <c r="A2192" s="28"/>
      <c r="B2192" s="28"/>
      <c r="C2192" s="28"/>
    </row>
    <row r="2193">
      <c r="A2193" s="28"/>
      <c r="B2193" s="28"/>
      <c r="C2193" s="28"/>
    </row>
    <row r="2194">
      <c r="A2194" s="28"/>
      <c r="B2194" s="28"/>
      <c r="C2194" s="28"/>
    </row>
    <row r="2195">
      <c r="A2195" s="28"/>
      <c r="B2195" s="28"/>
      <c r="C2195" s="28"/>
    </row>
    <row r="2196">
      <c r="A2196" s="28"/>
      <c r="B2196" s="28"/>
      <c r="C2196" s="28"/>
    </row>
    <row r="2197">
      <c r="A2197" s="28"/>
      <c r="B2197" s="28"/>
      <c r="C2197" s="28"/>
    </row>
    <row r="2198">
      <c r="A2198" s="28"/>
      <c r="B2198" s="28"/>
      <c r="C2198" s="28"/>
    </row>
    <row r="2199">
      <c r="A2199" s="28"/>
      <c r="B2199" s="28"/>
      <c r="C2199" s="28"/>
    </row>
    <row r="2200">
      <c r="A2200" s="28"/>
      <c r="B2200" s="28"/>
      <c r="C2200" s="28"/>
    </row>
    <row r="2201">
      <c r="A2201" s="28"/>
      <c r="B2201" s="28"/>
      <c r="C2201" s="28"/>
    </row>
    <row r="2202">
      <c r="A2202" s="28"/>
      <c r="B2202" s="28"/>
      <c r="C2202" s="28"/>
    </row>
    <row r="2203">
      <c r="A2203" s="28"/>
      <c r="B2203" s="28"/>
      <c r="C2203" s="28"/>
    </row>
    <row r="2204">
      <c r="A2204" s="28"/>
      <c r="B2204" s="28"/>
      <c r="C2204" s="28"/>
    </row>
    <row r="2205">
      <c r="A2205" s="28"/>
      <c r="B2205" s="28"/>
      <c r="C2205" s="28"/>
    </row>
    <row r="2206">
      <c r="A2206" s="28"/>
      <c r="B2206" s="28"/>
      <c r="C2206" s="28"/>
    </row>
    <row r="2207">
      <c r="A2207" s="28"/>
      <c r="B2207" s="28"/>
      <c r="C2207" s="28"/>
    </row>
    <row r="2208">
      <c r="A2208" s="28"/>
      <c r="B2208" s="28"/>
      <c r="C2208" s="28"/>
    </row>
    <row r="2209">
      <c r="A2209" s="28"/>
      <c r="B2209" s="28"/>
      <c r="C2209" s="28"/>
    </row>
    <row r="2210">
      <c r="A2210" s="28"/>
      <c r="B2210" s="28"/>
      <c r="C2210" s="28"/>
    </row>
    <row r="2211">
      <c r="A2211" s="28"/>
      <c r="B2211" s="28"/>
      <c r="C2211" s="28"/>
    </row>
    <row r="2212">
      <c r="A2212" s="28"/>
      <c r="B2212" s="28"/>
      <c r="C2212" s="28"/>
    </row>
    <row r="2213">
      <c r="A2213" s="28"/>
      <c r="B2213" s="28"/>
      <c r="C2213" s="28"/>
    </row>
    <row r="2214">
      <c r="A2214" s="28"/>
      <c r="B2214" s="28"/>
      <c r="C2214" s="28"/>
    </row>
    <row r="2215">
      <c r="A2215" s="28"/>
      <c r="B2215" s="28"/>
      <c r="C2215" s="28"/>
    </row>
    <row r="2216">
      <c r="A2216" s="28"/>
      <c r="B2216" s="28"/>
      <c r="C2216" s="28"/>
    </row>
    <row r="2217">
      <c r="A2217" s="28"/>
      <c r="B2217" s="28"/>
      <c r="C2217" s="28"/>
    </row>
    <row r="2218">
      <c r="A2218" s="28"/>
      <c r="B2218" s="28"/>
      <c r="C2218" s="28"/>
    </row>
    <row r="2219">
      <c r="A2219" s="28"/>
      <c r="B2219" s="28"/>
      <c r="C2219" s="28"/>
    </row>
    <row r="2220">
      <c r="A2220" s="28"/>
      <c r="B2220" s="28"/>
      <c r="C2220" s="28"/>
    </row>
    <row r="2221">
      <c r="A2221" s="28"/>
      <c r="B2221" s="28"/>
      <c r="C2221" s="28"/>
    </row>
    <row r="2222">
      <c r="A2222" s="28"/>
      <c r="B2222" s="28"/>
      <c r="C2222" s="28"/>
    </row>
    <row r="2223">
      <c r="A2223" s="28"/>
      <c r="B2223" s="28"/>
      <c r="C2223" s="28"/>
    </row>
    <row r="2224">
      <c r="A2224" s="28"/>
      <c r="B2224" s="28"/>
      <c r="C2224" s="28"/>
    </row>
    <row r="2225">
      <c r="A2225" s="28"/>
      <c r="B2225" s="28"/>
      <c r="C2225" s="28"/>
    </row>
    <row r="2226">
      <c r="A2226" s="28"/>
      <c r="B2226" s="28"/>
      <c r="C2226" s="28"/>
    </row>
    <row r="2227">
      <c r="A2227" s="28"/>
      <c r="B2227" s="28"/>
      <c r="C2227" s="28"/>
    </row>
    <row r="2228">
      <c r="A2228" s="28"/>
      <c r="B2228" s="28"/>
      <c r="C2228" s="28"/>
    </row>
    <row r="2229">
      <c r="A2229" s="28"/>
      <c r="B2229" s="28"/>
      <c r="C2229" s="28"/>
    </row>
    <row r="2230">
      <c r="A2230" s="28"/>
      <c r="B2230" s="28"/>
      <c r="C2230" s="28"/>
    </row>
    <row r="2231">
      <c r="A2231" s="28"/>
      <c r="B2231" s="28"/>
      <c r="C2231" s="28"/>
    </row>
    <row r="2232">
      <c r="A2232" s="28"/>
      <c r="B2232" s="28"/>
      <c r="C2232" s="28"/>
    </row>
    <row r="2233">
      <c r="A2233" s="28"/>
      <c r="B2233" s="28"/>
      <c r="C2233" s="28"/>
    </row>
    <row r="2234">
      <c r="A2234" s="28"/>
      <c r="B2234" s="28"/>
      <c r="C2234" s="28"/>
    </row>
    <row r="2235">
      <c r="A2235" s="28"/>
      <c r="B2235" s="28"/>
      <c r="C2235" s="28"/>
    </row>
    <row r="2236">
      <c r="A2236" s="28"/>
      <c r="B2236" s="28"/>
      <c r="C2236" s="28"/>
    </row>
    <row r="2237">
      <c r="A2237" s="28"/>
      <c r="B2237" s="28"/>
      <c r="C2237" s="28"/>
    </row>
    <row r="2238">
      <c r="A2238" s="28"/>
      <c r="B2238" s="28"/>
      <c r="C2238" s="28"/>
    </row>
    <row r="2239">
      <c r="A2239" s="28"/>
      <c r="B2239" s="28"/>
      <c r="C2239" s="28"/>
    </row>
    <row r="2240">
      <c r="A2240" s="28"/>
      <c r="B2240" s="28"/>
      <c r="C2240" s="28"/>
    </row>
    <row r="2241">
      <c r="A2241" s="28"/>
      <c r="B2241" s="28"/>
      <c r="C2241" s="28"/>
    </row>
    <row r="2242">
      <c r="A2242" s="28"/>
      <c r="B2242" s="28"/>
      <c r="C2242" s="28"/>
    </row>
    <row r="2243">
      <c r="A2243" s="28"/>
      <c r="B2243" s="28"/>
      <c r="C2243" s="28"/>
    </row>
    <row r="2244">
      <c r="A2244" s="28"/>
      <c r="B2244" s="28"/>
      <c r="C2244" s="28"/>
    </row>
    <row r="2245">
      <c r="A2245" s="28"/>
      <c r="B2245" s="28"/>
      <c r="C2245" s="28"/>
    </row>
    <row r="2246">
      <c r="A2246" s="28"/>
      <c r="B2246" s="28"/>
      <c r="C2246" s="28"/>
    </row>
    <row r="2247">
      <c r="A2247" s="28"/>
      <c r="B2247" s="28"/>
      <c r="C2247" s="28"/>
    </row>
    <row r="2248">
      <c r="A2248" s="28"/>
      <c r="B2248" s="28"/>
      <c r="C2248" s="28"/>
    </row>
    <row r="2249">
      <c r="A2249" s="28"/>
      <c r="B2249" s="28"/>
      <c r="C2249" s="28"/>
    </row>
    <row r="2250">
      <c r="A2250" s="28"/>
      <c r="B2250" s="28"/>
      <c r="C2250" s="28"/>
    </row>
    <row r="2251">
      <c r="A2251" s="28"/>
      <c r="B2251" s="28"/>
      <c r="C2251" s="28"/>
    </row>
    <row r="2252">
      <c r="A2252" s="28"/>
      <c r="B2252" s="28"/>
      <c r="C2252" s="28"/>
    </row>
    <row r="2253">
      <c r="A2253" s="28"/>
      <c r="B2253" s="28"/>
      <c r="C2253" s="28"/>
    </row>
    <row r="2254">
      <c r="A2254" s="28"/>
      <c r="B2254" s="28"/>
      <c r="C2254" s="28"/>
    </row>
    <row r="2255">
      <c r="A2255" s="28"/>
      <c r="B2255" s="28"/>
      <c r="C2255" s="28"/>
    </row>
    <row r="2256">
      <c r="A2256" s="28"/>
      <c r="B2256" s="28"/>
      <c r="C2256" s="28"/>
    </row>
    <row r="2257">
      <c r="A2257" s="28"/>
      <c r="B2257" s="28"/>
      <c r="C2257" s="28"/>
    </row>
    <row r="2258">
      <c r="A2258" s="28"/>
      <c r="B2258" s="28"/>
      <c r="C2258" s="28"/>
    </row>
    <row r="2259">
      <c r="A2259" s="28"/>
      <c r="B2259" s="28"/>
      <c r="C2259" s="28"/>
    </row>
    <row r="2260">
      <c r="A2260" s="28"/>
      <c r="B2260" s="28"/>
      <c r="C2260" s="28"/>
    </row>
    <row r="2261">
      <c r="A2261" s="28"/>
      <c r="B2261" s="28"/>
      <c r="C2261" s="28"/>
    </row>
    <row r="2262">
      <c r="A2262" s="28"/>
      <c r="B2262" s="28"/>
      <c r="C2262" s="28"/>
    </row>
    <row r="2263">
      <c r="A2263" s="28"/>
      <c r="B2263" s="28"/>
      <c r="C2263" s="28"/>
    </row>
    <row r="2264">
      <c r="A2264" s="28"/>
      <c r="B2264" s="28"/>
      <c r="C2264" s="28"/>
    </row>
    <row r="2265">
      <c r="A2265" s="28"/>
      <c r="B2265" s="28"/>
      <c r="C2265" s="28"/>
    </row>
    <row r="2266">
      <c r="A2266" s="28"/>
      <c r="B2266" s="28"/>
      <c r="C2266" s="28"/>
    </row>
    <row r="2267">
      <c r="A2267" s="28"/>
      <c r="B2267" s="28"/>
      <c r="C2267" s="28"/>
    </row>
    <row r="2268">
      <c r="A2268" s="28"/>
      <c r="B2268" s="28"/>
      <c r="C2268" s="28"/>
    </row>
    <row r="2269">
      <c r="A2269" s="28"/>
      <c r="B2269" s="28"/>
      <c r="C2269" s="28"/>
    </row>
    <row r="2270">
      <c r="A2270" s="28"/>
      <c r="B2270" s="28"/>
      <c r="C2270" s="28"/>
    </row>
    <row r="2271">
      <c r="A2271" s="28"/>
      <c r="B2271" s="28"/>
      <c r="C2271" s="28"/>
    </row>
    <row r="2272">
      <c r="A2272" s="28"/>
      <c r="B2272" s="28"/>
      <c r="C2272" s="28"/>
    </row>
    <row r="2273">
      <c r="A2273" s="28"/>
      <c r="B2273" s="28"/>
      <c r="C2273" s="28"/>
    </row>
    <row r="2274">
      <c r="A2274" s="28"/>
      <c r="B2274" s="28"/>
      <c r="C2274" s="28"/>
    </row>
    <row r="2275">
      <c r="A2275" s="28"/>
      <c r="B2275" s="28"/>
      <c r="C2275" s="28"/>
    </row>
    <row r="2276">
      <c r="A2276" s="28"/>
      <c r="B2276" s="28"/>
      <c r="C2276" s="28"/>
    </row>
    <row r="2277">
      <c r="A2277" s="28"/>
      <c r="B2277" s="28"/>
      <c r="C2277" s="28"/>
    </row>
    <row r="2278">
      <c r="A2278" s="28"/>
      <c r="B2278" s="28"/>
      <c r="C2278" s="28"/>
    </row>
    <row r="2279">
      <c r="A2279" s="28"/>
      <c r="B2279" s="28"/>
      <c r="C2279" s="28"/>
    </row>
    <row r="2280">
      <c r="A2280" s="28"/>
      <c r="B2280" s="28"/>
      <c r="C2280" s="28"/>
    </row>
    <row r="2281">
      <c r="A2281" s="28"/>
      <c r="B2281" s="28"/>
      <c r="C2281" s="28"/>
    </row>
    <row r="2282">
      <c r="A2282" s="28"/>
      <c r="B2282" s="28"/>
      <c r="C2282" s="28"/>
    </row>
    <row r="2283">
      <c r="A2283" s="28"/>
      <c r="B2283" s="28"/>
      <c r="C2283" s="28"/>
    </row>
    <row r="2284">
      <c r="A2284" s="28"/>
      <c r="B2284" s="28"/>
      <c r="C2284" s="28"/>
    </row>
    <row r="2285">
      <c r="A2285" s="28"/>
      <c r="B2285" s="28"/>
      <c r="C2285" s="28"/>
    </row>
    <row r="2286">
      <c r="A2286" s="28"/>
      <c r="B2286" s="28"/>
      <c r="C2286" s="28"/>
    </row>
    <row r="2287">
      <c r="A2287" s="28"/>
      <c r="B2287" s="28"/>
      <c r="C2287" s="28"/>
    </row>
    <row r="2288">
      <c r="A2288" s="28"/>
      <c r="B2288" s="28"/>
      <c r="C2288" s="28"/>
    </row>
    <row r="2289">
      <c r="A2289" s="28"/>
      <c r="B2289" s="28"/>
      <c r="C2289" s="28"/>
    </row>
    <row r="2290">
      <c r="A2290" s="28"/>
      <c r="B2290" s="28"/>
      <c r="C2290" s="28"/>
    </row>
    <row r="2291">
      <c r="A2291" s="28"/>
      <c r="B2291" s="28"/>
      <c r="C2291" s="28"/>
    </row>
    <row r="2292">
      <c r="A2292" s="28"/>
      <c r="B2292" s="28"/>
      <c r="C2292" s="28"/>
    </row>
    <row r="2293">
      <c r="A2293" s="28"/>
      <c r="B2293" s="28"/>
      <c r="C2293" s="28"/>
    </row>
    <row r="2294">
      <c r="A2294" s="28"/>
      <c r="B2294" s="28"/>
      <c r="C2294" s="28"/>
    </row>
    <row r="2295">
      <c r="A2295" s="28"/>
      <c r="B2295" s="28"/>
      <c r="C2295" s="28"/>
    </row>
    <row r="2296">
      <c r="A2296" s="28"/>
      <c r="B2296" s="28"/>
      <c r="C2296" s="28"/>
    </row>
    <row r="2297">
      <c r="A2297" s="28"/>
      <c r="B2297" s="28"/>
      <c r="C2297" s="28"/>
    </row>
    <row r="2298">
      <c r="A2298" s="28"/>
      <c r="B2298" s="28"/>
      <c r="C2298" s="28"/>
    </row>
    <row r="2299">
      <c r="A2299" s="28"/>
      <c r="B2299" s="28"/>
      <c r="C2299" s="28"/>
    </row>
    <row r="2300">
      <c r="A2300" s="28"/>
      <c r="B2300" s="28"/>
      <c r="C2300" s="28"/>
    </row>
    <row r="2301">
      <c r="A2301" s="28"/>
      <c r="B2301" s="28"/>
      <c r="C2301" s="28"/>
    </row>
    <row r="2302">
      <c r="A2302" s="28"/>
      <c r="B2302" s="28"/>
      <c r="C2302" s="28"/>
    </row>
    <row r="2303">
      <c r="A2303" s="28"/>
      <c r="B2303" s="28"/>
      <c r="C2303" s="28"/>
    </row>
    <row r="2304">
      <c r="A2304" s="28"/>
      <c r="B2304" s="28"/>
      <c r="C2304" s="28"/>
    </row>
    <row r="2305">
      <c r="A2305" s="28"/>
      <c r="B2305" s="28"/>
      <c r="C2305" s="28"/>
    </row>
    <row r="2306">
      <c r="A2306" s="28"/>
      <c r="B2306" s="28"/>
      <c r="C2306" s="28"/>
    </row>
    <row r="2307">
      <c r="A2307" s="28"/>
      <c r="B2307" s="28"/>
      <c r="C2307" s="28"/>
    </row>
    <row r="2308">
      <c r="A2308" s="28"/>
      <c r="B2308" s="28"/>
      <c r="C2308" s="28"/>
    </row>
    <row r="2309">
      <c r="A2309" s="28"/>
      <c r="B2309" s="28"/>
      <c r="C2309" s="28"/>
    </row>
    <row r="2310">
      <c r="A2310" s="28"/>
      <c r="B2310" s="28"/>
      <c r="C2310" s="28"/>
    </row>
    <row r="2311">
      <c r="A2311" s="28"/>
      <c r="B2311" s="28"/>
      <c r="C2311" s="28"/>
    </row>
    <row r="2312">
      <c r="A2312" s="28"/>
      <c r="B2312" s="28"/>
      <c r="C2312" s="28"/>
    </row>
    <row r="2313">
      <c r="A2313" s="28"/>
      <c r="B2313" s="28"/>
      <c r="C2313" s="28"/>
    </row>
    <row r="2314">
      <c r="A2314" s="28"/>
      <c r="B2314" s="28"/>
      <c r="C2314" s="28"/>
    </row>
    <row r="2315">
      <c r="A2315" s="28"/>
      <c r="B2315" s="28"/>
      <c r="C2315" s="28"/>
    </row>
    <row r="2316">
      <c r="A2316" s="28"/>
      <c r="B2316" s="28"/>
      <c r="C2316" s="28"/>
    </row>
    <row r="2317">
      <c r="A2317" s="28"/>
      <c r="B2317" s="28"/>
      <c r="C2317" s="28"/>
    </row>
    <row r="2318">
      <c r="A2318" s="28"/>
      <c r="B2318" s="28"/>
      <c r="C2318" s="28"/>
    </row>
    <row r="2319">
      <c r="A2319" s="28"/>
      <c r="B2319" s="28"/>
      <c r="C2319" s="28"/>
    </row>
    <row r="2320">
      <c r="A2320" s="28"/>
      <c r="B2320" s="28"/>
      <c r="C2320" s="28"/>
    </row>
    <row r="2321">
      <c r="A2321" s="28"/>
      <c r="B2321" s="28"/>
      <c r="C2321" s="28"/>
    </row>
    <row r="2322">
      <c r="A2322" s="28"/>
      <c r="B2322" s="28"/>
      <c r="C2322" s="28"/>
    </row>
    <row r="2323">
      <c r="A2323" s="28"/>
      <c r="B2323" s="28"/>
      <c r="C2323" s="28"/>
    </row>
    <row r="2324">
      <c r="A2324" s="28"/>
      <c r="B2324" s="28"/>
      <c r="C2324" s="28"/>
    </row>
    <row r="2325">
      <c r="A2325" s="28"/>
      <c r="B2325" s="28"/>
      <c r="C2325" s="28"/>
    </row>
    <row r="2326">
      <c r="A2326" s="28"/>
      <c r="B2326" s="28"/>
      <c r="C2326" s="28"/>
    </row>
    <row r="2327">
      <c r="A2327" s="28"/>
      <c r="B2327" s="28"/>
      <c r="C2327" s="28"/>
    </row>
    <row r="2328">
      <c r="A2328" s="28"/>
      <c r="B2328" s="28"/>
      <c r="C2328" s="28"/>
    </row>
    <row r="2329">
      <c r="A2329" s="28"/>
      <c r="B2329" s="28"/>
      <c r="C2329" s="28"/>
    </row>
    <row r="2330">
      <c r="A2330" s="28"/>
      <c r="B2330" s="28"/>
      <c r="C2330" s="28"/>
    </row>
    <row r="2331">
      <c r="A2331" s="28"/>
      <c r="B2331" s="28"/>
      <c r="C2331" s="28"/>
    </row>
    <row r="2332">
      <c r="A2332" s="28"/>
      <c r="B2332" s="28"/>
      <c r="C2332" s="28"/>
    </row>
    <row r="2333">
      <c r="A2333" s="28"/>
      <c r="B2333" s="28"/>
      <c r="C2333" s="28"/>
    </row>
    <row r="2334">
      <c r="A2334" s="28"/>
      <c r="B2334" s="28"/>
      <c r="C2334" s="28"/>
    </row>
    <row r="2335">
      <c r="A2335" s="28"/>
      <c r="B2335" s="28"/>
      <c r="C2335" s="28"/>
    </row>
    <row r="2336">
      <c r="A2336" s="28"/>
      <c r="B2336" s="28"/>
      <c r="C2336" s="28"/>
    </row>
    <row r="2337">
      <c r="A2337" s="28"/>
      <c r="B2337" s="28"/>
      <c r="C2337" s="28"/>
    </row>
    <row r="2338">
      <c r="A2338" s="28"/>
      <c r="B2338" s="28"/>
      <c r="C2338" s="28"/>
    </row>
    <row r="2339">
      <c r="A2339" s="28"/>
      <c r="B2339" s="28"/>
      <c r="C2339" s="28"/>
    </row>
    <row r="2340">
      <c r="A2340" s="28"/>
      <c r="B2340" s="28"/>
      <c r="C2340" s="28"/>
    </row>
    <row r="2341">
      <c r="A2341" s="28"/>
      <c r="B2341" s="28"/>
      <c r="C2341" s="28"/>
    </row>
    <row r="2342">
      <c r="A2342" s="28"/>
      <c r="B2342" s="28"/>
      <c r="C2342" s="28"/>
    </row>
    <row r="2343">
      <c r="A2343" s="28"/>
      <c r="B2343" s="28"/>
      <c r="C2343" s="28"/>
    </row>
    <row r="2344">
      <c r="A2344" s="28"/>
      <c r="B2344" s="28"/>
      <c r="C2344" s="28"/>
    </row>
    <row r="2345">
      <c r="A2345" s="28"/>
      <c r="B2345" s="28"/>
      <c r="C2345" s="28"/>
    </row>
    <row r="2346">
      <c r="A2346" s="28"/>
      <c r="B2346" s="28"/>
      <c r="C2346" s="28"/>
    </row>
    <row r="2347">
      <c r="A2347" s="28"/>
      <c r="B2347" s="28"/>
      <c r="C2347" s="28"/>
    </row>
    <row r="2348">
      <c r="A2348" s="28"/>
      <c r="B2348" s="28"/>
      <c r="C2348" s="28"/>
    </row>
    <row r="2349">
      <c r="A2349" s="28"/>
      <c r="B2349" s="28"/>
      <c r="C2349" s="28"/>
    </row>
    <row r="2350">
      <c r="A2350" s="28"/>
      <c r="B2350" s="28"/>
      <c r="C2350" s="28"/>
    </row>
    <row r="2351">
      <c r="A2351" s="28"/>
      <c r="B2351" s="28"/>
      <c r="C2351" s="28"/>
    </row>
    <row r="2352">
      <c r="A2352" s="28"/>
      <c r="B2352" s="28"/>
      <c r="C2352" s="28"/>
    </row>
    <row r="2353">
      <c r="A2353" s="28"/>
      <c r="B2353" s="28"/>
      <c r="C2353" s="28"/>
    </row>
    <row r="2354">
      <c r="A2354" s="28"/>
      <c r="B2354" s="28"/>
      <c r="C2354" s="28"/>
    </row>
    <row r="2355">
      <c r="A2355" s="28"/>
      <c r="B2355" s="28"/>
      <c r="C2355" s="28"/>
    </row>
    <row r="2356">
      <c r="A2356" s="28"/>
      <c r="B2356" s="28"/>
      <c r="C2356" s="28"/>
    </row>
    <row r="2357">
      <c r="A2357" s="28"/>
      <c r="B2357" s="28"/>
      <c r="C2357" s="28"/>
    </row>
    <row r="2358">
      <c r="A2358" s="28"/>
      <c r="B2358" s="28"/>
      <c r="C2358" s="28"/>
    </row>
    <row r="2359">
      <c r="A2359" s="28"/>
      <c r="B2359" s="28"/>
      <c r="C2359" s="28"/>
    </row>
    <row r="2360">
      <c r="A2360" s="28"/>
      <c r="B2360" s="28"/>
      <c r="C2360" s="28"/>
    </row>
    <row r="2361">
      <c r="A2361" s="28"/>
      <c r="B2361" s="28"/>
      <c r="C2361" s="28"/>
    </row>
    <row r="2362">
      <c r="A2362" s="28"/>
      <c r="B2362" s="28"/>
      <c r="C2362" s="28"/>
    </row>
    <row r="2363">
      <c r="A2363" s="28"/>
      <c r="B2363" s="28"/>
      <c r="C2363" s="28"/>
    </row>
    <row r="2364">
      <c r="A2364" s="28"/>
      <c r="B2364" s="28"/>
      <c r="C2364" s="28"/>
    </row>
    <row r="2365">
      <c r="A2365" s="28"/>
      <c r="B2365" s="28"/>
      <c r="C2365" s="28"/>
    </row>
    <row r="2366">
      <c r="A2366" s="28"/>
      <c r="B2366" s="28"/>
      <c r="C2366" s="28"/>
    </row>
    <row r="2367">
      <c r="A2367" s="28"/>
      <c r="B2367" s="28"/>
      <c r="C2367" s="28"/>
    </row>
    <row r="2368">
      <c r="A2368" s="28"/>
      <c r="B2368" s="28"/>
      <c r="C2368" s="28"/>
    </row>
    <row r="2369">
      <c r="A2369" s="28"/>
      <c r="B2369" s="28"/>
      <c r="C2369" s="28"/>
    </row>
    <row r="2370">
      <c r="A2370" s="28"/>
      <c r="B2370" s="28"/>
      <c r="C2370" s="28"/>
    </row>
    <row r="2371">
      <c r="A2371" s="28"/>
      <c r="B2371" s="28"/>
      <c r="C2371" s="28"/>
    </row>
    <row r="2372">
      <c r="A2372" s="28"/>
      <c r="B2372" s="28"/>
      <c r="C2372" s="28"/>
    </row>
    <row r="2373">
      <c r="A2373" s="28"/>
      <c r="B2373" s="28"/>
      <c r="C2373" s="28"/>
    </row>
    <row r="2374">
      <c r="A2374" s="28"/>
      <c r="B2374" s="28"/>
      <c r="C2374" s="28"/>
    </row>
    <row r="2375">
      <c r="A2375" s="28"/>
      <c r="B2375" s="28"/>
      <c r="C2375" s="28"/>
    </row>
    <row r="2376">
      <c r="A2376" s="28"/>
      <c r="B2376" s="28"/>
      <c r="C2376" s="28"/>
    </row>
    <row r="2377">
      <c r="A2377" s="28"/>
      <c r="B2377" s="28"/>
      <c r="C2377" s="28"/>
    </row>
    <row r="2378">
      <c r="A2378" s="28"/>
      <c r="B2378" s="28"/>
      <c r="C2378" s="28"/>
    </row>
    <row r="2379">
      <c r="A2379" s="28"/>
      <c r="B2379" s="28"/>
      <c r="C2379" s="28"/>
    </row>
    <row r="2380">
      <c r="A2380" s="28"/>
      <c r="B2380" s="28"/>
      <c r="C2380" s="28"/>
    </row>
    <row r="2381">
      <c r="A2381" s="28"/>
      <c r="B2381" s="28"/>
      <c r="C2381" s="28"/>
    </row>
    <row r="2382">
      <c r="A2382" s="28"/>
      <c r="B2382" s="28"/>
      <c r="C2382" s="28"/>
    </row>
    <row r="2383">
      <c r="A2383" s="28"/>
      <c r="B2383" s="28"/>
      <c r="C2383" s="28"/>
    </row>
    <row r="2384">
      <c r="A2384" s="28"/>
      <c r="B2384" s="28"/>
      <c r="C2384" s="28"/>
    </row>
    <row r="2385">
      <c r="A2385" s="28"/>
      <c r="B2385" s="28"/>
      <c r="C2385" s="28"/>
    </row>
    <row r="2386">
      <c r="A2386" s="28"/>
      <c r="B2386" s="28"/>
      <c r="C2386" s="28"/>
    </row>
    <row r="2387">
      <c r="A2387" s="28"/>
      <c r="B2387" s="28"/>
      <c r="C2387" s="28"/>
    </row>
    <row r="2388">
      <c r="A2388" s="28"/>
      <c r="B2388" s="28"/>
      <c r="C2388" s="28"/>
    </row>
    <row r="2389">
      <c r="A2389" s="28"/>
      <c r="B2389" s="28"/>
      <c r="C2389" s="28"/>
    </row>
    <row r="2390">
      <c r="A2390" s="28"/>
      <c r="B2390" s="28"/>
      <c r="C2390" s="28"/>
    </row>
    <row r="2391">
      <c r="A2391" s="28"/>
      <c r="B2391" s="28"/>
      <c r="C2391" s="28"/>
    </row>
    <row r="2392">
      <c r="A2392" s="28"/>
      <c r="B2392" s="28"/>
      <c r="C2392" s="28"/>
    </row>
    <row r="2393">
      <c r="A2393" s="28"/>
      <c r="B2393" s="28"/>
      <c r="C2393" s="28"/>
    </row>
    <row r="2394">
      <c r="A2394" s="28"/>
      <c r="B2394" s="28"/>
      <c r="C2394" s="28"/>
    </row>
    <row r="2395">
      <c r="A2395" s="28"/>
      <c r="B2395" s="28"/>
      <c r="C2395" s="28"/>
    </row>
    <row r="2396">
      <c r="A2396" s="28"/>
      <c r="B2396" s="28"/>
      <c r="C2396" s="28"/>
    </row>
    <row r="2397">
      <c r="A2397" s="28"/>
      <c r="B2397" s="28"/>
      <c r="C2397" s="28"/>
    </row>
    <row r="2398">
      <c r="A2398" s="28"/>
      <c r="B2398" s="28"/>
      <c r="C2398" s="28"/>
    </row>
    <row r="2399">
      <c r="A2399" s="28"/>
      <c r="B2399" s="28"/>
      <c r="C2399" s="28"/>
    </row>
    <row r="2400">
      <c r="A2400" s="28"/>
      <c r="B2400" s="28"/>
      <c r="C2400" s="28"/>
    </row>
    <row r="2401">
      <c r="A2401" s="28"/>
      <c r="B2401" s="28"/>
      <c r="C2401" s="28"/>
    </row>
    <row r="2402">
      <c r="A2402" s="28"/>
      <c r="B2402" s="28"/>
      <c r="C2402" s="28"/>
    </row>
    <row r="2403">
      <c r="A2403" s="28"/>
      <c r="B2403" s="28"/>
      <c r="C2403" s="28"/>
    </row>
    <row r="2404">
      <c r="A2404" s="28"/>
      <c r="B2404" s="28"/>
      <c r="C2404" s="28"/>
    </row>
    <row r="2405">
      <c r="A2405" s="28"/>
      <c r="B2405" s="28"/>
      <c r="C2405" s="28"/>
    </row>
    <row r="2406">
      <c r="A2406" s="28"/>
      <c r="B2406" s="28"/>
      <c r="C2406" s="28"/>
    </row>
    <row r="2407">
      <c r="A2407" s="28"/>
      <c r="B2407" s="28"/>
      <c r="C2407" s="28"/>
    </row>
    <row r="2408">
      <c r="A2408" s="28"/>
      <c r="B2408" s="28"/>
      <c r="C2408" s="28"/>
    </row>
    <row r="2409">
      <c r="A2409" s="28"/>
      <c r="B2409" s="28"/>
      <c r="C2409" s="28"/>
    </row>
    <row r="2410">
      <c r="A2410" s="28"/>
      <c r="B2410" s="28"/>
      <c r="C2410" s="28"/>
    </row>
    <row r="2411">
      <c r="A2411" s="28"/>
      <c r="B2411" s="28"/>
      <c r="C2411" s="28"/>
    </row>
    <row r="2412">
      <c r="A2412" s="28"/>
      <c r="B2412" s="28"/>
      <c r="C2412" s="28"/>
    </row>
    <row r="2413">
      <c r="A2413" s="28"/>
      <c r="B2413" s="28"/>
      <c r="C2413" s="28"/>
    </row>
    <row r="2414">
      <c r="A2414" s="28"/>
      <c r="B2414" s="28"/>
      <c r="C2414" s="28"/>
    </row>
    <row r="2415">
      <c r="A2415" s="28"/>
      <c r="B2415" s="28"/>
      <c r="C2415" s="28"/>
    </row>
    <row r="2416">
      <c r="A2416" s="28"/>
      <c r="B2416" s="28"/>
      <c r="C2416" s="28"/>
    </row>
    <row r="2417">
      <c r="A2417" s="28"/>
      <c r="B2417" s="28"/>
      <c r="C2417" s="28"/>
    </row>
    <row r="2418">
      <c r="A2418" s="28"/>
      <c r="B2418" s="28"/>
      <c r="C2418" s="28"/>
    </row>
    <row r="2419">
      <c r="A2419" s="28"/>
      <c r="B2419" s="28"/>
      <c r="C2419" s="28"/>
    </row>
    <row r="2420">
      <c r="A2420" s="28"/>
      <c r="B2420" s="28"/>
      <c r="C2420" s="28"/>
    </row>
    <row r="2421">
      <c r="A2421" s="28"/>
      <c r="B2421" s="28"/>
      <c r="C2421" s="28"/>
    </row>
    <row r="2422">
      <c r="A2422" s="28"/>
      <c r="B2422" s="28"/>
      <c r="C2422" s="28"/>
    </row>
    <row r="2423">
      <c r="A2423" s="28"/>
      <c r="B2423" s="28"/>
      <c r="C2423" s="28"/>
    </row>
    <row r="2424">
      <c r="A2424" s="28"/>
      <c r="B2424" s="28"/>
      <c r="C2424" s="28"/>
    </row>
    <row r="2425">
      <c r="A2425" s="28"/>
      <c r="B2425" s="28"/>
      <c r="C2425" s="28"/>
    </row>
    <row r="2426">
      <c r="A2426" s="28"/>
      <c r="B2426" s="28"/>
      <c r="C2426" s="28"/>
    </row>
    <row r="2427">
      <c r="A2427" s="28"/>
      <c r="B2427" s="28"/>
      <c r="C2427" s="28"/>
    </row>
    <row r="2428">
      <c r="A2428" s="28"/>
      <c r="B2428" s="28"/>
      <c r="C2428" s="28"/>
    </row>
    <row r="2429">
      <c r="A2429" s="28"/>
      <c r="B2429" s="28"/>
      <c r="C2429" s="28"/>
    </row>
    <row r="2430">
      <c r="A2430" s="28"/>
      <c r="B2430" s="28"/>
      <c r="C2430" s="28"/>
    </row>
    <row r="2431">
      <c r="A2431" s="28"/>
      <c r="B2431" s="28"/>
      <c r="C2431" s="28"/>
    </row>
    <row r="2432">
      <c r="A2432" s="28"/>
      <c r="B2432" s="28"/>
      <c r="C2432" s="28"/>
    </row>
    <row r="2433">
      <c r="A2433" s="28"/>
      <c r="B2433" s="28"/>
      <c r="C2433" s="28"/>
    </row>
    <row r="2434">
      <c r="A2434" s="28"/>
      <c r="B2434" s="28"/>
      <c r="C2434" s="28"/>
    </row>
    <row r="2435">
      <c r="A2435" s="28"/>
      <c r="B2435" s="28"/>
      <c r="C2435" s="28"/>
    </row>
    <row r="2436">
      <c r="A2436" s="28"/>
      <c r="B2436" s="28"/>
      <c r="C2436" s="28"/>
    </row>
    <row r="2437">
      <c r="A2437" s="28"/>
      <c r="B2437" s="28"/>
      <c r="C2437" s="28"/>
    </row>
    <row r="2438">
      <c r="A2438" s="28"/>
      <c r="B2438" s="28"/>
      <c r="C2438" s="28"/>
    </row>
    <row r="2439">
      <c r="A2439" s="28"/>
      <c r="B2439" s="28"/>
      <c r="C2439" s="28"/>
    </row>
    <row r="2440">
      <c r="A2440" s="28"/>
      <c r="B2440" s="28"/>
      <c r="C2440" s="28"/>
    </row>
    <row r="2441">
      <c r="A2441" s="28"/>
      <c r="B2441" s="28"/>
      <c r="C2441" s="28"/>
    </row>
    <row r="2442">
      <c r="A2442" s="28"/>
      <c r="B2442" s="28"/>
      <c r="C2442" s="28"/>
    </row>
    <row r="2443">
      <c r="A2443" s="28"/>
      <c r="B2443" s="28"/>
      <c r="C2443" s="28"/>
    </row>
    <row r="2444">
      <c r="A2444" s="28"/>
      <c r="B2444" s="28"/>
      <c r="C2444" s="28"/>
    </row>
    <row r="2445">
      <c r="A2445" s="28"/>
      <c r="B2445" s="28"/>
      <c r="C2445" s="28"/>
    </row>
    <row r="2446">
      <c r="A2446" s="28"/>
      <c r="B2446" s="28"/>
      <c r="C2446" s="28"/>
    </row>
    <row r="2447">
      <c r="A2447" s="28"/>
      <c r="B2447" s="28"/>
      <c r="C2447" s="28"/>
    </row>
    <row r="2448">
      <c r="A2448" s="28"/>
      <c r="B2448" s="28"/>
      <c r="C2448" s="28"/>
    </row>
    <row r="2449">
      <c r="A2449" s="28"/>
      <c r="B2449" s="28"/>
      <c r="C2449" s="28"/>
    </row>
    <row r="2450">
      <c r="A2450" s="28"/>
      <c r="B2450" s="28"/>
      <c r="C2450" s="28"/>
    </row>
    <row r="2451">
      <c r="A2451" s="28"/>
      <c r="B2451" s="28"/>
      <c r="C2451" s="28"/>
    </row>
    <row r="2452">
      <c r="A2452" s="28"/>
      <c r="B2452" s="28"/>
      <c r="C2452" s="28"/>
    </row>
    <row r="2453">
      <c r="A2453" s="28"/>
      <c r="B2453" s="28"/>
      <c r="C2453" s="28"/>
    </row>
    <row r="2454">
      <c r="A2454" s="28"/>
      <c r="B2454" s="28"/>
      <c r="C2454" s="28"/>
    </row>
    <row r="2455">
      <c r="A2455" s="28"/>
      <c r="B2455" s="28"/>
      <c r="C2455" s="28"/>
    </row>
    <row r="2456">
      <c r="A2456" s="28"/>
      <c r="B2456" s="28"/>
      <c r="C2456" s="28"/>
    </row>
    <row r="2457">
      <c r="A2457" s="28"/>
      <c r="B2457" s="28"/>
      <c r="C2457" s="28"/>
    </row>
    <row r="2458">
      <c r="A2458" s="28"/>
      <c r="B2458" s="28"/>
      <c r="C2458" s="28"/>
    </row>
    <row r="2459">
      <c r="A2459" s="28"/>
      <c r="B2459" s="28"/>
      <c r="C2459" s="28"/>
    </row>
    <row r="2460">
      <c r="A2460" s="28"/>
      <c r="B2460" s="28"/>
      <c r="C2460" s="28"/>
    </row>
    <row r="2461">
      <c r="A2461" s="28"/>
      <c r="B2461" s="28"/>
      <c r="C2461" s="28"/>
    </row>
    <row r="2462">
      <c r="A2462" s="28"/>
      <c r="B2462" s="28"/>
      <c r="C2462" s="28"/>
    </row>
    <row r="2463">
      <c r="A2463" s="28"/>
      <c r="B2463" s="28"/>
      <c r="C2463" s="28"/>
    </row>
    <row r="2464">
      <c r="A2464" s="28"/>
      <c r="B2464" s="28"/>
      <c r="C2464" s="28"/>
    </row>
    <row r="2465">
      <c r="A2465" s="28"/>
      <c r="B2465" s="28"/>
      <c r="C2465" s="28"/>
    </row>
    <row r="2466">
      <c r="A2466" s="28"/>
      <c r="B2466" s="28"/>
      <c r="C2466" s="28"/>
    </row>
    <row r="2467">
      <c r="A2467" s="28"/>
      <c r="B2467" s="28"/>
      <c r="C2467" s="28"/>
    </row>
    <row r="2468">
      <c r="A2468" s="28"/>
      <c r="B2468" s="28"/>
      <c r="C2468" s="28"/>
    </row>
    <row r="2469">
      <c r="A2469" s="28"/>
      <c r="B2469" s="28"/>
      <c r="C2469" s="28"/>
    </row>
    <row r="2470">
      <c r="A2470" s="28"/>
      <c r="B2470" s="28"/>
      <c r="C2470" s="28"/>
    </row>
    <row r="2471">
      <c r="A2471" s="28"/>
      <c r="B2471" s="28"/>
      <c r="C2471" s="28"/>
    </row>
    <row r="2472">
      <c r="A2472" s="28"/>
      <c r="B2472" s="28"/>
      <c r="C2472" s="28"/>
    </row>
    <row r="2473">
      <c r="A2473" s="28"/>
      <c r="B2473" s="28"/>
      <c r="C2473" s="28"/>
    </row>
    <row r="2474">
      <c r="A2474" s="28"/>
      <c r="B2474" s="28"/>
      <c r="C2474" s="28"/>
    </row>
    <row r="2475">
      <c r="A2475" s="28"/>
      <c r="B2475" s="28"/>
      <c r="C2475" s="28"/>
    </row>
    <row r="2476">
      <c r="A2476" s="28"/>
      <c r="B2476" s="28"/>
      <c r="C2476" s="28"/>
    </row>
    <row r="2477">
      <c r="A2477" s="28"/>
      <c r="B2477" s="28"/>
      <c r="C2477" s="28"/>
    </row>
    <row r="2478">
      <c r="A2478" s="28"/>
      <c r="B2478" s="28"/>
      <c r="C2478" s="28"/>
    </row>
    <row r="2479">
      <c r="A2479" s="28"/>
      <c r="B2479" s="28"/>
      <c r="C2479" s="28"/>
    </row>
    <row r="2480">
      <c r="A2480" s="28"/>
      <c r="B2480" s="28"/>
      <c r="C2480" s="28"/>
    </row>
    <row r="2481">
      <c r="A2481" s="28"/>
      <c r="B2481" s="28"/>
      <c r="C2481" s="28"/>
    </row>
    <row r="2482">
      <c r="A2482" s="28"/>
      <c r="B2482" s="28"/>
      <c r="C2482" s="28"/>
    </row>
    <row r="2483">
      <c r="A2483" s="28"/>
      <c r="B2483" s="28"/>
      <c r="C2483" s="28"/>
    </row>
    <row r="2484">
      <c r="A2484" s="28"/>
      <c r="B2484" s="28"/>
      <c r="C2484" s="28"/>
    </row>
    <row r="2485">
      <c r="A2485" s="28"/>
      <c r="B2485" s="28"/>
      <c r="C2485" s="28"/>
    </row>
    <row r="2486">
      <c r="A2486" s="28"/>
      <c r="B2486" s="28"/>
      <c r="C2486" s="28"/>
    </row>
    <row r="2487">
      <c r="A2487" s="28"/>
      <c r="B2487" s="28"/>
      <c r="C2487" s="28"/>
    </row>
    <row r="2488">
      <c r="A2488" s="28"/>
      <c r="B2488" s="28"/>
      <c r="C2488" s="28"/>
    </row>
    <row r="2489">
      <c r="A2489" s="28"/>
      <c r="B2489" s="28"/>
      <c r="C2489" s="28"/>
    </row>
    <row r="2490">
      <c r="A2490" s="28"/>
      <c r="B2490" s="28"/>
      <c r="C2490" s="28"/>
    </row>
    <row r="2491">
      <c r="A2491" s="28"/>
      <c r="B2491" s="28"/>
      <c r="C2491" s="28"/>
    </row>
    <row r="2492">
      <c r="A2492" s="28"/>
      <c r="B2492" s="28"/>
      <c r="C2492" s="28"/>
    </row>
    <row r="2493">
      <c r="A2493" s="28"/>
      <c r="B2493" s="28"/>
      <c r="C2493" s="28"/>
    </row>
    <row r="2494">
      <c r="A2494" s="28"/>
      <c r="B2494" s="28"/>
      <c r="C2494" s="28"/>
    </row>
    <row r="2495">
      <c r="A2495" s="28"/>
      <c r="B2495" s="28"/>
      <c r="C2495" s="28"/>
    </row>
    <row r="2496">
      <c r="A2496" s="28"/>
      <c r="B2496" s="28"/>
      <c r="C2496" s="28"/>
    </row>
    <row r="2497">
      <c r="A2497" s="28"/>
      <c r="B2497" s="28"/>
      <c r="C2497" s="28"/>
    </row>
    <row r="2498">
      <c r="A2498" s="28"/>
      <c r="B2498" s="28"/>
      <c r="C2498" s="28"/>
    </row>
    <row r="2499">
      <c r="A2499" s="28"/>
      <c r="B2499" s="28"/>
      <c r="C2499" s="28"/>
    </row>
    <row r="2500">
      <c r="A2500" s="28"/>
      <c r="B2500" s="28"/>
      <c r="C2500" s="28"/>
    </row>
    <row r="2501">
      <c r="A2501" s="28"/>
      <c r="B2501" s="28"/>
      <c r="C2501" s="28"/>
    </row>
    <row r="2502">
      <c r="A2502" s="28"/>
      <c r="B2502" s="28"/>
      <c r="C2502" s="28"/>
    </row>
    <row r="2503">
      <c r="A2503" s="28"/>
      <c r="B2503" s="28"/>
      <c r="C2503" s="28"/>
    </row>
    <row r="2504">
      <c r="A2504" s="28"/>
      <c r="B2504" s="28"/>
      <c r="C2504" s="28"/>
    </row>
    <row r="2505">
      <c r="A2505" s="28"/>
      <c r="B2505" s="28"/>
      <c r="C2505" s="28"/>
    </row>
    <row r="2506">
      <c r="A2506" s="28"/>
      <c r="B2506" s="28"/>
      <c r="C2506" s="28"/>
    </row>
    <row r="2507">
      <c r="A2507" s="28"/>
      <c r="B2507" s="28"/>
      <c r="C2507" s="28"/>
    </row>
    <row r="2508">
      <c r="A2508" s="28"/>
      <c r="B2508" s="28"/>
      <c r="C2508" s="28"/>
    </row>
    <row r="2509">
      <c r="A2509" s="28"/>
      <c r="B2509" s="28"/>
      <c r="C2509" s="28"/>
    </row>
    <row r="2510">
      <c r="A2510" s="28"/>
      <c r="B2510" s="28"/>
      <c r="C2510" s="28"/>
    </row>
    <row r="2511">
      <c r="A2511" s="28"/>
      <c r="B2511" s="28"/>
      <c r="C2511" s="28"/>
    </row>
    <row r="2512">
      <c r="A2512" s="28"/>
      <c r="B2512" s="28"/>
      <c r="C2512" s="28"/>
    </row>
    <row r="2513">
      <c r="A2513" s="28"/>
      <c r="B2513" s="28"/>
      <c r="C2513" s="28"/>
    </row>
    <row r="2514">
      <c r="A2514" s="28"/>
      <c r="B2514" s="28"/>
      <c r="C2514" s="28"/>
    </row>
    <row r="2515">
      <c r="A2515" s="28"/>
      <c r="B2515" s="28"/>
      <c r="C2515" s="28"/>
    </row>
    <row r="2516">
      <c r="A2516" s="28"/>
      <c r="B2516" s="28"/>
      <c r="C2516" s="28"/>
    </row>
    <row r="2517">
      <c r="A2517" s="28"/>
      <c r="B2517" s="28"/>
      <c r="C2517" s="28"/>
    </row>
    <row r="2518">
      <c r="A2518" s="28"/>
      <c r="B2518" s="28"/>
      <c r="C2518" s="28"/>
    </row>
    <row r="2519">
      <c r="A2519" s="28"/>
      <c r="B2519" s="28"/>
      <c r="C2519" s="28"/>
    </row>
    <row r="2520">
      <c r="A2520" s="28"/>
      <c r="B2520" s="28"/>
      <c r="C2520" s="28"/>
    </row>
    <row r="2521">
      <c r="A2521" s="28"/>
      <c r="B2521" s="28"/>
      <c r="C2521" s="28"/>
    </row>
    <row r="2522">
      <c r="A2522" s="28"/>
      <c r="B2522" s="28"/>
      <c r="C2522" s="28"/>
    </row>
    <row r="2523">
      <c r="A2523" s="28"/>
      <c r="B2523" s="28"/>
      <c r="C2523" s="28"/>
    </row>
    <row r="2524">
      <c r="A2524" s="28"/>
      <c r="B2524" s="28"/>
      <c r="C2524" s="28"/>
    </row>
    <row r="2525">
      <c r="A2525" s="28"/>
      <c r="B2525" s="28"/>
      <c r="C2525" s="28"/>
    </row>
    <row r="2526">
      <c r="A2526" s="28"/>
      <c r="B2526" s="28"/>
      <c r="C2526" s="28"/>
    </row>
    <row r="2527">
      <c r="A2527" s="28"/>
      <c r="B2527" s="28"/>
      <c r="C2527" s="28"/>
    </row>
    <row r="2528">
      <c r="A2528" s="28"/>
      <c r="B2528" s="28"/>
      <c r="C2528" s="28"/>
    </row>
    <row r="2529">
      <c r="A2529" s="28"/>
      <c r="B2529" s="28"/>
      <c r="C2529" s="28"/>
    </row>
    <row r="2530">
      <c r="A2530" s="28"/>
      <c r="B2530" s="28"/>
      <c r="C2530" s="28"/>
    </row>
    <row r="2531">
      <c r="A2531" s="28"/>
      <c r="B2531" s="28"/>
      <c r="C2531" s="28"/>
    </row>
    <row r="2532">
      <c r="A2532" s="28"/>
      <c r="B2532" s="28"/>
      <c r="C2532" s="28"/>
    </row>
    <row r="2533">
      <c r="A2533" s="28"/>
      <c r="B2533" s="28"/>
      <c r="C2533" s="28"/>
    </row>
    <row r="2534">
      <c r="A2534" s="28"/>
      <c r="B2534" s="28"/>
      <c r="C2534" s="28"/>
    </row>
    <row r="2535">
      <c r="A2535" s="28"/>
      <c r="B2535" s="28"/>
      <c r="C2535" s="28"/>
    </row>
    <row r="2536">
      <c r="A2536" s="28"/>
      <c r="B2536" s="28"/>
      <c r="C2536" s="28"/>
    </row>
    <row r="2537">
      <c r="A2537" s="28"/>
      <c r="B2537" s="28"/>
      <c r="C2537" s="28"/>
    </row>
    <row r="2538">
      <c r="A2538" s="28"/>
      <c r="B2538" s="28"/>
      <c r="C2538" s="28"/>
    </row>
    <row r="2539">
      <c r="A2539" s="28"/>
      <c r="B2539" s="28"/>
      <c r="C2539" s="28"/>
    </row>
    <row r="2540">
      <c r="A2540" s="28"/>
      <c r="B2540" s="28"/>
      <c r="C2540" s="28"/>
    </row>
    <row r="2541">
      <c r="A2541" s="28"/>
      <c r="B2541" s="28"/>
      <c r="C2541" s="28"/>
    </row>
    <row r="2542">
      <c r="A2542" s="28"/>
      <c r="B2542" s="28"/>
      <c r="C2542" s="28"/>
    </row>
    <row r="2543">
      <c r="A2543" s="28"/>
      <c r="B2543" s="28"/>
      <c r="C2543" s="28"/>
    </row>
    <row r="2544">
      <c r="A2544" s="28"/>
      <c r="B2544" s="28"/>
      <c r="C2544" s="28"/>
    </row>
    <row r="2545">
      <c r="A2545" s="28"/>
      <c r="B2545" s="28"/>
      <c r="C2545" s="28"/>
    </row>
    <row r="2546">
      <c r="A2546" s="28"/>
      <c r="B2546" s="28"/>
      <c r="C2546" s="28"/>
    </row>
    <row r="2547">
      <c r="A2547" s="28"/>
      <c r="B2547" s="28"/>
      <c r="C2547" s="28"/>
    </row>
    <row r="2548">
      <c r="A2548" s="28"/>
      <c r="B2548" s="28"/>
      <c r="C2548" s="28"/>
    </row>
    <row r="2549">
      <c r="A2549" s="28"/>
      <c r="B2549" s="28"/>
      <c r="C2549" s="28"/>
    </row>
    <row r="2550">
      <c r="A2550" s="28"/>
      <c r="B2550" s="28"/>
      <c r="C2550" s="28"/>
    </row>
    <row r="2551">
      <c r="A2551" s="28"/>
      <c r="B2551" s="28"/>
      <c r="C2551" s="28"/>
    </row>
    <row r="2552">
      <c r="A2552" s="28"/>
      <c r="B2552" s="28"/>
      <c r="C2552" s="28"/>
    </row>
    <row r="2553">
      <c r="A2553" s="28"/>
      <c r="B2553" s="28"/>
      <c r="C2553" s="28"/>
    </row>
    <row r="2554">
      <c r="A2554" s="28"/>
      <c r="B2554" s="28"/>
      <c r="C2554" s="28"/>
    </row>
    <row r="2555">
      <c r="A2555" s="28"/>
      <c r="B2555" s="28"/>
      <c r="C2555" s="28"/>
    </row>
    <row r="2556">
      <c r="A2556" s="28"/>
      <c r="B2556" s="28"/>
      <c r="C2556" s="28"/>
    </row>
    <row r="2557">
      <c r="A2557" s="28"/>
      <c r="B2557" s="28"/>
      <c r="C2557" s="28"/>
    </row>
    <row r="2558">
      <c r="A2558" s="28"/>
      <c r="B2558" s="28"/>
      <c r="C2558" s="28"/>
    </row>
    <row r="2559">
      <c r="A2559" s="28"/>
      <c r="B2559" s="28"/>
      <c r="C2559" s="28"/>
    </row>
    <row r="2560">
      <c r="A2560" s="28"/>
      <c r="B2560" s="28"/>
      <c r="C2560" s="28"/>
    </row>
    <row r="2561">
      <c r="A2561" s="28"/>
      <c r="B2561" s="28"/>
      <c r="C2561" s="28"/>
    </row>
    <row r="2562">
      <c r="A2562" s="28"/>
      <c r="B2562" s="28"/>
      <c r="C2562" s="28"/>
    </row>
    <row r="2563">
      <c r="A2563" s="28"/>
      <c r="B2563" s="28"/>
      <c r="C2563" s="28"/>
    </row>
    <row r="2564">
      <c r="A2564" s="28"/>
      <c r="B2564" s="28"/>
      <c r="C2564" s="28"/>
    </row>
    <row r="2565">
      <c r="A2565" s="28"/>
      <c r="B2565" s="28"/>
      <c r="C2565" s="28"/>
    </row>
    <row r="2566">
      <c r="A2566" s="28"/>
      <c r="B2566" s="28"/>
      <c r="C2566" s="28"/>
    </row>
    <row r="2567">
      <c r="A2567" s="28"/>
      <c r="B2567" s="28"/>
      <c r="C2567" s="28"/>
    </row>
    <row r="2568">
      <c r="A2568" s="28"/>
      <c r="B2568" s="28"/>
      <c r="C2568" s="28"/>
    </row>
    <row r="2569">
      <c r="A2569" s="28"/>
      <c r="B2569" s="28"/>
      <c r="C2569" s="28"/>
    </row>
    <row r="2570">
      <c r="A2570" s="28"/>
      <c r="B2570" s="28"/>
      <c r="C2570" s="28"/>
    </row>
    <row r="2571">
      <c r="A2571" s="28"/>
      <c r="B2571" s="28"/>
      <c r="C2571" s="28"/>
    </row>
    <row r="2572">
      <c r="A2572" s="28"/>
      <c r="B2572" s="28"/>
      <c r="C2572" s="28"/>
    </row>
    <row r="2573">
      <c r="A2573" s="28"/>
      <c r="B2573" s="28"/>
      <c r="C2573" s="28"/>
    </row>
    <row r="2574">
      <c r="A2574" s="28"/>
      <c r="B2574" s="28"/>
      <c r="C2574" s="28"/>
    </row>
    <row r="2575">
      <c r="A2575" s="28"/>
      <c r="B2575" s="28"/>
      <c r="C2575" s="28"/>
    </row>
    <row r="2576">
      <c r="A2576" s="28"/>
      <c r="B2576" s="28"/>
      <c r="C2576" s="28"/>
    </row>
    <row r="2577">
      <c r="A2577" s="28"/>
      <c r="B2577" s="28"/>
      <c r="C2577" s="28"/>
    </row>
    <row r="2578">
      <c r="A2578" s="28"/>
      <c r="B2578" s="28"/>
      <c r="C2578" s="28"/>
    </row>
    <row r="2579">
      <c r="A2579" s="28"/>
      <c r="B2579" s="28"/>
      <c r="C2579" s="28"/>
    </row>
    <row r="2580">
      <c r="A2580" s="28"/>
      <c r="B2580" s="28"/>
      <c r="C2580" s="28"/>
    </row>
    <row r="2581">
      <c r="A2581" s="28"/>
      <c r="B2581" s="28"/>
      <c r="C2581" s="28"/>
    </row>
    <row r="2582">
      <c r="A2582" s="28"/>
      <c r="B2582" s="28"/>
      <c r="C2582" s="28"/>
    </row>
    <row r="2583">
      <c r="A2583" s="28"/>
      <c r="B2583" s="28"/>
      <c r="C2583" s="28"/>
    </row>
    <row r="2584">
      <c r="A2584" s="28"/>
      <c r="B2584" s="28"/>
      <c r="C2584" s="28"/>
    </row>
    <row r="2585">
      <c r="A2585" s="28"/>
      <c r="B2585" s="28"/>
      <c r="C2585" s="28"/>
    </row>
    <row r="2586">
      <c r="A2586" s="28"/>
      <c r="B2586" s="28"/>
      <c r="C2586" s="28"/>
    </row>
    <row r="2587">
      <c r="A2587" s="28"/>
      <c r="B2587" s="28"/>
      <c r="C2587" s="28"/>
    </row>
    <row r="2588">
      <c r="A2588" s="28"/>
      <c r="B2588" s="28"/>
      <c r="C2588" s="28"/>
    </row>
    <row r="2589">
      <c r="A2589" s="28"/>
      <c r="B2589" s="28"/>
      <c r="C2589" s="28"/>
    </row>
    <row r="2590">
      <c r="A2590" s="28"/>
      <c r="B2590" s="28"/>
      <c r="C2590" s="28"/>
    </row>
    <row r="2591">
      <c r="A2591" s="28"/>
      <c r="B2591" s="28"/>
      <c r="C2591" s="28"/>
    </row>
    <row r="2592">
      <c r="A2592" s="28"/>
      <c r="B2592" s="28"/>
      <c r="C2592" s="28"/>
    </row>
    <row r="2593">
      <c r="A2593" s="28"/>
      <c r="B2593" s="28"/>
      <c r="C2593" s="28"/>
    </row>
    <row r="2594">
      <c r="A2594" s="28"/>
      <c r="B2594" s="28"/>
      <c r="C2594" s="28"/>
    </row>
    <row r="2595">
      <c r="A2595" s="28"/>
      <c r="B2595" s="28"/>
      <c r="C2595" s="28"/>
    </row>
    <row r="2596">
      <c r="A2596" s="28"/>
      <c r="B2596" s="28"/>
      <c r="C2596" s="28"/>
    </row>
    <row r="2597">
      <c r="A2597" s="28"/>
      <c r="B2597" s="28"/>
      <c r="C2597" s="28"/>
    </row>
    <row r="2598">
      <c r="A2598" s="28"/>
      <c r="B2598" s="28"/>
      <c r="C2598" s="28"/>
    </row>
    <row r="2599">
      <c r="A2599" s="28"/>
      <c r="B2599" s="28"/>
      <c r="C2599" s="28"/>
    </row>
    <row r="2600">
      <c r="A2600" s="28"/>
      <c r="B2600" s="28"/>
      <c r="C2600" s="28"/>
    </row>
    <row r="2601">
      <c r="A2601" s="28"/>
      <c r="B2601" s="28"/>
      <c r="C2601" s="28"/>
    </row>
    <row r="2602">
      <c r="A2602" s="28"/>
      <c r="B2602" s="28"/>
      <c r="C2602" s="28"/>
    </row>
    <row r="2603">
      <c r="A2603" s="28"/>
      <c r="B2603" s="28"/>
      <c r="C2603" s="28"/>
    </row>
    <row r="2604">
      <c r="A2604" s="28"/>
      <c r="B2604" s="28"/>
      <c r="C2604" s="28"/>
    </row>
    <row r="2605">
      <c r="A2605" s="28"/>
      <c r="B2605" s="28"/>
      <c r="C2605" s="28"/>
    </row>
    <row r="2606">
      <c r="A2606" s="28"/>
      <c r="B2606" s="28"/>
      <c r="C2606" s="28"/>
    </row>
    <row r="2607">
      <c r="A2607" s="28"/>
      <c r="B2607" s="28"/>
      <c r="C2607" s="28"/>
    </row>
    <row r="2608">
      <c r="A2608" s="28"/>
      <c r="B2608" s="28"/>
      <c r="C2608" s="28"/>
    </row>
    <row r="2609">
      <c r="A2609" s="28"/>
      <c r="B2609" s="28"/>
      <c r="C2609" s="28"/>
    </row>
    <row r="2610">
      <c r="A2610" s="28"/>
      <c r="B2610" s="28"/>
      <c r="C2610" s="28"/>
    </row>
    <row r="2611">
      <c r="A2611" s="28"/>
      <c r="B2611" s="28"/>
      <c r="C2611" s="28"/>
    </row>
    <row r="2612">
      <c r="A2612" s="28"/>
      <c r="B2612" s="28"/>
      <c r="C2612" s="28"/>
    </row>
    <row r="2613">
      <c r="A2613" s="28"/>
      <c r="B2613" s="28"/>
      <c r="C2613" s="28"/>
    </row>
    <row r="2614">
      <c r="A2614" s="28"/>
      <c r="B2614" s="28"/>
      <c r="C2614" s="28"/>
    </row>
    <row r="2615">
      <c r="A2615" s="28"/>
      <c r="B2615" s="28"/>
      <c r="C2615" s="28"/>
    </row>
    <row r="2616">
      <c r="A2616" s="28"/>
      <c r="B2616" s="28"/>
      <c r="C2616" s="28"/>
    </row>
    <row r="2617">
      <c r="A2617" s="28"/>
      <c r="B2617" s="28"/>
      <c r="C2617" s="28"/>
    </row>
    <row r="2618">
      <c r="A2618" s="28"/>
      <c r="B2618" s="28"/>
      <c r="C2618" s="28"/>
    </row>
    <row r="2619">
      <c r="A2619" s="28"/>
      <c r="B2619" s="28"/>
      <c r="C2619" s="28"/>
    </row>
    <row r="2620">
      <c r="A2620" s="28"/>
      <c r="B2620" s="28"/>
      <c r="C2620" s="28"/>
    </row>
    <row r="2621">
      <c r="A2621" s="28"/>
      <c r="B2621" s="28"/>
      <c r="C2621" s="28"/>
    </row>
    <row r="2622">
      <c r="A2622" s="28"/>
      <c r="B2622" s="28"/>
      <c r="C2622" s="28"/>
    </row>
    <row r="2623">
      <c r="A2623" s="28"/>
      <c r="B2623" s="28"/>
      <c r="C2623" s="28"/>
    </row>
    <row r="2624">
      <c r="A2624" s="28"/>
      <c r="B2624" s="28"/>
      <c r="C2624" s="28"/>
    </row>
    <row r="2625">
      <c r="A2625" s="28"/>
      <c r="B2625" s="28"/>
      <c r="C2625" s="28"/>
    </row>
    <row r="2626">
      <c r="A2626" s="28"/>
      <c r="B2626" s="28"/>
      <c r="C2626" s="28"/>
    </row>
    <row r="2627">
      <c r="A2627" s="28"/>
      <c r="B2627" s="28"/>
      <c r="C2627" s="28"/>
    </row>
    <row r="2628">
      <c r="A2628" s="28"/>
      <c r="B2628" s="28"/>
      <c r="C2628" s="28"/>
    </row>
    <row r="2629">
      <c r="A2629" s="28"/>
      <c r="B2629" s="28"/>
      <c r="C2629" s="28"/>
    </row>
    <row r="2630">
      <c r="A2630" s="28"/>
      <c r="B2630" s="28"/>
      <c r="C2630" s="28"/>
    </row>
    <row r="2631">
      <c r="A2631" s="28"/>
      <c r="B2631" s="28"/>
      <c r="C2631" s="28"/>
    </row>
    <row r="2632">
      <c r="A2632" s="28"/>
      <c r="B2632" s="28"/>
      <c r="C2632" s="28"/>
    </row>
    <row r="2633">
      <c r="A2633" s="28"/>
      <c r="B2633" s="28"/>
      <c r="C2633" s="28"/>
    </row>
    <row r="2634">
      <c r="A2634" s="28"/>
      <c r="B2634" s="28"/>
      <c r="C2634" s="28"/>
    </row>
    <row r="2635">
      <c r="A2635" s="28"/>
      <c r="B2635" s="28"/>
      <c r="C2635" s="28"/>
    </row>
    <row r="2636">
      <c r="A2636" s="28"/>
      <c r="B2636" s="28"/>
      <c r="C2636" s="28"/>
    </row>
    <row r="2637">
      <c r="A2637" s="28"/>
      <c r="B2637" s="28"/>
      <c r="C2637" s="28"/>
    </row>
    <row r="2638">
      <c r="A2638" s="28"/>
      <c r="B2638" s="28"/>
      <c r="C2638" s="28"/>
    </row>
    <row r="2639">
      <c r="A2639" s="28"/>
      <c r="B2639" s="28"/>
      <c r="C2639" s="28"/>
    </row>
    <row r="2640">
      <c r="A2640" s="28"/>
      <c r="B2640" s="28"/>
      <c r="C2640" s="28"/>
    </row>
    <row r="2641">
      <c r="A2641" s="28"/>
      <c r="B2641" s="28"/>
      <c r="C2641" s="28"/>
    </row>
    <row r="2642">
      <c r="A2642" s="28"/>
      <c r="B2642" s="28"/>
      <c r="C2642" s="28"/>
    </row>
    <row r="2643">
      <c r="A2643" s="28"/>
      <c r="B2643" s="28"/>
      <c r="C2643" s="28"/>
    </row>
    <row r="2644">
      <c r="A2644" s="28"/>
      <c r="B2644" s="28"/>
      <c r="C2644" s="28"/>
    </row>
    <row r="2645">
      <c r="A2645" s="28"/>
      <c r="B2645" s="28"/>
      <c r="C2645" s="28"/>
    </row>
    <row r="2646">
      <c r="A2646" s="28"/>
      <c r="B2646" s="28"/>
      <c r="C2646" s="28"/>
    </row>
    <row r="2647">
      <c r="A2647" s="28"/>
      <c r="B2647" s="28"/>
      <c r="C2647" s="28"/>
    </row>
    <row r="2648">
      <c r="A2648" s="28"/>
      <c r="B2648" s="28"/>
      <c r="C2648" s="28"/>
    </row>
    <row r="2649">
      <c r="A2649" s="28"/>
      <c r="B2649" s="28"/>
      <c r="C2649" s="28"/>
    </row>
    <row r="2650">
      <c r="A2650" s="28"/>
      <c r="B2650" s="28"/>
      <c r="C2650" s="28"/>
    </row>
    <row r="2651">
      <c r="A2651" s="28"/>
      <c r="B2651" s="28"/>
      <c r="C2651" s="28"/>
    </row>
    <row r="2652">
      <c r="A2652" s="28"/>
      <c r="B2652" s="28"/>
      <c r="C2652" s="28"/>
    </row>
    <row r="2653">
      <c r="A2653" s="28"/>
      <c r="B2653" s="28"/>
      <c r="C2653" s="28"/>
    </row>
    <row r="2654">
      <c r="A2654" s="28"/>
      <c r="B2654" s="28"/>
      <c r="C2654" s="28"/>
    </row>
    <row r="2655">
      <c r="A2655" s="28"/>
      <c r="B2655" s="28"/>
      <c r="C2655" s="28"/>
    </row>
    <row r="2656">
      <c r="A2656" s="28"/>
      <c r="B2656" s="28"/>
      <c r="C2656" s="28"/>
    </row>
    <row r="2657">
      <c r="A2657" s="28"/>
      <c r="B2657" s="28"/>
      <c r="C2657" s="28"/>
    </row>
    <row r="2658">
      <c r="A2658" s="28"/>
      <c r="B2658" s="28"/>
      <c r="C2658" s="28"/>
    </row>
    <row r="2659">
      <c r="A2659" s="28"/>
      <c r="B2659" s="28"/>
      <c r="C2659" s="28"/>
    </row>
    <row r="2660">
      <c r="A2660" s="28"/>
      <c r="B2660" s="28"/>
      <c r="C2660" s="28"/>
    </row>
    <row r="2661">
      <c r="A2661" s="28"/>
      <c r="B2661" s="28"/>
      <c r="C2661" s="28"/>
    </row>
    <row r="2662">
      <c r="A2662" s="28"/>
      <c r="B2662" s="28"/>
      <c r="C2662" s="28"/>
    </row>
    <row r="2663">
      <c r="A2663" s="28"/>
      <c r="B2663" s="28"/>
      <c r="C2663" s="28"/>
    </row>
    <row r="2664">
      <c r="A2664" s="28"/>
      <c r="B2664" s="28"/>
      <c r="C2664" s="28"/>
    </row>
    <row r="2665">
      <c r="A2665" s="28"/>
      <c r="B2665" s="28"/>
      <c r="C2665" s="28"/>
    </row>
    <row r="2666">
      <c r="A2666" s="28"/>
      <c r="B2666" s="28"/>
      <c r="C2666" s="28"/>
    </row>
    <row r="2667">
      <c r="A2667" s="28"/>
      <c r="B2667" s="28"/>
      <c r="C2667" s="28"/>
    </row>
    <row r="2668">
      <c r="A2668" s="28"/>
      <c r="B2668" s="28"/>
      <c r="C2668" s="28"/>
    </row>
    <row r="2669">
      <c r="A2669" s="28"/>
      <c r="B2669" s="28"/>
      <c r="C2669" s="28"/>
    </row>
    <row r="2670">
      <c r="A2670" s="28"/>
      <c r="B2670" s="28"/>
      <c r="C2670" s="28"/>
    </row>
    <row r="2671">
      <c r="A2671" s="28"/>
      <c r="B2671" s="28"/>
      <c r="C2671" s="28"/>
    </row>
    <row r="2672">
      <c r="A2672" s="28"/>
      <c r="B2672" s="28"/>
      <c r="C2672" s="28"/>
    </row>
    <row r="2673">
      <c r="A2673" s="28"/>
      <c r="B2673" s="28"/>
      <c r="C2673" s="28"/>
    </row>
    <row r="2674">
      <c r="A2674" s="28"/>
      <c r="B2674" s="28"/>
      <c r="C2674" s="28"/>
    </row>
    <row r="2675">
      <c r="A2675" s="28"/>
      <c r="B2675" s="28"/>
      <c r="C2675" s="28"/>
    </row>
    <row r="2676">
      <c r="A2676" s="28"/>
      <c r="B2676" s="28"/>
      <c r="C2676" s="28"/>
    </row>
    <row r="2677">
      <c r="A2677" s="28"/>
      <c r="B2677" s="28"/>
      <c r="C2677" s="28"/>
    </row>
    <row r="2678">
      <c r="A2678" s="28"/>
      <c r="B2678" s="28"/>
      <c r="C2678" s="28"/>
    </row>
    <row r="2679">
      <c r="A2679" s="28"/>
      <c r="B2679" s="28"/>
      <c r="C2679" s="28"/>
    </row>
    <row r="2680">
      <c r="A2680" s="28"/>
      <c r="B2680" s="28"/>
      <c r="C2680" s="28"/>
    </row>
    <row r="2681">
      <c r="A2681" s="28"/>
      <c r="B2681" s="28"/>
      <c r="C2681" s="28"/>
    </row>
    <row r="2682">
      <c r="A2682" s="28"/>
      <c r="B2682" s="28"/>
      <c r="C2682" s="28"/>
    </row>
    <row r="2683">
      <c r="A2683" s="28"/>
      <c r="B2683" s="28"/>
      <c r="C2683" s="28"/>
    </row>
    <row r="2684">
      <c r="A2684" s="28"/>
      <c r="B2684" s="28"/>
      <c r="C2684" s="28"/>
    </row>
    <row r="2685">
      <c r="A2685" s="28"/>
      <c r="B2685" s="28"/>
      <c r="C2685" s="28"/>
    </row>
    <row r="2686">
      <c r="A2686" s="28"/>
      <c r="B2686" s="28"/>
      <c r="C2686" s="28"/>
    </row>
    <row r="2687">
      <c r="A2687" s="28"/>
      <c r="B2687" s="28"/>
      <c r="C2687" s="28"/>
    </row>
    <row r="2688">
      <c r="A2688" s="28"/>
      <c r="B2688" s="28"/>
      <c r="C2688" s="28"/>
    </row>
    <row r="2689">
      <c r="A2689" s="28"/>
      <c r="B2689" s="28"/>
      <c r="C2689" s="28"/>
    </row>
    <row r="2690">
      <c r="A2690" s="28"/>
      <c r="B2690" s="28"/>
      <c r="C2690" s="28"/>
    </row>
    <row r="2691">
      <c r="A2691" s="28"/>
      <c r="B2691" s="28"/>
      <c r="C2691" s="28"/>
    </row>
    <row r="2692">
      <c r="A2692" s="28"/>
      <c r="B2692" s="28"/>
      <c r="C2692" s="28"/>
    </row>
    <row r="2693">
      <c r="A2693" s="28"/>
      <c r="B2693" s="28"/>
      <c r="C2693" s="28"/>
    </row>
    <row r="2694">
      <c r="A2694" s="28"/>
      <c r="B2694" s="28"/>
      <c r="C2694" s="28"/>
    </row>
    <row r="2695">
      <c r="A2695" s="28"/>
      <c r="B2695" s="28"/>
      <c r="C2695" s="28"/>
    </row>
    <row r="2696">
      <c r="A2696" s="28"/>
      <c r="B2696" s="28"/>
      <c r="C2696" s="28"/>
    </row>
    <row r="2697">
      <c r="A2697" s="28"/>
      <c r="B2697" s="28"/>
      <c r="C2697" s="28"/>
    </row>
    <row r="2698">
      <c r="A2698" s="28"/>
      <c r="B2698" s="28"/>
      <c r="C2698" s="28"/>
    </row>
    <row r="2699">
      <c r="A2699" s="28"/>
      <c r="B2699" s="28"/>
      <c r="C2699" s="28"/>
    </row>
    <row r="2700">
      <c r="A2700" s="28"/>
      <c r="B2700" s="28"/>
      <c r="C2700" s="28"/>
    </row>
    <row r="2701">
      <c r="A2701" s="28"/>
      <c r="B2701" s="28"/>
      <c r="C2701" s="28"/>
    </row>
    <row r="2702">
      <c r="A2702" s="28"/>
      <c r="B2702" s="28"/>
      <c r="C2702" s="28"/>
    </row>
    <row r="2703">
      <c r="A2703" s="28"/>
      <c r="B2703" s="28"/>
      <c r="C2703" s="28"/>
    </row>
    <row r="2704">
      <c r="A2704" s="28"/>
      <c r="B2704" s="28"/>
      <c r="C2704" s="28"/>
    </row>
    <row r="2705">
      <c r="A2705" s="28"/>
      <c r="B2705" s="28"/>
      <c r="C2705" s="28"/>
    </row>
    <row r="2706">
      <c r="A2706" s="28"/>
      <c r="B2706" s="28"/>
      <c r="C2706" s="28"/>
    </row>
    <row r="2707">
      <c r="A2707" s="28"/>
      <c r="B2707" s="28"/>
      <c r="C2707" s="28"/>
    </row>
    <row r="2708">
      <c r="A2708" s="28"/>
      <c r="B2708" s="28"/>
      <c r="C2708" s="28"/>
    </row>
    <row r="2709">
      <c r="A2709" s="28"/>
      <c r="B2709" s="28"/>
      <c r="C2709" s="28"/>
    </row>
    <row r="2710">
      <c r="A2710" s="28"/>
      <c r="B2710" s="28"/>
      <c r="C2710" s="28"/>
    </row>
    <row r="2711">
      <c r="A2711" s="28"/>
      <c r="B2711" s="28"/>
      <c r="C2711" s="28"/>
    </row>
    <row r="2712">
      <c r="A2712" s="28"/>
      <c r="B2712" s="28"/>
      <c r="C2712" s="28"/>
    </row>
    <row r="2713">
      <c r="A2713" s="28"/>
      <c r="B2713" s="28"/>
      <c r="C2713" s="28"/>
    </row>
    <row r="2714">
      <c r="A2714" s="28"/>
      <c r="B2714" s="28"/>
      <c r="C2714" s="28"/>
    </row>
    <row r="2715">
      <c r="A2715" s="28"/>
      <c r="B2715" s="28"/>
      <c r="C2715" s="28"/>
    </row>
    <row r="2716">
      <c r="A2716" s="28"/>
      <c r="B2716" s="28"/>
      <c r="C2716" s="28"/>
    </row>
    <row r="2717">
      <c r="A2717" s="28"/>
      <c r="B2717" s="28"/>
      <c r="C2717" s="28"/>
    </row>
    <row r="2718">
      <c r="A2718" s="28"/>
      <c r="B2718" s="28"/>
      <c r="C2718" s="28"/>
    </row>
    <row r="2719">
      <c r="A2719" s="28"/>
      <c r="B2719" s="28"/>
      <c r="C2719" s="28"/>
    </row>
    <row r="2720">
      <c r="A2720" s="28"/>
      <c r="B2720" s="28"/>
      <c r="C2720" s="28"/>
    </row>
    <row r="2721">
      <c r="A2721" s="28"/>
      <c r="B2721" s="28"/>
      <c r="C2721" s="28"/>
    </row>
    <row r="2722">
      <c r="A2722" s="28"/>
      <c r="B2722" s="28"/>
      <c r="C2722" s="28"/>
    </row>
    <row r="2723">
      <c r="A2723" s="28"/>
      <c r="B2723" s="28"/>
      <c r="C2723" s="28"/>
    </row>
    <row r="2724">
      <c r="A2724" s="28"/>
      <c r="B2724" s="28"/>
      <c r="C2724" s="28"/>
    </row>
    <row r="2725">
      <c r="A2725" s="28"/>
      <c r="B2725" s="28"/>
      <c r="C2725" s="28"/>
    </row>
    <row r="2726">
      <c r="A2726" s="28"/>
      <c r="B2726" s="28"/>
      <c r="C2726" s="28"/>
    </row>
    <row r="2727">
      <c r="A2727" s="28"/>
      <c r="B2727" s="28"/>
      <c r="C2727" s="28"/>
    </row>
    <row r="2728">
      <c r="A2728" s="28"/>
      <c r="B2728" s="28"/>
      <c r="C2728" s="28"/>
    </row>
    <row r="2729">
      <c r="A2729" s="28"/>
      <c r="B2729" s="28"/>
      <c r="C2729" s="28"/>
    </row>
    <row r="2730">
      <c r="A2730" s="28"/>
      <c r="B2730" s="28"/>
      <c r="C2730" s="28"/>
    </row>
    <row r="2731">
      <c r="A2731" s="28"/>
      <c r="B2731" s="28"/>
      <c r="C2731" s="28"/>
    </row>
    <row r="2732">
      <c r="A2732" s="28"/>
      <c r="B2732" s="28"/>
      <c r="C2732" s="28"/>
    </row>
    <row r="2733">
      <c r="A2733" s="28"/>
      <c r="B2733" s="28"/>
      <c r="C2733" s="28"/>
    </row>
    <row r="2734">
      <c r="A2734" s="28"/>
      <c r="B2734" s="28"/>
      <c r="C2734" s="28"/>
    </row>
    <row r="2735">
      <c r="A2735" s="28"/>
      <c r="B2735" s="28"/>
      <c r="C2735" s="28"/>
    </row>
    <row r="2736">
      <c r="A2736" s="28"/>
      <c r="B2736" s="28"/>
      <c r="C2736" s="28"/>
    </row>
    <row r="2737">
      <c r="A2737" s="28"/>
      <c r="B2737" s="28"/>
      <c r="C2737" s="28"/>
    </row>
    <row r="2738">
      <c r="A2738" s="28"/>
      <c r="B2738" s="28"/>
      <c r="C2738" s="28"/>
    </row>
    <row r="2739">
      <c r="A2739" s="28"/>
      <c r="B2739" s="28"/>
      <c r="C2739" s="28"/>
    </row>
    <row r="2740">
      <c r="A2740" s="28"/>
      <c r="B2740" s="28"/>
      <c r="C2740" s="28"/>
    </row>
    <row r="2741">
      <c r="A2741" s="28"/>
      <c r="B2741" s="28"/>
      <c r="C2741" s="28"/>
    </row>
    <row r="2742">
      <c r="A2742" s="28"/>
      <c r="B2742" s="28"/>
      <c r="C2742" s="28"/>
    </row>
    <row r="2743">
      <c r="A2743" s="28"/>
      <c r="B2743" s="28"/>
      <c r="C2743" s="28"/>
    </row>
    <row r="2744">
      <c r="A2744" s="28"/>
      <c r="B2744" s="28"/>
      <c r="C2744" s="28"/>
    </row>
    <row r="2745">
      <c r="A2745" s="28"/>
      <c r="B2745" s="28"/>
      <c r="C2745" s="28"/>
    </row>
    <row r="2746">
      <c r="A2746" s="28"/>
      <c r="B2746" s="28"/>
      <c r="C2746" s="28"/>
    </row>
    <row r="2747">
      <c r="A2747" s="28"/>
      <c r="B2747" s="28"/>
      <c r="C2747" s="28"/>
    </row>
    <row r="2748">
      <c r="A2748" s="28"/>
      <c r="B2748" s="28"/>
      <c r="C2748" s="28"/>
    </row>
    <row r="2749">
      <c r="A2749" s="28"/>
      <c r="B2749" s="28"/>
      <c r="C2749" s="28"/>
    </row>
    <row r="2750">
      <c r="A2750" s="28"/>
      <c r="B2750" s="28"/>
      <c r="C2750" s="28"/>
    </row>
    <row r="2751">
      <c r="A2751" s="28"/>
      <c r="B2751" s="28"/>
      <c r="C2751" s="28"/>
    </row>
    <row r="2752">
      <c r="A2752" s="28"/>
      <c r="B2752" s="28"/>
      <c r="C2752" s="28"/>
    </row>
    <row r="2753">
      <c r="A2753" s="28"/>
      <c r="B2753" s="28"/>
      <c r="C2753" s="28"/>
    </row>
    <row r="2754">
      <c r="A2754" s="28"/>
      <c r="B2754" s="28"/>
      <c r="C2754" s="28"/>
    </row>
    <row r="2755">
      <c r="A2755" s="28"/>
      <c r="B2755" s="28"/>
      <c r="C2755" s="28"/>
    </row>
    <row r="2756">
      <c r="A2756" s="28"/>
      <c r="B2756" s="28"/>
      <c r="C2756" s="28"/>
    </row>
    <row r="2757">
      <c r="A2757" s="28"/>
      <c r="B2757" s="28"/>
      <c r="C2757" s="28"/>
    </row>
    <row r="2758">
      <c r="A2758" s="28"/>
      <c r="B2758" s="28"/>
      <c r="C2758" s="28"/>
    </row>
    <row r="2759">
      <c r="A2759" s="28"/>
      <c r="B2759" s="28"/>
      <c r="C2759" s="28"/>
    </row>
    <row r="2760">
      <c r="A2760" s="28"/>
      <c r="B2760" s="28"/>
      <c r="C2760" s="28"/>
    </row>
    <row r="2761">
      <c r="A2761" s="28"/>
      <c r="B2761" s="28"/>
      <c r="C2761" s="28"/>
    </row>
    <row r="2762">
      <c r="A2762" s="28"/>
      <c r="B2762" s="28"/>
      <c r="C2762" s="28"/>
    </row>
    <row r="2763">
      <c r="A2763" s="28"/>
      <c r="B2763" s="28"/>
      <c r="C2763" s="28"/>
    </row>
    <row r="2764">
      <c r="A2764" s="28"/>
      <c r="B2764" s="28"/>
      <c r="C2764" s="28"/>
    </row>
    <row r="2765">
      <c r="A2765" s="28"/>
      <c r="B2765" s="28"/>
      <c r="C2765" s="28"/>
    </row>
    <row r="2766">
      <c r="A2766" s="28"/>
      <c r="B2766" s="28"/>
      <c r="C2766" s="28"/>
    </row>
    <row r="2767">
      <c r="A2767" s="28"/>
      <c r="B2767" s="28"/>
      <c r="C2767" s="28"/>
    </row>
    <row r="2768">
      <c r="A2768" s="28"/>
      <c r="B2768" s="28"/>
      <c r="C2768" s="28"/>
    </row>
    <row r="2769">
      <c r="A2769" s="28"/>
      <c r="B2769" s="28"/>
      <c r="C2769" s="28"/>
    </row>
    <row r="2770">
      <c r="A2770" s="28"/>
      <c r="B2770" s="28"/>
      <c r="C2770" s="28"/>
    </row>
    <row r="2771">
      <c r="A2771" s="28"/>
      <c r="B2771" s="28"/>
      <c r="C2771" s="28"/>
    </row>
    <row r="2772">
      <c r="A2772" s="28"/>
      <c r="B2772" s="28"/>
      <c r="C2772" s="28"/>
    </row>
    <row r="2773">
      <c r="A2773" s="28"/>
      <c r="B2773" s="28"/>
      <c r="C2773" s="28"/>
    </row>
    <row r="2774">
      <c r="A2774" s="28"/>
      <c r="B2774" s="28"/>
      <c r="C2774" s="28"/>
    </row>
    <row r="2775">
      <c r="A2775" s="28"/>
      <c r="B2775" s="28"/>
      <c r="C2775" s="28"/>
    </row>
    <row r="2776">
      <c r="A2776" s="28"/>
      <c r="B2776" s="28"/>
      <c r="C2776" s="28"/>
    </row>
    <row r="2777">
      <c r="A2777" s="28"/>
      <c r="B2777" s="28"/>
      <c r="C2777" s="28"/>
    </row>
    <row r="2778">
      <c r="A2778" s="28"/>
      <c r="B2778" s="28"/>
      <c r="C2778" s="28"/>
    </row>
    <row r="2779">
      <c r="A2779" s="28"/>
      <c r="B2779" s="28"/>
      <c r="C2779" s="28"/>
    </row>
    <row r="2780">
      <c r="A2780" s="28"/>
      <c r="B2780" s="28"/>
      <c r="C2780" s="28"/>
    </row>
    <row r="2781">
      <c r="A2781" s="28"/>
      <c r="B2781" s="28"/>
      <c r="C2781" s="28"/>
    </row>
    <row r="2782">
      <c r="A2782" s="28"/>
      <c r="B2782" s="28"/>
      <c r="C2782" s="28"/>
    </row>
    <row r="2783">
      <c r="A2783" s="28"/>
      <c r="B2783" s="28"/>
      <c r="C2783" s="28"/>
    </row>
    <row r="2784">
      <c r="A2784" s="28"/>
      <c r="B2784" s="28"/>
      <c r="C2784" s="28"/>
    </row>
    <row r="2785">
      <c r="A2785" s="28"/>
      <c r="B2785" s="28"/>
      <c r="C2785" s="28"/>
    </row>
    <row r="2786">
      <c r="A2786" s="28"/>
      <c r="B2786" s="28"/>
      <c r="C2786" s="28"/>
    </row>
    <row r="2787">
      <c r="A2787" s="28"/>
      <c r="B2787" s="28"/>
      <c r="C2787" s="28"/>
    </row>
    <row r="2788">
      <c r="A2788" s="28"/>
      <c r="B2788" s="28"/>
      <c r="C2788" s="28"/>
    </row>
    <row r="2789">
      <c r="A2789" s="28"/>
      <c r="B2789" s="28"/>
      <c r="C2789" s="28"/>
    </row>
    <row r="2790">
      <c r="A2790" s="28"/>
      <c r="B2790" s="28"/>
      <c r="C2790" s="28"/>
    </row>
    <row r="2791">
      <c r="A2791" s="28"/>
      <c r="B2791" s="28"/>
      <c r="C2791" s="28"/>
    </row>
    <row r="2792">
      <c r="A2792" s="28"/>
      <c r="B2792" s="28"/>
      <c r="C2792" s="28"/>
    </row>
    <row r="2793">
      <c r="A2793" s="28"/>
      <c r="B2793" s="28"/>
      <c r="C2793" s="28"/>
    </row>
    <row r="2794">
      <c r="A2794" s="28"/>
      <c r="B2794" s="28"/>
      <c r="C2794" s="28"/>
    </row>
    <row r="2795">
      <c r="A2795" s="28"/>
      <c r="B2795" s="28"/>
      <c r="C2795" s="28"/>
    </row>
    <row r="2796">
      <c r="A2796" s="28"/>
      <c r="B2796" s="28"/>
      <c r="C2796" s="28"/>
    </row>
    <row r="2797">
      <c r="A2797" s="28"/>
      <c r="B2797" s="28"/>
      <c r="C2797" s="28"/>
    </row>
    <row r="2798">
      <c r="A2798" s="28"/>
      <c r="B2798" s="28"/>
      <c r="C2798" s="28"/>
    </row>
    <row r="2799">
      <c r="A2799" s="28"/>
      <c r="B2799" s="28"/>
      <c r="C2799" s="28"/>
    </row>
    <row r="2800">
      <c r="A2800" s="28"/>
      <c r="B2800" s="28"/>
      <c r="C2800" s="28"/>
    </row>
    <row r="2801">
      <c r="A2801" s="28"/>
      <c r="B2801" s="28"/>
      <c r="C2801" s="28"/>
    </row>
    <row r="2802">
      <c r="A2802" s="28"/>
      <c r="B2802" s="28"/>
      <c r="C2802" s="28"/>
    </row>
    <row r="2803">
      <c r="A2803" s="28"/>
      <c r="B2803" s="28"/>
      <c r="C2803" s="28"/>
    </row>
    <row r="2804">
      <c r="A2804" s="28"/>
      <c r="B2804" s="28"/>
      <c r="C2804" s="28"/>
    </row>
    <row r="2805">
      <c r="A2805" s="28"/>
      <c r="B2805" s="28"/>
      <c r="C2805" s="28"/>
    </row>
    <row r="2806">
      <c r="A2806" s="28"/>
      <c r="B2806" s="28"/>
      <c r="C2806" s="28"/>
    </row>
    <row r="2807">
      <c r="A2807" s="28"/>
      <c r="B2807" s="28"/>
      <c r="C2807" s="28"/>
    </row>
    <row r="2808">
      <c r="A2808" s="28"/>
      <c r="B2808" s="28"/>
      <c r="C2808" s="28"/>
    </row>
    <row r="2809">
      <c r="A2809" s="28"/>
      <c r="B2809" s="28"/>
      <c r="C2809" s="28"/>
    </row>
    <row r="2810">
      <c r="A2810" s="28"/>
      <c r="B2810" s="28"/>
      <c r="C2810" s="28"/>
    </row>
    <row r="2811">
      <c r="A2811" s="28"/>
      <c r="B2811" s="28"/>
      <c r="C2811" s="28"/>
    </row>
    <row r="2812">
      <c r="A2812" s="28"/>
      <c r="B2812" s="28"/>
      <c r="C2812" s="28"/>
    </row>
    <row r="2813">
      <c r="A2813" s="28"/>
      <c r="B2813" s="28"/>
      <c r="C2813" s="28"/>
    </row>
    <row r="2814">
      <c r="A2814" s="28"/>
      <c r="B2814" s="28"/>
      <c r="C2814" s="28"/>
    </row>
    <row r="2815">
      <c r="A2815" s="28"/>
      <c r="B2815" s="28"/>
      <c r="C2815" s="28"/>
    </row>
    <row r="2816">
      <c r="A2816" s="28"/>
      <c r="B2816" s="28"/>
      <c r="C2816" s="28"/>
    </row>
    <row r="2817">
      <c r="A2817" s="28"/>
      <c r="B2817" s="28"/>
      <c r="C2817" s="28"/>
    </row>
    <row r="2818">
      <c r="A2818" s="28"/>
      <c r="B2818" s="28"/>
      <c r="C2818" s="28"/>
    </row>
    <row r="2819">
      <c r="A2819" s="28"/>
      <c r="B2819" s="28"/>
      <c r="C2819" s="28"/>
    </row>
    <row r="2820">
      <c r="A2820" s="28"/>
      <c r="B2820" s="28"/>
      <c r="C2820" s="28"/>
    </row>
    <row r="2821">
      <c r="A2821" s="28"/>
      <c r="B2821" s="28"/>
      <c r="C2821" s="28"/>
    </row>
    <row r="2822">
      <c r="A2822" s="28"/>
      <c r="B2822" s="28"/>
      <c r="C2822" s="28"/>
    </row>
    <row r="2823">
      <c r="A2823" s="28"/>
      <c r="B2823" s="28"/>
      <c r="C2823" s="28"/>
    </row>
    <row r="2824">
      <c r="A2824" s="28"/>
      <c r="B2824" s="28"/>
      <c r="C2824" s="28"/>
    </row>
    <row r="2825">
      <c r="A2825" s="28"/>
      <c r="B2825" s="28"/>
      <c r="C2825" s="28"/>
    </row>
    <row r="2826">
      <c r="A2826" s="28"/>
      <c r="B2826" s="28"/>
      <c r="C2826" s="28"/>
    </row>
    <row r="2827">
      <c r="A2827" s="28"/>
      <c r="B2827" s="28"/>
      <c r="C2827" s="28"/>
    </row>
    <row r="2828">
      <c r="A2828" s="28"/>
      <c r="B2828" s="28"/>
      <c r="C2828" s="28"/>
    </row>
    <row r="2829">
      <c r="A2829" s="28"/>
      <c r="B2829" s="28"/>
      <c r="C2829" s="28"/>
    </row>
    <row r="2830">
      <c r="A2830" s="28"/>
      <c r="B2830" s="28"/>
      <c r="C2830" s="28"/>
    </row>
    <row r="2831">
      <c r="A2831" s="28"/>
      <c r="B2831" s="28"/>
      <c r="C2831" s="28"/>
    </row>
    <row r="2832">
      <c r="A2832" s="28"/>
      <c r="B2832" s="28"/>
      <c r="C2832" s="28"/>
    </row>
    <row r="2833">
      <c r="A2833" s="28"/>
      <c r="B2833" s="28"/>
      <c r="C2833" s="28"/>
    </row>
    <row r="2834">
      <c r="A2834" s="28"/>
      <c r="B2834" s="28"/>
      <c r="C2834" s="28"/>
    </row>
    <row r="2835">
      <c r="A2835" s="28"/>
      <c r="B2835" s="28"/>
      <c r="C2835" s="28"/>
    </row>
    <row r="2836">
      <c r="A2836" s="28"/>
      <c r="B2836" s="28"/>
      <c r="C2836" s="28"/>
    </row>
    <row r="2837">
      <c r="A2837" s="28"/>
      <c r="B2837" s="28"/>
      <c r="C2837" s="28"/>
    </row>
    <row r="2838">
      <c r="A2838" s="28"/>
      <c r="B2838" s="28"/>
      <c r="C2838" s="28"/>
    </row>
    <row r="2839">
      <c r="A2839" s="28"/>
      <c r="B2839" s="28"/>
      <c r="C2839" s="28"/>
    </row>
    <row r="2840">
      <c r="A2840" s="28"/>
      <c r="B2840" s="28"/>
      <c r="C2840" s="28"/>
    </row>
    <row r="2841">
      <c r="A2841" s="28"/>
      <c r="B2841" s="28"/>
      <c r="C2841" s="28"/>
    </row>
    <row r="2842">
      <c r="A2842" s="28"/>
      <c r="B2842" s="28"/>
      <c r="C2842" s="28"/>
    </row>
    <row r="2843">
      <c r="A2843" s="28"/>
      <c r="B2843" s="28"/>
      <c r="C2843" s="28"/>
    </row>
    <row r="2844">
      <c r="A2844" s="28"/>
      <c r="B2844" s="28"/>
      <c r="C2844" s="28"/>
    </row>
    <row r="2845">
      <c r="A2845" s="28"/>
      <c r="B2845" s="28"/>
      <c r="C2845" s="28"/>
    </row>
    <row r="2846">
      <c r="A2846" s="28"/>
      <c r="B2846" s="28"/>
      <c r="C2846" s="28"/>
    </row>
    <row r="2847">
      <c r="A2847" s="28"/>
      <c r="B2847" s="28"/>
      <c r="C2847" s="28"/>
    </row>
    <row r="2848">
      <c r="A2848" s="28"/>
      <c r="B2848" s="28"/>
      <c r="C2848" s="28"/>
    </row>
    <row r="2849">
      <c r="A2849" s="28"/>
      <c r="B2849" s="28"/>
      <c r="C2849" s="28"/>
    </row>
    <row r="2850">
      <c r="A2850" s="28"/>
      <c r="B2850" s="28"/>
      <c r="C2850" s="28"/>
    </row>
    <row r="2851">
      <c r="A2851" s="28"/>
      <c r="B2851" s="28"/>
      <c r="C2851" s="28"/>
    </row>
    <row r="2852">
      <c r="A2852" s="28"/>
      <c r="B2852" s="28"/>
      <c r="C2852" s="28"/>
    </row>
    <row r="2853">
      <c r="A2853" s="28"/>
      <c r="B2853" s="28"/>
      <c r="C2853" s="28"/>
    </row>
    <row r="2854">
      <c r="A2854" s="28"/>
      <c r="B2854" s="28"/>
      <c r="C2854" s="28"/>
    </row>
    <row r="2855">
      <c r="A2855" s="28"/>
      <c r="B2855" s="28"/>
      <c r="C2855" s="28"/>
    </row>
    <row r="2856">
      <c r="A2856" s="28"/>
      <c r="B2856" s="28"/>
      <c r="C2856" s="28"/>
    </row>
    <row r="2857">
      <c r="A2857" s="28"/>
      <c r="B2857" s="28"/>
      <c r="C2857" s="28"/>
    </row>
    <row r="2858">
      <c r="A2858" s="28"/>
      <c r="B2858" s="28"/>
      <c r="C2858" s="28"/>
    </row>
    <row r="2859">
      <c r="A2859" s="28"/>
      <c r="B2859" s="28"/>
      <c r="C2859" s="28"/>
    </row>
    <row r="2860">
      <c r="A2860" s="28"/>
      <c r="B2860" s="28"/>
      <c r="C2860" s="28"/>
    </row>
    <row r="2861">
      <c r="A2861" s="28"/>
      <c r="B2861" s="28"/>
      <c r="C2861" s="28"/>
    </row>
    <row r="2862">
      <c r="A2862" s="28"/>
      <c r="B2862" s="28"/>
      <c r="C2862" s="28"/>
    </row>
    <row r="2863">
      <c r="A2863" s="28"/>
      <c r="B2863" s="28"/>
      <c r="C2863" s="28"/>
    </row>
    <row r="2864">
      <c r="A2864" s="28"/>
      <c r="B2864" s="28"/>
      <c r="C2864" s="28"/>
    </row>
    <row r="2865">
      <c r="A2865" s="28"/>
      <c r="B2865" s="28"/>
      <c r="C2865" s="28"/>
    </row>
    <row r="2866">
      <c r="A2866" s="28"/>
      <c r="B2866" s="28"/>
      <c r="C2866" s="28"/>
    </row>
    <row r="2867">
      <c r="A2867" s="28"/>
      <c r="B2867" s="28"/>
      <c r="C2867" s="28"/>
    </row>
    <row r="2868">
      <c r="A2868" s="28"/>
      <c r="B2868" s="28"/>
      <c r="C2868" s="28"/>
    </row>
    <row r="2869">
      <c r="A2869" s="28"/>
      <c r="B2869" s="28"/>
      <c r="C2869" s="28"/>
    </row>
    <row r="2870">
      <c r="A2870" s="28"/>
      <c r="B2870" s="28"/>
      <c r="C2870" s="28"/>
    </row>
    <row r="2871">
      <c r="A2871" s="28"/>
      <c r="B2871" s="28"/>
      <c r="C2871" s="28"/>
    </row>
    <row r="2872">
      <c r="A2872" s="28"/>
      <c r="B2872" s="28"/>
      <c r="C2872" s="28"/>
    </row>
    <row r="2873">
      <c r="A2873" s="28"/>
      <c r="B2873" s="28"/>
      <c r="C2873" s="28"/>
    </row>
    <row r="2874">
      <c r="A2874" s="28"/>
      <c r="B2874" s="28"/>
      <c r="C2874" s="28"/>
    </row>
    <row r="2875">
      <c r="A2875" s="28"/>
      <c r="B2875" s="28"/>
      <c r="C2875" s="28"/>
    </row>
    <row r="2876">
      <c r="A2876" s="28"/>
      <c r="B2876" s="28"/>
      <c r="C2876" s="28"/>
    </row>
    <row r="2877">
      <c r="A2877" s="28"/>
      <c r="B2877" s="28"/>
      <c r="C2877" s="28"/>
    </row>
    <row r="2878">
      <c r="A2878" s="28"/>
      <c r="B2878" s="28"/>
      <c r="C2878" s="28"/>
    </row>
    <row r="2879">
      <c r="A2879" s="28"/>
      <c r="B2879" s="28"/>
      <c r="C2879" s="28"/>
    </row>
    <row r="2880">
      <c r="A2880" s="28"/>
      <c r="B2880" s="28"/>
      <c r="C2880" s="28"/>
    </row>
    <row r="2881">
      <c r="A2881" s="28"/>
      <c r="B2881" s="28"/>
      <c r="C2881" s="28"/>
    </row>
    <row r="2882">
      <c r="A2882" s="28"/>
      <c r="B2882" s="28"/>
      <c r="C2882" s="28"/>
    </row>
    <row r="2883">
      <c r="A2883" s="28"/>
      <c r="B2883" s="28"/>
      <c r="C2883" s="28"/>
    </row>
    <row r="2884">
      <c r="A2884" s="28"/>
      <c r="B2884" s="28"/>
      <c r="C2884" s="28"/>
    </row>
    <row r="2885">
      <c r="A2885" s="28"/>
      <c r="B2885" s="28"/>
      <c r="C2885" s="28"/>
    </row>
    <row r="2886">
      <c r="A2886" s="28"/>
      <c r="B2886" s="28"/>
      <c r="C2886" s="28"/>
    </row>
    <row r="2887">
      <c r="A2887" s="28"/>
      <c r="B2887" s="28"/>
      <c r="C2887" s="28"/>
    </row>
    <row r="2888">
      <c r="A2888" s="28"/>
      <c r="B2888" s="28"/>
      <c r="C2888" s="28"/>
    </row>
    <row r="2889">
      <c r="A2889" s="28"/>
      <c r="B2889" s="28"/>
      <c r="C2889" s="28"/>
    </row>
    <row r="2890">
      <c r="A2890" s="28"/>
      <c r="B2890" s="28"/>
      <c r="C2890" s="28"/>
    </row>
    <row r="2891">
      <c r="A2891" s="28"/>
      <c r="B2891" s="28"/>
      <c r="C2891" s="28"/>
    </row>
    <row r="2892">
      <c r="A2892" s="28"/>
      <c r="B2892" s="28"/>
      <c r="C2892" s="28"/>
    </row>
    <row r="2893">
      <c r="A2893" s="28"/>
      <c r="B2893" s="28"/>
      <c r="C2893" s="28"/>
    </row>
    <row r="2894">
      <c r="A2894" s="28"/>
      <c r="B2894" s="28"/>
      <c r="C2894" s="28"/>
    </row>
    <row r="2895">
      <c r="A2895" s="28"/>
      <c r="B2895" s="28"/>
      <c r="C2895" s="28"/>
    </row>
    <row r="2896">
      <c r="A2896" s="28"/>
      <c r="B2896" s="28"/>
      <c r="C2896" s="28"/>
    </row>
  </sheetData>
  <hyperlinks>
    <hyperlink r:id="rId1" ref="C3"/>
    <hyperlink r:id="rId2" ref="F3"/>
    <hyperlink r:id="rId3" ref="C4"/>
    <hyperlink r:id="rId4" ref="F4"/>
    <hyperlink r:id="rId5" ref="C5"/>
    <hyperlink r:id="rId6" ref="F5"/>
    <hyperlink r:id="rId7" ref="C6"/>
    <hyperlink r:id="rId8" ref="F6"/>
    <hyperlink r:id="rId9" ref="C7"/>
    <hyperlink r:id="rId10" ref="F7"/>
    <hyperlink r:id="rId11" ref="C8"/>
    <hyperlink r:id="rId12" ref="F8"/>
    <hyperlink r:id="rId13" ref="C9"/>
    <hyperlink r:id="rId14" ref="F9"/>
    <hyperlink r:id="rId15" ref="C10"/>
    <hyperlink r:id="rId16" ref="F10"/>
    <hyperlink r:id="rId17" ref="C11"/>
    <hyperlink r:id="rId18" ref="F11"/>
    <hyperlink r:id="rId19" ref="C12"/>
    <hyperlink r:id="rId20" ref="F12"/>
    <hyperlink r:id="rId21" ref="C13"/>
    <hyperlink r:id="rId22" ref="F13"/>
    <hyperlink r:id="rId23" ref="C14"/>
    <hyperlink r:id="rId24" ref="F14"/>
    <hyperlink r:id="rId25" ref="C15"/>
    <hyperlink r:id="rId26" ref="F15"/>
    <hyperlink r:id="rId27" ref="C16"/>
    <hyperlink r:id="rId28" ref="F16"/>
    <hyperlink r:id="rId29" ref="C17"/>
    <hyperlink r:id="rId30" ref="F17"/>
    <hyperlink r:id="rId31" ref="C18"/>
    <hyperlink r:id="rId32" ref="F18"/>
    <hyperlink r:id="rId33" ref="C19"/>
    <hyperlink r:id="rId34" ref="F19"/>
    <hyperlink r:id="rId35" ref="C20"/>
    <hyperlink r:id="rId36" ref="F20"/>
    <hyperlink r:id="rId37" ref="C21"/>
    <hyperlink r:id="rId38" ref="F21"/>
    <hyperlink r:id="rId39" ref="C22"/>
    <hyperlink r:id="rId40" ref="F22"/>
    <hyperlink r:id="rId41" ref="C23"/>
    <hyperlink r:id="rId42" ref="F23"/>
    <hyperlink r:id="rId43" ref="C24"/>
    <hyperlink r:id="rId44" ref="F24"/>
    <hyperlink r:id="rId45" ref="C25"/>
    <hyperlink r:id="rId46" ref="F25"/>
    <hyperlink r:id="rId47" ref="C26"/>
    <hyperlink r:id="rId48" ref="F26"/>
    <hyperlink r:id="rId49" ref="C27"/>
    <hyperlink r:id="rId50" ref="F27"/>
    <hyperlink r:id="rId51" ref="C28"/>
    <hyperlink r:id="rId52" ref="F28"/>
    <hyperlink r:id="rId53" ref="C29"/>
    <hyperlink r:id="rId54" ref="F29"/>
    <hyperlink r:id="rId55" ref="C30"/>
    <hyperlink r:id="rId56" ref="F30"/>
    <hyperlink r:id="rId57" ref="C31"/>
    <hyperlink r:id="rId58" ref="F31"/>
    <hyperlink r:id="rId59" ref="C32"/>
    <hyperlink r:id="rId60" ref="F32"/>
    <hyperlink r:id="rId61" ref="C33"/>
    <hyperlink r:id="rId62" ref="F33"/>
    <hyperlink r:id="rId63" ref="C34"/>
    <hyperlink r:id="rId64" ref="F34"/>
    <hyperlink r:id="rId65" ref="C35"/>
    <hyperlink r:id="rId66" ref="F35"/>
    <hyperlink r:id="rId67" ref="C36"/>
    <hyperlink r:id="rId68" ref="F36"/>
    <hyperlink r:id="rId69" ref="C37"/>
    <hyperlink r:id="rId70" ref="F37"/>
    <hyperlink r:id="rId71" ref="C38"/>
    <hyperlink r:id="rId72" ref="F38"/>
    <hyperlink r:id="rId73" ref="C39"/>
    <hyperlink r:id="rId74" ref="F39"/>
    <hyperlink r:id="rId75" ref="C40"/>
    <hyperlink r:id="rId76" ref="F40"/>
    <hyperlink r:id="rId77" ref="C41"/>
    <hyperlink r:id="rId78" ref="F41"/>
    <hyperlink r:id="rId79" ref="C42"/>
    <hyperlink r:id="rId80" ref="F42"/>
    <hyperlink r:id="rId81" ref="C43"/>
    <hyperlink r:id="rId82" ref="F43"/>
    <hyperlink r:id="rId83" ref="C44"/>
    <hyperlink r:id="rId84" ref="F44"/>
    <hyperlink r:id="rId85" ref="C45"/>
    <hyperlink r:id="rId86" ref="F45"/>
    <hyperlink r:id="rId87" ref="C46"/>
    <hyperlink r:id="rId88" ref="F46"/>
    <hyperlink r:id="rId89" ref="C47"/>
    <hyperlink r:id="rId90" ref="F47"/>
    <hyperlink r:id="rId91" ref="C48"/>
    <hyperlink r:id="rId92" ref="F48"/>
    <hyperlink r:id="rId93" ref="C49"/>
    <hyperlink r:id="rId94" ref="F49"/>
    <hyperlink r:id="rId95" ref="C50"/>
    <hyperlink r:id="rId96" ref="F50"/>
    <hyperlink r:id="rId97" ref="C51"/>
    <hyperlink r:id="rId98" ref="F51"/>
    <hyperlink r:id="rId99" ref="C52"/>
    <hyperlink r:id="rId100" ref="F52"/>
    <hyperlink r:id="rId101" ref="C53"/>
    <hyperlink r:id="rId102" ref="F53"/>
    <hyperlink r:id="rId103" ref="C54"/>
    <hyperlink r:id="rId104" ref="F54"/>
    <hyperlink r:id="rId105" ref="C55"/>
    <hyperlink r:id="rId106" ref="F55"/>
    <hyperlink r:id="rId107" ref="C56"/>
    <hyperlink r:id="rId108" ref="F56"/>
    <hyperlink r:id="rId109" ref="C57"/>
    <hyperlink r:id="rId110" ref="F57"/>
    <hyperlink r:id="rId111" ref="C58"/>
    <hyperlink r:id="rId112" ref="F58"/>
    <hyperlink r:id="rId113" ref="C59"/>
    <hyperlink r:id="rId114" ref="F59"/>
    <hyperlink r:id="rId115" ref="C60"/>
    <hyperlink r:id="rId116" ref="F60"/>
    <hyperlink r:id="rId117" ref="C61"/>
    <hyperlink r:id="rId118" ref="F61"/>
    <hyperlink r:id="rId119" ref="C62"/>
    <hyperlink r:id="rId120" ref="F62"/>
    <hyperlink r:id="rId121" ref="C63"/>
    <hyperlink r:id="rId122" ref="F63"/>
    <hyperlink r:id="rId123" ref="C64"/>
    <hyperlink r:id="rId124" location="advertiser" ref="F64"/>
    <hyperlink r:id="rId125" ref="C65"/>
    <hyperlink r:id="rId126" ref="F65"/>
    <hyperlink r:id="rId127" ref="C66"/>
    <hyperlink r:id="rId128" ref="F66"/>
    <hyperlink r:id="rId129" ref="C67"/>
    <hyperlink r:id="rId130" ref="F67"/>
    <hyperlink r:id="rId131" ref="C68"/>
    <hyperlink r:id="rId132" ref="F68"/>
    <hyperlink r:id="rId133" ref="C69"/>
    <hyperlink r:id="rId134" ref="F69"/>
    <hyperlink r:id="rId135" ref="C70"/>
    <hyperlink r:id="rId136" ref="F70"/>
    <hyperlink r:id="rId137" ref="C71"/>
    <hyperlink r:id="rId138" ref="F71"/>
    <hyperlink r:id="rId139" ref="C72"/>
    <hyperlink r:id="rId140" ref="F72"/>
    <hyperlink r:id="rId141" ref="C73"/>
    <hyperlink r:id="rId142" ref="F73"/>
    <hyperlink r:id="rId143" ref="C74"/>
    <hyperlink r:id="rId144" ref="F74"/>
    <hyperlink r:id="rId145" ref="C75"/>
    <hyperlink r:id="rId146" ref="F75"/>
    <hyperlink r:id="rId147" ref="C76"/>
    <hyperlink r:id="rId148" ref="F76"/>
    <hyperlink r:id="rId149" ref="C77"/>
    <hyperlink r:id="rId150" ref="F77"/>
    <hyperlink r:id="rId151" ref="C78"/>
    <hyperlink r:id="rId152" ref="F78"/>
    <hyperlink r:id="rId153" ref="C79"/>
    <hyperlink r:id="rId154" ref="F79"/>
    <hyperlink r:id="rId155" ref="C80"/>
    <hyperlink r:id="rId156" ref="F80"/>
    <hyperlink r:id="rId157" ref="C81"/>
    <hyperlink r:id="rId158" ref="F81"/>
    <hyperlink r:id="rId159" ref="C82"/>
    <hyperlink r:id="rId160" ref="F82"/>
    <hyperlink r:id="rId161" ref="C83"/>
    <hyperlink r:id="rId162" ref="F83"/>
    <hyperlink r:id="rId163" ref="C84"/>
    <hyperlink r:id="rId164" ref="F84"/>
    <hyperlink r:id="rId165" ref="C85"/>
    <hyperlink r:id="rId166" ref="F85"/>
    <hyperlink r:id="rId167" ref="C86"/>
    <hyperlink r:id="rId168" ref="C87"/>
    <hyperlink r:id="rId169" ref="F87"/>
    <hyperlink r:id="rId170" ref="C88"/>
    <hyperlink r:id="rId171" ref="F88"/>
    <hyperlink r:id="rId172" ref="C89"/>
    <hyperlink r:id="rId173" ref="F89"/>
    <hyperlink r:id="rId174" ref="C90"/>
    <hyperlink r:id="rId175" ref="F90"/>
    <hyperlink r:id="rId176" ref="C91"/>
    <hyperlink r:id="rId177" ref="F91"/>
    <hyperlink r:id="rId178" ref="C92"/>
    <hyperlink r:id="rId179" ref="F92"/>
    <hyperlink r:id="rId180" ref="C93"/>
    <hyperlink r:id="rId181" ref="F93"/>
    <hyperlink r:id="rId182" ref="C94"/>
    <hyperlink r:id="rId183" ref="F94"/>
    <hyperlink r:id="rId184" ref="C95"/>
    <hyperlink r:id="rId185" ref="F95"/>
    <hyperlink r:id="rId186" ref="C96"/>
    <hyperlink r:id="rId187" ref="F96"/>
    <hyperlink r:id="rId188" ref="C97"/>
    <hyperlink r:id="rId189" ref="F97"/>
    <hyperlink r:id="rId190" ref="C98"/>
    <hyperlink r:id="rId191" ref="F98"/>
    <hyperlink r:id="rId192" ref="C99"/>
    <hyperlink r:id="rId193" ref="F99"/>
    <hyperlink r:id="rId194" ref="C100"/>
    <hyperlink r:id="rId195" ref="F100"/>
    <hyperlink r:id="rId196" ref="C101"/>
    <hyperlink r:id="rId197" ref="F101"/>
    <hyperlink r:id="rId198" ref="C102"/>
    <hyperlink r:id="rId199" ref="F102"/>
    <hyperlink r:id="rId200" ref="C103"/>
    <hyperlink r:id="rId201" ref="F103"/>
    <hyperlink r:id="rId202" ref="C104"/>
    <hyperlink r:id="rId203" ref="F104"/>
    <hyperlink r:id="rId204" ref="C105"/>
    <hyperlink r:id="rId205" ref="F105"/>
    <hyperlink r:id="rId206" ref="C106"/>
    <hyperlink r:id="rId207" ref="F106"/>
    <hyperlink r:id="rId208" ref="C107"/>
    <hyperlink r:id="rId209" ref="F107"/>
    <hyperlink r:id="rId210" ref="C108"/>
    <hyperlink r:id="rId211" ref="F108"/>
    <hyperlink r:id="rId212" ref="C109"/>
    <hyperlink r:id="rId213" ref="F109"/>
    <hyperlink r:id="rId214" ref="C110"/>
    <hyperlink r:id="rId215" ref="F110"/>
    <hyperlink r:id="rId216" ref="C111"/>
    <hyperlink r:id="rId217" ref="F111"/>
    <hyperlink r:id="rId218" ref="C112"/>
    <hyperlink r:id="rId219" ref="F112"/>
    <hyperlink r:id="rId220" ref="C113"/>
    <hyperlink r:id="rId221" ref="F113"/>
    <hyperlink r:id="rId222" ref="C114"/>
    <hyperlink r:id="rId223" ref="F114"/>
    <hyperlink r:id="rId224" ref="C115"/>
    <hyperlink r:id="rId225" ref="F115"/>
    <hyperlink r:id="rId226" ref="C116"/>
    <hyperlink r:id="rId227" ref="F116"/>
    <hyperlink r:id="rId228" ref="C117"/>
    <hyperlink r:id="rId229" ref="F117"/>
    <hyperlink r:id="rId230" ref="C118"/>
    <hyperlink r:id="rId231" ref="F118"/>
    <hyperlink r:id="rId232" ref="C119"/>
    <hyperlink r:id="rId233" ref="F119"/>
    <hyperlink r:id="rId234" ref="C120"/>
    <hyperlink r:id="rId235" ref="F120"/>
    <hyperlink r:id="rId236" ref="C121"/>
    <hyperlink r:id="rId237" ref="F121"/>
    <hyperlink r:id="rId238" ref="C122"/>
    <hyperlink r:id="rId239" ref="F122"/>
    <hyperlink r:id="rId240" ref="C123"/>
    <hyperlink r:id="rId241" ref="F123"/>
    <hyperlink r:id="rId242" ref="C124"/>
    <hyperlink r:id="rId243" ref="F124"/>
    <hyperlink r:id="rId244" ref="C125"/>
    <hyperlink r:id="rId245" ref="F125"/>
    <hyperlink r:id="rId246" ref="C126"/>
    <hyperlink r:id="rId247" ref="F126"/>
    <hyperlink r:id="rId248" ref="C127"/>
    <hyperlink r:id="rId249" ref="F127"/>
    <hyperlink r:id="rId250" ref="C128"/>
    <hyperlink r:id="rId251" ref="F128"/>
    <hyperlink r:id="rId252" ref="C129"/>
    <hyperlink r:id="rId253" ref="F129"/>
    <hyperlink r:id="rId254" ref="C130"/>
    <hyperlink r:id="rId255" ref="F130"/>
    <hyperlink r:id="rId256" ref="C131"/>
    <hyperlink r:id="rId257" ref="F131"/>
    <hyperlink r:id="rId258" ref="C132"/>
    <hyperlink r:id="rId259" ref="F132"/>
    <hyperlink r:id="rId260" ref="C133"/>
    <hyperlink r:id="rId261" ref="F133"/>
    <hyperlink r:id="rId262" ref="C134"/>
    <hyperlink r:id="rId263" ref="F134"/>
    <hyperlink r:id="rId264" ref="C135"/>
    <hyperlink r:id="rId265" ref="C136"/>
    <hyperlink r:id="rId266" ref="C137"/>
    <hyperlink r:id="rId267" ref="C138"/>
    <hyperlink r:id="rId268" ref="F138"/>
    <hyperlink r:id="rId269" ref="C139"/>
    <hyperlink r:id="rId270" ref="C140"/>
    <hyperlink r:id="rId271" ref="C141"/>
    <hyperlink r:id="rId272" ref="C142"/>
    <hyperlink r:id="rId273" ref="C143"/>
    <hyperlink r:id="rId274" ref="C144"/>
    <hyperlink r:id="rId275" ref="C145"/>
    <hyperlink r:id="rId276" ref="C146"/>
    <hyperlink r:id="rId277" ref="C147"/>
    <hyperlink r:id="rId278" ref="F147"/>
    <hyperlink r:id="rId279" ref="C148"/>
    <hyperlink r:id="rId280" ref="C149"/>
    <hyperlink r:id="rId281" ref="C150"/>
    <hyperlink r:id="rId282" ref="C151"/>
    <hyperlink r:id="rId283" ref="C152"/>
    <hyperlink r:id="rId284" ref="C153"/>
    <hyperlink r:id="rId285" ref="C154"/>
    <hyperlink r:id="rId286" ref="C155"/>
    <hyperlink r:id="rId287" ref="C156"/>
    <hyperlink r:id="rId288" ref="C157"/>
    <hyperlink r:id="rId289" ref="C158"/>
    <hyperlink r:id="rId290" ref="C159"/>
    <hyperlink r:id="rId291" ref="C160"/>
    <hyperlink r:id="rId292" ref="C161"/>
    <hyperlink r:id="rId293" ref="C162"/>
    <hyperlink r:id="rId294" ref="C163"/>
    <hyperlink r:id="rId295" ref="C164"/>
    <hyperlink r:id="rId296" ref="C165"/>
    <hyperlink r:id="rId297" ref="F165"/>
    <hyperlink r:id="rId298" ref="C166"/>
    <hyperlink r:id="rId299" ref="C167"/>
    <hyperlink r:id="rId300" ref="C168"/>
    <hyperlink r:id="rId301" ref="C169"/>
    <hyperlink r:id="rId302" ref="C170"/>
    <hyperlink r:id="rId303" ref="F170"/>
    <hyperlink r:id="rId304" ref="C171"/>
    <hyperlink r:id="rId305" ref="F171"/>
    <hyperlink r:id="rId306" ref="C172"/>
    <hyperlink r:id="rId307" ref="F172"/>
    <hyperlink r:id="rId308" ref="C173"/>
    <hyperlink r:id="rId309" ref="F173"/>
    <hyperlink r:id="rId310" ref="C174"/>
    <hyperlink r:id="rId311" ref="F174"/>
    <hyperlink r:id="rId312" ref="C175"/>
    <hyperlink r:id="rId313" ref="F175"/>
    <hyperlink r:id="rId314" ref="C176"/>
    <hyperlink r:id="rId315" ref="F176"/>
    <hyperlink r:id="rId316" ref="C177"/>
    <hyperlink r:id="rId317" ref="F177"/>
    <hyperlink r:id="rId318" ref="C178"/>
    <hyperlink r:id="rId319" ref="F178"/>
    <hyperlink r:id="rId320" ref="C179"/>
    <hyperlink r:id="rId321" ref="F179"/>
    <hyperlink r:id="rId322" ref="C180"/>
    <hyperlink r:id="rId323" ref="F180"/>
    <hyperlink r:id="rId324" ref="C181"/>
    <hyperlink r:id="rId325" ref="F181"/>
    <hyperlink r:id="rId326" ref="C182"/>
    <hyperlink r:id="rId327" ref="F182"/>
    <hyperlink r:id="rId328" ref="C183"/>
    <hyperlink r:id="rId329" ref="F183"/>
    <hyperlink r:id="rId330" ref="C184"/>
    <hyperlink r:id="rId331" ref="F184"/>
    <hyperlink r:id="rId332" ref="C185"/>
    <hyperlink r:id="rId333" ref="F185"/>
    <hyperlink r:id="rId334" ref="C186"/>
    <hyperlink r:id="rId335" ref="F186"/>
    <hyperlink r:id="rId336" ref="C187"/>
    <hyperlink r:id="rId337" ref="F187"/>
    <hyperlink r:id="rId338" ref="C188"/>
    <hyperlink r:id="rId339" ref="F188"/>
    <hyperlink r:id="rId340" ref="C189"/>
    <hyperlink r:id="rId341" ref="F189"/>
    <hyperlink r:id="rId342" ref="C190"/>
    <hyperlink r:id="rId343" ref="F190"/>
    <hyperlink r:id="rId344" ref="C191"/>
    <hyperlink r:id="rId345" ref="F191"/>
    <hyperlink r:id="rId346" ref="C192"/>
    <hyperlink r:id="rId347" ref="F192"/>
    <hyperlink r:id="rId348" ref="C193"/>
    <hyperlink r:id="rId349" ref="F193"/>
    <hyperlink r:id="rId350" ref="C194"/>
    <hyperlink r:id="rId351" ref="F194"/>
    <hyperlink r:id="rId352" ref="C195"/>
    <hyperlink r:id="rId353" ref="F195"/>
    <hyperlink r:id="rId354" ref="C196"/>
    <hyperlink r:id="rId355" ref="F196"/>
    <hyperlink r:id="rId356" ref="C197"/>
    <hyperlink r:id="rId357" ref="F197"/>
    <hyperlink r:id="rId358" ref="C198"/>
    <hyperlink r:id="rId359" ref="F198"/>
    <hyperlink r:id="rId360" ref="C199"/>
    <hyperlink r:id="rId361" ref="F199"/>
    <hyperlink r:id="rId362" ref="C200"/>
    <hyperlink r:id="rId363" ref="F200"/>
    <hyperlink r:id="rId364" ref="C201"/>
    <hyperlink r:id="rId365" ref="F201"/>
    <hyperlink r:id="rId366" ref="C202"/>
    <hyperlink r:id="rId367" ref="F202"/>
    <hyperlink r:id="rId368" ref="C203"/>
    <hyperlink r:id="rId369" ref="F203"/>
    <hyperlink r:id="rId370" ref="C204"/>
    <hyperlink r:id="rId371" ref="F204"/>
    <hyperlink r:id="rId372" ref="C205"/>
    <hyperlink r:id="rId373" ref="F205"/>
    <hyperlink r:id="rId374" ref="C206"/>
    <hyperlink r:id="rId375" ref="F206"/>
    <hyperlink r:id="rId376" ref="C207"/>
    <hyperlink r:id="rId377" ref="F207"/>
    <hyperlink r:id="rId378" ref="C208"/>
    <hyperlink r:id="rId379" ref="F208"/>
    <hyperlink r:id="rId380" ref="C209"/>
    <hyperlink r:id="rId381" ref="F209"/>
    <hyperlink r:id="rId382" ref="C210"/>
    <hyperlink r:id="rId383" ref="F210"/>
    <hyperlink r:id="rId384" ref="C211"/>
    <hyperlink r:id="rId385" ref="F211"/>
    <hyperlink r:id="rId386" ref="C212"/>
    <hyperlink r:id="rId387" ref="F212"/>
    <hyperlink r:id="rId388" ref="C213"/>
    <hyperlink r:id="rId389" ref="F213"/>
    <hyperlink r:id="rId390" ref="C214"/>
    <hyperlink r:id="rId391" ref="F214"/>
    <hyperlink r:id="rId392" ref="C215"/>
    <hyperlink r:id="rId393" ref="F215"/>
    <hyperlink r:id="rId394" ref="C216"/>
    <hyperlink r:id="rId395" ref="F216"/>
    <hyperlink r:id="rId396" ref="C217"/>
    <hyperlink r:id="rId397" ref="F217"/>
    <hyperlink r:id="rId398" ref="C218"/>
    <hyperlink r:id="rId399" ref="F218"/>
    <hyperlink r:id="rId400" ref="C219"/>
    <hyperlink r:id="rId401" ref="F219"/>
    <hyperlink r:id="rId402" ref="C220"/>
    <hyperlink r:id="rId403" ref="F220"/>
    <hyperlink r:id="rId404" ref="C221"/>
    <hyperlink r:id="rId405" ref="F221"/>
    <hyperlink r:id="rId406" ref="C222"/>
    <hyperlink r:id="rId407" ref="F222"/>
    <hyperlink r:id="rId408" ref="C223"/>
    <hyperlink r:id="rId409" ref="F223"/>
    <hyperlink r:id="rId410" ref="C224"/>
    <hyperlink r:id="rId411" ref="F224"/>
    <hyperlink r:id="rId412" ref="C225"/>
    <hyperlink r:id="rId413" ref="C226"/>
    <hyperlink r:id="rId414" ref="F226"/>
    <hyperlink r:id="rId415" ref="C227"/>
    <hyperlink r:id="rId416" ref="C228"/>
    <hyperlink r:id="rId417" ref="C229"/>
    <hyperlink r:id="rId418" ref="C230"/>
    <hyperlink r:id="rId419" ref="C231"/>
    <hyperlink r:id="rId420" ref="C232"/>
    <hyperlink r:id="rId421" ref="F232"/>
    <hyperlink r:id="rId422" ref="C233"/>
    <hyperlink r:id="rId423" ref="F233"/>
    <hyperlink r:id="rId424" ref="C234"/>
    <hyperlink r:id="rId425" ref="F234"/>
    <hyperlink r:id="rId426" ref="C235"/>
    <hyperlink r:id="rId427" ref="C236"/>
    <hyperlink r:id="rId428" ref="C237"/>
    <hyperlink r:id="rId429" ref="F237"/>
    <hyperlink r:id="rId430" ref="C238"/>
    <hyperlink r:id="rId431" ref="F238"/>
    <hyperlink r:id="rId432" ref="C239"/>
    <hyperlink r:id="rId433" ref="F239"/>
    <hyperlink r:id="rId434" ref="C240"/>
    <hyperlink r:id="rId435" ref="F240"/>
    <hyperlink r:id="rId436" ref="C241"/>
    <hyperlink r:id="rId437" ref="F241"/>
    <hyperlink r:id="rId438" ref="C242"/>
    <hyperlink r:id="rId439" ref="C243"/>
    <hyperlink r:id="rId440" ref="C244"/>
    <hyperlink r:id="rId441" ref="C245"/>
    <hyperlink r:id="rId442" ref="F245"/>
    <hyperlink r:id="rId443" ref="C246"/>
    <hyperlink r:id="rId444" ref="F246"/>
    <hyperlink r:id="rId445" ref="C247"/>
    <hyperlink r:id="rId446" ref="C248"/>
    <hyperlink r:id="rId447" ref="C249"/>
    <hyperlink r:id="rId448" ref="C250"/>
    <hyperlink r:id="rId449" ref="C251"/>
    <hyperlink r:id="rId450" ref="F251"/>
    <hyperlink r:id="rId451" ref="C252"/>
    <hyperlink r:id="rId452" location="advertiser" ref="F252"/>
    <hyperlink r:id="rId453" ref="C253"/>
    <hyperlink r:id="rId454" ref="C254"/>
    <hyperlink r:id="rId455" ref="C255"/>
    <hyperlink r:id="rId456" ref="C256"/>
    <hyperlink r:id="rId457" ref="F256"/>
    <hyperlink r:id="rId458" ref="C257"/>
    <hyperlink r:id="rId459" ref="F257"/>
    <hyperlink r:id="rId460" ref="C258"/>
    <hyperlink r:id="rId461" ref="F258"/>
    <hyperlink r:id="rId462" ref="C259"/>
    <hyperlink r:id="rId463" ref="F259"/>
    <hyperlink r:id="rId464" ref="C260"/>
    <hyperlink r:id="rId465" ref="F260"/>
    <hyperlink r:id="rId466" ref="C261"/>
    <hyperlink r:id="rId467" ref="C262"/>
    <hyperlink r:id="rId468" ref="F262"/>
    <hyperlink r:id="rId469" ref="C263"/>
    <hyperlink r:id="rId470" ref="C264"/>
    <hyperlink r:id="rId471" ref="C265"/>
    <hyperlink r:id="rId472" ref="C266"/>
    <hyperlink r:id="rId473" ref="C267"/>
    <hyperlink r:id="rId474" ref="C268"/>
    <hyperlink r:id="rId475" ref="C269"/>
    <hyperlink r:id="rId476" ref="C270"/>
    <hyperlink r:id="rId477" ref="C271"/>
    <hyperlink r:id="rId478" ref="C272"/>
    <hyperlink r:id="rId479" ref="C273"/>
    <hyperlink r:id="rId480" ref="C274"/>
    <hyperlink r:id="rId481" ref="C275"/>
    <hyperlink r:id="rId482" ref="C276"/>
    <hyperlink r:id="rId483" ref="C277"/>
    <hyperlink r:id="rId484" ref="C278"/>
    <hyperlink r:id="rId485" ref="C279"/>
    <hyperlink r:id="rId486" ref="C280"/>
    <hyperlink r:id="rId487" ref="C281"/>
    <hyperlink r:id="rId488" ref="C282"/>
    <hyperlink r:id="rId489" ref="C283"/>
    <hyperlink r:id="rId490" ref="C284"/>
    <hyperlink r:id="rId491" ref="C285"/>
    <hyperlink r:id="rId492" ref="C286"/>
    <hyperlink r:id="rId493" ref="C287"/>
    <hyperlink r:id="rId494" ref="F287"/>
    <hyperlink r:id="rId495" ref="C288"/>
    <hyperlink r:id="rId496" ref="C289"/>
    <hyperlink r:id="rId497" ref="C290"/>
    <hyperlink r:id="rId498" ref="F290"/>
    <hyperlink r:id="rId499" ref="C291"/>
    <hyperlink r:id="rId500" ref="F291"/>
    <hyperlink r:id="rId501" ref="C292"/>
    <hyperlink r:id="rId502" ref="F292"/>
    <hyperlink r:id="rId503" ref="C293"/>
    <hyperlink r:id="rId504" ref="F293"/>
    <hyperlink r:id="rId505" ref="C294"/>
    <hyperlink r:id="rId506" ref="C295"/>
    <hyperlink r:id="rId507" ref="C296"/>
    <hyperlink r:id="rId508" ref="C297"/>
    <hyperlink r:id="rId509" ref="C298"/>
    <hyperlink r:id="rId510" ref="C299"/>
    <hyperlink r:id="rId511" ref="C300"/>
    <hyperlink r:id="rId512" ref="C301"/>
    <hyperlink r:id="rId513" ref="C302"/>
    <hyperlink r:id="rId514" ref="C303"/>
    <hyperlink r:id="rId515" ref="C304"/>
    <hyperlink r:id="rId516" ref="C305"/>
    <hyperlink r:id="rId517" ref="C306"/>
    <hyperlink r:id="rId518" ref="C307"/>
    <hyperlink r:id="rId519" ref="C308"/>
    <hyperlink r:id="rId520" ref="C309"/>
    <hyperlink r:id="rId521" ref="C310"/>
    <hyperlink r:id="rId522" ref="C311"/>
    <hyperlink r:id="rId523" ref="C312"/>
    <hyperlink r:id="rId524" ref="C313"/>
    <hyperlink r:id="rId525" ref="C314"/>
    <hyperlink r:id="rId526" ref="C315"/>
    <hyperlink r:id="rId527" ref="C316"/>
    <hyperlink r:id="rId528" ref="C317"/>
    <hyperlink r:id="rId529" ref="C318"/>
    <hyperlink r:id="rId530" ref="C319"/>
    <hyperlink r:id="rId531" ref="C320"/>
    <hyperlink r:id="rId532" ref="C321"/>
    <hyperlink r:id="rId533" ref="C322"/>
    <hyperlink r:id="rId534" ref="C323"/>
    <hyperlink r:id="rId535" ref="C324"/>
    <hyperlink r:id="rId536" ref="C325"/>
    <hyperlink r:id="rId537" ref="C326"/>
    <hyperlink r:id="rId538" ref="C327"/>
    <hyperlink r:id="rId539" ref="C328"/>
    <hyperlink r:id="rId540" ref="C329"/>
    <hyperlink r:id="rId541" ref="C330"/>
    <hyperlink r:id="rId542" ref="C331"/>
    <hyperlink r:id="rId543" ref="C332"/>
    <hyperlink r:id="rId544" ref="C333"/>
    <hyperlink r:id="rId545" ref="C334"/>
    <hyperlink r:id="rId546" ref="C335"/>
    <hyperlink r:id="rId547" ref="C336"/>
    <hyperlink r:id="rId548" ref="C337"/>
    <hyperlink r:id="rId549" ref="C338"/>
    <hyperlink r:id="rId550" ref="C339"/>
    <hyperlink r:id="rId551" ref="C340"/>
    <hyperlink r:id="rId552" ref="C341"/>
    <hyperlink r:id="rId553" ref="C342"/>
    <hyperlink r:id="rId554" ref="C343"/>
    <hyperlink r:id="rId555" ref="C344"/>
    <hyperlink r:id="rId556" ref="C345"/>
    <hyperlink r:id="rId557" ref="C346"/>
    <hyperlink r:id="rId558" ref="C347"/>
    <hyperlink r:id="rId559" ref="C348"/>
    <hyperlink r:id="rId560" ref="C349"/>
    <hyperlink r:id="rId561" ref="C350"/>
    <hyperlink r:id="rId562" ref="C351"/>
    <hyperlink r:id="rId563" ref="C352"/>
    <hyperlink r:id="rId564" ref="C353"/>
    <hyperlink r:id="rId565" ref="C354"/>
    <hyperlink r:id="rId566" ref="C355"/>
    <hyperlink r:id="rId567" ref="C356"/>
    <hyperlink r:id="rId568" ref="C357"/>
    <hyperlink r:id="rId569" ref="C358"/>
    <hyperlink r:id="rId570" ref="C359"/>
    <hyperlink r:id="rId571" ref="C360"/>
    <hyperlink r:id="rId572" ref="C361"/>
    <hyperlink r:id="rId573" ref="C362"/>
    <hyperlink r:id="rId574" ref="C363"/>
    <hyperlink r:id="rId575" ref="C364"/>
    <hyperlink r:id="rId576" ref="C365"/>
    <hyperlink r:id="rId577" ref="C366"/>
    <hyperlink r:id="rId578" ref="C367"/>
    <hyperlink r:id="rId579" ref="C368"/>
    <hyperlink r:id="rId580" ref="C369"/>
    <hyperlink r:id="rId581" ref="C370"/>
    <hyperlink r:id="rId582" ref="C371"/>
    <hyperlink r:id="rId583" ref="C372"/>
    <hyperlink r:id="rId584" ref="C373"/>
    <hyperlink r:id="rId585" ref="C374"/>
    <hyperlink r:id="rId586" ref="C375"/>
    <hyperlink r:id="rId587" ref="C376"/>
    <hyperlink r:id="rId588" ref="C377"/>
    <hyperlink r:id="rId589" ref="C378"/>
    <hyperlink r:id="rId590" ref="C379"/>
    <hyperlink r:id="rId591" ref="C380"/>
    <hyperlink r:id="rId592" ref="C381"/>
    <hyperlink r:id="rId593" ref="C382"/>
    <hyperlink r:id="rId594" ref="C383"/>
    <hyperlink r:id="rId595" ref="C384"/>
    <hyperlink r:id="rId596" ref="C385"/>
    <hyperlink r:id="rId597" ref="C386"/>
    <hyperlink r:id="rId598" ref="C387"/>
    <hyperlink r:id="rId599" ref="C388"/>
    <hyperlink r:id="rId600" ref="C389"/>
    <hyperlink r:id="rId601" ref="C390"/>
    <hyperlink r:id="rId602" ref="C391"/>
    <hyperlink r:id="rId603" ref="C392"/>
    <hyperlink r:id="rId604" ref="C393"/>
    <hyperlink r:id="rId605" ref="C394"/>
    <hyperlink r:id="rId606" ref="C395"/>
    <hyperlink r:id="rId607" ref="C396"/>
    <hyperlink r:id="rId608" ref="C397"/>
    <hyperlink r:id="rId609" ref="C398"/>
    <hyperlink r:id="rId610" ref="C399"/>
    <hyperlink r:id="rId611" ref="C400"/>
    <hyperlink r:id="rId612" ref="C401"/>
    <hyperlink r:id="rId613" ref="C402"/>
    <hyperlink r:id="rId614" ref="C403"/>
    <hyperlink r:id="rId615" ref="C404"/>
    <hyperlink r:id="rId616" ref="C405"/>
    <hyperlink r:id="rId617" ref="C406"/>
    <hyperlink r:id="rId618" ref="C407"/>
    <hyperlink r:id="rId619" ref="C408"/>
    <hyperlink r:id="rId620" ref="C409"/>
    <hyperlink r:id="rId621" ref="C410"/>
    <hyperlink r:id="rId622" ref="C411"/>
    <hyperlink r:id="rId623" ref="C412"/>
    <hyperlink r:id="rId624" ref="C413"/>
    <hyperlink r:id="rId625" ref="C414"/>
    <hyperlink r:id="rId626" ref="C415"/>
    <hyperlink r:id="rId627" ref="C416"/>
    <hyperlink r:id="rId628" ref="C417"/>
    <hyperlink r:id="rId629" ref="C418"/>
    <hyperlink r:id="rId630" ref="C419"/>
    <hyperlink r:id="rId631" ref="C420"/>
    <hyperlink r:id="rId632" ref="C421"/>
    <hyperlink r:id="rId633" ref="F421"/>
    <hyperlink r:id="rId634" ref="C422"/>
    <hyperlink r:id="rId635" ref="C423"/>
    <hyperlink r:id="rId636" ref="C424"/>
    <hyperlink r:id="rId637" ref="C425"/>
    <hyperlink r:id="rId638" ref="C426"/>
    <hyperlink r:id="rId639" ref="C427"/>
    <hyperlink r:id="rId640" ref="C428"/>
    <hyperlink r:id="rId641" ref="C429"/>
    <hyperlink r:id="rId642" ref="C430"/>
    <hyperlink r:id="rId643" ref="C431"/>
    <hyperlink r:id="rId644" ref="C432"/>
    <hyperlink r:id="rId645" ref="C433"/>
    <hyperlink r:id="rId646" ref="C434"/>
    <hyperlink r:id="rId647" ref="C435"/>
    <hyperlink r:id="rId648" ref="C436"/>
    <hyperlink r:id="rId649" ref="C437"/>
    <hyperlink r:id="rId650" ref="C438"/>
    <hyperlink r:id="rId651" ref="C439"/>
    <hyperlink r:id="rId652" ref="C440"/>
    <hyperlink r:id="rId653" ref="C441"/>
    <hyperlink r:id="rId654" ref="C442"/>
    <hyperlink r:id="rId655" ref="C443"/>
    <hyperlink r:id="rId656" ref="C444"/>
    <hyperlink r:id="rId657" ref="C445"/>
    <hyperlink r:id="rId658" ref="C446"/>
    <hyperlink r:id="rId659" ref="C447"/>
    <hyperlink r:id="rId660" ref="C448"/>
    <hyperlink r:id="rId661" ref="C449"/>
    <hyperlink r:id="rId662" ref="C450"/>
    <hyperlink r:id="rId663" ref="C451"/>
    <hyperlink r:id="rId664" ref="C452"/>
    <hyperlink r:id="rId665" ref="C453"/>
    <hyperlink r:id="rId666" ref="C454"/>
    <hyperlink r:id="rId667" ref="C455"/>
    <hyperlink r:id="rId668" ref="C456"/>
    <hyperlink r:id="rId669" ref="C457"/>
    <hyperlink r:id="rId670" ref="C458"/>
    <hyperlink r:id="rId671" ref="C459"/>
    <hyperlink r:id="rId672" ref="C460"/>
    <hyperlink r:id="rId673" ref="C461"/>
    <hyperlink r:id="rId674" ref="C463"/>
    <hyperlink r:id="rId675" ref="C464"/>
    <hyperlink r:id="rId676" ref="C465"/>
    <hyperlink r:id="rId677" ref="C466"/>
    <hyperlink r:id="rId678" ref="C467"/>
    <hyperlink r:id="rId679" ref="C468"/>
    <hyperlink r:id="rId680" ref="C469"/>
    <hyperlink r:id="rId681" ref="C470"/>
    <hyperlink r:id="rId682" ref="C471"/>
    <hyperlink r:id="rId683" ref="C472"/>
    <hyperlink r:id="rId684" ref="C473"/>
    <hyperlink r:id="rId685" ref="C474"/>
    <hyperlink r:id="rId686" ref="C475"/>
    <hyperlink r:id="rId687" ref="C476"/>
    <hyperlink r:id="rId688" ref="C477"/>
    <hyperlink r:id="rId689" ref="C478"/>
    <hyperlink r:id="rId690" ref="C479"/>
    <hyperlink r:id="rId691" ref="C480"/>
    <hyperlink r:id="rId692" ref="C481"/>
    <hyperlink r:id="rId693" ref="C482"/>
    <hyperlink r:id="rId694" ref="C483"/>
    <hyperlink r:id="rId695" ref="C484"/>
    <hyperlink r:id="rId696" ref="C485"/>
    <hyperlink r:id="rId697" ref="C486"/>
    <hyperlink r:id="rId698" ref="C487"/>
    <hyperlink r:id="rId699" ref="C488"/>
    <hyperlink r:id="rId700" ref="C489"/>
    <hyperlink r:id="rId701" ref="C490"/>
    <hyperlink r:id="rId702" ref="C491"/>
    <hyperlink r:id="rId703" ref="C492"/>
    <hyperlink r:id="rId704" ref="C493"/>
    <hyperlink r:id="rId705" ref="C494"/>
    <hyperlink r:id="rId706" ref="C495"/>
    <hyperlink r:id="rId707" ref="C496"/>
    <hyperlink r:id="rId708" ref="C497"/>
    <hyperlink r:id="rId709" ref="C498"/>
    <hyperlink r:id="rId710" ref="C499"/>
    <hyperlink r:id="rId711" ref="C500"/>
    <hyperlink r:id="rId712" ref="C501"/>
    <hyperlink r:id="rId713" ref="C502"/>
    <hyperlink r:id="rId714" ref="C503"/>
    <hyperlink r:id="rId715" ref="C504"/>
    <hyperlink r:id="rId716" ref="C505"/>
    <hyperlink r:id="rId717" ref="C506"/>
    <hyperlink r:id="rId718" ref="C507"/>
    <hyperlink r:id="rId719" ref="C508"/>
    <hyperlink r:id="rId720" ref="C509"/>
    <hyperlink r:id="rId721" ref="C510"/>
    <hyperlink r:id="rId722" ref="C511"/>
    <hyperlink r:id="rId723" ref="C512"/>
    <hyperlink r:id="rId724" ref="C513"/>
    <hyperlink r:id="rId725" ref="C514"/>
    <hyperlink r:id="rId726" ref="C515"/>
    <hyperlink r:id="rId727" ref="C516"/>
    <hyperlink r:id="rId728" ref="C517"/>
    <hyperlink r:id="rId729" ref="F517"/>
    <hyperlink r:id="rId730" ref="C518"/>
    <hyperlink r:id="rId731" ref="C519"/>
    <hyperlink r:id="rId732" ref="C520"/>
    <hyperlink r:id="rId733" ref="C521"/>
    <hyperlink r:id="rId734" ref="C522"/>
    <hyperlink r:id="rId735" ref="C523"/>
    <hyperlink r:id="rId736" ref="C524"/>
    <hyperlink r:id="rId737" ref="C525"/>
    <hyperlink r:id="rId738" ref="C526"/>
    <hyperlink r:id="rId739" ref="C527"/>
    <hyperlink r:id="rId740" ref="C528"/>
    <hyperlink r:id="rId741" ref="C529"/>
    <hyperlink r:id="rId742" ref="C530"/>
    <hyperlink r:id="rId743" ref="C531"/>
    <hyperlink r:id="rId744" ref="C532"/>
    <hyperlink r:id="rId745" ref="C533"/>
    <hyperlink r:id="rId746" ref="C534"/>
    <hyperlink r:id="rId747" ref="C535"/>
    <hyperlink r:id="rId748" ref="C536"/>
    <hyperlink r:id="rId749" ref="C537"/>
    <hyperlink r:id="rId750" ref="C538"/>
    <hyperlink r:id="rId751" ref="C539"/>
    <hyperlink r:id="rId752" ref="C540"/>
    <hyperlink r:id="rId753" ref="C541"/>
    <hyperlink r:id="rId754" ref="C542"/>
    <hyperlink r:id="rId755" ref="C543"/>
    <hyperlink r:id="rId756" ref="C544"/>
    <hyperlink r:id="rId757" ref="F544"/>
    <hyperlink r:id="rId758" ref="C545"/>
    <hyperlink r:id="rId759" ref="F545"/>
    <hyperlink r:id="rId760" ref="C546"/>
    <hyperlink r:id="rId761" ref="F546"/>
    <hyperlink r:id="rId762" ref="C547"/>
    <hyperlink r:id="rId763" ref="F547"/>
    <hyperlink r:id="rId764" ref="C548"/>
    <hyperlink r:id="rId765" ref="F548"/>
    <hyperlink r:id="rId766" ref="C549"/>
    <hyperlink r:id="rId767" ref="F549"/>
    <hyperlink r:id="rId768" ref="C550"/>
    <hyperlink r:id="rId769" ref="C551"/>
    <hyperlink r:id="rId770" ref="F551"/>
    <hyperlink r:id="rId771" ref="C552"/>
    <hyperlink r:id="rId772" ref="F552"/>
    <hyperlink r:id="rId773" ref="C553"/>
    <hyperlink r:id="rId774" ref="C554"/>
    <hyperlink r:id="rId775" ref="C555"/>
    <hyperlink r:id="rId776" ref="C556"/>
    <hyperlink r:id="rId777" ref="C557"/>
    <hyperlink r:id="rId778" ref="C558"/>
    <hyperlink r:id="rId779" ref="C559"/>
    <hyperlink r:id="rId780" ref="C560"/>
    <hyperlink r:id="rId781" ref="C561"/>
    <hyperlink r:id="rId782" ref="C562"/>
    <hyperlink r:id="rId783" ref="C563"/>
    <hyperlink r:id="rId784" ref="C564"/>
    <hyperlink r:id="rId785" ref="C565"/>
    <hyperlink r:id="rId786" ref="C566"/>
    <hyperlink r:id="rId787" ref="C567"/>
    <hyperlink r:id="rId788" ref="C568"/>
    <hyperlink r:id="rId789" ref="C569"/>
    <hyperlink r:id="rId790" ref="C570"/>
    <hyperlink r:id="rId791" ref="C571"/>
    <hyperlink r:id="rId792" ref="C572"/>
    <hyperlink r:id="rId793" ref="C573"/>
    <hyperlink r:id="rId794" ref="C574"/>
    <hyperlink r:id="rId795" ref="C575"/>
    <hyperlink r:id="rId796" ref="C576"/>
    <hyperlink r:id="rId797" ref="C577"/>
    <hyperlink r:id="rId798" ref="C578"/>
    <hyperlink r:id="rId799" ref="C579"/>
    <hyperlink r:id="rId800" ref="C580"/>
    <hyperlink r:id="rId801" ref="C581"/>
    <hyperlink r:id="rId802" ref="C582"/>
    <hyperlink r:id="rId803" ref="C583"/>
    <hyperlink r:id="rId804" ref="C584"/>
    <hyperlink r:id="rId805" ref="C585"/>
    <hyperlink r:id="rId806" ref="C586"/>
    <hyperlink r:id="rId807" ref="C587"/>
    <hyperlink r:id="rId808" ref="C588"/>
    <hyperlink r:id="rId809" ref="C589"/>
    <hyperlink r:id="rId810" ref="C590"/>
    <hyperlink r:id="rId811" ref="C591"/>
    <hyperlink r:id="rId812" ref="C592"/>
    <hyperlink r:id="rId813" ref="C593"/>
    <hyperlink r:id="rId814" ref="C594"/>
    <hyperlink r:id="rId815" ref="C595"/>
    <hyperlink r:id="rId816" ref="C596"/>
    <hyperlink r:id="rId817" ref="C597"/>
    <hyperlink r:id="rId818" ref="C598"/>
    <hyperlink r:id="rId819" ref="C599"/>
    <hyperlink r:id="rId820" ref="C600"/>
    <hyperlink r:id="rId821" ref="C601"/>
    <hyperlink r:id="rId822" ref="C602"/>
    <hyperlink r:id="rId823" ref="C603"/>
    <hyperlink r:id="rId824" ref="C604"/>
    <hyperlink r:id="rId825" ref="C605"/>
    <hyperlink r:id="rId826" ref="C606"/>
    <hyperlink r:id="rId827" ref="C607"/>
    <hyperlink r:id="rId828" ref="C608"/>
    <hyperlink r:id="rId829" ref="C609"/>
    <hyperlink r:id="rId830" ref="C610"/>
    <hyperlink r:id="rId831" ref="C611"/>
    <hyperlink r:id="rId832" ref="C612"/>
    <hyperlink r:id="rId833" ref="C613"/>
    <hyperlink r:id="rId834" ref="C614"/>
    <hyperlink r:id="rId835" ref="C615"/>
    <hyperlink r:id="rId836" ref="C616"/>
    <hyperlink r:id="rId837" ref="C617"/>
    <hyperlink r:id="rId838" ref="C618"/>
    <hyperlink r:id="rId839" ref="C619"/>
    <hyperlink r:id="rId840" ref="C620"/>
    <hyperlink r:id="rId841" ref="C621"/>
    <hyperlink r:id="rId842" ref="C622"/>
    <hyperlink r:id="rId843" ref="C623"/>
    <hyperlink r:id="rId844" ref="C624"/>
    <hyperlink r:id="rId845" ref="C625"/>
    <hyperlink r:id="rId846" ref="C626"/>
    <hyperlink r:id="rId847" ref="C627"/>
    <hyperlink r:id="rId848" ref="C628"/>
    <hyperlink r:id="rId849" ref="C629"/>
    <hyperlink r:id="rId850" ref="C630"/>
    <hyperlink r:id="rId851" ref="C631"/>
    <hyperlink r:id="rId852" ref="C632"/>
    <hyperlink r:id="rId853" ref="C633"/>
    <hyperlink r:id="rId854" ref="C634"/>
    <hyperlink r:id="rId855" ref="C635"/>
    <hyperlink r:id="rId856" ref="F635"/>
    <hyperlink r:id="rId857" ref="C636"/>
    <hyperlink r:id="rId858" ref="F636"/>
    <hyperlink r:id="rId859" ref="C637"/>
    <hyperlink r:id="rId860" ref="F637"/>
    <hyperlink r:id="rId861" ref="C638"/>
    <hyperlink r:id="rId862" ref="F638"/>
    <hyperlink r:id="rId863" ref="C639"/>
    <hyperlink r:id="rId864" ref="F639"/>
    <hyperlink r:id="rId865" ref="C640"/>
    <hyperlink r:id="rId866" ref="F640"/>
    <hyperlink r:id="rId867" ref="C641"/>
    <hyperlink r:id="rId868" ref="F641"/>
    <hyperlink r:id="rId869" ref="C642"/>
    <hyperlink r:id="rId870" ref="F642"/>
    <hyperlink r:id="rId871" ref="C643"/>
    <hyperlink r:id="rId872" ref="F643"/>
    <hyperlink r:id="rId873" ref="C644"/>
    <hyperlink r:id="rId874" ref="F644"/>
    <hyperlink r:id="rId875" ref="C645"/>
    <hyperlink r:id="rId876" ref="F645"/>
    <hyperlink r:id="rId877" ref="C646"/>
    <hyperlink r:id="rId878" ref="F646"/>
    <hyperlink r:id="rId879" ref="C647"/>
    <hyperlink r:id="rId880" ref="F647"/>
    <hyperlink r:id="rId881" ref="C648"/>
    <hyperlink r:id="rId882" ref="F648"/>
    <hyperlink r:id="rId883" ref="C649"/>
    <hyperlink r:id="rId884" ref="F649"/>
    <hyperlink r:id="rId885" ref="C650"/>
    <hyperlink r:id="rId886" ref="F650"/>
    <hyperlink r:id="rId887" ref="C651"/>
    <hyperlink r:id="rId888" ref="F651"/>
    <hyperlink r:id="rId889" ref="C652"/>
    <hyperlink r:id="rId890" ref="F652"/>
    <hyperlink r:id="rId891" ref="C653"/>
    <hyperlink r:id="rId892" ref="F653"/>
    <hyperlink r:id="rId893" ref="C654"/>
    <hyperlink r:id="rId894" ref="F654"/>
    <hyperlink r:id="rId895" ref="C655"/>
    <hyperlink r:id="rId896" ref="F655"/>
    <hyperlink r:id="rId897" ref="C656"/>
    <hyperlink r:id="rId898" ref="F656"/>
    <hyperlink r:id="rId899" ref="C657"/>
    <hyperlink r:id="rId900" ref="F657"/>
    <hyperlink r:id="rId901" ref="C658"/>
    <hyperlink r:id="rId902" ref="F658"/>
    <hyperlink r:id="rId903" ref="C659"/>
    <hyperlink r:id="rId904" location="advertiser" ref="F659"/>
    <hyperlink r:id="rId905" ref="C660"/>
    <hyperlink r:id="rId906" ref="F660"/>
    <hyperlink r:id="rId907" ref="C661"/>
    <hyperlink r:id="rId908" ref="F661"/>
    <hyperlink r:id="rId909" ref="C662"/>
    <hyperlink r:id="rId910" ref="F662"/>
    <hyperlink r:id="rId911" ref="C663"/>
    <hyperlink r:id="rId912" ref="F663"/>
    <hyperlink r:id="rId913" ref="C664"/>
    <hyperlink r:id="rId914" ref="F664"/>
    <hyperlink r:id="rId915" ref="C665"/>
    <hyperlink r:id="rId916" ref="F665"/>
    <hyperlink r:id="rId917" ref="C666"/>
    <hyperlink r:id="rId918" ref="F666"/>
    <hyperlink r:id="rId919" ref="C667"/>
    <hyperlink r:id="rId920" ref="F667"/>
    <hyperlink r:id="rId921" ref="C668"/>
    <hyperlink r:id="rId922" ref="F668"/>
    <hyperlink r:id="rId923" ref="C669"/>
    <hyperlink r:id="rId924" ref="F669"/>
    <hyperlink r:id="rId925" ref="C670"/>
    <hyperlink r:id="rId926" ref="F670"/>
    <hyperlink r:id="rId927" ref="C671"/>
    <hyperlink r:id="rId928" ref="F671"/>
    <hyperlink r:id="rId929" ref="C672"/>
    <hyperlink r:id="rId930" ref="F672"/>
    <hyperlink r:id="rId931" ref="C673"/>
    <hyperlink r:id="rId932" ref="F673"/>
    <hyperlink r:id="rId933" ref="C674"/>
    <hyperlink r:id="rId934" ref="F674"/>
    <hyperlink r:id="rId935" ref="C675"/>
    <hyperlink r:id="rId936" ref="F675"/>
    <hyperlink r:id="rId937" ref="C676"/>
    <hyperlink r:id="rId938" ref="F676"/>
    <hyperlink r:id="rId939" ref="C677"/>
    <hyperlink r:id="rId940" ref="F677"/>
    <hyperlink r:id="rId941" ref="C678"/>
    <hyperlink r:id="rId942" ref="F678"/>
    <hyperlink r:id="rId943" ref="C679"/>
    <hyperlink r:id="rId944" ref="F679"/>
    <hyperlink r:id="rId945" ref="C680"/>
    <hyperlink r:id="rId946" ref="F680"/>
    <hyperlink r:id="rId947" ref="C681"/>
    <hyperlink r:id="rId948" ref="F681"/>
    <hyperlink r:id="rId949" ref="C682"/>
    <hyperlink r:id="rId950" ref="F682"/>
    <hyperlink r:id="rId951" ref="C683"/>
    <hyperlink r:id="rId952" ref="C684"/>
    <hyperlink r:id="rId953" ref="F684"/>
    <hyperlink r:id="rId954" ref="C685"/>
    <hyperlink r:id="rId955" ref="F685"/>
    <hyperlink r:id="rId956" ref="C686"/>
    <hyperlink r:id="rId957" ref="F686"/>
    <hyperlink r:id="rId958" ref="C687"/>
    <hyperlink r:id="rId959" ref="F687"/>
    <hyperlink r:id="rId960" ref="C688"/>
    <hyperlink r:id="rId961" ref="F688"/>
    <hyperlink r:id="rId962" ref="C689"/>
    <hyperlink r:id="rId963" ref="F689"/>
    <hyperlink r:id="rId964" ref="C690"/>
    <hyperlink r:id="rId965" ref="F690"/>
    <hyperlink r:id="rId966" ref="C691"/>
    <hyperlink r:id="rId967" ref="F691"/>
    <hyperlink r:id="rId968" ref="C692"/>
    <hyperlink r:id="rId969" ref="F692"/>
    <hyperlink r:id="rId970" ref="C693"/>
    <hyperlink r:id="rId971" ref="F693"/>
    <hyperlink r:id="rId972" ref="C694"/>
    <hyperlink r:id="rId973" ref="F694"/>
    <hyperlink r:id="rId974" ref="C695"/>
    <hyperlink r:id="rId975" ref="F695"/>
    <hyperlink r:id="rId976" ref="C696"/>
    <hyperlink r:id="rId977" ref="F696"/>
    <hyperlink r:id="rId978" ref="C697"/>
    <hyperlink r:id="rId979" ref="F697"/>
    <hyperlink r:id="rId980" ref="C698"/>
    <hyperlink r:id="rId981" ref="F698"/>
    <hyperlink r:id="rId982" ref="C699"/>
    <hyperlink r:id="rId983" ref="F699"/>
    <hyperlink r:id="rId984" ref="C700"/>
    <hyperlink r:id="rId985" ref="F700"/>
    <hyperlink r:id="rId986" ref="C701"/>
    <hyperlink r:id="rId987" ref="F701"/>
    <hyperlink r:id="rId988" ref="C702"/>
    <hyperlink r:id="rId989" ref="F702"/>
    <hyperlink r:id="rId990" ref="C703"/>
    <hyperlink r:id="rId991" ref="F703"/>
    <hyperlink r:id="rId992" ref="C704"/>
    <hyperlink r:id="rId993" ref="F704"/>
    <hyperlink r:id="rId994" ref="C705"/>
    <hyperlink r:id="rId995" ref="F705"/>
    <hyperlink r:id="rId996" ref="C706"/>
    <hyperlink r:id="rId997" ref="F706"/>
    <hyperlink r:id="rId998" ref="C707"/>
    <hyperlink r:id="rId999" ref="F707"/>
    <hyperlink r:id="rId1000" ref="C708"/>
    <hyperlink r:id="rId1001" ref="F708"/>
    <hyperlink r:id="rId1002" ref="C709"/>
    <hyperlink r:id="rId1003" ref="F709"/>
    <hyperlink r:id="rId1004" ref="C710"/>
    <hyperlink r:id="rId1005" ref="F710"/>
    <hyperlink r:id="rId1006" ref="C711"/>
    <hyperlink r:id="rId1007" ref="F711"/>
    <hyperlink r:id="rId1008" ref="C712"/>
    <hyperlink r:id="rId1009" ref="F712"/>
    <hyperlink r:id="rId1010" ref="C713"/>
    <hyperlink r:id="rId1011" ref="F713"/>
    <hyperlink r:id="rId1012" ref="C714"/>
    <hyperlink r:id="rId1013" ref="F714"/>
    <hyperlink r:id="rId1014" ref="C715"/>
    <hyperlink r:id="rId1015" ref="F715"/>
    <hyperlink r:id="rId1016" ref="C716"/>
    <hyperlink r:id="rId1017" ref="F716"/>
    <hyperlink r:id="rId1018" ref="C717"/>
    <hyperlink r:id="rId1019" ref="F717"/>
    <hyperlink r:id="rId1020" ref="C718"/>
    <hyperlink r:id="rId1021" ref="F718"/>
    <hyperlink r:id="rId1022" ref="C719"/>
    <hyperlink r:id="rId1023" ref="F719"/>
    <hyperlink r:id="rId1024" ref="C720"/>
    <hyperlink r:id="rId1025" ref="F720"/>
    <hyperlink r:id="rId1026" ref="C721"/>
    <hyperlink r:id="rId1027" ref="F721"/>
    <hyperlink r:id="rId1028" ref="C722"/>
    <hyperlink r:id="rId1029" ref="F722"/>
    <hyperlink r:id="rId1030" ref="C723"/>
    <hyperlink r:id="rId1031" ref="F723"/>
    <hyperlink r:id="rId1032" ref="C724"/>
    <hyperlink r:id="rId1033" ref="F724"/>
    <hyperlink r:id="rId1034" ref="C725"/>
    <hyperlink r:id="rId1035" ref="F725"/>
    <hyperlink r:id="rId1036" ref="C726"/>
    <hyperlink r:id="rId1037" ref="F726"/>
    <hyperlink r:id="rId1038" ref="C727"/>
    <hyperlink r:id="rId1039" ref="F727"/>
    <hyperlink r:id="rId1040" ref="C728"/>
    <hyperlink r:id="rId1041" ref="F728"/>
    <hyperlink r:id="rId1042" ref="C729"/>
    <hyperlink r:id="rId1043" ref="F729"/>
    <hyperlink r:id="rId1044" ref="C730"/>
    <hyperlink r:id="rId1045" ref="F730"/>
    <hyperlink r:id="rId1046" ref="C731"/>
    <hyperlink r:id="rId1047" ref="F731"/>
    <hyperlink r:id="rId1048" ref="C732"/>
    <hyperlink r:id="rId1049" ref="F732"/>
    <hyperlink r:id="rId1050" ref="C733"/>
    <hyperlink r:id="rId1051" ref="F733"/>
    <hyperlink r:id="rId1052" ref="C734"/>
    <hyperlink r:id="rId1053" ref="F734"/>
    <hyperlink r:id="rId1054" ref="C735"/>
    <hyperlink r:id="rId1055" ref="F735"/>
    <hyperlink r:id="rId1056" ref="C736"/>
    <hyperlink r:id="rId1057" ref="F736"/>
    <hyperlink r:id="rId1058" ref="C737"/>
    <hyperlink r:id="rId1059" ref="F737"/>
    <hyperlink r:id="rId1060" ref="C738"/>
    <hyperlink r:id="rId1061" ref="F738"/>
    <hyperlink r:id="rId1062" ref="C739"/>
    <hyperlink r:id="rId1063" ref="F739"/>
    <hyperlink r:id="rId1064" ref="C740"/>
    <hyperlink r:id="rId1065" ref="F740"/>
    <hyperlink r:id="rId1066" ref="C741"/>
    <hyperlink r:id="rId1067" ref="F741"/>
    <hyperlink r:id="rId1068" ref="C742"/>
    <hyperlink r:id="rId1069" location="advertiser" ref="F742"/>
    <hyperlink r:id="rId1070" ref="C743"/>
    <hyperlink r:id="rId1071" ref="F743"/>
    <hyperlink r:id="rId1072" ref="C744"/>
    <hyperlink r:id="rId1073" ref="F744"/>
    <hyperlink r:id="rId1074" ref="C745"/>
    <hyperlink r:id="rId1075" ref="F745"/>
    <hyperlink r:id="rId1076" ref="C746"/>
    <hyperlink r:id="rId1077" ref="F746"/>
    <hyperlink r:id="rId1078" ref="C747"/>
    <hyperlink r:id="rId1079" ref="F747"/>
    <hyperlink r:id="rId1080" ref="C748"/>
    <hyperlink r:id="rId1081" ref="F748"/>
    <hyperlink r:id="rId1082" ref="C749"/>
    <hyperlink r:id="rId1083" ref="F749"/>
    <hyperlink r:id="rId1084" ref="C750"/>
    <hyperlink r:id="rId1085" ref="F750"/>
    <hyperlink r:id="rId1086" ref="C751"/>
    <hyperlink r:id="rId1087" ref="F751"/>
    <hyperlink r:id="rId1088" ref="C752"/>
    <hyperlink r:id="rId1089" ref="F752"/>
    <hyperlink r:id="rId1090" ref="C753"/>
    <hyperlink r:id="rId1091" ref="F753"/>
    <hyperlink r:id="rId1092" ref="C754"/>
    <hyperlink r:id="rId1093" ref="F754"/>
    <hyperlink r:id="rId1094" ref="C755"/>
    <hyperlink r:id="rId1095" ref="F755"/>
    <hyperlink r:id="rId1096" ref="C756"/>
    <hyperlink r:id="rId1097" ref="F756"/>
    <hyperlink r:id="rId1098" ref="C757"/>
    <hyperlink r:id="rId1099" ref="F757"/>
    <hyperlink r:id="rId1100" ref="C758"/>
    <hyperlink r:id="rId1101" ref="F758"/>
    <hyperlink r:id="rId1102" ref="C759"/>
    <hyperlink r:id="rId1103" ref="F759"/>
    <hyperlink r:id="rId1104" ref="C760"/>
    <hyperlink r:id="rId1105" ref="F760"/>
    <hyperlink r:id="rId1106" ref="C761"/>
    <hyperlink r:id="rId1107" ref="F761"/>
    <hyperlink r:id="rId1108" ref="C762"/>
    <hyperlink r:id="rId1109" ref="F762"/>
    <hyperlink r:id="rId1110" ref="C763"/>
    <hyperlink r:id="rId1111" ref="F763"/>
    <hyperlink r:id="rId1112" ref="C764"/>
    <hyperlink r:id="rId1113" ref="F764"/>
    <hyperlink r:id="rId1114" ref="C765"/>
    <hyperlink r:id="rId1115" ref="F765"/>
    <hyperlink r:id="rId1116" ref="C766"/>
    <hyperlink r:id="rId1117" ref="F766"/>
    <hyperlink r:id="rId1118" ref="C767"/>
    <hyperlink r:id="rId1119" ref="F767"/>
    <hyperlink r:id="rId1120" ref="C768"/>
    <hyperlink r:id="rId1121" ref="F768"/>
    <hyperlink r:id="rId1122" ref="C769"/>
    <hyperlink r:id="rId1123" ref="F769"/>
    <hyperlink r:id="rId1124" ref="C770"/>
    <hyperlink r:id="rId1125" ref="F770"/>
    <hyperlink r:id="rId1126" ref="C771"/>
    <hyperlink r:id="rId1127" ref="F771"/>
    <hyperlink r:id="rId1128" ref="C772"/>
    <hyperlink r:id="rId1129" ref="F772"/>
    <hyperlink r:id="rId1130" ref="C773"/>
    <hyperlink r:id="rId1131" ref="F773"/>
    <hyperlink r:id="rId1132" ref="C774"/>
    <hyperlink r:id="rId1133" ref="F774"/>
    <hyperlink r:id="rId1134" ref="C775"/>
    <hyperlink r:id="rId1135" ref="F775"/>
    <hyperlink r:id="rId1136" ref="C776"/>
    <hyperlink r:id="rId1137" ref="F776"/>
    <hyperlink r:id="rId1138" ref="C777"/>
    <hyperlink r:id="rId1139" ref="F777"/>
    <hyperlink r:id="rId1140" ref="C778"/>
    <hyperlink r:id="rId1141" ref="F778"/>
    <hyperlink r:id="rId1142" ref="C779"/>
    <hyperlink r:id="rId1143" ref="F779"/>
    <hyperlink r:id="rId1144" ref="C780"/>
    <hyperlink r:id="rId1145" ref="F780"/>
    <hyperlink r:id="rId1146" ref="C781"/>
    <hyperlink r:id="rId1147" ref="F781"/>
    <hyperlink r:id="rId1148" ref="C782"/>
    <hyperlink r:id="rId1149" ref="F782"/>
    <hyperlink r:id="rId1150" ref="C783"/>
    <hyperlink r:id="rId1151" ref="F783"/>
    <hyperlink r:id="rId1152" ref="C784"/>
    <hyperlink r:id="rId1153" ref="F784"/>
    <hyperlink r:id="rId1154" ref="C785"/>
    <hyperlink r:id="rId1155" ref="F785"/>
    <hyperlink r:id="rId1156" ref="C786"/>
    <hyperlink r:id="rId1157" ref="F786"/>
    <hyperlink r:id="rId1158" ref="C787"/>
    <hyperlink r:id="rId1159" ref="F787"/>
    <hyperlink r:id="rId1160" ref="C788"/>
    <hyperlink r:id="rId1161" ref="F788"/>
    <hyperlink r:id="rId1162" ref="C789"/>
    <hyperlink r:id="rId1163" ref="F789"/>
    <hyperlink r:id="rId1164" ref="C790"/>
    <hyperlink r:id="rId1165" ref="F790"/>
    <hyperlink r:id="rId1166" ref="C791"/>
    <hyperlink r:id="rId1167" ref="F791"/>
    <hyperlink r:id="rId1168" ref="C792"/>
    <hyperlink r:id="rId1169" ref="F792"/>
    <hyperlink r:id="rId1170" ref="C793"/>
    <hyperlink r:id="rId1171" ref="F793"/>
    <hyperlink r:id="rId1172" ref="C794"/>
    <hyperlink r:id="rId1173" ref="F794"/>
    <hyperlink r:id="rId1174" ref="C795"/>
    <hyperlink r:id="rId1175" ref="F795"/>
    <hyperlink r:id="rId1176" ref="C796"/>
    <hyperlink r:id="rId1177" ref="F796"/>
    <hyperlink r:id="rId1178" ref="C797"/>
    <hyperlink r:id="rId1179" ref="F797"/>
    <hyperlink r:id="rId1180" ref="C798"/>
    <hyperlink r:id="rId1181" ref="F798"/>
    <hyperlink r:id="rId1182" ref="C799"/>
    <hyperlink r:id="rId1183" ref="F799"/>
    <hyperlink r:id="rId1184" ref="C800"/>
    <hyperlink r:id="rId1185" ref="F800"/>
    <hyperlink r:id="rId1186" ref="C801"/>
    <hyperlink r:id="rId1187" ref="F801"/>
    <hyperlink r:id="rId1188" ref="C802"/>
    <hyperlink r:id="rId1189" ref="F802"/>
    <hyperlink r:id="rId1190" ref="C803"/>
    <hyperlink r:id="rId1191" ref="F803"/>
    <hyperlink r:id="rId1192" ref="C804"/>
    <hyperlink r:id="rId1193" ref="F804"/>
    <hyperlink r:id="rId1194" ref="C805"/>
    <hyperlink r:id="rId1195" ref="F805"/>
    <hyperlink r:id="rId1196" ref="C806"/>
    <hyperlink r:id="rId1197" ref="F806"/>
    <hyperlink r:id="rId1198" ref="C807"/>
    <hyperlink r:id="rId1199" ref="F807"/>
    <hyperlink r:id="rId1200" ref="C808"/>
    <hyperlink r:id="rId1201" ref="F808"/>
    <hyperlink r:id="rId1202" ref="C809"/>
    <hyperlink r:id="rId1203" ref="F809"/>
    <hyperlink r:id="rId1204" ref="C810"/>
    <hyperlink r:id="rId1205" ref="F810"/>
    <hyperlink r:id="rId1206" ref="C811"/>
    <hyperlink r:id="rId1207" ref="F811"/>
    <hyperlink r:id="rId1208" ref="C812"/>
    <hyperlink r:id="rId1209" ref="F812"/>
    <hyperlink r:id="rId1210" ref="C813"/>
    <hyperlink r:id="rId1211" ref="F813"/>
    <hyperlink r:id="rId1212" ref="C814"/>
    <hyperlink r:id="rId1213" ref="F814"/>
    <hyperlink r:id="rId1214" ref="C815"/>
    <hyperlink r:id="rId1215" location="advertiser" ref="F815"/>
    <hyperlink r:id="rId1216" ref="C816"/>
    <hyperlink r:id="rId1217" ref="F816"/>
    <hyperlink r:id="rId1218" ref="C817"/>
    <hyperlink r:id="rId1219" ref="F817"/>
    <hyperlink r:id="rId1220" ref="C818"/>
    <hyperlink r:id="rId1221" ref="F818"/>
    <hyperlink r:id="rId1222" ref="C819"/>
    <hyperlink r:id="rId1223" ref="F819"/>
    <hyperlink r:id="rId1224" ref="C820"/>
    <hyperlink r:id="rId1225" ref="F820"/>
    <hyperlink r:id="rId1226" ref="C821"/>
    <hyperlink r:id="rId1227" ref="F821"/>
    <hyperlink r:id="rId1228" ref="C822"/>
    <hyperlink r:id="rId1229" ref="F822"/>
    <hyperlink r:id="rId1230" ref="C823"/>
    <hyperlink r:id="rId1231" ref="F823"/>
    <hyperlink r:id="rId1232" ref="C824"/>
    <hyperlink r:id="rId1233" ref="F824"/>
    <hyperlink r:id="rId1234" ref="C825"/>
    <hyperlink r:id="rId1235" ref="F825"/>
    <hyperlink r:id="rId1236" ref="C826"/>
    <hyperlink r:id="rId1237" ref="F826"/>
    <hyperlink r:id="rId1238" ref="C827"/>
    <hyperlink r:id="rId1239" ref="F827"/>
    <hyperlink r:id="rId1240" ref="C828"/>
    <hyperlink r:id="rId1241" ref="F828"/>
    <hyperlink r:id="rId1242" ref="C829"/>
    <hyperlink r:id="rId1243" ref="F829"/>
    <hyperlink r:id="rId1244" ref="C830"/>
    <hyperlink r:id="rId1245" ref="F830"/>
    <hyperlink r:id="rId1246" ref="C831"/>
    <hyperlink r:id="rId1247" ref="F831"/>
    <hyperlink r:id="rId1248" ref="C832"/>
    <hyperlink r:id="rId1249" ref="F832"/>
    <hyperlink r:id="rId1250" ref="C833"/>
    <hyperlink r:id="rId1251" ref="F833"/>
    <hyperlink r:id="rId1252" ref="C834"/>
    <hyperlink r:id="rId1253" ref="F834"/>
    <hyperlink r:id="rId1254" ref="C835"/>
    <hyperlink r:id="rId1255" ref="F835"/>
    <hyperlink r:id="rId1256" ref="C836"/>
    <hyperlink r:id="rId1257" ref="F836"/>
    <hyperlink r:id="rId1258" ref="C837"/>
    <hyperlink r:id="rId1259" ref="F837"/>
    <hyperlink r:id="rId1260" ref="C838"/>
    <hyperlink r:id="rId1261" ref="F838"/>
    <hyperlink r:id="rId1262" ref="C839"/>
    <hyperlink r:id="rId1263" ref="F839"/>
    <hyperlink r:id="rId1264" ref="C840"/>
    <hyperlink r:id="rId1265" ref="F840"/>
    <hyperlink r:id="rId1266" ref="C841"/>
    <hyperlink r:id="rId1267" ref="F841"/>
    <hyperlink r:id="rId1268" ref="C842"/>
    <hyperlink r:id="rId1269" ref="F842"/>
    <hyperlink r:id="rId1270" ref="C843"/>
    <hyperlink r:id="rId1271" ref="F843"/>
    <hyperlink r:id="rId1272" ref="C844"/>
    <hyperlink r:id="rId1273" ref="F844"/>
    <hyperlink r:id="rId1274" ref="C845"/>
    <hyperlink r:id="rId1275" ref="F845"/>
    <hyperlink r:id="rId1276" ref="C846"/>
    <hyperlink r:id="rId1277" ref="F846"/>
    <hyperlink r:id="rId1278" ref="C847"/>
    <hyperlink r:id="rId1279" ref="F847"/>
    <hyperlink r:id="rId1280" ref="C848"/>
    <hyperlink r:id="rId1281" ref="F848"/>
    <hyperlink r:id="rId1282" ref="C849"/>
    <hyperlink r:id="rId1283" ref="F849"/>
    <hyperlink r:id="rId1284" ref="C850"/>
    <hyperlink r:id="rId1285" ref="F850"/>
    <hyperlink r:id="rId1286" ref="C851"/>
    <hyperlink r:id="rId1287" ref="F851"/>
    <hyperlink r:id="rId1288" ref="C852"/>
    <hyperlink r:id="rId1289" ref="F852"/>
    <hyperlink r:id="rId1290" ref="C853"/>
    <hyperlink r:id="rId1291" ref="F853"/>
    <hyperlink r:id="rId1292" ref="C854"/>
    <hyperlink r:id="rId1293" ref="F854"/>
    <hyperlink r:id="rId1294" ref="C855"/>
    <hyperlink r:id="rId1295" ref="F855"/>
    <hyperlink r:id="rId1296" ref="C856"/>
    <hyperlink r:id="rId1297" ref="F856"/>
    <hyperlink r:id="rId1298" ref="C857"/>
    <hyperlink r:id="rId1299" ref="F857"/>
    <hyperlink r:id="rId1300" ref="C858"/>
    <hyperlink r:id="rId1301" ref="F858"/>
    <hyperlink r:id="rId1302" ref="C859"/>
    <hyperlink r:id="rId1303" ref="F859"/>
    <hyperlink r:id="rId1304" ref="C860"/>
    <hyperlink r:id="rId1305" ref="F860"/>
    <hyperlink r:id="rId1306" ref="C861"/>
    <hyperlink r:id="rId1307" ref="F861"/>
    <hyperlink r:id="rId1308" ref="C862"/>
    <hyperlink r:id="rId1309" ref="F862"/>
    <hyperlink r:id="rId1310" ref="C863"/>
    <hyperlink r:id="rId1311" ref="F863"/>
    <hyperlink r:id="rId1312" ref="C864"/>
    <hyperlink r:id="rId1313" ref="F864"/>
    <hyperlink r:id="rId1314" ref="C865"/>
    <hyperlink r:id="rId1315" ref="F865"/>
    <hyperlink r:id="rId1316" ref="C866"/>
    <hyperlink r:id="rId1317" ref="F866"/>
    <hyperlink r:id="rId1318" ref="C867"/>
    <hyperlink r:id="rId1319" ref="F867"/>
    <hyperlink r:id="rId1320" ref="C868"/>
    <hyperlink r:id="rId1321" ref="F868"/>
    <hyperlink r:id="rId1322" ref="C869"/>
    <hyperlink r:id="rId1323" ref="F869"/>
    <hyperlink r:id="rId1324" ref="C870"/>
    <hyperlink r:id="rId1325" ref="F870"/>
    <hyperlink r:id="rId1326" ref="C871"/>
    <hyperlink r:id="rId1327" ref="F871"/>
    <hyperlink r:id="rId1328" ref="C872"/>
    <hyperlink r:id="rId1329" ref="F872"/>
    <hyperlink r:id="rId1330" ref="C873"/>
    <hyperlink r:id="rId1331" ref="F873"/>
    <hyperlink r:id="rId1332" ref="C874"/>
    <hyperlink r:id="rId1333" ref="F874"/>
    <hyperlink r:id="rId1334" ref="C875"/>
    <hyperlink r:id="rId1335" ref="F875"/>
    <hyperlink r:id="rId1336" ref="C876"/>
    <hyperlink r:id="rId1337" ref="F876"/>
    <hyperlink r:id="rId1338" ref="C877"/>
    <hyperlink r:id="rId1339" ref="F877"/>
    <hyperlink r:id="rId1340" ref="C878"/>
    <hyperlink r:id="rId1341" ref="F878"/>
    <hyperlink r:id="rId1342" ref="C879"/>
    <hyperlink r:id="rId1343" ref="F879"/>
    <hyperlink r:id="rId1344" ref="C880"/>
    <hyperlink r:id="rId1345" ref="F880"/>
    <hyperlink r:id="rId1346" ref="C881"/>
    <hyperlink r:id="rId1347" ref="F881"/>
    <hyperlink r:id="rId1348" ref="C882"/>
    <hyperlink r:id="rId1349" ref="F882"/>
    <hyperlink r:id="rId1350" ref="C883"/>
    <hyperlink r:id="rId1351" ref="F883"/>
    <hyperlink r:id="rId1352" ref="C884"/>
    <hyperlink r:id="rId1353" ref="F884"/>
    <hyperlink r:id="rId1354" ref="C885"/>
    <hyperlink r:id="rId1355" ref="F885"/>
    <hyperlink r:id="rId1356" ref="C886"/>
    <hyperlink r:id="rId1357" ref="F886"/>
    <hyperlink r:id="rId1358" ref="C887"/>
    <hyperlink r:id="rId1359" ref="F887"/>
    <hyperlink r:id="rId1360" ref="C888"/>
    <hyperlink r:id="rId1361" ref="F888"/>
    <hyperlink r:id="rId1362" ref="C889"/>
    <hyperlink r:id="rId1363" ref="F889"/>
    <hyperlink r:id="rId1364" ref="C890"/>
    <hyperlink r:id="rId1365" ref="F890"/>
    <hyperlink r:id="rId1366" ref="C891"/>
    <hyperlink r:id="rId1367" ref="F891"/>
    <hyperlink r:id="rId1368" ref="C892"/>
    <hyperlink r:id="rId1369" ref="F892"/>
    <hyperlink r:id="rId1370" ref="C893"/>
    <hyperlink r:id="rId1371" ref="F893"/>
    <hyperlink r:id="rId1372" ref="C894"/>
    <hyperlink r:id="rId1373" ref="F894"/>
    <hyperlink r:id="rId1374" ref="C895"/>
    <hyperlink r:id="rId1375" ref="F895"/>
    <hyperlink r:id="rId1376" ref="C896"/>
    <hyperlink r:id="rId1377" ref="F896"/>
    <hyperlink r:id="rId1378" ref="C897"/>
    <hyperlink r:id="rId1379" ref="F897"/>
    <hyperlink r:id="rId1380" ref="C898"/>
    <hyperlink r:id="rId1381" ref="F898"/>
    <hyperlink r:id="rId1382" ref="C899"/>
    <hyperlink r:id="rId1383" ref="F899"/>
    <hyperlink r:id="rId1384" ref="C900"/>
    <hyperlink r:id="rId1385" ref="F900"/>
    <hyperlink r:id="rId1386" ref="C901"/>
    <hyperlink r:id="rId1387" ref="F901"/>
    <hyperlink r:id="rId1388" ref="C902"/>
    <hyperlink r:id="rId1389" ref="F902"/>
    <hyperlink r:id="rId1390" ref="C903"/>
    <hyperlink r:id="rId1391" ref="F903"/>
    <hyperlink r:id="rId1392" ref="C904"/>
    <hyperlink r:id="rId1393" ref="F904"/>
    <hyperlink r:id="rId1394" ref="C905"/>
    <hyperlink r:id="rId1395" ref="F905"/>
    <hyperlink r:id="rId1396" ref="C906"/>
    <hyperlink r:id="rId1397" ref="F906"/>
    <hyperlink r:id="rId1398" ref="C907"/>
    <hyperlink r:id="rId1399" ref="F907"/>
    <hyperlink r:id="rId1400" ref="C908"/>
    <hyperlink r:id="rId1401" ref="F908"/>
    <hyperlink r:id="rId1402" ref="C909"/>
    <hyperlink r:id="rId1403" ref="F909"/>
    <hyperlink r:id="rId1404" ref="C910"/>
    <hyperlink r:id="rId1405" ref="F910"/>
    <hyperlink r:id="rId1406" ref="C911"/>
    <hyperlink r:id="rId1407" ref="F911"/>
    <hyperlink r:id="rId1408" ref="C912"/>
    <hyperlink r:id="rId1409" ref="F912"/>
    <hyperlink r:id="rId1410" ref="C913"/>
    <hyperlink r:id="rId1411" ref="F913"/>
    <hyperlink r:id="rId1412" ref="C914"/>
    <hyperlink r:id="rId1413" ref="F914"/>
    <hyperlink r:id="rId1414" ref="C915"/>
    <hyperlink r:id="rId1415" ref="F915"/>
    <hyperlink r:id="rId1416" ref="C916"/>
    <hyperlink r:id="rId1417" ref="F916"/>
    <hyperlink r:id="rId1418" ref="C917"/>
    <hyperlink r:id="rId1419" ref="F917"/>
    <hyperlink r:id="rId1420" ref="C918"/>
    <hyperlink r:id="rId1421" ref="F918"/>
    <hyperlink r:id="rId1422" ref="C919"/>
    <hyperlink r:id="rId1423" ref="F919"/>
    <hyperlink r:id="rId1424" ref="C920"/>
    <hyperlink r:id="rId1425" ref="F920"/>
    <hyperlink r:id="rId1426" ref="C921"/>
    <hyperlink r:id="rId1427" ref="F921"/>
    <hyperlink r:id="rId1428" ref="C922"/>
    <hyperlink r:id="rId1429" ref="F922"/>
    <hyperlink r:id="rId1430" ref="C923"/>
    <hyperlink r:id="rId1431" ref="F923"/>
    <hyperlink r:id="rId1432" ref="C924"/>
    <hyperlink r:id="rId1433" ref="F924"/>
    <hyperlink r:id="rId1434" ref="C925"/>
    <hyperlink r:id="rId1435" ref="F925"/>
    <hyperlink r:id="rId1436" ref="C926"/>
    <hyperlink r:id="rId1437" ref="F926"/>
    <hyperlink r:id="rId1438" ref="C927"/>
    <hyperlink r:id="rId1439" ref="F927"/>
    <hyperlink r:id="rId1440" ref="C928"/>
    <hyperlink r:id="rId1441" ref="F928"/>
    <hyperlink r:id="rId1442" ref="C929"/>
    <hyperlink r:id="rId1443" ref="F929"/>
    <hyperlink r:id="rId1444" ref="C930"/>
    <hyperlink r:id="rId1445" ref="F930"/>
    <hyperlink r:id="rId1446" ref="C931"/>
    <hyperlink r:id="rId1447" ref="F931"/>
    <hyperlink r:id="rId1448" ref="C932"/>
    <hyperlink r:id="rId1449" ref="F932"/>
    <hyperlink r:id="rId1450" ref="C933"/>
    <hyperlink r:id="rId1451" ref="F933"/>
    <hyperlink r:id="rId1452" ref="C934"/>
    <hyperlink r:id="rId1453" ref="F934"/>
    <hyperlink r:id="rId1454" ref="C935"/>
    <hyperlink r:id="rId1455" ref="F935"/>
    <hyperlink r:id="rId1456" ref="C936"/>
    <hyperlink r:id="rId1457" ref="F936"/>
    <hyperlink r:id="rId1458" ref="C937"/>
    <hyperlink r:id="rId1459" ref="F937"/>
    <hyperlink r:id="rId1460" ref="C938"/>
    <hyperlink r:id="rId1461" ref="F938"/>
    <hyperlink r:id="rId1462" ref="C939"/>
    <hyperlink r:id="rId1463" ref="F939"/>
    <hyperlink r:id="rId1464" ref="C940"/>
    <hyperlink r:id="rId1465" ref="F940"/>
    <hyperlink r:id="rId1466" ref="C941"/>
    <hyperlink r:id="rId1467" ref="F941"/>
    <hyperlink r:id="rId1468" ref="C942"/>
    <hyperlink r:id="rId1469" ref="F942"/>
    <hyperlink r:id="rId1470" ref="C943"/>
    <hyperlink r:id="rId1471" ref="F943"/>
    <hyperlink r:id="rId1472" ref="C944"/>
    <hyperlink r:id="rId1473" ref="F944"/>
    <hyperlink r:id="rId1474" ref="C945"/>
    <hyperlink r:id="rId1475" ref="F945"/>
    <hyperlink r:id="rId1476" ref="C946"/>
    <hyperlink r:id="rId1477" ref="F946"/>
    <hyperlink r:id="rId1478" ref="C947"/>
    <hyperlink r:id="rId1479" ref="F947"/>
    <hyperlink r:id="rId1480" ref="C948"/>
    <hyperlink r:id="rId1481" ref="F948"/>
    <hyperlink r:id="rId1482" ref="C949"/>
    <hyperlink r:id="rId1483" ref="F949"/>
    <hyperlink r:id="rId1484" ref="C950"/>
    <hyperlink r:id="rId1485" ref="F950"/>
    <hyperlink r:id="rId1486" ref="C951"/>
    <hyperlink r:id="rId1487" ref="F951"/>
    <hyperlink r:id="rId1488" ref="C952"/>
    <hyperlink r:id="rId1489" ref="F952"/>
    <hyperlink r:id="rId1490" ref="C953"/>
    <hyperlink r:id="rId1491" ref="F953"/>
    <hyperlink r:id="rId1492" ref="C954"/>
    <hyperlink r:id="rId1493" ref="F954"/>
    <hyperlink r:id="rId1494" ref="C955"/>
    <hyperlink r:id="rId1495" ref="F955"/>
    <hyperlink r:id="rId1496" ref="C956"/>
    <hyperlink r:id="rId1497" ref="F956"/>
    <hyperlink r:id="rId1498" ref="C957"/>
    <hyperlink r:id="rId1499" ref="F957"/>
    <hyperlink r:id="rId1500" ref="C958"/>
    <hyperlink r:id="rId1501" ref="F958"/>
    <hyperlink r:id="rId1502" ref="C959"/>
    <hyperlink r:id="rId1503" ref="F959"/>
    <hyperlink r:id="rId1504" ref="C960"/>
    <hyperlink r:id="rId1505" ref="F960"/>
    <hyperlink r:id="rId1506" ref="C961"/>
    <hyperlink r:id="rId1507" ref="F961"/>
    <hyperlink r:id="rId1508" ref="C962"/>
    <hyperlink r:id="rId1509" ref="F962"/>
    <hyperlink r:id="rId1510" ref="C963"/>
    <hyperlink r:id="rId1511" ref="F963"/>
    <hyperlink r:id="rId1512" ref="C964"/>
    <hyperlink r:id="rId1513" ref="F964"/>
    <hyperlink r:id="rId1514" ref="C965"/>
    <hyperlink r:id="rId1515" ref="F965"/>
    <hyperlink r:id="rId1516" ref="C966"/>
    <hyperlink r:id="rId1517" ref="F966"/>
    <hyperlink r:id="rId1518" ref="C967"/>
    <hyperlink r:id="rId1519" ref="F967"/>
    <hyperlink r:id="rId1520" ref="C968"/>
    <hyperlink r:id="rId1521" ref="F968"/>
    <hyperlink r:id="rId1522" ref="C969"/>
    <hyperlink r:id="rId1523" ref="F969"/>
    <hyperlink r:id="rId1524" ref="C970"/>
    <hyperlink r:id="rId1525" ref="F970"/>
    <hyperlink r:id="rId1526" ref="C971"/>
    <hyperlink r:id="rId1527" ref="F971"/>
    <hyperlink r:id="rId1528" ref="C972"/>
    <hyperlink r:id="rId1529" ref="F972"/>
    <hyperlink r:id="rId1530" ref="C973"/>
    <hyperlink r:id="rId1531" ref="F973"/>
    <hyperlink r:id="rId1532" ref="C974"/>
    <hyperlink r:id="rId1533" ref="F974"/>
    <hyperlink r:id="rId1534" ref="C975"/>
    <hyperlink r:id="rId1535" ref="F975"/>
    <hyperlink r:id="rId1536" ref="C976"/>
    <hyperlink r:id="rId1537" ref="F976"/>
    <hyperlink r:id="rId1538" ref="C977"/>
    <hyperlink r:id="rId1539" ref="F977"/>
    <hyperlink r:id="rId1540" ref="C978"/>
    <hyperlink r:id="rId1541" ref="F978"/>
    <hyperlink r:id="rId1542" ref="C979"/>
    <hyperlink r:id="rId1543" location="?aed" ref="F979"/>
    <hyperlink r:id="rId1544" ref="C980"/>
    <hyperlink r:id="rId1545" ref="F980"/>
    <hyperlink r:id="rId1546" ref="C981"/>
    <hyperlink r:id="rId1547" ref="F981"/>
    <hyperlink r:id="rId1548" ref="C982"/>
    <hyperlink r:id="rId1549" ref="F982"/>
    <hyperlink r:id="rId1550" ref="C983"/>
    <hyperlink r:id="rId1551" ref="C984"/>
    <hyperlink r:id="rId1552" ref="C985"/>
    <hyperlink r:id="rId1553" ref="C986"/>
    <hyperlink r:id="rId1554" ref="F986"/>
    <hyperlink r:id="rId1555" ref="C987"/>
    <hyperlink r:id="rId1556" ref="F988"/>
    <hyperlink r:id="rId1557" ref="C989"/>
    <hyperlink r:id="rId1558" ref="F989"/>
    <hyperlink r:id="rId1559" ref="C990"/>
    <hyperlink r:id="rId1560" ref="F990"/>
    <hyperlink r:id="rId1561" ref="C991"/>
    <hyperlink r:id="rId1562" ref="F991"/>
    <hyperlink r:id="rId1563" ref="C992"/>
    <hyperlink r:id="rId1564" ref="F992"/>
    <hyperlink r:id="rId1565" ref="C993"/>
    <hyperlink r:id="rId1566" ref="F993"/>
    <hyperlink r:id="rId1567" ref="C994"/>
    <hyperlink r:id="rId1568" ref="C995"/>
    <hyperlink r:id="rId1569" ref="C996"/>
    <hyperlink r:id="rId1570" ref="C997"/>
    <hyperlink r:id="rId1571" ref="C998"/>
    <hyperlink r:id="rId1572" ref="C999"/>
    <hyperlink r:id="rId1573" ref="C1000"/>
    <hyperlink r:id="rId1574" ref="F1000"/>
    <hyperlink r:id="rId1575" ref="C1001"/>
    <hyperlink r:id="rId1576" ref="F1001"/>
    <hyperlink r:id="rId1577" ref="C1002"/>
    <hyperlink r:id="rId1578" ref="F1002"/>
    <hyperlink r:id="rId1579" ref="C1003"/>
    <hyperlink r:id="rId1580" ref="F1003"/>
    <hyperlink r:id="rId1581" ref="C1004"/>
    <hyperlink r:id="rId1582" ref="F1004"/>
    <hyperlink r:id="rId1583" ref="C1005"/>
    <hyperlink r:id="rId1584" ref="F1005"/>
    <hyperlink r:id="rId1585" ref="C1006"/>
    <hyperlink r:id="rId1586" ref="C1007"/>
    <hyperlink r:id="rId1587" ref="F1007"/>
    <hyperlink r:id="rId1588" ref="C1008"/>
    <hyperlink r:id="rId1589" ref="F1008"/>
    <hyperlink r:id="rId1590" ref="C1009"/>
    <hyperlink r:id="rId1591" ref="F1009"/>
    <hyperlink r:id="rId1592" ref="C1010"/>
    <hyperlink r:id="rId1593" ref="F1010"/>
    <hyperlink r:id="rId1594" ref="C1011"/>
    <hyperlink r:id="rId1595" ref="F1011"/>
    <hyperlink r:id="rId1596" ref="C1012"/>
    <hyperlink r:id="rId1597" ref="F1012"/>
    <hyperlink r:id="rId1598" ref="C1013"/>
    <hyperlink r:id="rId1599" ref="F1013"/>
    <hyperlink r:id="rId1600" ref="C1014"/>
    <hyperlink r:id="rId1601" ref="F1014"/>
    <hyperlink r:id="rId1602" ref="C1015"/>
    <hyperlink r:id="rId1603" location="?jhi" ref="F1015"/>
    <hyperlink r:id="rId1604" ref="C1016"/>
    <hyperlink r:id="rId1605" location="?jhi" ref="F1016"/>
    <hyperlink r:id="rId1606" ref="C1017"/>
    <hyperlink r:id="rId1607" ref="F1017"/>
    <hyperlink r:id="rId1608" ref="C1018"/>
    <hyperlink r:id="rId1609" ref="C1019"/>
    <hyperlink r:id="rId1610" ref="F1019"/>
    <hyperlink r:id="rId1611" ref="C1020"/>
    <hyperlink r:id="rId1612" ref="C1021"/>
    <hyperlink r:id="rId1613" ref="F1021"/>
    <hyperlink r:id="rId1614" ref="C1022"/>
    <hyperlink r:id="rId1615" ref="F1022"/>
    <hyperlink r:id="rId1616" ref="C1023"/>
    <hyperlink r:id="rId1617" ref="F1023"/>
    <hyperlink r:id="rId1618" ref="C1024"/>
    <hyperlink r:id="rId1619" ref="F1024"/>
    <hyperlink r:id="rId1620" ref="C1025"/>
    <hyperlink r:id="rId1621" ref="F1025"/>
    <hyperlink r:id="rId1622" ref="C1026"/>
    <hyperlink r:id="rId1623" ref="F1026"/>
    <hyperlink r:id="rId1624" ref="C1027"/>
    <hyperlink r:id="rId1625" ref="F1027"/>
    <hyperlink r:id="rId1626" ref="C1028"/>
    <hyperlink r:id="rId1627" ref="F1028"/>
    <hyperlink r:id="rId1628" ref="C1029"/>
    <hyperlink r:id="rId1629" ref="F1029"/>
    <hyperlink r:id="rId1630" ref="C1030"/>
    <hyperlink r:id="rId1631" ref="F1030"/>
    <hyperlink r:id="rId1632" ref="C1031"/>
    <hyperlink r:id="rId1633" ref="F1031"/>
    <hyperlink r:id="rId1634" ref="C1032"/>
    <hyperlink r:id="rId1635" ref="F1032"/>
    <hyperlink r:id="rId1636" ref="C1033"/>
    <hyperlink r:id="rId1637" ref="F1033"/>
    <hyperlink r:id="rId1638" ref="C1034"/>
    <hyperlink r:id="rId1639" ref="F1034"/>
    <hyperlink r:id="rId1640" ref="C1035"/>
    <hyperlink r:id="rId1641" ref="C1036"/>
    <hyperlink r:id="rId1642" ref="C1037"/>
    <hyperlink r:id="rId1643" ref="C1038"/>
    <hyperlink r:id="rId1644" ref="C1039"/>
    <hyperlink r:id="rId1645" ref="F1039"/>
    <hyperlink r:id="rId1646" ref="C1040"/>
    <hyperlink r:id="rId1647" ref="F1040"/>
    <hyperlink r:id="rId1648" ref="C1041"/>
    <hyperlink r:id="rId1649" ref="F1041"/>
    <hyperlink r:id="rId1650" ref="C1042"/>
    <hyperlink r:id="rId1651" ref="F1042"/>
    <hyperlink r:id="rId1652" ref="C1043"/>
    <hyperlink r:id="rId1653" ref="F1043"/>
    <hyperlink r:id="rId1654" ref="C1044"/>
    <hyperlink r:id="rId1655" ref="F1044"/>
    <hyperlink r:id="rId1656" ref="C1045"/>
    <hyperlink r:id="rId1657" ref="F1045"/>
    <hyperlink r:id="rId1658" ref="C1046"/>
    <hyperlink r:id="rId1659" ref="F1046"/>
    <hyperlink r:id="rId1660" ref="C1047"/>
    <hyperlink r:id="rId1661" ref="F1047"/>
    <hyperlink r:id="rId1662" ref="C1048"/>
    <hyperlink r:id="rId1663" ref="C1049"/>
    <hyperlink r:id="rId1664" ref="F1049"/>
    <hyperlink r:id="rId1665" ref="C1050"/>
    <hyperlink r:id="rId1666" ref="F1050"/>
    <hyperlink r:id="rId1667" ref="C1051"/>
    <hyperlink r:id="rId1668" ref="F1051"/>
    <hyperlink r:id="rId1669" ref="C1052"/>
    <hyperlink r:id="rId1670" ref="F1052"/>
    <hyperlink r:id="rId1671" ref="C1053"/>
    <hyperlink r:id="rId1672" ref="F1053"/>
    <hyperlink r:id="rId1673" ref="C1054"/>
    <hyperlink r:id="rId1674" ref="F1054"/>
    <hyperlink r:id="rId1675" ref="C1055"/>
    <hyperlink r:id="rId1676" ref="F1055"/>
    <hyperlink r:id="rId1677" ref="C1056"/>
    <hyperlink r:id="rId1678" ref="F1056"/>
    <hyperlink r:id="rId1679" ref="C1057"/>
    <hyperlink r:id="rId1680" ref="F1057"/>
    <hyperlink r:id="rId1681" ref="C1058"/>
    <hyperlink r:id="rId1682" ref="F1058"/>
    <hyperlink r:id="rId1683" ref="C1059"/>
    <hyperlink r:id="rId1684" ref="F1059"/>
    <hyperlink r:id="rId1685" ref="C1060"/>
    <hyperlink r:id="rId1686" ref="F1060"/>
    <hyperlink r:id="rId1687" ref="C1061"/>
    <hyperlink r:id="rId1688" ref="F1061"/>
    <hyperlink r:id="rId1689" ref="C1062"/>
    <hyperlink r:id="rId1690" ref="F1062"/>
    <hyperlink r:id="rId1691" ref="C1063"/>
    <hyperlink r:id="rId1692" ref="F1063"/>
    <hyperlink r:id="rId1693" ref="C1064"/>
    <hyperlink r:id="rId1694" ref="F1064"/>
    <hyperlink r:id="rId1695" ref="C1065"/>
    <hyperlink r:id="rId1696" ref="F1065"/>
    <hyperlink r:id="rId1697" ref="C1066"/>
    <hyperlink r:id="rId1698" ref="F1066"/>
    <hyperlink r:id="rId1699" ref="C1067"/>
    <hyperlink r:id="rId1700" ref="F1067"/>
    <hyperlink r:id="rId1701" ref="C1068"/>
    <hyperlink r:id="rId1702" ref="F1068"/>
    <hyperlink r:id="rId1703" ref="C1069"/>
    <hyperlink r:id="rId1704" ref="C1070"/>
    <hyperlink r:id="rId1705" ref="F1070"/>
    <hyperlink r:id="rId1706" ref="C1071"/>
    <hyperlink r:id="rId1707" ref="C1072"/>
    <hyperlink r:id="rId1708" ref="F1072"/>
    <hyperlink r:id="rId1709" ref="C1073"/>
    <hyperlink r:id="rId1710" ref="C1074"/>
    <hyperlink r:id="rId1711" ref="C1075"/>
    <hyperlink r:id="rId1712" ref="F1075"/>
    <hyperlink r:id="rId1713" ref="C1076"/>
    <hyperlink r:id="rId1714" ref="C1077"/>
    <hyperlink r:id="rId1715" ref="C1078"/>
    <hyperlink r:id="rId1716" ref="C1079"/>
    <hyperlink r:id="rId1717" ref="F1079"/>
    <hyperlink r:id="rId1718" ref="C1080"/>
    <hyperlink r:id="rId1719" ref="F1080"/>
    <hyperlink r:id="rId1720" ref="C1081"/>
    <hyperlink r:id="rId1721" ref="F1081"/>
    <hyperlink r:id="rId1722" ref="C1082"/>
    <hyperlink r:id="rId1723" ref="F1082"/>
    <hyperlink r:id="rId1724" ref="C1083"/>
    <hyperlink r:id="rId1725" ref="F1083"/>
    <hyperlink r:id="rId1726" ref="C1084"/>
    <hyperlink r:id="rId1727" ref="F1084"/>
    <hyperlink r:id="rId1728" ref="C1085"/>
    <hyperlink r:id="rId1729" ref="F1085"/>
    <hyperlink r:id="rId1730" ref="C1086"/>
    <hyperlink r:id="rId1731" ref="C1087"/>
    <hyperlink r:id="rId1732" ref="F1087"/>
    <hyperlink r:id="rId1733" ref="C1088"/>
    <hyperlink r:id="rId1734" ref="F1088"/>
    <hyperlink r:id="rId1735" ref="C1089"/>
    <hyperlink r:id="rId1736" ref="F1089"/>
    <hyperlink r:id="rId1737" ref="C1090"/>
    <hyperlink r:id="rId1738" ref="F1090"/>
    <hyperlink r:id="rId1739" ref="C1091"/>
    <hyperlink r:id="rId1740" ref="F1091"/>
    <hyperlink r:id="rId1741" ref="C1092"/>
    <hyperlink r:id="rId1742" ref="F1092"/>
    <hyperlink r:id="rId1743" ref="C1093"/>
    <hyperlink r:id="rId1744" ref="F1093"/>
    <hyperlink r:id="rId1745" ref="C1094"/>
    <hyperlink r:id="rId1746" ref="F1094"/>
    <hyperlink r:id="rId1747" ref="C1095"/>
    <hyperlink r:id="rId1748" ref="F1095"/>
    <hyperlink r:id="rId1749" ref="C1096"/>
    <hyperlink r:id="rId1750" ref="F1096"/>
    <hyperlink r:id="rId1751" ref="C1097"/>
    <hyperlink r:id="rId1752" ref="F1097"/>
    <hyperlink r:id="rId1753" ref="C1098"/>
    <hyperlink r:id="rId1754" ref="F1098"/>
    <hyperlink r:id="rId1755" ref="C1099"/>
    <hyperlink r:id="rId1756" ref="F1099"/>
    <hyperlink r:id="rId1757" ref="C1100"/>
    <hyperlink r:id="rId1758" ref="F1100"/>
    <hyperlink r:id="rId1759" ref="C1101"/>
    <hyperlink r:id="rId1760" ref="F1101"/>
    <hyperlink r:id="rId1761" ref="C1102"/>
    <hyperlink r:id="rId1762" ref="F1102"/>
    <hyperlink r:id="rId1763" ref="C1103"/>
    <hyperlink r:id="rId1764" ref="F1103"/>
    <hyperlink r:id="rId1765" ref="C1104"/>
    <hyperlink r:id="rId1766" ref="F1104"/>
    <hyperlink r:id="rId1767" ref="C1105"/>
    <hyperlink r:id="rId1768" ref="F1105"/>
    <hyperlink r:id="rId1769" ref="C1106"/>
    <hyperlink r:id="rId1770" ref="F1106"/>
    <hyperlink r:id="rId1771" ref="C1107"/>
    <hyperlink r:id="rId1772" ref="F1107"/>
    <hyperlink r:id="rId1773" ref="C1108"/>
    <hyperlink r:id="rId1774" ref="F1108"/>
    <hyperlink r:id="rId1775" ref="C1109"/>
    <hyperlink r:id="rId1776" ref="F1109"/>
    <hyperlink r:id="rId1777" ref="C1110"/>
    <hyperlink r:id="rId1778" ref="F1110"/>
    <hyperlink r:id="rId1779" ref="C1111"/>
    <hyperlink r:id="rId1780" ref="F1111"/>
    <hyperlink r:id="rId1781" ref="C1112"/>
    <hyperlink r:id="rId1782" ref="F1112"/>
    <hyperlink r:id="rId1783" ref="C1113"/>
    <hyperlink r:id="rId1784" ref="F1113"/>
    <hyperlink r:id="rId1785" ref="C1114"/>
    <hyperlink r:id="rId1786" ref="F1114"/>
    <hyperlink r:id="rId1787" ref="C1115"/>
    <hyperlink r:id="rId1788" ref="F1115"/>
    <hyperlink r:id="rId1789" ref="C1116"/>
    <hyperlink r:id="rId1790" ref="C1117"/>
    <hyperlink r:id="rId1791" ref="C1118"/>
    <hyperlink r:id="rId1792" ref="C1119"/>
    <hyperlink r:id="rId1793" ref="C1120"/>
    <hyperlink r:id="rId1794" ref="C1121"/>
    <hyperlink r:id="rId1795" ref="C1122"/>
    <hyperlink r:id="rId1796" ref="C1123"/>
    <hyperlink r:id="rId1797" ref="F1123"/>
    <hyperlink r:id="rId1798" ref="C1124"/>
    <hyperlink r:id="rId1799" ref="F1124"/>
    <hyperlink r:id="rId1800" ref="C1125"/>
    <hyperlink r:id="rId1801" ref="F1125"/>
    <hyperlink r:id="rId1802" ref="C1126"/>
    <hyperlink r:id="rId1803" ref="F1126"/>
    <hyperlink r:id="rId1804" ref="C1127"/>
    <hyperlink r:id="rId1805" ref="F1127"/>
    <hyperlink r:id="rId1806" ref="C1128"/>
    <hyperlink r:id="rId1807" ref="F1128"/>
    <hyperlink r:id="rId1808" ref="C1129"/>
    <hyperlink r:id="rId1809" ref="C1130"/>
    <hyperlink r:id="rId1810" ref="F1130"/>
    <hyperlink r:id="rId1811" ref="C1131"/>
    <hyperlink r:id="rId1812" ref="F1131"/>
    <hyperlink r:id="rId1813" ref="C1132"/>
    <hyperlink r:id="rId1814" ref="C1133"/>
    <hyperlink r:id="rId1815" ref="F1133"/>
    <hyperlink r:id="rId1816" ref="C1134"/>
    <hyperlink r:id="rId1817" ref="F1134"/>
    <hyperlink r:id="rId1818" ref="C1135"/>
    <hyperlink r:id="rId1819" ref="F1135"/>
    <hyperlink r:id="rId1820" ref="C1136"/>
    <hyperlink r:id="rId1821" ref="F1136"/>
    <hyperlink r:id="rId1822" ref="C1137"/>
    <hyperlink r:id="rId1823" ref="F1137"/>
    <hyperlink r:id="rId1824" ref="C1138"/>
    <hyperlink r:id="rId1825" ref="F1138"/>
    <hyperlink r:id="rId1826" ref="C1139"/>
    <hyperlink r:id="rId1827" ref="F1139"/>
    <hyperlink r:id="rId1828" ref="C1140"/>
    <hyperlink r:id="rId1829" ref="F1140"/>
    <hyperlink r:id="rId1830" ref="C1141"/>
    <hyperlink r:id="rId1831" ref="F1141"/>
    <hyperlink r:id="rId1832" ref="C1142"/>
    <hyperlink r:id="rId1833" ref="F1142"/>
    <hyperlink r:id="rId1834" ref="C1143"/>
    <hyperlink r:id="rId1835" ref="F1143"/>
    <hyperlink r:id="rId1836" ref="C1144"/>
    <hyperlink r:id="rId1837" ref="F1144"/>
    <hyperlink r:id="rId1838" ref="C1145"/>
    <hyperlink r:id="rId1839" ref="F1145"/>
    <hyperlink r:id="rId1840" ref="C1146"/>
    <hyperlink r:id="rId1841" ref="F1146"/>
    <hyperlink r:id="rId1842" ref="C1147"/>
    <hyperlink r:id="rId1843" ref="F1147"/>
    <hyperlink r:id="rId1844" ref="C1148"/>
    <hyperlink r:id="rId1845" ref="F1148"/>
    <hyperlink r:id="rId1846" ref="C1149"/>
    <hyperlink r:id="rId1847" ref="F1149"/>
    <hyperlink r:id="rId1848" ref="C1150"/>
    <hyperlink r:id="rId1849" ref="F1150"/>
    <hyperlink r:id="rId1850" ref="C1151"/>
    <hyperlink r:id="rId1851" ref="F1151"/>
    <hyperlink r:id="rId1852" ref="C1152"/>
    <hyperlink r:id="rId1853" ref="F1152"/>
    <hyperlink r:id="rId1854" ref="C1153"/>
    <hyperlink r:id="rId1855" ref="C1154"/>
    <hyperlink r:id="rId1856" ref="F1154"/>
    <hyperlink r:id="rId1857" ref="C1155"/>
    <hyperlink r:id="rId1858" ref="F1155"/>
    <hyperlink r:id="rId1859" ref="C1156"/>
    <hyperlink r:id="rId1860" ref="F1156"/>
    <hyperlink r:id="rId1861" ref="C1157"/>
    <hyperlink r:id="rId1862" ref="F1157"/>
    <hyperlink r:id="rId1863" ref="C1158"/>
    <hyperlink r:id="rId1864" ref="F1158"/>
    <hyperlink r:id="rId1865" ref="C1159"/>
    <hyperlink r:id="rId1866" ref="C1160"/>
    <hyperlink r:id="rId1867" ref="F1160"/>
    <hyperlink r:id="rId1868" ref="C1161"/>
    <hyperlink r:id="rId1869" ref="F1161"/>
    <hyperlink r:id="rId1870" ref="C1162"/>
    <hyperlink r:id="rId1871" ref="F1162"/>
    <hyperlink r:id="rId1872" ref="C1163"/>
    <hyperlink r:id="rId1873" ref="C1164"/>
    <hyperlink r:id="rId1874" ref="C1165"/>
    <hyperlink r:id="rId1875" ref="C1166"/>
    <hyperlink r:id="rId1876" ref="F1166"/>
    <hyperlink r:id="rId1877" ref="C1167"/>
    <hyperlink r:id="rId1878" ref="F1167"/>
    <hyperlink r:id="rId1879" ref="C1168"/>
    <hyperlink r:id="rId1880" ref="F1168"/>
    <hyperlink r:id="rId1881" ref="C1169"/>
    <hyperlink r:id="rId1882" ref="F1169"/>
    <hyperlink r:id="rId1883" ref="C1170"/>
    <hyperlink r:id="rId1884" ref="F1170"/>
    <hyperlink r:id="rId1885" ref="C1171"/>
    <hyperlink r:id="rId1886" ref="F1171"/>
    <hyperlink r:id="rId1887" ref="C1172"/>
    <hyperlink r:id="rId1888" ref="F1172"/>
    <hyperlink r:id="rId1889" ref="C1173"/>
    <hyperlink r:id="rId1890" ref="F1173"/>
    <hyperlink r:id="rId1891" ref="C1174"/>
    <hyperlink r:id="rId1892" ref="F1174"/>
    <hyperlink r:id="rId1893" ref="C1175"/>
    <hyperlink r:id="rId1894" ref="F1175"/>
    <hyperlink r:id="rId1895" ref="C1176"/>
    <hyperlink r:id="rId1896" ref="F1176"/>
    <hyperlink r:id="rId1897" ref="C1177"/>
    <hyperlink r:id="rId1898" ref="F1177"/>
    <hyperlink r:id="rId1899" ref="C1178"/>
    <hyperlink r:id="rId1900" ref="F1178"/>
    <hyperlink r:id="rId1901" ref="C1179"/>
    <hyperlink r:id="rId1902" ref="F1179"/>
    <hyperlink r:id="rId1903" ref="C1180"/>
    <hyperlink r:id="rId1904" ref="F1180"/>
    <hyperlink r:id="rId1905" ref="C1181"/>
    <hyperlink r:id="rId1906" ref="F1181"/>
    <hyperlink r:id="rId1907" ref="C1182"/>
    <hyperlink r:id="rId1908" ref="F1182"/>
    <hyperlink r:id="rId1909" ref="C1183"/>
    <hyperlink r:id="rId1910" ref="F1183"/>
    <hyperlink r:id="rId1911" ref="C1184"/>
    <hyperlink r:id="rId1912" ref="F1184"/>
    <hyperlink r:id="rId1913" ref="C1185"/>
    <hyperlink r:id="rId1914" ref="F1185"/>
    <hyperlink r:id="rId1915" ref="C1186"/>
    <hyperlink r:id="rId1916" ref="F1186"/>
    <hyperlink r:id="rId1917" ref="C1187"/>
    <hyperlink r:id="rId1918" ref="F1187"/>
    <hyperlink r:id="rId1919" ref="C1188"/>
    <hyperlink r:id="rId1920" ref="F1188"/>
    <hyperlink r:id="rId1921" ref="C1189"/>
    <hyperlink r:id="rId1922" ref="F1189"/>
    <hyperlink r:id="rId1923" ref="C1190"/>
    <hyperlink r:id="rId1924" ref="F1190"/>
    <hyperlink r:id="rId1925" ref="C1191"/>
    <hyperlink r:id="rId1926" ref="F1191"/>
    <hyperlink r:id="rId1927" ref="C1192"/>
    <hyperlink r:id="rId1928" ref="F1192"/>
    <hyperlink r:id="rId1929" ref="C1193"/>
    <hyperlink r:id="rId1930" ref="F1193"/>
    <hyperlink r:id="rId1931" ref="C1194"/>
    <hyperlink r:id="rId1932" ref="F1194"/>
    <hyperlink r:id="rId1933" ref="C1195"/>
    <hyperlink r:id="rId1934" ref="F1195"/>
    <hyperlink r:id="rId1935" ref="C1196"/>
    <hyperlink r:id="rId1936" ref="C1197"/>
    <hyperlink r:id="rId1937" ref="F1197"/>
    <hyperlink r:id="rId1938" ref="C1198"/>
    <hyperlink r:id="rId1939" ref="F1198"/>
    <hyperlink r:id="rId1940" ref="C1199"/>
    <hyperlink r:id="rId1941" ref="F1199"/>
    <hyperlink r:id="rId1942" ref="C1200"/>
    <hyperlink r:id="rId1943" ref="F1200"/>
    <hyperlink r:id="rId1944" ref="C1201"/>
    <hyperlink r:id="rId1945" ref="F1201"/>
    <hyperlink r:id="rId1946" ref="C1202"/>
    <hyperlink r:id="rId1947" ref="F1202"/>
    <hyperlink r:id="rId1948" ref="C1203"/>
    <hyperlink r:id="rId1949" ref="F1203"/>
    <hyperlink r:id="rId1950" ref="C1204"/>
    <hyperlink r:id="rId1951" ref="F1204"/>
    <hyperlink r:id="rId1952" ref="C1205"/>
    <hyperlink r:id="rId1953" ref="F1205"/>
    <hyperlink r:id="rId1954" ref="C1206"/>
    <hyperlink r:id="rId1955" ref="F1206"/>
    <hyperlink r:id="rId1956" ref="C1207"/>
    <hyperlink r:id="rId1957" ref="F1207"/>
    <hyperlink r:id="rId1958" ref="C1208"/>
    <hyperlink r:id="rId1959" ref="F1208"/>
    <hyperlink r:id="rId1960" ref="C1209"/>
    <hyperlink r:id="rId1961" location="advertiser" ref="F1209"/>
    <hyperlink r:id="rId1962" ref="C1210"/>
    <hyperlink r:id="rId1963" ref="F1210"/>
    <hyperlink r:id="rId1964" ref="C1211"/>
    <hyperlink r:id="rId1965" ref="F1211"/>
    <hyperlink r:id="rId1966" ref="C1212"/>
    <hyperlink r:id="rId1967" ref="F1212"/>
    <hyperlink r:id="rId1968" ref="C1213"/>
    <hyperlink r:id="rId1969" ref="F1213"/>
    <hyperlink r:id="rId1970" ref="C1214"/>
    <hyperlink r:id="rId1971" ref="F1214"/>
    <hyperlink r:id="rId1972" ref="C1215"/>
    <hyperlink r:id="rId1973" ref="F1215"/>
    <hyperlink r:id="rId1974" ref="C1216"/>
    <hyperlink r:id="rId1975" ref="F1216"/>
    <hyperlink r:id="rId1976" ref="C1217"/>
    <hyperlink r:id="rId1977" ref="F1217"/>
    <hyperlink r:id="rId1978" ref="C1218"/>
    <hyperlink r:id="rId1979" ref="F1218"/>
    <hyperlink r:id="rId1980" ref="C1219"/>
    <hyperlink r:id="rId1981" ref="F1219"/>
    <hyperlink r:id="rId1982" ref="C1220"/>
    <hyperlink r:id="rId1983" ref="F1220"/>
    <hyperlink r:id="rId1984" ref="C1221"/>
    <hyperlink r:id="rId1985" ref="F1221"/>
    <hyperlink r:id="rId1986" ref="C1222"/>
    <hyperlink r:id="rId1987" ref="F1222"/>
    <hyperlink r:id="rId1988" ref="C1223"/>
    <hyperlink r:id="rId1989" ref="F1223"/>
    <hyperlink r:id="rId1990" ref="C1224"/>
    <hyperlink r:id="rId1991" ref="F1224"/>
    <hyperlink r:id="rId1992" ref="C1225"/>
    <hyperlink r:id="rId1993" ref="F1225"/>
    <hyperlink r:id="rId1994" ref="C1226"/>
    <hyperlink r:id="rId1995" ref="F1226"/>
    <hyperlink r:id="rId1996" ref="C1227"/>
    <hyperlink r:id="rId1997" ref="F1227"/>
    <hyperlink r:id="rId1998" ref="C1228"/>
    <hyperlink r:id="rId1999" ref="F1228"/>
    <hyperlink r:id="rId2000" ref="C1229"/>
    <hyperlink r:id="rId2001" ref="F1229"/>
    <hyperlink r:id="rId2002" ref="C1230"/>
    <hyperlink r:id="rId2003" ref="F1230"/>
    <hyperlink r:id="rId2004" ref="C1231"/>
    <hyperlink r:id="rId2005" ref="F1231"/>
    <hyperlink r:id="rId2006" ref="C1232"/>
    <hyperlink r:id="rId2007" ref="F1232"/>
    <hyperlink r:id="rId2008" ref="C1233"/>
    <hyperlink r:id="rId2009" ref="F1233"/>
    <hyperlink r:id="rId2010" ref="C1234"/>
    <hyperlink r:id="rId2011" ref="F1234"/>
    <hyperlink r:id="rId2012" ref="C1235"/>
    <hyperlink r:id="rId2013" ref="F1235"/>
    <hyperlink r:id="rId2014" ref="C1236"/>
    <hyperlink r:id="rId2015" ref="F1236"/>
    <hyperlink r:id="rId2016" ref="C1237"/>
    <hyperlink r:id="rId2017" ref="F1237"/>
    <hyperlink r:id="rId2018" ref="C1238"/>
    <hyperlink r:id="rId2019" ref="F1238"/>
    <hyperlink r:id="rId2020" ref="C1239"/>
    <hyperlink r:id="rId2021" ref="F1239"/>
    <hyperlink r:id="rId2022" ref="C1240"/>
    <hyperlink r:id="rId2023" ref="F1240"/>
    <hyperlink r:id="rId2024" ref="C1241"/>
    <hyperlink r:id="rId2025" ref="F1241"/>
    <hyperlink r:id="rId2026" ref="C1242"/>
    <hyperlink r:id="rId2027" ref="F1242"/>
    <hyperlink r:id="rId2028" ref="C1243"/>
    <hyperlink r:id="rId2029" ref="F1243"/>
    <hyperlink r:id="rId2030" ref="C1244"/>
    <hyperlink r:id="rId2031" ref="F1244"/>
    <hyperlink r:id="rId2032" ref="C1245"/>
    <hyperlink r:id="rId2033" ref="F1245"/>
    <hyperlink r:id="rId2034" ref="C1246"/>
    <hyperlink r:id="rId2035" ref="F1246"/>
    <hyperlink r:id="rId2036" ref="C1247"/>
    <hyperlink r:id="rId2037" ref="F1247"/>
    <hyperlink r:id="rId2038" ref="C1248"/>
    <hyperlink r:id="rId2039" ref="F1248"/>
    <hyperlink r:id="rId2040" ref="C1249"/>
    <hyperlink r:id="rId2041" ref="F1249"/>
    <hyperlink r:id="rId2042" ref="C1250"/>
    <hyperlink r:id="rId2043" ref="F1250"/>
    <hyperlink r:id="rId2044" ref="C1251"/>
    <hyperlink r:id="rId2045" ref="F1251"/>
    <hyperlink r:id="rId2046" ref="C1252"/>
    <hyperlink r:id="rId2047" ref="F1252"/>
    <hyperlink r:id="rId2048" ref="C1253"/>
    <hyperlink r:id="rId2049" ref="F1253"/>
    <hyperlink r:id="rId2050" ref="C1254"/>
    <hyperlink r:id="rId2051" ref="F1254"/>
    <hyperlink r:id="rId2052" ref="C1255"/>
    <hyperlink r:id="rId2053" ref="F1255"/>
    <hyperlink r:id="rId2054" ref="C1256"/>
    <hyperlink r:id="rId2055" ref="F1256"/>
    <hyperlink r:id="rId2056" ref="C1257"/>
    <hyperlink r:id="rId2057" ref="F1257"/>
    <hyperlink r:id="rId2058" ref="C1258"/>
    <hyperlink r:id="rId2059" ref="F1258"/>
    <hyperlink r:id="rId2060" ref="C1259"/>
    <hyperlink r:id="rId2061" ref="F1259"/>
    <hyperlink r:id="rId2062" ref="C1260"/>
    <hyperlink r:id="rId2063" ref="F1260"/>
    <hyperlink r:id="rId2064" ref="C1261"/>
    <hyperlink r:id="rId2065" ref="F1261"/>
    <hyperlink r:id="rId2066" ref="C1262"/>
    <hyperlink r:id="rId2067" ref="F1262"/>
    <hyperlink r:id="rId2068" ref="C1263"/>
    <hyperlink r:id="rId2069" ref="F1263"/>
    <hyperlink r:id="rId2070" ref="C1264"/>
    <hyperlink r:id="rId2071" ref="F1264"/>
    <hyperlink r:id="rId2072" ref="C1265"/>
    <hyperlink r:id="rId2073" ref="F1265"/>
    <hyperlink r:id="rId2074" ref="C1266"/>
    <hyperlink r:id="rId2075" ref="F1266"/>
    <hyperlink r:id="rId2076" ref="C1267"/>
    <hyperlink r:id="rId2077" ref="F1267"/>
    <hyperlink r:id="rId2078" ref="C1268"/>
    <hyperlink r:id="rId2079" ref="F1268"/>
    <hyperlink r:id="rId2080" ref="C1269"/>
    <hyperlink r:id="rId2081" ref="F1269"/>
    <hyperlink r:id="rId2082" ref="C1270"/>
    <hyperlink r:id="rId2083" ref="F1270"/>
    <hyperlink r:id="rId2084" ref="C1271"/>
    <hyperlink r:id="rId2085" ref="F1271"/>
    <hyperlink r:id="rId2086" ref="C1272"/>
    <hyperlink r:id="rId2087" ref="F1272"/>
    <hyperlink r:id="rId2088" ref="C1273"/>
    <hyperlink r:id="rId2089" ref="F1273"/>
    <hyperlink r:id="rId2090" ref="C1274"/>
    <hyperlink r:id="rId2091" ref="F1274"/>
    <hyperlink r:id="rId2092" ref="C1275"/>
    <hyperlink r:id="rId2093" ref="F1275"/>
    <hyperlink r:id="rId2094" ref="C1276"/>
    <hyperlink r:id="rId2095" ref="F1276"/>
    <hyperlink r:id="rId2096" ref="C1277"/>
    <hyperlink r:id="rId2097" ref="F1277"/>
    <hyperlink r:id="rId2098" ref="C1278"/>
    <hyperlink r:id="rId2099" ref="F1278"/>
    <hyperlink r:id="rId2100" ref="C1279"/>
    <hyperlink r:id="rId2101" ref="F1279"/>
    <hyperlink r:id="rId2102" ref="C1280"/>
    <hyperlink r:id="rId2103" ref="F1280"/>
    <hyperlink r:id="rId2104" ref="C1281"/>
    <hyperlink r:id="rId2105" ref="F1281"/>
    <hyperlink r:id="rId2106" ref="C1282"/>
    <hyperlink r:id="rId2107" ref="F1282"/>
    <hyperlink r:id="rId2108" ref="C1283"/>
    <hyperlink r:id="rId2109" ref="F1283"/>
    <hyperlink r:id="rId2110" ref="C1284"/>
    <hyperlink r:id="rId2111" ref="F1284"/>
    <hyperlink r:id="rId2112" ref="C1285"/>
    <hyperlink r:id="rId2113" ref="F1285"/>
    <hyperlink r:id="rId2114" ref="C1286"/>
    <hyperlink r:id="rId2115" ref="F1286"/>
    <hyperlink r:id="rId2116" ref="C1287"/>
    <hyperlink r:id="rId2117" ref="F1287"/>
    <hyperlink r:id="rId2118" ref="C1288"/>
    <hyperlink r:id="rId2119" ref="F1288"/>
    <hyperlink r:id="rId2120" ref="C1289"/>
    <hyperlink r:id="rId2121" ref="F1289"/>
    <hyperlink r:id="rId2122" ref="C1290"/>
    <hyperlink r:id="rId2123" ref="F1290"/>
    <hyperlink r:id="rId2124" ref="C1291"/>
    <hyperlink r:id="rId2125" ref="F1291"/>
    <hyperlink r:id="rId2126" ref="C1292"/>
    <hyperlink r:id="rId2127" ref="F1292"/>
    <hyperlink r:id="rId2128" ref="C1293"/>
    <hyperlink r:id="rId2129" ref="F1293"/>
    <hyperlink r:id="rId2130" ref="C1294"/>
    <hyperlink r:id="rId2131" ref="F1294"/>
    <hyperlink r:id="rId2132" ref="C1295"/>
    <hyperlink r:id="rId2133" ref="F1295"/>
    <hyperlink r:id="rId2134" ref="C1296"/>
    <hyperlink r:id="rId2135" ref="F1296"/>
    <hyperlink r:id="rId2136" ref="C1297"/>
    <hyperlink r:id="rId2137" ref="F1297"/>
    <hyperlink r:id="rId2138" ref="C1298"/>
    <hyperlink r:id="rId2139" ref="F1298"/>
    <hyperlink r:id="rId2140" ref="C1299"/>
    <hyperlink r:id="rId2141" ref="F1299"/>
    <hyperlink r:id="rId2142" ref="C1300"/>
    <hyperlink r:id="rId2143" ref="F1300"/>
    <hyperlink r:id="rId2144" ref="C1301"/>
    <hyperlink r:id="rId2145" ref="F1301"/>
    <hyperlink r:id="rId2146" ref="C1302"/>
    <hyperlink r:id="rId2147" ref="F1302"/>
    <hyperlink r:id="rId2148" ref="C1303"/>
    <hyperlink r:id="rId2149" ref="F1303"/>
    <hyperlink r:id="rId2150" ref="C1304"/>
    <hyperlink r:id="rId2151" ref="F1304"/>
    <hyperlink r:id="rId2152" ref="C1305"/>
    <hyperlink r:id="rId2153" ref="F1305"/>
    <hyperlink r:id="rId2154" ref="C1306"/>
    <hyperlink r:id="rId2155" ref="F1306"/>
    <hyperlink r:id="rId2156" ref="C1307"/>
    <hyperlink r:id="rId2157" ref="F1307"/>
    <hyperlink r:id="rId2158" ref="C1308"/>
    <hyperlink r:id="rId2159" ref="F1308"/>
    <hyperlink r:id="rId2160" ref="C1309"/>
    <hyperlink r:id="rId2161" ref="F1309"/>
    <hyperlink r:id="rId2162" ref="C1310"/>
    <hyperlink r:id="rId2163" ref="F1310"/>
    <hyperlink r:id="rId2164" ref="C1311"/>
    <hyperlink r:id="rId2165" ref="F1311"/>
    <hyperlink r:id="rId2166" ref="C1312"/>
    <hyperlink r:id="rId2167" ref="F1312"/>
    <hyperlink r:id="rId2168" ref="C1313"/>
    <hyperlink r:id="rId2169" ref="F1313"/>
    <hyperlink r:id="rId2170" ref="C1314"/>
    <hyperlink r:id="rId2171" ref="F1314"/>
    <hyperlink r:id="rId2172" ref="C1315"/>
    <hyperlink r:id="rId2173" ref="F1315"/>
    <hyperlink r:id="rId2174" ref="C1316"/>
    <hyperlink r:id="rId2175" ref="F1316"/>
    <hyperlink r:id="rId2176" ref="C1317"/>
    <hyperlink r:id="rId2177" ref="F1317"/>
    <hyperlink r:id="rId2178" ref="C1318"/>
    <hyperlink r:id="rId2179" ref="F1318"/>
    <hyperlink r:id="rId2180" ref="C1319"/>
    <hyperlink r:id="rId2181" ref="F1319"/>
    <hyperlink r:id="rId2182" ref="C1320"/>
    <hyperlink r:id="rId2183" ref="F1320"/>
    <hyperlink r:id="rId2184" ref="C1321"/>
    <hyperlink r:id="rId2185" ref="F1321"/>
    <hyperlink r:id="rId2186" ref="C1322"/>
    <hyperlink r:id="rId2187" ref="F1322"/>
    <hyperlink r:id="rId2188" ref="C1323"/>
    <hyperlink r:id="rId2189" ref="F1323"/>
    <hyperlink r:id="rId2190" ref="C1324"/>
    <hyperlink r:id="rId2191" ref="F1324"/>
    <hyperlink r:id="rId2192" ref="C1325"/>
    <hyperlink r:id="rId2193" ref="F1325"/>
    <hyperlink r:id="rId2194" ref="C1326"/>
    <hyperlink r:id="rId2195" ref="F1326"/>
    <hyperlink r:id="rId2196" ref="C1327"/>
    <hyperlink r:id="rId2197" ref="F1327"/>
    <hyperlink r:id="rId2198" ref="C1328"/>
    <hyperlink r:id="rId2199" ref="F1328"/>
    <hyperlink r:id="rId2200" ref="C1329"/>
    <hyperlink r:id="rId2201" ref="F1329"/>
    <hyperlink r:id="rId2202" ref="C1330"/>
    <hyperlink r:id="rId2203" ref="F1330"/>
    <hyperlink r:id="rId2204" ref="C1331"/>
    <hyperlink r:id="rId2205" ref="F1331"/>
    <hyperlink r:id="rId2206" ref="C1332"/>
    <hyperlink r:id="rId2207" ref="C1333"/>
    <hyperlink r:id="rId2208" ref="F1333"/>
    <hyperlink r:id="rId2209" ref="C1334"/>
    <hyperlink r:id="rId2210" ref="F1334"/>
    <hyperlink r:id="rId2211" ref="C1335"/>
    <hyperlink r:id="rId2212" ref="F1335"/>
    <hyperlink r:id="rId2213" ref="C1336"/>
    <hyperlink r:id="rId2214" ref="F1336"/>
    <hyperlink r:id="rId2215" ref="C1337"/>
    <hyperlink r:id="rId2216" ref="F1337"/>
    <hyperlink r:id="rId2217" ref="C1338"/>
    <hyperlink r:id="rId2218" ref="F1338"/>
    <hyperlink r:id="rId2219" ref="C1339"/>
    <hyperlink r:id="rId2220" ref="F1339"/>
    <hyperlink r:id="rId2221" ref="C1340"/>
    <hyperlink r:id="rId2222" ref="F1340"/>
    <hyperlink r:id="rId2223" ref="C1341"/>
    <hyperlink r:id="rId2224" ref="F1341"/>
    <hyperlink r:id="rId2225" ref="C1342"/>
    <hyperlink r:id="rId2226" ref="F1342"/>
    <hyperlink r:id="rId2227" ref="C1343"/>
    <hyperlink r:id="rId2228" ref="F1343"/>
    <hyperlink r:id="rId2229" ref="C1344"/>
    <hyperlink r:id="rId2230" ref="F1344"/>
    <hyperlink r:id="rId2231" ref="C1345"/>
    <hyperlink r:id="rId2232" ref="F1345"/>
    <hyperlink r:id="rId2233" ref="C1346"/>
    <hyperlink r:id="rId2234" ref="F1346"/>
    <hyperlink r:id="rId2235" ref="C1347"/>
    <hyperlink r:id="rId2236" ref="F1347"/>
    <hyperlink r:id="rId2237" ref="C1348"/>
    <hyperlink r:id="rId2238" ref="F1348"/>
    <hyperlink r:id="rId2239" ref="C1349"/>
    <hyperlink r:id="rId2240" ref="F1349"/>
    <hyperlink r:id="rId2241" ref="C1350"/>
    <hyperlink r:id="rId2242" ref="F1350"/>
    <hyperlink r:id="rId2243" ref="C1351"/>
    <hyperlink r:id="rId2244" ref="F1351"/>
    <hyperlink r:id="rId2245" ref="C1352"/>
    <hyperlink r:id="rId2246" ref="F1352"/>
    <hyperlink r:id="rId2247" ref="C1353"/>
    <hyperlink r:id="rId2248" ref="F1353"/>
    <hyperlink r:id="rId2249" ref="C1354"/>
    <hyperlink r:id="rId2250" ref="F1354"/>
    <hyperlink r:id="rId2251" ref="C1355"/>
    <hyperlink r:id="rId2252" ref="F1355"/>
    <hyperlink r:id="rId2253" ref="C1356"/>
    <hyperlink r:id="rId2254" ref="F1356"/>
    <hyperlink r:id="rId2255" ref="C1357"/>
    <hyperlink r:id="rId2256" ref="F1357"/>
    <hyperlink r:id="rId2257" ref="C1358"/>
    <hyperlink r:id="rId2258" ref="F1358"/>
    <hyperlink r:id="rId2259" ref="C1359"/>
    <hyperlink r:id="rId2260" ref="F1359"/>
    <hyperlink r:id="rId2261" ref="C1360"/>
    <hyperlink r:id="rId2262" ref="F1360"/>
    <hyperlink r:id="rId2263" ref="C1361"/>
    <hyperlink r:id="rId2264" ref="F1361"/>
    <hyperlink r:id="rId2265" ref="C1362"/>
    <hyperlink r:id="rId2266" ref="F1362"/>
    <hyperlink r:id="rId2267" ref="C1363"/>
    <hyperlink r:id="rId2268" ref="F1363"/>
    <hyperlink r:id="rId2269" ref="C1364"/>
    <hyperlink r:id="rId2270" ref="F1364"/>
    <hyperlink r:id="rId2271" ref="C1365"/>
    <hyperlink r:id="rId2272" ref="F1365"/>
    <hyperlink r:id="rId2273" ref="C1366"/>
    <hyperlink r:id="rId2274" ref="F1366"/>
    <hyperlink r:id="rId2275" ref="C1367"/>
    <hyperlink r:id="rId2276" ref="C1368"/>
    <hyperlink r:id="rId2277" ref="F1368"/>
    <hyperlink r:id="rId2278" ref="C1369"/>
    <hyperlink r:id="rId2279" ref="F1369"/>
    <hyperlink r:id="rId2280" ref="C1370"/>
    <hyperlink r:id="rId2281" ref="F1370"/>
    <hyperlink r:id="rId2282" ref="C1371"/>
    <hyperlink r:id="rId2283" ref="F1371"/>
    <hyperlink r:id="rId2284" ref="C1372"/>
    <hyperlink r:id="rId2285" ref="F1372"/>
    <hyperlink r:id="rId2286" ref="C1373"/>
    <hyperlink r:id="rId2287" ref="F1373"/>
    <hyperlink r:id="rId2288" ref="C1374"/>
    <hyperlink r:id="rId2289" ref="F1374"/>
    <hyperlink r:id="rId2290" ref="C1375"/>
    <hyperlink r:id="rId2291" ref="F1375"/>
    <hyperlink r:id="rId2292" ref="C1376"/>
    <hyperlink r:id="rId2293" ref="F1376"/>
    <hyperlink r:id="rId2294" ref="C1377"/>
    <hyperlink r:id="rId2295" ref="F1377"/>
    <hyperlink r:id="rId2296" ref="C1378"/>
    <hyperlink r:id="rId2297" ref="F1378"/>
    <hyperlink r:id="rId2298" ref="C1379"/>
    <hyperlink r:id="rId2299" ref="C1380"/>
    <hyperlink r:id="rId2300" ref="C1381"/>
    <hyperlink r:id="rId2301" ref="C1382"/>
    <hyperlink r:id="rId2302" ref="C1383"/>
    <hyperlink r:id="rId2303" ref="C1384"/>
    <hyperlink r:id="rId2304" ref="F1384"/>
    <hyperlink r:id="rId2305" ref="C1385"/>
    <hyperlink r:id="rId2306" ref="C1386"/>
    <hyperlink r:id="rId2307" ref="C1387"/>
    <hyperlink r:id="rId2308" ref="F1387"/>
    <hyperlink r:id="rId2309" ref="C1388"/>
    <hyperlink r:id="rId2310" ref="F1388"/>
    <hyperlink r:id="rId2311" ref="C1389"/>
    <hyperlink r:id="rId2312" ref="F1389"/>
    <hyperlink r:id="rId2313" ref="C1390"/>
    <hyperlink r:id="rId2314" ref="F1390"/>
    <hyperlink r:id="rId2315" ref="C1391"/>
    <hyperlink r:id="rId2316" ref="F1391"/>
    <hyperlink r:id="rId2317" ref="C1392"/>
    <hyperlink r:id="rId2318" ref="C1393"/>
    <hyperlink r:id="rId2319" ref="C1394"/>
    <hyperlink r:id="rId2320" ref="C1395"/>
    <hyperlink r:id="rId2321" ref="C1396"/>
    <hyperlink r:id="rId2322" ref="F1396"/>
    <hyperlink r:id="rId2323" ref="C1397"/>
    <hyperlink r:id="rId2324" ref="C1398"/>
    <hyperlink r:id="rId2325" ref="F1398"/>
    <hyperlink r:id="rId2326" ref="C1399"/>
    <hyperlink r:id="rId2327" ref="F1399"/>
    <hyperlink r:id="rId2328" ref="C1400"/>
    <hyperlink r:id="rId2329" ref="C1401"/>
    <hyperlink r:id="rId2330" ref="F1401"/>
    <hyperlink r:id="rId2331" ref="C1402"/>
    <hyperlink r:id="rId2332" ref="F1402"/>
    <hyperlink r:id="rId2333" ref="C1403"/>
    <hyperlink r:id="rId2334" ref="C1404"/>
    <hyperlink r:id="rId2335" ref="F1404"/>
    <hyperlink r:id="rId2336" ref="C1405"/>
    <hyperlink r:id="rId2337" ref="C1406"/>
    <hyperlink r:id="rId2338" ref="C1407"/>
    <hyperlink r:id="rId2339" ref="C1408"/>
    <hyperlink r:id="rId2340" ref="C1409"/>
    <hyperlink r:id="rId2341" ref="C1410"/>
    <hyperlink r:id="rId2342" ref="C1411"/>
    <hyperlink r:id="rId2343" ref="C1412"/>
    <hyperlink r:id="rId2344" ref="C1413"/>
    <hyperlink r:id="rId2345" ref="C1414"/>
    <hyperlink r:id="rId2346" ref="C1415"/>
    <hyperlink r:id="rId2347" ref="C1416"/>
    <hyperlink r:id="rId2348" ref="C1417"/>
    <hyperlink r:id="rId2349" ref="F1417"/>
    <hyperlink r:id="rId2350" ref="C1418"/>
    <hyperlink r:id="rId2351" ref="F1418"/>
    <hyperlink r:id="rId2352" ref="C1419"/>
    <hyperlink r:id="rId2353" ref="C1420"/>
    <hyperlink r:id="rId2354" ref="C1421"/>
    <hyperlink r:id="rId2355" ref="C1422"/>
    <hyperlink r:id="rId2356" ref="C1423"/>
    <hyperlink r:id="rId2357" ref="C1424"/>
    <hyperlink r:id="rId2358" ref="C1425"/>
    <hyperlink r:id="rId2359" ref="C1426"/>
    <hyperlink r:id="rId2360" ref="F1426"/>
    <hyperlink r:id="rId2361" ref="C1427"/>
    <hyperlink r:id="rId2362" ref="C1428"/>
    <hyperlink r:id="rId2363" ref="C1429"/>
    <hyperlink r:id="rId2364" ref="F1429"/>
    <hyperlink r:id="rId2365" ref="C1430"/>
    <hyperlink r:id="rId2366" ref="C1431"/>
    <hyperlink r:id="rId2367" ref="C1432"/>
    <hyperlink r:id="rId2368" ref="C1433"/>
    <hyperlink r:id="rId2369" ref="C1434"/>
    <hyperlink r:id="rId2370" ref="C1435"/>
    <hyperlink r:id="rId2371" ref="F1435"/>
    <hyperlink r:id="rId2372" ref="C1436"/>
    <hyperlink r:id="rId2373" ref="F1436"/>
    <hyperlink r:id="rId2374" ref="C1437"/>
    <hyperlink r:id="rId2375" ref="C1438"/>
    <hyperlink r:id="rId2376" ref="C1439"/>
    <hyperlink r:id="rId2377" ref="C1440"/>
    <hyperlink r:id="rId2378" ref="C1441"/>
    <hyperlink r:id="rId2379" ref="C1442"/>
    <hyperlink r:id="rId2380" ref="C1443"/>
    <hyperlink r:id="rId2381" ref="F1443"/>
    <hyperlink r:id="rId2382" ref="C1444"/>
    <hyperlink r:id="rId2383" ref="C1445"/>
    <hyperlink r:id="rId2384" ref="C1446"/>
    <hyperlink r:id="rId2385" ref="C1447"/>
    <hyperlink r:id="rId2386" ref="C1448"/>
    <hyperlink r:id="rId2387" ref="C1449"/>
    <hyperlink r:id="rId2388" ref="F1449"/>
    <hyperlink r:id="rId2389" ref="C1450"/>
    <hyperlink r:id="rId2390" ref="C1451"/>
    <hyperlink r:id="rId2391" ref="C1452"/>
    <hyperlink r:id="rId2392" ref="F1452"/>
    <hyperlink r:id="rId2393" ref="C1453"/>
    <hyperlink r:id="rId2394" ref="F1453"/>
    <hyperlink r:id="rId2395" ref="C1454"/>
    <hyperlink r:id="rId2396" ref="F1454"/>
    <hyperlink r:id="rId2397" ref="C1455"/>
    <hyperlink r:id="rId2398" ref="F1455"/>
    <hyperlink r:id="rId2399" ref="C1456"/>
    <hyperlink r:id="rId2400" ref="F1456"/>
    <hyperlink r:id="rId2401" ref="C1457"/>
    <hyperlink r:id="rId2402" ref="C1458"/>
    <hyperlink r:id="rId2403" ref="F1458"/>
    <hyperlink r:id="rId2404" ref="C1459"/>
    <hyperlink r:id="rId2405" ref="C1460"/>
    <hyperlink r:id="rId2406" ref="C1461"/>
    <hyperlink r:id="rId2407" ref="C1462"/>
    <hyperlink r:id="rId2408" ref="C1463"/>
    <hyperlink r:id="rId2409" ref="C1464"/>
    <hyperlink r:id="rId2410" ref="C1465"/>
    <hyperlink r:id="rId2411" ref="C1466"/>
    <hyperlink r:id="rId2412" ref="C1467"/>
    <hyperlink r:id="rId2413" ref="C1468"/>
    <hyperlink r:id="rId2414" ref="C1469"/>
    <hyperlink r:id="rId2415" ref="C1470"/>
    <hyperlink r:id="rId2416" ref="C1471"/>
    <hyperlink r:id="rId2417" ref="C1472"/>
    <hyperlink r:id="rId2418" ref="C1473"/>
    <hyperlink r:id="rId2419" ref="C1474"/>
    <hyperlink r:id="rId2420" ref="C1475"/>
    <hyperlink r:id="rId2421" ref="F1475"/>
    <hyperlink r:id="rId2422" ref="C1476"/>
    <hyperlink r:id="rId2423" ref="C1477"/>
    <hyperlink r:id="rId2424" ref="C1478"/>
    <hyperlink r:id="rId2425" ref="C1479"/>
    <hyperlink r:id="rId2426" ref="C1480"/>
    <hyperlink r:id="rId2427" ref="C1481"/>
    <hyperlink r:id="rId2428" ref="C1482"/>
    <hyperlink r:id="rId2429" ref="C1483"/>
    <hyperlink r:id="rId2430" ref="C1484"/>
    <hyperlink r:id="rId2431" ref="C1485"/>
    <hyperlink r:id="rId2432" ref="C1486"/>
    <hyperlink r:id="rId2433" ref="F1486"/>
    <hyperlink r:id="rId2434" ref="C1487"/>
    <hyperlink r:id="rId2435" ref="C1488"/>
    <hyperlink r:id="rId2436" ref="F1488"/>
    <hyperlink r:id="rId2437" ref="C1489"/>
    <hyperlink r:id="rId2438" ref="C1490"/>
    <hyperlink r:id="rId2439" ref="C1491"/>
    <hyperlink r:id="rId2440" ref="C1492"/>
    <hyperlink r:id="rId2441" ref="F1492"/>
    <hyperlink r:id="rId2442" ref="C1493"/>
    <hyperlink r:id="rId2443" ref="C1494"/>
    <hyperlink r:id="rId2444" ref="C1495"/>
    <hyperlink r:id="rId2445" ref="C1496"/>
    <hyperlink r:id="rId2446" ref="C1497"/>
    <hyperlink r:id="rId2447" ref="C1498"/>
    <hyperlink r:id="rId2448" ref="C1499"/>
    <hyperlink r:id="rId2449" ref="C1500"/>
    <hyperlink r:id="rId2450" ref="C1501"/>
    <hyperlink r:id="rId2451" ref="C1502"/>
    <hyperlink r:id="rId2452" ref="C1503"/>
    <hyperlink r:id="rId2453" ref="C1504"/>
    <hyperlink r:id="rId2454" ref="C1505"/>
    <hyperlink r:id="rId2455" ref="C1506"/>
    <hyperlink r:id="rId2456" ref="C1507"/>
    <hyperlink r:id="rId2457" ref="C1508"/>
    <hyperlink r:id="rId2458" ref="C1509"/>
    <hyperlink r:id="rId2459" ref="C1510"/>
    <hyperlink r:id="rId2460" ref="C1511"/>
    <hyperlink r:id="rId2461" ref="C1512"/>
    <hyperlink r:id="rId2462" ref="C1513"/>
    <hyperlink r:id="rId2463" ref="C1514"/>
    <hyperlink r:id="rId2464" ref="C1515"/>
    <hyperlink r:id="rId2465" ref="C1516"/>
    <hyperlink r:id="rId2466" ref="C1517"/>
    <hyperlink r:id="rId2467" ref="C1518"/>
    <hyperlink r:id="rId2468" ref="C1519"/>
    <hyperlink r:id="rId2469" ref="C1520"/>
    <hyperlink r:id="rId2470" ref="C1521"/>
    <hyperlink r:id="rId2471" ref="C1522"/>
    <hyperlink r:id="rId2472" ref="C1523"/>
    <hyperlink r:id="rId2473" ref="C1524"/>
    <hyperlink r:id="rId2474" ref="C1525"/>
    <hyperlink r:id="rId2475" ref="C1526"/>
    <hyperlink r:id="rId2476" ref="C1527"/>
    <hyperlink r:id="rId2477" ref="C1528"/>
    <hyperlink r:id="rId2478" ref="C1529"/>
    <hyperlink r:id="rId2479" ref="C1530"/>
    <hyperlink r:id="rId2480" ref="C1531"/>
    <hyperlink r:id="rId2481" ref="C1532"/>
    <hyperlink r:id="rId2482" ref="C1533"/>
    <hyperlink r:id="rId2483" ref="C1534"/>
    <hyperlink r:id="rId2484" ref="C1535"/>
    <hyperlink r:id="rId2485" ref="C1536"/>
    <hyperlink r:id="rId2486" ref="C1537"/>
    <hyperlink r:id="rId2487" ref="C1538"/>
    <hyperlink r:id="rId2488" ref="C1539"/>
    <hyperlink r:id="rId2489" ref="C1540"/>
    <hyperlink r:id="rId2490" ref="C1541"/>
    <hyperlink r:id="rId2491" ref="C1542"/>
    <hyperlink r:id="rId2492" ref="C1543"/>
    <hyperlink r:id="rId2493" ref="C1544"/>
    <hyperlink r:id="rId2494" ref="C1545"/>
    <hyperlink r:id="rId2495" ref="C1546"/>
    <hyperlink r:id="rId2496" ref="C1547"/>
    <hyperlink r:id="rId2497" ref="C1548"/>
    <hyperlink r:id="rId2498" ref="C1549"/>
    <hyperlink r:id="rId2499" ref="C1550"/>
    <hyperlink r:id="rId2500" ref="C1551"/>
    <hyperlink r:id="rId2501" ref="C1552"/>
    <hyperlink r:id="rId2502" ref="C1553"/>
    <hyperlink r:id="rId2503" ref="C1554"/>
    <hyperlink r:id="rId2504" ref="C1555"/>
    <hyperlink r:id="rId2505" ref="C1556"/>
    <hyperlink r:id="rId2506" ref="C1557"/>
    <hyperlink r:id="rId2507" ref="C1558"/>
    <hyperlink r:id="rId2508" ref="C1559"/>
    <hyperlink r:id="rId2509" ref="C1560"/>
    <hyperlink r:id="rId2510" ref="C1561"/>
    <hyperlink r:id="rId2511" ref="C1562"/>
    <hyperlink r:id="rId2512" ref="C1563"/>
    <hyperlink r:id="rId2513" ref="C1564"/>
    <hyperlink r:id="rId2514" ref="C1565"/>
    <hyperlink r:id="rId2515" ref="C1566"/>
    <hyperlink r:id="rId2516" ref="C1567"/>
    <hyperlink r:id="rId2517" ref="C1568"/>
    <hyperlink r:id="rId2518" ref="C1569"/>
    <hyperlink r:id="rId2519" ref="C1570"/>
    <hyperlink r:id="rId2520" ref="C1571"/>
    <hyperlink r:id="rId2521" ref="C1572"/>
    <hyperlink r:id="rId2522" ref="C1573"/>
    <hyperlink r:id="rId2523" ref="C1574"/>
    <hyperlink r:id="rId2524" ref="C1575"/>
    <hyperlink r:id="rId2525" ref="C1576"/>
    <hyperlink r:id="rId2526" ref="C1577"/>
    <hyperlink r:id="rId2527" ref="C1578"/>
    <hyperlink r:id="rId2528" ref="C1579"/>
    <hyperlink r:id="rId2529" ref="C1580"/>
    <hyperlink r:id="rId2530" ref="C1581"/>
    <hyperlink r:id="rId2531" ref="C1582"/>
    <hyperlink r:id="rId2532" ref="C1583"/>
    <hyperlink r:id="rId2533" ref="C1584"/>
    <hyperlink r:id="rId2534" ref="C1585"/>
    <hyperlink r:id="rId2535" ref="C1586"/>
    <hyperlink r:id="rId2536" ref="C1587"/>
    <hyperlink r:id="rId2537" ref="C1588"/>
    <hyperlink r:id="rId2538" ref="C1589"/>
    <hyperlink r:id="rId2539" ref="C1590"/>
    <hyperlink r:id="rId2540" ref="C1591"/>
    <hyperlink r:id="rId2541" ref="C1592"/>
    <hyperlink r:id="rId2542" ref="C1593"/>
    <hyperlink r:id="rId2543" ref="C1594"/>
    <hyperlink r:id="rId2544" ref="C1595"/>
    <hyperlink r:id="rId2545" ref="C1596"/>
    <hyperlink r:id="rId2546" ref="C1597"/>
    <hyperlink r:id="rId2547" ref="C1598"/>
    <hyperlink r:id="rId2548" ref="C1599"/>
    <hyperlink r:id="rId2549" ref="C1600"/>
    <hyperlink r:id="rId2550" ref="C1601"/>
    <hyperlink r:id="rId2551" ref="C1602"/>
    <hyperlink r:id="rId2552" ref="C1603"/>
    <hyperlink r:id="rId2553" ref="C1604"/>
    <hyperlink r:id="rId2554" ref="C1605"/>
    <hyperlink r:id="rId2555" ref="C1606"/>
    <hyperlink r:id="rId2556" ref="C1607"/>
    <hyperlink r:id="rId2557" ref="C1608"/>
    <hyperlink r:id="rId2558" ref="C1609"/>
    <hyperlink r:id="rId2559" ref="C1610"/>
    <hyperlink r:id="rId2560" ref="C1611"/>
    <hyperlink r:id="rId2561" ref="C1612"/>
    <hyperlink r:id="rId2562" ref="C1613"/>
    <hyperlink r:id="rId2563" ref="C1614"/>
    <hyperlink r:id="rId2564" ref="C1615"/>
    <hyperlink r:id="rId2565" ref="C1616"/>
    <hyperlink r:id="rId2566" ref="C1617"/>
    <hyperlink r:id="rId2567" ref="C1618"/>
    <hyperlink r:id="rId2568" ref="C1619"/>
    <hyperlink r:id="rId2569" ref="C1620"/>
    <hyperlink r:id="rId2570" ref="C1621"/>
    <hyperlink r:id="rId2571" ref="C1622"/>
    <hyperlink r:id="rId2572" ref="C1623"/>
    <hyperlink r:id="rId2573" ref="C1624"/>
    <hyperlink r:id="rId2574" ref="C1625"/>
    <hyperlink r:id="rId2575" ref="C1626"/>
    <hyperlink r:id="rId2576" ref="C1627"/>
    <hyperlink r:id="rId2577" ref="C1628"/>
    <hyperlink r:id="rId2578" ref="C1629"/>
    <hyperlink r:id="rId2579" ref="C1630"/>
    <hyperlink r:id="rId2580" ref="C1631"/>
    <hyperlink r:id="rId2581" ref="C1632"/>
    <hyperlink r:id="rId2582" ref="C1633"/>
    <hyperlink r:id="rId2583" ref="C1634"/>
    <hyperlink r:id="rId2584" ref="C1635"/>
    <hyperlink r:id="rId2585" ref="C1636"/>
    <hyperlink r:id="rId2586" ref="C1637"/>
    <hyperlink r:id="rId2587" ref="C1638"/>
    <hyperlink r:id="rId2588" ref="C1639"/>
    <hyperlink r:id="rId2589" ref="C1640"/>
    <hyperlink r:id="rId2590" ref="C1641"/>
    <hyperlink r:id="rId2591" ref="C1642"/>
    <hyperlink r:id="rId2592" ref="C1643"/>
    <hyperlink r:id="rId2593" ref="C1644"/>
    <hyperlink r:id="rId2594" ref="C1645"/>
    <hyperlink r:id="rId2595" ref="C1646"/>
    <hyperlink r:id="rId2596" ref="C1647"/>
    <hyperlink r:id="rId2597" ref="C1648"/>
    <hyperlink r:id="rId2598" ref="C1649"/>
    <hyperlink r:id="rId2599" ref="C1650"/>
    <hyperlink r:id="rId2600" ref="C1651"/>
    <hyperlink r:id="rId2601" ref="C1652"/>
    <hyperlink r:id="rId2602" ref="C1653"/>
    <hyperlink r:id="rId2603" ref="C1654"/>
    <hyperlink r:id="rId2604" ref="C1655"/>
    <hyperlink r:id="rId2605" ref="C1656"/>
    <hyperlink r:id="rId2606" ref="C1657"/>
    <hyperlink r:id="rId2607" ref="C1658"/>
    <hyperlink r:id="rId2608" ref="C1659"/>
    <hyperlink r:id="rId2609" ref="C1660"/>
    <hyperlink r:id="rId2610" ref="C1661"/>
    <hyperlink r:id="rId2611" ref="C1662"/>
    <hyperlink r:id="rId2612" ref="C1663"/>
    <hyperlink r:id="rId2613" ref="C1664"/>
    <hyperlink r:id="rId2614" ref="C1665"/>
    <hyperlink r:id="rId2615" ref="C1666"/>
    <hyperlink r:id="rId2616" ref="C1667"/>
    <hyperlink r:id="rId2617" ref="C1668"/>
    <hyperlink r:id="rId2618" ref="C1669"/>
    <hyperlink r:id="rId2619" ref="C1670"/>
    <hyperlink r:id="rId2620" ref="C1671"/>
    <hyperlink r:id="rId2621" ref="C1672"/>
    <hyperlink r:id="rId2622" ref="C1673"/>
    <hyperlink r:id="rId2623" ref="C1674"/>
    <hyperlink r:id="rId2624" ref="C1675"/>
    <hyperlink r:id="rId2625" ref="C1676"/>
    <hyperlink r:id="rId2626" ref="C1677"/>
    <hyperlink r:id="rId2627" ref="C1678"/>
    <hyperlink r:id="rId2628" ref="C1679"/>
    <hyperlink r:id="rId2629" ref="C1680"/>
    <hyperlink r:id="rId2630" ref="C1681"/>
    <hyperlink r:id="rId2631" ref="C1682"/>
    <hyperlink r:id="rId2632" ref="C1683"/>
    <hyperlink r:id="rId2633" ref="C1684"/>
    <hyperlink r:id="rId2634" ref="C1685"/>
    <hyperlink r:id="rId2635" ref="C1686"/>
    <hyperlink r:id="rId2636" ref="C1687"/>
    <hyperlink r:id="rId2637" ref="C1688"/>
    <hyperlink r:id="rId2638" ref="C1689"/>
    <hyperlink r:id="rId2639" ref="C1690"/>
    <hyperlink r:id="rId2640" ref="C1691"/>
    <hyperlink r:id="rId2641" ref="C1692"/>
    <hyperlink r:id="rId2642" ref="C1693"/>
    <hyperlink r:id="rId2643" ref="C1694"/>
    <hyperlink r:id="rId2644" ref="C1695"/>
    <hyperlink r:id="rId2645" ref="C1696"/>
    <hyperlink r:id="rId2646" ref="C1697"/>
    <hyperlink r:id="rId2647" ref="C1698"/>
    <hyperlink r:id="rId2648" ref="C1699"/>
    <hyperlink r:id="rId2649" ref="C1700"/>
    <hyperlink r:id="rId2650" ref="C1701"/>
    <hyperlink r:id="rId2651" ref="C1702"/>
    <hyperlink r:id="rId2652" ref="C1703"/>
    <hyperlink r:id="rId2653" ref="C1704"/>
    <hyperlink r:id="rId2654" ref="C1705"/>
    <hyperlink r:id="rId2655" ref="C1706"/>
    <hyperlink r:id="rId2656" ref="C1707"/>
    <hyperlink r:id="rId2657" ref="C1708"/>
    <hyperlink r:id="rId2658" ref="C1709"/>
    <hyperlink r:id="rId2659" ref="C1710"/>
    <hyperlink r:id="rId2660" ref="C1711"/>
    <hyperlink r:id="rId2661" ref="C1712"/>
    <hyperlink r:id="rId2662" ref="C1713"/>
    <hyperlink r:id="rId2663" ref="C1714"/>
    <hyperlink r:id="rId2664" ref="C1715"/>
    <hyperlink r:id="rId2665" ref="C1716"/>
    <hyperlink r:id="rId2666" ref="C1717"/>
    <hyperlink r:id="rId2667" ref="C1718"/>
    <hyperlink r:id="rId2668" ref="C1719"/>
    <hyperlink r:id="rId2669" ref="C1720"/>
    <hyperlink r:id="rId2670" ref="C1721"/>
    <hyperlink r:id="rId2671" ref="C1722"/>
    <hyperlink r:id="rId2672" ref="C1723"/>
    <hyperlink r:id="rId2673" ref="C1724"/>
    <hyperlink r:id="rId2674" ref="C1725"/>
    <hyperlink r:id="rId2675" ref="C1726"/>
    <hyperlink r:id="rId2676" ref="C1727"/>
    <hyperlink r:id="rId2677" ref="C1728"/>
    <hyperlink r:id="rId2678" ref="C1729"/>
    <hyperlink r:id="rId2679" ref="C1730"/>
    <hyperlink r:id="rId2680" ref="C1731"/>
    <hyperlink r:id="rId2681" ref="C1732"/>
    <hyperlink r:id="rId2682" ref="C1733"/>
    <hyperlink r:id="rId2683" ref="C1734"/>
    <hyperlink r:id="rId2684" ref="C1735"/>
    <hyperlink r:id="rId2685" ref="C1736"/>
    <hyperlink r:id="rId2686" ref="C1737"/>
    <hyperlink r:id="rId2687" ref="C1738"/>
    <hyperlink r:id="rId2688" ref="C1739"/>
    <hyperlink r:id="rId2689" ref="C1740"/>
    <hyperlink r:id="rId2690" ref="C1741"/>
    <hyperlink r:id="rId2691" ref="C1742"/>
    <hyperlink r:id="rId2692" ref="C1743"/>
    <hyperlink r:id="rId2693" ref="C1744"/>
    <hyperlink r:id="rId2694" ref="C1745"/>
    <hyperlink r:id="rId2695" ref="C1746"/>
    <hyperlink r:id="rId2696" ref="C1747"/>
    <hyperlink r:id="rId2697" ref="C1748"/>
    <hyperlink r:id="rId2698" ref="C1749"/>
    <hyperlink r:id="rId2699" ref="C1750"/>
    <hyperlink r:id="rId2700" ref="C1751"/>
    <hyperlink r:id="rId2701" ref="C1752"/>
    <hyperlink r:id="rId2702" ref="C1753"/>
    <hyperlink r:id="rId2703" ref="C1754"/>
    <hyperlink r:id="rId2704" ref="C1755"/>
    <hyperlink r:id="rId2705" ref="C1756"/>
    <hyperlink r:id="rId2706" ref="C1757"/>
    <hyperlink r:id="rId2707" ref="C1758"/>
    <hyperlink r:id="rId2708" ref="C1759"/>
    <hyperlink r:id="rId2709" ref="C1760"/>
    <hyperlink r:id="rId2710" ref="C1761"/>
    <hyperlink r:id="rId2711" ref="C1762"/>
    <hyperlink r:id="rId2712" ref="C1763"/>
    <hyperlink r:id="rId2713" ref="C1764"/>
    <hyperlink r:id="rId2714" ref="C1765"/>
    <hyperlink r:id="rId2715" ref="C1766"/>
    <hyperlink r:id="rId2716" ref="C1767"/>
    <hyperlink r:id="rId2717" ref="C1768"/>
    <hyperlink r:id="rId2718" ref="C1769"/>
    <hyperlink r:id="rId2719" ref="C1770"/>
    <hyperlink r:id="rId2720" ref="C1771"/>
    <hyperlink r:id="rId2721" ref="C1772"/>
    <hyperlink r:id="rId2722" ref="C1773"/>
    <hyperlink r:id="rId2723" ref="C1774"/>
    <hyperlink r:id="rId2724" ref="C1775"/>
    <hyperlink r:id="rId2725" ref="C1776"/>
    <hyperlink r:id="rId2726" ref="C1777"/>
    <hyperlink r:id="rId2727" ref="C1778"/>
    <hyperlink r:id="rId2728" ref="C1779"/>
    <hyperlink r:id="rId2729" ref="C1780"/>
    <hyperlink r:id="rId2730" ref="C1781"/>
    <hyperlink r:id="rId2731" ref="C1782"/>
    <hyperlink r:id="rId2732" ref="C1783"/>
    <hyperlink r:id="rId2733" ref="C1784"/>
    <hyperlink r:id="rId2734" ref="C1785"/>
    <hyperlink r:id="rId2735" ref="C1786"/>
    <hyperlink r:id="rId2736" ref="C1787"/>
    <hyperlink r:id="rId2737" ref="C1788"/>
    <hyperlink r:id="rId2738" ref="C1789"/>
    <hyperlink r:id="rId2739" ref="C1790"/>
    <hyperlink r:id="rId2740" ref="C1791"/>
    <hyperlink r:id="rId2741" ref="C1792"/>
    <hyperlink r:id="rId2742" ref="C1793"/>
    <hyperlink r:id="rId2743" ref="C1794"/>
    <hyperlink r:id="rId2744" ref="C1795"/>
    <hyperlink r:id="rId2745" ref="C1796"/>
    <hyperlink r:id="rId2746" ref="C1797"/>
    <hyperlink r:id="rId2747" ref="C1798"/>
    <hyperlink r:id="rId2748" ref="C1799"/>
    <hyperlink r:id="rId2749" ref="C1800"/>
    <hyperlink r:id="rId2750" ref="C1801"/>
    <hyperlink r:id="rId2751" ref="C1802"/>
    <hyperlink r:id="rId2752" ref="C1803"/>
    <hyperlink r:id="rId2753" ref="C1804"/>
    <hyperlink r:id="rId2754" ref="C1805"/>
    <hyperlink r:id="rId2755" ref="C1806"/>
    <hyperlink r:id="rId2756" ref="C1807"/>
    <hyperlink r:id="rId2757" ref="C1808"/>
    <hyperlink r:id="rId2758" ref="C1809"/>
    <hyperlink r:id="rId2759" ref="C1810"/>
    <hyperlink r:id="rId2760" ref="C1811"/>
    <hyperlink r:id="rId2761" ref="C1812"/>
    <hyperlink r:id="rId2762" ref="C1813"/>
    <hyperlink r:id="rId2763" ref="C1814"/>
    <hyperlink r:id="rId2764" ref="C1815"/>
    <hyperlink r:id="rId2765" ref="C1816"/>
    <hyperlink r:id="rId2766" ref="C1817"/>
    <hyperlink r:id="rId2767" ref="C1818"/>
    <hyperlink r:id="rId2768" ref="C1819"/>
    <hyperlink r:id="rId2769" ref="C1820"/>
    <hyperlink r:id="rId2770" ref="C1821"/>
    <hyperlink r:id="rId2771" ref="C1822"/>
    <hyperlink r:id="rId2772" ref="C1823"/>
    <hyperlink r:id="rId2773" ref="C1824"/>
    <hyperlink r:id="rId2774" ref="C1825"/>
    <hyperlink r:id="rId2775" ref="C1826"/>
    <hyperlink r:id="rId2776" ref="C1827"/>
    <hyperlink r:id="rId2777" ref="C1828"/>
    <hyperlink r:id="rId2778" ref="C1829"/>
    <hyperlink r:id="rId2779" ref="C1830"/>
    <hyperlink r:id="rId2780" ref="C1831"/>
    <hyperlink r:id="rId2781" ref="C1832"/>
    <hyperlink r:id="rId2782" ref="C1833"/>
    <hyperlink r:id="rId2783" ref="C1834"/>
    <hyperlink r:id="rId2784" ref="C1835"/>
    <hyperlink r:id="rId2785" ref="C1836"/>
    <hyperlink r:id="rId2786" ref="C1837"/>
    <hyperlink r:id="rId2787" ref="C1838"/>
    <hyperlink r:id="rId2788" ref="C1839"/>
    <hyperlink r:id="rId2789" ref="C1840"/>
    <hyperlink r:id="rId2790" ref="C1841"/>
    <hyperlink r:id="rId2791" ref="C1842"/>
    <hyperlink r:id="rId2792" ref="C1843"/>
    <hyperlink r:id="rId2793" ref="C1844"/>
    <hyperlink r:id="rId2794" ref="C1845"/>
    <hyperlink r:id="rId2795" ref="C1846"/>
    <hyperlink r:id="rId2796" ref="C1847"/>
    <hyperlink r:id="rId2797" ref="C1848"/>
    <hyperlink r:id="rId2798" ref="C1849"/>
    <hyperlink r:id="rId2799" ref="C1850"/>
    <hyperlink r:id="rId2800" ref="C1851"/>
    <hyperlink r:id="rId2801" ref="C1852"/>
    <hyperlink r:id="rId2802" ref="C1853"/>
    <hyperlink r:id="rId2803" ref="C1854"/>
    <hyperlink r:id="rId2804" ref="C1855"/>
    <hyperlink r:id="rId2805" ref="C1856"/>
    <hyperlink r:id="rId2806" ref="C1857"/>
    <hyperlink r:id="rId2807" ref="C1858"/>
    <hyperlink r:id="rId2808" ref="C1859"/>
    <hyperlink r:id="rId2809" ref="C1860"/>
    <hyperlink r:id="rId2810" ref="C1861"/>
    <hyperlink r:id="rId2811" ref="C1862"/>
    <hyperlink r:id="rId2812" ref="C1863"/>
    <hyperlink r:id="rId2813" ref="C1864"/>
    <hyperlink r:id="rId2814" ref="C1865"/>
    <hyperlink r:id="rId2815" ref="C1866"/>
    <hyperlink r:id="rId2816" ref="C1867"/>
    <hyperlink r:id="rId2817" ref="C1868"/>
    <hyperlink r:id="rId2818" ref="C1869"/>
    <hyperlink r:id="rId2819" ref="C1870"/>
    <hyperlink r:id="rId2820" ref="C1871"/>
    <hyperlink r:id="rId2821" ref="C1872"/>
    <hyperlink r:id="rId2822" ref="C1873"/>
    <hyperlink r:id="rId2823" ref="C1874"/>
    <hyperlink r:id="rId2824" ref="C1875"/>
    <hyperlink r:id="rId2825" ref="C1876"/>
    <hyperlink r:id="rId2826" ref="C1877"/>
    <hyperlink r:id="rId2827" ref="C1878"/>
    <hyperlink r:id="rId2828" ref="C1879"/>
    <hyperlink r:id="rId2829" ref="C1880"/>
    <hyperlink r:id="rId2830" ref="C1881"/>
    <hyperlink r:id="rId2831" ref="C1882"/>
    <hyperlink r:id="rId2832" ref="C1883"/>
    <hyperlink r:id="rId2833" ref="C1884"/>
    <hyperlink r:id="rId2834" ref="C1885"/>
    <hyperlink r:id="rId2835" ref="C1886"/>
    <hyperlink r:id="rId2836" ref="C1887"/>
    <hyperlink r:id="rId2837" ref="C1888"/>
    <hyperlink r:id="rId2838" ref="C1890"/>
    <hyperlink r:id="rId2839" ref="C1891"/>
    <hyperlink r:id="rId2840" ref="C1892"/>
    <hyperlink r:id="rId2841" ref="C1893"/>
    <hyperlink r:id="rId2842" ref="C1894"/>
    <hyperlink r:id="rId2843" ref="C1895"/>
    <hyperlink r:id="rId2844" ref="C1896"/>
    <hyperlink r:id="rId2845" ref="C1897"/>
    <hyperlink r:id="rId2846" ref="C1898"/>
    <hyperlink r:id="rId2847" ref="C1899"/>
    <hyperlink r:id="rId2848" ref="C1900"/>
    <hyperlink r:id="rId2849" ref="C1901"/>
    <hyperlink r:id="rId2850" ref="C1902"/>
    <hyperlink r:id="rId2851" ref="C1903"/>
    <hyperlink r:id="rId2852" ref="C1904"/>
    <hyperlink r:id="rId2853" ref="C1905"/>
    <hyperlink r:id="rId2854" ref="C1906"/>
    <hyperlink r:id="rId2855" ref="C1907"/>
    <hyperlink r:id="rId2856" ref="C1908"/>
    <hyperlink r:id="rId2857" ref="C1909"/>
    <hyperlink r:id="rId2858" ref="C1910"/>
    <hyperlink r:id="rId2859" ref="C1911"/>
    <hyperlink r:id="rId2860" ref="C1912"/>
    <hyperlink r:id="rId2861" ref="C1913"/>
    <hyperlink r:id="rId2862" ref="C1914"/>
    <hyperlink r:id="rId2863" ref="C1915"/>
    <hyperlink r:id="rId2864" ref="C1916"/>
    <hyperlink r:id="rId2865" ref="C1917"/>
    <hyperlink r:id="rId2866" ref="C1918"/>
    <hyperlink r:id="rId2867" ref="C1919"/>
    <hyperlink r:id="rId2868" ref="C1920"/>
    <hyperlink r:id="rId2869" ref="C1921"/>
    <hyperlink r:id="rId2870" ref="C1922"/>
    <hyperlink r:id="rId2871" ref="C1923"/>
    <hyperlink r:id="rId2872" ref="C1924"/>
    <hyperlink r:id="rId2873" ref="C1925"/>
    <hyperlink r:id="rId2874" ref="C1926"/>
    <hyperlink r:id="rId2875" ref="C1927"/>
    <hyperlink r:id="rId2876" ref="C1928"/>
    <hyperlink r:id="rId2877" ref="C1929"/>
    <hyperlink r:id="rId2878" ref="C1930"/>
    <hyperlink r:id="rId2879" ref="C1931"/>
    <hyperlink r:id="rId2880" ref="C1933"/>
    <hyperlink r:id="rId2881" ref="C1934"/>
    <hyperlink r:id="rId2882" ref="C1935"/>
    <hyperlink r:id="rId2883" ref="C1937"/>
    <hyperlink r:id="rId2884" ref="C1938"/>
    <hyperlink r:id="rId2885" ref="C1939"/>
    <hyperlink r:id="rId2886" ref="C1941"/>
    <hyperlink r:id="rId2887" ref="C1943"/>
    <hyperlink r:id="rId2888" ref="C1944"/>
    <hyperlink r:id="rId2889" ref="C1959"/>
    <hyperlink r:id="rId2890" ref="C1961"/>
    <hyperlink r:id="rId2891" ref="C1974"/>
    <hyperlink r:id="rId2892" ref="C1975"/>
    <hyperlink r:id="rId2893" ref="C1979"/>
    <hyperlink r:id="rId2894" ref="C1986"/>
    <hyperlink r:id="rId2895" ref="C1989"/>
    <hyperlink r:id="rId2896" ref="C1990"/>
    <hyperlink r:id="rId2897" ref="C1992"/>
    <hyperlink r:id="rId2898" ref="C1998"/>
  </hyperlinks>
  <drawing r:id="rId289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76.63"/>
    <col customWidth="1" min="3" max="8" width="18.25"/>
    <col customWidth="1" min="9" max="9" width="19.25"/>
    <col customWidth="1" min="10" max="10" width="17.0"/>
  </cols>
  <sheetData>
    <row r="1">
      <c r="A1" s="30" t="s">
        <v>3991</v>
      </c>
      <c r="B1" s="30" t="s">
        <v>3992</v>
      </c>
      <c r="C1" s="30" t="s">
        <v>3872</v>
      </c>
      <c r="D1" s="30" t="s">
        <v>3917</v>
      </c>
      <c r="E1" s="30" t="s">
        <v>3873</v>
      </c>
      <c r="F1" s="30" t="s">
        <v>3918</v>
      </c>
      <c r="G1" s="30" t="s">
        <v>2234</v>
      </c>
      <c r="H1" s="30" t="s">
        <v>3874</v>
      </c>
      <c r="I1" s="30" t="s">
        <v>3993</v>
      </c>
      <c r="J1" s="30"/>
    </row>
    <row r="2">
      <c r="A2" s="31" t="s">
        <v>3994</v>
      </c>
      <c r="B2" s="32" t="s">
        <v>3995</v>
      </c>
      <c r="C2" s="27" t="s">
        <v>3996</v>
      </c>
      <c r="D2" s="27">
        <v>1144763.0</v>
      </c>
      <c r="E2" s="27">
        <v>1919797.0</v>
      </c>
      <c r="F2" s="27">
        <v>1.67702572</v>
      </c>
      <c r="G2" s="27">
        <v>4483.0</v>
      </c>
      <c r="H2" s="27">
        <v>2039.0</v>
      </c>
      <c r="I2" s="27"/>
    </row>
    <row r="3">
      <c r="A3" s="31" t="s">
        <v>3994</v>
      </c>
      <c r="B3" s="32" t="s">
        <v>3997</v>
      </c>
      <c r="C3" s="27" t="s">
        <v>3996</v>
      </c>
      <c r="D3" s="27">
        <v>618185.0</v>
      </c>
      <c r="E3" s="27">
        <v>1262055.0</v>
      </c>
      <c r="F3" s="27">
        <v>2.04154905</v>
      </c>
      <c r="G3" s="27">
        <v>13537.0</v>
      </c>
      <c r="H3" s="27">
        <v>5056.0</v>
      </c>
      <c r="I3" s="27"/>
    </row>
    <row r="4">
      <c r="A4" s="31" t="s">
        <v>3998</v>
      </c>
      <c r="B4" s="32" t="s">
        <v>3999</v>
      </c>
      <c r="C4" s="27" t="s">
        <v>3996</v>
      </c>
      <c r="D4" s="27">
        <v>182781.0</v>
      </c>
      <c r="E4" s="27">
        <v>556130.0</v>
      </c>
      <c r="F4" s="27">
        <v>3.0426029</v>
      </c>
      <c r="G4" s="27">
        <v>8376.0</v>
      </c>
      <c r="H4" s="33"/>
      <c r="I4" s="27"/>
    </row>
    <row r="5">
      <c r="A5" s="31" t="s">
        <v>4000</v>
      </c>
      <c r="B5" s="32" t="s">
        <v>4001</v>
      </c>
      <c r="C5" s="27" t="s">
        <v>3996</v>
      </c>
      <c r="D5" s="27">
        <v>119104.0</v>
      </c>
      <c r="E5" s="27">
        <v>194457.0</v>
      </c>
      <c r="F5" s="27">
        <v>1.63266557</v>
      </c>
      <c r="G5" s="27">
        <v>7.0</v>
      </c>
      <c r="H5" s="27">
        <v>59914.0</v>
      </c>
      <c r="I5" s="27">
        <v>297.865</v>
      </c>
    </row>
    <row r="6">
      <c r="A6" s="31" t="s">
        <v>4000</v>
      </c>
      <c r="B6" s="32" t="s">
        <v>4001</v>
      </c>
      <c r="C6" s="27" t="s">
        <v>4002</v>
      </c>
      <c r="D6" s="27">
        <v>176320.0</v>
      </c>
      <c r="E6" s="27">
        <v>317043.0</v>
      </c>
      <c r="F6" s="27">
        <v>1.79811139</v>
      </c>
      <c r="G6" s="27">
        <v>1.0</v>
      </c>
      <c r="H6" s="27">
        <v>51001.0</v>
      </c>
      <c r="I6" s="27">
        <v>297.865</v>
      </c>
    </row>
    <row r="7">
      <c r="A7" s="31" t="s">
        <v>4003</v>
      </c>
      <c r="B7" s="32" t="s">
        <v>4004</v>
      </c>
      <c r="C7" s="27" t="s">
        <v>3996</v>
      </c>
      <c r="D7" s="27">
        <v>1081856.0</v>
      </c>
      <c r="E7" s="27">
        <v>1760188.0</v>
      </c>
      <c r="F7" s="27">
        <v>1.62700766</v>
      </c>
      <c r="G7" s="27">
        <v>3687.0</v>
      </c>
      <c r="H7" s="33"/>
      <c r="I7" s="27"/>
    </row>
    <row r="8">
      <c r="A8" s="31" t="s">
        <v>4005</v>
      </c>
      <c r="B8" s="32" t="s">
        <v>4006</v>
      </c>
      <c r="C8" s="27" t="s">
        <v>4002</v>
      </c>
      <c r="D8" s="27">
        <v>768899.0</v>
      </c>
      <c r="E8" s="27">
        <v>1739781.0</v>
      </c>
      <c r="F8" s="27">
        <v>2.2626912</v>
      </c>
      <c r="G8" s="27">
        <v>2065.0</v>
      </c>
      <c r="H8" s="33"/>
      <c r="I8" s="27"/>
    </row>
    <row r="9">
      <c r="A9" s="31" t="s">
        <v>4003</v>
      </c>
      <c r="B9" s="32" t="s">
        <v>4007</v>
      </c>
      <c r="C9" s="27" t="s">
        <v>3996</v>
      </c>
      <c r="D9" s="27">
        <v>254785.0</v>
      </c>
      <c r="E9" s="27">
        <v>668945.0</v>
      </c>
      <c r="F9" s="27">
        <v>2.62552741</v>
      </c>
      <c r="G9" s="27">
        <v>10269.0</v>
      </c>
      <c r="H9" s="33"/>
      <c r="I9" s="27"/>
    </row>
    <row r="10">
      <c r="A10" s="31" t="s">
        <v>4008</v>
      </c>
      <c r="B10" s="32" t="s">
        <v>4009</v>
      </c>
      <c r="C10" s="27" t="s">
        <v>4002</v>
      </c>
      <c r="D10" s="27">
        <v>699775.0</v>
      </c>
      <c r="E10" s="27">
        <v>1551972.0</v>
      </c>
      <c r="F10" s="27">
        <v>2.21781573</v>
      </c>
      <c r="G10" s="27">
        <v>1.0</v>
      </c>
      <c r="H10" s="27">
        <v>100833.0</v>
      </c>
      <c r="I10" s="27">
        <v>677.584</v>
      </c>
    </row>
    <row r="11">
      <c r="A11" s="31" t="s">
        <v>4010</v>
      </c>
      <c r="B11" s="32" t="s">
        <v>4011</v>
      </c>
      <c r="C11" s="27" t="s">
        <v>4002</v>
      </c>
      <c r="D11" s="27">
        <v>947970.0</v>
      </c>
      <c r="E11" s="27">
        <v>1112392.0</v>
      </c>
      <c r="F11" s="27">
        <v>1.17344642</v>
      </c>
      <c r="G11" s="27">
        <v>1392.0</v>
      </c>
      <c r="H11" s="33"/>
      <c r="I11" s="27" t="s">
        <v>4012</v>
      </c>
    </row>
    <row r="12">
      <c r="A12" s="31" t="s">
        <v>4013</v>
      </c>
      <c r="B12" s="32" t="s">
        <v>4014</v>
      </c>
      <c r="C12" s="27" t="s">
        <v>4002</v>
      </c>
      <c r="D12" s="27">
        <v>727429.0</v>
      </c>
      <c r="E12" s="27">
        <v>1123616.0</v>
      </c>
      <c r="F12" s="27">
        <v>1.5446401</v>
      </c>
      <c r="G12" s="27">
        <v>2080.0</v>
      </c>
      <c r="H12" s="33"/>
      <c r="I12" s="27"/>
    </row>
    <row r="13">
      <c r="A13" s="31" t="s">
        <v>3994</v>
      </c>
      <c r="B13" s="32" t="s">
        <v>3995</v>
      </c>
      <c r="C13" s="27" t="s">
        <v>4002</v>
      </c>
      <c r="D13" s="27">
        <v>507958.0</v>
      </c>
      <c r="E13" s="27">
        <v>776001.0</v>
      </c>
      <c r="F13" s="27">
        <v>1.52768733</v>
      </c>
      <c r="G13" s="27">
        <v>944.0</v>
      </c>
      <c r="H13" s="27">
        <v>3509.0</v>
      </c>
      <c r="I13" s="27"/>
    </row>
    <row r="14">
      <c r="A14" s="31" t="s">
        <v>4015</v>
      </c>
      <c r="B14" s="32" t="s">
        <v>4016</v>
      </c>
      <c r="C14" s="27" t="s">
        <v>4002</v>
      </c>
      <c r="D14" s="27">
        <v>628581.0</v>
      </c>
      <c r="E14" s="27">
        <v>1078950.0</v>
      </c>
      <c r="F14" s="27">
        <v>1.71648523</v>
      </c>
      <c r="G14" s="27">
        <v>1237.0</v>
      </c>
      <c r="H14" s="27">
        <v>27225.0</v>
      </c>
      <c r="I14" s="27" t="s">
        <v>4017</v>
      </c>
    </row>
    <row r="15">
      <c r="A15" s="31" t="s">
        <v>4015</v>
      </c>
      <c r="B15" s="32" t="s">
        <v>4018</v>
      </c>
      <c r="C15" s="27" t="s">
        <v>3996</v>
      </c>
      <c r="D15" s="27">
        <v>192339.0</v>
      </c>
      <c r="E15" s="27">
        <v>332491.0</v>
      </c>
      <c r="F15" s="27">
        <v>1.72867177</v>
      </c>
      <c r="G15" s="27">
        <v>11158.0</v>
      </c>
      <c r="H15" s="27">
        <v>52372.0</v>
      </c>
      <c r="I15" s="27" t="s">
        <v>4017</v>
      </c>
    </row>
    <row r="16">
      <c r="A16" s="31" t="s">
        <v>4019</v>
      </c>
      <c r="B16" s="32" t="s">
        <v>4020</v>
      </c>
      <c r="C16" s="27" t="s">
        <v>4002</v>
      </c>
      <c r="D16" s="27">
        <v>234099.0</v>
      </c>
      <c r="E16" s="27">
        <v>317724.0</v>
      </c>
      <c r="F16" s="27">
        <v>1.35722066</v>
      </c>
      <c r="G16" s="27">
        <v>545.0</v>
      </c>
      <c r="H16" s="27">
        <v>101981.0</v>
      </c>
      <c r="I16" s="27" t="s">
        <v>4021</v>
      </c>
    </row>
    <row r="17">
      <c r="A17" s="31" t="s">
        <v>4019</v>
      </c>
      <c r="B17" s="32" t="s">
        <v>4020</v>
      </c>
      <c r="C17" s="27" t="s">
        <v>3996</v>
      </c>
      <c r="D17" s="27">
        <v>283457.0</v>
      </c>
      <c r="E17" s="27">
        <v>491639.0</v>
      </c>
      <c r="F17" s="27">
        <v>1.73443944</v>
      </c>
      <c r="G17" s="27">
        <v>397.0</v>
      </c>
      <c r="H17" s="27">
        <v>148155.0</v>
      </c>
      <c r="I17" s="27" t="s">
        <v>4021</v>
      </c>
    </row>
    <row r="18">
      <c r="A18" s="31" t="s">
        <v>4019</v>
      </c>
      <c r="B18" s="32" t="s">
        <v>4022</v>
      </c>
      <c r="C18" s="27" t="s">
        <v>4002</v>
      </c>
      <c r="D18" s="27">
        <v>498348.0</v>
      </c>
      <c r="E18" s="27">
        <v>756039.0</v>
      </c>
      <c r="F18" s="27">
        <v>1.51709047</v>
      </c>
      <c r="G18" s="27">
        <v>961.0</v>
      </c>
      <c r="H18" s="27">
        <v>21172.0</v>
      </c>
      <c r="I18" s="27" t="s">
        <v>4021</v>
      </c>
    </row>
    <row r="19">
      <c r="A19" s="31" t="s">
        <v>4023</v>
      </c>
      <c r="B19" s="32" t="s">
        <v>4024</v>
      </c>
      <c r="C19" s="27" t="s">
        <v>3996</v>
      </c>
      <c r="D19" s="27">
        <v>278592.0</v>
      </c>
      <c r="E19" s="27">
        <v>417412.0</v>
      </c>
      <c r="F19" s="27">
        <v>1.49829141</v>
      </c>
      <c r="G19" s="27">
        <v>6820.0</v>
      </c>
      <c r="H19" s="33"/>
      <c r="I19" s="27">
        <v>438.105</v>
      </c>
    </row>
    <row r="20">
      <c r="A20" s="31" t="s">
        <v>4010</v>
      </c>
      <c r="B20" s="32" t="s">
        <v>4011</v>
      </c>
      <c r="C20" s="27" t="s">
        <v>3996</v>
      </c>
      <c r="D20" s="27">
        <v>708866.0</v>
      </c>
      <c r="E20" s="27">
        <v>754576.0</v>
      </c>
      <c r="F20" s="27">
        <v>1.06448327</v>
      </c>
      <c r="G20" s="27">
        <v>45.0</v>
      </c>
      <c r="H20" s="33"/>
      <c r="I20" s="27" t="s">
        <v>4012</v>
      </c>
    </row>
    <row r="21">
      <c r="A21" s="31" t="s">
        <v>4025</v>
      </c>
      <c r="B21" s="32" t="s">
        <v>4026</v>
      </c>
      <c r="C21" s="27" t="s">
        <v>3996</v>
      </c>
      <c r="D21" s="27">
        <v>28728.0</v>
      </c>
      <c r="E21" s="27">
        <v>94302.0</v>
      </c>
      <c r="F21" s="27">
        <v>3.28258145</v>
      </c>
      <c r="G21" s="27">
        <v>2078.0</v>
      </c>
      <c r="H21" s="27">
        <v>23220.0</v>
      </c>
      <c r="I21" s="27"/>
    </row>
    <row r="22">
      <c r="A22" s="31" t="s">
        <v>4027</v>
      </c>
      <c r="B22" s="32" t="s">
        <v>4028</v>
      </c>
      <c r="C22" s="27" t="s">
        <v>3996</v>
      </c>
      <c r="D22" s="27">
        <v>37480.0</v>
      </c>
      <c r="E22" s="27">
        <v>127610.0</v>
      </c>
      <c r="F22" s="27">
        <v>3.4047492</v>
      </c>
      <c r="G22" s="27">
        <v>2068.0</v>
      </c>
      <c r="H22" s="27">
        <v>25570.0</v>
      </c>
      <c r="I22" s="27">
        <v>99.285</v>
      </c>
    </row>
    <row r="23">
      <c r="A23" s="31" t="s">
        <v>4029</v>
      </c>
      <c r="B23" s="32" t="s">
        <v>4030</v>
      </c>
      <c r="C23" s="27" t="s">
        <v>4002</v>
      </c>
      <c r="D23" s="27">
        <v>89281.0</v>
      </c>
      <c r="E23" s="27">
        <v>215424.0</v>
      </c>
      <c r="F23" s="27">
        <v>2.4128762</v>
      </c>
      <c r="G23" s="27">
        <v>7291.0</v>
      </c>
      <c r="H23" s="33"/>
      <c r="I23" s="27">
        <v>917.262</v>
      </c>
    </row>
    <row r="24">
      <c r="A24" s="31" t="s">
        <v>4031</v>
      </c>
      <c r="B24" s="32" t="s">
        <v>4032</v>
      </c>
      <c r="C24" s="27" t="s">
        <v>4002</v>
      </c>
      <c r="D24" s="27">
        <v>570022.0</v>
      </c>
      <c r="E24" s="27">
        <v>660129.0</v>
      </c>
      <c r="F24" s="27">
        <v>1.15807635</v>
      </c>
      <c r="G24" s="27">
        <v>615.0</v>
      </c>
      <c r="H24" s="27">
        <v>16767.0</v>
      </c>
      <c r="I24" s="27">
        <v>700.445</v>
      </c>
    </row>
    <row r="25">
      <c r="A25" s="31" t="s">
        <v>4033</v>
      </c>
      <c r="B25" s="32" t="s">
        <v>4034</v>
      </c>
      <c r="C25" s="27" t="s">
        <v>3996</v>
      </c>
      <c r="D25" s="27">
        <v>36304.0</v>
      </c>
      <c r="E25" s="27">
        <v>120216.0</v>
      </c>
      <c r="F25" s="27">
        <v>3.31137065</v>
      </c>
      <c r="G25" s="27">
        <v>1857.0</v>
      </c>
      <c r="H25" s="27">
        <v>23788.0</v>
      </c>
      <c r="I25" s="27">
        <v>134.832</v>
      </c>
    </row>
    <row r="26">
      <c r="A26" s="31" t="s">
        <v>4035</v>
      </c>
      <c r="B26" s="32" t="s">
        <v>4036</v>
      </c>
      <c r="C26" s="27" t="s">
        <v>3996</v>
      </c>
      <c r="D26" s="27">
        <v>110432.0</v>
      </c>
      <c r="E26" s="27">
        <v>167504.0</v>
      </c>
      <c r="F26" s="27">
        <v>1.51680672</v>
      </c>
      <c r="G26" s="27">
        <v>860.0</v>
      </c>
      <c r="H26" s="33"/>
      <c r="I26" s="27">
        <v>126.507</v>
      </c>
    </row>
    <row r="27">
      <c r="A27" s="31" t="s">
        <v>4037</v>
      </c>
      <c r="B27" s="32" t="s">
        <v>4038</v>
      </c>
      <c r="C27" s="27" t="s">
        <v>4002</v>
      </c>
      <c r="D27" s="27">
        <v>501629.0</v>
      </c>
      <c r="E27" s="27">
        <v>760318.0</v>
      </c>
      <c r="F27" s="27">
        <v>1.51569786</v>
      </c>
      <c r="G27" s="27">
        <v>630.0</v>
      </c>
      <c r="H27" s="33"/>
      <c r="I27" s="27">
        <v>505.905</v>
      </c>
    </row>
    <row r="28">
      <c r="A28" s="31" t="s">
        <v>4039</v>
      </c>
      <c r="B28" s="32" t="s">
        <v>4040</v>
      </c>
      <c r="C28" s="27" t="s">
        <v>3996</v>
      </c>
      <c r="D28" s="27">
        <v>21799.0</v>
      </c>
      <c r="E28" s="27">
        <v>63674.0</v>
      </c>
      <c r="F28" s="27">
        <v>2.92095968</v>
      </c>
      <c r="G28" s="27">
        <v>1380.0</v>
      </c>
      <c r="H28" s="27">
        <v>16378.0</v>
      </c>
      <c r="I28" s="27">
        <v>64.427</v>
      </c>
    </row>
    <row r="29">
      <c r="A29" s="31" t="s">
        <v>4029</v>
      </c>
      <c r="B29" s="32" t="s">
        <v>4041</v>
      </c>
      <c r="C29" s="27" t="s">
        <v>3996</v>
      </c>
      <c r="D29" s="27">
        <v>520901.0</v>
      </c>
      <c r="E29" s="27">
        <v>711636.0</v>
      </c>
      <c r="F29" s="27">
        <v>1.36616363</v>
      </c>
      <c r="G29" s="27">
        <v>1439.0</v>
      </c>
      <c r="H29" s="33"/>
      <c r="I29" s="27">
        <v>917.262</v>
      </c>
    </row>
    <row r="30">
      <c r="A30" s="31" t="s">
        <v>4042</v>
      </c>
      <c r="B30" s="32" t="s">
        <v>4043</v>
      </c>
      <c r="C30" s="27" t="s">
        <v>3996</v>
      </c>
      <c r="D30" s="27">
        <v>22128.0</v>
      </c>
      <c r="E30" s="27">
        <v>74848.0</v>
      </c>
      <c r="F30" s="27">
        <v>3.38250181</v>
      </c>
      <c r="G30" s="27">
        <v>1650.0</v>
      </c>
      <c r="H30" s="27">
        <v>19090.0</v>
      </c>
      <c r="I30" s="27">
        <v>76.156</v>
      </c>
    </row>
    <row r="31">
      <c r="A31" s="31" t="s">
        <v>4015</v>
      </c>
      <c r="B31" s="32" t="s">
        <v>4016</v>
      </c>
      <c r="C31" s="27" t="s">
        <v>3996</v>
      </c>
      <c r="D31" s="27">
        <v>389402.0</v>
      </c>
      <c r="E31" s="27">
        <v>655766.0</v>
      </c>
      <c r="F31" s="27">
        <v>1.68403347</v>
      </c>
      <c r="G31" s="27">
        <v>518.0</v>
      </c>
      <c r="H31" s="27">
        <v>71779.0</v>
      </c>
      <c r="I31" s="27" t="s">
        <v>4017</v>
      </c>
    </row>
    <row r="32">
      <c r="A32" s="31" t="s">
        <v>4023</v>
      </c>
      <c r="B32" s="32" t="s">
        <v>4024</v>
      </c>
      <c r="C32" s="27" t="s">
        <v>4002</v>
      </c>
      <c r="D32" s="27">
        <v>111104.0</v>
      </c>
      <c r="E32" s="27">
        <v>184549.0</v>
      </c>
      <c r="F32" s="27">
        <v>1.66104731</v>
      </c>
      <c r="G32" s="27">
        <v>3961.0</v>
      </c>
      <c r="H32" s="33"/>
      <c r="I32" s="27">
        <v>438.105</v>
      </c>
    </row>
    <row r="33">
      <c r="A33" s="31" t="s">
        <v>4025</v>
      </c>
      <c r="B33" s="32" t="s">
        <v>4044</v>
      </c>
      <c r="C33" s="27" t="s">
        <v>3996</v>
      </c>
      <c r="D33" s="27">
        <v>70431.0</v>
      </c>
      <c r="E33" s="27">
        <v>105960.0</v>
      </c>
      <c r="F33" s="27">
        <v>1.50445116</v>
      </c>
      <c r="G33" s="27">
        <v>74.0</v>
      </c>
      <c r="H33" s="27">
        <v>17246.0</v>
      </c>
      <c r="I33" s="27"/>
    </row>
    <row r="34">
      <c r="A34" s="31" t="s">
        <v>4003</v>
      </c>
      <c r="B34" s="32" t="s">
        <v>4004</v>
      </c>
      <c r="C34" s="27" t="s">
        <v>4002</v>
      </c>
      <c r="D34" s="27">
        <v>252416.0</v>
      </c>
      <c r="E34" s="27">
        <v>405094.0</v>
      </c>
      <c r="F34" s="27">
        <v>1.60486657</v>
      </c>
      <c r="G34" s="27">
        <v>357.0</v>
      </c>
      <c r="H34" s="33"/>
      <c r="I34" s="27"/>
    </row>
    <row r="35">
      <c r="A35" s="31" t="s">
        <v>4045</v>
      </c>
      <c r="B35" s="32" t="s">
        <v>4046</v>
      </c>
      <c r="C35" s="27" t="s">
        <v>4002</v>
      </c>
      <c r="D35" s="27">
        <v>299263.0</v>
      </c>
      <c r="E35" s="27">
        <v>459767.0</v>
      </c>
      <c r="F35" s="27">
        <v>1.53633092</v>
      </c>
      <c r="G35" s="33"/>
      <c r="H35" s="27">
        <v>24793.0</v>
      </c>
      <c r="I35" s="27">
        <v>570.148</v>
      </c>
    </row>
    <row r="36">
      <c r="A36" s="31" t="s">
        <v>4045</v>
      </c>
      <c r="B36" s="32" t="s">
        <v>4046</v>
      </c>
      <c r="C36" s="27" t="s">
        <v>3996</v>
      </c>
      <c r="D36" s="27">
        <v>315007.0</v>
      </c>
      <c r="E36" s="27">
        <v>475451.0</v>
      </c>
      <c r="F36" s="27">
        <v>1.50933471</v>
      </c>
      <c r="G36" s="27">
        <v>1.0</v>
      </c>
      <c r="H36" s="27">
        <v>42868.0</v>
      </c>
      <c r="I36" s="27">
        <v>570.148</v>
      </c>
    </row>
    <row r="37">
      <c r="A37" s="31" t="s">
        <v>4047</v>
      </c>
      <c r="B37" s="32" t="s">
        <v>4048</v>
      </c>
      <c r="C37" s="27" t="s">
        <v>3996</v>
      </c>
      <c r="D37" s="27">
        <v>60289.0</v>
      </c>
      <c r="E37" s="27">
        <v>88632.0</v>
      </c>
      <c r="F37" s="27">
        <v>1.47011893</v>
      </c>
      <c r="G37" s="27">
        <v>528.0</v>
      </c>
      <c r="H37" s="33"/>
      <c r="I37" s="27">
        <v>72.249</v>
      </c>
    </row>
    <row r="38">
      <c r="A38" s="31" t="s">
        <v>4027</v>
      </c>
      <c r="B38" s="32" t="s">
        <v>4049</v>
      </c>
      <c r="C38" s="27" t="s">
        <v>3996</v>
      </c>
      <c r="D38" s="27">
        <v>76352.0</v>
      </c>
      <c r="E38" s="27">
        <v>107006.0</v>
      </c>
      <c r="F38" s="27">
        <v>1.40148261</v>
      </c>
      <c r="G38" s="27">
        <v>74.0</v>
      </c>
      <c r="H38" s="27">
        <v>17515.0</v>
      </c>
      <c r="I38" s="27">
        <v>99.285</v>
      </c>
    </row>
    <row r="39">
      <c r="A39" s="31" t="s">
        <v>4050</v>
      </c>
      <c r="B39" s="32" t="s">
        <v>4051</v>
      </c>
      <c r="C39" s="27" t="s">
        <v>3996</v>
      </c>
      <c r="D39" s="27">
        <v>18816.0</v>
      </c>
      <c r="E39" s="27">
        <v>28018.0</v>
      </c>
      <c r="F39" s="27">
        <v>1.48905187</v>
      </c>
      <c r="G39" s="27">
        <v>225.0</v>
      </c>
      <c r="H39" s="33"/>
      <c r="I39" s="27">
        <v>19.385</v>
      </c>
    </row>
    <row r="40">
      <c r="A40" s="31" t="s">
        <v>4042</v>
      </c>
      <c r="B40" s="32" t="s">
        <v>4052</v>
      </c>
      <c r="C40" s="27" t="s">
        <v>3996</v>
      </c>
      <c r="D40" s="27">
        <v>50432.0</v>
      </c>
      <c r="E40" s="27">
        <v>75775.0</v>
      </c>
      <c r="F40" s="27">
        <v>1.50251824</v>
      </c>
      <c r="G40" s="27">
        <v>81.0</v>
      </c>
      <c r="H40" s="27">
        <v>15156.0</v>
      </c>
      <c r="I40" s="27">
        <v>76.156</v>
      </c>
    </row>
    <row r="41">
      <c r="A41" s="31" t="s">
        <v>4053</v>
      </c>
      <c r="B41" s="32" t="s">
        <v>4054</v>
      </c>
      <c r="C41" s="27" t="s">
        <v>4002</v>
      </c>
      <c r="D41" s="27">
        <v>405811.0</v>
      </c>
      <c r="E41" s="27">
        <v>525990.0</v>
      </c>
      <c r="F41" s="27">
        <v>1.29614525</v>
      </c>
      <c r="G41" s="27">
        <v>557.0</v>
      </c>
      <c r="H41" s="33"/>
      <c r="I41" s="27"/>
    </row>
    <row r="42">
      <c r="A42" s="31" t="s">
        <v>4031</v>
      </c>
      <c r="B42" s="32" t="s">
        <v>4055</v>
      </c>
      <c r="C42" s="27" t="s">
        <v>4002</v>
      </c>
      <c r="D42" s="27">
        <v>92306.0</v>
      </c>
      <c r="E42" s="27">
        <v>118046.0</v>
      </c>
      <c r="F42" s="27">
        <v>1.27885511</v>
      </c>
      <c r="G42" s="27">
        <v>263.0</v>
      </c>
      <c r="H42" s="27">
        <v>41546.0</v>
      </c>
      <c r="I42" s="27">
        <v>700.445</v>
      </c>
    </row>
    <row r="43">
      <c r="A43" s="31" t="s">
        <v>4056</v>
      </c>
      <c r="B43" s="32" t="s">
        <v>4057</v>
      </c>
      <c r="C43" s="27" t="s">
        <v>3996</v>
      </c>
      <c r="D43" s="27">
        <v>22416.0</v>
      </c>
      <c r="E43" s="27">
        <v>61119.0</v>
      </c>
      <c r="F43" s="27">
        <v>2.72657923</v>
      </c>
      <c r="G43" s="27">
        <v>1590.0</v>
      </c>
      <c r="H43" s="33"/>
      <c r="I43" s="27">
        <v>49.61</v>
      </c>
    </row>
    <row r="44">
      <c r="A44" s="31" t="s">
        <v>4033</v>
      </c>
      <c r="B44" s="32" t="s">
        <v>4058</v>
      </c>
      <c r="C44" s="27" t="s">
        <v>3996</v>
      </c>
      <c r="D44" s="27">
        <v>100351.0</v>
      </c>
      <c r="E44" s="27">
        <v>142321.0</v>
      </c>
      <c r="F44" s="27">
        <v>1.41823201</v>
      </c>
      <c r="G44" s="27">
        <v>58.0</v>
      </c>
      <c r="H44" s="27">
        <v>21430.0</v>
      </c>
      <c r="I44" s="27">
        <v>134.832</v>
      </c>
    </row>
    <row r="45">
      <c r="A45" s="31" t="s">
        <v>4059</v>
      </c>
      <c r="B45" s="32" t="s">
        <v>4060</v>
      </c>
      <c r="C45" s="27" t="s">
        <v>3996</v>
      </c>
      <c r="D45" s="27">
        <v>24256.0</v>
      </c>
      <c r="E45" s="27">
        <v>63459.0</v>
      </c>
      <c r="F45" s="27">
        <v>2.61621867</v>
      </c>
      <c r="G45" s="27">
        <v>1334.0</v>
      </c>
      <c r="H45" s="27">
        <v>16174.0</v>
      </c>
      <c r="I45" s="27">
        <v>54.071</v>
      </c>
    </row>
    <row r="46">
      <c r="A46" s="31" t="s">
        <v>4019</v>
      </c>
      <c r="B46" s="32" t="s">
        <v>4022</v>
      </c>
      <c r="C46" s="27" t="s">
        <v>3996</v>
      </c>
      <c r="D46" s="27">
        <v>319148.0</v>
      </c>
      <c r="E46" s="27">
        <v>440558.0</v>
      </c>
      <c r="F46" s="27">
        <v>1.38041912</v>
      </c>
      <c r="G46" s="27">
        <v>246.0</v>
      </c>
      <c r="H46" s="27">
        <v>36230.0</v>
      </c>
      <c r="I46" s="27" t="s">
        <v>4021</v>
      </c>
    </row>
    <row r="47">
      <c r="A47" s="31" t="s">
        <v>4059</v>
      </c>
      <c r="B47" s="32" t="s">
        <v>4061</v>
      </c>
      <c r="C47" s="27" t="s">
        <v>3996</v>
      </c>
      <c r="D47" s="27">
        <v>42624.0</v>
      </c>
      <c r="E47" s="27">
        <v>62230.0</v>
      </c>
      <c r="F47" s="27">
        <v>1.4599756</v>
      </c>
      <c r="G47" s="27">
        <v>15.0</v>
      </c>
      <c r="H47" s="27">
        <v>13790.0</v>
      </c>
      <c r="I47" s="27">
        <v>54.071</v>
      </c>
    </row>
    <row r="48">
      <c r="A48" s="31" t="s">
        <v>4039</v>
      </c>
      <c r="B48" s="32" t="s">
        <v>4062</v>
      </c>
      <c r="C48" s="27" t="s">
        <v>3996</v>
      </c>
      <c r="D48" s="27">
        <v>48431.0</v>
      </c>
      <c r="E48" s="27">
        <v>70969.0</v>
      </c>
      <c r="F48" s="27">
        <v>1.46536309</v>
      </c>
      <c r="G48" s="27">
        <v>43.0</v>
      </c>
      <c r="H48" s="27">
        <v>12807.0</v>
      </c>
      <c r="I48" s="27">
        <v>64.427</v>
      </c>
    </row>
    <row r="49">
      <c r="A49" s="31" t="s">
        <v>4000</v>
      </c>
      <c r="B49" s="32" t="s">
        <v>4001</v>
      </c>
      <c r="C49" s="27" t="s">
        <v>3996</v>
      </c>
      <c r="D49" s="27">
        <v>99264.0</v>
      </c>
      <c r="E49" s="27">
        <v>156742.0</v>
      </c>
      <c r="F49" s="27">
        <v>1.57904175</v>
      </c>
      <c r="G49" s="33"/>
      <c r="H49" s="27">
        <v>32639.0</v>
      </c>
      <c r="I49" s="27">
        <v>297.865</v>
      </c>
    </row>
    <row r="50">
      <c r="A50" s="31" t="s">
        <v>4029</v>
      </c>
      <c r="B50" s="32" t="s">
        <v>4041</v>
      </c>
      <c r="C50" s="27" t="s">
        <v>4002</v>
      </c>
      <c r="D50" s="27">
        <v>291427.0</v>
      </c>
      <c r="E50" s="27">
        <v>406885.0</v>
      </c>
      <c r="F50" s="27">
        <v>1.39618155</v>
      </c>
      <c r="G50" s="27">
        <v>449.0</v>
      </c>
      <c r="H50" s="33"/>
      <c r="I50" s="27">
        <v>917.262</v>
      </c>
    </row>
    <row r="51">
      <c r="A51" s="31" t="s">
        <v>4063</v>
      </c>
      <c r="B51" s="32" t="s">
        <v>4064</v>
      </c>
      <c r="C51" s="27" t="s">
        <v>3996</v>
      </c>
      <c r="D51" s="27">
        <v>265094.0</v>
      </c>
      <c r="E51" s="27">
        <v>364676.0</v>
      </c>
      <c r="F51" s="27">
        <v>1.37564788</v>
      </c>
      <c r="G51" s="27">
        <v>1.0</v>
      </c>
      <c r="H51" s="27">
        <v>37239.0</v>
      </c>
      <c r="I51" s="27"/>
    </row>
    <row r="52">
      <c r="A52" s="31" t="s">
        <v>4063</v>
      </c>
      <c r="B52" s="32" t="s">
        <v>4064</v>
      </c>
      <c r="C52" s="27" t="s">
        <v>4002</v>
      </c>
      <c r="D52" s="27">
        <v>223797.0</v>
      </c>
      <c r="E52" s="27">
        <v>325444.0</v>
      </c>
      <c r="F52" s="27">
        <v>1.45419286</v>
      </c>
      <c r="G52" s="33"/>
      <c r="H52" s="27">
        <v>20494.0</v>
      </c>
      <c r="I52" s="27"/>
    </row>
    <row r="53">
      <c r="A53" s="31" t="s">
        <v>4065</v>
      </c>
      <c r="B53" s="32" t="s">
        <v>4066</v>
      </c>
      <c r="C53" s="27" t="s">
        <v>3996</v>
      </c>
      <c r="D53" s="27">
        <v>31168.0</v>
      </c>
      <c r="E53" s="27">
        <v>63339.0</v>
      </c>
      <c r="F53" s="27">
        <v>2.03218044</v>
      </c>
      <c r="G53" s="27">
        <v>1867.0</v>
      </c>
      <c r="H53" s="27">
        <v>23111.0</v>
      </c>
      <c r="I53" s="27">
        <v>34.985</v>
      </c>
    </row>
    <row r="54">
      <c r="A54" s="31" t="s">
        <v>4029</v>
      </c>
      <c r="B54" s="32" t="s">
        <v>4030</v>
      </c>
      <c r="C54" s="27" t="s">
        <v>3996</v>
      </c>
      <c r="D54" s="27">
        <v>130522.0</v>
      </c>
      <c r="E54" s="27">
        <v>234741.0</v>
      </c>
      <c r="F54" s="27">
        <v>1.79847842</v>
      </c>
      <c r="G54" s="27">
        <v>3418.0</v>
      </c>
      <c r="H54" s="33"/>
      <c r="I54" s="27">
        <v>917.262</v>
      </c>
    </row>
    <row r="55">
      <c r="A55" s="31" t="s">
        <v>4067</v>
      </c>
      <c r="B55" s="32" t="s">
        <v>4068</v>
      </c>
      <c r="C55" s="27" t="s">
        <v>4002</v>
      </c>
      <c r="D55" s="27">
        <v>252416.0</v>
      </c>
      <c r="E55" s="27">
        <v>307577.0</v>
      </c>
      <c r="F55" s="27">
        <v>1.21853211</v>
      </c>
      <c r="G55" s="27">
        <v>314.0</v>
      </c>
      <c r="H55" s="33"/>
      <c r="I55" s="27">
        <v>258.943</v>
      </c>
    </row>
    <row r="56">
      <c r="A56" s="31" t="s">
        <v>4031</v>
      </c>
      <c r="B56" s="32" t="s">
        <v>4069</v>
      </c>
      <c r="C56" s="27" t="s">
        <v>3996</v>
      </c>
      <c r="D56" s="27">
        <v>58261.0</v>
      </c>
      <c r="E56" s="27">
        <v>71707.0</v>
      </c>
      <c r="F56" s="27">
        <v>1.23078904</v>
      </c>
      <c r="G56" s="27">
        <v>1796.0</v>
      </c>
      <c r="H56" s="27">
        <v>5026.0</v>
      </c>
      <c r="I56" s="27">
        <v>700.445</v>
      </c>
    </row>
    <row r="57">
      <c r="A57" s="31" t="s">
        <v>4070</v>
      </c>
      <c r="B57" s="32" t="s">
        <v>4071</v>
      </c>
      <c r="C57" s="27" t="s">
        <v>4002</v>
      </c>
      <c r="D57" s="27">
        <v>37809.0</v>
      </c>
      <c r="E57" s="27">
        <v>38637.0</v>
      </c>
      <c r="F57" s="27">
        <v>1.02189955</v>
      </c>
      <c r="G57" s="33"/>
      <c r="H57" s="33"/>
      <c r="I57" s="27"/>
    </row>
    <row r="58">
      <c r="A58" s="31" t="s">
        <v>4072</v>
      </c>
      <c r="B58" s="32" t="s">
        <v>4073</v>
      </c>
      <c r="C58" s="27" t="s">
        <v>3996</v>
      </c>
      <c r="D58" s="27">
        <v>33018.0</v>
      </c>
      <c r="E58" s="27">
        <v>69833.0</v>
      </c>
      <c r="F58" s="27">
        <v>2.11499788</v>
      </c>
      <c r="G58" s="27">
        <v>686.0</v>
      </c>
      <c r="H58" s="27">
        <v>25685.0</v>
      </c>
      <c r="I58" s="27"/>
    </row>
    <row r="59">
      <c r="A59" s="31" t="s">
        <v>4074</v>
      </c>
      <c r="B59" s="32" t="s">
        <v>4075</v>
      </c>
      <c r="C59" s="27" t="s">
        <v>3996</v>
      </c>
      <c r="D59" s="27">
        <v>72672.0</v>
      </c>
      <c r="E59" s="27">
        <v>145269.0</v>
      </c>
      <c r="F59" s="27">
        <v>1.99896797</v>
      </c>
      <c r="G59" s="27">
        <v>1471.0</v>
      </c>
      <c r="H59" s="33"/>
      <c r="I59" s="27">
        <v>74.013</v>
      </c>
    </row>
    <row r="60">
      <c r="A60" s="31" t="s">
        <v>4076</v>
      </c>
      <c r="B60" s="32" t="s">
        <v>4077</v>
      </c>
      <c r="C60" s="27" t="s">
        <v>3996</v>
      </c>
      <c r="D60" s="27">
        <v>44120.0</v>
      </c>
      <c r="E60" s="27">
        <v>70375.0</v>
      </c>
      <c r="F60" s="27">
        <v>1.5950816</v>
      </c>
      <c r="G60" s="27">
        <v>376.0</v>
      </c>
      <c r="H60" s="33"/>
      <c r="I60" s="27">
        <v>48.212</v>
      </c>
    </row>
    <row r="61">
      <c r="A61" s="31" t="s">
        <v>4078</v>
      </c>
      <c r="B61" s="32" t="s">
        <v>4079</v>
      </c>
      <c r="C61" s="27" t="s">
        <v>3996</v>
      </c>
      <c r="D61" s="27">
        <v>20632.0</v>
      </c>
      <c r="E61" s="27">
        <v>53211.0</v>
      </c>
      <c r="F61" s="27">
        <v>2.57905196</v>
      </c>
      <c r="G61" s="27">
        <v>1321.0</v>
      </c>
      <c r="H61" s="27">
        <v>17931.0</v>
      </c>
      <c r="I61" s="27">
        <v>64.213</v>
      </c>
    </row>
    <row r="62">
      <c r="A62" s="31" t="s">
        <v>4080</v>
      </c>
      <c r="B62" s="32" t="s">
        <v>4081</v>
      </c>
      <c r="C62" s="27" t="s">
        <v>3996</v>
      </c>
      <c r="D62" s="27">
        <v>46416.0</v>
      </c>
      <c r="E62" s="27">
        <v>54413.0</v>
      </c>
      <c r="F62" s="27">
        <v>1.17228973</v>
      </c>
      <c r="G62" s="27">
        <v>368.0</v>
      </c>
      <c r="H62" s="33"/>
      <c r="I62" s="27">
        <v>50.218</v>
      </c>
    </row>
    <row r="63">
      <c r="A63" s="31" t="s">
        <v>4082</v>
      </c>
      <c r="B63" s="32" t="s">
        <v>4083</v>
      </c>
      <c r="C63" s="27" t="s">
        <v>3996</v>
      </c>
      <c r="D63" s="27">
        <v>75152.0</v>
      </c>
      <c r="E63" s="27">
        <v>114992.0</v>
      </c>
      <c r="F63" s="27">
        <v>1.53012561</v>
      </c>
      <c r="G63" s="27">
        <v>458.0</v>
      </c>
      <c r="H63" s="33"/>
      <c r="I63" s="27">
        <v>77.776</v>
      </c>
    </row>
    <row r="64">
      <c r="A64" s="31" t="s">
        <v>4084</v>
      </c>
      <c r="B64" s="32" t="s">
        <v>4085</v>
      </c>
      <c r="C64" s="27" t="s">
        <v>3996</v>
      </c>
      <c r="D64" s="27">
        <v>45472.0</v>
      </c>
      <c r="E64" s="27">
        <v>68710.0</v>
      </c>
      <c r="F64" s="27">
        <v>1.51103976</v>
      </c>
      <c r="G64" s="27">
        <v>386.0</v>
      </c>
      <c r="H64" s="33"/>
      <c r="I64" s="27">
        <v>49.703</v>
      </c>
    </row>
    <row r="65">
      <c r="A65" s="31" t="s">
        <v>4086</v>
      </c>
      <c r="B65" s="32" t="s">
        <v>4087</v>
      </c>
      <c r="C65" s="27" t="s">
        <v>3996</v>
      </c>
      <c r="D65" s="27">
        <v>54703.0</v>
      </c>
      <c r="E65" s="27">
        <v>84070.0</v>
      </c>
      <c r="F65" s="27">
        <v>1.53684441</v>
      </c>
      <c r="G65" s="27">
        <v>414.0</v>
      </c>
      <c r="H65" s="33"/>
      <c r="I65" s="27">
        <v>57.444</v>
      </c>
    </row>
    <row r="66">
      <c r="A66" s="31" t="s">
        <v>4088</v>
      </c>
      <c r="B66" s="32" t="s">
        <v>4089</v>
      </c>
      <c r="C66" s="27" t="s">
        <v>3996</v>
      </c>
      <c r="D66" s="27">
        <v>48896.0</v>
      </c>
      <c r="E66" s="27">
        <v>73926.0</v>
      </c>
      <c r="F66" s="27">
        <v>1.51190281</v>
      </c>
      <c r="G66" s="27">
        <v>335.0</v>
      </c>
      <c r="H66" s="33"/>
      <c r="I66" s="27">
        <v>50.724</v>
      </c>
    </row>
    <row r="67">
      <c r="A67" s="31" t="s">
        <v>4000</v>
      </c>
      <c r="B67" s="32" t="s">
        <v>4001</v>
      </c>
      <c r="C67" s="27" t="s">
        <v>4002</v>
      </c>
      <c r="D67" s="27">
        <v>106880.0</v>
      </c>
      <c r="E67" s="27">
        <v>174827.0</v>
      </c>
      <c r="F67" s="27">
        <v>1.63573166</v>
      </c>
      <c r="G67" s="27">
        <v>1.0</v>
      </c>
      <c r="H67" s="27">
        <v>19515.0</v>
      </c>
      <c r="I67" s="27">
        <v>297.865</v>
      </c>
    </row>
    <row r="68">
      <c r="A68" s="31" t="s">
        <v>4090</v>
      </c>
      <c r="B68" s="32" t="s">
        <v>4091</v>
      </c>
      <c r="C68" s="27" t="s">
        <v>3996</v>
      </c>
      <c r="D68" s="27">
        <v>42913.0</v>
      </c>
      <c r="E68" s="27">
        <v>68364.0</v>
      </c>
      <c r="F68" s="27">
        <v>1.59308368</v>
      </c>
      <c r="G68" s="27">
        <v>331.0</v>
      </c>
      <c r="H68" s="33"/>
      <c r="I68" s="27">
        <v>47.397</v>
      </c>
    </row>
    <row r="69">
      <c r="A69" s="31" t="s">
        <v>4056</v>
      </c>
      <c r="B69" s="32" t="s">
        <v>4092</v>
      </c>
      <c r="C69" s="27" t="s">
        <v>3996</v>
      </c>
      <c r="D69" s="27">
        <v>37472.0</v>
      </c>
      <c r="E69" s="27">
        <v>57049.0</v>
      </c>
      <c r="F69" s="27">
        <v>1.52244342</v>
      </c>
      <c r="G69" s="27">
        <v>323.0</v>
      </c>
      <c r="H69" s="33"/>
      <c r="I69" s="27">
        <v>49.61</v>
      </c>
    </row>
    <row r="70">
      <c r="A70" s="31" t="s">
        <v>4053</v>
      </c>
      <c r="B70" s="32" t="s">
        <v>4054</v>
      </c>
      <c r="C70" s="27" t="s">
        <v>3996</v>
      </c>
      <c r="D70" s="27">
        <v>268405.0</v>
      </c>
      <c r="E70" s="27">
        <v>332536.0</v>
      </c>
      <c r="F70" s="27">
        <v>1.2389337</v>
      </c>
      <c r="G70" s="27">
        <v>585.0</v>
      </c>
      <c r="H70" s="33"/>
      <c r="I70" s="27"/>
    </row>
    <row r="71">
      <c r="A71" s="31" t="s">
        <v>4093</v>
      </c>
      <c r="B71" s="32" t="s">
        <v>4094</v>
      </c>
      <c r="C71" s="27" t="s">
        <v>3996</v>
      </c>
      <c r="D71" s="27">
        <v>60928.0</v>
      </c>
      <c r="E71" s="27">
        <v>91868.0</v>
      </c>
      <c r="F71" s="27">
        <v>1.5078125</v>
      </c>
      <c r="G71" s="27">
        <v>399.0</v>
      </c>
      <c r="H71" s="33"/>
      <c r="I71" s="27">
        <v>67.633</v>
      </c>
    </row>
    <row r="72">
      <c r="A72" s="31" t="s">
        <v>4095</v>
      </c>
      <c r="B72" s="32" t="s">
        <v>4096</v>
      </c>
      <c r="C72" s="27" t="s">
        <v>3996</v>
      </c>
      <c r="D72" s="27">
        <v>67200.0</v>
      </c>
      <c r="E72" s="27">
        <v>106674.0</v>
      </c>
      <c r="F72" s="27">
        <v>1.58741071</v>
      </c>
      <c r="G72" s="27">
        <v>397.0</v>
      </c>
      <c r="H72" s="33"/>
      <c r="I72" s="27">
        <v>73.982</v>
      </c>
    </row>
    <row r="73">
      <c r="A73" s="31" t="s">
        <v>4023</v>
      </c>
      <c r="B73" s="32" t="s">
        <v>4097</v>
      </c>
      <c r="C73" s="27" t="s">
        <v>3996</v>
      </c>
      <c r="D73" s="27">
        <v>70305.0</v>
      </c>
      <c r="E73" s="27">
        <v>104901.0</v>
      </c>
      <c r="F73" s="27">
        <v>1.49208449</v>
      </c>
      <c r="G73" s="27">
        <v>1697.0</v>
      </c>
      <c r="H73" s="33"/>
      <c r="I73" s="27">
        <v>438.105</v>
      </c>
    </row>
    <row r="74">
      <c r="A74" s="31" t="s">
        <v>4098</v>
      </c>
      <c r="B74" s="32" t="s">
        <v>4099</v>
      </c>
      <c r="C74" s="27" t="s">
        <v>3996</v>
      </c>
      <c r="D74" s="27">
        <v>65391.0</v>
      </c>
      <c r="E74" s="27">
        <v>109203.0</v>
      </c>
      <c r="F74" s="27">
        <v>1.67000046</v>
      </c>
      <c r="G74" s="27">
        <v>495.0</v>
      </c>
      <c r="H74" s="33"/>
      <c r="I74" s="27">
        <v>79.173</v>
      </c>
    </row>
    <row r="75">
      <c r="A75" s="31" t="s">
        <v>4100</v>
      </c>
      <c r="B75" s="32" t="s">
        <v>4101</v>
      </c>
      <c r="C75" s="27" t="s">
        <v>3996</v>
      </c>
      <c r="D75" s="27">
        <v>41808.0</v>
      </c>
      <c r="E75" s="27">
        <v>63823.0</v>
      </c>
      <c r="F75" s="27">
        <v>1.52657386</v>
      </c>
      <c r="G75" s="27">
        <v>259.0</v>
      </c>
      <c r="H75" s="33"/>
      <c r="I75" s="27">
        <v>46.758</v>
      </c>
    </row>
    <row r="76">
      <c r="A76" s="31" t="s">
        <v>4102</v>
      </c>
      <c r="B76" s="32" t="s">
        <v>4103</v>
      </c>
      <c r="C76" s="27" t="s">
        <v>3996</v>
      </c>
      <c r="D76" s="27">
        <v>21200.0</v>
      </c>
      <c r="E76" s="27">
        <v>33116.0</v>
      </c>
      <c r="F76" s="27">
        <v>1.56207547</v>
      </c>
      <c r="G76" s="27">
        <v>40.0</v>
      </c>
      <c r="H76" s="27">
        <v>7627.0</v>
      </c>
      <c r="I76" s="27">
        <v>24.562</v>
      </c>
    </row>
    <row r="77">
      <c r="A77" s="31" t="s">
        <v>4104</v>
      </c>
      <c r="B77" s="32" t="s">
        <v>4105</v>
      </c>
      <c r="C77" s="27" t="s">
        <v>3996</v>
      </c>
      <c r="D77" s="27">
        <v>44624.0</v>
      </c>
      <c r="E77" s="27">
        <v>65783.0</v>
      </c>
      <c r="F77" s="27">
        <v>1.47416189</v>
      </c>
      <c r="G77" s="27">
        <v>319.0</v>
      </c>
      <c r="H77" s="33"/>
      <c r="I77" s="27"/>
    </row>
    <row r="78">
      <c r="A78" s="31" t="s">
        <v>4106</v>
      </c>
      <c r="B78" s="32" t="s">
        <v>4107</v>
      </c>
      <c r="C78" s="27" t="s">
        <v>3996</v>
      </c>
      <c r="D78" s="27">
        <v>49520.0</v>
      </c>
      <c r="E78" s="27">
        <v>66032.0</v>
      </c>
      <c r="F78" s="27">
        <v>1.33344103</v>
      </c>
      <c r="G78" s="27">
        <v>302.0</v>
      </c>
      <c r="H78" s="33"/>
      <c r="I78" s="27">
        <v>55.786</v>
      </c>
    </row>
    <row r="79">
      <c r="A79" s="31" t="s">
        <v>4108</v>
      </c>
      <c r="B79" s="32" t="s">
        <v>4109</v>
      </c>
      <c r="C79" s="27" t="s">
        <v>3996</v>
      </c>
      <c r="D79" s="27">
        <v>71360.0</v>
      </c>
      <c r="E79" s="27">
        <v>104519.0</v>
      </c>
      <c r="F79" s="27">
        <v>1.46467209</v>
      </c>
      <c r="G79" s="27">
        <v>458.0</v>
      </c>
      <c r="H79" s="33"/>
      <c r="I79" s="27">
        <v>83.719</v>
      </c>
    </row>
    <row r="80">
      <c r="A80" s="31" t="s">
        <v>4110</v>
      </c>
      <c r="B80" s="32" t="s">
        <v>4111</v>
      </c>
      <c r="C80" s="27" t="s">
        <v>3996</v>
      </c>
      <c r="D80" s="27">
        <v>33737.0</v>
      </c>
      <c r="E80" s="27">
        <v>51337.0</v>
      </c>
      <c r="F80" s="27">
        <v>1.52168243</v>
      </c>
      <c r="G80" s="27">
        <v>346.0</v>
      </c>
      <c r="H80" s="33"/>
      <c r="I80" s="27">
        <v>40.942</v>
      </c>
    </row>
    <row r="81">
      <c r="A81" s="31" t="s">
        <v>4112</v>
      </c>
      <c r="B81" s="32" t="s">
        <v>4113</v>
      </c>
      <c r="C81" s="27" t="s">
        <v>3996</v>
      </c>
      <c r="D81" s="27">
        <v>13108.0</v>
      </c>
      <c r="E81" s="27">
        <v>42888.0</v>
      </c>
      <c r="F81" s="27">
        <v>3.27189503</v>
      </c>
      <c r="G81" s="27">
        <v>971.0</v>
      </c>
      <c r="H81" s="27">
        <v>12389.0</v>
      </c>
      <c r="I81" s="27">
        <v>38.418</v>
      </c>
    </row>
    <row r="82">
      <c r="A82" s="31" t="s">
        <v>4112</v>
      </c>
      <c r="B82" s="32" t="s">
        <v>4114</v>
      </c>
      <c r="C82" s="27" t="s">
        <v>3996</v>
      </c>
      <c r="D82" s="27">
        <v>34224.0</v>
      </c>
      <c r="E82" s="27">
        <v>60080.0</v>
      </c>
      <c r="F82" s="27">
        <v>1.75549322</v>
      </c>
      <c r="G82" s="27">
        <v>52.0</v>
      </c>
      <c r="H82" s="27">
        <v>11312.0</v>
      </c>
      <c r="I82" s="27">
        <v>38.418</v>
      </c>
    </row>
    <row r="83">
      <c r="A83" s="31" t="s">
        <v>4115</v>
      </c>
      <c r="B83" s="32" t="s">
        <v>4116</v>
      </c>
      <c r="C83" s="27" t="s">
        <v>3996</v>
      </c>
      <c r="D83" s="27">
        <v>62033.0</v>
      </c>
      <c r="E83" s="27">
        <v>100612.0</v>
      </c>
      <c r="F83" s="27">
        <v>1.62191092</v>
      </c>
      <c r="G83" s="27">
        <v>339.0</v>
      </c>
      <c r="H83" s="33"/>
      <c r="I83" s="27">
        <v>62.423</v>
      </c>
    </row>
    <row r="84">
      <c r="A84" s="31" t="s">
        <v>4117</v>
      </c>
      <c r="B84" s="32" t="s">
        <v>4118</v>
      </c>
      <c r="C84" s="27" t="s">
        <v>3996</v>
      </c>
      <c r="D84" s="27">
        <v>93854.0</v>
      </c>
      <c r="E84" s="27">
        <v>128734.0</v>
      </c>
      <c r="F84" s="27">
        <v>1.37164106</v>
      </c>
      <c r="G84" s="27">
        <v>359.0</v>
      </c>
      <c r="H84" s="33"/>
      <c r="I84" s="27">
        <v>112.331</v>
      </c>
    </row>
    <row r="85">
      <c r="A85" s="31" t="s">
        <v>4119</v>
      </c>
      <c r="B85" s="32" t="s">
        <v>4120</v>
      </c>
      <c r="C85" s="27" t="s">
        <v>4002</v>
      </c>
      <c r="D85" s="27">
        <v>240448.0</v>
      </c>
      <c r="E85" s="27">
        <v>319203.0</v>
      </c>
      <c r="F85" s="27">
        <v>1.32753444</v>
      </c>
      <c r="G85" s="27">
        <v>232.0</v>
      </c>
      <c r="H85" s="33"/>
      <c r="I85" s="27">
        <v>303.832</v>
      </c>
    </row>
    <row r="86">
      <c r="A86" s="31" t="s">
        <v>4121</v>
      </c>
      <c r="B86" s="32" t="s">
        <v>4122</v>
      </c>
      <c r="C86" s="27" t="s">
        <v>3996</v>
      </c>
      <c r="D86" s="27">
        <v>55888.0</v>
      </c>
      <c r="E86" s="27">
        <v>86635.0</v>
      </c>
      <c r="F86" s="27">
        <v>1.55015388</v>
      </c>
      <c r="G86" s="27">
        <v>308.0</v>
      </c>
      <c r="H86" s="33"/>
      <c r="I86" s="27">
        <v>61.032</v>
      </c>
    </row>
    <row r="87">
      <c r="A87" s="31" t="s">
        <v>4031</v>
      </c>
      <c r="B87" s="32" t="s">
        <v>4055</v>
      </c>
      <c r="C87" s="27" t="s">
        <v>3996</v>
      </c>
      <c r="D87" s="27">
        <v>60936.0</v>
      </c>
      <c r="E87" s="27">
        <v>85004.0</v>
      </c>
      <c r="F87" s="27">
        <v>1.39497177</v>
      </c>
      <c r="G87" s="27">
        <v>117.0</v>
      </c>
      <c r="H87" s="27">
        <v>30001.0</v>
      </c>
      <c r="I87" s="27">
        <v>700.445</v>
      </c>
    </row>
    <row r="88">
      <c r="A88" s="31" t="s">
        <v>4123</v>
      </c>
      <c r="B88" s="32" t="s">
        <v>4124</v>
      </c>
      <c r="C88" s="27" t="s">
        <v>3996</v>
      </c>
      <c r="D88" s="27">
        <v>50303.0</v>
      </c>
      <c r="E88" s="27">
        <v>76021.0</v>
      </c>
      <c r="F88" s="27">
        <v>1.51126175</v>
      </c>
      <c r="G88" s="27">
        <v>354.0</v>
      </c>
      <c r="H88" s="33"/>
      <c r="I88" s="27">
        <v>70.641</v>
      </c>
    </row>
    <row r="89">
      <c r="A89" s="31" t="s">
        <v>4125</v>
      </c>
      <c r="B89" s="32" t="s">
        <v>4126</v>
      </c>
      <c r="C89" s="27" t="s">
        <v>3996</v>
      </c>
      <c r="D89" s="27">
        <v>140744.0</v>
      </c>
      <c r="E89" s="27">
        <v>206051.0</v>
      </c>
      <c r="F89" s="27">
        <v>1.46401268</v>
      </c>
      <c r="G89" s="27">
        <v>2070.0</v>
      </c>
      <c r="H89" s="33"/>
      <c r="I89" s="27"/>
    </row>
    <row r="90">
      <c r="A90" s="31" t="s">
        <v>4125</v>
      </c>
      <c r="B90" s="32" t="s">
        <v>4126</v>
      </c>
      <c r="C90" s="27" t="s">
        <v>4002</v>
      </c>
      <c r="D90" s="27">
        <v>77300.0</v>
      </c>
      <c r="E90" s="27">
        <v>106936.0</v>
      </c>
      <c r="F90" s="27">
        <v>1.38338939</v>
      </c>
      <c r="G90" s="27">
        <v>1111.0</v>
      </c>
      <c r="H90" s="33"/>
      <c r="I90" s="27"/>
    </row>
    <row r="91">
      <c r="A91" s="31" t="s">
        <v>4127</v>
      </c>
      <c r="B91" s="32" t="s">
        <v>4128</v>
      </c>
      <c r="C91" s="27" t="s">
        <v>3996</v>
      </c>
      <c r="D91" s="27">
        <v>20904.0</v>
      </c>
      <c r="E91" s="27">
        <v>48133.0</v>
      </c>
      <c r="F91" s="27">
        <v>2.30257367</v>
      </c>
      <c r="G91" s="27">
        <v>970.0</v>
      </c>
      <c r="H91" s="27">
        <v>12545.0</v>
      </c>
      <c r="I91" s="27">
        <v>59.468</v>
      </c>
    </row>
    <row r="92">
      <c r="A92" s="31" t="s">
        <v>4072</v>
      </c>
      <c r="B92" s="32" t="s">
        <v>4129</v>
      </c>
      <c r="C92" s="27" t="s">
        <v>3996</v>
      </c>
      <c r="D92" s="27">
        <v>44281.0</v>
      </c>
      <c r="E92" s="27">
        <v>68648.0</v>
      </c>
      <c r="F92" s="27">
        <v>1.55028116</v>
      </c>
      <c r="G92" s="27">
        <v>99.0</v>
      </c>
      <c r="H92" s="27">
        <v>12779.0</v>
      </c>
      <c r="I92" s="27"/>
    </row>
    <row r="93">
      <c r="A93" s="31" t="s">
        <v>4130</v>
      </c>
      <c r="B93" s="32" t="s">
        <v>4131</v>
      </c>
      <c r="C93" s="27" t="s">
        <v>4002</v>
      </c>
      <c r="D93" s="27">
        <v>192130.0</v>
      </c>
      <c r="E93" s="27">
        <v>216621.0</v>
      </c>
      <c r="F93" s="27">
        <v>1.12747098</v>
      </c>
      <c r="G93" s="27">
        <v>229.0</v>
      </c>
      <c r="H93" s="27">
        <v>4396.0</v>
      </c>
      <c r="I93" s="27"/>
    </row>
    <row r="94">
      <c r="A94" s="31" t="s">
        <v>4132</v>
      </c>
      <c r="B94" s="32" t="s">
        <v>4133</v>
      </c>
      <c r="C94" s="27" t="s">
        <v>3996</v>
      </c>
      <c r="D94" s="27">
        <v>60922.0</v>
      </c>
      <c r="E94" s="27">
        <v>99754.0</v>
      </c>
      <c r="F94" s="27">
        <v>1.63740521</v>
      </c>
      <c r="G94" s="27">
        <v>337.0</v>
      </c>
      <c r="H94" s="33"/>
      <c r="I94" s="27">
        <v>59.814</v>
      </c>
    </row>
    <row r="95">
      <c r="A95" s="31" t="s">
        <v>4042</v>
      </c>
      <c r="B95" s="32" t="s">
        <v>4052</v>
      </c>
      <c r="C95" s="27" t="s">
        <v>4002</v>
      </c>
      <c r="D95" s="27">
        <v>23280.0</v>
      </c>
      <c r="E95" s="27">
        <v>31345.0</v>
      </c>
      <c r="F95" s="27">
        <v>1.34643471</v>
      </c>
      <c r="G95" s="27">
        <v>67.0</v>
      </c>
      <c r="H95" s="27">
        <v>4195.0</v>
      </c>
      <c r="I95" s="27">
        <v>76.156</v>
      </c>
    </row>
    <row r="96">
      <c r="A96" s="31" t="s">
        <v>4033</v>
      </c>
      <c r="B96" s="32" t="s">
        <v>4058</v>
      </c>
      <c r="C96" s="27" t="s">
        <v>4002</v>
      </c>
      <c r="D96" s="27">
        <v>40640.0</v>
      </c>
      <c r="E96" s="27">
        <v>52940.0</v>
      </c>
      <c r="F96" s="27">
        <v>1.30265748</v>
      </c>
      <c r="G96" s="27">
        <v>81.0</v>
      </c>
      <c r="H96" s="27">
        <v>4756.0</v>
      </c>
      <c r="I96" s="27">
        <v>134.832</v>
      </c>
    </row>
    <row r="97">
      <c r="A97" s="31" t="s">
        <v>4134</v>
      </c>
      <c r="B97" s="32" t="s">
        <v>4135</v>
      </c>
      <c r="C97" s="27" t="s">
        <v>3996</v>
      </c>
      <c r="D97" s="27">
        <v>51286.0</v>
      </c>
      <c r="E97" s="27">
        <v>76093.0</v>
      </c>
      <c r="F97" s="27">
        <v>1.48369926</v>
      </c>
      <c r="G97" s="27">
        <v>160.0</v>
      </c>
      <c r="H97" s="27">
        <v>14870.0</v>
      </c>
      <c r="I97" s="27">
        <v>57.492</v>
      </c>
    </row>
    <row r="98">
      <c r="A98" s="31" t="s">
        <v>4136</v>
      </c>
      <c r="B98" s="32" t="s">
        <v>4137</v>
      </c>
      <c r="C98" s="27" t="s">
        <v>4002</v>
      </c>
      <c r="D98" s="27">
        <v>36496.0</v>
      </c>
      <c r="E98" s="27">
        <v>51093.0</v>
      </c>
      <c r="F98" s="27">
        <v>1.39996164</v>
      </c>
      <c r="G98" s="27">
        <v>92.0</v>
      </c>
      <c r="H98" s="33"/>
      <c r="I98" s="27">
        <v>63.226</v>
      </c>
    </row>
    <row r="99">
      <c r="A99" s="31" t="s">
        <v>4138</v>
      </c>
      <c r="B99" s="32" t="s">
        <v>4139</v>
      </c>
      <c r="C99" s="27" t="s">
        <v>3996</v>
      </c>
      <c r="D99" s="27">
        <v>34621.0</v>
      </c>
      <c r="E99" s="27">
        <v>65327.0</v>
      </c>
      <c r="F99" s="27">
        <v>1.88691834</v>
      </c>
      <c r="G99" s="27">
        <v>463.0</v>
      </c>
      <c r="H99" s="27">
        <v>25594.0</v>
      </c>
      <c r="I99" s="27"/>
    </row>
    <row r="100">
      <c r="A100" s="31" t="s">
        <v>4130</v>
      </c>
      <c r="B100" s="32" t="s">
        <v>4140</v>
      </c>
      <c r="C100" s="27" t="s">
        <v>3996</v>
      </c>
      <c r="D100" s="27">
        <v>82535.0</v>
      </c>
      <c r="E100" s="27">
        <v>111877.0</v>
      </c>
      <c r="F100" s="27">
        <v>1.35550978</v>
      </c>
      <c r="G100" s="27">
        <v>858.0</v>
      </c>
      <c r="H100" s="27">
        <v>59334.0</v>
      </c>
      <c r="I100" s="27"/>
    </row>
    <row r="101">
      <c r="A101" s="31" t="s">
        <v>4141</v>
      </c>
      <c r="B101" s="32" t="s">
        <v>4142</v>
      </c>
      <c r="C101" s="27" t="s">
        <v>3996</v>
      </c>
      <c r="D101" s="27">
        <v>15414.0</v>
      </c>
      <c r="E101" s="27">
        <v>34365.0</v>
      </c>
      <c r="F101" s="27">
        <v>2.22946672</v>
      </c>
      <c r="G101" s="27">
        <v>591.0</v>
      </c>
      <c r="H101" s="27">
        <v>8017.0</v>
      </c>
      <c r="I101" s="27">
        <v>54.484</v>
      </c>
    </row>
    <row r="102">
      <c r="A102" s="31" t="s">
        <v>4027</v>
      </c>
      <c r="B102" s="32" t="s">
        <v>4049</v>
      </c>
      <c r="C102" s="27" t="s">
        <v>4002</v>
      </c>
      <c r="D102" s="27">
        <v>27584.0</v>
      </c>
      <c r="E102" s="27">
        <v>33884.0</v>
      </c>
      <c r="F102" s="27">
        <v>1.22839327</v>
      </c>
      <c r="G102" s="27">
        <v>70.0</v>
      </c>
      <c r="H102" s="27">
        <v>3568.0</v>
      </c>
      <c r="I102" s="27">
        <v>99.285</v>
      </c>
    </row>
    <row r="103">
      <c r="A103" s="31" t="s">
        <v>4031</v>
      </c>
      <c r="B103" s="32" t="s">
        <v>4032</v>
      </c>
      <c r="C103" s="27" t="s">
        <v>3996</v>
      </c>
      <c r="D103" s="27">
        <v>131196.0</v>
      </c>
      <c r="E103" s="27">
        <v>147703.0</v>
      </c>
      <c r="F103" s="27">
        <v>1.12581938</v>
      </c>
      <c r="G103" s="27">
        <v>80.0</v>
      </c>
      <c r="H103" s="27">
        <v>10455.0</v>
      </c>
      <c r="I103" s="27">
        <v>700.445</v>
      </c>
    </row>
    <row r="104">
      <c r="A104" s="31" t="s">
        <v>4070</v>
      </c>
      <c r="B104" s="32" t="s">
        <v>4071</v>
      </c>
      <c r="C104" s="27" t="s">
        <v>3996</v>
      </c>
      <c r="D104" s="27">
        <v>19210.0</v>
      </c>
      <c r="E104" s="27">
        <v>19210.0</v>
      </c>
      <c r="F104" s="27">
        <v>1.0</v>
      </c>
      <c r="G104" s="33"/>
      <c r="H104" s="33"/>
      <c r="I104" s="27"/>
    </row>
    <row r="105">
      <c r="A105" s="31" t="s">
        <v>4143</v>
      </c>
      <c r="B105" s="32" t="s">
        <v>4144</v>
      </c>
      <c r="C105" s="27" t="s">
        <v>4002</v>
      </c>
      <c r="D105" s="27">
        <v>22032.0</v>
      </c>
      <c r="E105" s="27">
        <v>39667.0</v>
      </c>
      <c r="F105" s="27">
        <v>1.80042665</v>
      </c>
      <c r="G105" s="27">
        <v>470.0</v>
      </c>
      <c r="H105" s="33"/>
      <c r="I105" s="27"/>
    </row>
    <row r="106">
      <c r="A106" s="31" t="s">
        <v>4143</v>
      </c>
      <c r="B106" s="32" t="s">
        <v>4144</v>
      </c>
      <c r="C106" s="27" t="s">
        <v>3996</v>
      </c>
      <c r="D106" s="27">
        <v>40560.0</v>
      </c>
      <c r="E106" s="27">
        <v>79875.0</v>
      </c>
      <c r="F106" s="27">
        <v>1.96930473</v>
      </c>
      <c r="G106" s="27">
        <v>493.0</v>
      </c>
      <c r="H106" s="33"/>
      <c r="I106" s="27"/>
    </row>
    <row r="107">
      <c r="A107" s="31" t="s">
        <v>4145</v>
      </c>
      <c r="B107" s="32" t="s">
        <v>4146</v>
      </c>
      <c r="C107" s="27" t="s">
        <v>3996</v>
      </c>
      <c r="D107" s="27">
        <v>38560.0</v>
      </c>
      <c r="E107" s="27">
        <v>58495.0</v>
      </c>
      <c r="F107" s="27">
        <v>1.51698651</v>
      </c>
      <c r="G107" s="27">
        <v>222.0</v>
      </c>
      <c r="H107" s="33"/>
      <c r="I107" s="27">
        <v>50.485</v>
      </c>
    </row>
    <row r="108">
      <c r="A108" s="31" t="s">
        <v>4147</v>
      </c>
      <c r="B108" s="32" t="s">
        <v>4148</v>
      </c>
      <c r="C108" s="27" t="s">
        <v>3996</v>
      </c>
      <c r="D108" s="27">
        <v>9494.0</v>
      </c>
      <c r="E108" s="27">
        <v>26214.0</v>
      </c>
      <c r="F108" s="27">
        <v>2.76111228</v>
      </c>
      <c r="G108" s="27">
        <v>602.0</v>
      </c>
      <c r="H108" s="27">
        <v>8231.0</v>
      </c>
      <c r="I108" s="27">
        <v>25.54</v>
      </c>
    </row>
    <row r="109">
      <c r="A109" s="31" t="s">
        <v>4149</v>
      </c>
      <c r="B109" s="32" t="s">
        <v>4150</v>
      </c>
      <c r="C109" s="27" t="s">
        <v>3996</v>
      </c>
      <c r="D109" s="27">
        <v>34387.0</v>
      </c>
      <c r="E109" s="27">
        <v>57864.0</v>
      </c>
      <c r="F109" s="27">
        <v>1.68272894</v>
      </c>
      <c r="G109" s="27">
        <v>77.0</v>
      </c>
      <c r="H109" s="27">
        <v>11663.0</v>
      </c>
      <c r="I109" s="27">
        <v>46.227</v>
      </c>
    </row>
    <row r="110">
      <c r="A110" s="31" t="s">
        <v>3998</v>
      </c>
      <c r="B110" s="32" t="s">
        <v>3999</v>
      </c>
      <c r="C110" s="27" t="s">
        <v>4002</v>
      </c>
      <c r="D110" s="27">
        <v>19729.0</v>
      </c>
      <c r="E110" s="27">
        <v>38399.0</v>
      </c>
      <c r="F110" s="27">
        <v>1.94632267</v>
      </c>
      <c r="G110" s="27">
        <v>426.0</v>
      </c>
      <c r="H110" s="33"/>
      <c r="I110" s="27"/>
    </row>
    <row r="111">
      <c r="A111" s="31" t="s">
        <v>4102</v>
      </c>
      <c r="B111" s="32" t="s">
        <v>4151</v>
      </c>
      <c r="C111" s="27" t="s">
        <v>3996</v>
      </c>
      <c r="D111" s="27">
        <v>6652.0</v>
      </c>
      <c r="E111" s="27">
        <v>20178.0</v>
      </c>
      <c r="F111" s="27">
        <v>3.03337342</v>
      </c>
      <c r="G111" s="27">
        <v>504.0</v>
      </c>
      <c r="H111" s="27">
        <v>5183.0</v>
      </c>
      <c r="I111" s="27">
        <v>24.562</v>
      </c>
    </row>
    <row r="112">
      <c r="A112" s="31" t="s">
        <v>4013</v>
      </c>
      <c r="B112" s="32" t="s">
        <v>4014</v>
      </c>
      <c r="C112" s="27" t="s">
        <v>3996</v>
      </c>
      <c r="D112" s="27">
        <v>107265.0</v>
      </c>
      <c r="E112" s="27">
        <v>162609.0</v>
      </c>
      <c r="F112" s="27">
        <v>1.51595581</v>
      </c>
      <c r="G112" s="27">
        <v>670.0</v>
      </c>
      <c r="H112" s="33"/>
      <c r="I112" s="27"/>
    </row>
    <row r="113">
      <c r="A113" s="31" t="s">
        <v>4152</v>
      </c>
      <c r="B113" s="32" t="s">
        <v>4153</v>
      </c>
      <c r="C113" s="27" t="s">
        <v>3996</v>
      </c>
      <c r="D113" s="27">
        <v>54128.0</v>
      </c>
      <c r="E113" s="27">
        <v>87892.0</v>
      </c>
      <c r="F113" s="27">
        <v>1.62378067</v>
      </c>
      <c r="G113" s="27">
        <v>378.0</v>
      </c>
      <c r="H113" s="33"/>
      <c r="I113" s="27">
        <v>60.615</v>
      </c>
    </row>
    <row r="114">
      <c r="A114" s="31" t="s">
        <v>4145</v>
      </c>
      <c r="B114" s="32" t="s">
        <v>4154</v>
      </c>
      <c r="C114" s="27" t="s">
        <v>3996</v>
      </c>
      <c r="D114" s="27">
        <v>10540.0</v>
      </c>
      <c r="E114" s="27">
        <v>28723.0</v>
      </c>
      <c r="F114" s="27">
        <v>2.72514231</v>
      </c>
      <c r="G114" s="27">
        <v>711.0</v>
      </c>
      <c r="H114" s="27">
        <v>8764.0</v>
      </c>
      <c r="I114" s="27">
        <v>50.485</v>
      </c>
    </row>
    <row r="115">
      <c r="A115" s="31" t="s">
        <v>4047</v>
      </c>
      <c r="B115" s="32" t="s">
        <v>4048</v>
      </c>
      <c r="C115" s="27" t="s">
        <v>4002</v>
      </c>
      <c r="D115" s="27">
        <v>20048.0</v>
      </c>
      <c r="E115" s="27">
        <v>26147.0</v>
      </c>
      <c r="F115" s="27">
        <v>1.30421987</v>
      </c>
      <c r="G115" s="27">
        <v>73.0</v>
      </c>
      <c r="H115" s="33"/>
      <c r="I115" s="27">
        <v>72.249</v>
      </c>
    </row>
    <row r="116">
      <c r="A116" s="31" t="s">
        <v>4035</v>
      </c>
      <c r="B116" s="32" t="s">
        <v>4036</v>
      </c>
      <c r="C116" s="27" t="s">
        <v>4002</v>
      </c>
      <c r="D116" s="27">
        <v>27712.0</v>
      </c>
      <c r="E116" s="27">
        <v>38275.0</v>
      </c>
      <c r="F116" s="27">
        <v>1.38117061</v>
      </c>
      <c r="G116" s="27">
        <v>66.0</v>
      </c>
      <c r="H116" s="33"/>
      <c r="I116" s="27">
        <v>126.507</v>
      </c>
    </row>
    <row r="117">
      <c r="A117" s="31" t="s">
        <v>4136</v>
      </c>
      <c r="B117" s="32" t="s">
        <v>4137</v>
      </c>
      <c r="C117" s="27" t="s">
        <v>3996</v>
      </c>
      <c r="D117" s="27">
        <v>29328.0</v>
      </c>
      <c r="E117" s="27">
        <v>42200.0</v>
      </c>
      <c r="F117" s="27">
        <v>1.43889798</v>
      </c>
      <c r="G117" s="27">
        <v>214.0</v>
      </c>
      <c r="H117" s="33"/>
      <c r="I117" s="27">
        <v>63.226</v>
      </c>
    </row>
    <row r="118">
      <c r="A118" s="31" t="s">
        <v>4155</v>
      </c>
      <c r="B118" s="32" t="s">
        <v>4156</v>
      </c>
      <c r="C118" s="27" t="s">
        <v>3996</v>
      </c>
      <c r="D118" s="27">
        <v>11512.0</v>
      </c>
      <c r="E118" s="27">
        <v>37618.0</v>
      </c>
      <c r="F118" s="27">
        <v>3.26772064</v>
      </c>
      <c r="G118" s="27">
        <v>101.0</v>
      </c>
      <c r="H118" s="27">
        <v>12742.0</v>
      </c>
      <c r="I118" s="27">
        <v>41.688</v>
      </c>
    </row>
    <row r="119">
      <c r="A119" s="31" t="s">
        <v>4025</v>
      </c>
      <c r="B119" s="32" t="s">
        <v>4044</v>
      </c>
      <c r="C119" s="27" t="s">
        <v>4002</v>
      </c>
      <c r="D119" s="27">
        <v>22976.0</v>
      </c>
      <c r="E119" s="27">
        <v>28927.0</v>
      </c>
      <c r="F119" s="27">
        <v>1.2590094</v>
      </c>
      <c r="G119" s="27">
        <v>57.0</v>
      </c>
      <c r="H119" s="27">
        <v>2897.0</v>
      </c>
      <c r="I119" s="27"/>
    </row>
    <row r="120">
      <c r="A120" s="31" t="s">
        <v>4157</v>
      </c>
      <c r="B120" s="32" t="s">
        <v>4158</v>
      </c>
      <c r="C120" s="27" t="s">
        <v>3996</v>
      </c>
      <c r="D120" s="27">
        <v>34920.0</v>
      </c>
      <c r="E120" s="27">
        <v>54854.0</v>
      </c>
      <c r="F120" s="27">
        <v>1.57084765</v>
      </c>
      <c r="G120" s="27">
        <v>240.0</v>
      </c>
      <c r="H120" s="33"/>
      <c r="I120" s="27"/>
    </row>
    <row r="121">
      <c r="A121" s="31" t="s">
        <v>4159</v>
      </c>
      <c r="B121" s="32" t="s">
        <v>4160</v>
      </c>
      <c r="C121" s="27" t="s">
        <v>3996</v>
      </c>
      <c r="D121" s="27">
        <v>40144.0</v>
      </c>
      <c r="E121" s="27">
        <v>66836.0</v>
      </c>
      <c r="F121" s="27">
        <v>1.66490634</v>
      </c>
      <c r="G121" s="27">
        <v>260.0</v>
      </c>
      <c r="H121" s="33"/>
      <c r="I121" s="27">
        <v>34.365</v>
      </c>
    </row>
    <row r="122">
      <c r="A122" s="31" t="s">
        <v>4078</v>
      </c>
      <c r="B122" s="32" t="s">
        <v>4161</v>
      </c>
      <c r="C122" s="27" t="s">
        <v>3996</v>
      </c>
      <c r="D122" s="27">
        <v>38384.0</v>
      </c>
      <c r="E122" s="27">
        <v>53083.0</v>
      </c>
      <c r="F122" s="27">
        <v>1.38294602</v>
      </c>
      <c r="G122" s="27">
        <v>30.0</v>
      </c>
      <c r="H122" s="27">
        <v>10627.0</v>
      </c>
      <c r="I122" s="27">
        <v>64.213</v>
      </c>
    </row>
    <row r="123">
      <c r="A123" s="31" t="s">
        <v>4162</v>
      </c>
      <c r="B123" s="32" t="s">
        <v>4163</v>
      </c>
      <c r="C123" s="27" t="s">
        <v>3996</v>
      </c>
      <c r="D123" s="27">
        <v>17697.0</v>
      </c>
      <c r="E123" s="27">
        <v>35821.0</v>
      </c>
      <c r="F123" s="27">
        <v>2.02412838</v>
      </c>
      <c r="G123" s="27">
        <v>950.0</v>
      </c>
      <c r="H123" s="27">
        <v>11931.0</v>
      </c>
      <c r="I123" s="27">
        <v>48.704</v>
      </c>
    </row>
    <row r="124">
      <c r="A124" s="31" t="s">
        <v>4015</v>
      </c>
      <c r="B124" s="32" t="s">
        <v>4018</v>
      </c>
      <c r="C124" s="27" t="s">
        <v>4002</v>
      </c>
      <c r="D124" s="27">
        <v>36172.0</v>
      </c>
      <c r="E124" s="27">
        <v>63238.0</v>
      </c>
      <c r="F124" s="27">
        <v>1.74825832</v>
      </c>
      <c r="G124" s="27">
        <v>1773.0</v>
      </c>
      <c r="H124" s="27">
        <v>10748.0</v>
      </c>
      <c r="I124" s="27" t="s">
        <v>4017</v>
      </c>
    </row>
    <row r="125">
      <c r="A125" s="31" t="s">
        <v>4164</v>
      </c>
      <c r="B125" s="32" t="s">
        <v>4165</v>
      </c>
      <c r="C125" s="27" t="s">
        <v>3996</v>
      </c>
      <c r="D125" s="27">
        <v>41712.0</v>
      </c>
      <c r="E125" s="27">
        <v>62748.0</v>
      </c>
      <c r="F125" s="27">
        <v>1.5043153</v>
      </c>
      <c r="G125" s="27">
        <v>258.0</v>
      </c>
      <c r="H125" s="33"/>
      <c r="I125" s="27">
        <v>48.528</v>
      </c>
    </row>
    <row r="126">
      <c r="A126" s="31" t="s">
        <v>4166</v>
      </c>
      <c r="B126" s="32" t="s">
        <v>4167</v>
      </c>
      <c r="C126" s="27" t="s">
        <v>3996</v>
      </c>
      <c r="D126" s="27">
        <v>39344.0</v>
      </c>
      <c r="E126" s="27">
        <v>56963.0</v>
      </c>
      <c r="F126" s="27">
        <v>1.44781924</v>
      </c>
      <c r="G126" s="27">
        <v>188.0</v>
      </c>
      <c r="H126" s="33"/>
      <c r="I126" s="27"/>
    </row>
    <row r="127">
      <c r="A127" s="31" t="s">
        <v>4147</v>
      </c>
      <c r="B127" s="32" t="s">
        <v>4168</v>
      </c>
      <c r="C127" s="27" t="s">
        <v>3996</v>
      </c>
      <c r="D127" s="27">
        <v>14136.0</v>
      </c>
      <c r="E127" s="27">
        <v>20829.0</v>
      </c>
      <c r="F127" s="27">
        <v>1.47347199</v>
      </c>
      <c r="G127" s="27">
        <v>18.0</v>
      </c>
      <c r="H127" s="27">
        <v>3688.0</v>
      </c>
      <c r="I127" s="27">
        <v>25.54</v>
      </c>
    </row>
    <row r="128">
      <c r="A128" s="31" t="s">
        <v>3994</v>
      </c>
      <c r="B128" s="32" t="s">
        <v>3997</v>
      </c>
      <c r="C128" s="27" t="s">
        <v>4002</v>
      </c>
      <c r="D128" s="27">
        <v>42190.0</v>
      </c>
      <c r="E128" s="27">
        <v>65893.0</v>
      </c>
      <c r="F128" s="27">
        <v>1.5618156</v>
      </c>
      <c r="G128" s="27">
        <v>585.0</v>
      </c>
      <c r="H128" s="27">
        <v>2993.0</v>
      </c>
      <c r="I128" s="27"/>
    </row>
    <row r="129">
      <c r="A129" s="31" t="s">
        <v>4138</v>
      </c>
      <c r="B129" s="32" t="s">
        <v>4169</v>
      </c>
      <c r="C129" s="27" t="s">
        <v>3996</v>
      </c>
      <c r="D129" s="27">
        <v>49465.0</v>
      </c>
      <c r="E129" s="27">
        <v>69721.0</v>
      </c>
      <c r="F129" s="27">
        <v>1.40950167</v>
      </c>
      <c r="G129" s="27">
        <v>43.0</v>
      </c>
      <c r="H129" s="27">
        <v>11156.0</v>
      </c>
      <c r="I129" s="27"/>
    </row>
    <row r="130">
      <c r="A130" s="31" t="s">
        <v>4170</v>
      </c>
      <c r="B130" s="32" t="s">
        <v>4171</v>
      </c>
      <c r="C130" s="27" t="s">
        <v>4002</v>
      </c>
      <c r="D130" s="27">
        <v>77376.0</v>
      </c>
      <c r="E130" s="27">
        <v>102718.0</v>
      </c>
      <c r="F130" s="27">
        <v>1.32751758</v>
      </c>
      <c r="G130" s="27">
        <v>110.0</v>
      </c>
      <c r="H130" s="33"/>
      <c r="I130" s="27">
        <v>124.273</v>
      </c>
    </row>
    <row r="131">
      <c r="A131" s="31" t="s">
        <v>4172</v>
      </c>
      <c r="B131" s="32" t="s">
        <v>4173</v>
      </c>
      <c r="C131" s="27" t="s">
        <v>3996</v>
      </c>
      <c r="D131" s="27">
        <v>6882.0</v>
      </c>
      <c r="E131" s="27">
        <v>10465.0</v>
      </c>
      <c r="F131" s="27">
        <v>1.52063354</v>
      </c>
      <c r="G131" s="27">
        <v>87.0</v>
      </c>
      <c r="H131" s="33"/>
      <c r="I131" s="27">
        <v>6.838</v>
      </c>
    </row>
    <row r="132">
      <c r="A132" s="31" t="s">
        <v>4141</v>
      </c>
      <c r="B132" s="32" t="s">
        <v>4174</v>
      </c>
      <c r="C132" s="27" t="s">
        <v>3996</v>
      </c>
      <c r="D132" s="27">
        <v>34321.0</v>
      </c>
      <c r="E132" s="27">
        <v>46501.0</v>
      </c>
      <c r="F132" s="27">
        <v>1.35488476</v>
      </c>
      <c r="G132" s="27">
        <v>22.0</v>
      </c>
      <c r="H132" s="27">
        <v>5325.0</v>
      </c>
      <c r="I132" s="27">
        <v>54.484</v>
      </c>
    </row>
    <row r="133">
      <c r="A133" s="31" t="s">
        <v>4078</v>
      </c>
      <c r="B133" s="32" t="s">
        <v>4161</v>
      </c>
      <c r="C133" s="27" t="s">
        <v>4002</v>
      </c>
      <c r="D133" s="27">
        <v>24256.0</v>
      </c>
      <c r="E133" s="27">
        <v>35712.0</v>
      </c>
      <c r="F133" s="27">
        <v>1.47229551</v>
      </c>
      <c r="G133" s="27">
        <v>51.0</v>
      </c>
      <c r="H133" s="27">
        <v>3141.0</v>
      </c>
      <c r="I133" s="27">
        <v>64.213</v>
      </c>
    </row>
    <row r="134">
      <c r="A134" s="31" t="s">
        <v>4039</v>
      </c>
      <c r="B134" s="32" t="s">
        <v>4062</v>
      </c>
      <c r="C134" s="27" t="s">
        <v>4002</v>
      </c>
      <c r="D134" s="27">
        <v>13328.0</v>
      </c>
      <c r="E134" s="27">
        <v>17245.0</v>
      </c>
      <c r="F134" s="27">
        <v>1.29389256</v>
      </c>
      <c r="G134" s="27">
        <v>39.0</v>
      </c>
      <c r="H134" s="27">
        <v>2160.0</v>
      </c>
      <c r="I134" s="27">
        <v>64.427</v>
      </c>
    </row>
    <row r="135">
      <c r="A135" s="31" t="s">
        <v>4175</v>
      </c>
      <c r="B135" s="32" t="s">
        <v>4176</v>
      </c>
      <c r="C135" s="27" t="s">
        <v>3996</v>
      </c>
      <c r="D135" s="27">
        <v>40800.0</v>
      </c>
      <c r="E135" s="27">
        <v>56519.0</v>
      </c>
      <c r="F135" s="27">
        <v>1.38526961</v>
      </c>
      <c r="G135" s="27">
        <v>122.0</v>
      </c>
      <c r="H135" s="33"/>
      <c r="I135" s="27">
        <v>52.768</v>
      </c>
    </row>
    <row r="136">
      <c r="A136" s="31" t="s">
        <v>4177</v>
      </c>
      <c r="B136" s="32" t="s">
        <v>4178</v>
      </c>
      <c r="C136" s="27" t="s">
        <v>3996</v>
      </c>
      <c r="D136" s="27">
        <v>32520.0</v>
      </c>
      <c r="E136" s="27">
        <v>50080.0</v>
      </c>
      <c r="F136" s="27">
        <v>1.5399754</v>
      </c>
      <c r="G136" s="27">
        <v>244.0</v>
      </c>
      <c r="H136" s="33"/>
      <c r="I136" s="27">
        <v>39.748</v>
      </c>
    </row>
    <row r="137">
      <c r="A137" s="31" t="s">
        <v>4123</v>
      </c>
      <c r="B137" s="32" t="s">
        <v>4124</v>
      </c>
      <c r="C137" s="27" t="s">
        <v>4002</v>
      </c>
      <c r="D137" s="27">
        <v>24128.0</v>
      </c>
      <c r="E137" s="27">
        <v>32793.0</v>
      </c>
      <c r="F137" s="27">
        <v>1.35912633</v>
      </c>
      <c r="G137" s="27">
        <v>55.0</v>
      </c>
      <c r="H137" s="33"/>
      <c r="I137" s="27">
        <v>70.641</v>
      </c>
    </row>
    <row r="138">
      <c r="A138" s="31" t="s">
        <v>4027</v>
      </c>
      <c r="B138" s="32" t="s">
        <v>4028</v>
      </c>
      <c r="C138" s="27" t="s">
        <v>4002</v>
      </c>
      <c r="D138" s="27">
        <v>9216.0</v>
      </c>
      <c r="E138" s="27">
        <v>17202.0</v>
      </c>
      <c r="F138" s="27">
        <v>1.86653646</v>
      </c>
      <c r="G138" s="27">
        <v>166.0</v>
      </c>
      <c r="H138" s="27">
        <v>2117.0</v>
      </c>
      <c r="I138" s="27">
        <v>99.285</v>
      </c>
    </row>
    <row r="139">
      <c r="A139" s="31" t="s">
        <v>4149</v>
      </c>
      <c r="B139" s="32" t="s">
        <v>4179</v>
      </c>
      <c r="C139" s="27" t="s">
        <v>3996</v>
      </c>
      <c r="D139" s="27">
        <v>7681.0</v>
      </c>
      <c r="E139" s="27">
        <v>11321.0</v>
      </c>
      <c r="F139" s="27">
        <v>1.47389663</v>
      </c>
      <c r="G139" s="27">
        <v>492.0</v>
      </c>
      <c r="H139" s="27">
        <v>4331.0</v>
      </c>
      <c r="I139" s="27">
        <v>46.227</v>
      </c>
    </row>
    <row r="140">
      <c r="A140" s="31" t="s">
        <v>4130</v>
      </c>
      <c r="B140" s="32" t="s">
        <v>4131</v>
      </c>
      <c r="C140" s="27" t="s">
        <v>3996</v>
      </c>
      <c r="D140" s="27">
        <v>91981.0</v>
      </c>
      <c r="E140" s="27">
        <v>103456.0</v>
      </c>
      <c r="F140" s="27">
        <v>1.12475403</v>
      </c>
      <c r="G140" s="27">
        <v>174.0</v>
      </c>
      <c r="H140" s="27">
        <v>8096.0</v>
      </c>
      <c r="I140" s="27"/>
    </row>
    <row r="141">
      <c r="A141" s="31" t="s">
        <v>4180</v>
      </c>
      <c r="B141" s="32" t="s">
        <v>4181</v>
      </c>
      <c r="C141" s="27" t="s">
        <v>3996</v>
      </c>
      <c r="D141" s="27">
        <v>51600.0</v>
      </c>
      <c r="E141" s="27">
        <v>73953.0</v>
      </c>
      <c r="F141" s="27">
        <v>1.43319767</v>
      </c>
      <c r="G141" s="27">
        <v>186.0</v>
      </c>
      <c r="H141" s="33"/>
      <c r="I141" s="27">
        <v>92.029</v>
      </c>
    </row>
    <row r="142">
      <c r="A142" s="31" t="s">
        <v>4162</v>
      </c>
      <c r="B142" s="32" t="s">
        <v>4182</v>
      </c>
      <c r="C142" s="27" t="s">
        <v>3996</v>
      </c>
      <c r="D142" s="27">
        <v>32920.0</v>
      </c>
      <c r="E142" s="27">
        <v>49441.0</v>
      </c>
      <c r="F142" s="27">
        <v>1.50185298</v>
      </c>
      <c r="G142" s="27">
        <v>19.0</v>
      </c>
      <c r="H142" s="27">
        <v>7197.0</v>
      </c>
      <c r="I142" s="27">
        <v>48.704</v>
      </c>
    </row>
    <row r="143">
      <c r="A143" s="31" t="s">
        <v>4042</v>
      </c>
      <c r="B143" s="32" t="s">
        <v>4043</v>
      </c>
      <c r="C143" s="27" t="s">
        <v>4002</v>
      </c>
      <c r="D143" s="27">
        <v>6512.0</v>
      </c>
      <c r="E143" s="27">
        <v>15947.0</v>
      </c>
      <c r="F143" s="27">
        <v>2.44886364</v>
      </c>
      <c r="G143" s="27">
        <v>188.0</v>
      </c>
      <c r="H143" s="27">
        <v>2293.0</v>
      </c>
      <c r="I143" s="27">
        <v>76.156</v>
      </c>
    </row>
    <row r="144">
      <c r="A144" s="31" t="s">
        <v>4183</v>
      </c>
      <c r="B144" s="32" t="s">
        <v>4184</v>
      </c>
      <c r="C144" s="27" t="s">
        <v>3996</v>
      </c>
      <c r="D144" s="27">
        <v>30992.0</v>
      </c>
      <c r="E144" s="27">
        <v>46820.0</v>
      </c>
      <c r="F144" s="27">
        <v>1.51071244</v>
      </c>
      <c r="G144" s="27">
        <v>138.0</v>
      </c>
      <c r="H144" s="33"/>
      <c r="I144" s="27">
        <v>32.482</v>
      </c>
    </row>
    <row r="145">
      <c r="A145" s="31" t="s">
        <v>4185</v>
      </c>
      <c r="B145" s="32" t="s">
        <v>4186</v>
      </c>
      <c r="C145" s="27" t="s">
        <v>3996</v>
      </c>
      <c r="D145" s="27">
        <v>42033.0</v>
      </c>
      <c r="E145" s="27">
        <v>62920.0</v>
      </c>
      <c r="F145" s="27">
        <v>1.49691909</v>
      </c>
      <c r="G145" s="27">
        <v>162.0</v>
      </c>
      <c r="H145" s="33"/>
      <c r="I145" s="27">
        <v>48.751</v>
      </c>
    </row>
    <row r="146">
      <c r="A146" s="31" t="s">
        <v>4187</v>
      </c>
      <c r="B146" s="32" t="s">
        <v>4188</v>
      </c>
      <c r="C146" s="27" t="s">
        <v>4002</v>
      </c>
      <c r="D146" s="27">
        <v>116608.0</v>
      </c>
      <c r="E146" s="27">
        <v>119792.0</v>
      </c>
      <c r="F146" s="27">
        <v>1.02730516</v>
      </c>
      <c r="G146" s="27">
        <v>103.0</v>
      </c>
      <c r="H146" s="33"/>
      <c r="I146" s="27">
        <v>183.311</v>
      </c>
    </row>
    <row r="147">
      <c r="A147" s="31" t="s">
        <v>4170</v>
      </c>
      <c r="B147" s="32" t="s">
        <v>4171</v>
      </c>
      <c r="C147" s="27" t="s">
        <v>3996</v>
      </c>
      <c r="D147" s="27">
        <v>52640.0</v>
      </c>
      <c r="E147" s="27">
        <v>78593.0</v>
      </c>
      <c r="F147" s="27">
        <v>1.49302812</v>
      </c>
      <c r="G147" s="27">
        <v>175.0</v>
      </c>
      <c r="H147" s="33"/>
      <c r="I147" s="27">
        <v>124.273</v>
      </c>
    </row>
    <row r="148">
      <c r="A148" s="31" t="s">
        <v>4189</v>
      </c>
      <c r="B148" s="32" t="s">
        <v>4190</v>
      </c>
      <c r="C148" s="27" t="s">
        <v>3996</v>
      </c>
      <c r="D148" s="27">
        <v>17252.0</v>
      </c>
      <c r="E148" s="27">
        <v>27335.0</v>
      </c>
      <c r="F148" s="27">
        <v>1.58445398</v>
      </c>
      <c r="G148" s="27">
        <v>128.0</v>
      </c>
      <c r="H148" s="33"/>
      <c r="I148" s="27">
        <v>19.237</v>
      </c>
    </row>
    <row r="149">
      <c r="A149" s="31" t="s">
        <v>4155</v>
      </c>
      <c r="B149" s="32" t="s">
        <v>4191</v>
      </c>
      <c r="C149" s="27" t="s">
        <v>3996</v>
      </c>
      <c r="D149" s="27">
        <v>25414.0</v>
      </c>
      <c r="E149" s="27">
        <v>37441.0</v>
      </c>
      <c r="F149" s="27">
        <v>1.47324309</v>
      </c>
      <c r="G149" s="27">
        <v>20.0</v>
      </c>
      <c r="H149" s="27">
        <v>4978.0</v>
      </c>
      <c r="I149" s="27">
        <v>41.688</v>
      </c>
    </row>
    <row r="150">
      <c r="A150" s="31" t="s">
        <v>4192</v>
      </c>
      <c r="B150" s="32" t="s">
        <v>4193</v>
      </c>
      <c r="C150" s="27" t="s">
        <v>3996</v>
      </c>
      <c r="D150" s="27">
        <v>8203.0</v>
      </c>
      <c r="E150" s="27">
        <v>18104.0</v>
      </c>
      <c r="F150" s="27">
        <v>2.20699744</v>
      </c>
      <c r="G150" s="27">
        <v>439.0</v>
      </c>
      <c r="H150" s="27">
        <v>5619.0</v>
      </c>
      <c r="I150" s="27">
        <v>30.68</v>
      </c>
    </row>
    <row r="151">
      <c r="A151" s="31" t="s">
        <v>4194</v>
      </c>
      <c r="B151" s="32" t="s">
        <v>4195</v>
      </c>
      <c r="C151" s="27" t="s">
        <v>3996</v>
      </c>
      <c r="D151" s="27">
        <v>33330.0</v>
      </c>
      <c r="E151" s="27">
        <v>50071.0</v>
      </c>
      <c r="F151" s="27">
        <v>1.50228023</v>
      </c>
      <c r="G151" s="27">
        <v>163.0</v>
      </c>
      <c r="H151" s="33"/>
      <c r="I151" s="27">
        <v>37.316</v>
      </c>
    </row>
    <row r="152">
      <c r="A152" s="31" t="s">
        <v>4196</v>
      </c>
      <c r="B152" s="32" t="s">
        <v>4197</v>
      </c>
      <c r="C152" s="27" t="s">
        <v>3996</v>
      </c>
      <c r="D152" s="27">
        <v>19596.0</v>
      </c>
      <c r="E152" s="27">
        <v>28094.0</v>
      </c>
      <c r="F152" s="27">
        <v>1.43365993</v>
      </c>
      <c r="G152" s="27">
        <v>132.0</v>
      </c>
      <c r="H152" s="33"/>
      <c r="I152" s="27">
        <v>22.918</v>
      </c>
    </row>
    <row r="153">
      <c r="A153" s="31" t="s">
        <v>4039</v>
      </c>
      <c r="B153" s="32" t="s">
        <v>4040</v>
      </c>
      <c r="C153" s="27" t="s">
        <v>4002</v>
      </c>
      <c r="D153" s="27">
        <v>5288.0</v>
      </c>
      <c r="E153" s="27">
        <v>9643.0</v>
      </c>
      <c r="F153" s="27">
        <v>1.82356278</v>
      </c>
      <c r="G153" s="27">
        <v>114.0</v>
      </c>
      <c r="H153" s="27">
        <v>1552.0</v>
      </c>
      <c r="I153" s="27">
        <v>64.427</v>
      </c>
    </row>
    <row r="154">
      <c r="A154" s="31" t="s">
        <v>4180</v>
      </c>
      <c r="B154" s="32" t="s">
        <v>4181</v>
      </c>
      <c r="C154" s="27" t="s">
        <v>4002</v>
      </c>
      <c r="D154" s="27">
        <v>44128.0</v>
      </c>
      <c r="E154" s="27">
        <v>63164.0</v>
      </c>
      <c r="F154" s="27">
        <v>1.43138144</v>
      </c>
      <c r="G154" s="27">
        <v>69.0</v>
      </c>
      <c r="H154" s="33"/>
      <c r="I154" s="27">
        <v>92.029</v>
      </c>
    </row>
    <row r="155">
      <c r="A155" s="31" t="s">
        <v>4117</v>
      </c>
      <c r="B155" s="32" t="s">
        <v>4118</v>
      </c>
      <c r="C155" s="27" t="s">
        <v>4002</v>
      </c>
      <c r="D155" s="27">
        <v>28511.0</v>
      </c>
      <c r="E155" s="27">
        <v>35986.0</v>
      </c>
      <c r="F155" s="27">
        <v>1.26217951</v>
      </c>
      <c r="G155" s="27">
        <v>48.0</v>
      </c>
      <c r="H155" s="33"/>
      <c r="I155" s="27">
        <v>112.331</v>
      </c>
    </row>
    <row r="156">
      <c r="A156" s="31" t="s">
        <v>4033</v>
      </c>
      <c r="B156" s="32" t="s">
        <v>4034</v>
      </c>
      <c r="C156" s="27" t="s">
        <v>4002</v>
      </c>
      <c r="D156" s="27">
        <v>7616.0</v>
      </c>
      <c r="E156" s="27">
        <v>15973.0</v>
      </c>
      <c r="F156" s="27">
        <v>2.09729517</v>
      </c>
      <c r="G156" s="27">
        <v>112.0</v>
      </c>
      <c r="H156" s="27">
        <v>1717.0</v>
      </c>
      <c r="I156" s="27">
        <v>134.832</v>
      </c>
    </row>
    <row r="157">
      <c r="A157" s="31" t="s">
        <v>4000</v>
      </c>
      <c r="B157" s="32" t="s">
        <v>4198</v>
      </c>
      <c r="C157" s="27" t="s">
        <v>3996</v>
      </c>
      <c r="D157" s="27">
        <v>27096.0</v>
      </c>
      <c r="E157" s="27">
        <v>29153.0</v>
      </c>
      <c r="F157" s="27">
        <v>1.07591526</v>
      </c>
      <c r="G157" s="33"/>
      <c r="H157" s="27">
        <v>6681.0</v>
      </c>
      <c r="I157" s="27">
        <v>297.865</v>
      </c>
    </row>
    <row r="158">
      <c r="A158" s="31" t="s">
        <v>4199</v>
      </c>
      <c r="B158" s="32" t="s">
        <v>4200</v>
      </c>
      <c r="C158" s="27" t="s">
        <v>3996</v>
      </c>
      <c r="D158" s="27">
        <v>14300.0</v>
      </c>
      <c r="E158" s="27">
        <v>19537.0</v>
      </c>
      <c r="F158" s="27">
        <v>1.36622378</v>
      </c>
      <c r="G158" s="27">
        <v>113.0</v>
      </c>
      <c r="H158" s="33"/>
      <c r="I158" s="27">
        <v>16.237</v>
      </c>
    </row>
    <row r="159">
      <c r="A159" s="31" t="s">
        <v>4025</v>
      </c>
      <c r="B159" s="32" t="s">
        <v>4026</v>
      </c>
      <c r="C159" s="27" t="s">
        <v>4002</v>
      </c>
      <c r="D159" s="27">
        <v>5624.0</v>
      </c>
      <c r="E159" s="27">
        <v>10588.0</v>
      </c>
      <c r="F159" s="27">
        <v>1.8826458</v>
      </c>
      <c r="G159" s="27">
        <v>136.0</v>
      </c>
      <c r="H159" s="27">
        <v>1494.0</v>
      </c>
      <c r="I159" s="27"/>
    </row>
    <row r="160">
      <c r="A160" s="31" t="s">
        <v>4201</v>
      </c>
      <c r="B160" s="32" t="s">
        <v>4202</v>
      </c>
      <c r="C160" s="27" t="s">
        <v>3996</v>
      </c>
      <c r="D160" s="27">
        <v>15020.0</v>
      </c>
      <c r="E160" s="27">
        <v>21403.0</v>
      </c>
      <c r="F160" s="27">
        <v>1.42496671</v>
      </c>
      <c r="G160" s="27">
        <v>76.0</v>
      </c>
      <c r="H160" s="33"/>
      <c r="I160" s="27">
        <v>20.31</v>
      </c>
    </row>
    <row r="161">
      <c r="A161" s="31" t="s">
        <v>4127</v>
      </c>
      <c r="B161" s="32" t="s">
        <v>4203</v>
      </c>
      <c r="C161" s="27" t="s">
        <v>3996</v>
      </c>
      <c r="D161" s="27">
        <v>34464.0</v>
      </c>
      <c r="E161" s="27">
        <v>44501.0</v>
      </c>
      <c r="F161" s="27">
        <v>1.29123143</v>
      </c>
      <c r="G161" s="27">
        <v>5.0</v>
      </c>
      <c r="H161" s="27">
        <v>4716.0</v>
      </c>
      <c r="I161" s="27">
        <v>59.468</v>
      </c>
    </row>
    <row r="162">
      <c r="A162" s="31" t="s">
        <v>4204</v>
      </c>
      <c r="B162" s="32" t="s">
        <v>4205</v>
      </c>
      <c r="C162" s="27" t="s">
        <v>3996</v>
      </c>
      <c r="D162" s="27">
        <v>5788.0</v>
      </c>
      <c r="E162" s="27">
        <v>9486.0</v>
      </c>
      <c r="F162" s="27">
        <v>1.63890809</v>
      </c>
      <c r="G162" s="27">
        <v>81.0</v>
      </c>
      <c r="H162" s="33"/>
      <c r="I162" s="27">
        <v>5.604</v>
      </c>
    </row>
    <row r="163">
      <c r="A163" s="31" t="s">
        <v>4059</v>
      </c>
      <c r="B163" s="32" t="s">
        <v>4061</v>
      </c>
      <c r="C163" s="27" t="s">
        <v>4002</v>
      </c>
      <c r="D163" s="27">
        <v>8016.0</v>
      </c>
      <c r="E163" s="27">
        <v>9716.0</v>
      </c>
      <c r="F163" s="27">
        <v>1.21207585</v>
      </c>
      <c r="G163" s="27">
        <v>36.0</v>
      </c>
      <c r="H163" s="27">
        <v>1339.0</v>
      </c>
      <c r="I163" s="27">
        <v>54.071</v>
      </c>
    </row>
    <row r="164">
      <c r="A164" s="31" t="s">
        <v>4138</v>
      </c>
      <c r="B164" s="32" t="s">
        <v>4169</v>
      </c>
      <c r="C164" s="27" t="s">
        <v>4002</v>
      </c>
      <c r="D164" s="27">
        <v>26665.0</v>
      </c>
      <c r="E164" s="27">
        <v>35384.0</v>
      </c>
      <c r="F164" s="27">
        <v>1.32698294</v>
      </c>
      <c r="G164" s="27">
        <v>60.0</v>
      </c>
      <c r="H164" s="27">
        <v>2383.0</v>
      </c>
      <c r="I164" s="27"/>
    </row>
    <row r="165">
      <c r="A165" s="31" t="s">
        <v>4108</v>
      </c>
      <c r="B165" s="32" t="s">
        <v>4109</v>
      </c>
      <c r="C165" s="27" t="s">
        <v>4002</v>
      </c>
      <c r="D165" s="27">
        <v>17168.0</v>
      </c>
      <c r="E165" s="27">
        <v>22612.0</v>
      </c>
      <c r="F165" s="27">
        <v>1.31710158</v>
      </c>
      <c r="G165" s="27">
        <v>43.0</v>
      </c>
      <c r="H165" s="33"/>
      <c r="I165" s="27">
        <v>83.719</v>
      </c>
    </row>
    <row r="166">
      <c r="A166" s="31" t="s">
        <v>4206</v>
      </c>
      <c r="B166" s="32" t="s">
        <v>4207</v>
      </c>
      <c r="C166" s="27" t="s">
        <v>3996</v>
      </c>
      <c r="D166" s="27">
        <v>7854.0</v>
      </c>
      <c r="E166" s="27">
        <v>11049.0</v>
      </c>
      <c r="F166" s="27">
        <v>1.40679908</v>
      </c>
      <c r="G166" s="27">
        <v>373.0</v>
      </c>
      <c r="H166" s="27">
        <v>4450.0</v>
      </c>
      <c r="I166" s="33"/>
    </row>
    <row r="167">
      <c r="A167" s="31" t="s">
        <v>4208</v>
      </c>
      <c r="B167" s="32" t="s">
        <v>4209</v>
      </c>
      <c r="C167" s="27" t="s">
        <v>3996</v>
      </c>
      <c r="D167" s="27">
        <v>22136.0</v>
      </c>
      <c r="E167" s="27">
        <v>32191.0</v>
      </c>
      <c r="F167" s="27">
        <v>1.45423744</v>
      </c>
      <c r="G167" s="27">
        <v>105.0</v>
      </c>
      <c r="H167" s="33"/>
      <c r="I167" s="27">
        <v>25.703</v>
      </c>
    </row>
    <row r="168">
      <c r="A168" s="31" t="s">
        <v>4134</v>
      </c>
      <c r="B168" s="32" t="s">
        <v>4135</v>
      </c>
      <c r="C168" s="27" t="s">
        <v>4002</v>
      </c>
      <c r="D168" s="27">
        <v>16390.0</v>
      </c>
      <c r="E168" s="27">
        <v>20772.0</v>
      </c>
      <c r="F168" s="27">
        <v>1.26735815</v>
      </c>
      <c r="G168" s="27">
        <v>144.0</v>
      </c>
      <c r="H168" s="27">
        <v>2299.0</v>
      </c>
      <c r="I168" s="27">
        <v>57.492</v>
      </c>
    </row>
    <row r="169">
      <c r="A169" s="31" t="s">
        <v>4145</v>
      </c>
      <c r="B169" s="32" t="s">
        <v>4146</v>
      </c>
      <c r="C169" s="27" t="s">
        <v>4002</v>
      </c>
      <c r="D169" s="27">
        <v>12720.0</v>
      </c>
      <c r="E169" s="27">
        <v>17776.0</v>
      </c>
      <c r="F169" s="27">
        <v>1.39748428</v>
      </c>
      <c r="G169" s="27">
        <v>27.0</v>
      </c>
      <c r="H169" s="33"/>
      <c r="I169" s="27">
        <v>50.485</v>
      </c>
    </row>
    <row r="170">
      <c r="A170" s="31" t="s">
        <v>4104</v>
      </c>
      <c r="B170" s="32" t="s">
        <v>4105</v>
      </c>
      <c r="C170" s="27" t="s">
        <v>4002</v>
      </c>
      <c r="D170" s="27">
        <v>9424.0</v>
      </c>
      <c r="E170" s="27">
        <v>12519.0</v>
      </c>
      <c r="F170" s="27">
        <v>1.32841681</v>
      </c>
      <c r="G170" s="27">
        <v>25.0</v>
      </c>
      <c r="H170" s="33"/>
      <c r="I170" s="27"/>
    </row>
    <row r="171">
      <c r="A171" s="31" t="s">
        <v>4110</v>
      </c>
      <c r="B171" s="32" t="s">
        <v>4111</v>
      </c>
      <c r="C171" s="27" t="s">
        <v>4002</v>
      </c>
      <c r="D171" s="27">
        <v>7776.0</v>
      </c>
      <c r="E171" s="27">
        <v>9874.0</v>
      </c>
      <c r="F171" s="27">
        <v>1.26980453</v>
      </c>
      <c r="G171" s="27">
        <v>35.0</v>
      </c>
      <c r="H171" s="33"/>
      <c r="I171" s="27">
        <v>40.942</v>
      </c>
    </row>
    <row r="172">
      <c r="A172" s="31" t="s">
        <v>4102</v>
      </c>
      <c r="B172" s="32" t="s">
        <v>4103</v>
      </c>
      <c r="C172" s="27" t="s">
        <v>4002</v>
      </c>
      <c r="D172" s="27">
        <v>4592.0</v>
      </c>
      <c r="E172" s="27">
        <v>6106.0</v>
      </c>
      <c r="F172" s="27">
        <v>1.32970383</v>
      </c>
      <c r="G172" s="27">
        <v>16.0</v>
      </c>
      <c r="H172" s="27">
        <v>939.0</v>
      </c>
      <c r="I172" s="27">
        <v>24.562</v>
      </c>
    </row>
    <row r="173">
      <c r="A173" s="31" t="s">
        <v>4072</v>
      </c>
      <c r="B173" s="32" t="s">
        <v>4129</v>
      </c>
      <c r="C173" s="27" t="s">
        <v>4002</v>
      </c>
      <c r="D173" s="27">
        <v>12544.0</v>
      </c>
      <c r="E173" s="27">
        <v>16375.0</v>
      </c>
      <c r="F173" s="27">
        <v>1.30540497</v>
      </c>
      <c r="G173" s="27">
        <v>68.0</v>
      </c>
      <c r="H173" s="27">
        <v>1888.0</v>
      </c>
      <c r="I173" s="27"/>
    </row>
    <row r="174">
      <c r="A174" s="31" t="s">
        <v>4187</v>
      </c>
      <c r="B174" s="32" t="s">
        <v>4188</v>
      </c>
      <c r="C174" s="27" t="s">
        <v>3996</v>
      </c>
      <c r="D174" s="27">
        <v>69216.0</v>
      </c>
      <c r="E174" s="27">
        <v>69553.0</v>
      </c>
      <c r="F174" s="27">
        <v>1.00486882</v>
      </c>
      <c r="G174" s="27">
        <v>123.0</v>
      </c>
      <c r="H174" s="33"/>
      <c r="I174" s="27">
        <v>183.311</v>
      </c>
    </row>
    <row r="175">
      <c r="A175" s="31" t="s">
        <v>4106</v>
      </c>
      <c r="B175" s="32" t="s">
        <v>4107</v>
      </c>
      <c r="C175" s="27" t="s">
        <v>4002</v>
      </c>
      <c r="D175" s="27">
        <v>9216.0</v>
      </c>
      <c r="E175" s="27">
        <v>12124.0</v>
      </c>
      <c r="F175" s="27">
        <v>1.31553819</v>
      </c>
      <c r="G175" s="27">
        <v>35.0</v>
      </c>
      <c r="H175" s="33"/>
      <c r="I175" s="27">
        <v>55.786</v>
      </c>
    </row>
    <row r="176">
      <c r="A176" s="31" t="s">
        <v>4100</v>
      </c>
      <c r="B176" s="32" t="s">
        <v>4101</v>
      </c>
      <c r="C176" s="27" t="s">
        <v>4002</v>
      </c>
      <c r="D176" s="27">
        <v>8800.0</v>
      </c>
      <c r="E176" s="27">
        <v>10934.0</v>
      </c>
      <c r="F176" s="27">
        <v>1.2425</v>
      </c>
      <c r="G176" s="27">
        <v>23.0</v>
      </c>
      <c r="H176" s="33"/>
      <c r="I176" s="27">
        <v>46.758</v>
      </c>
    </row>
    <row r="177">
      <c r="A177" s="31" t="s">
        <v>4141</v>
      </c>
      <c r="B177" s="32" t="s">
        <v>4174</v>
      </c>
      <c r="C177" s="27" t="s">
        <v>4002</v>
      </c>
      <c r="D177" s="27">
        <v>17729.0</v>
      </c>
      <c r="E177" s="27">
        <v>22134.0</v>
      </c>
      <c r="F177" s="27">
        <v>1.24846297</v>
      </c>
      <c r="G177" s="27">
        <v>24.0</v>
      </c>
      <c r="H177" s="27">
        <v>1400.0</v>
      </c>
      <c r="I177" s="27">
        <v>54.484</v>
      </c>
    </row>
    <row r="178">
      <c r="A178" s="31" t="s">
        <v>4098</v>
      </c>
      <c r="B178" s="32" t="s">
        <v>4099</v>
      </c>
      <c r="C178" s="27" t="s">
        <v>4002</v>
      </c>
      <c r="D178" s="27">
        <v>13888.0</v>
      </c>
      <c r="E178" s="27">
        <v>18056.0</v>
      </c>
      <c r="F178" s="27">
        <v>1.30011521</v>
      </c>
      <c r="G178" s="27">
        <v>27.0</v>
      </c>
      <c r="H178" s="33"/>
      <c r="I178" s="27">
        <v>79.173</v>
      </c>
    </row>
    <row r="179">
      <c r="A179" s="31" t="s">
        <v>4065</v>
      </c>
      <c r="B179" s="32" t="s">
        <v>4066</v>
      </c>
      <c r="C179" s="27" t="s">
        <v>4002</v>
      </c>
      <c r="D179" s="27">
        <v>5864.0</v>
      </c>
      <c r="E179" s="27">
        <v>8534.0</v>
      </c>
      <c r="F179" s="27">
        <v>1.4553206</v>
      </c>
      <c r="G179" s="27">
        <v>224.0</v>
      </c>
      <c r="H179" s="27">
        <v>2809.0</v>
      </c>
      <c r="I179" s="27">
        <v>34.985</v>
      </c>
    </row>
    <row r="180">
      <c r="A180" s="31" t="s">
        <v>4210</v>
      </c>
      <c r="B180" s="32" t="s">
        <v>4211</v>
      </c>
      <c r="C180" s="27" t="s">
        <v>3996</v>
      </c>
      <c r="D180" s="27">
        <v>22096.0</v>
      </c>
      <c r="E180" s="27">
        <v>32150.0</v>
      </c>
      <c r="F180" s="27">
        <v>1.45501448</v>
      </c>
      <c r="G180" s="27">
        <v>79.0</v>
      </c>
      <c r="H180" s="33"/>
      <c r="I180" s="27">
        <v>23.939</v>
      </c>
    </row>
    <row r="181">
      <c r="A181" s="31" t="s">
        <v>4008</v>
      </c>
      <c r="B181" s="32" t="s">
        <v>4009</v>
      </c>
      <c r="C181" s="27" t="s">
        <v>3996</v>
      </c>
      <c r="D181" s="27">
        <v>25216.0</v>
      </c>
      <c r="E181" s="27">
        <v>44671.0</v>
      </c>
      <c r="F181" s="27">
        <v>1.77153395</v>
      </c>
      <c r="G181" s="27">
        <v>1.0</v>
      </c>
      <c r="H181" s="27">
        <v>11809.0</v>
      </c>
      <c r="I181" s="27">
        <v>677.584</v>
      </c>
    </row>
    <row r="182">
      <c r="A182" s="31" t="s">
        <v>4119</v>
      </c>
      <c r="B182" s="32" t="s">
        <v>4120</v>
      </c>
      <c r="C182" s="27" t="s">
        <v>3996</v>
      </c>
      <c r="D182" s="27">
        <v>53504.0</v>
      </c>
      <c r="E182" s="27">
        <v>61427.0</v>
      </c>
      <c r="F182" s="27">
        <v>1.14808239</v>
      </c>
      <c r="G182" s="27">
        <v>79.0</v>
      </c>
      <c r="H182" s="33"/>
      <c r="I182" s="27">
        <v>303.832</v>
      </c>
    </row>
    <row r="183">
      <c r="A183" s="31" t="s">
        <v>4095</v>
      </c>
      <c r="B183" s="32" t="s">
        <v>4096</v>
      </c>
      <c r="C183" s="27" t="s">
        <v>4002</v>
      </c>
      <c r="D183" s="27">
        <v>11616.0</v>
      </c>
      <c r="E183" s="27">
        <v>15884.0</v>
      </c>
      <c r="F183" s="27">
        <v>1.36742424</v>
      </c>
      <c r="G183" s="27">
        <v>24.0</v>
      </c>
      <c r="H183" s="33"/>
      <c r="I183" s="27">
        <v>73.982</v>
      </c>
    </row>
    <row r="184">
      <c r="A184" s="31" t="s">
        <v>4206</v>
      </c>
      <c r="B184" s="32" t="s">
        <v>4212</v>
      </c>
      <c r="C184" s="27" t="s">
        <v>3996</v>
      </c>
      <c r="D184" s="27">
        <v>19101.0</v>
      </c>
      <c r="E184" s="27">
        <v>20715.0</v>
      </c>
      <c r="F184" s="27">
        <v>1.08449819</v>
      </c>
      <c r="G184" s="27">
        <v>10.0</v>
      </c>
      <c r="H184" s="27">
        <v>3081.0</v>
      </c>
      <c r="I184" s="33"/>
    </row>
    <row r="185">
      <c r="A185" s="31" t="s">
        <v>4130</v>
      </c>
      <c r="B185" s="32" t="s">
        <v>4140</v>
      </c>
      <c r="C185" s="27" t="s">
        <v>4002</v>
      </c>
      <c r="D185" s="27">
        <v>16767.0</v>
      </c>
      <c r="E185" s="27">
        <v>19746.0</v>
      </c>
      <c r="F185" s="27">
        <v>1.17767042</v>
      </c>
      <c r="G185" s="27">
        <v>68.0</v>
      </c>
      <c r="H185" s="27">
        <v>11697.0</v>
      </c>
      <c r="I185" s="27"/>
    </row>
    <row r="186">
      <c r="A186" s="31" t="s">
        <v>4023</v>
      </c>
      <c r="B186" s="32" t="s">
        <v>4097</v>
      </c>
      <c r="C186" s="27" t="s">
        <v>4002</v>
      </c>
      <c r="D186" s="27">
        <v>11664.0</v>
      </c>
      <c r="E186" s="27">
        <v>14301.0</v>
      </c>
      <c r="F186" s="27">
        <v>1.22608025</v>
      </c>
      <c r="G186" s="27">
        <v>127.0</v>
      </c>
      <c r="H186" s="33"/>
      <c r="I186" s="27">
        <v>438.105</v>
      </c>
    </row>
    <row r="187">
      <c r="A187" s="31" t="s">
        <v>4149</v>
      </c>
      <c r="B187" s="32" t="s">
        <v>4150</v>
      </c>
      <c r="C187" s="27" t="s">
        <v>4002</v>
      </c>
      <c r="D187" s="27">
        <v>10509.0</v>
      </c>
      <c r="E187" s="27">
        <v>16558.0</v>
      </c>
      <c r="F187" s="27">
        <v>1.57560187</v>
      </c>
      <c r="G187" s="27">
        <v>38.0</v>
      </c>
      <c r="H187" s="27">
        <v>1723.0</v>
      </c>
      <c r="I187" s="27">
        <v>46.227</v>
      </c>
    </row>
    <row r="188">
      <c r="A188" s="31" t="s">
        <v>4147</v>
      </c>
      <c r="B188" s="32" t="s">
        <v>4168</v>
      </c>
      <c r="C188" s="27" t="s">
        <v>4002</v>
      </c>
      <c r="D188" s="27">
        <v>4856.0</v>
      </c>
      <c r="E188" s="27">
        <v>6830.0</v>
      </c>
      <c r="F188" s="27">
        <v>1.40650741</v>
      </c>
      <c r="G188" s="27">
        <v>18.0</v>
      </c>
      <c r="H188" s="27">
        <v>923.0</v>
      </c>
      <c r="I188" s="27">
        <v>25.54</v>
      </c>
    </row>
    <row r="189">
      <c r="A189" s="31" t="s">
        <v>4093</v>
      </c>
      <c r="B189" s="32" t="s">
        <v>4094</v>
      </c>
      <c r="C189" s="27" t="s">
        <v>4002</v>
      </c>
      <c r="D189" s="27">
        <v>10608.0</v>
      </c>
      <c r="E189" s="27">
        <v>12392.0</v>
      </c>
      <c r="F189" s="27">
        <v>1.16817496</v>
      </c>
      <c r="G189" s="27">
        <v>27.0</v>
      </c>
      <c r="H189" s="33"/>
      <c r="I189" s="27">
        <v>67.633</v>
      </c>
    </row>
    <row r="190">
      <c r="A190" s="31" t="s">
        <v>4138</v>
      </c>
      <c r="B190" s="32" t="s">
        <v>4139</v>
      </c>
      <c r="C190" s="27" t="s">
        <v>4002</v>
      </c>
      <c r="D190" s="27">
        <v>7560.0</v>
      </c>
      <c r="E190" s="27">
        <v>10815.0</v>
      </c>
      <c r="F190" s="27">
        <v>1.43055556</v>
      </c>
      <c r="G190" s="27">
        <v>43.0</v>
      </c>
      <c r="H190" s="27">
        <v>4651.0</v>
      </c>
      <c r="I190" s="27"/>
    </row>
    <row r="191">
      <c r="A191" s="31" t="s">
        <v>4056</v>
      </c>
      <c r="B191" s="32" t="s">
        <v>4092</v>
      </c>
      <c r="C191" s="27" t="s">
        <v>4002</v>
      </c>
      <c r="D191" s="27">
        <v>5552.0</v>
      </c>
      <c r="E191" s="27">
        <v>6993.0</v>
      </c>
      <c r="F191" s="27">
        <v>1.25954611</v>
      </c>
      <c r="G191" s="27">
        <v>37.0</v>
      </c>
      <c r="H191" s="33"/>
      <c r="I191" s="27">
        <v>49.61</v>
      </c>
    </row>
    <row r="192">
      <c r="A192" s="31" t="s">
        <v>4003</v>
      </c>
      <c r="B192" s="32" t="s">
        <v>4007</v>
      </c>
      <c r="C192" s="27" t="s">
        <v>4002</v>
      </c>
      <c r="D192" s="27">
        <v>9216.0</v>
      </c>
      <c r="E192" s="27">
        <v>15992.0</v>
      </c>
      <c r="F192" s="27">
        <v>1.73524306</v>
      </c>
      <c r="G192" s="27">
        <v>218.0</v>
      </c>
      <c r="H192" s="33"/>
      <c r="I192" s="27"/>
    </row>
    <row r="193">
      <c r="A193" s="31" t="s">
        <v>4090</v>
      </c>
      <c r="B193" s="32" t="s">
        <v>4091</v>
      </c>
      <c r="C193" s="27" t="s">
        <v>4002</v>
      </c>
      <c r="D193" s="27">
        <v>6392.0</v>
      </c>
      <c r="E193" s="27">
        <v>8360.0</v>
      </c>
      <c r="F193" s="27">
        <v>1.30788486</v>
      </c>
      <c r="G193" s="27">
        <v>16.0</v>
      </c>
      <c r="H193" s="33"/>
      <c r="I193" s="27">
        <v>47.397</v>
      </c>
    </row>
    <row r="194">
      <c r="A194" s="31" t="s">
        <v>4213</v>
      </c>
      <c r="B194" s="32" t="s">
        <v>4214</v>
      </c>
      <c r="C194" s="27" t="s">
        <v>3996</v>
      </c>
      <c r="D194" s="27">
        <v>23240.0</v>
      </c>
      <c r="E194" s="27">
        <v>24804.0</v>
      </c>
      <c r="F194" s="27">
        <v>1.06729776</v>
      </c>
      <c r="G194" s="27">
        <v>76.0</v>
      </c>
      <c r="H194" s="33"/>
      <c r="I194" s="27">
        <v>26.086</v>
      </c>
    </row>
    <row r="195">
      <c r="A195" s="31" t="s">
        <v>4166</v>
      </c>
      <c r="B195" s="32" t="s">
        <v>4167</v>
      </c>
      <c r="C195" s="27" t="s">
        <v>4002</v>
      </c>
      <c r="D195" s="27">
        <v>14640.0</v>
      </c>
      <c r="E195" s="27">
        <v>17510.0</v>
      </c>
      <c r="F195" s="27">
        <v>1.19603825</v>
      </c>
      <c r="G195" s="27">
        <v>23.0</v>
      </c>
      <c r="H195" s="33"/>
      <c r="I195" s="27"/>
    </row>
    <row r="196">
      <c r="A196" s="31" t="s">
        <v>4215</v>
      </c>
      <c r="B196" s="32" t="s">
        <v>4216</v>
      </c>
      <c r="C196" s="27" t="s">
        <v>4002</v>
      </c>
      <c r="D196" s="27">
        <v>56401.0</v>
      </c>
      <c r="E196" s="27">
        <v>56949.0</v>
      </c>
      <c r="F196" s="27">
        <v>1.00971614</v>
      </c>
      <c r="G196" s="27">
        <v>45.0</v>
      </c>
      <c r="H196" s="33"/>
      <c r="I196" s="27">
        <v>87.905</v>
      </c>
    </row>
    <row r="197">
      <c r="A197" s="31" t="s">
        <v>4005</v>
      </c>
      <c r="B197" s="32" t="s">
        <v>4006</v>
      </c>
      <c r="C197" s="27" t="s">
        <v>3996</v>
      </c>
      <c r="D197" s="27">
        <v>22144.0</v>
      </c>
      <c r="E197" s="27">
        <v>42492.0</v>
      </c>
      <c r="F197" s="27">
        <v>1.91889451</v>
      </c>
      <c r="G197" s="27">
        <v>157.0</v>
      </c>
      <c r="H197" s="33"/>
      <c r="I197" s="27"/>
    </row>
    <row r="198">
      <c r="A198" s="31" t="s">
        <v>4175</v>
      </c>
      <c r="B198" s="32" t="s">
        <v>4176</v>
      </c>
      <c r="C198" s="27" t="s">
        <v>4002</v>
      </c>
      <c r="D198" s="27">
        <v>16688.0</v>
      </c>
      <c r="E198" s="27">
        <v>21416.0</v>
      </c>
      <c r="F198" s="27">
        <v>1.28331735</v>
      </c>
      <c r="G198" s="27">
        <v>32.0</v>
      </c>
      <c r="H198" s="33"/>
      <c r="I198" s="27">
        <v>52.768</v>
      </c>
    </row>
    <row r="199">
      <c r="A199" s="31" t="s">
        <v>4192</v>
      </c>
      <c r="B199" s="32" t="s">
        <v>4217</v>
      </c>
      <c r="C199" s="27" t="s">
        <v>3996</v>
      </c>
      <c r="D199" s="27">
        <v>14032.0</v>
      </c>
      <c r="E199" s="27">
        <v>19866.0</v>
      </c>
      <c r="F199" s="27">
        <v>1.41576397</v>
      </c>
      <c r="G199" s="27">
        <v>11.0</v>
      </c>
      <c r="H199" s="27">
        <v>2545.0</v>
      </c>
      <c r="I199" s="27">
        <v>30.68</v>
      </c>
    </row>
    <row r="200">
      <c r="A200" s="31" t="s">
        <v>4155</v>
      </c>
      <c r="B200" s="32" t="s">
        <v>4191</v>
      </c>
      <c r="C200" s="27" t="s">
        <v>4002</v>
      </c>
      <c r="D200" s="27">
        <v>12515.0</v>
      </c>
      <c r="E200" s="27">
        <v>15047.0</v>
      </c>
      <c r="F200" s="27">
        <v>1.20231722</v>
      </c>
      <c r="G200" s="27">
        <v>21.0</v>
      </c>
      <c r="H200" s="27">
        <v>947.0</v>
      </c>
      <c r="I200" s="27">
        <v>41.688</v>
      </c>
    </row>
    <row r="201">
      <c r="A201" s="31" t="s">
        <v>4084</v>
      </c>
      <c r="B201" s="32" t="s">
        <v>4085</v>
      </c>
      <c r="C201" s="27" t="s">
        <v>4002</v>
      </c>
      <c r="D201" s="27">
        <v>5680.0</v>
      </c>
      <c r="E201" s="27">
        <v>7335.0</v>
      </c>
      <c r="F201" s="27">
        <v>1.29137324</v>
      </c>
      <c r="G201" s="27">
        <v>16.0</v>
      </c>
      <c r="H201" s="33"/>
      <c r="I201" s="27">
        <v>49.703</v>
      </c>
    </row>
    <row r="202">
      <c r="A202" s="31" t="s">
        <v>4072</v>
      </c>
      <c r="B202" s="32" t="s">
        <v>4073</v>
      </c>
      <c r="C202" s="27" t="s">
        <v>4002</v>
      </c>
      <c r="D202" s="27">
        <v>3348.0</v>
      </c>
      <c r="E202" s="27">
        <v>5018.0</v>
      </c>
      <c r="F202" s="27">
        <v>1.49880526</v>
      </c>
      <c r="G202" s="27">
        <v>49.0</v>
      </c>
      <c r="H202" s="27">
        <v>1970.0</v>
      </c>
      <c r="I202" s="27"/>
    </row>
    <row r="203">
      <c r="A203" s="31" t="s">
        <v>4201</v>
      </c>
      <c r="B203" s="32" t="s">
        <v>4202</v>
      </c>
      <c r="C203" s="27" t="s">
        <v>4002</v>
      </c>
      <c r="D203" s="27">
        <v>6708.0</v>
      </c>
      <c r="E203" s="27">
        <v>8977.0</v>
      </c>
      <c r="F203" s="27">
        <v>1.33825283</v>
      </c>
      <c r="G203" s="27">
        <v>17.0</v>
      </c>
      <c r="H203" s="33"/>
      <c r="I203" s="27">
        <v>20.31</v>
      </c>
    </row>
    <row r="204">
      <c r="A204" s="31" t="s">
        <v>4127</v>
      </c>
      <c r="B204" s="32" t="s">
        <v>4203</v>
      </c>
      <c r="C204" s="27" t="s">
        <v>4002</v>
      </c>
      <c r="D204" s="27">
        <v>16528.0</v>
      </c>
      <c r="E204" s="27">
        <v>19646.0</v>
      </c>
      <c r="F204" s="27">
        <v>1.18864956</v>
      </c>
      <c r="G204" s="27">
        <v>23.0</v>
      </c>
      <c r="H204" s="27">
        <v>1058.0</v>
      </c>
      <c r="I204" s="27">
        <v>59.468</v>
      </c>
    </row>
    <row r="205">
      <c r="A205" s="31" t="s">
        <v>4082</v>
      </c>
      <c r="B205" s="32" t="s">
        <v>4083</v>
      </c>
      <c r="C205" s="27" t="s">
        <v>4002</v>
      </c>
      <c r="D205" s="27">
        <v>8256.0</v>
      </c>
      <c r="E205" s="27">
        <v>10817.0</v>
      </c>
      <c r="F205" s="27">
        <v>1.31019864</v>
      </c>
      <c r="G205" s="27">
        <v>18.0</v>
      </c>
      <c r="H205" s="27">
        <v>1.0</v>
      </c>
      <c r="I205" s="27">
        <v>77.776</v>
      </c>
    </row>
    <row r="206">
      <c r="A206" s="31" t="s">
        <v>4088</v>
      </c>
      <c r="B206" s="32" t="s">
        <v>4089</v>
      </c>
      <c r="C206" s="27" t="s">
        <v>4002</v>
      </c>
      <c r="D206" s="27">
        <v>5584.0</v>
      </c>
      <c r="E206" s="27">
        <v>7262.0</v>
      </c>
      <c r="F206" s="27">
        <v>1.30050143</v>
      </c>
      <c r="G206" s="27">
        <v>20.0</v>
      </c>
      <c r="H206" s="33"/>
      <c r="I206" s="27">
        <v>50.724</v>
      </c>
    </row>
    <row r="207">
      <c r="A207" s="31" t="s">
        <v>4080</v>
      </c>
      <c r="B207" s="32" t="s">
        <v>4081</v>
      </c>
      <c r="C207" s="27" t="s">
        <v>4002</v>
      </c>
      <c r="D207" s="27">
        <v>4784.0</v>
      </c>
      <c r="E207" s="27">
        <v>5071.0</v>
      </c>
      <c r="F207" s="27">
        <v>1.05999164</v>
      </c>
      <c r="G207" s="27">
        <v>14.0</v>
      </c>
      <c r="H207" s="33"/>
      <c r="I207" s="27">
        <v>50.218</v>
      </c>
    </row>
    <row r="208">
      <c r="A208" s="31" t="s">
        <v>4078</v>
      </c>
      <c r="B208" s="32" t="s">
        <v>4079</v>
      </c>
      <c r="C208" s="27" t="s">
        <v>4002</v>
      </c>
      <c r="D208" s="27">
        <v>3176.0</v>
      </c>
      <c r="E208" s="27">
        <v>4847.0</v>
      </c>
      <c r="F208" s="27">
        <v>1.5261335</v>
      </c>
      <c r="G208" s="27">
        <v>87.0</v>
      </c>
      <c r="H208" s="27">
        <v>1148.0</v>
      </c>
      <c r="I208" s="27">
        <v>64.213</v>
      </c>
    </row>
    <row r="209">
      <c r="A209" s="31" t="s">
        <v>4086</v>
      </c>
      <c r="B209" s="32" t="s">
        <v>4087</v>
      </c>
      <c r="C209" s="27" t="s">
        <v>4002</v>
      </c>
      <c r="D209" s="27">
        <v>5680.0</v>
      </c>
      <c r="E209" s="27">
        <v>7666.0</v>
      </c>
      <c r="F209" s="27">
        <v>1.34964789</v>
      </c>
      <c r="G209" s="27">
        <v>9.0</v>
      </c>
      <c r="H209" s="33"/>
      <c r="I209" s="27">
        <v>57.444</v>
      </c>
    </row>
    <row r="210">
      <c r="A210" s="31" t="s">
        <v>4164</v>
      </c>
      <c r="B210" s="32" t="s">
        <v>4165</v>
      </c>
      <c r="C210" s="27" t="s">
        <v>4002</v>
      </c>
      <c r="D210" s="27">
        <v>9776.0</v>
      </c>
      <c r="E210" s="27">
        <v>12241.0</v>
      </c>
      <c r="F210" s="27">
        <v>1.25214812</v>
      </c>
      <c r="G210" s="27">
        <v>23.0</v>
      </c>
      <c r="H210" s="33"/>
      <c r="I210" s="27">
        <v>48.528</v>
      </c>
    </row>
    <row r="211">
      <c r="A211" s="31" t="s">
        <v>4074</v>
      </c>
      <c r="B211" s="32" t="s">
        <v>4075</v>
      </c>
      <c r="C211" s="27" t="s">
        <v>4002</v>
      </c>
      <c r="D211" s="27">
        <v>8432.0</v>
      </c>
      <c r="E211" s="27">
        <v>11860.0</v>
      </c>
      <c r="F211" s="27">
        <v>1.40654649</v>
      </c>
      <c r="G211" s="27">
        <v>72.0</v>
      </c>
      <c r="H211" s="33"/>
      <c r="I211" s="27">
        <v>74.013</v>
      </c>
    </row>
    <row r="212">
      <c r="A212" s="31" t="s">
        <v>4076</v>
      </c>
      <c r="B212" s="32" t="s">
        <v>4077</v>
      </c>
      <c r="C212" s="27" t="s">
        <v>4002</v>
      </c>
      <c r="D212" s="27">
        <v>4608.0</v>
      </c>
      <c r="E212" s="27">
        <v>6045.0</v>
      </c>
      <c r="F212" s="27">
        <v>1.31184896</v>
      </c>
      <c r="G212" s="27">
        <v>18.0</v>
      </c>
      <c r="H212" s="33"/>
      <c r="I212" s="27">
        <v>48.212</v>
      </c>
    </row>
    <row r="213">
      <c r="A213" s="31" t="s">
        <v>4056</v>
      </c>
      <c r="B213" s="32" t="s">
        <v>4057</v>
      </c>
      <c r="C213" s="27" t="s">
        <v>4002</v>
      </c>
      <c r="D213" s="27">
        <v>2408.0</v>
      </c>
      <c r="E213" s="27">
        <v>3907.0</v>
      </c>
      <c r="F213" s="27">
        <v>1.62250831</v>
      </c>
      <c r="G213" s="27">
        <v>81.0</v>
      </c>
      <c r="H213" s="33"/>
      <c r="I213" s="27">
        <v>49.61</v>
      </c>
    </row>
    <row r="214">
      <c r="A214" s="31" t="s">
        <v>4059</v>
      </c>
      <c r="B214" s="32" t="s">
        <v>4060</v>
      </c>
      <c r="C214" s="27" t="s">
        <v>4002</v>
      </c>
      <c r="D214" s="27">
        <v>2488.0</v>
      </c>
      <c r="E214" s="27">
        <v>4016.0</v>
      </c>
      <c r="F214" s="27">
        <v>1.61414791</v>
      </c>
      <c r="G214" s="27">
        <v>71.0</v>
      </c>
      <c r="H214" s="27">
        <v>764.0</v>
      </c>
      <c r="I214" s="27">
        <v>54.071</v>
      </c>
    </row>
    <row r="215">
      <c r="A215" s="31" t="s">
        <v>4218</v>
      </c>
      <c r="B215" s="32" t="s">
        <v>4219</v>
      </c>
      <c r="C215" s="27" t="s">
        <v>3996</v>
      </c>
      <c r="D215" s="27">
        <v>7274.0</v>
      </c>
      <c r="E215" s="27">
        <v>10677.0</v>
      </c>
      <c r="F215" s="27">
        <v>1.46783063</v>
      </c>
      <c r="G215" s="27">
        <v>114.0</v>
      </c>
      <c r="H215" s="27">
        <v>4307.0</v>
      </c>
      <c r="I215" s="27">
        <v>20.822</v>
      </c>
    </row>
    <row r="216">
      <c r="A216" s="31" t="s">
        <v>4192</v>
      </c>
      <c r="B216" s="32" t="s">
        <v>4217</v>
      </c>
      <c r="C216" s="27" t="s">
        <v>4002</v>
      </c>
      <c r="D216" s="27">
        <v>10944.0</v>
      </c>
      <c r="E216" s="27">
        <v>14215.0</v>
      </c>
      <c r="F216" s="27">
        <v>1.29888523</v>
      </c>
      <c r="G216" s="27">
        <v>16.0</v>
      </c>
      <c r="H216" s="27">
        <v>762.0</v>
      </c>
      <c r="I216" s="27">
        <v>30.68</v>
      </c>
    </row>
    <row r="217">
      <c r="A217" s="31" t="s">
        <v>4220</v>
      </c>
      <c r="B217" s="32" t="s">
        <v>4221</v>
      </c>
      <c r="C217" s="27" t="s">
        <v>3996</v>
      </c>
      <c r="D217" s="27">
        <v>12151.0</v>
      </c>
      <c r="E217" s="27">
        <v>12863.0</v>
      </c>
      <c r="F217" s="27">
        <v>1.058596</v>
      </c>
      <c r="G217" s="27">
        <v>43.0</v>
      </c>
      <c r="H217" s="33"/>
      <c r="I217" s="33"/>
    </row>
    <row r="218">
      <c r="A218" s="31" t="s">
        <v>4121</v>
      </c>
      <c r="B218" s="32" t="s">
        <v>4122</v>
      </c>
      <c r="C218" s="27" t="s">
        <v>4002</v>
      </c>
      <c r="D218" s="27">
        <v>6592.0</v>
      </c>
      <c r="E218" s="27">
        <v>7725.0</v>
      </c>
      <c r="F218" s="27">
        <v>1.171875</v>
      </c>
      <c r="G218" s="27">
        <v>15.0</v>
      </c>
      <c r="H218" s="33"/>
      <c r="I218" s="27">
        <v>61.032</v>
      </c>
    </row>
    <row r="219">
      <c r="A219" s="31" t="s">
        <v>4141</v>
      </c>
      <c r="B219" s="32" t="s">
        <v>4142</v>
      </c>
      <c r="C219" s="27" t="s">
        <v>4002</v>
      </c>
      <c r="D219" s="27">
        <v>2548.0</v>
      </c>
      <c r="E219" s="27">
        <v>4216.0</v>
      </c>
      <c r="F219" s="27">
        <v>1.65463108</v>
      </c>
      <c r="G219" s="27">
        <v>59.0</v>
      </c>
      <c r="H219" s="27">
        <v>413.0</v>
      </c>
      <c r="I219" s="27">
        <v>54.484</v>
      </c>
    </row>
    <row r="220">
      <c r="A220" s="31" t="s">
        <v>4222</v>
      </c>
      <c r="B220" s="32" t="s">
        <v>4223</v>
      </c>
      <c r="C220" s="27" t="s">
        <v>3996</v>
      </c>
      <c r="D220" s="27">
        <v>12360.0</v>
      </c>
      <c r="E220" s="27">
        <v>16856.0</v>
      </c>
      <c r="F220" s="27">
        <v>1.36375405</v>
      </c>
      <c r="G220" s="27">
        <v>27.0</v>
      </c>
      <c r="H220" s="33"/>
      <c r="I220" s="27">
        <v>14.756</v>
      </c>
    </row>
    <row r="221">
      <c r="A221" s="31" t="s">
        <v>4177</v>
      </c>
      <c r="B221" s="32" t="s">
        <v>4178</v>
      </c>
      <c r="C221" s="27" t="s">
        <v>4002</v>
      </c>
      <c r="D221" s="27">
        <v>8080.0</v>
      </c>
      <c r="E221" s="27">
        <v>10583.0</v>
      </c>
      <c r="F221" s="27">
        <v>1.30977723</v>
      </c>
      <c r="G221" s="27">
        <v>14.0</v>
      </c>
      <c r="H221" s="33"/>
      <c r="I221" s="27">
        <v>39.748</v>
      </c>
    </row>
    <row r="222">
      <c r="A222" s="31" t="s">
        <v>4159</v>
      </c>
      <c r="B222" s="32" t="s">
        <v>4160</v>
      </c>
      <c r="C222" s="27" t="s">
        <v>4002</v>
      </c>
      <c r="D222" s="27">
        <v>6800.0</v>
      </c>
      <c r="E222" s="27">
        <v>9102.0</v>
      </c>
      <c r="F222" s="27">
        <v>1.33852941</v>
      </c>
      <c r="G222" s="27">
        <v>9.0</v>
      </c>
      <c r="H222" s="33"/>
      <c r="I222" s="27">
        <v>34.365</v>
      </c>
    </row>
    <row r="223">
      <c r="A223" s="31" t="s">
        <v>4215</v>
      </c>
      <c r="B223" s="32" t="s">
        <v>4216</v>
      </c>
      <c r="C223" s="27" t="s">
        <v>3996</v>
      </c>
      <c r="D223" s="27">
        <v>30256.0</v>
      </c>
      <c r="E223" s="27">
        <v>30956.0</v>
      </c>
      <c r="F223" s="27">
        <v>1.02313591</v>
      </c>
      <c r="G223" s="27">
        <v>59.0</v>
      </c>
      <c r="H223" s="33"/>
      <c r="I223" s="27">
        <v>87.905</v>
      </c>
    </row>
    <row r="224">
      <c r="A224" s="31" t="s">
        <v>4152</v>
      </c>
      <c r="B224" s="32" t="s">
        <v>4153</v>
      </c>
      <c r="C224" s="27" t="s">
        <v>4002</v>
      </c>
      <c r="D224" s="27">
        <v>8240.0</v>
      </c>
      <c r="E224" s="27">
        <v>10379.0</v>
      </c>
      <c r="F224" s="27">
        <v>1.25958738</v>
      </c>
      <c r="G224" s="27">
        <v>18.0</v>
      </c>
      <c r="H224" s="33"/>
      <c r="I224" s="27">
        <v>60.615</v>
      </c>
    </row>
    <row r="225">
      <c r="A225" s="31" t="s">
        <v>4218</v>
      </c>
      <c r="B225" s="32" t="s">
        <v>4224</v>
      </c>
      <c r="C225" s="27" t="s">
        <v>3996</v>
      </c>
      <c r="D225" s="27">
        <v>12280.0</v>
      </c>
      <c r="E225" s="27">
        <v>15560.0</v>
      </c>
      <c r="F225" s="27">
        <v>1.26710098</v>
      </c>
      <c r="G225" s="27">
        <v>24.0</v>
      </c>
      <c r="H225" s="27">
        <v>2364.0</v>
      </c>
      <c r="I225" s="27">
        <v>20.822</v>
      </c>
    </row>
    <row r="226">
      <c r="A226" s="31" t="s">
        <v>4157</v>
      </c>
      <c r="B226" s="32" t="s">
        <v>4158</v>
      </c>
      <c r="C226" s="27" t="s">
        <v>4002</v>
      </c>
      <c r="D226" s="27">
        <v>5632.0</v>
      </c>
      <c r="E226" s="27">
        <v>6607.0</v>
      </c>
      <c r="F226" s="27">
        <v>1.1731179</v>
      </c>
      <c r="G226" s="27">
        <v>22.0</v>
      </c>
      <c r="H226" s="33"/>
      <c r="I226" s="27"/>
    </row>
    <row r="227">
      <c r="A227" s="31" t="s">
        <v>4194</v>
      </c>
      <c r="B227" s="32" t="s">
        <v>4195</v>
      </c>
      <c r="C227" s="27" t="s">
        <v>4002</v>
      </c>
      <c r="D227" s="27">
        <v>9105.0</v>
      </c>
      <c r="E227" s="27">
        <v>10828.0</v>
      </c>
      <c r="F227" s="27">
        <v>1.18923668</v>
      </c>
      <c r="G227" s="27">
        <v>12.0</v>
      </c>
      <c r="H227" s="33"/>
      <c r="I227" s="27">
        <v>37.316</v>
      </c>
    </row>
    <row r="228">
      <c r="A228" s="31" t="s">
        <v>4127</v>
      </c>
      <c r="B228" s="32" t="s">
        <v>4128</v>
      </c>
      <c r="C228" s="27" t="s">
        <v>4002</v>
      </c>
      <c r="D228" s="27">
        <v>2136.0</v>
      </c>
      <c r="E228" s="27">
        <v>3567.0</v>
      </c>
      <c r="F228" s="27">
        <v>1.66994382</v>
      </c>
      <c r="G228" s="27">
        <v>51.0</v>
      </c>
      <c r="H228" s="27">
        <v>507.0</v>
      </c>
      <c r="I228" s="27">
        <v>59.468</v>
      </c>
    </row>
    <row r="229">
      <c r="A229" s="31" t="s">
        <v>4000</v>
      </c>
      <c r="B229" s="32" t="s">
        <v>4198</v>
      </c>
      <c r="C229" s="27" t="s">
        <v>4002</v>
      </c>
      <c r="D229" s="27">
        <v>5976.0</v>
      </c>
      <c r="E229" s="27">
        <v>6570.0</v>
      </c>
      <c r="F229" s="27">
        <v>1.09939759</v>
      </c>
      <c r="G229" s="33"/>
      <c r="H229" s="27">
        <v>857.0</v>
      </c>
      <c r="I229" s="27">
        <v>297.865</v>
      </c>
    </row>
    <row r="230">
      <c r="A230" s="31" t="s">
        <v>4149</v>
      </c>
      <c r="B230" s="32" t="s">
        <v>4179</v>
      </c>
      <c r="C230" s="27" t="s">
        <v>4002</v>
      </c>
      <c r="D230" s="27">
        <v>1454.0</v>
      </c>
      <c r="E230" s="27">
        <v>1978.0</v>
      </c>
      <c r="F230" s="27">
        <v>1.36038514</v>
      </c>
      <c r="G230" s="27">
        <v>52.0</v>
      </c>
      <c r="H230" s="27">
        <v>363.0</v>
      </c>
      <c r="I230" s="27">
        <v>46.227</v>
      </c>
    </row>
    <row r="231">
      <c r="A231" s="31" t="s">
        <v>4155</v>
      </c>
      <c r="B231" s="32" t="s">
        <v>4156</v>
      </c>
      <c r="C231" s="27" t="s">
        <v>4002</v>
      </c>
      <c r="D231" s="27">
        <v>1356.0</v>
      </c>
      <c r="E231" s="27">
        <v>2470.0</v>
      </c>
      <c r="F231" s="27">
        <v>1.82153392</v>
      </c>
      <c r="G231" s="27">
        <v>4.0</v>
      </c>
      <c r="H231" s="27">
        <v>855.0</v>
      </c>
      <c r="I231" s="27">
        <v>41.688</v>
      </c>
    </row>
    <row r="232">
      <c r="A232" s="31" t="s">
        <v>4196</v>
      </c>
      <c r="B232" s="32" t="s">
        <v>4197</v>
      </c>
      <c r="C232" s="27" t="s">
        <v>4002</v>
      </c>
      <c r="D232" s="27">
        <v>3964.0</v>
      </c>
      <c r="E232" s="27">
        <v>5050.0</v>
      </c>
      <c r="F232" s="27">
        <v>1.27396569</v>
      </c>
      <c r="G232" s="27">
        <v>12.0</v>
      </c>
      <c r="H232" s="33"/>
      <c r="I232" s="27">
        <v>22.918</v>
      </c>
    </row>
    <row r="233">
      <c r="A233" s="31" t="s">
        <v>4050</v>
      </c>
      <c r="B233" s="32" t="s">
        <v>4051</v>
      </c>
      <c r="C233" s="27" t="s">
        <v>4002</v>
      </c>
      <c r="D233" s="27">
        <v>820.0</v>
      </c>
      <c r="E233" s="27">
        <v>921.0</v>
      </c>
      <c r="F233" s="27">
        <v>1.12317073</v>
      </c>
      <c r="G233" s="27">
        <v>3.0</v>
      </c>
      <c r="H233" s="33"/>
      <c r="I233" s="27">
        <v>19.385</v>
      </c>
    </row>
    <row r="234">
      <c r="A234" s="31" t="s">
        <v>4189</v>
      </c>
      <c r="B234" s="32" t="s">
        <v>4190</v>
      </c>
      <c r="C234" s="27" t="s">
        <v>4002</v>
      </c>
      <c r="D234" s="27">
        <v>3344.0</v>
      </c>
      <c r="E234" s="27">
        <v>4390.0</v>
      </c>
      <c r="F234" s="27">
        <v>1.31279904</v>
      </c>
      <c r="G234" s="27">
        <v>17.0</v>
      </c>
      <c r="H234" s="33"/>
      <c r="I234" s="27">
        <v>19.237</v>
      </c>
    </row>
    <row r="235">
      <c r="A235" s="31" t="s">
        <v>4185</v>
      </c>
      <c r="B235" s="32" t="s">
        <v>4186</v>
      </c>
      <c r="C235" s="27" t="s">
        <v>4002</v>
      </c>
      <c r="D235" s="27">
        <v>6528.0</v>
      </c>
      <c r="E235" s="27">
        <v>8440.0</v>
      </c>
      <c r="F235" s="27">
        <v>1.29289216</v>
      </c>
      <c r="G235" s="27">
        <v>16.0</v>
      </c>
      <c r="H235" s="33"/>
      <c r="I235" s="27">
        <v>48.751</v>
      </c>
    </row>
    <row r="236">
      <c r="A236" s="31" t="s">
        <v>4225</v>
      </c>
      <c r="B236" s="32" t="s">
        <v>4226</v>
      </c>
      <c r="C236" s="27" t="s">
        <v>3996</v>
      </c>
      <c r="D236" s="27">
        <v>2612.0</v>
      </c>
      <c r="E236" s="27">
        <v>2745.0</v>
      </c>
      <c r="F236" s="27">
        <v>1.05091884</v>
      </c>
      <c r="G236" s="27">
        <v>14.0</v>
      </c>
      <c r="H236" s="33"/>
      <c r="I236" s="33"/>
    </row>
    <row r="237">
      <c r="A237" s="31" t="s">
        <v>4162</v>
      </c>
      <c r="B237" s="32" t="s">
        <v>4182</v>
      </c>
      <c r="C237" s="27" t="s">
        <v>4002</v>
      </c>
      <c r="D237" s="27">
        <v>4976.0</v>
      </c>
      <c r="E237" s="27">
        <v>5961.0</v>
      </c>
      <c r="F237" s="27">
        <v>1.19795016</v>
      </c>
      <c r="G237" s="27">
        <v>9.0</v>
      </c>
      <c r="H237" s="27">
        <v>358.0</v>
      </c>
      <c r="I237" s="27">
        <v>48.704</v>
      </c>
    </row>
    <row r="238">
      <c r="A238" s="31" t="s">
        <v>4031</v>
      </c>
      <c r="B238" s="32" t="s">
        <v>4069</v>
      </c>
      <c r="C238" s="27" t="s">
        <v>4002</v>
      </c>
      <c r="D238" s="27">
        <v>2256.0</v>
      </c>
      <c r="E238" s="27">
        <v>2548.0</v>
      </c>
      <c r="F238" s="27">
        <v>1.12943262</v>
      </c>
      <c r="G238" s="27">
        <v>54.0</v>
      </c>
      <c r="H238" s="27">
        <v>551.0</v>
      </c>
      <c r="I238" s="27">
        <v>700.445</v>
      </c>
    </row>
    <row r="239">
      <c r="A239" s="31" t="s">
        <v>4145</v>
      </c>
      <c r="B239" s="32" t="s">
        <v>4154</v>
      </c>
      <c r="C239" s="27" t="s">
        <v>4002</v>
      </c>
      <c r="D239" s="27">
        <v>972.0</v>
      </c>
      <c r="E239" s="27">
        <v>1406.0</v>
      </c>
      <c r="F239" s="27">
        <v>1.44650206</v>
      </c>
      <c r="G239" s="27">
        <v>33.0</v>
      </c>
      <c r="H239" s="27">
        <v>336.0</v>
      </c>
      <c r="I239" s="27">
        <v>50.485</v>
      </c>
    </row>
    <row r="240">
      <c r="A240" s="31" t="s">
        <v>4206</v>
      </c>
      <c r="B240" s="32" t="s">
        <v>4212</v>
      </c>
      <c r="C240" s="27" t="s">
        <v>4002</v>
      </c>
      <c r="D240" s="27">
        <v>3825.0</v>
      </c>
      <c r="E240" s="27">
        <v>4303.0</v>
      </c>
      <c r="F240" s="27">
        <v>1.12496732</v>
      </c>
      <c r="G240" s="27">
        <v>9.0</v>
      </c>
      <c r="H240" s="27">
        <v>407.0</v>
      </c>
      <c r="I240" s="33"/>
    </row>
    <row r="241">
      <c r="A241" s="31" t="s">
        <v>4067</v>
      </c>
      <c r="B241" s="32" t="s">
        <v>4068</v>
      </c>
      <c r="C241" s="27" t="s">
        <v>3996</v>
      </c>
      <c r="D241" s="27">
        <v>7104.0</v>
      </c>
      <c r="E241" s="27">
        <v>9172.0</v>
      </c>
      <c r="F241" s="27">
        <v>1.2911036</v>
      </c>
      <c r="G241" s="27">
        <v>21.0</v>
      </c>
      <c r="H241" s="33"/>
      <c r="I241" s="27">
        <v>258.943</v>
      </c>
    </row>
    <row r="242">
      <c r="A242" s="31" t="s">
        <v>4199</v>
      </c>
      <c r="B242" s="32" t="s">
        <v>4200</v>
      </c>
      <c r="C242" s="27" t="s">
        <v>4002</v>
      </c>
      <c r="D242" s="27">
        <v>2120.0</v>
      </c>
      <c r="E242" s="27">
        <v>2413.0</v>
      </c>
      <c r="F242" s="27">
        <v>1.13820755</v>
      </c>
      <c r="G242" s="27">
        <v>3.0</v>
      </c>
      <c r="H242" s="33"/>
      <c r="I242" s="27">
        <v>16.237</v>
      </c>
    </row>
    <row r="243">
      <c r="A243" s="31" t="s">
        <v>4183</v>
      </c>
      <c r="B243" s="32" t="s">
        <v>4184</v>
      </c>
      <c r="C243" s="27" t="s">
        <v>4002</v>
      </c>
      <c r="D243" s="27">
        <v>3808.0</v>
      </c>
      <c r="E243" s="27">
        <v>4583.0</v>
      </c>
      <c r="F243" s="27">
        <v>1.20351891</v>
      </c>
      <c r="G243" s="27">
        <v>13.0</v>
      </c>
      <c r="H243" s="33"/>
      <c r="I243" s="27">
        <v>32.482</v>
      </c>
    </row>
    <row r="244">
      <c r="A244" s="31" t="s">
        <v>4210</v>
      </c>
      <c r="B244" s="32" t="s">
        <v>4211</v>
      </c>
      <c r="C244" s="27" t="s">
        <v>4002</v>
      </c>
      <c r="D244" s="27">
        <v>5113.0</v>
      </c>
      <c r="E244" s="27">
        <v>6015.0</v>
      </c>
      <c r="F244" s="27">
        <v>1.17641306</v>
      </c>
      <c r="G244" s="27">
        <v>7.0</v>
      </c>
      <c r="H244" s="33"/>
      <c r="I244" s="27">
        <v>23.939</v>
      </c>
    </row>
    <row r="245">
      <c r="A245" s="31" t="s">
        <v>4227</v>
      </c>
      <c r="B245" s="32" t="s">
        <v>4228</v>
      </c>
      <c r="C245" s="27" t="s">
        <v>3996</v>
      </c>
      <c r="D245" s="27">
        <v>2182.0</v>
      </c>
      <c r="E245" s="27">
        <v>2182.0</v>
      </c>
      <c r="F245" s="27">
        <v>1.0</v>
      </c>
      <c r="G245" s="27">
        <v>8.0</v>
      </c>
      <c r="H245" s="33"/>
      <c r="I245" s="33"/>
    </row>
    <row r="246">
      <c r="A246" s="31" t="s">
        <v>4037</v>
      </c>
      <c r="B246" s="32" t="s">
        <v>4038</v>
      </c>
      <c r="C246" s="27" t="s">
        <v>3996</v>
      </c>
      <c r="D246" s="27">
        <v>7040.0</v>
      </c>
      <c r="E246" s="27">
        <v>10192.0</v>
      </c>
      <c r="F246" s="27">
        <v>1.44772727</v>
      </c>
      <c r="G246" s="27">
        <v>24.0</v>
      </c>
      <c r="H246" s="33"/>
      <c r="I246" s="27">
        <v>505.905</v>
      </c>
    </row>
    <row r="247">
      <c r="A247" s="31" t="s">
        <v>4102</v>
      </c>
      <c r="B247" s="32" t="s">
        <v>4151</v>
      </c>
      <c r="C247" s="27" t="s">
        <v>4002</v>
      </c>
      <c r="D247" s="27">
        <v>716.0</v>
      </c>
      <c r="E247" s="27">
        <v>1300.0</v>
      </c>
      <c r="F247" s="27">
        <v>1.81564246</v>
      </c>
      <c r="G247" s="27">
        <v>21.0</v>
      </c>
      <c r="H247" s="27">
        <v>207.0</v>
      </c>
      <c r="I247" s="27">
        <v>24.562</v>
      </c>
    </row>
    <row r="248">
      <c r="A248" s="31" t="s">
        <v>4208</v>
      </c>
      <c r="B248" s="32" t="s">
        <v>4209</v>
      </c>
      <c r="C248" s="27" t="s">
        <v>4002</v>
      </c>
      <c r="D248" s="27">
        <v>3424.0</v>
      </c>
      <c r="E248" s="27">
        <v>4116.0</v>
      </c>
      <c r="F248" s="27">
        <v>1.2021028</v>
      </c>
      <c r="G248" s="27">
        <v>6.0</v>
      </c>
      <c r="H248" s="33"/>
      <c r="I248" s="27">
        <v>25.703</v>
      </c>
    </row>
    <row r="249">
      <c r="A249" s="31" t="s">
        <v>4157</v>
      </c>
      <c r="B249" s="32" t="s">
        <v>4158</v>
      </c>
      <c r="C249" s="27" t="s">
        <v>3996</v>
      </c>
      <c r="D249" s="27">
        <v>2383.0</v>
      </c>
      <c r="E249" s="27">
        <v>2559.0</v>
      </c>
      <c r="F249" s="27">
        <v>1.07385648</v>
      </c>
      <c r="G249" s="27">
        <v>11.0</v>
      </c>
      <c r="H249" s="33"/>
      <c r="I249" s="27"/>
    </row>
    <row r="250">
      <c r="A250" s="31" t="s">
        <v>4213</v>
      </c>
      <c r="B250" s="32" t="s">
        <v>4214</v>
      </c>
      <c r="C250" s="27" t="s">
        <v>4002</v>
      </c>
      <c r="D250" s="27">
        <v>3384.0</v>
      </c>
      <c r="E250" s="27">
        <v>3813.0</v>
      </c>
      <c r="F250" s="27">
        <v>1.12677305</v>
      </c>
      <c r="G250" s="27">
        <v>7.0</v>
      </c>
      <c r="H250" s="33"/>
      <c r="I250" s="27">
        <v>26.086</v>
      </c>
    </row>
    <row r="251">
      <c r="A251" s="31" t="s">
        <v>4115</v>
      </c>
      <c r="B251" s="32" t="s">
        <v>4116</v>
      </c>
      <c r="C251" s="27" t="s">
        <v>4002</v>
      </c>
      <c r="D251" s="27">
        <v>2240.0</v>
      </c>
      <c r="E251" s="27">
        <v>2350.0</v>
      </c>
      <c r="F251" s="27">
        <v>1.04910714</v>
      </c>
      <c r="G251" s="27">
        <v>2.0</v>
      </c>
      <c r="H251" s="33"/>
      <c r="I251" s="27">
        <v>62.423</v>
      </c>
    </row>
    <row r="252">
      <c r="A252" s="31" t="s">
        <v>4132</v>
      </c>
      <c r="B252" s="32" t="s">
        <v>4133</v>
      </c>
      <c r="C252" s="27" t="s">
        <v>4002</v>
      </c>
      <c r="D252" s="27">
        <v>2000.0</v>
      </c>
      <c r="E252" s="27">
        <v>2432.0</v>
      </c>
      <c r="F252" s="27">
        <v>1.216</v>
      </c>
      <c r="G252" s="27">
        <v>2.0</v>
      </c>
      <c r="H252" s="33"/>
      <c r="I252" s="27">
        <v>59.814</v>
      </c>
    </row>
    <row r="253">
      <c r="A253" s="31" t="s">
        <v>4218</v>
      </c>
      <c r="B253" s="32" t="s">
        <v>4224</v>
      </c>
      <c r="C253" s="27" t="s">
        <v>4002</v>
      </c>
      <c r="D253" s="27">
        <v>3300.0</v>
      </c>
      <c r="E253" s="27">
        <v>3643.0</v>
      </c>
      <c r="F253" s="27">
        <v>1.10393939</v>
      </c>
      <c r="G253" s="27">
        <v>11.0</v>
      </c>
      <c r="H253" s="27">
        <v>185.0</v>
      </c>
      <c r="I253" s="27">
        <v>20.822</v>
      </c>
    </row>
    <row r="254">
      <c r="A254" s="31" t="s">
        <v>4222</v>
      </c>
      <c r="B254" s="32" t="s">
        <v>4223</v>
      </c>
      <c r="C254" s="27" t="s">
        <v>4002</v>
      </c>
      <c r="D254" s="27">
        <v>2940.0</v>
      </c>
      <c r="E254" s="27">
        <v>3466.0</v>
      </c>
      <c r="F254" s="27">
        <v>1.17891156</v>
      </c>
      <c r="G254" s="27">
        <v>3.0</v>
      </c>
      <c r="H254" s="33"/>
      <c r="I254" s="27">
        <v>14.756</v>
      </c>
    </row>
    <row r="255">
      <c r="A255" s="31" t="s">
        <v>4192</v>
      </c>
      <c r="B255" s="32" t="s">
        <v>4193</v>
      </c>
      <c r="C255" s="27" t="s">
        <v>4002</v>
      </c>
      <c r="D255" s="27">
        <v>558.0</v>
      </c>
      <c r="E255" s="27">
        <v>719.0</v>
      </c>
      <c r="F255" s="27">
        <v>1.28853047</v>
      </c>
      <c r="G255" s="27">
        <v>20.0</v>
      </c>
      <c r="H255" s="27">
        <v>159.0</v>
      </c>
      <c r="I255" s="27">
        <v>30.68</v>
      </c>
    </row>
    <row r="256">
      <c r="A256" s="31" t="s">
        <v>4220</v>
      </c>
      <c r="B256" s="32" t="s">
        <v>4221</v>
      </c>
      <c r="C256" s="27" t="s">
        <v>4002</v>
      </c>
      <c r="D256" s="27">
        <v>1804.0</v>
      </c>
      <c r="E256" s="27">
        <v>1825.0</v>
      </c>
      <c r="F256" s="27">
        <v>1.0116408</v>
      </c>
      <c r="G256" s="27">
        <v>3.0</v>
      </c>
      <c r="H256" s="33"/>
      <c r="I256" s="33"/>
    </row>
    <row r="257">
      <c r="A257" s="31" t="s">
        <v>4147</v>
      </c>
      <c r="B257" s="32" t="s">
        <v>4148</v>
      </c>
      <c r="C257" s="27" t="s">
        <v>4002</v>
      </c>
      <c r="D257" s="27">
        <v>290.0</v>
      </c>
      <c r="E257" s="27">
        <v>493.0</v>
      </c>
      <c r="F257" s="27">
        <v>1.7</v>
      </c>
      <c r="G257" s="27">
        <v>11.0</v>
      </c>
      <c r="H257" s="27">
        <v>90.0</v>
      </c>
      <c r="I257" s="27">
        <v>25.54</v>
      </c>
    </row>
    <row r="258">
      <c r="A258" s="31" t="s">
        <v>4227</v>
      </c>
      <c r="B258" s="32" t="s">
        <v>4228</v>
      </c>
      <c r="C258" s="27" t="s">
        <v>4002</v>
      </c>
      <c r="D258" s="27">
        <v>570.0</v>
      </c>
      <c r="E258" s="27">
        <v>570.0</v>
      </c>
      <c r="F258" s="27">
        <v>1.0</v>
      </c>
      <c r="G258" s="27">
        <v>2.0</v>
      </c>
      <c r="H258" s="33"/>
      <c r="I258" s="33"/>
    </row>
    <row r="259">
      <c r="A259" s="31" t="s">
        <v>4218</v>
      </c>
      <c r="B259" s="32" t="s">
        <v>4219</v>
      </c>
      <c r="C259" s="27" t="s">
        <v>4002</v>
      </c>
      <c r="D259" s="27">
        <v>546.0</v>
      </c>
      <c r="E259" s="27">
        <v>637.0</v>
      </c>
      <c r="F259" s="27">
        <v>1.16666667</v>
      </c>
      <c r="G259" s="27">
        <v>8.0</v>
      </c>
      <c r="H259" s="27">
        <v>238.0</v>
      </c>
      <c r="I259" s="27">
        <v>20.822</v>
      </c>
    </row>
    <row r="260">
      <c r="A260" s="31" t="s">
        <v>4065</v>
      </c>
      <c r="B260" s="32" t="s">
        <v>4229</v>
      </c>
      <c r="C260" s="27" t="s">
        <v>3996</v>
      </c>
      <c r="D260" s="27">
        <v>1272.0</v>
      </c>
      <c r="E260" s="27">
        <v>1310.0</v>
      </c>
      <c r="F260" s="27">
        <v>1.02987421</v>
      </c>
      <c r="G260" s="33"/>
      <c r="H260" s="27">
        <v>204.0</v>
      </c>
      <c r="I260" s="27">
        <v>34.985</v>
      </c>
    </row>
    <row r="261">
      <c r="A261" s="31" t="s">
        <v>4230</v>
      </c>
      <c r="B261" s="32" t="s">
        <v>4231</v>
      </c>
      <c r="C261" s="27" t="s">
        <v>3996</v>
      </c>
      <c r="D261" s="27">
        <v>1541.0</v>
      </c>
      <c r="E261" s="27">
        <v>1619.0</v>
      </c>
      <c r="F261" s="27">
        <v>1.05061648</v>
      </c>
      <c r="G261" s="27">
        <v>3.0</v>
      </c>
      <c r="H261" s="33"/>
      <c r="I261" s="27">
        <v>1.948</v>
      </c>
    </row>
    <row r="262">
      <c r="A262" s="31" t="s">
        <v>4225</v>
      </c>
      <c r="B262" s="32" t="s">
        <v>4226</v>
      </c>
      <c r="C262" s="27" t="s">
        <v>4002</v>
      </c>
      <c r="D262" s="27">
        <v>349.0</v>
      </c>
      <c r="E262" s="27">
        <v>369.0</v>
      </c>
      <c r="F262" s="27">
        <v>1.05730659</v>
      </c>
      <c r="G262" s="27">
        <v>2.0</v>
      </c>
      <c r="H262" s="33"/>
      <c r="I262" s="33"/>
    </row>
    <row r="263">
      <c r="A263" s="31" t="s">
        <v>4206</v>
      </c>
      <c r="B263" s="32" t="s">
        <v>4207</v>
      </c>
      <c r="C263" s="27" t="s">
        <v>4002</v>
      </c>
      <c r="D263" s="27">
        <v>200.0</v>
      </c>
      <c r="E263" s="27">
        <v>257.0</v>
      </c>
      <c r="F263" s="27">
        <v>1.285</v>
      </c>
      <c r="G263" s="27">
        <v>14.0</v>
      </c>
      <c r="H263" s="27">
        <v>104.0</v>
      </c>
      <c r="I263" s="33"/>
    </row>
    <row r="264">
      <c r="A264" s="31" t="s">
        <v>4162</v>
      </c>
      <c r="B264" s="32" t="s">
        <v>4163</v>
      </c>
      <c r="C264" s="27" t="s">
        <v>4002</v>
      </c>
      <c r="D264" s="27">
        <v>108.0</v>
      </c>
      <c r="E264" s="27">
        <v>149.0</v>
      </c>
      <c r="F264" s="27">
        <v>1.37962963</v>
      </c>
      <c r="G264" s="27">
        <v>3.0</v>
      </c>
      <c r="H264" s="27">
        <v>42.0</v>
      </c>
      <c r="I264" s="27">
        <v>48.704</v>
      </c>
    </row>
    <row r="265">
      <c r="A265" s="31" t="s">
        <v>4065</v>
      </c>
      <c r="B265" s="32" t="s">
        <v>4229</v>
      </c>
      <c r="C265" s="27" t="s">
        <v>4002</v>
      </c>
      <c r="D265" s="27">
        <v>334.0</v>
      </c>
      <c r="E265" s="27">
        <v>344.0</v>
      </c>
      <c r="F265" s="27">
        <v>1.02994012</v>
      </c>
      <c r="G265" s="27">
        <v>1.0</v>
      </c>
      <c r="H265" s="27">
        <v>29.0</v>
      </c>
      <c r="I265" s="27">
        <v>34.985</v>
      </c>
    </row>
    <row r="266">
      <c r="A266" s="31" t="s">
        <v>4112</v>
      </c>
      <c r="B266" s="32" t="s">
        <v>4114</v>
      </c>
      <c r="C266" s="27" t="s">
        <v>4002</v>
      </c>
      <c r="D266" s="27">
        <v>120.0</v>
      </c>
      <c r="E266" s="27">
        <v>123.0</v>
      </c>
      <c r="F266" s="27">
        <v>1.025</v>
      </c>
      <c r="G266" s="33"/>
      <c r="H266" s="27">
        <v>6.0</v>
      </c>
      <c r="I266" s="27">
        <v>38.418</v>
      </c>
    </row>
    <row r="267">
      <c r="A267" s="31" t="s">
        <v>4230</v>
      </c>
      <c r="B267" s="32" t="s">
        <v>4231</v>
      </c>
      <c r="C267" s="27" t="s">
        <v>4002</v>
      </c>
      <c r="D267" s="27">
        <v>427.0</v>
      </c>
      <c r="E267" s="27">
        <v>437.0</v>
      </c>
      <c r="F267" s="27">
        <v>1.0234192</v>
      </c>
      <c r="G267" s="33"/>
      <c r="H267" s="33"/>
      <c r="I267" s="27">
        <v>1.948</v>
      </c>
    </row>
    <row r="268">
      <c r="A268" s="31" t="s">
        <v>4172</v>
      </c>
      <c r="B268" s="32" t="s">
        <v>4173</v>
      </c>
      <c r="C268" s="27" t="s">
        <v>4002</v>
      </c>
      <c r="D268" s="27">
        <v>38.0</v>
      </c>
      <c r="E268" s="27">
        <v>42.0</v>
      </c>
      <c r="F268" s="27">
        <v>1.10526316</v>
      </c>
      <c r="G268" s="33"/>
      <c r="H268" s="33"/>
      <c r="I268" s="27">
        <v>6.838</v>
      </c>
    </row>
    <row r="269">
      <c r="A269" s="31" t="s">
        <v>4031</v>
      </c>
      <c r="B269" s="32" t="s">
        <v>4032</v>
      </c>
      <c r="C269" s="27" t="s">
        <v>4002</v>
      </c>
      <c r="D269" s="27">
        <v>202.0</v>
      </c>
      <c r="E269" s="27">
        <v>203.0</v>
      </c>
      <c r="F269" s="27">
        <v>1.0049505</v>
      </c>
      <c r="G269" s="33"/>
      <c r="H269" s="27">
        <v>9.0</v>
      </c>
      <c r="I269" s="27">
        <v>700.445</v>
      </c>
    </row>
    <row r="270">
      <c r="A270" s="31" t="s">
        <v>4031</v>
      </c>
      <c r="B270" s="32" t="s">
        <v>4032</v>
      </c>
      <c r="C270" s="27" t="s">
        <v>3996</v>
      </c>
      <c r="D270" s="27">
        <v>133.0</v>
      </c>
      <c r="E270" s="27">
        <v>135.0</v>
      </c>
      <c r="F270" s="27">
        <v>1.01503759</v>
      </c>
      <c r="G270" s="33"/>
      <c r="H270" s="27">
        <v>6.0</v>
      </c>
      <c r="I270" s="27">
        <v>700.445</v>
      </c>
    </row>
    <row r="271">
      <c r="A271" s="33"/>
      <c r="B271" s="33"/>
      <c r="C271" s="33"/>
      <c r="D271" s="33"/>
      <c r="E271" s="33"/>
      <c r="F271" s="33"/>
      <c r="G271" s="33"/>
      <c r="H271" s="33"/>
      <c r="I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4232</v>
      </c>
      <c r="B1" s="7" t="s">
        <v>4233</v>
      </c>
      <c r="C1" s="7" t="s">
        <v>4234</v>
      </c>
      <c r="D1" s="7" t="s">
        <v>4235</v>
      </c>
    </row>
    <row r="2">
      <c r="A2" s="28" t="str">
        <f>IFERROR(__xludf.DUMMYFUNCTION("IMPORTRANGE(""https://docs.google.com/spreadsheets/d/1RtZ-T1qK2oKSLwTNy37Dv1Bi3gFuFl5fIUOdgg7OYOI/edit?gid=542350877#gid=542350877"", ""Categoria x Eje!a2:e"")"),"Personas que viven en edificios")</f>
        <v>Personas que viven en edificios</v>
      </c>
      <c r="B2" s="28" t="str">
        <f>IFERROR(__xludf.DUMMYFUNCTION("""COMPUTED_VALUE"""),"DDatEdf")</f>
        <v>DDatEdf</v>
      </c>
      <c r="C2" s="12">
        <f>IFERROR(__xludf.DUMMYFUNCTION("""COMPUTED_VALUE"""),1728775.0)</f>
        <v>1728775</v>
      </c>
      <c r="D2" s="28" t="str">
        <f>IFERROR(__xludf.DUMMYFUNCTION("""COMPUTED_VALUE"""),"Infraestructura")</f>
        <v>Infraestructura</v>
      </c>
      <c r="E2" s="28"/>
    </row>
    <row r="3">
      <c r="A3" s="28" t="str">
        <f>IFERROR(__xludf.DUMMYFUNCTION("""COMPUTED_VALUE"""),"Vecinos participativos")</f>
        <v>Vecinos participativos</v>
      </c>
      <c r="B3" s="28" t="str">
        <f>IFERROR(__xludf.DUMMYFUNCTION("""COMPUTED_VALUE"""),"PVep")</f>
        <v>PVep</v>
      </c>
      <c r="C3" s="12">
        <f>IFERROR(__xludf.DUMMYFUNCTION("""COMPUTED_VALUE"""),1383141.0)</f>
        <v>1383141</v>
      </c>
      <c r="D3" s="28" t="str">
        <f>IFERROR(__xludf.DUMMYFUNCTION("""COMPUTED_VALUE"""),"Vínculo Ciudadano")</f>
        <v>Vínculo Ciudadano</v>
      </c>
      <c r="E3" s="28"/>
    </row>
    <row r="4">
      <c r="A4" s="28" t="str">
        <f>IFERROR(__xludf.DUMMYFUNCTION("""COMPUTED_VALUE"""),"Personas con estudios")</f>
        <v>Personas con estudios</v>
      </c>
      <c r="B4" s="28" t="str">
        <f>IFERROR(__xludf.DUMMYFUNCTION("""COMPUTED_VALUE"""),"DEst")</f>
        <v>DEst</v>
      </c>
      <c r="C4" s="12">
        <f>IFERROR(__xludf.DUMMYFUNCTION("""COMPUTED_VALUE"""),1379069.0)</f>
        <v>1379069</v>
      </c>
      <c r="D4" s="28" t="str">
        <f>IFERROR(__xludf.DUMMYFUNCTION("""COMPUTED_VALUE"""),"Educación")</f>
        <v>Educación</v>
      </c>
      <c r="E4" s="28"/>
    </row>
    <row r="5">
      <c r="A5" s="28" t="str">
        <f>IFERROR(__xludf.DUMMYFUNCTION("""COMPUTED_VALUE"""),"Personas que tramitaron una licencia particular")</f>
        <v>Personas que tramitaron una licencia particular</v>
      </c>
      <c r="B5" s="28" t="str">
        <f>IFERROR(__xludf.DUMMYFUNCTION("""COMPUTED_VALUE"""),"DTraLicPar")</f>
        <v>DTraLicPar</v>
      </c>
      <c r="C5" s="12">
        <f>IFERROR(__xludf.DUMMYFUNCTION("""COMPUTED_VALUE"""),958904.0)</f>
        <v>958904</v>
      </c>
      <c r="D5" s="28" t="str">
        <f>IFERROR(__xludf.DUMMYFUNCTION("""COMPUTED_VALUE"""),"Vínculo Ciudadano")</f>
        <v>Vínculo Ciudadano</v>
      </c>
      <c r="E5" s="28"/>
    </row>
    <row r="6">
      <c r="A6" s="28" t="str">
        <f>IFERROR(__xludf.DUMMYFUNCTION("""COMPUTED_VALUE"""),"Personas interesadas en Salud")</f>
        <v>Personas interesadas en Salud</v>
      </c>
      <c r="B6" s="28" t="str">
        <f>IFERROR(__xludf.DUMMYFUNCTION("""COMPUTED_VALUE"""),"ISal")</f>
        <v>ISal</v>
      </c>
      <c r="C6" s="12">
        <f>IFERROR(__xludf.DUMMYFUNCTION("""COMPUTED_VALUE"""),907180.0)</f>
        <v>907180</v>
      </c>
      <c r="D6" s="28" t="str">
        <f>IFERROR(__xludf.DUMMYFUNCTION("""COMPUTED_VALUE"""),"Vínculo Ciudadano")</f>
        <v>Vínculo Ciudadano</v>
      </c>
      <c r="E6" s="28"/>
    </row>
    <row r="7">
      <c r="A7" s="28" t="str">
        <f>IFERROR(__xludf.DUMMYFUNCTION("""COMPUTED_VALUE"""),"Personas que llamaron al 147")</f>
        <v>Personas que llamaron al 147</v>
      </c>
      <c r="B7" s="28" t="str">
        <f>IFERROR(__xludf.DUMMYFUNCTION("""COMPUTED_VALUE"""),"C147")</f>
        <v>C147</v>
      </c>
      <c r="C7" s="12">
        <f>IFERROR(__xludf.DUMMYFUNCTION("""COMPUTED_VALUE"""),830406.0)</f>
        <v>830406</v>
      </c>
      <c r="D7" s="28" t="str">
        <f>IFERROR(__xludf.DUMMYFUNCTION("""COMPUTED_VALUE"""),"Vínculo Ciudadano")</f>
        <v>Vínculo Ciudadano</v>
      </c>
      <c r="E7" s="28"/>
    </row>
    <row r="8">
      <c r="A8" s="28" t="str">
        <f>IFERROR(__xludf.DUMMYFUNCTION("""COMPUTED_VALUE"""),"Personas que viven en casas")</f>
        <v>Personas que viven en casas</v>
      </c>
      <c r="B8" s="28" t="str">
        <f>IFERROR(__xludf.DUMMYFUNCTION("""COMPUTED_VALUE"""),"DDatCas")</f>
        <v>DDatCas</v>
      </c>
      <c r="C8" s="12">
        <f>IFERROR(__xludf.DUMMYFUNCTION("""COMPUTED_VALUE"""),751564.0)</f>
        <v>751564</v>
      </c>
      <c r="D8" s="28" t="str">
        <f>IFERROR(__xludf.DUMMYFUNCTION("""COMPUTED_VALUE"""),"Infraestructura")</f>
        <v>Infraestructura</v>
      </c>
      <c r="E8" s="28"/>
    </row>
    <row r="9">
      <c r="A9" s="28" t="str">
        <f>IFERROR(__xludf.DUMMYFUNCTION("""COMPUTED_VALUE"""),"Personas que consultaron por tramites vehiculares")</f>
        <v>Personas que consultaron por tramites vehiculares</v>
      </c>
      <c r="B9" s="28" t="str">
        <f>IFERROR(__xludf.DUMMYFUNCTION("""COMPUTED_VALUE"""),"CTraVeh")</f>
        <v>CTraVeh</v>
      </c>
      <c r="C9" s="12">
        <f>IFERROR(__xludf.DUMMYFUNCTION("""COMPUTED_VALUE"""),635645.0)</f>
        <v>635645</v>
      </c>
      <c r="D9" s="28" t="str">
        <f>IFERROR(__xludf.DUMMYFUNCTION("""COMPUTED_VALUE"""),"Infraestructura")</f>
        <v>Infraestructura</v>
      </c>
      <c r="E9" s="28"/>
    </row>
    <row r="10">
      <c r="A10" s="28" t="str">
        <f>IFERROR(__xludf.DUMMYFUNCTION("""COMPUTED_VALUE"""),"Personas usuarias de diferentes servicios que ofrece el GCBA")</f>
        <v>Personas usuarias de diferentes servicios que ofrece el GCBA</v>
      </c>
      <c r="B10" s="28" t="str">
        <f>IFERROR(__xludf.DUMMYFUNCTION("""COMPUTED_VALUE"""),"CUso")</f>
        <v>CUso</v>
      </c>
      <c r="C10" s="12">
        <f>IFERROR(__xludf.DUMMYFUNCTION("""COMPUTED_VALUE"""),620769.0)</f>
        <v>620769</v>
      </c>
      <c r="D10" s="28" t="str">
        <f>IFERROR(__xludf.DUMMYFUNCTION("""COMPUTED_VALUE"""),"Vínculo Ciudadano")</f>
        <v>Vínculo Ciudadano</v>
      </c>
      <c r="E10" s="28"/>
    </row>
    <row r="11">
      <c r="A11" s="28" t="str">
        <f>IFERROR(__xludf.DUMMYFUNCTION("""COMPUTED_VALUE"""),"Personas que tramitaron una licencia")</f>
        <v>Personas que tramitaron una licencia</v>
      </c>
      <c r="B11" s="28" t="str">
        <f>IFERROR(__xludf.DUMMYFUNCTION("""COMPUTED_VALUE"""),"DTraLic")</f>
        <v>DTraLic</v>
      </c>
      <c r="C11" s="12">
        <f>IFERROR(__xludf.DUMMYFUNCTION("""COMPUTED_VALUE"""),615713.0)</f>
        <v>615713</v>
      </c>
      <c r="D11" s="28" t="str">
        <f>IFERROR(__xludf.DUMMYFUNCTION("""COMPUTED_VALUE"""),"Vínculo Ciudadano")</f>
        <v>Vínculo Ciudadano</v>
      </c>
      <c r="E11" s="28"/>
    </row>
    <row r="12">
      <c r="A12" s="28" t="str">
        <f>IFERROR(__xludf.DUMMYFUNCTION("""COMPUTED_VALUE"""),"Personas interesadas en Salud Publica")</f>
        <v>Personas interesadas en Salud Publica</v>
      </c>
      <c r="B12" s="28" t="str">
        <f>IFERROR(__xludf.DUMMYFUNCTION("""COMPUTED_VALUE"""),"ISalSal")</f>
        <v>ISalSal</v>
      </c>
      <c r="C12" s="12">
        <f>IFERROR(__xludf.DUMMYFUNCTION("""COMPUTED_VALUE"""),598535.0)</f>
        <v>598535</v>
      </c>
      <c r="D12" s="28" t="str">
        <f>IFERROR(__xludf.DUMMYFUNCTION("""COMPUTED_VALUE"""),"Salud")</f>
        <v>Salud</v>
      </c>
      <c r="E12" s="28"/>
    </row>
    <row r="13">
      <c r="A13" s="28" t="str">
        <f>IFERROR(__xludf.DUMMYFUNCTION("""COMPUTED_VALUE"""),"Madres, padres o tutores que tienen hijos")</f>
        <v>Madres, padres o tutores que tienen hijos</v>
      </c>
      <c r="B13" s="28" t="str">
        <f>IFERROR(__xludf.DUMMYFUNCTION("""COMPUTED_VALUE"""),"DDatTie")</f>
        <v>DDatTie</v>
      </c>
      <c r="C13" s="12">
        <f>IFERROR(__xludf.DUMMYFUNCTION("""COMPUTED_VALUE"""),597556.0)</f>
        <v>597556</v>
      </c>
      <c r="D13" s="28" t="str">
        <f>IFERROR(__xludf.DUMMYFUNCTION("""COMPUTED_VALUE"""),"Vínculo Ciudadano")</f>
        <v>Vínculo Ciudadano</v>
      </c>
      <c r="E13" s="28"/>
    </row>
    <row r="14">
      <c r="A14" s="28" t="str">
        <f>IFERROR(__xludf.DUMMYFUNCTION("""COMPUTED_VALUE"""),"Personas que tienen auto")</f>
        <v>Personas que tienen auto</v>
      </c>
      <c r="B14" s="28" t="str">
        <f>IFERROR(__xludf.DUMMYFUNCTION("""COMPUTED_VALUE"""),"DAut")</f>
        <v>DAut</v>
      </c>
      <c r="C14" s="12">
        <f>IFERROR(__xludf.DUMMYFUNCTION("""COMPUTED_VALUE"""),575860.0)</f>
        <v>575860</v>
      </c>
      <c r="D14" s="28" t="str">
        <f>IFERROR(__xludf.DUMMYFUNCTION("""COMPUTED_VALUE"""),"Infraestructura")</f>
        <v>Infraestructura</v>
      </c>
      <c r="E14" s="28"/>
    </row>
    <row r="15">
      <c r="A15" s="28" t="str">
        <f>IFERROR(__xludf.DUMMYFUNCTION("""COMPUTED_VALUE"""),"Personas que se atendieron en algun hospital")</f>
        <v>Personas que se atendieron en algun hospital</v>
      </c>
      <c r="B15" s="28" t="str">
        <f>IFERROR(__xludf.DUMMYFUNCTION("""COMPUTED_VALUE"""),"CHis")</f>
        <v>CHis</v>
      </c>
      <c r="C15" s="12">
        <f>IFERROR(__xludf.DUMMYFUNCTION("""COMPUTED_VALUE"""),477101.0)</f>
        <v>477101</v>
      </c>
      <c r="D15" s="28" t="str">
        <f>IFERROR(__xludf.DUMMYFUNCTION("""COMPUTED_VALUE"""),"Salud")</f>
        <v>Salud</v>
      </c>
      <c r="E15" s="28"/>
    </row>
    <row r="16">
      <c r="A16" s="28" t="str">
        <f>IFERROR(__xludf.DUMMYFUNCTION("""COMPUTED_VALUE"""),"Personas que tienen auto con infracciones")</f>
        <v>Personas que tienen auto con infracciones</v>
      </c>
      <c r="B16" s="28" t="str">
        <f>IFERROR(__xludf.DUMMYFUNCTION("""COMPUTED_VALUE"""),"DAutInf")</f>
        <v>DAutInf</v>
      </c>
      <c r="C16" s="12">
        <f>IFERROR(__xludf.DUMMYFUNCTION("""COMPUTED_VALUE"""),476795.0)</f>
        <v>476795</v>
      </c>
      <c r="D16" s="28" t="str">
        <f>IFERROR(__xludf.DUMMYFUNCTION("""COMPUTED_VALUE"""),"Infraestructura")</f>
        <v>Infraestructura</v>
      </c>
      <c r="E16" s="28"/>
    </row>
    <row r="17">
      <c r="A17" s="28" t="str">
        <f>IFERROR(__xludf.DUMMYFUNCTION("""COMPUTED_VALUE"""),"Personas que son propietarias de viviendas")</f>
        <v>Personas que son propietarias de viviendas</v>
      </c>
      <c r="B17" s="28" t="str">
        <f>IFERROR(__xludf.DUMMYFUNCTION("""COMPUTED_VALUE"""),"DDatPvi")</f>
        <v>DDatPvi</v>
      </c>
      <c r="C17" s="12">
        <f>IFERROR(__xludf.DUMMYFUNCTION("""COMPUTED_VALUE"""),470520.0)</f>
        <v>470520</v>
      </c>
      <c r="D17" s="28" t="str">
        <f>IFERROR(__xludf.DUMMYFUNCTION("""COMPUTED_VALUE"""),"Infraestructura")</f>
        <v>Infraestructura</v>
      </c>
      <c r="E17" s="28"/>
    </row>
    <row r="18">
      <c r="A18" s="28" t="str">
        <f>IFERROR(__xludf.DUMMYFUNCTION("""COMPUTED_VALUE"""),"Personas interesadas vacunaciones")</f>
        <v>Personas interesadas vacunaciones</v>
      </c>
      <c r="B18" s="28" t="str">
        <f>IFERROR(__xludf.DUMMYFUNCTION("""COMPUTED_VALUE"""),"ISalVac")</f>
        <v>ISalVac</v>
      </c>
      <c r="C18" s="12">
        <f>IFERROR(__xludf.DUMMYFUNCTION("""COMPUTED_VALUE"""),358180.0)</f>
        <v>358180</v>
      </c>
      <c r="D18" s="28" t="str">
        <f>IFERROR(__xludf.DUMMYFUNCTION("""COMPUTED_VALUE"""),"Salud")</f>
        <v>Salud</v>
      </c>
      <c r="E18" s="28"/>
    </row>
    <row r="19">
      <c r="A19" s="28" t="str">
        <f>IFERROR(__xludf.DUMMYFUNCTION("""COMPUTED_VALUE"""),"Personas que llamaron al 147 por turnos de tramites gubernamentales")</f>
        <v>Personas que llamaron al 147 por turnos de tramites gubernamentales</v>
      </c>
      <c r="B19" s="28" t="str">
        <f>IFERROR(__xludf.DUMMYFUNCTION("""COMPUTED_VALUE"""),"C147Tgo")</f>
        <v>C147Tgo</v>
      </c>
      <c r="C19" s="12">
        <f>IFERROR(__xludf.DUMMYFUNCTION("""COMPUTED_VALUE"""),357355.0)</f>
        <v>357355</v>
      </c>
      <c r="D19" s="28" t="str">
        <f>IFERROR(__xludf.DUMMYFUNCTION("""COMPUTED_VALUE"""),"Vínculo Ciudadano")</f>
        <v>Vínculo Ciudadano</v>
      </c>
      <c r="E19" s="28"/>
    </row>
    <row r="20">
      <c r="A20" s="28" t="str">
        <f>IFERROR(__xludf.DUMMYFUNCTION("""COMPUTED_VALUE"""),"Personas que llamaron al 147 por licencias")</f>
        <v>Personas que llamaron al 147 por licencias</v>
      </c>
      <c r="B20" s="28" t="str">
        <f>IFERROR(__xludf.DUMMYFUNCTION("""COMPUTED_VALUE"""),"C147Lic")</f>
        <v>C147Lic</v>
      </c>
      <c r="C20" s="12">
        <f>IFERROR(__xludf.DUMMYFUNCTION("""COMPUTED_VALUE"""),307851.0)</f>
        <v>307851</v>
      </c>
      <c r="D20" s="28" t="str">
        <f>IFERROR(__xludf.DUMMYFUNCTION("""COMPUTED_VALUE"""),"Vínculo Ciudadano")</f>
        <v>Vínculo Ciudadano</v>
      </c>
      <c r="E20" s="28"/>
    </row>
    <row r="21">
      <c r="A21" s="28" t="str">
        <f>IFERROR(__xludf.DUMMYFUNCTION("""COMPUTED_VALUE"""),"Personas Inscriptas en el Programa mas simple (programa de inclusion digital para adultos mayores)")</f>
        <v>Personas Inscriptas en el Programa mas simple (programa de inclusion digital para adultos mayores)</v>
      </c>
      <c r="B21" s="28" t="str">
        <f>IFERROR(__xludf.DUMMYFUNCTION("""COMPUTED_VALUE"""),"CUsoPro")</f>
        <v>CUsoPro</v>
      </c>
      <c r="C21" s="12">
        <f>IFERROR(__xludf.DUMMYFUNCTION("""COMPUTED_VALUE"""),307541.0)</f>
        <v>307541</v>
      </c>
      <c r="D21" s="28" t="str">
        <f>IFERROR(__xludf.DUMMYFUNCTION("""COMPUTED_VALUE"""),"Desarrollo Humano y Hábitat")</f>
        <v>Desarrollo Humano y Hábitat</v>
      </c>
      <c r="E21" s="28"/>
    </row>
    <row r="22">
      <c r="A22" s="28" t="str">
        <f>IFERROR(__xludf.DUMMYFUNCTION("""COMPUTED_VALUE"""),"Personas con un trabajo de oficina / administrativos")</f>
        <v>Personas con un trabajo de oficina / administrativos</v>
      </c>
      <c r="B22" s="28" t="str">
        <f>IFERROR(__xludf.DUMMYFUNCTION("""COMPUTED_VALUE"""),"DOfiOfi")</f>
        <v>DOfiOfi</v>
      </c>
      <c r="C22" s="12">
        <f>IFERROR(__xludf.DUMMYFUNCTION("""COMPUTED_VALUE"""),296532.0)</f>
        <v>296532</v>
      </c>
      <c r="D22" s="28" t="str">
        <f>IFERROR(__xludf.DUMMYFUNCTION("""COMPUTED_VALUE"""),"Vínculo Ciudadano")</f>
        <v>Vínculo Ciudadano</v>
      </c>
      <c r="E22" s="28"/>
    </row>
    <row r="23">
      <c r="A23" s="28" t="str">
        <f>IFERROR(__xludf.DUMMYFUNCTION("""COMPUTED_VALUE"""),"Personas que son padres")</f>
        <v>Personas que son padres</v>
      </c>
      <c r="B23" s="28" t="str">
        <f>IFERROR(__xludf.DUMMYFUNCTION("""COMPUTED_VALUE"""),"DDatPad")</f>
        <v>DDatPad</v>
      </c>
      <c r="C23" s="12">
        <f>IFERROR(__xludf.DUMMYFUNCTION("""COMPUTED_VALUE"""),284904.0)</f>
        <v>284904</v>
      </c>
      <c r="D23" s="28" t="str">
        <f>IFERROR(__xludf.DUMMYFUNCTION("""COMPUTED_VALUE"""),"Vínculo Ciudadano")</f>
        <v>Vínculo Ciudadano</v>
      </c>
      <c r="E23" s="28"/>
    </row>
    <row r="24">
      <c r="A24" s="28" t="str">
        <f>IFERROR(__xludf.DUMMYFUNCTION("""COMPUTED_VALUE"""),"Personas usuarias de Estaciones saludables")</f>
        <v>Personas usuarias de Estaciones saludables</v>
      </c>
      <c r="B24" s="28" t="str">
        <f>IFERROR(__xludf.DUMMYFUNCTION("""COMPUTED_VALUE"""),"CUsoEst")</f>
        <v>CUsoEst</v>
      </c>
      <c r="C24" s="12">
        <f>IFERROR(__xludf.DUMMYFUNCTION("""COMPUTED_VALUE"""),283163.0)</f>
        <v>283163</v>
      </c>
      <c r="D24" s="28" t="str">
        <f>IFERROR(__xludf.DUMMYFUNCTION("""COMPUTED_VALUE"""),"Salud")</f>
        <v>Salud</v>
      </c>
      <c r="E24" s="28"/>
    </row>
    <row r="25">
      <c r="A25" s="28" t="str">
        <f>IFERROR(__xludf.DUMMYFUNCTION("""COMPUTED_VALUE"""),"Personas interesadas y/o asistentes a diversos eventos culturales")</f>
        <v>Personas interesadas y/o asistentes a diversos eventos culturales</v>
      </c>
      <c r="B25" s="28" t="str">
        <f>IFERROR(__xludf.DUMMYFUNCTION("""COMPUTED_VALUE"""),"ICul")</f>
        <v>ICul</v>
      </c>
      <c r="C25" s="12">
        <f>IFERROR(__xludf.DUMMYFUNCTION("""COMPUTED_VALUE"""),280566.0)</f>
        <v>280566</v>
      </c>
      <c r="D25" s="28" t="str">
        <f>IFERROR(__xludf.DUMMYFUNCTION("""COMPUTED_VALUE"""),"Cultura")</f>
        <v>Cultura</v>
      </c>
      <c r="E25" s="28"/>
    </row>
    <row r="26">
      <c r="A26" s="28" t="str">
        <f>IFERROR(__xludf.DUMMYFUNCTION("""COMPUTED_VALUE"""),"Personas que son madres")</f>
        <v>Personas que son madres</v>
      </c>
      <c r="B26" s="28" t="str">
        <f>IFERROR(__xludf.DUMMYFUNCTION("""COMPUTED_VALUE"""),"DDatMad")</f>
        <v>DDatMad</v>
      </c>
      <c r="C26" s="12">
        <f>IFERROR(__xludf.DUMMYFUNCTION("""COMPUTED_VALUE"""),273117.0)</f>
        <v>273117</v>
      </c>
      <c r="D26" s="28" t="str">
        <f>IFERROR(__xludf.DUMMYFUNCTION("""COMPUTED_VALUE"""),"Vínculo Ciudadano")</f>
        <v>Vínculo Ciudadano</v>
      </c>
      <c r="E26" s="28"/>
    </row>
    <row r="27">
      <c r="A27" s="28" t="str">
        <f>IFERROR(__xludf.DUMMYFUNCTION("""COMPUTED_VALUE"""),"Personas usuarias de la plataforma Mi BA")</f>
        <v>Personas usuarias de la plataforma Mi BA</v>
      </c>
      <c r="B27" s="28" t="str">
        <f>IFERROR(__xludf.DUMMYFUNCTION("""COMPUTED_VALUE"""),"CMib")</f>
        <v>CMib</v>
      </c>
      <c r="C27" s="12">
        <f>IFERROR(__xludf.DUMMYFUNCTION("""COMPUTED_VALUE"""),256564.0)</f>
        <v>256564</v>
      </c>
      <c r="D27" s="28" t="str">
        <f>IFERROR(__xludf.DUMMYFUNCTION("""COMPUTED_VALUE"""),"Jefatura de Gobierno")</f>
        <v>Jefatura de Gobierno</v>
      </c>
      <c r="E27" s="28"/>
    </row>
    <row r="28">
      <c r="A28" s="28" t="str">
        <f>IFERROR(__xludf.DUMMYFUNCTION("""COMPUTED_VALUE"""),"Personas que llamaron al 147 por informacion general")</f>
        <v>Personas que llamaron al 147 por informacion general</v>
      </c>
      <c r="B28" s="28" t="str">
        <f>IFERROR(__xludf.DUMMYFUNCTION("""COMPUTED_VALUE"""),"C147Ing")</f>
        <v>C147Ing</v>
      </c>
      <c r="C28" s="12">
        <f>IFERROR(__xludf.DUMMYFUNCTION("""COMPUTED_VALUE"""),243728.0)</f>
        <v>243728</v>
      </c>
      <c r="D28" s="28" t="str">
        <f>IFERROR(__xludf.DUMMYFUNCTION("""COMPUTED_VALUE"""),"Vínculo Ciudadano")</f>
        <v>Vínculo Ciudadano</v>
      </c>
      <c r="E28" s="28"/>
    </row>
    <row r="29">
      <c r="A29" s="28" t="str">
        <f>IFERROR(__xludf.DUMMYFUNCTION("""COMPUTED_VALUE"""),"Personas interesadas en seguridad")</f>
        <v>Personas interesadas en seguridad</v>
      </c>
      <c r="B29" s="28" t="str">
        <f>IFERROR(__xludf.DUMMYFUNCTION("""COMPUTED_VALUE"""),"ISeg")</f>
        <v>ISeg</v>
      </c>
      <c r="C29" s="12">
        <f>IFERROR(__xludf.DUMMYFUNCTION("""COMPUTED_VALUE"""),238950.0)</f>
        <v>238950</v>
      </c>
      <c r="D29" s="28" t="str">
        <f>IFERROR(__xludf.DUMMYFUNCTION("""COMPUTED_VALUE"""),"Seguridad")</f>
        <v>Seguridad</v>
      </c>
      <c r="E29" s="28"/>
    </row>
    <row r="30">
      <c r="A30" s="28" t="str">
        <f>IFERROR(__xludf.DUMMYFUNCTION("""COMPUTED_VALUE"""),"Personas que estan empleadas")</f>
        <v>Personas que estan empleadas</v>
      </c>
      <c r="B30" s="28" t="str">
        <f>IFERROR(__xludf.DUMMYFUNCTION("""COMPUTED_VALUE"""),"DConEmp")</f>
        <v>DConEmp</v>
      </c>
      <c r="C30" s="12">
        <f>IFERROR(__xludf.DUMMYFUNCTION("""COMPUTED_VALUE"""),234132.0)</f>
        <v>234132</v>
      </c>
      <c r="D30" s="28" t="str">
        <f>IFERROR(__xludf.DUMMYFUNCTION("""COMPUTED_VALUE"""),"Vínculo Ciudadano")</f>
        <v>Vínculo Ciudadano</v>
      </c>
      <c r="E30" s="28"/>
    </row>
    <row r="31">
      <c r="A31" s="28" t="str">
        <f>IFERROR(__xludf.DUMMYFUNCTION("""COMPUTED_VALUE"""),"Personas que tiene telepase AUSA")</f>
        <v>Personas que tiene telepase AUSA</v>
      </c>
      <c r="B31" s="28" t="str">
        <f>IFERROR(__xludf.DUMMYFUNCTION("""COMPUTED_VALUE"""),"DAus")</f>
        <v>DAus</v>
      </c>
      <c r="C31" s="12">
        <f>IFERROR(__xludf.DUMMYFUNCTION("""COMPUTED_VALUE"""),226837.0)</f>
        <v>226837</v>
      </c>
      <c r="D31" s="28" t="str">
        <f>IFERROR(__xludf.DUMMYFUNCTION("""COMPUTED_VALUE"""),"Bien Publico")</f>
        <v>Bien Publico</v>
      </c>
      <c r="E31" s="28"/>
    </row>
    <row r="32">
      <c r="A32" s="28" t="str">
        <f>IFERROR(__xludf.DUMMYFUNCTION("""COMPUTED_VALUE"""),"Personas usuarias de bicicletas")</f>
        <v>Personas usuarias de bicicletas</v>
      </c>
      <c r="B32" s="28" t="str">
        <f>IFERROR(__xludf.DUMMYFUNCTION("""COMPUTED_VALUE"""),"CUsoEco")</f>
        <v>CUsoEco</v>
      </c>
      <c r="C32" s="12">
        <f>IFERROR(__xludf.DUMMYFUNCTION("""COMPUTED_VALUE"""),226774.0)</f>
        <v>226774</v>
      </c>
      <c r="D32" s="28" t="str">
        <f>IFERROR(__xludf.DUMMYFUNCTION("""COMPUTED_VALUE"""),"Desarrollo Urbano y Deportes")</f>
        <v>Desarrollo Urbano y Deportes</v>
      </c>
      <c r="E32" s="28"/>
    </row>
    <row r="33">
      <c r="A33" s="28" t="str">
        <f>IFERROR(__xludf.DUMMYFUNCTION("""COMPUTED_VALUE"""),"Personas que participaron de reuniones")</f>
        <v>Personas que participaron de reuniones</v>
      </c>
      <c r="B33" s="28" t="str">
        <f>IFERROR(__xludf.DUMMYFUNCTION("""COMPUTED_VALUE"""),"PReu")</f>
        <v>PReu</v>
      </c>
      <c r="C33" s="12">
        <f>IFERROR(__xludf.DUMMYFUNCTION("""COMPUTED_VALUE"""),222716.0)</f>
        <v>222716</v>
      </c>
      <c r="D33" s="28" t="str">
        <f>IFERROR(__xludf.DUMMYFUNCTION("""COMPUTED_VALUE"""),"Vínculo Ciudadano")</f>
        <v>Vínculo Ciudadano</v>
      </c>
      <c r="E33" s="28"/>
    </row>
    <row r="34">
      <c r="A34" s="28" t="str">
        <f>IFERROR(__xludf.DUMMYFUNCTION("""COMPUTED_VALUE"""),"Personas interesadas en obras")</f>
        <v>Personas interesadas en obras</v>
      </c>
      <c r="B34" s="28" t="str">
        <f>IFERROR(__xludf.DUMMYFUNCTION("""COMPUTED_VALUE"""),"IObr")</f>
        <v>IObr</v>
      </c>
      <c r="C34" s="12">
        <f>IFERROR(__xludf.DUMMYFUNCTION("""COMPUTED_VALUE"""),215473.0)</f>
        <v>215473</v>
      </c>
      <c r="D34" s="28" t="str">
        <f>IFERROR(__xludf.DUMMYFUNCTION("""COMPUTED_VALUE"""),"Infraestructura")</f>
        <v>Infraestructura</v>
      </c>
      <c r="E34" s="28"/>
    </row>
    <row r="35">
      <c r="A35" s="28" t="str">
        <f>IFERROR(__xludf.DUMMYFUNCTION("""COMPUTED_VALUE"""),"Personas interesadas en educacion")</f>
        <v>Personas interesadas en educacion</v>
      </c>
      <c r="B35" s="28" t="str">
        <f>IFERROR(__xludf.DUMMYFUNCTION("""COMPUTED_VALUE"""),"IEdu")</f>
        <v>IEdu</v>
      </c>
      <c r="C35" s="12">
        <f>IFERROR(__xludf.DUMMYFUNCTION("""COMPUTED_VALUE"""),206350.0)</f>
        <v>206350</v>
      </c>
      <c r="D35" s="28" t="str">
        <f>IFERROR(__xludf.DUMMYFUNCTION("""COMPUTED_VALUE"""),"Educación")</f>
        <v>Educación</v>
      </c>
      <c r="E35" s="28"/>
    </row>
    <row r="36">
      <c r="A36" s="28" t="str">
        <f>IFERROR(__xludf.DUMMYFUNCTION("""COMPUTED_VALUE"""),"Personas inscriptas en becas de Juventud")</f>
        <v>Personas inscriptas en becas de Juventud</v>
      </c>
      <c r="B36" s="28" t="str">
        <f>IFERROR(__xludf.DUMMYFUNCTION("""COMPUTED_VALUE"""),"PBajIns")</f>
        <v>PBajIns</v>
      </c>
      <c r="C36" s="12">
        <f>IFERROR(__xludf.DUMMYFUNCTION("""COMPUTED_VALUE"""),204059.0)</f>
        <v>204059</v>
      </c>
      <c r="D36" s="28" t="str">
        <f>IFERROR(__xludf.DUMMYFUNCTION("""COMPUTED_VALUE"""),"Jefatura de Gabinete")</f>
        <v>Jefatura de Gabinete</v>
      </c>
      <c r="E36" s="28"/>
    </row>
    <row r="37">
      <c r="A37" s="28" t="str">
        <f>IFERROR(__xludf.DUMMYFUNCTION("""COMPUTED_VALUE"""),"Personas inscriptas en Expoempleo")</f>
        <v>Personas inscriptas en Expoempleo</v>
      </c>
      <c r="B37" s="28" t="str">
        <f>IFERROR(__xludf.DUMMYFUNCTION("""COMPUTED_VALUE"""),"PBajExpIns")</f>
        <v>PBajExpIns</v>
      </c>
      <c r="C37" s="12">
        <f>IFERROR(__xludf.DUMMYFUNCTION("""COMPUTED_VALUE"""),189146.0)</f>
        <v>189146</v>
      </c>
      <c r="D37" s="28" t="str">
        <f>IFERROR(__xludf.DUMMYFUNCTION("""COMPUTED_VALUE"""),"Desarrollo Económico")</f>
        <v>Desarrollo Económico</v>
      </c>
      <c r="E37" s="28"/>
    </row>
    <row r="38">
      <c r="A38" s="28" t="str">
        <f>IFERROR(__xludf.DUMMYFUNCTION("""COMPUTED_VALUE"""),"Personas inscriptas en experiencias de la ciudad")</f>
        <v>Personas inscriptas en experiencias de la ciudad</v>
      </c>
      <c r="B38" s="28" t="str">
        <f>IFERROR(__xludf.DUMMYFUNCTION("""COMPUTED_VALUE"""),"PExp")</f>
        <v>PExp</v>
      </c>
      <c r="C38" s="12">
        <f>IFERROR(__xludf.DUMMYFUNCTION("""COMPUTED_VALUE"""),185343.0)</f>
        <v>185343</v>
      </c>
      <c r="D38" s="28" t="str">
        <f>IFERROR(__xludf.DUMMYFUNCTION("""COMPUTED_VALUE"""),"Cercanía y PC")</f>
        <v>Cercanía y PC</v>
      </c>
      <c r="E38" s="28"/>
    </row>
    <row r="39">
      <c r="A39" s="28" t="str">
        <f>IFERROR(__xludf.DUMMYFUNCTION("""COMPUTED_VALUE"""),"Personas interesadas en mant. urbano, poda, veredas, alumbrado, instalaciones")</f>
        <v>Personas interesadas en mant. urbano, poda, veredas, alumbrado, instalaciones</v>
      </c>
      <c r="B39" s="28" t="str">
        <f>IFERROR(__xludf.DUMMYFUNCTION("""COMPUTED_VALUE"""),"IMan")</f>
        <v>IMan</v>
      </c>
      <c r="C39" s="12">
        <f>IFERROR(__xludf.DUMMYFUNCTION("""COMPUTED_VALUE"""),182732.0)</f>
        <v>182732</v>
      </c>
      <c r="D39" s="28" t="str">
        <f>IFERROR(__xludf.DUMMYFUNCTION("""COMPUTED_VALUE"""),"Espacio Público e Higiene Urbana")</f>
        <v>Espacio Público e Higiene Urbana</v>
      </c>
      <c r="E39" s="28"/>
    </row>
    <row r="40">
      <c r="A40" s="28" t="str">
        <f>IFERROR(__xludf.DUMMYFUNCTION("""COMPUTED_VALUE"""),"Personas que consultaron por tramites de dni")</f>
        <v>Personas que consultaron por tramites de dni</v>
      </c>
      <c r="B40" s="28" t="str">
        <f>IFERROR(__xludf.DUMMYFUNCTION("""COMPUTED_VALUE"""),"CTraDni")</f>
        <v>CTraDni</v>
      </c>
      <c r="C40" s="12">
        <f>IFERROR(__xludf.DUMMYFUNCTION("""COMPUTED_VALUE"""),170821.0)</f>
        <v>170821</v>
      </c>
      <c r="D40" s="28" t="str">
        <f>IFERROR(__xludf.DUMMYFUNCTION("""COMPUTED_VALUE"""),"Vínculo Ciudadano")</f>
        <v>Vínculo Ciudadano</v>
      </c>
      <c r="E40" s="28"/>
    </row>
    <row r="41">
      <c r="A41" s="28" t="str">
        <f>IFERROR(__xludf.DUMMYFUNCTION("""COMPUTED_VALUE"""),"Personas interesadas en gastronomia")</f>
        <v>Personas interesadas en gastronomia</v>
      </c>
      <c r="B41" s="28" t="str">
        <f>IFERROR(__xludf.DUMMYFUNCTION("""COMPUTED_VALUE"""),"IGas")</f>
        <v>IGas</v>
      </c>
      <c r="C41" s="12">
        <f>IFERROR(__xludf.DUMMYFUNCTION("""COMPUTED_VALUE"""),156414.0)</f>
        <v>156414</v>
      </c>
      <c r="D41" s="28" t="str">
        <f>IFERROR(__xludf.DUMMYFUNCTION("""COMPUTED_VALUE"""),"Cultura")</f>
        <v>Cultura</v>
      </c>
      <c r="E41" s="28"/>
    </row>
    <row r="42">
      <c r="A42" s="28" t="str">
        <f>IFERROR(__xludf.DUMMYFUNCTION("""COMPUTED_VALUE"""),"Personas que son amas de casa")</f>
        <v>Personas que son amas de casa</v>
      </c>
      <c r="B42" s="28" t="str">
        <f>IFERROR(__xludf.DUMMYFUNCTION("""COMPUTED_VALUE"""),"DOfiAma")</f>
        <v>DOfiAma</v>
      </c>
      <c r="C42" s="12">
        <f>IFERROR(__xludf.DUMMYFUNCTION("""COMPUTED_VALUE"""),147022.0)</f>
        <v>147022</v>
      </c>
      <c r="D42" s="28" t="str">
        <f>IFERROR(__xludf.DUMMYFUNCTION("""COMPUTED_VALUE"""),"Desarrollo Humano y Hábitat")</f>
        <v>Desarrollo Humano y Hábitat</v>
      </c>
      <c r="E42" s="28"/>
    </row>
    <row r="43">
      <c r="A43" s="28" t="str">
        <f>IFERROR(__xludf.DUMMYFUNCTION("""COMPUTED_VALUE"""),"Personas que consultaron y/o son beneficiarios y/o inscriptos de planes sociales")</f>
        <v>Personas que consultaron y/o son beneficiarios y/o inscriptos de planes sociales</v>
      </c>
      <c r="B43" s="28" t="str">
        <f>IFERROR(__xludf.DUMMYFUNCTION("""COMPUTED_VALUE"""),"DPrp")</f>
        <v>DPrp</v>
      </c>
      <c r="C43" s="12">
        <f>IFERROR(__xludf.DUMMYFUNCTION("""COMPUTED_VALUE"""),146950.0)</f>
        <v>146950</v>
      </c>
      <c r="D43" s="28" t="str">
        <f>IFERROR(__xludf.DUMMYFUNCTION("""COMPUTED_VALUE"""),"Desarrollo Humano y Hábitat")</f>
        <v>Desarrollo Humano y Hábitat</v>
      </c>
      <c r="E43" s="28"/>
    </row>
    <row r="44">
      <c r="A44" s="28" t="str">
        <f>IFERROR(__xludf.DUMMYFUNCTION("""COMPUTED_VALUE"""),"Personas que se inscribieron y/o asistieron a diversos eventos en la Usina del Arte")</f>
        <v>Personas que se inscribieron y/o asistieron a diversos eventos en la Usina del Arte</v>
      </c>
      <c r="B44" s="28" t="str">
        <f>IFERROR(__xludf.DUMMYFUNCTION("""COMPUTED_VALUE"""),"ICulCcuUda")</f>
        <v>ICulCcuUda</v>
      </c>
      <c r="C44" s="12">
        <f>IFERROR(__xludf.DUMMYFUNCTION("""COMPUTED_VALUE"""),140758.0)</f>
        <v>140758</v>
      </c>
      <c r="D44" s="28" t="str">
        <f>IFERROR(__xludf.DUMMYFUNCTION("""COMPUTED_VALUE"""),"Cultura")</f>
        <v>Cultura</v>
      </c>
      <c r="E44" s="28"/>
    </row>
    <row r="45">
      <c r="A45" s="28" t="str">
        <f>IFERROR(__xludf.DUMMYFUNCTION("""COMPUTED_VALUE"""),"Personas interesadas en transito y transporte")</f>
        <v>Personas interesadas en transito y transporte</v>
      </c>
      <c r="B45" s="28" t="str">
        <f>IFERROR(__xludf.DUMMYFUNCTION("""COMPUTED_VALUE"""),"ITra")</f>
        <v>ITra</v>
      </c>
      <c r="C45" s="12">
        <f>IFERROR(__xludf.DUMMYFUNCTION("""COMPUTED_VALUE"""),139739.0)</f>
        <v>139739</v>
      </c>
      <c r="D45" s="28" t="str">
        <f>IFERROR(__xludf.DUMMYFUNCTION("""COMPUTED_VALUE"""),"Infraestructura")</f>
        <v>Infraestructura</v>
      </c>
      <c r="E45" s="28"/>
    </row>
    <row r="46">
      <c r="A46" s="28" t="str">
        <f>IFERROR(__xludf.DUMMYFUNCTION("""COMPUTED_VALUE"""),"Personas interesadas en bicicletas")</f>
        <v>Personas interesadas en bicicletas</v>
      </c>
      <c r="B46" s="28" t="str">
        <f>IFERROR(__xludf.DUMMYFUNCTION("""COMPUTED_VALUE"""),"IBic")</f>
        <v>IBic</v>
      </c>
      <c r="C46" s="12">
        <f>IFERROR(__xludf.DUMMYFUNCTION("""COMPUTED_VALUE"""),134040.0)</f>
        <v>134040</v>
      </c>
      <c r="D46" s="28" t="str">
        <f>IFERROR(__xludf.DUMMYFUNCTION("""COMPUTED_VALUE"""),"Desarrollo Urbano y Deportes")</f>
        <v>Desarrollo Urbano y Deportes</v>
      </c>
      <c r="E46" s="28"/>
    </row>
    <row r="47">
      <c r="A47" s="28" t="str">
        <f>IFERROR(__xludf.DUMMYFUNCTION("""COMPUTED_VALUE"""),"Personas que solicitaron y/o consultaron sobre creditos del instituto de la vivienda")</f>
        <v>Personas que solicitaron y/o consultaron sobre creditos del instituto de la vivienda</v>
      </c>
      <c r="B47" s="28" t="str">
        <f>IFERROR(__xludf.DUMMYFUNCTION("""COMPUTED_VALUE"""),"CIvc")</f>
        <v>CIvc</v>
      </c>
      <c r="C47" s="12">
        <f>IFERROR(__xludf.DUMMYFUNCTION("""COMPUTED_VALUE"""),132535.0)</f>
        <v>132535</v>
      </c>
      <c r="D47" s="28" t="str">
        <f>IFERROR(__xludf.DUMMYFUNCTION("""COMPUTED_VALUE"""),"Desarrollo Humano y Hábitat")</f>
        <v>Desarrollo Humano y Hábitat</v>
      </c>
      <c r="E47" s="28"/>
    </row>
    <row r="48">
      <c r="A48" s="28" t="str">
        <f>IFERROR(__xludf.DUMMYFUNCTION("""COMPUTED_VALUE"""),"Personas interesadas en el mantenimiento de la higiene urbana")</f>
        <v>Personas interesadas en el mantenimiento de la higiene urbana</v>
      </c>
      <c r="B48" s="28" t="str">
        <f>IFERROR(__xludf.DUMMYFUNCTION("""COMPUTED_VALUE"""),"IManHig")</f>
        <v>IManHig</v>
      </c>
      <c r="C48" s="12">
        <f>IFERROR(__xludf.DUMMYFUNCTION("""COMPUTED_VALUE"""),132235.0)</f>
        <v>132235</v>
      </c>
      <c r="D48" s="28" t="str">
        <f>IFERROR(__xludf.DUMMYFUNCTION("""COMPUTED_VALUE"""),"Espacio Público e Higiene Urbana")</f>
        <v>Espacio Público e Higiene Urbana</v>
      </c>
      <c r="E48" s="28"/>
    </row>
    <row r="49">
      <c r="A49" s="28" t="str">
        <f>IFERROR(__xludf.DUMMYFUNCTION("""COMPUTED_VALUE"""),"Personas que trabajan en enseñanza")</f>
        <v>Personas que trabajan en enseñanza</v>
      </c>
      <c r="B49" s="28" t="str">
        <f>IFERROR(__xludf.DUMMYFUNCTION("""COMPUTED_VALUE"""),"DOfiEn")</f>
        <v>DOfiEn</v>
      </c>
      <c r="C49" s="12">
        <f>IFERROR(__xludf.DUMMYFUNCTION("""COMPUTED_VALUE"""),127968.0)</f>
        <v>127968</v>
      </c>
      <c r="D49" s="28" t="str">
        <f>IFERROR(__xludf.DUMMYFUNCTION("""COMPUTED_VALUE"""),"Educación")</f>
        <v>Educación</v>
      </c>
      <c r="E49" s="28"/>
    </row>
    <row r="50">
      <c r="A50" s="28" t="str">
        <f>IFERROR(__xludf.DUMMYFUNCTION("""COMPUTED_VALUE"""),"Personas que llamaron a 147 consultando por registros civiles")</f>
        <v>Personas que llamaron a 147 consultando por registros civiles</v>
      </c>
      <c r="B50" s="28" t="str">
        <f>IFERROR(__xludf.DUMMYFUNCTION("""COMPUTED_VALUE"""),"C147Reg")</f>
        <v>C147Reg</v>
      </c>
      <c r="C50" s="12">
        <f>IFERROR(__xludf.DUMMYFUNCTION("""COMPUTED_VALUE"""),126491.0)</f>
        <v>126491</v>
      </c>
      <c r="D50" s="28" t="str">
        <f>IFERROR(__xludf.DUMMYFUNCTION("""COMPUTED_VALUE"""),"Vínculo Ciudadano")</f>
        <v>Vínculo Ciudadano</v>
      </c>
      <c r="E50" s="28"/>
    </row>
    <row r="51">
      <c r="A51" s="28" t="str">
        <f>IFERROR(__xludf.DUMMYFUNCTION("""COMPUTED_VALUE"""),"Personas con estudios Docentes")</f>
        <v>Personas con estudios Docentes</v>
      </c>
      <c r="B51" s="28" t="str">
        <f>IFERROR(__xludf.DUMMYFUNCTION("""COMPUTED_VALUE"""),"DEstDoc")</f>
        <v>DEstDoc</v>
      </c>
      <c r="C51" s="12">
        <f>IFERROR(__xludf.DUMMYFUNCTION("""COMPUTED_VALUE"""),124783.0)</f>
        <v>124783</v>
      </c>
      <c r="D51" s="28" t="str">
        <f>IFERROR(__xludf.DUMMYFUNCTION("""COMPUTED_VALUE"""),"Educación")</f>
        <v>Educación</v>
      </c>
      <c r="E51" s="28"/>
    </row>
    <row r="52">
      <c r="A52" s="28" t="str">
        <f>IFERROR(__xludf.DUMMYFUNCTION("""COMPUTED_VALUE"""),"Personas que son comerciantes")</f>
        <v>Personas que son comerciantes</v>
      </c>
      <c r="B52" s="28" t="str">
        <f>IFERROR(__xludf.DUMMYFUNCTION("""COMPUTED_VALUE"""),"DOfiCom")</f>
        <v>DOfiCom</v>
      </c>
      <c r="C52" s="12">
        <f>IFERROR(__xludf.DUMMYFUNCTION("""COMPUTED_VALUE"""),118132.0)</f>
        <v>118132</v>
      </c>
      <c r="D52" s="28" t="str">
        <f>IFERROR(__xludf.DUMMYFUNCTION("""COMPUTED_VALUE"""),"Desarrollo Económico")</f>
        <v>Desarrollo Económico</v>
      </c>
      <c r="E52" s="28"/>
    </row>
    <row r="53">
      <c r="A53" s="28" t="str">
        <f>IFERROR(__xludf.DUMMYFUNCTION("""COMPUTED_VALUE"""),"Personas interesadas en museos")</f>
        <v>Personas interesadas en museos</v>
      </c>
      <c r="B53" s="28" t="str">
        <f>IFERROR(__xludf.DUMMYFUNCTION("""COMPUTED_VALUE"""),"ICulMus")</f>
        <v>ICulMus</v>
      </c>
      <c r="C53" s="12">
        <f>IFERROR(__xludf.DUMMYFUNCTION("""COMPUTED_VALUE"""),112373.0)</f>
        <v>112373</v>
      </c>
      <c r="D53" s="28" t="str">
        <f>IFERROR(__xludf.DUMMYFUNCTION("""COMPUTED_VALUE"""),"Cultura")</f>
        <v>Cultura</v>
      </c>
      <c r="E53" s="28"/>
    </row>
    <row r="54">
      <c r="A54" s="28" t="str">
        <f>IFERROR(__xludf.DUMMYFUNCTION("""COMPUTED_VALUE"""),"Personas que tramitaron una licencia profesional")</f>
        <v>Personas que tramitaron una licencia profesional</v>
      </c>
      <c r="B54" s="28" t="str">
        <f>IFERROR(__xludf.DUMMYFUNCTION("""COMPUTED_VALUE"""),"DTraLicPro")</f>
        <v>DTraLicPro</v>
      </c>
      <c r="C54" s="28"/>
      <c r="D54" s="28" t="str">
        <f>IFERROR(__xludf.DUMMYFUNCTION("""COMPUTED_VALUE"""),"Vínculo Ciudadano")</f>
        <v>Vínculo Ciudadano</v>
      </c>
      <c r="E54" s="28"/>
    </row>
    <row r="55">
      <c r="A55" s="28" t="str">
        <f>IFERROR(__xludf.DUMMYFUNCTION("""COMPUTED_VALUE"""),"Relevancia")</f>
        <v>Relevancia</v>
      </c>
      <c r="B55" s="28" t="str">
        <f>IFERROR(__xludf.DUMMYFUNCTION("""COMPUTED_VALUE"""),"PRel")</f>
        <v>PRel</v>
      </c>
      <c r="C55" s="12">
        <f>IFERROR(__xludf.DUMMYFUNCTION("""COMPUTED_VALUE"""),111844.0)</f>
        <v>111844</v>
      </c>
      <c r="D55" s="28" t="str">
        <f>IFERROR(__xludf.DUMMYFUNCTION("""COMPUTED_VALUE"""),"Cercanía y PC")</f>
        <v>Cercanía y PC</v>
      </c>
      <c r="E55" s="28"/>
    </row>
    <row r="56">
      <c r="A56" s="28" t="str">
        <f>IFERROR(__xludf.DUMMYFUNCTION("""COMPUTED_VALUE"""),"Personas interesadas en mascotas")</f>
        <v>Personas interesadas en mascotas</v>
      </c>
      <c r="B56" s="28" t="str">
        <f>IFERROR(__xludf.DUMMYFUNCTION("""COMPUTED_VALUE"""),"IMas")</f>
        <v>IMas</v>
      </c>
      <c r="C56" s="12">
        <f>IFERROR(__xludf.DUMMYFUNCTION("""COMPUTED_VALUE"""),109771.0)</f>
        <v>109771</v>
      </c>
      <c r="D56" s="28" t="str">
        <f>IFERROR(__xludf.DUMMYFUNCTION("""COMPUTED_VALUE"""),"Jefatura de Gabinete")</f>
        <v>Jefatura de Gabinete</v>
      </c>
      <c r="E56" s="28"/>
    </row>
    <row r="57">
      <c r="A57" s="28" t="str">
        <f>IFERROR(__xludf.DUMMYFUNCTION("""COMPUTED_VALUE"""),"Personas registradas en sorteos")</f>
        <v>Personas registradas en sorteos</v>
      </c>
      <c r="B57" s="28" t="str">
        <f>IFERROR(__xludf.DUMMYFUNCTION("""COMPUTED_VALUE"""),"PSor")</f>
        <v>PSor</v>
      </c>
      <c r="C57" s="12">
        <f>IFERROR(__xludf.DUMMYFUNCTION("""COMPUTED_VALUE"""),108996.0)</f>
        <v>108996</v>
      </c>
      <c r="D57" s="28" t="str">
        <f>IFERROR(__xludf.DUMMYFUNCTION("""COMPUTED_VALUE"""),"Cultura")</f>
        <v>Cultura</v>
      </c>
      <c r="E57" s="28"/>
    </row>
    <row r="58">
      <c r="A58" s="28" t="str">
        <f>IFERROR(__xludf.DUMMYFUNCTION("""COMPUTED_VALUE"""),"Personas que participaron en eventos en general")</f>
        <v>Personas que participaron en eventos en general</v>
      </c>
      <c r="B58" s="28" t="str">
        <f>IFERROR(__xludf.DUMMYFUNCTION("""COMPUTED_VALUE"""),"PEve")</f>
        <v>PEve</v>
      </c>
      <c r="C58" s="12">
        <f>IFERROR(__xludf.DUMMYFUNCTION("""COMPUTED_VALUE"""),108514.0)</f>
        <v>108514</v>
      </c>
      <c r="D58" s="28" t="str">
        <f>IFERROR(__xludf.DUMMYFUNCTION("""COMPUTED_VALUE"""),"Festivales y Eventos")</f>
        <v>Festivales y Eventos</v>
      </c>
      <c r="E58" s="28"/>
    </row>
    <row r="59">
      <c r="A59" s="28" t="str">
        <f>IFERROR(__xludf.DUMMYFUNCTION("""COMPUTED_VALUE"""),"Personas interesadas en la gestión de la ciudad")</f>
        <v>Personas interesadas en la gestión de la ciudad</v>
      </c>
      <c r="B59" s="28" t="str">
        <f>IFERROR(__xludf.DUMMYFUNCTION("""COMPUTED_VALUE"""),"IGes")</f>
        <v>IGes</v>
      </c>
      <c r="C59" s="12">
        <f>IFERROR(__xludf.DUMMYFUNCTION("""COMPUTED_VALUE"""),106970.0)</f>
        <v>106970</v>
      </c>
      <c r="D59" s="28" t="str">
        <f>IFERROR(__xludf.DUMMYFUNCTION("""COMPUTED_VALUE"""),"Participación Ciudadana")</f>
        <v>Participación Ciudadana</v>
      </c>
      <c r="E59" s="28"/>
    </row>
    <row r="60">
      <c r="A60" s="28" t="str">
        <f>IFERROR(__xludf.DUMMYFUNCTION("""COMPUTED_VALUE"""),"Personas interesadas en infraestructura urbana")</f>
        <v>Personas interesadas en infraestructura urbana</v>
      </c>
      <c r="B60" s="28" t="str">
        <f>IFERROR(__xludf.DUMMYFUNCTION("""COMPUTED_VALUE"""),"IInf")</f>
        <v>IInf</v>
      </c>
      <c r="C60" s="12">
        <f>IFERROR(__xludf.DUMMYFUNCTION("""COMPUTED_VALUE"""),103835.0)</f>
        <v>103835</v>
      </c>
      <c r="D60" s="28" t="str">
        <f>IFERROR(__xludf.DUMMYFUNCTION("""COMPUTED_VALUE"""),"Infraestructura")</f>
        <v>Infraestructura</v>
      </c>
      <c r="E60" s="28"/>
    </row>
    <row r="61">
      <c r="A61" s="28" t="str">
        <f>IFERROR(__xludf.DUMMYFUNCTION("""COMPUTED_VALUE"""),"Personas interesadas en emprendedores y/o emprendimientos")</f>
        <v>Personas interesadas en emprendedores y/o emprendimientos</v>
      </c>
      <c r="B61" s="28" t="str">
        <f>IFERROR(__xludf.DUMMYFUNCTION("""COMPUTED_VALUE"""),"IEmp")</f>
        <v>IEmp</v>
      </c>
      <c r="C61" s="12">
        <f>IFERROR(__xludf.DUMMYFUNCTION("""COMPUTED_VALUE"""),103044.0)</f>
        <v>103044</v>
      </c>
      <c r="D61" s="28" t="str">
        <f>IFERROR(__xludf.DUMMYFUNCTION("""COMPUTED_VALUE"""),"Desarrollo Económico")</f>
        <v>Desarrollo Económico</v>
      </c>
      <c r="E61" s="28"/>
    </row>
    <row r="62">
      <c r="A62" s="28" t="str">
        <f>IFERROR(__xludf.DUMMYFUNCTION("""COMPUTED_VALUE"""),"Personas que consultaron por tramites de infraccion")</f>
        <v>Personas que consultaron por tramites de infraccion</v>
      </c>
      <c r="B62" s="28" t="str">
        <f>IFERROR(__xludf.DUMMYFUNCTION("""COMPUTED_VALUE"""),"CTraInf")</f>
        <v>CTraInf</v>
      </c>
      <c r="C62" s="12">
        <f>IFERROR(__xludf.DUMMYFUNCTION("""COMPUTED_VALUE"""),102174.0)</f>
        <v>102174</v>
      </c>
      <c r="D62" s="28" t="str">
        <f>IFERROR(__xludf.DUMMYFUNCTION("""COMPUTED_VALUE"""),"Vínculo Ciudadano")</f>
        <v>Vínculo Ciudadano</v>
      </c>
      <c r="E62" s="28"/>
    </row>
    <row r="63">
      <c r="A63" s="28" t="str">
        <f>IFERROR(__xludf.DUMMYFUNCTION("""COMPUTED_VALUE"""),"Personas interesadas en musica")</f>
        <v>Personas interesadas en musica</v>
      </c>
      <c r="B63" s="28" t="str">
        <f>IFERROR(__xludf.DUMMYFUNCTION("""COMPUTED_VALUE"""),"ICulMca")</f>
        <v>ICulMca</v>
      </c>
      <c r="C63" s="12">
        <f>IFERROR(__xludf.DUMMYFUNCTION("""COMPUTED_VALUE"""),98876.0)</f>
        <v>98876</v>
      </c>
      <c r="D63" s="28" t="str">
        <f>IFERROR(__xludf.DUMMYFUNCTION("""COMPUTED_VALUE"""),"Cultura")</f>
        <v>Cultura</v>
      </c>
      <c r="E63" s="28"/>
    </row>
    <row r="64">
      <c r="A64" s="28" t="str">
        <f>IFERROR(__xludf.DUMMYFUNCTION("""COMPUTED_VALUE"""),"Personas que llamaron al 147 por infracciones de transito")</f>
        <v>Personas que llamaron al 147 por infracciones de transito</v>
      </c>
      <c r="B64" s="28" t="str">
        <f>IFERROR(__xludf.DUMMYFUNCTION("""COMPUTED_VALUE"""),"C147Inf")</f>
        <v>C147Inf</v>
      </c>
      <c r="C64" s="12">
        <f>IFERROR(__xludf.DUMMYFUNCTION("""COMPUTED_VALUE"""),97368.0)</f>
        <v>97368</v>
      </c>
      <c r="D64" s="28" t="str">
        <f>IFERROR(__xludf.DUMMYFUNCTION("""COMPUTED_VALUE"""),"Infraestructura")</f>
        <v>Infraestructura</v>
      </c>
      <c r="E64" s="28"/>
    </row>
    <row r="65">
      <c r="A65" s="28" t="str">
        <f>IFERROR(__xludf.DUMMYFUNCTION("""COMPUTED_VALUE"""),"Personas interesadas en teatro")</f>
        <v>Personas interesadas en teatro</v>
      </c>
      <c r="B65" s="28" t="str">
        <f>IFERROR(__xludf.DUMMYFUNCTION("""COMPUTED_VALUE"""),"ICulTea")</f>
        <v>ICulTea</v>
      </c>
      <c r="C65" s="12">
        <f>IFERROR(__xludf.DUMMYFUNCTION("""COMPUTED_VALUE"""),96223.0)</f>
        <v>96223</v>
      </c>
      <c r="D65" s="28" t="str">
        <f>IFERROR(__xludf.DUMMYFUNCTION("""COMPUTED_VALUE"""),"Cultura")</f>
        <v>Cultura</v>
      </c>
      <c r="E65" s="28"/>
    </row>
    <row r="66">
      <c r="A66" s="28" t="str">
        <f>IFERROR(__xludf.DUMMYFUNCTION("""COMPUTED_VALUE"""),"Personas interesadas en el Coronavirus")</f>
        <v>Personas interesadas en el Coronavirus</v>
      </c>
      <c r="B66" s="28" t="str">
        <f>IFERROR(__xludf.DUMMYFUNCTION("""COMPUTED_VALUE"""),"ISalCor")</f>
        <v>ISalCor</v>
      </c>
      <c r="C66" s="12">
        <f>IFERROR(__xludf.DUMMYFUNCTION("""COMPUTED_VALUE"""),90379.0)</f>
        <v>90379</v>
      </c>
      <c r="D66" s="28" t="str">
        <f>IFERROR(__xludf.DUMMYFUNCTION("""COMPUTED_VALUE"""),"Salud")</f>
        <v>Salud</v>
      </c>
      <c r="E66" s="28"/>
    </row>
    <row r="67">
      <c r="A67" s="28" t="str">
        <f>IFERROR(__xludf.DUMMYFUNCTION("""COMPUTED_VALUE"""),"Personas interesadas en literatura")</f>
        <v>Personas interesadas en literatura</v>
      </c>
      <c r="B67" s="28" t="str">
        <f>IFERROR(__xludf.DUMMYFUNCTION("""COMPUTED_VALUE"""),"ICulLit")</f>
        <v>ICulLit</v>
      </c>
      <c r="C67" s="12">
        <f>IFERROR(__xludf.DUMMYFUNCTION("""COMPUTED_VALUE"""),86338.0)</f>
        <v>86338</v>
      </c>
      <c r="D67" s="28" t="str">
        <f>IFERROR(__xludf.DUMMYFUNCTION("""COMPUTED_VALUE"""),"Cultura")</f>
        <v>Cultura</v>
      </c>
      <c r="E67" s="28"/>
    </row>
    <row r="68">
      <c r="A68" s="28" t="str">
        <f>IFERROR(__xludf.DUMMYFUNCTION("""COMPUTED_VALUE"""),"Personas que consultaron y/o son beneficiarios y/o inscriptos de subsidios Ciudadania Porteña")</f>
        <v>Personas que consultaron y/o son beneficiarios y/o inscriptos de subsidios Ciudadania Porteña</v>
      </c>
      <c r="B68" s="28" t="str">
        <f>IFERROR(__xludf.DUMMYFUNCTION("""COMPUTED_VALUE"""),"DPrpCiu")</f>
        <v>DPrpCiu</v>
      </c>
      <c r="C68" s="12">
        <f>IFERROR(__xludf.DUMMYFUNCTION("""COMPUTED_VALUE"""),85663.0)</f>
        <v>85663</v>
      </c>
      <c r="D68" s="28" t="str">
        <f>IFERROR(__xludf.DUMMYFUNCTION("""COMPUTED_VALUE"""),"Desarrollo Humano y Hábitat")</f>
        <v>Desarrollo Humano y Hábitat</v>
      </c>
      <c r="E68" s="28"/>
    </row>
    <row r="69">
      <c r="A69" s="28" t="str">
        <f>IFERROR(__xludf.DUMMYFUNCTION("""COMPUTED_VALUE"""),"Personas interesadas en JJOO")</f>
        <v>Personas interesadas en JJOO</v>
      </c>
      <c r="B69" s="28" t="str">
        <f>IFERROR(__xludf.DUMMYFUNCTION("""COMPUTED_VALUE"""),"IDepJjo")</f>
        <v>IDepJjo</v>
      </c>
      <c r="C69" s="12">
        <f>IFERROR(__xludf.DUMMYFUNCTION("""COMPUTED_VALUE"""),82714.0)</f>
        <v>82714</v>
      </c>
      <c r="D69" s="28" t="str">
        <f>IFERROR(__xludf.DUMMYFUNCTION("""COMPUTED_VALUE"""),"Desarrollo Urbano y Deportes")</f>
        <v>Desarrollo Urbano y Deportes</v>
      </c>
      <c r="E69" s="28"/>
    </row>
    <row r="70">
      <c r="A70" s="28" t="str">
        <f>IFERROR(__xludf.DUMMYFUNCTION("""COMPUTED_VALUE"""),"Personas que consultaron por tramites de denuncias")</f>
        <v>Personas que consultaron por tramites de denuncias</v>
      </c>
      <c r="B70" s="28" t="str">
        <f>IFERROR(__xludf.DUMMYFUNCTION("""COMPUTED_VALUE"""),"CTraDen")</f>
        <v>CTraDen</v>
      </c>
      <c r="C70" s="12">
        <f>IFERROR(__xludf.DUMMYFUNCTION("""COMPUTED_VALUE"""),81749.0)</f>
        <v>81749</v>
      </c>
      <c r="D70" s="28" t="str">
        <f>IFERROR(__xludf.DUMMYFUNCTION("""COMPUTED_VALUE"""),"Seguridad")</f>
        <v>Seguridad</v>
      </c>
      <c r="E70" s="28"/>
    </row>
    <row r="71">
      <c r="A71" s="28" t="str">
        <f>IFERROR(__xludf.DUMMYFUNCTION("""COMPUTED_VALUE"""),"Personas que consultaron y/o son beneficiarias del credito programa primera casa")</f>
        <v>Personas que consultaron y/o son beneficiarias del credito programa primera casa</v>
      </c>
      <c r="B71" s="28" t="str">
        <f>IFERROR(__xludf.DUMMYFUNCTION("""COMPUTED_VALUE"""),"CIvcPri")</f>
        <v>CIvcPri</v>
      </c>
      <c r="C71" s="12">
        <f>IFERROR(__xludf.DUMMYFUNCTION("""COMPUTED_VALUE"""),77606.0)</f>
        <v>77606</v>
      </c>
      <c r="D71" s="28" t="str">
        <f>IFERROR(__xludf.DUMMYFUNCTION("""COMPUTED_VALUE"""),"Desarrollo Humano y Hábitat")</f>
        <v>Desarrollo Humano y Hábitat</v>
      </c>
      <c r="E71" s="28"/>
    </row>
    <row r="72">
      <c r="A72" s="28" t="str">
        <f>IFERROR(__xludf.DUMMYFUNCTION("""COMPUTED_VALUE"""),"Personas con estudios en derecho")</f>
        <v>Personas con estudios en derecho</v>
      </c>
      <c r="B72" s="28" t="str">
        <f>IFERROR(__xludf.DUMMYFUNCTION("""COMPUTED_VALUE"""),"DEstDer")</f>
        <v>DEstDer</v>
      </c>
      <c r="C72" s="12">
        <f>IFERROR(__xludf.DUMMYFUNCTION("""COMPUTED_VALUE"""),76784.0)</f>
        <v>76784</v>
      </c>
      <c r="D72" s="28" t="str">
        <f>IFERROR(__xludf.DUMMYFUNCTION("""COMPUTED_VALUE"""),"Educación")</f>
        <v>Educación</v>
      </c>
      <c r="E72" s="28"/>
    </row>
    <row r="73">
      <c r="A73" s="28" t="str">
        <f>IFERROR(__xludf.DUMMYFUNCTION("""COMPUTED_VALUE"""),"Personas que consultaron por tramites de agip")</f>
        <v>Personas que consultaron por tramites de agip</v>
      </c>
      <c r="B73" s="28" t="str">
        <f>IFERROR(__xludf.DUMMYFUNCTION("""COMPUTED_VALUE"""),"CTraAgi")</f>
        <v>CTraAgi</v>
      </c>
      <c r="C73" s="12">
        <f>IFERROR(__xludf.DUMMYFUNCTION("""COMPUTED_VALUE"""),76320.0)</f>
        <v>76320</v>
      </c>
      <c r="D73" s="28" t="str">
        <f>IFERROR(__xludf.DUMMYFUNCTION("""COMPUTED_VALUE"""),"Vínculo Ciudadano")</f>
        <v>Vínculo Ciudadano</v>
      </c>
      <c r="E73" s="28"/>
    </row>
    <row r="74">
      <c r="A74" s="28" t="str">
        <f>IFERROR(__xludf.DUMMYFUNCTION("""COMPUTED_VALUE"""),"Personas que consultaron por turnos")</f>
        <v>Personas que consultaron por turnos</v>
      </c>
      <c r="B74" s="28" t="str">
        <f>IFERROR(__xludf.DUMMYFUNCTION("""COMPUTED_VALUE"""),"CTraTur")</f>
        <v>CTraTur</v>
      </c>
      <c r="C74" s="12">
        <f>IFERROR(__xludf.DUMMYFUNCTION("""COMPUTED_VALUE"""),72492.0)</f>
        <v>72492</v>
      </c>
      <c r="D74" s="28" t="str">
        <f>IFERROR(__xludf.DUMMYFUNCTION("""COMPUTED_VALUE"""),"Vínculo Ciudadano")</f>
        <v>Vínculo Ciudadano</v>
      </c>
      <c r="E74" s="28"/>
    </row>
    <row r="75">
      <c r="A75" s="28" t="str">
        <f>IFERROR(__xludf.DUMMYFUNCTION("""COMPUTED_VALUE"""),"Personas interesadas en deportes")</f>
        <v>Personas interesadas en deportes</v>
      </c>
      <c r="B75" s="28" t="str">
        <f>IFERROR(__xludf.DUMMYFUNCTION("""COMPUTED_VALUE"""),"IDep")</f>
        <v>IDep</v>
      </c>
      <c r="C75" s="12">
        <f>IFERROR(__xludf.DUMMYFUNCTION("""COMPUTED_VALUE"""),72411.0)</f>
        <v>72411</v>
      </c>
      <c r="D75" s="28" t="str">
        <f>IFERROR(__xludf.DUMMYFUNCTION("""COMPUTED_VALUE"""),"Desarrollo Urbano y Deportes")</f>
        <v>Desarrollo Urbano y Deportes</v>
      </c>
      <c r="E75" s="28"/>
    </row>
    <row r="76">
      <c r="A76" s="28" t="str">
        <f>IFERROR(__xludf.DUMMYFUNCTION("""COMPUTED_VALUE"""),"Personas interesadas en medioambiente")</f>
        <v>Personas interesadas en medioambiente</v>
      </c>
      <c r="B76" s="28" t="str">
        <f>IFERROR(__xludf.DUMMYFUNCTION("""COMPUTED_VALUE"""),"IMed")</f>
        <v>IMed</v>
      </c>
      <c r="C76" s="12">
        <f>IFERROR(__xludf.DUMMYFUNCTION("""COMPUTED_VALUE"""),72149.0)</f>
        <v>72149</v>
      </c>
      <c r="D76" s="28" t="str">
        <f>IFERROR(__xludf.DUMMYFUNCTION("""COMPUTED_VALUE"""),"Ambiente")</f>
        <v>Ambiente</v>
      </c>
      <c r="E76" s="28"/>
    </row>
    <row r="77">
      <c r="A77" s="28" t="str">
        <f>IFERROR(__xludf.DUMMYFUNCTION("""COMPUTED_VALUE"""),"Personas interesadas en cine comercial, independiente.")</f>
        <v>Personas interesadas en cine comercial, independiente.</v>
      </c>
      <c r="B77" s="28" t="str">
        <f>IFERROR(__xludf.DUMMYFUNCTION("""COMPUTED_VALUE"""),"ICulCin")</f>
        <v>ICulCin</v>
      </c>
      <c r="C77" s="12">
        <f>IFERROR(__xludf.DUMMYFUNCTION("""COMPUTED_VALUE"""),71130.0)</f>
        <v>71130</v>
      </c>
      <c r="D77" s="28" t="str">
        <f>IFERROR(__xludf.DUMMYFUNCTION("""COMPUTED_VALUE"""),"Cultura")</f>
        <v>Cultura</v>
      </c>
      <c r="E77" s="28"/>
    </row>
    <row r="78">
      <c r="A78" s="28" t="str">
        <f>IFERROR(__xludf.DUMMYFUNCTION("""COMPUTED_VALUE"""),"Personas que consultaron y/o reclamaron sobre recoleccion de residuos limpieza.")</f>
        <v>Personas que consultaron y/o reclamaron sobre recoleccion de residuos limpieza.</v>
      </c>
      <c r="B78" s="28" t="str">
        <f>IFERROR(__xludf.DUMMYFUNCTION("""COMPUTED_VALUE"""),"C147Rrs")</f>
        <v>C147Rrs</v>
      </c>
      <c r="C78" s="12">
        <f>IFERROR(__xludf.DUMMYFUNCTION("""COMPUTED_VALUE"""),70917.0)</f>
        <v>70917</v>
      </c>
      <c r="D78" s="28" t="str">
        <f>IFERROR(__xludf.DUMMYFUNCTION("""COMPUTED_VALUE"""),"Espacio Público e Higiene Urbana")</f>
        <v>Espacio Público e Higiene Urbana</v>
      </c>
      <c r="E78" s="28"/>
    </row>
    <row r="79">
      <c r="A79" s="28" t="str">
        <f>IFERROR(__xludf.DUMMYFUNCTION("""COMPUTED_VALUE"""),"Personas interesadas en eventos para niños")</f>
        <v>Personas interesadas en eventos para niños</v>
      </c>
      <c r="B79" s="28" t="str">
        <f>IFERROR(__xludf.DUMMYFUNCTION("""COMPUTED_VALUE"""),"ICulEvn")</f>
        <v>ICulEvn</v>
      </c>
      <c r="C79" s="12">
        <f>IFERROR(__xludf.DUMMYFUNCTION("""COMPUTED_VALUE"""),69461.0)</f>
        <v>69461</v>
      </c>
      <c r="D79" s="28" t="str">
        <f>IFERROR(__xludf.DUMMYFUNCTION("""COMPUTED_VALUE"""),"Festivales y Eventos")</f>
        <v>Festivales y Eventos</v>
      </c>
      <c r="E79" s="28"/>
    </row>
    <row r="80">
      <c r="A80" s="28" t="str">
        <f>IFERROR(__xludf.DUMMYFUNCTION("""COMPUTED_VALUE"""),"Personas que se inscribieron en el programa de bienestar integral")</f>
        <v>Personas que se inscribieron en el programa de bienestar integral</v>
      </c>
      <c r="B80" s="28" t="str">
        <f>IFERROR(__xludf.DUMMYFUNCTION("""COMPUTED_VALUE"""),"CSalBie")</f>
        <v>CSalBie</v>
      </c>
      <c r="C80" s="12">
        <f>IFERROR(__xludf.DUMMYFUNCTION("""COMPUTED_VALUE"""),69036.0)</f>
        <v>69036</v>
      </c>
      <c r="D80" s="28" t="str">
        <f>IFERROR(__xludf.DUMMYFUNCTION("""COMPUTED_VALUE"""),"Desarrollo Humano y Hábitat")</f>
        <v>Desarrollo Humano y Hábitat</v>
      </c>
      <c r="E80" s="28"/>
    </row>
    <row r="81">
      <c r="A81" s="28" t="str">
        <f>IFERROR(__xludf.DUMMYFUNCTION("""COMPUTED_VALUE"""),"Personas que inscriptas en Acciones Pc")</f>
        <v>Personas que inscriptas en Acciones Pc</v>
      </c>
      <c r="B81" s="28" t="str">
        <f>IFERROR(__xludf.DUMMYFUNCTION("""COMPUTED_VALUE"""),"PAccIns")</f>
        <v>PAccIns</v>
      </c>
      <c r="C81" s="12">
        <f>IFERROR(__xludf.DUMMYFUNCTION("""COMPUTED_VALUE"""),68555.0)</f>
        <v>68555</v>
      </c>
      <c r="D81" s="28" t="str">
        <f>IFERROR(__xludf.DUMMYFUNCTION("""COMPUTED_VALUE"""),"Cercanía y PC")</f>
        <v>Cercanía y PC</v>
      </c>
      <c r="E81" s="28"/>
    </row>
    <row r="82">
      <c r="A82" s="28" t="str">
        <f>IFERROR(__xludf.DUMMYFUNCTION("""COMPUTED_VALUE"""),"Personas interesadas en tematica de genero (lgbtiq, feministas, orgullo ba)")</f>
        <v>Personas interesadas en tematica de genero (lgbtiq, feministas, orgullo ba)</v>
      </c>
      <c r="B82" s="28" t="str">
        <f>IFERROR(__xludf.DUMMYFUNCTION("""COMPUTED_VALUE"""),"IGen")</f>
        <v>IGen</v>
      </c>
      <c r="C82" s="12">
        <f>IFERROR(__xludf.DUMMYFUNCTION("""COMPUTED_VALUE"""),68495.0)</f>
        <v>68495</v>
      </c>
      <c r="D82" s="28" t="str">
        <f>IFERROR(__xludf.DUMMYFUNCTION("""COMPUTED_VALUE"""),"Jefatura de Gobierno")</f>
        <v>Jefatura de Gobierno</v>
      </c>
      <c r="E82" s="28"/>
    </row>
    <row r="83">
      <c r="A83" s="28" t="str">
        <f>IFERROR(__xludf.DUMMYFUNCTION("""COMPUTED_VALUE"""),"Personas inscriptas en el programa Ciudad Bilingüe")</f>
        <v>Personas inscriptas en el programa Ciudad Bilingüe</v>
      </c>
      <c r="B83" s="28" t="str">
        <f>IFERROR(__xludf.DUMMYFUNCTION("""COMPUTED_VALUE"""),"PBilIns")</f>
        <v>PBilIns</v>
      </c>
      <c r="C83" s="12">
        <f>IFERROR(__xludf.DUMMYFUNCTION("""COMPUTED_VALUE"""),67690.0)</f>
        <v>67690</v>
      </c>
      <c r="D83" s="28" t="str">
        <f>IFERROR(__xludf.DUMMYFUNCTION("""COMPUTED_VALUE"""),"Educación")</f>
        <v>Educación</v>
      </c>
      <c r="E83" s="28"/>
    </row>
    <row r="84">
      <c r="A84" s="28" t="str">
        <f>IFERROR(__xludf.DUMMYFUNCTION("""COMPUTED_VALUE"""),"Personas interesadas en complejo teatral")</f>
        <v>Personas interesadas en complejo teatral</v>
      </c>
      <c r="B84" s="28" t="str">
        <f>IFERROR(__xludf.DUMMYFUNCTION("""COMPUTED_VALUE"""),"ICulCom")</f>
        <v>ICulCom</v>
      </c>
      <c r="C84" s="12">
        <f>IFERROR(__xludf.DUMMYFUNCTION("""COMPUTED_VALUE"""),67222.0)</f>
        <v>67222</v>
      </c>
      <c r="D84" s="28" t="str">
        <f>IFERROR(__xludf.DUMMYFUNCTION("""COMPUTED_VALUE"""),"Cultura")</f>
        <v>Cultura</v>
      </c>
      <c r="E84" s="28"/>
    </row>
    <row r="85">
      <c r="A85" s="28" t="str">
        <f>IFERROR(__xludf.DUMMYFUNCTION("""COMPUTED_VALUE"""),"Personas que consultaron para actualizar su dni")</f>
        <v>Personas que consultaron para actualizar su dni</v>
      </c>
      <c r="B85" s="28" t="str">
        <f>IFERROR(__xludf.DUMMYFUNCTION("""COMPUTED_VALUE"""),"CTraAct")</f>
        <v>CTraAct</v>
      </c>
      <c r="C85" s="12">
        <f>IFERROR(__xludf.DUMMYFUNCTION("""COMPUTED_VALUE"""),64566.0)</f>
        <v>64566</v>
      </c>
      <c r="D85" s="28" t="str">
        <f>IFERROR(__xludf.DUMMYFUNCTION("""COMPUTED_VALUE"""),"Vínculo Ciudadano")</f>
        <v>Vínculo Ciudadano</v>
      </c>
      <c r="E85" s="28"/>
    </row>
    <row r="86">
      <c r="A86" s="28" t="str">
        <f>IFERROR(__xludf.DUMMYFUNCTION("""COMPUTED_VALUE"""),"Personas registradas en sorteos de musica")</f>
        <v>Personas registradas en sorteos de musica</v>
      </c>
      <c r="B86" s="28" t="str">
        <f>IFERROR(__xludf.DUMMYFUNCTION("""COMPUTED_VALUE"""),"PSorMus")</f>
        <v>PSorMus</v>
      </c>
      <c r="C86" s="12">
        <f>IFERROR(__xludf.DUMMYFUNCTION("""COMPUTED_VALUE"""),64471.0)</f>
        <v>64471</v>
      </c>
      <c r="D86" s="28" t="str">
        <f>IFERROR(__xludf.DUMMYFUNCTION("""COMPUTED_VALUE"""),"Cultura")</f>
        <v>Cultura</v>
      </c>
      <c r="E86" s="28"/>
    </row>
    <row r="87">
      <c r="A87" s="28" t="str">
        <f>IFERROR(__xludf.DUMMYFUNCTION("""COMPUTED_VALUE"""),"Personas interesadas en el transporte publico")</f>
        <v>Personas interesadas en el transporte publico</v>
      </c>
      <c r="B87" s="28" t="str">
        <f>IFERROR(__xludf.DUMMYFUNCTION("""COMPUTED_VALUE"""),"ITraPub")</f>
        <v>ITraPub</v>
      </c>
      <c r="C87" s="12">
        <f>IFERROR(__xludf.DUMMYFUNCTION("""COMPUTED_VALUE"""),63447.0)</f>
        <v>63447</v>
      </c>
      <c r="D87" s="28" t="str">
        <f>IFERROR(__xludf.DUMMYFUNCTION("""COMPUTED_VALUE"""),"Bien Publico")</f>
        <v>Bien Publico</v>
      </c>
      <c r="E87" s="28"/>
    </row>
    <row r="88">
      <c r="A88" s="28" t="str">
        <f>IFERROR(__xludf.DUMMYFUNCTION("""COMPUTED_VALUE"""),"Padres/ tutores/responsables de alumnos matriculados en escuelas publicas año 2015")</f>
        <v>Padres/ tutores/responsables de alumnos matriculados en escuelas publicas año 2015</v>
      </c>
      <c r="B88" s="28" t="str">
        <f>IFERROR(__xludf.DUMMYFUNCTION("""COMPUTED_VALUE"""),"DEduMat")</f>
        <v>DEduMat</v>
      </c>
      <c r="C88" s="12">
        <f>IFERROR(__xludf.DUMMYFUNCTION("""COMPUTED_VALUE"""),63388.0)</f>
        <v>63388</v>
      </c>
      <c r="D88" s="28" t="str">
        <f>IFERROR(__xludf.DUMMYFUNCTION("""COMPUTED_VALUE"""),"Educación")</f>
        <v>Educación</v>
      </c>
      <c r="E88" s="28"/>
    </row>
    <row r="89">
      <c r="A89" s="28" t="str">
        <f>IFERROR(__xludf.DUMMYFUNCTION("""COMPUTED_VALUE"""),"Personas que llamaron al 147 por reclamos")</f>
        <v>Personas que llamaron al 147 por reclamos</v>
      </c>
      <c r="B89" s="28" t="str">
        <f>IFERROR(__xludf.DUMMYFUNCTION("""COMPUTED_VALUE"""),"C147Rec")</f>
        <v>C147Rec</v>
      </c>
      <c r="C89" s="12">
        <f>IFERROR(__xludf.DUMMYFUNCTION("""COMPUTED_VALUE"""),61862.0)</f>
        <v>61862</v>
      </c>
      <c r="D89" s="28" t="str">
        <f>IFERROR(__xludf.DUMMYFUNCTION("""COMPUTED_VALUE"""),"Vínculo Ciudadano")</f>
        <v>Vínculo Ciudadano</v>
      </c>
      <c r="E89" s="28"/>
    </row>
    <row r="90">
      <c r="A90" s="28" t="str">
        <f>IFERROR(__xludf.DUMMYFUNCTION("""COMPUTED_VALUE"""),"Padres/ tutores/responsables de alumnos estudiantes en escuelas publicas, nivel primario del año 2019")</f>
        <v>Padres/ tutores/responsables de alumnos estudiantes en escuelas publicas, nivel primario del año 2019</v>
      </c>
      <c r="B90" s="28" t="str">
        <f>IFERROR(__xludf.DUMMYFUNCTION("""COMPUTED_VALUE"""),"DEduP19")</f>
        <v>DEduP19</v>
      </c>
      <c r="C90" s="12">
        <f>IFERROR(__xludf.DUMMYFUNCTION("""COMPUTED_VALUE"""),60463.0)</f>
        <v>60463</v>
      </c>
      <c r="D90" s="28" t="str">
        <f>IFERROR(__xludf.DUMMYFUNCTION("""COMPUTED_VALUE"""),"Educación")</f>
        <v>Educación</v>
      </c>
      <c r="E90" s="28"/>
    </row>
    <row r="91">
      <c r="A91" s="28" t="str">
        <f>IFERROR(__xludf.DUMMYFUNCTION("""COMPUTED_VALUE"""),"Personas que llamaron al 147 por vtv")</f>
        <v>Personas que llamaron al 147 por vtv</v>
      </c>
      <c r="B91" s="28" t="str">
        <f>IFERROR(__xludf.DUMMYFUNCTION("""COMPUTED_VALUE"""),"C147Vtv")</f>
        <v>C147Vtv</v>
      </c>
      <c r="C91" s="12">
        <f>IFERROR(__xludf.DUMMYFUNCTION("""COMPUTED_VALUE"""),58613.0)</f>
        <v>58613</v>
      </c>
      <c r="D91" s="28" t="str">
        <f>IFERROR(__xludf.DUMMYFUNCTION("""COMPUTED_VALUE"""),"Vínculo Ciudadano")</f>
        <v>Vínculo Ciudadano</v>
      </c>
      <c r="E91" s="28"/>
    </row>
    <row r="92">
      <c r="A92" s="28" t="str">
        <f>IFERROR(__xludf.DUMMYFUNCTION("""COMPUTED_VALUE"""),"Personas que asistieron a festivales de Buenos Aires")</f>
        <v>Personas que asistieron a festivales de Buenos Aires</v>
      </c>
      <c r="B92" s="28" t="str">
        <f>IFERROR(__xludf.DUMMYFUNCTION("""COMPUTED_VALUE"""),"ICulFes")</f>
        <v>ICulFes</v>
      </c>
      <c r="C92" s="12">
        <f>IFERROR(__xludf.DUMMYFUNCTION("""COMPUTED_VALUE"""),58086.0)</f>
        <v>58086</v>
      </c>
      <c r="D92" s="28" t="str">
        <f>IFERROR(__xludf.DUMMYFUNCTION("""COMPUTED_VALUE"""),"Festivales y Eventos")</f>
        <v>Festivales y Eventos</v>
      </c>
      <c r="E92" s="28"/>
    </row>
    <row r="93">
      <c r="A93" s="28" t="str">
        <f>IFERROR(__xludf.DUMMYFUNCTION("""COMPUTED_VALUE"""),"Personas que ocupan cargos de dirección, administración y gestión en empresas")</f>
        <v>Personas que ocupan cargos de dirección, administración y gestión en empresas</v>
      </c>
      <c r="B93" s="28" t="str">
        <f>IFERROR(__xludf.DUMMYFUNCTION("""COMPUTED_VALUE"""),"DOfiDag")</f>
        <v>DOfiDag</v>
      </c>
      <c r="C93" s="12">
        <f>IFERROR(__xludf.DUMMYFUNCTION("""COMPUTED_VALUE"""),57901.0)</f>
        <v>57901</v>
      </c>
      <c r="D93" s="28" t="str">
        <f>IFERROR(__xludf.DUMMYFUNCTION("""COMPUTED_VALUE"""),"Desarrollo Económico")</f>
        <v>Desarrollo Económico</v>
      </c>
      <c r="E93" s="28"/>
    </row>
    <row r="94">
      <c r="A94" s="28" t="str">
        <f>IFERROR(__xludf.DUMMYFUNCTION("""COMPUTED_VALUE"""),"Personas de Boca")</f>
        <v>Personas de Boca</v>
      </c>
      <c r="B94" s="28" t="str">
        <f>IFERROR(__xludf.DUMMYFUNCTION("""COMPUTED_VALUE"""),"ICuaBoc")</f>
        <v>ICuaBoc</v>
      </c>
      <c r="C94" s="12">
        <f>IFERROR(__xludf.DUMMYFUNCTION("""COMPUTED_VALUE"""),55992.0)</f>
        <v>55992</v>
      </c>
      <c r="D94" s="28" t="str">
        <f>IFERROR(__xludf.DUMMYFUNCTION("""COMPUTED_VALUE"""),"Desarrollo Urbano y Deportes")</f>
        <v>Desarrollo Urbano y Deportes</v>
      </c>
      <c r="E94" s="28"/>
    </row>
    <row r="95">
      <c r="A95" s="28" t="str">
        <f>IFERROR(__xludf.DUMMYFUNCTION("""COMPUTED_VALUE"""),"Personas que llamaron al 147 por reclamos de poda")</f>
        <v>Personas que llamaron al 147 por reclamos de poda</v>
      </c>
      <c r="B95" s="28" t="str">
        <f>IFERROR(__xludf.DUMMYFUNCTION("""COMPUTED_VALUE"""),"C147Rpo")</f>
        <v>C147Rpo</v>
      </c>
      <c r="C95" s="12">
        <f>IFERROR(__xludf.DUMMYFUNCTION("""COMPUTED_VALUE"""),55737.0)</f>
        <v>55737</v>
      </c>
      <c r="D95" s="28" t="str">
        <f>IFERROR(__xludf.DUMMYFUNCTION("""COMPUTED_VALUE"""),"Espacio Público e Higiene Urbana")</f>
        <v>Espacio Público e Higiene Urbana</v>
      </c>
      <c r="E95" s="28"/>
    </row>
    <row r="96">
      <c r="A96" s="28" t="str">
        <f>IFERROR(__xludf.DUMMYFUNCTION("""COMPUTED_VALUE"""),"Personas que consultaron por tramites de abl")</f>
        <v>Personas que consultaron por tramites de abl</v>
      </c>
      <c r="B96" s="28" t="str">
        <f>IFERROR(__xludf.DUMMYFUNCTION("""COMPUTED_VALUE"""),"CTraAbl")</f>
        <v>CTraAbl</v>
      </c>
      <c r="C96" s="12">
        <f>IFERROR(__xludf.DUMMYFUNCTION("""COMPUTED_VALUE"""),55555.0)</f>
        <v>55555</v>
      </c>
      <c r="D96" s="28" t="str">
        <f>IFERROR(__xludf.DUMMYFUNCTION("""COMPUTED_VALUE"""),"Vínculo Ciudadano")</f>
        <v>Vínculo Ciudadano</v>
      </c>
      <c r="E96" s="28"/>
    </row>
    <row r="97">
      <c r="A97" s="28" t="str">
        <f>IFERROR(__xludf.DUMMYFUNCTION("""COMPUTED_VALUE"""),"Personas que trabajan en el rubro de la construccion")</f>
        <v>Personas que trabajan en el rubro de la construccion</v>
      </c>
      <c r="B97" s="28" t="str">
        <f>IFERROR(__xludf.DUMMYFUNCTION("""COMPUTED_VALUE"""),"DOfiCon")</f>
        <v>DOfiCon</v>
      </c>
      <c r="C97" s="12">
        <f>IFERROR(__xludf.DUMMYFUNCTION("""COMPUTED_VALUE"""),52878.0)</f>
        <v>52878</v>
      </c>
      <c r="D97" s="28" t="str">
        <f>IFERROR(__xludf.DUMMYFUNCTION("""COMPUTED_VALUE"""),"Infraestructura")</f>
        <v>Infraestructura</v>
      </c>
      <c r="E97" s="28"/>
    </row>
    <row r="98">
      <c r="A98" s="28" t="str">
        <f>IFERROR(__xludf.DUMMYFUNCTION("""COMPUTED_VALUE"""),"Personas inscriptas en el programa de atencion veterinaria gratuita y cuidado de mascotas")</f>
        <v>Personas inscriptas en el programa de atencion veterinaria gratuita y cuidado de mascotas</v>
      </c>
      <c r="B98" s="28" t="str">
        <f>IFERROR(__xludf.DUMMYFUNCTION("""COMPUTED_VALUE"""),"CUsoMas")</f>
        <v>CUsoMas</v>
      </c>
      <c r="C98" s="12">
        <f>IFERROR(__xludf.DUMMYFUNCTION("""COMPUTED_VALUE"""),51851.0)</f>
        <v>51851</v>
      </c>
      <c r="D98" s="28" t="str">
        <f>IFERROR(__xludf.DUMMYFUNCTION("""COMPUTED_VALUE"""),"Jefatura de Gabinete")</f>
        <v>Jefatura de Gabinete</v>
      </c>
      <c r="E98" s="28"/>
    </row>
    <row r="99">
      <c r="A99" s="28" t="str">
        <f>IFERROR(__xludf.DUMMYFUNCTION("""COMPUTED_VALUE"""),"Personas que trabajan en gastronomía")</f>
        <v>Personas que trabajan en gastronomía</v>
      </c>
      <c r="B99" s="28" t="str">
        <f>IFERROR(__xludf.DUMMYFUNCTION("""COMPUTED_VALUE"""),"DOfiGas")</f>
        <v>DOfiGas</v>
      </c>
      <c r="C99" s="12">
        <f>IFERROR(__xludf.DUMMYFUNCTION("""COMPUTED_VALUE"""),50987.0)</f>
        <v>50987</v>
      </c>
      <c r="D99" s="28" t="str">
        <f>IFERROR(__xludf.DUMMYFUNCTION("""COMPUTED_VALUE"""),"Cultura")</f>
        <v>Cultura</v>
      </c>
      <c r="E99" s="28"/>
    </row>
    <row r="100">
      <c r="A100" s="28" t="str">
        <f>IFERROR(__xludf.DUMMYFUNCTION("""COMPUTED_VALUE"""),"Personas que solicitaron trabajo desde Mi BA")</f>
        <v>Personas que solicitaron trabajo desde Mi BA</v>
      </c>
      <c r="B100" s="28" t="str">
        <f>IFERROR(__xludf.DUMMYFUNCTION("""COMPUTED_VALUE"""),"CMibTra")</f>
        <v>CMibTra</v>
      </c>
      <c r="C100" s="12">
        <f>IFERROR(__xludf.DUMMYFUNCTION("""COMPUTED_VALUE"""),50285.0)</f>
        <v>50285</v>
      </c>
      <c r="D100" s="28" t="str">
        <f>IFERROR(__xludf.DUMMYFUNCTION("""COMPUTED_VALUE"""),"Jefatura de Gobierno")</f>
        <v>Jefatura de Gobierno</v>
      </c>
      <c r="E100" s="28"/>
    </row>
    <row r="101">
      <c r="A101" s="28" t="str">
        <f>IFERROR(__xludf.DUMMYFUNCTION("""COMPUTED_VALUE"""),"Padres/ tutores/responsables de alumnos estudiantes en escuelas publicas, nivel secundario del año 2019")</f>
        <v>Padres/ tutores/responsables de alumnos estudiantes en escuelas publicas, nivel secundario del año 2019</v>
      </c>
      <c r="B101" s="28" t="str">
        <f>IFERROR(__xludf.DUMMYFUNCTION("""COMPUTED_VALUE"""),"DEduS19")</f>
        <v>DEduS19</v>
      </c>
      <c r="C101" s="12">
        <f>IFERROR(__xludf.DUMMYFUNCTION("""COMPUTED_VALUE"""),48921.0)</f>
        <v>48921</v>
      </c>
      <c r="D101" s="28" t="str">
        <f>IFERROR(__xludf.DUMMYFUNCTION("""COMPUTED_VALUE"""),"Educación")</f>
        <v>Educación</v>
      </c>
      <c r="E101" s="28"/>
    </row>
    <row r="102">
      <c r="A102" s="28" t="str">
        <f>IFERROR(__xludf.DUMMYFUNCTION("""COMPUTED_VALUE"""),"Personas que trabajan en ámbito del derecho")</f>
        <v>Personas que trabajan en ámbito del derecho</v>
      </c>
      <c r="B102" s="28" t="str">
        <f>IFERROR(__xludf.DUMMYFUNCTION("""COMPUTED_VALUE"""),"DOfiDer")</f>
        <v>DOfiDer</v>
      </c>
      <c r="C102" s="12">
        <f>IFERROR(__xludf.DUMMYFUNCTION("""COMPUTED_VALUE"""),47999.0)</f>
        <v>47999</v>
      </c>
      <c r="D102" s="28" t="str">
        <f>IFERROR(__xludf.DUMMYFUNCTION("""COMPUTED_VALUE"""),"Educación")</f>
        <v>Educación</v>
      </c>
      <c r="E102" s="28"/>
    </row>
    <row r="103">
      <c r="A103" s="28" t="str">
        <f>IFERROR(__xludf.DUMMYFUNCTION("""COMPUTED_VALUE"""),"Personas inscriptas en becas de Formacion profesional")</f>
        <v>Personas inscriptas en becas de Formacion profesional</v>
      </c>
      <c r="B103" s="28" t="str">
        <f>IFERROR(__xludf.DUMMYFUNCTION("""COMPUTED_VALUE"""),"PBajForIns")</f>
        <v>PBajForIns</v>
      </c>
      <c r="C103" s="12">
        <f>IFERROR(__xludf.DUMMYFUNCTION("""COMPUTED_VALUE"""),47195.0)</f>
        <v>47195</v>
      </c>
      <c r="D103" s="28" t="str">
        <f>IFERROR(__xludf.DUMMYFUNCTION("""COMPUTED_VALUE"""),"Jefatura de Gobierno")</f>
        <v>Jefatura de Gobierno</v>
      </c>
      <c r="E103" s="28"/>
    </row>
    <row r="104">
      <c r="A104" s="28" t="str">
        <f>IFERROR(__xludf.DUMMYFUNCTION("""COMPUTED_VALUE"""),"Personas inscriptas en experiencias de museos, casco historico y monumentos")</f>
        <v>Personas inscriptas en experiencias de museos, casco historico y monumentos</v>
      </c>
      <c r="B104" s="28" t="str">
        <f>IFERROR(__xludf.DUMMYFUNCTION("""COMPUTED_VALUE"""),"PExpMcmIns")</f>
        <v>PExpMcmIns</v>
      </c>
      <c r="C104" s="12">
        <f>IFERROR(__xludf.DUMMYFUNCTION("""COMPUTED_VALUE"""),47138.0)</f>
        <v>47138</v>
      </c>
      <c r="D104" s="28" t="str">
        <f>IFERROR(__xludf.DUMMYFUNCTION("""COMPUTED_VALUE"""),"Anuncios y Newsletter")</f>
        <v>Anuncios y Newsletter</v>
      </c>
      <c r="E104" s="28"/>
    </row>
    <row r="105">
      <c r="A105" s="28" t="str">
        <f>IFERROR(__xludf.DUMMYFUNCTION("""COMPUTED_VALUE"""),"Personas que tienen moto")</f>
        <v>Personas que tienen moto</v>
      </c>
      <c r="B105" s="28" t="str">
        <f>IFERROR(__xludf.DUMMYFUNCTION("""COMPUTED_VALUE"""),"DMot")</f>
        <v>DMot</v>
      </c>
      <c r="C105" s="12">
        <f>IFERROR(__xludf.DUMMYFUNCTION("""COMPUTED_VALUE"""),46207.0)</f>
        <v>46207</v>
      </c>
      <c r="D105" s="28" t="str">
        <f>IFERROR(__xludf.DUMMYFUNCTION("""COMPUTED_VALUE"""),"Infraestructura")</f>
        <v>Infraestructura</v>
      </c>
      <c r="E105" s="28"/>
    </row>
    <row r="106">
      <c r="A106" s="28" t="str">
        <f>IFERROR(__xludf.DUMMYFUNCTION("""COMPUTED_VALUE"""),"Personas que asistieron a BAFICI")</f>
        <v>Personas que asistieron a BAFICI</v>
      </c>
      <c r="B106" s="28" t="str">
        <f>IFERROR(__xludf.DUMMYFUNCTION("""COMPUTED_VALUE"""),"ICulFesBaf")</f>
        <v>ICulFesBaf</v>
      </c>
      <c r="C106" s="12">
        <f>IFERROR(__xludf.DUMMYFUNCTION("""COMPUTED_VALUE"""),46091.0)</f>
        <v>46091</v>
      </c>
      <c r="D106" s="28" t="str">
        <f>IFERROR(__xludf.DUMMYFUNCTION("""COMPUTED_VALUE"""),"Festivales y Eventos")</f>
        <v>Festivales y Eventos</v>
      </c>
      <c r="E106" s="28"/>
    </row>
    <row r="107">
      <c r="A107" s="28" t="str">
        <f>IFERROR(__xludf.DUMMYFUNCTION("""COMPUTED_VALUE"""),"Personas que son taxistas")</f>
        <v>Personas que son taxistas</v>
      </c>
      <c r="B107" s="28" t="str">
        <f>IFERROR(__xludf.DUMMYFUNCTION("""COMPUTED_VALUE"""),"DOfiTax")</f>
        <v>DOfiTax</v>
      </c>
      <c r="C107" s="12">
        <f>IFERROR(__xludf.DUMMYFUNCTION("""COMPUTED_VALUE"""),45738.0)</f>
        <v>45738</v>
      </c>
      <c r="D107" s="28" t="str">
        <f>IFERROR(__xludf.DUMMYFUNCTION("""COMPUTED_VALUE"""),"Bien Publico")</f>
        <v>Bien Publico</v>
      </c>
      <c r="E107" s="28"/>
    </row>
    <row r="108">
      <c r="A108" s="28" t="str">
        <f>IFERROR(__xludf.DUMMYFUNCTION("""COMPUTED_VALUE"""),"Personas inscriptas en becas de Gastronomia")</f>
        <v>Personas inscriptas en becas de Gastronomia</v>
      </c>
      <c r="B108" s="28" t="str">
        <f>IFERROR(__xludf.DUMMYFUNCTION("""COMPUTED_VALUE"""),"PBajGasIns")</f>
        <v>PBajGasIns</v>
      </c>
      <c r="C108" s="12">
        <f>IFERROR(__xludf.DUMMYFUNCTION("""COMPUTED_VALUE"""),44918.0)</f>
        <v>44918</v>
      </c>
      <c r="D108" s="28" t="str">
        <f>IFERROR(__xludf.DUMMYFUNCTION("""COMPUTED_VALUE"""),"Cultura")</f>
        <v>Cultura</v>
      </c>
      <c r="E108" s="28"/>
    </row>
    <row r="109">
      <c r="A109" s="28" t="str">
        <f>IFERROR(__xludf.DUMMYFUNCTION("""COMPUTED_VALUE"""),"Personas con un trabajo afín a la medicina")</f>
        <v>Personas con un trabajo afín a la medicina</v>
      </c>
      <c r="B109" s="28" t="str">
        <f>IFERROR(__xludf.DUMMYFUNCTION("""COMPUTED_VALUE"""),"DOfiMed")</f>
        <v>DOfiMed</v>
      </c>
      <c r="C109" s="12">
        <f>IFERROR(__xludf.DUMMYFUNCTION("""COMPUTED_VALUE"""),44771.0)</f>
        <v>44771</v>
      </c>
      <c r="D109" s="28" t="str">
        <f>IFERROR(__xludf.DUMMYFUNCTION("""COMPUTED_VALUE"""),"Salud")</f>
        <v>Salud</v>
      </c>
      <c r="E109" s="28"/>
    </row>
    <row r="110">
      <c r="A110" s="28" t="str">
        <f>IFERROR(__xludf.DUMMYFUNCTION("""COMPUTED_VALUE"""),"Personas que trabajan en seguridad")</f>
        <v>Personas que trabajan en seguridad</v>
      </c>
      <c r="B110" s="28" t="str">
        <f>IFERROR(__xludf.DUMMYFUNCTION("""COMPUTED_VALUE"""),"DOfiSeg")</f>
        <v>DOfiSeg</v>
      </c>
      <c r="C110" s="12">
        <f>IFERROR(__xludf.DUMMYFUNCTION("""COMPUTED_VALUE"""),44627.0)</f>
        <v>44627</v>
      </c>
      <c r="D110" s="28" t="str">
        <f>IFERROR(__xludf.DUMMYFUNCTION("""COMPUTED_VALUE"""),"Seguridad")</f>
        <v>Seguridad</v>
      </c>
      <c r="E110" s="28"/>
    </row>
    <row r="111">
      <c r="A111" s="28" t="str">
        <f>IFERROR(__xludf.DUMMYFUNCTION("""COMPUTED_VALUE"""),"Personas interesadas en el boleto estudiantil")</f>
        <v>Personas interesadas en el boleto estudiantil</v>
      </c>
      <c r="B111" s="28" t="str">
        <f>IFERROR(__xludf.DUMMYFUNCTION("""COMPUTED_VALUE"""),"IEduBes")</f>
        <v>IEduBes</v>
      </c>
      <c r="C111" s="12">
        <f>IFERROR(__xludf.DUMMYFUNCTION("""COMPUTED_VALUE"""),44108.0)</f>
        <v>44108</v>
      </c>
      <c r="D111" s="28" t="str">
        <f>IFERROR(__xludf.DUMMYFUNCTION("""COMPUTED_VALUE"""),"Educación")</f>
        <v>Educación</v>
      </c>
      <c r="E111" s="28"/>
    </row>
    <row r="112">
      <c r="A112" s="28" t="str">
        <f>IFERROR(__xludf.DUMMYFUNCTION("""COMPUTED_VALUE"""),"Personas que participaron en Grandes choferes")</f>
        <v>Personas que participaron en Grandes choferes</v>
      </c>
      <c r="B112" s="28" t="str">
        <f>IFERROR(__xludf.DUMMYFUNCTION("""COMPUTED_VALUE"""),"PIncGra")</f>
        <v>PIncGra</v>
      </c>
      <c r="C112" s="12">
        <f>IFERROR(__xludf.DUMMYFUNCTION("""COMPUTED_VALUE"""),43216.0)</f>
        <v>43216</v>
      </c>
      <c r="D112" s="28" t="str">
        <f>IFERROR(__xludf.DUMMYFUNCTION("""COMPUTED_VALUE"""),"Participación Ciudadana")</f>
        <v>Participación Ciudadana</v>
      </c>
      <c r="E112" s="28"/>
    </row>
    <row r="113">
      <c r="A113" s="28" t="str">
        <f>IFERROR(__xludf.DUMMYFUNCTION("""COMPUTED_VALUE"""),"Personas que llamaron al 147 por reclamos de veredas")</f>
        <v>Personas que llamaron al 147 por reclamos de veredas</v>
      </c>
      <c r="B113" s="28" t="str">
        <f>IFERROR(__xludf.DUMMYFUNCTION("""COMPUTED_VALUE"""),"C147Rve")</f>
        <v>C147Rve</v>
      </c>
      <c r="C113" s="12">
        <f>IFERROR(__xludf.DUMMYFUNCTION("""COMPUTED_VALUE"""),43016.0)</f>
        <v>43016</v>
      </c>
      <c r="D113" s="28" t="str">
        <f>IFERROR(__xludf.DUMMYFUNCTION("""COMPUTED_VALUE"""),"Espacio Público e Higiene Urbana")</f>
        <v>Espacio Público e Higiene Urbana</v>
      </c>
      <c r="E113" s="28"/>
    </row>
    <row r="114">
      <c r="A114" s="28" t="str">
        <f>IFERROR(__xludf.DUMMYFUNCTION("""COMPUTED_VALUE"""),"Personas que trabajan en cuidados a personas")</f>
        <v>Personas que trabajan en cuidados a personas</v>
      </c>
      <c r="B114" s="28" t="str">
        <f>IFERROR(__xludf.DUMMYFUNCTION("""COMPUTED_VALUE"""),"DOfiCui")</f>
        <v>DOfiCui</v>
      </c>
      <c r="C114" s="12">
        <f>IFERROR(__xludf.DUMMYFUNCTION("""COMPUTED_VALUE"""),42751.0)</f>
        <v>42751</v>
      </c>
      <c r="D114" s="28" t="str">
        <f>IFERROR(__xludf.DUMMYFUNCTION("""COMPUTED_VALUE"""),"Desarrollo Humano y Hábitat")</f>
        <v>Desarrollo Humano y Hábitat</v>
      </c>
      <c r="E114" s="28"/>
    </row>
    <row r="115">
      <c r="A115" s="28" t="str">
        <f>IFERROR(__xludf.DUMMYFUNCTION("""COMPUTED_VALUE"""),"Personas que consultaron por tramites de pasaportes")</f>
        <v>Personas que consultaron por tramites de pasaportes</v>
      </c>
      <c r="B115" s="28" t="str">
        <f>IFERROR(__xludf.DUMMYFUNCTION("""COMPUTED_VALUE"""),"CTraPas")</f>
        <v>CTraPas</v>
      </c>
      <c r="C115" s="12">
        <f>IFERROR(__xludf.DUMMYFUNCTION("""COMPUTED_VALUE"""),41951.0)</f>
        <v>41951</v>
      </c>
      <c r="D115" s="28" t="str">
        <f>IFERROR(__xludf.DUMMYFUNCTION("""COMPUTED_VALUE"""),"Vínculo Ciudadano")</f>
        <v>Vínculo Ciudadano</v>
      </c>
      <c r="E115" s="28"/>
    </row>
    <row r="116">
      <c r="A116" s="28" t="str">
        <f>IFERROR(__xludf.DUMMYFUNCTION("""COMPUTED_VALUE"""),"Personas que trabajan en limpieza")</f>
        <v>Personas que trabajan en limpieza</v>
      </c>
      <c r="B116" s="28" t="str">
        <f>IFERROR(__xludf.DUMMYFUNCTION("""COMPUTED_VALUE"""),"DOfiLim")</f>
        <v>DOfiLim</v>
      </c>
      <c r="C116" s="12">
        <f>IFERROR(__xludf.DUMMYFUNCTION("""COMPUTED_VALUE"""),41074.0)</f>
        <v>41074</v>
      </c>
      <c r="D116" s="28" t="str">
        <f>IFERROR(__xludf.DUMMYFUNCTION("""COMPUTED_VALUE"""),"Jefatura de Gobierno")</f>
        <v>Jefatura de Gobierno</v>
      </c>
      <c r="E116" s="28"/>
    </row>
    <row r="117">
      <c r="A117" s="28" t="str">
        <f>IFERROR(__xludf.DUMMYFUNCTION("""COMPUTED_VALUE"""),"Personas interesadas en temas de preocupación social")</f>
        <v>Personas interesadas en temas de preocupación social</v>
      </c>
      <c r="B117" s="28" t="str">
        <f>IFERROR(__xludf.DUMMYFUNCTION("""COMPUTED_VALUE"""),"ISoc")</f>
        <v>ISoc</v>
      </c>
      <c r="C117" s="12">
        <f>IFERROR(__xludf.DUMMYFUNCTION("""COMPUTED_VALUE"""),40089.0)</f>
        <v>40089</v>
      </c>
      <c r="D117" s="28" t="str">
        <f>IFERROR(__xludf.DUMMYFUNCTION("""COMPUTED_VALUE"""),"Desarrollo Humano y Hábitat")</f>
        <v>Desarrollo Humano y Hábitat</v>
      </c>
      <c r="E117" s="28"/>
    </row>
    <row r="118">
      <c r="A118" s="28" t="str">
        <f>IFERROR(__xludf.DUMMYFUNCTION("""COMPUTED_VALUE"""),"Personas que asistieron a la feria masticar")</f>
        <v>Personas que asistieron a la feria masticar</v>
      </c>
      <c r="B118" s="28" t="str">
        <f>IFERROR(__xludf.DUMMYFUNCTION("""COMPUTED_VALUE"""),"IGasFerMas")</f>
        <v>IGasFerMas</v>
      </c>
      <c r="C118" s="12">
        <f>IFERROR(__xludf.DUMMYFUNCTION("""COMPUTED_VALUE"""),39286.0)</f>
        <v>39286</v>
      </c>
      <c r="D118" s="28" t="str">
        <f>IFERROR(__xludf.DUMMYFUNCTION("""COMPUTED_VALUE"""),"Cultura")</f>
        <v>Cultura</v>
      </c>
      <c r="E118" s="28"/>
    </row>
    <row r="119">
      <c r="A119" s="28" t="str">
        <f>IFERROR(__xludf.DUMMYFUNCTION("""COMPUTED_VALUE"""),"Personas que participaron en una votacion y/o encuestas")</f>
        <v>Personas que participaron en una votacion y/o encuestas</v>
      </c>
      <c r="B119" s="28" t="str">
        <f>IFERROR(__xludf.DUMMYFUNCTION("""COMPUTED_VALUE"""),"PVot")</f>
        <v>PVot</v>
      </c>
      <c r="C119" s="12">
        <f>IFERROR(__xludf.DUMMYFUNCTION("""COMPUTED_VALUE"""),39175.0)</f>
        <v>39175</v>
      </c>
      <c r="D119" s="28" t="str">
        <f>IFERROR(__xludf.DUMMYFUNCTION("""COMPUTED_VALUE"""),"Participación Ciudadana")</f>
        <v>Participación Ciudadana</v>
      </c>
      <c r="E119" s="28"/>
    </row>
    <row r="120">
      <c r="A120" s="28" t="str">
        <f>IFERROR(__xludf.DUMMYFUNCTION("""COMPUTED_VALUE"""),"Personas que participaron en una votacion relacionada a la gastronomia")</f>
        <v>Personas que participaron en una votacion relacionada a la gastronomia</v>
      </c>
      <c r="B120" s="28" t="str">
        <f>IFERROR(__xludf.DUMMYFUNCTION("""COMPUTED_VALUE"""),"PVotGas")</f>
        <v>PVotGas</v>
      </c>
      <c r="C120" s="12">
        <f>IFERROR(__xludf.DUMMYFUNCTION("""COMPUTED_VALUE"""),38980.0)</f>
        <v>38980</v>
      </c>
      <c r="D120" s="28" t="str">
        <f>IFERROR(__xludf.DUMMYFUNCTION("""COMPUTED_VALUE"""),"Cultura")</f>
        <v>Cultura</v>
      </c>
      <c r="E120" s="28"/>
    </row>
    <row r="121">
      <c r="A121" s="28" t="str">
        <f>IFERROR(__xludf.DUMMYFUNCTION("""COMPUTED_VALUE"""),"Personas que participaron en visita de obra")</f>
        <v>Personas que participaron en visita de obra</v>
      </c>
      <c r="B121" s="28" t="str">
        <f>IFERROR(__xludf.DUMMYFUNCTION("""COMPUTED_VALUE"""),"PVis")</f>
        <v>PVis</v>
      </c>
      <c r="C121" s="12">
        <f>IFERROR(__xludf.DUMMYFUNCTION("""COMPUTED_VALUE"""),38785.0)</f>
        <v>38785</v>
      </c>
      <c r="D121" s="28" t="str">
        <f>IFERROR(__xludf.DUMMYFUNCTION("""COMPUTED_VALUE"""),"Infraestructura")</f>
        <v>Infraestructura</v>
      </c>
      <c r="E121" s="28"/>
    </row>
    <row r="122">
      <c r="A122" s="28" t="str">
        <f>IFERROR(__xludf.DUMMYFUNCTION("""COMPUTED_VALUE"""),"Personas inscriptas y/o interesadas en voluntariado")</f>
        <v>Personas inscriptas y/o interesadas en voluntariado</v>
      </c>
      <c r="B122" s="28" t="str">
        <f>IFERROR(__xludf.DUMMYFUNCTION("""COMPUTED_VALUE"""),"IVol")</f>
        <v>IVol</v>
      </c>
      <c r="C122" s="12">
        <f>IFERROR(__xludf.DUMMYFUNCTION("""COMPUTED_VALUE"""),38529.0)</f>
        <v>38529</v>
      </c>
      <c r="D122" s="28" t="str">
        <f>IFERROR(__xludf.DUMMYFUNCTION("""COMPUTED_VALUE"""),"Participación Ciudadana")</f>
        <v>Participación Ciudadana</v>
      </c>
      <c r="E122" s="28"/>
    </row>
    <row r="123">
      <c r="A123" s="28" t="str">
        <f>IFERROR(__xludf.DUMMYFUNCTION("""COMPUTED_VALUE"""),"Personas interesadas en la danza o el baile")</f>
        <v>Personas interesadas en la danza o el baile</v>
      </c>
      <c r="B123" s="28" t="str">
        <f>IFERROR(__xludf.DUMMYFUNCTION("""COMPUTED_VALUE"""),"ICulDan")</f>
        <v>ICulDan</v>
      </c>
      <c r="C123" s="12">
        <f>IFERROR(__xludf.DUMMYFUNCTION("""COMPUTED_VALUE"""),38355.0)</f>
        <v>38355</v>
      </c>
      <c r="D123" s="28" t="str">
        <f>IFERROR(__xludf.DUMMYFUNCTION("""COMPUTED_VALUE"""),"Cultura")</f>
        <v>Cultura</v>
      </c>
      <c r="E123" s="28"/>
    </row>
    <row r="124">
      <c r="A124" s="28" t="str">
        <f>IFERROR(__xludf.DUMMYFUNCTION("""COMPUTED_VALUE"""),"Personas inscriptas en Busqueda laboral")</f>
        <v>Personas inscriptas en Busqueda laboral</v>
      </c>
      <c r="B124" s="28" t="str">
        <f>IFERROR(__xludf.DUMMYFUNCTION("""COMPUTED_VALUE"""),"PBajBusIns")</f>
        <v>PBajBusIns</v>
      </c>
      <c r="C124" s="12">
        <f>IFERROR(__xludf.DUMMYFUNCTION("""COMPUTED_VALUE"""),38104.0)</f>
        <v>38104</v>
      </c>
      <c r="D124" s="28" t="str">
        <f>IFERROR(__xludf.DUMMYFUNCTION("""COMPUTED_VALUE"""),"Desarrollo Económico")</f>
        <v>Desarrollo Económico</v>
      </c>
      <c r="E124" s="28"/>
    </row>
    <row r="125">
      <c r="A125" s="28" t="str">
        <f>IFERROR(__xludf.DUMMYFUNCTION("""COMPUTED_VALUE"""),"Personas que asistieron a Arte BA")</f>
        <v>Personas que asistieron a Arte BA</v>
      </c>
      <c r="B125" s="28" t="str">
        <f>IFERROR(__xludf.DUMMYFUNCTION("""COMPUTED_VALUE"""),"ICulArt")</f>
        <v>ICulArt</v>
      </c>
      <c r="C125" s="12">
        <f>IFERROR(__xludf.DUMMYFUNCTION("""COMPUTED_VALUE"""),37717.0)</f>
        <v>37717</v>
      </c>
      <c r="D125" s="28" t="str">
        <f>IFERROR(__xludf.DUMMYFUNCTION("""COMPUTED_VALUE"""),"Cultura")</f>
        <v>Cultura</v>
      </c>
      <c r="E125" s="28"/>
    </row>
    <row r="126">
      <c r="A126" s="28" t="str">
        <f>IFERROR(__xludf.DUMMYFUNCTION("""COMPUTED_VALUE"""),"Personas que consultaron y/o son beneficiarios y/o inscriptos de Cobertura porteña salud")</f>
        <v>Personas que consultaron y/o son beneficiarios y/o inscriptos de Cobertura porteña salud</v>
      </c>
      <c r="B126" s="28" t="str">
        <f>IFERROR(__xludf.DUMMYFUNCTION("""COMPUTED_VALUE"""),"DPrpCob")</f>
        <v>DPrpCob</v>
      </c>
      <c r="C126" s="12">
        <f>IFERROR(__xludf.DUMMYFUNCTION("""COMPUTED_VALUE"""),37697.0)</f>
        <v>37697</v>
      </c>
      <c r="D126" s="28" t="str">
        <f>IFERROR(__xludf.DUMMYFUNCTION("""COMPUTED_VALUE"""),"Salud")</f>
        <v>Salud</v>
      </c>
      <c r="E126" s="28"/>
    </row>
    <row r="127">
      <c r="A127" s="28" t="str">
        <f>IFERROR(__xludf.DUMMYFUNCTION("""COMPUTED_VALUE"""),"Personas registradas para proponer o apoyar proyectos")</f>
        <v>Personas registradas para proponer o apoyar proyectos</v>
      </c>
      <c r="B127" s="28" t="str">
        <f>IFERROR(__xludf.DUMMYFUNCTION("""COMPUTED_VALUE"""),"PBaeReg")</f>
        <v>PBaeReg</v>
      </c>
      <c r="C127" s="12">
        <f>IFERROR(__xludf.DUMMYFUNCTION("""COMPUTED_VALUE"""),37623.0)</f>
        <v>37623</v>
      </c>
      <c r="D127" s="28" t="str">
        <f>IFERROR(__xludf.DUMMYFUNCTION("""COMPUTED_VALUE"""),"Participación Ciudadana")</f>
        <v>Participación Ciudadana</v>
      </c>
      <c r="E127" s="28"/>
    </row>
    <row r="128">
      <c r="A128" s="28" t="str">
        <f>IFERROR(__xludf.DUMMYFUNCTION("""COMPUTED_VALUE"""),"Personas inscriptas en campañas para casarse en edificios emblematicos de la ciudad")</f>
        <v>Personas inscriptas en campañas para casarse en edificios emblematicos de la ciudad</v>
      </c>
      <c r="B128" s="28" t="str">
        <f>IFERROR(__xludf.DUMMYFUNCTION("""COMPUTED_VALUE"""),"PExpCasIns")</f>
        <v>PExpCasIns</v>
      </c>
      <c r="C128" s="12">
        <f>IFERROR(__xludf.DUMMYFUNCTION("""COMPUTED_VALUE"""),36946.0)</f>
        <v>36946</v>
      </c>
      <c r="D128" s="28" t="str">
        <f>IFERROR(__xludf.DUMMYFUNCTION("""COMPUTED_VALUE"""),"Festivales y Eventos")</f>
        <v>Festivales y Eventos</v>
      </c>
      <c r="E128" s="28"/>
    </row>
    <row r="129">
      <c r="A129" s="28" t="str">
        <f>IFERROR(__xludf.DUMMYFUNCTION("""COMPUTED_VALUE"""),"Personas interesadas en musica rock")</f>
        <v>Personas interesadas en musica rock</v>
      </c>
      <c r="B129" s="28" t="str">
        <f>IFERROR(__xludf.DUMMYFUNCTION("""COMPUTED_VALUE"""),"ICulMcaRck")</f>
        <v>ICulMcaRck</v>
      </c>
      <c r="C129" s="12">
        <f>IFERROR(__xludf.DUMMYFUNCTION("""COMPUTED_VALUE"""),35398.0)</f>
        <v>35398</v>
      </c>
      <c r="D129" s="28" t="str">
        <f>IFERROR(__xludf.DUMMYFUNCTION("""COMPUTED_VALUE"""),"Cultura")</f>
        <v>Cultura</v>
      </c>
      <c r="E129" s="28"/>
    </row>
    <row r="130">
      <c r="A130" s="28" t="str">
        <f>IFERROR(__xludf.DUMMYFUNCTION("""COMPUTED_VALUE"""),"Personas interesadas en servicios para discapacitados")</f>
        <v>Personas interesadas en servicios para discapacitados</v>
      </c>
      <c r="B130" s="28" t="str">
        <f>IFERROR(__xludf.DUMMYFUNCTION("""COMPUTED_VALUE"""),"ISciDis")</f>
        <v>ISciDis</v>
      </c>
      <c r="C130" s="12">
        <f>IFERROR(__xludf.DUMMYFUNCTION("""COMPUTED_VALUE"""),35193.0)</f>
        <v>35193</v>
      </c>
      <c r="D130" s="28" t="str">
        <f>IFERROR(__xludf.DUMMYFUNCTION("""COMPUTED_VALUE"""),"Jefatura de Gobierno")</f>
        <v>Jefatura de Gobierno</v>
      </c>
      <c r="E130" s="28"/>
    </row>
    <row r="131">
      <c r="A131" s="28" t="str">
        <f>IFERROR(__xludf.DUMMYFUNCTION("""COMPUTED_VALUE"""),"Personas con estudios en medicina")</f>
        <v>Personas con estudios en medicina</v>
      </c>
      <c r="B131" s="28" t="str">
        <f>IFERROR(__xludf.DUMMYFUNCTION("""COMPUTED_VALUE"""),"DEstMed")</f>
        <v>DEstMed</v>
      </c>
      <c r="C131" s="12">
        <f>IFERROR(__xludf.DUMMYFUNCTION("""COMPUTED_VALUE"""),34863.0)</f>
        <v>34863</v>
      </c>
      <c r="D131" s="28" t="str">
        <f>IFERROR(__xludf.DUMMYFUNCTION("""COMPUTED_VALUE"""),"Educación")</f>
        <v>Educación</v>
      </c>
      <c r="E131" s="28"/>
    </row>
    <row r="132">
      <c r="A132" s="28" t="str">
        <f>IFERROR(__xludf.DUMMYFUNCTION("""COMPUTED_VALUE"""),"Personas que trabajan en informática")</f>
        <v>Personas que trabajan en informática</v>
      </c>
      <c r="B132" s="28" t="str">
        <f>IFERROR(__xludf.DUMMYFUNCTION("""COMPUTED_VALUE"""),"DOfiInf")</f>
        <v>DOfiInf</v>
      </c>
      <c r="C132" s="12">
        <f>IFERROR(__xludf.DUMMYFUNCTION("""COMPUTED_VALUE"""),34447.0)</f>
        <v>34447</v>
      </c>
      <c r="D132" s="28" t="str">
        <f>IFERROR(__xludf.DUMMYFUNCTION("""COMPUTED_VALUE"""),"Innovacion")</f>
        <v>Innovacion</v>
      </c>
      <c r="E132" s="28"/>
    </row>
    <row r="133">
      <c r="A133" s="28" t="str">
        <f>IFERROR(__xludf.DUMMYFUNCTION("""COMPUTED_VALUE"""),"Personas interesadas en tenis")</f>
        <v>Personas interesadas en tenis</v>
      </c>
      <c r="B133" s="28" t="str">
        <f>IFERROR(__xludf.DUMMYFUNCTION("""COMPUTED_VALUE"""),"IDepTen")</f>
        <v>IDepTen</v>
      </c>
      <c r="C133" s="12">
        <f>IFERROR(__xludf.DUMMYFUNCTION("""COMPUTED_VALUE"""),33834.0)</f>
        <v>33834</v>
      </c>
      <c r="D133" s="28" t="str">
        <f>IFERROR(__xludf.DUMMYFUNCTION("""COMPUTED_VALUE"""),"Desarrollo Urbano y Deportes")</f>
        <v>Desarrollo Urbano y Deportes</v>
      </c>
      <c r="E133" s="28"/>
    </row>
    <row r="134">
      <c r="A134" s="28" t="str">
        <f>IFERROR(__xludf.DUMMYFUNCTION("""COMPUTED_VALUE"""),"Personas de River")</f>
        <v>Personas de River</v>
      </c>
      <c r="B134" s="28" t="str">
        <f>IFERROR(__xludf.DUMMYFUNCTION("""COMPUTED_VALUE"""),"ICuaRiv")</f>
        <v>ICuaRiv</v>
      </c>
      <c r="C134" s="12">
        <f>IFERROR(__xludf.DUMMYFUNCTION("""COMPUTED_VALUE"""),33512.0)</f>
        <v>33512</v>
      </c>
      <c r="D134" s="28" t="str">
        <f>IFERROR(__xludf.DUMMYFUNCTION("""COMPUTED_VALUE"""),"Desarrollo Urbano y Deportes")</f>
        <v>Desarrollo Urbano y Deportes</v>
      </c>
      <c r="E134" s="28"/>
    </row>
    <row r="135">
      <c r="A135" s="28" t="str">
        <f>IFERROR(__xludf.DUMMYFUNCTION("""COMPUTED_VALUE"""),"Personas registradas en sorteos de teatro")</f>
        <v>Personas registradas en sorteos de teatro</v>
      </c>
      <c r="B135" s="28" t="str">
        <f>IFERROR(__xludf.DUMMYFUNCTION("""COMPUTED_VALUE"""),"PSorTea")</f>
        <v>PSorTea</v>
      </c>
      <c r="C135" s="12">
        <f>IFERROR(__xludf.DUMMYFUNCTION("""COMPUTED_VALUE"""),33494.0)</f>
        <v>33494</v>
      </c>
      <c r="D135" s="28" t="str">
        <f>IFERROR(__xludf.DUMMYFUNCTION("""COMPUTED_VALUE"""),"Festivales y Eventos")</f>
        <v>Festivales y Eventos</v>
      </c>
      <c r="E135" s="28"/>
    </row>
    <row r="136">
      <c r="A136" s="28" t="str">
        <f>IFERROR(__xludf.DUMMYFUNCTION("""COMPUTED_VALUE"""),"Personas interesadas en espacios verdes")</f>
        <v>Personas interesadas en espacios verdes</v>
      </c>
      <c r="B136" s="28" t="str">
        <f>IFERROR(__xludf.DUMMYFUNCTION("""COMPUTED_VALUE"""),"IEsv")</f>
        <v>IEsv</v>
      </c>
      <c r="C136" s="12">
        <f>IFERROR(__xludf.DUMMYFUNCTION("""COMPUTED_VALUE"""),32353.0)</f>
        <v>32353</v>
      </c>
      <c r="D136" s="28" t="str">
        <f>IFERROR(__xludf.DUMMYFUNCTION("""COMPUTED_VALUE"""),"Ambiente")</f>
        <v>Ambiente</v>
      </c>
      <c r="E136" s="28"/>
    </row>
    <row r="137">
      <c r="A137" s="28" t="str">
        <f>IFERROR(__xludf.DUMMYFUNCTION("""COMPUTED_VALUE"""),"Personas que consultaron por tramites de habilitaciones")</f>
        <v>Personas que consultaron por tramites de habilitaciones</v>
      </c>
      <c r="B137" s="28" t="str">
        <f>IFERROR(__xludf.DUMMYFUNCTION("""COMPUTED_VALUE"""),"CTraHab")</f>
        <v>CTraHab</v>
      </c>
      <c r="C137" s="12">
        <f>IFERROR(__xludf.DUMMYFUNCTION("""COMPUTED_VALUE"""),31872.0)</f>
        <v>31872</v>
      </c>
      <c r="D137" s="28" t="str">
        <f>IFERROR(__xludf.DUMMYFUNCTION("""COMPUTED_VALUE"""),"Desarrollo Económico")</f>
        <v>Desarrollo Económico</v>
      </c>
      <c r="E137" s="28"/>
    </row>
    <row r="138">
      <c r="A138" s="28" t="str">
        <f>IFERROR(__xludf.DUMMYFUNCTION("""COMPUTED_VALUE"""),"Personas inscriptas en Voluntariado")</f>
        <v>Personas inscriptas en Voluntariado</v>
      </c>
      <c r="B138" s="28" t="str">
        <f>IFERROR(__xludf.DUMMYFUNCTION("""COMPUTED_VALUE"""),"PBajVolIns")</f>
        <v>PBajVolIns</v>
      </c>
      <c r="C138" s="12">
        <f>IFERROR(__xludf.DUMMYFUNCTION("""COMPUTED_VALUE"""),31416.0)</f>
        <v>31416</v>
      </c>
      <c r="D138" s="28" t="str">
        <f>IFERROR(__xludf.DUMMYFUNCTION("""COMPUTED_VALUE"""),"Participación Ciudadana")</f>
        <v>Participación Ciudadana</v>
      </c>
      <c r="E138" s="28"/>
    </row>
    <row r="139">
      <c r="A139" s="28" t="str">
        <f>IFERROR(__xludf.DUMMYFUNCTION("""COMPUTED_VALUE"""),"Personas inscriptas en becas de Idiomas")</f>
        <v>Personas inscriptas en becas de Idiomas</v>
      </c>
      <c r="B139" s="28" t="str">
        <f>IFERROR(__xludf.DUMMYFUNCTION("""COMPUTED_VALUE"""),"PBajIdiIns")</f>
        <v>PBajIdiIns</v>
      </c>
      <c r="C139" s="12">
        <f>IFERROR(__xludf.DUMMYFUNCTION("""COMPUTED_VALUE"""),30908.0)</f>
        <v>30908</v>
      </c>
      <c r="D139" s="28" t="str">
        <f>IFERROR(__xludf.DUMMYFUNCTION("""COMPUTED_VALUE"""),"Educación")</f>
        <v>Educación</v>
      </c>
      <c r="E139" s="28"/>
    </row>
    <row r="140">
      <c r="A140" s="28" t="str">
        <f>IFERROR(__xludf.DUMMYFUNCTION("""COMPUTED_VALUE"""),"Personas interesadas en musica tango")</f>
        <v>Personas interesadas en musica tango</v>
      </c>
      <c r="B140" s="28" t="str">
        <f>IFERROR(__xludf.DUMMYFUNCTION("""COMPUTED_VALUE"""),"ICulMcaTng")</f>
        <v>ICulMcaTng</v>
      </c>
      <c r="C140" s="12">
        <f>IFERROR(__xludf.DUMMYFUNCTION("""COMPUTED_VALUE"""),30867.0)</f>
        <v>30867</v>
      </c>
      <c r="D140" s="28" t="str">
        <f>IFERROR(__xludf.DUMMYFUNCTION("""COMPUTED_VALUE"""),"Cultura")</f>
        <v>Cultura</v>
      </c>
      <c r="E140" s="28"/>
    </row>
    <row r="141">
      <c r="A141" s="28" t="str">
        <f>IFERROR(__xludf.DUMMYFUNCTION("""COMPUTED_VALUE"""),"Personas inscriptas a reuniones de Comisarias abiertas")</f>
        <v>Personas inscriptas a reuniones de Comisarias abiertas</v>
      </c>
      <c r="B141" s="28" t="str">
        <f>IFERROR(__xludf.DUMMYFUNCTION("""COMPUTED_VALUE"""),"PReuComIns")</f>
        <v>PReuComIns</v>
      </c>
      <c r="C141" s="12">
        <f>IFERROR(__xludf.DUMMYFUNCTION("""COMPUTED_VALUE"""),30761.0)</f>
        <v>30761</v>
      </c>
      <c r="D141" s="28" t="str">
        <f>IFERROR(__xludf.DUMMYFUNCTION("""COMPUTED_VALUE"""),"Seguridad")</f>
        <v>Seguridad</v>
      </c>
      <c r="E141" s="28"/>
    </row>
    <row r="142">
      <c r="A142" s="28" t="str">
        <f>IFERROR(__xludf.DUMMYFUNCTION("""COMPUTED_VALUE"""),"Personas interesadas en turismo")</f>
        <v>Personas interesadas en turismo</v>
      </c>
      <c r="B142" s="28" t="str">
        <f>IFERROR(__xludf.DUMMYFUNCTION("""COMPUTED_VALUE"""),"ITur")</f>
        <v>ITur</v>
      </c>
      <c r="C142" s="12">
        <f>IFERROR(__xludf.DUMMYFUNCTION("""COMPUTED_VALUE"""),29465.0)</f>
        <v>29465</v>
      </c>
      <c r="D142" s="28" t="str">
        <f>IFERROR(__xludf.DUMMYFUNCTION("""COMPUTED_VALUE"""),"Cultura")</f>
        <v>Cultura</v>
      </c>
      <c r="E142" s="28"/>
    </row>
    <row r="143">
      <c r="A143" s="28" t="str">
        <f>IFERROR(__xludf.DUMMYFUNCTION("""COMPUTED_VALUE"""),"Personas inscriptas en becas de Arte y Diseño")</f>
        <v>Personas inscriptas en becas de Arte y Diseño</v>
      </c>
      <c r="B143" s="28" t="str">
        <f>IFERROR(__xludf.DUMMYFUNCTION("""COMPUTED_VALUE"""),"PBajDisIns")</f>
        <v>PBajDisIns</v>
      </c>
      <c r="C143" s="12">
        <f>IFERROR(__xludf.DUMMYFUNCTION("""COMPUTED_VALUE"""),28913.0)</f>
        <v>28913</v>
      </c>
      <c r="D143" s="28" t="str">
        <f>IFERROR(__xludf.DUMMYFUNCTION("""COMPUTED_VALUE"""),"Cultura")</f>
        <v>Cultura</v>
      </c>
      <c r="E143" s="28"/>
    </row>
    <row r="144">
      <c r="A144" s="28" t="str">
        <f>IFERROR(__xludf.DUMMYFUNCTION("""COMPUTED_VALUE"""),"Personas que trabajan de peones y afines")</f>
        <v>Personas que trabajan de peones y afines</v>
      </c>
      <c r="B144" s="28" t="str">
        <f>IFERROR(__xludf.DUMMYFUNCTION("""COMPUTED_VALUE"""),"DOfiPeo")</f>
        <v>DOfiPeo</v>
      </c>
      <c r="C144" s="12">
        <f>IFERROR(__xludf.DUMMYFUNCTION("""COMPUTED_VALUE"""),28572.0)</f>
        <v>28572</v>
      </c>
      <c r="D144" s="28" t="str">
        <f>IFERROR(__xludf.DUMMYFUNCTION("""COMPUTED_VALUE"""),"Desarrollo Económico")</f>
        <v>Desarrollo Económico</v>
      </c>
      <c r="E144" s="28"/>
    </row>
    <row r="145">
      <c r="A145" s="28" t="str">
        <f>IFERROR(__xludf.DUMMYFUNCTION("""COMPUTED_VALUE"""),"Personas interesadas en musica jazz/blues")</f>
        <v>Personas interesadas en musica jazz/blues</v>
      </c>
      <c r="B145" s="28" t="str">
        <f>IFERROR(__xludf.DUMMYFUNCTION("""COMPUTED_VALUE"""),"ICulMcaJaz")</f>
        <v>ICulMcaJaz</v>
      </c>
      <c r="C145" s="12">
        <f>IFERROR(__xludf.DUMMYFUNCTION("""COMPUTED_VALUE"""),27198.0)</f>
        <v>27198</v>
      </c>
      <c r="D145" s="28" t="str">
        <f>IFERROR(__xludf.DUMMYFUNCTION("""COMPUTED_VALUE"""),"Cultura")</f>
        <v>Cultura</v>
      </c>
      <c r="E145" s="28"/>
    </row>
    <row r="146">
      <c r="A146" s="28" t="str">
        <f>IFERROR(__xludf.DUMMYFUNCTION("""COMPUTED_VALUE"""),"Personas interesadas en musica pop")</f>
        <v>Personas interesadas en musica pop</v>
      </c>
      <c r="B146" s="28" t="str">
        <f>IFERROR(__xludf.DUMMYFUNCTION("""COMPUTED_VALUE"""),"ICulMcaPop")</f>
        <v>ICulMcaPop</v>
      </c>
      <c r="C146" s="12">
        <f>IFERROR(__xludf.DUMMYFUNCTION("""COMPUTED_VALUE"""),27010.0)</f>
        <v>27010</v>
      </c>
      <c r="D146" s="28" t="str">
        <f>IFERROR(__xludf.DUMMYFUNCTION("""COMPUTED_VALUE"""),"Cultura")</f>
        <v>Cultura</v>
      </c>
      <c r="E146" s="28"/>
    </row>
    <row r="147">
      <c r="A147" s="28" t="str">
        <f>IFERROR(__xludf.DUMMYFUNCTION("""COMPUTED_VALUE"""),"Personas UBA en Facultad de Económicas")</f>
        <v>Personas UBA en Facultad de Económicas</v>
      </c>
      <c r="B147" s="28" t="str">
        <f>IFERROR(__xludf.DUMMYFUNCTION("""COMPUTED_VALUE"""),"DUbaEco")</f>
        <v>DUbaEco</v>
      </c>
      <c r="C147" s="12">
        <f>IFERROR(__xludf.DUMMYFUNCTION("""COMPUTED_VALUE"""),26958.0)</f>
        <v>26958</v>
      </c>
      <c r="D147" s="28" t="str">
        <f>IFERROR(__xludf.DUMMYFUNCTION("""COMPUTED_VALUE"""),"Desarrollo Económico")</f>
        <v>Desarrollo Económico</v>
      </c>
      <c r="E147" s="28"/>
    </row>
    <row r="148">
      <c r="A148" s="28" t="str">
        <f>IFERROR(__xludf.DUMMYFUNCTION("""COMPUTED_VALUE"""),"Personas interesadas en servicios para adultos mayores")</f>
        <v>Personas interesadas en servicios para adultos mayores</v>
      </c>
      <c r="B148" s="28" t="str">
        <f>IFERROR(__xludf.DUMMYFUNCTION("""COMPUTED_VALUE"""),"ISciAdu")</f>
        <v>ISciAdu</v>
      </c>
      <c r="C148" s="12">
        <f>IFERROR(__xludf.DUMMYFUNCTION("""COMPUTED_VALUE"""),26841.0)</f>
        <v>26841</v>
      </c>
      <c r="D148" s="28" t="str">
        <f>IFERROR(__xludf.DUMMYFUNCTION("""COMPUTED_VALUE"""),"Desarrollo Humano y Hábitat")</f>
        <v>Desarrollo Humano y Hábitat</v>
      </c>
      <c r="E148" s="28"/>
    </row>
    <row r="149">
      <c r="A149" s="28" t="str">
        <f>IFERROR(__xludf.DUMMYFUNCTION("""COMPUTED_VALUE"""),"Personas que llamaron al 147 por defensa al consumidor")</f>
        <v>Personas que llamaron al 147 por defensa al consumidor</v>
      </c>
      <c r="B149" s="28" t="str">
        <f>IFERROR(__xludf.DUMMYFUNCTION("""COMPUTED_VALUE"""),"C147Def")</f>
        <v>C147Def</v>
      </c>
      <c r="C149" s="12">
        <f>IFERROR(__xludf.DUMMYFUNCTION("""COMPUTED_VALUE"""),26569.0)</f>
        <v>26569</v>
      </c>
      <c r="D149" s="28" t="str">
        <f>IFERROR(__xludf.DUMMYFUNCTION("""COMPUTED_VALUE"""),"Bien Publico")</f>
        <v>Bien Publico</v>
      </c>
      <c r="E149" s="28"/>
    </row>
    <row r="150">
      <c r="A150" s="28" t="str">
        <f>IFERROR(__xludf.DUMMYFUNCTION("""COMPUTED_VALUE"""),"Personas interesadas en musica cumbia/reggaeton/tropical")</f>
        <v>Personas interesadas en musica cumbia/reggaeton/tropical</v>
      </c>
      <c r="B150" s="28" t="str">
        <f>IFERROR(__xludf.DUMMYFUNCTION("""COMPUTED_VALUE"""),"ICulMcaCum")</f>
        <v>ICulMcaCum</v>
      </c>
      <c r="C150" s="12">
        <f>IFERROR(__xludf.DUMMYFUNCTION("""COMPUTED_VALUE"""),26400.0)</f>
        <v>26400</v>
      </c>
      <c r="D150" s="28" t="str">
        <f>IFERROR(__xludf.DUMMYFUNCTION("""COMPUTED_VALUE"""),"Cultura")</f>
        <v>Cultura</v>
      </c>
      <c r="E150" s="28"/>
    </row>
    <row r="151">
      <c r="A151" s="28" t="str">
        <f>IFERROR(__xludf.DUMMYFUNCTION("""COMPUTED_VALUE"""),"Experiencias")</f>
        <v>Experiencias</v>
      </c>
      <c r="B151" s="28" t="str">
        <f>IFERROR(__xludf.DUMMYFUNCTION("""COMPUTED_VALUE"""),"PExp")</f>
        <v>PExp</v>
      </c>
      <c r="C151" s="12">
        <f>IFERROR(__xludf.DUMMYFUNCTION("""COMPUTED_VALUE"""),26300.0)</f>
        <v>26300</v>
      </c>
      <c r="D151" s="28" t="str">
        <f>IFERROR(__xludf.DUMMYFUNCTION("""COMPUTED_VALUE"""),"Cercanía y PC")</f>
        <v>Cercanía y PC</v>
      </c>
      <c r="E151" s="28"/>
    </row>
    <row r="152">
      <c r="A152" s="28" t="str">
        <f>IFERROR(__xludf.DUMMYFUNCTION("""COMPUTED_VALUE"""),"Personas interesadas en futbol")</f>
        <v>Personas interesadas en futbol</v>
      </c>
      <c r="B152" s="28" t="str">
        <f>IFERROR(__xludf.DUMMYFUNCTION("""COMPUTED_VALUE"""),"IDepFut")</f>
        <v>IDepFut</v>
      </c>
      <c r="C152" s="12">
        <f>IFERROR(__xludf.DUMMYFUNCTION("""COMPUTED_VALUE"""),26276.0)</f>
        <v>26276</v>
      </c>
      <c r="D152" s="28" t="str">
        <f>IFERROR(__xludf.DUMMYFUNCTION("""COMPUTED_VALUE"""),"Desarrollo Urbano y Deportes")</f>
        <v>Desarrollo Urbano y Deportes</v>
      </c>
      <c r="E152" s="28"/>
    </row>
    <row r="153">
      <c r="A153" s="28" t="str">
        <f>IFERROR(__xludf.DUMMYFUNCTION("""COMPUTED_VALUE"""),"Personas que trabajan en la industria")</f>
        <v>Personas que trabajan en la industria</v>
      </c>
      <c r="B153" s="28" t="str">
        <f>IFERROR(__xludf.DUMMYFUNCTION("""COMPUTED_VALUE"""),"DOfiInd")</f>
        <v>DOfiInd</v>
      </c>
      <c r="C153" s="12">
        <f>IFERROR(__xludf.DUMMYFUNCTION("""COMPUTED_VALUE"""),25246.0)</f>
        <v>25246</v>
      </c>
      <c r="D153" s="28" t="str">
        <f>IFERROR(__xludf.DUMMYFUNCTION("""COMPUTED_VALUE"""),"Desarrollo Económico")</f>
        <v>Desarrollo Económico</v>
      </c>
      <c r="E153" s="28"/>
    </row>
    <row r="154">
      <c r="A154" s="28" t="str">
        <f>IFERROR(__xludf.DUMMYFUNCTION("""COMPUTED_VALUE"""),"Personas que llamaron al 147 por turnos de medico")</f>
        <v>Personas que llamaron al 147 por turnos de medico</v>
      </c>
      <c r="B154" s="28" t="str">
        <f>IFERROR(__xludf.DUMMYFUNCTION("""COMPUTED_VALUE"""),"C147Tsa")</f>
        <v>C147Tsa</v>
      </c>
      <c r="C154" s="12">
        <f>IFERROR(__xludf.DUMMYFUNCTION("""COMPUTED_VALUE"""),25202.0)</f>
        <v>25202</v>
      </c>
      <c r="D154" s="28" t="str">
        <f>IFERROR(__xludf.DUMMYFUNCTION("""COMPUTED_VALUE"""),"Salud")</f>
        <v>Salud</v>
      </c>
      <c r="E154" s="28"/>
    </row>
    <row r="155">
      <c r="A155" s="28" t="str">
        <f>IFERROR(__xludf.DUMMYFUNCTION("""COMPUTED_VALUE"""),"Padres/ tutores/responsables de alumnos beneficiarios del Plan Sarmiento")</f>
        <v>Padres/ tutores/responsables de alumnos beneficiarios del Plan Sarmiento</v>
      </c>
      <c r="B155" s="28" t="str">
        <f>IFERROR(__xludf.DUMMYFUNCTION("""COMPUTED_VALUE"""),"DEduPla")</f>
        <v>DEduPla</v>
      </c>
      <c r="C155" s="12">
        <f>IFERROR(__xludf.DUMMYFUNCTION("""COMPUTED_VALUE"""),25146.0)</f>
        <v>25146</v>
      </c>
      <c r="D155" s="28" t="str">
        <f>IFERROR(__xludf.DUMMYFUNCTION("""COMPUTED_VALUE"""),"Educación")</f>
        <v>Educación</v>
      </c>
      <c r="E155" s="28"/>
    </row>
    <row r="156">
      <c r="A156" s="28" t="str">
        <f>IFERROR(__xludf.DUMMYFUNCTION("""COMPUTED_VALUE"""),"Personas interesadas en automovilismo")</f>
        <v>Personas interesadas en automovilismo</v>
      </c>
      <c r="B156" s="28" t="str">
        <f>IFERROR(__xludf.DUMMYFUNCTION("""COMPUTED_VALUE"""),"IDepAut")</f>
        <v>IDepAut</v>
      </c>
      <c r="C156" s="12">
        <f>IFERROR(__xludf.DUMMYFUNCTION("""COMPUTED_VALUE"""),25064.0)</f>
        <v>25064</v>
      </c>
      <c r="D156" s="28" t="str">
        <f>IFERROR(__xludf.DUMMYFUNCTION("""COMPUTED_VALUE"""),"Jefatura de Gobierno")</f>
        <v>Jefatura de Gobierno</v>
      </c>
      <c r="E156" s="28"/>
    </row>
    <row r="157">
      <c r="A157" s="28" t="str">
        <f>IFERROR(__xludf.DUMMYFUNCTION("""COMPUTED_VALUE"""),"Personas que tienen camiones de carga")</f>
        <v>Personas que tienen camiones de carga</v>
      </c>
      <c r="B157" s="28" t="str">
        <f>IFERROR(__xludf.DUMMYFUNCTION("""COMPUTED_VALUE"""),"DAutCam")</f>
        <v>DAutCam</v>
      </c>
      <c r="C157" s="12">
        <f>IFERROR(__xludf.DUMMYFUNCTION("""COMPUTED_VALUE"""),24150.0)</f>
        <v>24150</v>
      </c>
      <c r="D157" s="28" t="str">
        <f>IFERROR(__xludf.DUMMYFUNCTION("""COMPUTED_VALUE"""),"Desarrollo Económico")</f>
        <v>Desarrollo Económico</v>
      </c>
      <c r="E157" s="28"/>
    </row>
    <row r="158">
      <c r="A158" s="28" t="str">
        <f>IFERROR(__xludf.DUMMYFUNCTION("""COMPUTED_VALUE"""),"Personas interesadas y/o asistentes al Teatro Colon")</f>
        <v>Personas interesadas y/o asistentes al Teatro Colon</v>
      </c>
      <c r="B158" s="28" t="str">
        <f>IFERROR(__xludf.DUMMYFUNCTION("""COMPUTED_VALUE"""),"ICulCcuTco")</f>
        <v>ICulCcuTco</v>
      </c>
      <c r="C158" s="12">
        <f>IFERROR(__xludf.DUMMYFUNCTION("""COMPUTED_VALUE"""),23572.0)</f>
        <v>23572</v>
      </c>
      <c r="D158" s="28" t="str">
        <f>IFERROR(__xludf.DUMMYFUNCTION("""COMPUTED_VALUE"""),"Cultura")</f>
        <v>Cultura</v>
      </c>
      <c r="E158" s="28"/>
    </row>
    <row r="159">
      <c r="A159" s="28" t="str">
        <f>IFERROR(__xludf.DUMMYFUNCTION("""COMPUTED_VALUE"""),"Personas registradas en sorteos de deportes")</f>
        <v>Personas registradas en sorteos de deportes</v>
      </c>
      <c r="B159" s="28" t="str">
        <f>IFERROR(__xludf.DUMMYFUNCTION("""COMPUTED_VALUE"""),"PSorDep")</f>
        <v>PSorDep</v>
      </c>
      <c r="C159" s="12">
        <f>IFERROR(__xludf.DUMMYFUNCTION("""COMPUTED_VALUE"""),22977.0)</f>
        <v>22977</v>
      </c>
      <c r="D159" s="28" t="str">
        <f>IFERROR(__xludf.DUMMYFUNCTION("""COMPUTED_VALUE"""),"Desarrollo Urbano y Deportes")</f>
        <v>Desarrollo Urbano y Deportes</v>
      </c>
      <c r="E159" s="28"/>
    </row>
    <row r="160">
      <c r="A160" s="28" t="str">
        <f>IFERROR(__xludf.DUMMYFUNCTION("""COMPUTED_VALUE"""),"Personas interesadas en running")</f>
        <v>Personas interesadas en running</v>
      </c>
      <c r="B160" s="28" t="str">
        <f>IFERROR(__xludf.DUMMYFUNCTION("""COMPUTED_VALUE"""),"IDepRun")</f>
        <v>IDepRun</v>
      </c>
      <c r="C160" s="12">
        <f>IFERROR(__xludf.DUMMYFUNCTION("""COMPUTED_VALUE"""),22840.0)</f>
        <v>22840</v>
      </c>
      <c r="D160" s="28" t="str">
        <f>IFERROR(__xludf.DUMMYFUNCTION("""COMPUTED_VALUE"""),"Desarrollo Urbano y Deportes")</f>
        <v>Desarrollo Urbano y Deportes</v>
      </c>
      <c r="E160" s="28"/>
    </row>
    <row r="161">
      <c r="A161" s="28" t="str">
        <f>IFERROR(__xludf.DUMMYFUNCTION("""COMPUTED_VALUE"""),"Personas que consultaron sobre fotografia")</f>
        <v>Personas que consultaron sobre fotografia</v>
      </c>
      <c r="B161" s="28" t="str">
        <f>IFERROR(__xludf.DUMMYFUNCTION("""COMPUTED_VALUE"""),"ICulFot")</f>
        <v>ICulFot</v>
      </c>
      <c r="C161" s="12">
        <f>IFERROR(__xludf.DUMMYFUNCTION("""COMPUTED_VALUE"""),22814.0)</f>
        <v>22814</v>
      </c>
      <c r="D161" s="28" t="str">
        <f>IFERROR(__xludf.DUMMYFUNCTION("""COMPUTED_VALUE"""),"Cultura")</f>
        <v>Cultura</v>
      </c>
      <c r="E161" s="28"/>
    </row>
    <row r="162">
      <c r="A162" s="28" t="str">
        <f>IFERROR(__xludf.DUMMYFUNCTION("""COMPUTED_VALUE"""),"Personas interesadas en musica folklore")</f>
        <v>Personas interesadas en musica folklore</v>
      </c>
      <c r="B162" s="28" t="str">
        <f>IFERROR(__xludf.DUMMYFUNCTION("""COMPUTED_VALUE"""),"ICulMcaFol")</f>
        <v>ICulMcaFol</v>
      </c>
      <c r="C162" s="12">
        <f>IFERROR(__xludf.DUMMYFUNCTION("""COMPUTED_VALUE"""),22681.0)</f>
        <v>22681</v>
      </c>
      <c r="D162" s="28" t="str">
        <f>IFERROR(__xludf.DUMMYFUNCTION("""COMPUTED_VALUE"""),"Cultura")</f>
        <v>Cultura</v>
      </c>
      <c r="E162" s="28"/>
    </row>
    <row r="163">
      <c r="A163" s="28" t="str">
        <f>IFERROR(__xludf.DUMMYFUNCTION("""COMPUTED_VALUE"""),"Padres/ tutores/responsables de alumnos nuevos matriculados en escuelas publicas año 2016")</f>
        <v>Padres/ tutores/responsables de alumnos nuevos matriculados en escuelas publicas año 2016</v>
      </c>
      <c r="B163" s="28" t="str">
        <f>IFERROR(__xludf.DUMMYFUNCTION("""COMPUTED_VALUE"""),"DEduN16")</f>
        <v>DEduN16</v>
      </c>
      <c r="C163" s="12">
        <f>IFERROR(__xludf.DUMMYFUNCTION("""COMPUTED_VALUE"""),22476.0)</f>
        <v>22476</v>
      </c>
      <c r="D163" s="28" t="str">
        <f>IFERROR(__xludf.DUMMYFUNCTION("""COMPUTED_VALUE"""),"Educación")</f>
        <v>Educación</v>
      </c>
      <c r="E163" s="28"/>
    </row>
    <row r="164">
      <c r="A164" s="28" t="str">
        <f>IFERROR(__xludf.DUMMYFUNCTION("""COMPUTED_VALUE"""),"Personas con estudios en economia")</f>
        <v>Personas con estudios en economia</v>
      </c>
      <c r="B164" s="28" t="str">
        <f>IFERROR(__xludf.DUMMYFUNCTION("""COMPUTED_VALUE"""),"DEstEco")</f>
        <v>DEstEco</v>
      </c>
      <c r="C164" s="12">
        <f>IFERROR(__xludf.DUMMYFUNCTION("""COMPUTED_VALUE"""),22340.0)</f>
        <v>22340</v>
      </c>
      <c r="D164" s="28" t="str">
        <f>IFERROR(__xludf.DUMMYFUNCTION("""COMPUTED_VALUE"""),"Desarrollo Económico")</f>
        <v>Desarrollo Económico</v>
      </c>
      <c r="E164" s="28"/>
    </row>
    <row r="165">
      <c r="A165" s="28" t="str">
        <f>IFERROR(__xludf.DUMMYFUNCTION("""COMPUTED_VALUE"""),"Personas con estudios en Ciencias Sociales")</f>
        <v>Personas con estudios en Ciencias Sociales</v>
      </c>
      <c r="B165" s="28" t="str">
        <f>IFERROR(__xludf.DUMMYFUNCTION("""COMPUTED_VALUE"""),"DEstSoc")</f>
        <v>DEstSoc</v>
      </c>
      <c r="C165" s="12">
        <f>IFERROR(__xludf.DUMMYFUNCTION("""COMPUTED_VALUE"""),22302.0)</f>
        <v>22302</v>
      </c>
      <c r="D165" s="28" t="str">
        <f>IFERROR(__xludf.DUMMYFUNCTION("""COMPUTED_VALUE"""),"Educación")</f>
        <v>Educación</v>
      </c>
      <c r="E165" s="28"/>
    </row>
    <row r="166">
      <c r="A166" s="28" t="str">
        <f>IFERROR(__xludf.DUMMYFUNCTION("""COMPUTED_VALUE"""),"Personas interesadas en artes visuales")</f>
        <v>Personas interesadas en artes visuales</v>
      </c>
      <c r="B166" s="28" t="str">
        <f>IFERROR(__xludf.DUMMYFUNCTION("""COMPUTED_VALUE"""),"ICulArv")</f>
        <v>ICulArv</v>
      </c>
      <c r="C166" s="12">
        <f>IFERROR(__xludf.DUMMYFUNCTION("""COMPUTED_VALUE"""),22272.0)</f>
        <v>22272</v>
      </c>
      <c r="D166" s="28" t="str">
        <f>IFERROR(__xludf.DUMMYFUNCTION("""COMPUTED_VALUE"""),"Cultura")</f>
        <v>Cultura</v>
      </c>
      <c r="E166" s="28"/>
    </row>
    <row r="167">
      <c r="A167" s="28" t="str">
        <f>IFERROR(__xludf.DUMMYFUNCTION("""COMPUTED_VALUE"""),"Personas UBA en Facultad de Sociales")</f>
        <v>Personas UBA en Facultad de Sociales</v>
      </c>
      <c r="B167" s="28" t="str">
        <f>IFERROR(__xludf.DUMMYFUNCTION("""COMPUTED_VALUE"""),"DUbaSoc")</f>
        <v>DUbaSoc</v>
      </c>
      <c r="C167" s="12">
        <f>IFERROR(__xludf.DUMMYFUNCTION("""COMPUTED_VALUE"""),22147.0)</f>
        <v>22147</v>
      </c>
      <c r="D167" s="28" t="str">
        <f>IFERROR(__xludf.DUMMYFUNCTION("""COMPUTED_VALUE"""),"Educación")</f>
        <v>Educación</v>
      </c>
      <c r="E167" s="28"/>
    </row>
    <row r="168">
      <c r="A168" s="28" t="str">
        <f>IFERROR(__xludf.DUMMYFUNCTION("""COMPUTED_VALUE"""),"Personas con un trabajo afín a la economía")</f>
        <v>Personas con un trabajo afín a la economía</v>
      </c>
      <c r="B168" s="28" t="str">
        <f>IFERROR(__xludf.DUMMYFUNCTION("""COMPUTED_VALUE"""),"DOfiEcn")</f>
        <v>DOfiEcn</v>
      </c>
      <c r="C168" s="12">
        <f>IFERROR(__xludf.DUMMYFUNCTION("""COMPUTED_VALUE"""),21998.0)</f>
        <v>21998</v>
      </c>
      <c r="D168" s="28" t="str">
        <f>IFERROR(__xludf.DUMMYFUNCTION("""COMPUTED_VALUE"""),"Desarrollo Económico")</f>
        <v>Desarrollo Económico</v>
      </c>
      <c r="E168" s="28"/>
    </row>
    <row r="169">
      <c r="A169" s="28" t="str">
        <f>IFERROR(__xludf.DUMMYFUNCTION("""COMPUTED_VALUE"""),"Personas que consultaron por tramites relacionados con alguna deuda")</f>
        <v>Personas que consultaron por tramites relacionados con alguna deuda</v>
      </c>
      <c r="B169" s="28" t="str">
        <f>IFERROR(__xludf.DUMMYFUNCTION("""COMPUTED_VALUE"""),"CTraDeu")</f>
        <v>CTraDeu</v>
      </c>
      <c r="C169" s="12">
        <f>IFERROR(__xludf.DUMMYFUNCTION("""COMPUTED_VALUE"""),21832.0)</f>
        <v>21832</v>
      </c>
      <c r="D169" s="28" t="str">
        <f>IFERROR(__xludf.DUMMYFUNCTION("""COMPUTED_VALUE"""),"Vínculo Ciudadano")</f>
        <v>Vínculo Ciudadano</v>
      </c>
      <c r="E169" s="28"/>
    </row>
    <row r="170">
      <c r="A170" s="28" t="str">
        <f>IFERROR(__xludf.DUMMYFUNCTION("""COMPUTED_VALUE"""),"Personas que consultaron por tramites relacionados a la pareja.")</f>
        <v>Personas que consultaron por tramites relacionados a la pareja.</v>
      </c>
      <c r="B170" s="28" t="str">
        <f>IFERROR(__xludf.DUMMYFUNCTION("""COMPUTED_VALUE"""),"CTraUni")</f>
        <v>CTraUni</v>
      </c>
      <c r="C170" s="12">
        <f>IFERROR(__xludf.DUMMYFUNCTION("""COMPUTED_VALUE"""),21713.0)</f>
        <v>21713</v>
      </c>
      <c r="D170" s="28" t="str">
        <f>IFERROR(__xludf.DUMMYFUNCTION("""COMPUTED_VALUE"""),"Vínculo Ciudadano")</f>
        <v>Vínculo Ciudadano</v>
      </c>
      <c r="E170" s="28"/>
    </row>
    <row r="171">
      <c r="A171" s="28" t="str">
        <f>IFERROR(__xludf.DUMMYFUNCTION("""COMPUTED_VALUE"""),"Personas con estudios en Ingenieria")</f>
        <v>Personas con estudios en Ingenieria</v>
      </c>
      <c r="B171" s="28" t="str">
        <f>IFERROR(__xludf.DUMMYFUNCTION("""COMPUTED_VALUE"""),"DEstIng")</f>
        <v>DEstIng</v>
      </c>
      <c r="C171" s="12">
        <f>IFERROR(__xludf.DUMMYFUNCTION("""COMPUTED_VALUE"""),21627.0)</f>
        <v>21627</v>
      </c>
      <c r="D171" s="28" t="str">
        <f>IFERROR(__xludf.DUMMYFUNCTION("""COMPUTED_VALUE"""),"Educación")</f>
        <v>Educación</v>
      </c>
      <c r="E171" s="28"/>
    </row>
    <row r="172">
      <c r="A172" s="28" t="str">
        <f>IFERROR(__xludf.DUMMYFUNCTION("""COMPUTED_VALUE"""),"Personas que trabajan en la política y administración pública")</f>
        <v>Personas que trabajan en la política y administración pública</v>
      </c>
      <c r="B172" s="28" t="str">
        <f>IFERROR(__xludf.DUMMYFUNCTION("""COMPUTED_VALUE"""),"DOfiPol")</f>
        <v>DOfiPol</v>
      </c>
      <c r="C172" s="12">
        <f>IFERROR(__xludf.DUMMYFUNCTION("""COMPUTED_VALUE"""),21426.0)</f>
        <v>21426</v>
      </c>
      <c r="D172" s="28" t="str">
        <f>IFERROR(__xludf.DUMMYFUNCTION("""COMPUTED_VALUE"""),"Jefatura de Gobierno")</f>
        <v>Jefatura de Gobierno</v>
      </c>
      <c r="E172" s="28"/>
    </row>
    <row r="173">
      <c r="A173" s="28" t="str">
        <f>IFERROR(__xludf.DUMMYFUNCTION("""COMPUTED_VALUE"""),"Personas con estudios en arquitectura")</f>
        <v>Personas con estudios en arquitectura</v>
      </c>
      <c r="B173" s="28" t="str">
        <f>IFERROR(__xludf.DUMMYFUNCTION("""COMPUTED_VALUE"""),"DEstArq")</f>
        <v>DEstArq</v>
      </c>
      <c r="C173" s="12">
        <f>IFERROR(__xludf.DUMMYFUNCTION("""COMPUTED_VALUE"""),21302.0)</f>
        <v>21302</v>
      </c>
      <c r="D173" s="28" t="str">
        <f>IFERROR(__xludf.DUMMYFUNCTION("""COMPUTED_VALUE"""),"Infraestructura")</f>
        <v>Infraestructura</v>
      </c>
      <c r="E173" s="28"/>
    </row>
    <row r="174">
      <c r="A174" s="28" t="str">
        <f>IFERROR(__xludf.DUMMYFUNCTION("""COMPUTED_VALUE"""),"Personas que llamaron al 147 por certificado discapacidad")</f>
        <v>Personas que llamaron al 147 por certificado discapacidad</v>
      </c>
      <c r="B174" s="28" t="str">
        <f>IFERROR(__xludf.DUMMYFUNCTION("""COMPUTED_VALUE"""),"C147Cer")</f>
        <v>C147Cer</v>
      </c>
      <c r="C174" s="12">
        <f>IFERROR(__xludf.DUMMYFUNCTION("""COMPUTED_VALUE"""),20985.0)</f>
        <v>20985</v>
      </c>
      <c r="D174" s="28" t="str">
        <f>IFERROR(__xludf.DUMMYFUNCTION("""COMPUTED_VALUE"""),"Jefatura de Gabinete")</f>
        <v>Jefatura de Gabinete</v>
      </c>
      <c r="E174" s="28"/>
    </row>
    <row r="175">
      <c r="A175" s="28" t="str">
        <f>IFERROR(__xludf.DUMMYFUNCTION("""COMPUTED_VALUE"""),"Personas afiliadas al sindicato gastronomico")</f>
        <v>Personas afiliadas al sindicato gastronomico</v>
      </c>
      <c r="B175" s="28" t="str">
        <f>IFERROR(__xludf.DUMMYFUNCTION("""COMPUTED_VALUE"""),"IGasSin")</f>
        <v>IGasSin</v>
      </c>
      <c r="C175" s="12">
        <f>IFERROR(__xludf.DUMMYFUNCTION("""COMPUTED_VALUE"""),20971.0)</f>
        <v>20971</v>
      </c>
      <c r="D175" s="28" t="str">
        <f>IFERROR(__xludf.DUMMYFUNCTION("""COMPUTED_VALUE"""),"Festivales y Eventos")</f>
        <v>Festivales y Eventos</v>
      </c>
      <c r="E175" s="28"/>
    </row>
    <row r="176">
      <c r="A176" s="28" t="str">
        <f>IFERROR(__xludf.DUMMYFUNCTION("""COMPUTED_VALUE"""),"Personas interesadas en capacitaciones")</f>
        <v>Personas interesadas en capacitaciones</v>
      </c>
      <c r="B176" s="28" t="str">
        <f>IFERROR(__xludf.DUMMYFUNCTION("""COMPUTED_VALUE"""),"IEduCap")</f>
        <v>IEduCap</v>
      </c>
      <c r="C176" s="12">
        <f>IFERROR(__xludf.DUMMYFUNCTION("""COMPUTED_VALUE"""),20890.0)</f>
        <v>20890</v>
      </c>
      <c r="D176" s="28" t="str">
        <f>IFERROR(__xludf.DUMMYFUNCTION("""COMPUTED_VALUE"""),"Desarrollo Económico")</f>
        <v>Desarrollo Económico</v>
      </c>
      <c r="E176" s="28"/>
    </row>
    <row r="177">
      <c r="A177" s="28" t="str">
        <f>IFERROR(__xludf.DUMMYFUNCTION("""COMPUTED_VALUE"""),"Personas que se inscribieron en el credito hipotecario Mi primera casa desde Mi BA")</f>
        <v>Personas que se inscribieron en el credito hipotecario Mi primera casa desde Mi BA</v>
      </c>
      <c r="B177" s="28" t="str">
        <f>IFERROR(__xludf.DUMMYFUNCTION("""COMPUTED_VALUE"""),"CMibMip")</f>
        <v>CMibMip</v>
      </c>
      <c r="C177" s="12">
        <f>IFERROR(__xludf.DUMMYFUNCTION("""COMPUTED_VALUE"""),20758.0)</f>
        <v>20758</v>
      </c>
      <c r="D177" s="28" t="str">
        <f>IFERROR(__xludf.DUMMYFUNCTION("""COMPUTED_VALUE"""),"Desarrollo Humano y Hábitat")</f>
        <v>Desarrollo Humano y Hábitat</v>
      </c>
      <c r="E177" s="28"/>
    </row>
    <row r="178">
      <c r="A178" s="28" t="str">
        <f>IFERROR(__xludf.DUMMYFUNCTION("""COMPUTED_VALUE"""),"Padres/ tutores/responsables de alumnos matriculados en escuelas publicas año 2018")</f>
        <v>Padres/ tutores/responsables de alumnos matriculados en escuelas publicas año 2018</v>
      </c>
      <c r="B178" s="28" t="str">
        <f>IFERROR(__xludf.DUMMYFUNCTION("""COMPUTED_VALUE"""),"DEduN18")</f>
        <v>DEduN18</v>
      </c>
      <c r="C178" s="12">
        <f>IFERROR(__xludf.DUMMYFUNCTION("""COMPUTED_VALUE"""),20753.0)</f>
        <v>20753</v>
      </c>
      <c r="D178" s="28" t="str">
        <f>IFERROR(__xludf.DUMMYFUNCTION("""COMPUTED_VALUE"""),"Educación")</f>
        <v>Educación</v>
      </c>
      <c r="E178" s="28"/>
    </row>
    <row r="179">
      <c r="A179" s="28" t="str">
        <f>IFERROR(__xludf.DUMMYFUNCTION("""COMPUTED_VALUE"""),"Personas con estudios en psicologia")</f>
        <v>Personas con estudios en psicologia</v>
      </c>
      <c r="B179" s="28" t="str">
        <f>IFERROR(__xludf.DUMMYFUNCTION("""COMPUTED_VALUE"""),"DEstPsi")</f>
        <v>DEstPsi</v>
      </c>
      <c r="C179" s="12">
        <f>IFERROR(__xludf.DUMMYFUNCTION("""COMPUTED_VALUE"""),20655.0)</f>
        <v>20655</v>
      </c>
      <c r="D179" s="28" t="str">
        <f>IFERROR(__xludf.DUMMYFUNCTION("""COMPUTED_VALUE"""),"Salud")</f>
        <v>Salud</v>
      </c>
      <c r="E179" s="28"/>
    </row>
    <row r="180">
      <c r="A180" s="28" t="str">
        <f>IFERROR(__xludf.DUMMYFUNCTION("""COMPUTED_VALUE"""),"BA Joven Emprendedurismo")</f>
        <v>BA Joven Emprendedurismo</v>
      </c>
      <c r="B180" s="28" t="str">
        <f>IFERROR(__xludf.DUMMYFUNCTION("""COMPUTED_VALUE"""),"PBajEmp")</f>
        <v>PBajEmp</v>
      </c>
      <c r="C180" s="12">
        <f>IFERROR(__xludf.DUMMYFUNCTION("""COMPUTED_VALUE"""),20325.0)</f>
        <v>20325</v>
      </c>
      <c r="D180" s="28" t="str">
        <f>IFERROR(__xludf.DUMMYFUNCTION("""COMPUTED_VALUE"""),"Desarrollo Económico")</f>
        <v>Desarrollo Económico</v>
      </c>
      <c r="E180" s="28"/>
    </row>
    <row r="181">
      <c r="A181" s="28" t="str">
        <f>IFERROR(__xludf.DUMMYFUNCTION("""COMPUTED_VALUE"""),"Personas con oficios afines a artes")</f>
        <v>Personas con oficios afines a artes</v>
      </c>
      <c r="B181" s="28" t="str">
        <f>IFERROR(__xludf.DUMMYFUNCTION("""COMPUTED_VALUE"""),"DOfiArt")</f>
        <v>DOfiArt</v>
      </c>
      <c r="C181" s="12">
        <f>IFERROR(__xludf.DUMMYFUNCTION("""COMPUTED_VALUE"""),20311.0)</f>
        <v>20311</v>
      </c>
      <c r="D181" s="28" t="str">
        <f>IFERROR(__xludf.DUMMYFUNCTION("""COMPUTED_VALUE"""),"Cultura")</f>
        <v>Cultura</v>
      </c>
      <c r="E181" s="28"/>
    </row>
    <row r="182">
      <c r="A182" s="28" t="str">
        <f>IFERROR(__xludf.DUMMYFUNCTION("""COMPUTED_VALUE"""),"BA Joven Expoempleo")</f>
        <v>BA Joven Expoempleo</v>
      </c>
      <c r="B182" s="28" t="str">
        <f>IFERROR(__xludf.DUMMYFUNCTION("""COMPUTED_VALUE"""),"PBajExp")</f>
        <v>PBajExp</v>
      </c>
      <c r="C182" s="12">
        <f>IFERROR(__xludf.DUMMYFUNCTION("""COMPUTED_VALUE"""),20022.0)</f>
        <v>20022</v>
      </c>
      <c r="D182" s="28" t="str">
        <f>IFERROR(__xludf.DUMMYFUNCTION("""COMPUTED_VALUE"""),"Desarrollo Económico")</f>
        <v>Desarrollo Económico</v>
      </c>
      <c r="E182" s="28"/>
    </row>
    <row r="183">
      <c r="A183" s="28" t="str">
        <f>IFERROR(__xludf.DUMMYFUNCTION("""COMPUTED_VALUE"""),"Personas que llamaron al 147 por higiene urbana")</f>
        <v>Personas que llamaron al 147 por higiene urbana</v>
      </c>
      <c r="B183" s="28" t="str">
        <f>IFERROR(__xludf.DUMMYFUNCTION("""COMPUTED_VALUE"""),"C147Hig")</f>
        <v>C147Hig</v>
      </c>
      <c r="C183" s="12">
        <f>IFERROR(__xludf.DUMMYFUNCTION("""COMPUTED_VALUE"""),20008.0)</f>
        <v>20008</v>
      </c>
      <c r="D183" s="28" t="str">
        <f>IFERROR(__xludf.DUMMYFUNCTION("""COMPUTED_VALUE"""),"Espacio Público e Higiene Urbana")</f>
        <v>Espacio Público e Higiene Urbana</v>
      </c>
      <c r="E183" s="28"/>
    </row>
    <row r="184">
      <c r="A184" s="28" t="str">
        <f>IFERROR(__xludf.DUMMYFUNCTION("""COMPUTED_VALUE"""),"Personas que solicitaron turnos de salud desde Mi BA")</f>
        <v>Personas que solicitaron turnos de salud desde Mi BA</v>
      </c>
      <c r="B184" s="28" t="str">
        <f>IFERROR(__xludf.DUMMYFUNCTION("""COMPUTED_VALUE"""),"CMibTsa")</f>
        <v>CMibTsa</v>
      </c>
      <c r="C184" s="12">
        <f>IFERROR(__xludf.DUMMYFUNCTION("""COMPUTED_VALUE"""),18871.0)</f>
        <v>18871</v>
      </c>
      <c r="D184" s="28" t="str">
        <f>IFERROR(__xludf.DUMMYFUNCTION("""COMPUTED_VALUE"""),"Jefatura de Gobierno")</f>
        <v>Jefatura de Gobierno</v>
      </c>
      <c r="E184" s="28"/>
    </row>
    <row r="185">
      <c r="A185" s="28" t="str">
        <f>IFERROR(__xludf.DUMMYFUNCTION("""COMPUTED_VALUE"""),"Personas interesadas en evento Lollapalooza")</f>
        <v>Personas interesadas en evento Lollapalooza</v>
      </c>
      <c r="B185" s="28" t="str">
        <f>IFERROR(__xludf.DUMMYFUNCTION("""COMPUTED_VALUE"""),"ICulLpz")</f>
        <v>ICulLpz</v>
      </c>
      <c r="C185" s="12">
        <f>IFERROR(__xludf.DUMMYFUNCTION("""COMPUTED_VALUE"""),18719.0)</f>
        <v>18719</v>
      </c>
      <c r="D185" s="28" t="str">
        <f>IFERROR(__xludf.DUMMYFUNCTION("""COMPUTED_VALUE"""),"Festivales y Eventos")</f>
        <v>Festivales y Eventos</v>
      </c>
      <c r="E185" s="28"/>
    </row>
    <row r="186">
      <c r="A186" s="28" t="str">
        <f>IFERROR(__xludf.DUMMYFUNCTION("""COMPUTED_VALUE"""),"Padres/ tutores/responsables de alumnos estudiantes en escuelas publicas, nivel inicial del año 2019")</f>
        <v>Padres/ tutores/responsables de alumnos estudiantes en escuelas publicas, nivel inicial del año 2019</v>
      </c>
      <c r="B186" s="28" t="str">
        <f>IFERROR(__xludf.DUMMYFUNCTION("""COMPUTED_VALUE"""),"DEduI19")</f>
        <v>DEduI19</v>
      </c>
      <c r="C186" s="12">
        <f>IFERROR(__xludf.DUMMYFUNCTION("""COMPUTED_VALUE"""),18568.0)</f>
        <v>18568</v>
      </c>
      <c r="D186" s="28" t="str">
        <f>IFERROR(__xludf.DUMMYFUNCTION("""COMPUTED_VALUE"""),"Educación")</f>
        <v>Educación</v>
      </c>
      <c r="E186" s="28"/>
    </row>
    <row r="187">
      <c r="A187" s="28" t="str">
        <f>IFERROR(__xludf.DUMMYFUNCTION("""COMPUTED_VALUE"""),"Personas interesadas en tecnologia")</f>
        <v>Personas interesadas en tecnologia</v>
      </c>
      <c r="B187" s="28" t="str">
        <f>IFERROR(__xludf.DUMMYFUNCTION("""COMPUTED_VALUE"""),"ITec")</f>
        <v>ITec</v>
      </c>
      <c r="C187" s="12">
        <f>IFERROR(__xludf.DUMMYFUNCTION("""COMPUTED_VALUE"""),18039.0)</f>
        <v>18039</v>
      </c>
      <c r="D187" s="28" t="str">
        <f>IFERROR(__xludf.DUMMYFUNCTION("""COMPUTED_VALUE"""),"Innovacion")</f>
        <v>Innovacion</v>
      </c>
      <c r="E187" s="28"/>
    </row>
    <row r="188">
      <c r="A188" s="28" t="str">
        <f>IFERROR(__xludf.DUMMYFUNCTION("""COMPUTED_VALUE"""),"Personas interesadas en temas de empleo")</f>
        <v>Personas interesadas en temas de empleo</v>
      </c>
      <c r="B188" s="28" t="str">
        <f>IFERROR(__xludf.DUMMYFUNCTION("""COMPUTED_VALUE"""),"ISocEmp")</f>
        <v>ISocEmp</v>
      </c>
      <c r="C188" s="12">
        <f>IFERROR(__xludf.DUMMYFUNCTION("""COMPUTED_VALUE"""),18024.0)</f>
        <v>18024</v>
      </c>
      <c r="D188" s="28" t="str">
        <f>IFERROR(__xludf.DUMMYFUNCTION("""COMPUTED_VALUE"""),"Desarrollo Económico")</f>
        <v>Desarrollo Económico</v>
      </c>
      <c r="E188" s="28"/>
    </row>
    <row r="189">
      <c r="A189" s="28" t="str">
        <f>IFERROR(__xludf.DUMMYFUNCTION("""COMPUTED_VALUE"""),"Cultura Tango BA")</f>
        <v>Cultura Tango BA</v>
      </c>
      <c r="B189" s="28" t="str">
        <f>IFERROR(__xludf.DUMMYFUNCTION("""COMPUTED_VALUE"""),"ICulFesTba")</f>
        <v>ICulFesTba</v>
      </c>
      <c r="C189" s="12">
        <f>IFERROR(__xludf.DUMMYFUNCTION("""COMPUTED_VALUE"""),17944.0)</f>
        <v>17944</v>
      </c>
      <c r="D189" s="28" t="str">
        <f>IFERROR(__xludf.DUMMYFUNCTION("""COMPUTED_VALUE"""),"Cultura")</f>
        <v>Cultura</v>
      </c>
      <c r="E189" s="28"/>
    </row>
    <row r="190">
      <c r="A190" s="28" t="str">
        <f>IFERROR(__xludf.DUMMYFUNCTION("""COMPUTED_VALUE"""),"Personas inscriptas a los eventos de navidad de la ciudad")</f>
        <v>Personas inscriptas a los eventos de navidad de la ciudad</v>
      </c>
      <c r="B190" s="28" t="str">
        <f>IFERROR(__xludf.DUMMYFUNCTION("""COMPUTED_VALUE"""),"CUsoBan")</f>
        <v>CUsoBan</v>
      </c>
      <c r="C190" s="12">
        <f>IFERROR(__xludf.DUMMYFUNCTION("""COMPUTED_VALUE"""),17812.0)</f>
        <v>17812</v>
      </c>
      <c r="D190" s="28" t="str">
        <f>IFERROR(__xludf.DUMMYFUNCTION("""COMPUTED_VALUE"""),"Festivales y Eventos")</f>
        <v>Festivales y Eventos</v>
      </c>
      <c r="E190" s="28"/>
    </row>
    <row r="191">
      <c r="A191" s="28" t="str">
        <f>IFERROR(__xludf.DUMMYFUNCTION("""COMPUTED_VALUE"""),"Personas inscriptas en experiencias en eventos de actores")</f>
        <v>Personas inscriptas en experiencias en eventos de actores</v>
      </c>
      <c r="B191" s="28" t="str">
        <f>IFERROR(__xludf.DUMMYFUNCTION("""COMPUTED_VALUE"""),"PExpActIns")</f>
        <v>PExpActIns</v>
      </c>
      <c r="C191" s="12">
        <f>IFERROR(__xludf.DUMMYFUNCTION("""COMPUTED_VALUE"""),17809.0)</f>
        <v>17809</v>
      </c>
      <c r="D191" s="28" t="str">
        <f>IFERROR(__xludf.DUMMYFUNCTION("""COMPUTED_VALUE"""),"Cultura")</f>
        <v>Cultura</v>
      </c>
      <c r="E191" s="28"/>
    </row>
    <row r="192">
      <c r="A192" s="28" t="str">
        <f>IFERROR(__xludf.DUMMYFUNCTION("""COMPUTED_VALUE"""),"Voluntarios en Mayores Cuidados")</f>
        <v>Voluntarios en Mayores Cuidados</v>
      </c>
      <c r="B192" s="28" t="str">
        <f>IFERROR(__xludf.DUMMYFUNCTION("""COMPUTED_VALUE"""),"PVolMay")</f>
        <v>PVolMay</v>
      </c>
      <c r="C192" s="12">
        <f>IFERROR(__xludf.DUMMYFUNCTION("""COMPUTED_VALUE"""),17435.0)</f>
        <v>17435</v>
      </c>
      <c r="D192" s="28" t="str">
        <f>IFERROR(__xludf.DUMMYFUNCTION("""COMPUTED_VALUE"""),"Desarrollo Humano y Hábitat")</f>
        <v>Desarrollo Humano y Hábitat</v>
      </c>
      <c r="E192" s="28"/>
    </row>
    <row r="193">
      <c r="A193" s="28" t="str">
        <f>IFERROR(__xludf.DUMMYFUNCTION("""COMPUTED_VALUE"""),"Personas que son mecanicos y/o electricistas")</f>
        <v>Personas que son mecanicos y/o electricistas</v>
      </c>
      <c r="B193" s="28" t="str">
        <f>IFERROR(__xludf.DUMMYFUNCTION("""COMPUTED_VALUE"""),"DOfiMye")</f>
        <v>DOfiMye</v>
      </c>
      <c r="C193" s="12">
        <f>IFERROR(__xludf.DUMMYFUNCTION("""COMPUTED_VALUE"""),17203.0)</f>
        <v>17203</v>
      </c>
      <c r="D193" s="28" t="str">
        <f>IFERROR(__xludf.DUMMYFUNCTION("""COMPUTED_VALUE"""),"Desarrollo Económico")</f>
        <v>Desarrollo Económico</v>
      </c>
      <c r="E193" s="28"/>
    </row>
    <row r="194">
      <c r="A194" s="28" t="str">
        <f>IFERROR(__xludf.DUMMYFUNCTION("""COMPUTED_VALUE"""),"Personas inscriptas en Disfrutemos BA para estar informado de todas las actividades y eventos")</f>
        <v>Personas inscriptas en Disfrutemos BA para estar informado de todas las actividades y eventos</v>
      </c>
      <c r="B194" s="28" t="str">
        <f>IFERROR(__xludf.DUMMYFUNCTION("""COMPUTED_VALUE"""),"ICulFesDis")</f>
        <v>ICulFesDis</v>
      </c>
      <c r="C194" s="12">
        <f>IFERROR(__xludf.DUMMYFUNCTION("""COMPUTED_VALUE"""),16820.0)</f>
        <v>16820</v>
      </c>
      <c r="D194" s="28" t="str">
        <f>IFERROR(__xludf.DUMMYFUNCTION("""COMPUTED_VALUE"""),"Anuncios y Newsletter")</f>
        <v>Anuncios y Newsletter</v>
      </c>
      <c r="E194" s="28"/>
    </row>
    <row r="195">
      <c r="A195" s="28" t="str">
        <f>IFERROR(__xludf.DUMMYFUNCTION("""COMPUTED_VALUE"""),"Personas inscriptas en el programa Ciudad Verde")</f>
        <v>Personas inscriptas en el programa Ciudad Verde</v>
      </c>
      <c r="B195" s="28" t="str">
        <f>IFERROR(__xludf.DUMMYFUNCTION("""COMPUTED_VALUE"""),"CUsoCiu")</f>
        <v>CUsoCiu</v>
      </c>
      <c r="C195" s="12">
        <f>IFERROR(__xludf.DUMMYFUNCTION("""COMPUTED_VALUE"""),16744.0)</f>
        <v>16744</v>
      </c>
      <c r="D195" s="28" t="str">
        <f>IFERROR(__xludf.DUMMYFUNCTION("""COMPUTED_VALUE"""),"Ambiente")</f>
        <v>Ambiente</v>
      </c>
      <c r="E195" s="28"/>
    </row>
    <row r="196">
      <c r="A196" s="28" t="str">
        <f>IFERROR(__xludf.DUMMYFUNCTION("""COMPUTED_VALUE"""),"Personas interesadas en tecnología - Programación")</f>
        <v>Personas interesadas en tecnología - Programación</v>
      </c>
      <c r="B196" s="28" t="str">
        <f>IFERROR(__xludf.DUMMYFUNCTION("""COMPUTED_VALUE"""),"ITecPrg")</f>
        <v>ITecPrg</v>
      </c>
      <c r="C196" s="12">
        <f>IFERROR(__xludf.DUMMYFUNCTION("""COMPUTED_VALUE"""),16584.0)</f>
        <v>16584</v>
      </c>
      <c r="D196" s="28" t="str">
        <f>IFERROR(__xludf.DUMMYFUNCTION("""COMPUTED_VALUE"""),"Innovacion")</f>
        <v>Innovacion</v>
      </c>
      <c r="E196" s="28"/>
    </row>
    <row r="197">
      <c r="A197" s="28" t="str">
        <f>IFERROR(__xludf.DUMMYFUNCTION("""COMPUTED_VALUE"""),"Personas que asistieron a eventos de emprendedores")</f>
        <v>Personas que asistieron a eventos de emprendedores</v>
      </c>
      <c r="B197" s="28" t="str">
        <f>IFERROR(__xludf.DUMMYFUNCTION("""COMPUTED_VALUE"""),"PEveEmp")</f>
        <v>PEveEmp</v>
      </c>
      <c r="C197" s="12">
        <f>IFERROR(__xludf.DUMMYFUNCTION("""COMPUTED_VALUE"""),16447.0)</f>
        <v>16447</v>
      </c>
      <c r="D197" s="28" t="str">
        <f>IFERROR(__xludf.DUMMYFUNCTION("""COMPUTED_VALUE"""),"Desarrollo Económico")</f>
        <v>Desarrollo Económico</v>
      </c>
      <c r="E197" s="28"/>
    </row>
    <row r="198">
      <c r="A198" s="28" t="str">
        <f>IFERROR(__xludf.DUMMYFUNCTION("""COMPUTED_VALUE"""),"Voluntarios")</f>
        <v>Voluntarios</v>
      </c>
      <c r="B198" s="28" t="str">
        <f>IFERROR(__xludf.DUMMYFUNCTION("""COMPUTED_VALUE"""),"PVol")</f>
        <v>PVol</v>
      </c>
      <c r="C198" s="12">
        <f>IFERROR(__xludf.DUMMYFUNCTION("""COMPUTED_VALUE"""),16270.0)</f>
        <v>16270</v>
      </c>
      <c r="D198" s="28" t="str">
        <f>IFERROR(__xludf.DUMMYFUNCTION("""COMPUTED_VALUE"""),"Desarrollo Humano y Hábitat")</f>
        <v>Desarrollo Humano y Hábitat</v>
      </c>
      <c r="E198" s="28"/>
    </row>
    <row r="199">
      <c r="A199" s="28" t="str">
        <f>IFERROR(__xludf.DUMMYFUNCTION("""COMPUTED_VALUE"""),"Personas interesadas en visitas guiadas de cultura")</f>
        <v>Personas interesadas en visitas guiadas de cultura</v>
      </c>
      <c r="B199" s="28" t="str">
        <f>IFERROR(__xludf.DUMMYFUNCTION("""COMPUTED_VALUE"""),"ICulVis")</f>
        <v>ICulVis</v>
      </c>
      <c r="C199" s="12">
        <f>IFERROR(__xludf.DUMMYFUNCTION("""COMPUTED_VALUE"""),16200.0)</f>
        <v>16200</v>
      </c>
      <c r="D199" s="28" t="str">
        <f>IFERROR(__xludf.DUMMYFUNCTION("""COMPUTED_VALUE"""),"Cultura")</f>
        <v>Cultura</v>
      </c>
      <c r="E199" s="28"/>
    </row>
    <row r="200">
      <c r="A200" s="28" t="str">
        <f>IFERROR(__xludf.DUMMYFUNCTION("""COMPUTED_VALUE"""),"Personas suscriptas e interesadas en Voluntarios")</f>
        <v>Personas suscriptas e interesadas en Voluntarios</v>
      </c>
      <c r="B200" s="28" t="str">
        <f>IFERROR(__xludf.DUMMYFUNCTION("""COMPUTED_VALUE"""),"PVolScr")</f>
        <v>PVolScr</v>
      </c>
      <c r="C200" s="12">
        <f>IFERROR(__xludf.DUMMYFUNCTION("""COMPUTED_VALUE"""),16179.0)</f>
        <v>16179</v>
      </c>
      <c r="D200" s="28" t="str">
        <f>IFERROR(__xludf.DUMMYFUNCTION("""COMPUTED_VALUE"""),"Participación Ciudadana")</f>
        <v>Participación Ciudadana</v>
      </c>
      <c r="E200" s="28"/>
    </row>
    <row r="201">
      <c r="A201" s="28" t="str">
        <f>IFERROR(__xludf.DUMMYFUNCTION("""COMPUTED_VALUE"""),"Personas interesadas en el dengue")</f>
        <v>Personas interesadas en el dengue</v>
      </c>
      <c r="B201" s="28" t="str">
        <f>IFERROR(__xludf.DUMMYFUNCTION("""COMPUTED_VALUE"""),"ISalDen")</f>
        <v>ISalDen</v>
      </c>
      <c r="C201" s="12">
        <f>IFERROR(__xludf.DUMMYFUNCTION("""COMPUTED_VALUE"""),16145.0)</f>
        <v>16145</v>
      </c>
      <c r="D201" s="28" t="str">
        <f>IFERROR(__xludf.DUMMYFUNCTION("""COMPUTED_VALUE"""),"Salud")</f>
        <v>Salud</v>
      </c>
      <c r="E201" s="28"/>
    </row>
    <row r="202">
      <c r="A202" s="28" t="str">
        <f>IFERROR(__xludf.DUMMYFUNCTION("""COMPUTED_VALUE"""),"Personas inscriptas en becas de Salud")</f>
        <v>Personas inscriptas en becas de Salud</v>
      </c>
      <c r="B202" s="28" t="str">
        <f>IFERROR(__xludf.DUMMYFUNCTION("""COMPUTED_VALUE"""),"PBajSalIns")</f>
        <v>PBajSalIns</v>
      </c>
      <c r="C202" s="12">
        <f>IFERROR(__xludf.DUMMYFUNCTION("""COMPUTED_VALUE"""),16075.0)</f>
        <v>16075</v>
      </c>
      <c r="D202" s="28" t="str">
        <f>IFERROR(__xludf.DUMMYFUNCTION("""COMPUTED_VALUE"""),"Salud")</f>
        <v>Salud</v>
      </c>
      <c r="E202" s="28"/>
    </row>
    <row r="203">
      <c r="A203" s="28" t="str">
        <f>IFERROR(__xludf.DUMMYFUNCTION("""COMPUTED_VALUE"""),"Personas con estudios en magisterio de nivel inicial")</f>
        <v>Personas con estudios en magisterio de nivel inicial</v>
      </c>
      <c r="B203" s="28" t="str">
        <f>IFERROR(__xludf.DUMMYFUNCTION("""COMPUTED_VALUE"""),"DEstMae")</f>
        <v>DEstMae</v>
      </c>
      <c r="C203" s="12">
        <f>IFERROR(__xludf.DUMMYFUNCTION("""COMPUTED_VALUE"""),15946.0)</f>
        <v>15946</v>
      </c>
      <c r="D203" s="28" t="str">
        <f>IFERROR(__xludf.DUMMYFUNCTION("""COMPUTED_VALUE"""),"Educación")</f>
        <v>Educación</v>
      </c>
      <c r="E203" s="28"/>
    </row>
    <row r="204">
      <c r="A204" s="28" t="str">
        <f>IFERROR(__xludf.DUMMYFUNCTION("""COMPUTED_VALUE"""),"Personas inscriptas y asistentes a reuniones de Relevancia de Gastronomia")</f>
        <v>Personas inscriptas y asistentes a reuniones de Relevancia de Gastronomia</v>
      </c>
      <c r="B204" s="28" t="str">
        <f>IFERROR(__xludf.DUMMYFUNCTION("""COMPUTED_VALUE"""),"PRelGasAsi")</f>
        <v>PRelGasAsi</v>
      </c>
      <c r="C204" s="12">
        <f>IFERROR(__xludf.DUMMYFUNCTION("""COMPUTED_VALUE"""),15567.0)</f>
        <v>15567</v>
      </c>
      <c r="D204" s="28" t="str">
        <f>IFERROR(__xludf.DUMMYFUNCTION("""COMPUTED_VALUE"""),"Cercanía y PC")</f>
        <v>Cercanía y PC</v>
      </c>
      <c r="E204" s="28"/>
    </row>
    <row r="205">
      <c r="A205" s="28" t="str">
        <f>IFERROR(__xludf.DUMMYFUNCTION("""COMPUTED_VALUE"""),"Personas inscriptas en el festival BA Evoluciona - ciudad emergente")</f>
        <v>Personas inscriptas en el festival BA Evoluciona - ciudad emergente</v>
      </c>
      <c r="B205" s="28" t="str">
        <f>IFERROR(__xludf.DUMMYFUNCTION("""COMPUTED_VALUE"""),"ICulFesBae")</f>
        <v>ICulFesBae</v>
      </c>
      <c r="C205" s="12">
        <f>IFERROR(__xludf.DUMMYFUNCTION("""COMPUTED_VALUE"""),15130.0)</f>
        <v>15130</v>
      </c>
      <c r="D205" s="28" t="str">
        <f>IFERROR(__xludf.DUMMYFUNCTION("""COMPUTED_VALUE"""),"Festivales y Eventos")</f>
        <v>Festivales y Eventos</v>
      </c>
      <c r="E205" s="28"/>
    </row>
    <row r="206">
      <c r="A206" s="28" t="str">
        <f>IFERROR(__xludf.DUMMYFUNCTION("""COMPUTED_VALUE"""),"Personas que participaron en La cuadra mas limpia")</f>
        <v>Personas que participaron en La cuadra mas limpia</v>
      </c>
      <c r="B206" s="28" t="str">
        <f>IFERROR(__xludf.DUMMYFUNCTION("""COMPUTED_VALUE"""),"PIncLac")</f>
        <v>PIncLac</v>
      </c>
      <c r="C206" s="12">
        <f>IFERROR(__xludf.DUMMYFUNCTION("""COMPUTED_VALUE"""),15039.0)</f>
        <v>15039</v>
      </c>
      <c r="D206" s="28" t="str">
        <f>IFERROR(__xludf.DUMMYFUNCTION("""COMPUTED_VALUE"""),"Participación Ciudadana")</f>
        <v>Participación Ciudadana</v>
      </c>
      <c r="E206" s="28"/>
    </row>
    <row r="207">
      <c r="A207" s="28" t="str">
        <f>IFERROR(__xludf.DUMMYFUNCTION("""COMPUTED_VALUE"""),"Personas interesadas en becas")</f>
        <v>Personas interesadas en becas</v>
      </c>
      <c r="B207" s="28" t="str">
        <f>IFERROR(__xludf.DUMMYFUNCTION("""COMPUTED_VALUE"""),"IEduBec")</f>
        <v>IEduBec</v>
      </c>
      <c r="C207" s="12">
        <f>IFERROR(__xludf.DUMMYFUNCTION("""COMPUTED_VALUE"""),14780.0)</f>
        <v>14780</v>
      </c>
      <c r="D207" s="28" t="str">
        <f>IFERROR(__xludf.DUMMYFUNCTION("""COMPUTED_VALUE"""),"Educación")</f>
        <v>Educación</v>
      </c>
      <c r="E207" s="28"/>
    </row>
    <row r="208">
      <c r="A208" s="28" t="str">
        <f>IFERROR(__xludf.DUMMYFUNCTION("""COMPUTED_VALUE"""),"Personas interesadas en inscripciones de actividades educativas")</f>
        <v>Personas interesadas en inscripciones de actividades educativas</v>
      </c>
      <c r="B208" s="28" t="str">
        <f>IFERROR(__xludf.DUMMYFUNCTION("""COMPUTED_VALUE"""),"IEduIns")</f>
        <v>IEduIns</v>
      </c>
      <c r="C208" s="12">
        <f>IFERROR(__xludf.DUMMYFUNCTION("""COMPUTED_VALUE"""),14281.0)</f>
        <v>14281</v>
      </c>
      <c r="D208" s="28" t="str">
        <f>IFERROR(__xludf.DUMMYFUNCTION("""COMPUTED_VALUE"""),"Educación")</f>
        <v>Educación</v>
      </c>
      <c r="E208" s="28"/>
    </row>
    <row r="209">
      <c r="A209" s="28" t="str">
        <f>IFERROR(__xludf.DUMMYFUNCTION("""COMPUTED_VALUE"""),"Personas interesadas y/o beneficiarios del pase cultural")</f>
        <v>Personas interesadas y/o beneficiarios del pase cultural</v>
      </c>
      <c r="B209" s="28" t="str">
        <f>IFERROR(__xludf.DUMMYFUNCTION("""COMPUTED_VALUE"""),"ICulPcu")</f>
        <v>ICulPcu</v>
      </c>
      <c r="C209" s="12">
        <f>IFERROR(__xludf.DUMMYFUNCTION("""COMPUTED_VALUE"""),14183.0)</f>
        <v>14183</v>
      </c>
      <c r="D209" s="28" t="str">
        <f>IFERROR(__xludf.DUMMYFUNCTION("""COMPUTED_VALUE"""),"Cultura")</f>
        <v>Cultura</v>
      </c>
      <c r="E209" s="28"/>
    </row>
    <row r="210">
      <c r="A210" s="28" t="str">
        <f>IFERROR(__xludf.DUMMYFUNCTION("""COMPUTED_VALUE"""),"BA Joven mecanica / automotores")</f>
        <v>BA Joven mecanica / automotores</v>
      </c>
      <c r="B210" s="28" t="str">
        <f>IFERROR(__xludf.DUMMYFUNCTION("""COMPUTED_VALUE"""),"PBajMec")</f>
        <v>PBajMec</v>
      </c>
      <c r="C210" s="12">
        <f>IFERROR(__xludf.DUMMYFUNCTION("""COMPUTED_VALUE"""),14127.0)</f>
        <v>14127</v>
      </c>
      <c r="D210" s="28" t="str">
        <f>IFERROR(__xludf.DUMMYFUNCTION("""COMPUTED_VALUE"""),"Vínculo Ciudadano")</f>
        <v>Vínculo Ciudadano</v>
      </c>
      <c r="E210" s="28"/>
    </row>
    <row r="211">
      <c r="A211" s="28" t="str">
        <f>IFERROR(__xludf.DUMMYFUNCTION("""COMPUTED_VALUE"""),"Subte")</f>
        <v>Subte</v>
      </c>
      <c r="B211" s="28" t="str">
        <f>IFERROR(__xludf.DUMMYFUNCTION("""COMPUTED_VALUE"""),"ITraPubSub")</f>
        <v>ITraPubSub</v>
      </c>
      <c r="C211" s="12">
        <f>IFERROR(__xludf.DUMMYFUNCTION("""COMPUTED_VALUE"""),14120.0)</f>
        <v>14120</v>
      </c>
      <c r="D211" s="28" t="str">
        <f>IFERROR(__xludf.DUMMYFUNCTION("""COMPUTED_VALUE"""),"Bien Publico")</f>
        <v>Bien Publico</v>
      </c>
      <c r="E211" s="28"/>
    </row>
    <row r="212">
      <c r="A212" s="28" t="str">
        <f>IFERROR(__xludf.DUMMYFUNCTION("""COMPUTED_VALUE"""),"Personas interesadas en musica clasica")</f>
        <v>Personas interesadas en musica clasica</v>
      </c>
      <c r="B212" s="28" t="str">
        <f>IFERROR(__xludf.DUMMYFUNCTION("""COMPUTED_VALUE"""),"ICulMcaCla")</f>
        <v>ICulMcaCla</v>
      </c>
      <c r="C212" s="12">
        <f>IFERROR(__xludf.DUMMYFUNCTION("""COMPUTED_VALUE"""),14050.0)</f>
        <v>14050</v>
      </c>
      <c r="D212" s="28" t="str">
        <f>IFERROR(__xludf.DUMMYFUNCTION("""COMPUTED_VALUE"""),"Cultura")</f>
        <v>Cultura</v>
      </c>
      <c r="E212" s="28"/>
    </row>
    <row r="213">
      <c r="A213" s="28" t="str">
        <f>IFERROR(__xludf.DUMMYFUNCTION("""COMPUTED_VALUE"""),"Personas que llamaron al 147 por grabado de autopartes")</f>
        <v>Personas que llamaron al 147 por grabado de autopartes</v>
      </c>
      <c r="B213" s="28" t="str">
        <f>IFERROR(__xludf.DUMMYFUNCTION("""COMPUTED_VALUE"""),"C147Gra")</f>
        <v>C147Gra</v>
      </c>
      <c r="C213" s="12">
        <f>IFERROR(__xludf.DUMMYFUNCTION("""COMPUTED_VALUE"""),13828.0)</f>
        <v>13828</v>
      </c>
      <c r="D213" s="28" t="str">
        <f>IFERROR(__xludf.DUMMYFUNCTION("""COMPUTED_VALUE"""),"Bien Publico")</f>
        <v>Bien Publico</v>
      </c>
      <c r="E213" s="28"/>
    </row>
    <row r="214">
      <c r="A214" s="28" t="str">
        <f>IFERROR(__xludf.DUMMYFUNCTION("""COMPUTED_VALUE"""),"Personas interesadas en circo")</f>
        <v>Personas interesadas en circo</v>
      </c>
      <c r="B214" s="28" t="str">
        <f>IFERROR(__xludf.DUMMYFUNCTION("""COMPUTED_VALUE"""),"ICulCir")</f>
        <v>ICulCir</v>
      </c>
      <c r="C214" s="12">
        <f>IFERROR(__xludf.DUMMYFUNCTION("""COMPUTED_VALUE"""),13797.0)</f>
        <v>13797</v>
      </c>
      <c r="D214" s="28" t="str">
        <f>IFERROR(__xludf.DUMMYFUNCTION("""COMPUTED_VALUE"""),"Cultura")</f>
        <v>Cultura</v>
      </c>
      <c r="E214" s="28"/>
    </row>
    <row r="215">
      <c r="A215" s="28" t="str">
        <f>IFERROR(__xludf.DUMMYFUNCTION("""COMPUTED_VALUE"""),"Personas que participaron en una votación relacionada al transporte")</f>
        <v>Personas que participaron en una votación relacionada al transporte</v>
      </c>
      <c r="B215" s="28" t="str">
        <f>IFERROR(__xludf.DUMMYFUNCTION("""COMPUTED_VALUE"""),"PVotTra")</f>
        <v>PVotTra</v>
      </c>
      <c r="C215" s="12">
        <f>IFERROR(__xludf.DUMMYFUNCTION("""COMPUTED_VALUE"""),13092.0)</f>
        <v>13092</v>
      </c>
      <c r="D215" s="28" t="str">
        <f>IFERROR(__xludf.DUMMYFUNCTION("""COMPUTED_VALUE"""),"Participación Ciudadana")</f>
        <v>Participación Ciudadana</v>
      </c>
      <c r="E215" s="28"/>
    </row>
    <row r="216">
      <c r="A216" s="28" t="str">
        <f>IFERROR(__xludf.DUMMYFUNCTION("""COMPUTED_VALUE"""),"Personas interesadas en Caballito")</f>
        <v>Personas interesadas en Caballito</v>
      </c>
      <c r="B216" s="28" t="str">
        <f>IFERROR(__xludf.DUMMYFUNCTION("""COMPUTED_VALUE"""),"ICo6Cab")</f>
        <v>ICo6Cab</v>
      </c>
      <c r="C216" s="12">
        <f>IFERROR(__xludf.DUMMYFUNCTION("""COMPUTED_VALUE"""),12726.0)</f>
        <v>12726</v>
      </c>
      <c r="D216" s="28" t="str">
        <f>IFERROR(__xludf.DUMMYFUNCTION("""COMPUTED_VALUE"""),"Cercanía y PC")</f>
        <v>Cercanía y PC</v>
      </c>
      <c r="E216" s="28"/>
    </row>
    <row r="217">
      <c r="A217" s="28" t="str">
        <f>IFERROR(__xludf.DUMMYFUNCTION("""COMPUTED_VALUE"""),"Personas con estudios en magisterio de nivel primario")</f>
        <v>Personas con estudios en magisterio de nivel primario</v>
      </c>
      <c r="B217" s="28" t="str">
        <f>IFERROR(__xludf.DUMMYFUNCTION("""COMPUTED_VALUE"""),"DEstMap")</f>
        <v>DEstMap</v>
      </c>
      <c r="C217" s="12">
        <f>IFERROR(__xludf.DUMMYFUNCTION("""COMPUTED_VALUE"""),12615.0)</f>
        <v>12615</v>
      </c>
      <c r="D217" s="28" t="str">
        <f>IFERROR(__xludf.DUMMYFUNCTION("""COMPUTED_VALUE"""),"Educación")</f>
        <v>Educación</v>
      </c>
      <c r="E217" s="28"/>
    </row>
    <row r="218">
      <c r="A218" s="28" t="str">
        <f>IFERROR(__xludf.DUMMYFUNCTION("""COMPUTED_VALUE"""),"Personas interesadas en Palermo")</f>
        <v>Personas interesadas en Palermo</v>
      </c>
      <c r="B218" s="28" t="str">
        <f>IFERROR(__xludf.DUMMYFUNCTION("""COMPUTED_VALUE"""),"IC14Pal")</f>
        <v>IC14Pal</v>
      </c>
      <c r="C218" s="12">
        <f>IFERROR(__xludf.DUMMYFUNCTION("""COMPUTED_VALUE"""),12448.0)</f>
        <v>12448</v>
      </c>
      <c r="D218" s="28" t="str">
        <f>IFERROR(__xludf.DUMMYFUNCTION("""COMPUTED_VALUE"""),"Cercanía y PC")</f>
        <v>Cercanía y PC</v>
      </c>
      <c r="E218" s="28"/>
    </row>
    <row r="219">
      <c r="A219" s="28" t="str">
        <f>IFERROR(__xludf.DUMMYFUNCTION("""COMPUTED_VALUE"""),"Personas interesadas en arte urbano")</f>
        <v>Personas interesadas en arte urbano</v>
      </c>
      <c r="B219" s="28" t="str">
        <f>IFERROR(__xludf.DUMMYFUNCTION("""COMPUTED_VALUE"""),"ICulAru")</f>
        <v>ICulAru</v>
      </c>
      <c r="C219" s="12">
        <f>IFERROR(__xludf.DUMMYFUNCTION("""COMPUTED_VALUE"""),12355.0)</f>
        <v>12355</v>
      </c>
      <c r="D219" s="28" t="str">
        <f>IFERROR(__xludf.DUMMYFUNCTION("""COMPUTED_VALUE"""),"Cultura")</f>
        <v>Cultura</v>
      </c>
      <c r="E219" s="28"/>
    </row>
    <row r="220">
      <c r="A220" s="28" t="str">
        <f>IFERROR(__xludf.DUMMYFUNCTION("""COMPUTED_VALUE"""),"Personas que consultaron por tramites de defensa al consumidor")</f>
        <v>Personas que consultaron por tramites de defensa al consumidor</v>
      </c>
      <c r="B220" s="28" t="str">
        <f>IFERROR(__xludf.DUMMYFUNCTION("""COMPUTED_VALUE"""),"CTraDef")</f>
        <v>CTraDef</v>
      </c>
      <c r="C220" s="12">
        <f>IFERROR(__xludf.DUMMYFUNCTION("""COMPUTED_VALUE"""),12304.0)</f>
        <v>12304</v>
      </c>
      <c r="D220" s="28" t="str">
        <f>IFERROR(__xludf.DUMMYFUNCTION("""COMPUTED_VALUE"""),"Bien Publico")</f>
        <v>Bien Publico</v>
      </c>
      <c r="E220" s="28"/>
    </row>
    <row r="221">
      <c r="A221" s="28" t="str">
        <f>IFERROR(__xludf.DUMMYFUNCTION("""COMPUTED_VALUE"""),"Personas que consultaron y/o reclamaron sobre arreglos de luminarias.")</f>
        <v>Personas que consultaron y/o reclamaron sobre arreglos de luminarias.</v>
      </c>
      <c r="B221" s="28" t="str">
        <f>IFERROR(__xludf.DUMMYFUNCTION("""COMPUTED_VALUE"""),"C147Rlm")</f>
        <v>C147Rlm</v>
      </c>
      <c r="C221" s="12">
        <f>IFERROR(__xludf.DUMMYFUNCTION("""COMPUTED_VALUE"""),12263.0)</f>
        <v>12263</v>
      </c>
      <c r="D221" s="28" t="str">
        <f>IFERROR(__xludf.DUMMYFUNCTION("""COMPUTED_VALUE"""),"Bien Publico")</f>
        <v>Bien Publico</v>
      </c>
      <c r="E221" s="28"/>
    </row>
    <row r="222">
      <c r="A222" s="28" t="str">
        <f>IFERROR(__xludf.DUMMYFUNCTION("""COMPUTED_VALUE"""),"Personas registradas en sorteos de gastronomia")</f>
        <v>Personas registradas en sorteos de gastronomia</v>
      </c>
      <c r="B222" s="28" t="str">
        <f>IFERROR(__xludf.DUMMYFUNCTION("""COMPUTED_VALUE"""),"PSorGas")</f>
        <v>PSorGas</v>
      </c>
      <c r="C222" s="12">
        <f>IFERROR(__xludf.DUMMYFUNCTION("""COMPUTED_VALUE"""),12001.0)</f>
        <v>12001</v>
      </c>
      <c r="D222" s="28" t="str">
        <f>IFERROR(__xludf.DUMMYFUNCTION("""COMPUTED_VALUE"""),"Cultura")</f>
        <v>Cultura</v>
      </c>
      <c r="E222" s="28"/>
    </row>
    <row r="223">
      <c r="A223" s="28" t="str">
        <f>IFERROR(__xludf.DUMMYFUNCTION("""COMPUTED_VALUE"""),"Personas inscriptas a cafe con vecinos/as")</f>
        <v>Personas inscriptas a cafe con vecinos/as</v>
      </c>
      <c r="B223" s="28" t="str">
        <f>IFERROR(__xludf.DUMMYFUNCTION("""COMPUTED_VALUE"""),"PReuCafIns")</f>
        <v>PReuCafIns</v>
      </c>
      <c r="C223" s="12">
        <f>IFERROR(__xludf.DUMMYFUNCTION("""COMPUTED_VALUE"""),11974.0)</f>
        <v>11974</v>
      </c>
      <c r="D223" s="28" t="str">
        <f>IFERROR(__xludf.DUMMYFUNCTION("""COMPUTED_VALUE"""),"Cercanía y PC")</f>
        <v>Cercanía y PC</v>
      </c>
      <c r="E223" s="28"/>
    </row>
    <row r="224">
      <c r="A224" s="28" t="str">
        <f>IFERROR(__xludf.DUMMYFUNCTION("""COMPUTED_VALUE"""),"Personas que consultaron y/o son beneficiarias del programa alquilar se puede")</f>
        <v>Personas que consultaron y/o son beneficiarias del programa alquilar se puede</v>
      </c>
      <c r="B224" s="28" t="str">
        <f>IFERROR(__xludf.DUMMYFUNCTION("""COMPUTED_VALUE"""),"CIvcAlq")</f>
        <v>CIvcAlq</v>
      </c>
      <c r="C224" s="12">
        <f>IFERROR(__xludf.DUMMYFUNCTION("""COMPUTED_VALUE"""),11908.0)</f>
        <v>11908</v>
      </c>
      <c r="D224" s="28" t="str">
        <f>IFERROR(__xludf.DUMMYFUNCTION("""COMPUTED_VALUE"""),"Desarrollo Humano y Hábitat")</f>
        <v>Desarrollo Humano y Hábitat</v>
      </c>
      <c r="E224" s="28"/>
    </row>
    <row r="225">
      <c r="A225" s="28" t="str">
        <f>IFERROR(__xludf.DUMMYFUNCTION("""COMPUTED_VALUE"""),"Linea E")</f>
        <v>Linea E</v>
      </c>
      <c r="B225" s="28" t="str">
        <f>IFERROR(__xludf.DUMMYFUNCTION("""COMPUTED_VALUE"""),"ITraPubSubLie")</f>
        <v>ITraPubSubLie</v>
      </c>
      <c r="C225" s="12">
        <f>IFERROR(__xludf.DUMMYFUNCTION("""COMPUTED_VALUE"""),11645.0)</f>
        <v>11645</v>
      </c>
      <c r="D225" s="28" t="str">
        <f>IFERROR(__xludf.DUMMYFUNCTION("""COMPUTED_VALUE"""),"Bien Publico")</f>
        <v>Bien Publico</v>
      </c>
      <c r="E225" s="28"/>
    </row>
    <row r="226">
      <c r="A226" s="28" t="str">
        <f>IFERROR(__xludf.DUMMYFUNCTION("""COMPUTED_VALUE"""),"Personas interesadas en caminos y sabores")</f>
        <v>Personas interesadas en caminos y sabores</v>
      </c>
      <c r="B226" s="28" t="str">
        <f>IFERROR(__xludf.DUMMYFUNCTION("""COMPUTED_VALUE"""),"IGasCam")</f>
        <v>IGasCam</v>
      </c>
      <c r="C226" s="12">
        <f>IFERROR(__xludf.DUMMYFUNCTION("""COMPUTED_VALUE"""),11428.0)</f>
        <v>11428</v>
      </c>
      <c r="D226" s="28" t="str">
        <f>IFERROR(__xludf.DUMMYFUNCTION("""COMPUTED_VALUE"""),"Cultura")</f>
        <v>Cultura</v>
      </c>
      <c r="E226" s="28"/>
    </row>
    <row r="227">
      <c r="A227" s="28" t="str">
        <f>IFERROR(__xludf.DUMMYFUNCTION("""COMPUTED_VALUE"""),"Personas interesadas y/o practicantes de natacion y/o deportes acuaticos")</f>
        <v>Personas interesadas y/o practicantes de natacion y/o deportes acuaticos</v>
      </c>
      <c r="B227" s="28" t="str">
        <f>IFERROR(__xludf.DUMMYFUNCTION("""COMPUTED_VALUE"""),"IDepNat")</f>
        <v>IDepNat</v>
      </c>
      <c r="C227" s="12">
        <f>IFERROR(__xludf.DUMMYFUNCTION("""COMPUTED_VALUE"""),11054.0)</f>
        <v>11054</v>
      </c>
      <c r="D227" s="28" t="str">
        <f>IFERROR(__xludf.DUMMYFUNCTION("""COMPUTED_VALUE"""),"Desarrollo Urbano y Deportes")</f>
        <v>Desarrollo Urbano y Deportes</v>
      </c>
      <c r="E227" s="28"/>
    </row>
    <row r="228">
      <c r="A228" s="28" t="str">
        <f>IFERROR(__xludf.DUMMYFUNCTION("""COMPUTED_VALUE"""),"Personas inscriptas en la plataforma de promocion de arte joven")</f>
        <v>Personas inscriptas en la plataforma de promocion de arte joven</v>
      </c>
      <c r="B228" s="28" t="str">
        <f>IFERROR(__xludf.DUMMYFUNCTION("""COMPUTED_VALUE"""),"ICulBie")</f>
        <v>ICulBie</v>
      </c>
      <c r="C228" s="12">
        <f>IFERROR(__xludf.DUMMYFUNCTION("""COMPUTED_VALUE"""),10882.0)</f>
        <v>10882</v>
      </c>
      <c r="D228" s="28" t="str">
        <f>IFERROR(__xludf.DUMMYFUNCTION("""COMPUTED_VALUE"""),"Cultura")</f>
        <v>Cultura</v>
      </c>
      <c r="E228" s="28"/>
    </row>
    <row r="229">
      <c r="A229" s="28" t="str">
        <f>IFERROR(__xludf.DUMMYFUNCTION("""COMPUTED_VALUE"""),"Personas que son empleadas")</f>
        <v>Personas que son empleadas</v>
      </c>
      <c r="B229" s="28" t="str">
        <f>IFERROR(__xludf.DUMMYFUNCTION("""COMPUTED_VALUE"""),"DDatEmp")</f>
        <v>DDatEmp</v>
      </c>
      <c r="C229" s="12">
        <f>IFERROR(__xludf.DUMMYFUNCTION("""COMPUTED_VALUE"""),10801.0)</f>
        <v>10801</v>
      </c>
      <c r="D229" s="28" t="str">
        <f>IFERROR(__xludf.DUMMYFUNCTION("""COMPUTED_VALUE"""),"Desarrollo Económico")</f>
        <v>Desarrollo Económico</v>
      </c>
      <c r="E229" s="28"/>
    </row>
    <row r="230">
      <c r="A230" s="28" t="str">
        <f>IFERROR(__xludf.DUMMYFUNCTION("""COMPUTED_VALUE"""),"Personas inscriptas a reuniones de Seguridad")</f>
        <v>Personas inscriptas a reuniones de Seguridad</v>
      </c>
      <c r="B230" s="28" t="str">
        <f>IFERROR(__xludf.DUMMYFUNCTION("""COMPUTED_VALUE"""),"PReuSegIns")</f>
        <v>PReuSegIns</v>
      </c>
      <c r="C230" s="12">
        <f>IFERROR(__xludf.DUMMYFUNCTION("""COMPUTED_VALUE"""),10722.0)</f>
        <v>10722</v>
      </c>
      <c r="D230" s="28" t="str">
        <f>IFERROR(__xludf.DUMMYFUNCTION("""COMPUTED_VALUE"""),"Seguridad")</f>
        <v>Seguridad</v>
      </c>
      <c r="E230" s="28"/>
    </row>
    <row r="231">
      <c r="A231" s="28" t="str">
        <f>IFERROR(__xludf.DUMMYFUNCTION("""COMPUTED_VALUE"""),"Personas interesadas en canto")</f>
        <v>Personas interesadas en canto</v>
      </c>
      <c r="B231" s="28" t="str">
        <f>IFERROR(__xludf.DUMMYFUNCTION("""COMPUTED_VALUE"""),"ICulCan")</f>
        <v>ICulCan</v>
      </c>
      <c r="C231" s="12">
        <f>IFERROR(__xludf.DUMMYFUNCTION("""COMPUTED_VALUE"""),10569.0)</f>
        <v>10569</v>
      </c>
      <c r="D231" s="28" t="str">
        <f>IFERROR(__xludf.DUMMYFUNCTION("""COMPUTED_VALUE"""),"Cultura")</f>
        <v>Cultura</v>
      </c>
      <c r="E231" s="28"/>
    </row>
    <row r="232">
      <c r="A232" s="28" t="str">
        <f>IFERROR(__xludf.DUMMYFUNCTION("""COMPUTED_VALUE"""),"Personas que trabajan tareas relacionadas a lo estetico")</f>
        <v>Personas que trabajan tareas relacionadas a lo estetico</v>
      </c>
      <c r="B232" s="28" t="str">
        <f>IFERROR(__xludf.DUMMYFUNCTION("""COMPUTED_VALUE"""),"DOfiEst")</f>
        <v>DOfiEst</v>
      </c>
      <c r="C232" s="12">
        <f>IFERROR(__xludf.DUMMYFUNCTION("""COMPUTED_VALUE"""),10565.0)</f>
        <v>10565</v>
      </c>
      <c r="D232" s="28" t="str">
        <f>IFERROR(__xludf.DUMMYFUNCTION("""COMPUTED_VALUE"""),"Desarrollo Económico")</f>
        <v>Desarrollo Económico</v>
      </c>
      <c r="E232" s="28"/>
    </row>
    <row r="233">
      <c r="A233" s="28" t="str">
        <f>IFERROR(__xludf.DUMMYFUNCTION("""COMPUTED_VALUE"""),"Personas que son jubiladas")</f>
        <v>Personas que son jubiladas</v>
      </c>
      <c r="B233" s="28" t="str">
        <f>IFERROR(__xludf.DUMMYFUNCTION("""COMPUTED_VALUE"""),"DConJub")</f>
        <v>DConJub</v>
      </c>
      <c r="C233" s="12">
        <f>IFERROR(__xludf.DUMMYFUNCTION("""COMPUTED_VALUE"""),10529.0)</f>
        <v>10529</v>
      </c>
      <c r="D233" s="28" t="str">
        <f>IFERROR(__xludf.DUMMYFUNCTION("""COMPUTED_VALUE"""),"Desarrollo Humano y Hábitat")</f>
        <v>Desarrollo Humano y Hábitat</v>
      </c>
      <c r="E233" s="28"/>
    </row>
    <row r="234">
      <c r="A234" s="28" t="str">
        <f>IFERROR(__xludf.DUMMYFUNCTION("""COMPUTED_VALUE"""),"Personas que trabajan en actividades relacionadas al area textil ( costureros, bordadores, empleados textiles)")</f>
        <v>Personas que trabajan en actividades relacionadas al area textil ( costureros, bordadores, empleados textiles)</v>
      </c>
      <c r="B234" s="28" t="str">
        <f>IFERROR(__xludf.DUMMYFUNCTION("""COMPUTED_VALUE"""),"DOfiTex")</f>
        <v>DOfiTex</v>
      </c>
      <c r="C234" s="12">
        <f>IFERROR(__xludf.DUMMYFUNCTION("""COMPUTED_VALUE"""),10404.0)</f>
        <v>10404</v>
      </c>
      <c r="D234" s="28" t="str">
        <f>IFERROR(__xludf.DUMMYFUNCTION("""COMPUTED_VALUE"""),"Desarrollo Económico")</f>
        <v>Desarrollo Económico</v>
      </c>
      <c r="E234" s="28"/>
    </row>
    <row r="235">
      <c r="A235" s="28" t="str">
        <f>IFERROR(__xludf.DUMMYFUNCTION("""COMPUTED_VALUE"""),"Personas con estudios en filosofia y letras")</f>
        <v>Personas con estudios en filosofia y letras</v>
      </c>
      <c r="B235" s="28" t="str">
        <f>IFERROR(__xludf.DUMMYFUNCTION("""COMPUTED_VALUE"""),"DEstFil")</f>
        <v>DEstFil</v>
      </c>
      <c r="C235" s="12">
        <f>IFERROR(__xludf.DUMMYFUNCTION("""COMPUTED_VALUE"""),10391.0)</f>
        <v>10391</v>
      </c>
      <c r="D235" s="28" t="str">
        <f>IFERROR(__xludf.DUMMYFUNCTION("""COMPUTED_VALUE"""),"Educación")</f>
        <v>Educación</v>
      </c>
      <c r="E235" s="28"/>
    </row>
    <row r="236">
      <c r="A236" s="28" t="str">
        <f>IFERROR(__xludf.DUMMYFUNCTION("""COMPUTED_VALUE"""),"Personas con nivel educativo secundario completo")</f>
        <v>Personas con nivel educativo secundario completo</v>
      </c>
      <c r="B236" s="28" t="str">
        <f>IFERROR(__xludf.DUMMYFUNCTION("""COMPUTED_VALUE"""),"IEduSecCom")</f>
        <v>IEduSecCom</v>
      </c>
      <c r="C236" s="12">
        <f>IFERROR(__xludf.DUMMYFUNCTION("""COMPUTED_VALUE"""),10019.0)</f>
        <v>10019</v>
      </c>
      <c r="D236" s="28" t="str">
        <f>IFERROR(__xludf.DUMMYFUNCTION("""COMPUTED_VALUE"""),"Educación")</f>
        <v>Educación</v>
      </c>
      <c r="E236" s="28"/>
    </row>
    <row r="237">
      <c r="A237" s="28" t="str">
        <f>IFERROR(__xludf.DUMMYFUNCTION("""COMPUTED_VALUE"""),"Personas que se inscribieron en las capacitaciones para emprender desde Mi BA")</f>
        <v>Personas que se inscribieron en las capacitaciones para emprender desde Mi BA</v>
      </c>
      <c r="B237" s="28" t="str">
        <f>IFERROR(__xludf.DUMMYFUNCTION("""COMPUTED_VALUE"""),"CMibBae")</f>
        <v>CMibBae</v>
      </c>
      <c r="C237" s="12">
        <f>IFERROR(__xludf.DUMMYFUNCTION("""COMPUTED_VALUE"""),9082.0)</f>
        <v>9082</v>
      </c>
      <c r="D237" s="28" t="str">
        <f>IFERROR(__xludf.DUMMYFUNCTION("""COMPUTED_VALUE"""),"Vínculo Ciudadano")</f>
        <v>Vínculo Ciudadano</v>
      </c>
      <c r="E237" s="28"/>
    </row>
    <row r="238">
      <c r="A238" s="28" t="str">
        <f>IFERROR(__xludf.DUMMYFUNCTION("""COMPUTED_VALUE"""),"Personas de Comuna 1")</f>
        <v>Personas de Comuna 1</v>
      </c>
      <c r="B238" s="28" t="str">
        <f>IFERROR(__xludf.DUMMYFUNCTION("""COMPUTED_VALUE"""),"Comuna 1")</f>
        <v>Comuna 1</v>
      </c>
      <c r="C238" s="12">
        <f>IFERROR(__xludf.DUMMYFUNCTION("""COMPUTED_VALUE"""),173117.0)</f>
        <v>173117</v>
      </c>
      <c r="D238" s="28" t="str">
        <f>IFERROR(__xludf.DUMMYFUNCTION("""COMPUTED_VALUE"""),"Geo")</f>
        <v>Geo</v>
      </c>
      <c r="E238" s="28"/>
    </row>
    <row r="239">
      <c r="A239" s="28" t="str">
        <f>IFERROR(__xludf.DUMMYFUNCTION("""COMPUTED_VALUE"""),"Personas de Comuna 2")</f>
        <v>Personas de Comuna 2</v>
      </c>
      <c r="B239" s="28" t="str">
        <f>IFERROR(__xludf.DUMMYFUNCTION("""COMPUTED_VALUE"""),"Comuna 2")</f>
        <v>Comuna 2</v>
      </c>
      <c r="C239" s="12">
        <f>IFERROR(__xludf.DUMMYFUNCTION("""COMPUTED_VALUE"""),136081.0)</f>
        <v>136081</v>
      </c>
      <c r="D239" s="28" t="str">
        <f>IFERROR(__xludf.DUMMYFUNCTION("""COMPUTED_VALUE"""),"Geo")</f>
        <v>Geo</v>
      </c>
      <c r="E239" s="28"/>
    </row>
    <row r="240">
      <c r="A240" s="28" t="str">
        <f>IFERROR(__xludf.DUMMYFUNCTION("""COMPUTED_VALUE"""),"Personas de Comuna 3")</f>
        <v>Personas de Comuna 3</v>
      </c>
      <c r="B240" s="28" t="str">
        <f>IFERROR(__xludf.DUMMYFUNCTION("""COMPUTED_VALUE"""),"Comuna 3")</f>
        <v>Comuna 3</v>
      </c>
      <c r="C240" s="12">
        <f>IFERROR(__xludf.DUMMYFUNCTION("""COMPUTED_VALUE"""),152701.0)</f>
        <v>152701</v>
      </c>
      <c r="D240" s="28" t="str">
        <f>IFERROR(__xludf.DUMMYFUNCTION("""COMPUTED_VALUE"""),"Geo")</f>
        <v>Geo</v>
      </c>
      <c r="E240" s="28"/>
    </row>
    <row r="241">
      <c r="A241" s="28" t="str">
        <f>IFERROR(__xludf.DUMMYFUNCTION("""COMPUTED_VALUE"""),"Personas de Comuna 4")</f>
        <v>Personas de Comuna 4</v>
      </c>
      <c r="B241" s="28" t="str">
        <f>IFERROR(__xludf.DUMMYFUNCTION("""COMPUTED_VALUE"""),"Comuna 4")</f>
        <v>Comuna 4</v>
      </c>
      <c r="C241" s="12">
        <f>IFERROR(__xludf.DUMMYFUNCTION("""COMPUTED_VALUE"""),177494.0)</f>
        <v>177494</v>
      </c>
      <c r="D241" s="28" t="str">
        <f>IFERROR(__xludf.DUMMYFUNCTION("""COMPUTED_VALUE"""),"Geo")</f>
        <v>Geo</v>
      </c>
      <c r="E241" s="28"/>
    </row>
    <row r="242">
      <c r="A242" s="28" t="str">
        <f>IFERROR(__xludf.DUMMYFUNCTION("""COMPUTED_VALUE"""),"Personas de Comuna 5")</f>
        <v>Personas de Comuna 5</v>
      </c>
      <c r="B242" s="28" t="str">
        <f>IFERROR(__xludf.DUMMYFUNCTION("""COMPUTED_VALUE"""),"Comuna 5")</f>
        <v>Comuna 5</v>
      </c>
      <c r="C242" s="12">
        <f>IFERROR(__xludf.DUMMYFUNCTION("""COMPUTED_VALUE"""),151055.0)</f>
        <v>151055</v>
      </c>
      <c r="D242" s="28" t="str">
        <f>IFERROR(__xludf.DUMMYFUNCTION("""COMPUTED_VALUE"""),"Geo")</f>
        <v>Geo</v>
      </c>
      <c r="E242" s="28"/>
    </row>
    <row r="243">
      <c r="A243" s="28" t="str">
        <f>IFERROR(__xludf.DUMMYFUNCTION("""COMPUTED_VALUE"""),"Personas de Comuna 6")</f>
        <v>Personas de Comuna 6</v>
      </c>
      <c r="B243" s="28" t="str">
        <f>IFERROR(__xludf.DUMMYFUNCTION("""COMPUTED_VALUE"""),"Comuna 6")</f>
        <v>Comuna 6</v>
      </c>
      <c r="C243" s="12">
        <f>IFERROR(__xludf.DUMMYFUNCTION("""COMPUTED_VALUE"""),156751.0)</f>
        <v>156751</v>
      </c>
      <c r="D243" s="28" t="str">
        <f>IFERROR(__xludf.DUMMYFUNCTION("""COMPUTED_VALUE"""),"Geo")</f>
        <v>Geo</v>
      </c>
      <c r="E243" s="28"/>
    </row>
    <row r="244">
      <c r="A244" s="28" t="str">
        <f>IFERROR(__xludf.DUMMYFUNCTION("""COMPUTED_VALUE"""),"Personas de Comuna 7")</f>
        <v>Personas de Comuna 7</v>
      </c>
      <c r="B244" s="28" t="str">
        <f>IFERROR(__xludf.DUMMYFUNCTION("""COMPUTED_VALUE"""),"Comuna 7")</f>
        <v>Comuna 7</v>
      </c>
      <c r="C244" s="12">
        <f>IFERROR(__xludf.DUMMYFUNCTION("""COMPUTED_VALUE"""),171283.0)</f>
        <v>171283</v>
      </c>
      <c r="D244" s="28" t="str">
        <f>IFERROR(__xludf.DUMMYFUNCTION("""COMPUTED_VALUE"""),"Geo")</f>
        <v>Geo</v>
      </c>
      <c r="E244" s="28"/>
    </row>
    <row r="245">
      <c r="A245" s="28" t="str">
        <f>IFERROR(__xludf.DUMMYFUNCTION("""COMPUTED_VALUE"""),"Personas de Comuna 8")</f>
        <v>Personas de Comuna 8</v>
      </c>
      <c r="B245" s="28" t="str">
        <f>IFERROR(__xludf.DUMMYFUNCTION("""COMPUTED_VALUE"""),"Comuna 8")</f>
        <v>Comuna 8</v>
      </c>
      <c r="C245" s="12">
        <f>IFERROR(__xludf.DUMMYFUNCTION("""COMPUTED_VALUE"""),143875.0)</f>
        <v>143875</v>
      </c>
      <c r="D245" s="28" t="str">
        <f>IFERROR(__xludf.DUMMYFUNCTION("""COMPUTED_VALUE"""),"Geo")</f>
        <v>Geo</v>
      </c>
      <c r="E245" s="28"/>
    </row>
    <row r="246">
      <c r="A246" s="28" t="str">
        <f>IFERROR(__xludf.DUMMYFUNCTION("""COMPUTED_VALUE"""),"Personas de Comuna 9")</f>
        <v>Personas de Comuna 9</v>
      </c>
      <c r="B246" s="28" t="str">
        <f>IFERROR(__xludf.DUMMYFUNCTION("""COMPUTED_VALUE"""),"Comuna 9")</f>
        <v>Comuna 9</v>
      </c>
      <c r="C246" s="12">
        <f>IFERROR(__xludf.DUMMYFUNCTION("""COMPUTED_VALUE"""),144876.0)</f>
        <v>144876</v>
      </c>
      <c r="D246" s="28" t="str">
        <f>IFERROR(__xludf.DUMMYFUNCTION("""COMPUTED_VALUE"""),"Geo")</f>
        <v>Geo</v>
      </c>
      <c r="E246" s="28"/>
    </row>
    <row r="247">
      <c r="A247" s="28" t="str">
        <f>IFERROR(__xludf.DUMMYFUNCTION("""COMPUTED_VALUE"""),"Personas de Comuna 10")</f>
        <v>Personas de Comuna 10</v>
      </c>
      <c r="B247" s="28" t="str">
        <f>IFERROR(__xludf.DUMMYFUNCTION("""COMPUTED_VALUE"""),"Comuna 10")</f>
        <v>Comuna 10</v>
      </c>
      <c r="C247" s="12">
        <f>IFERROR(__xludf.DUMMYFUNCTION("""COMPUTED_VALUE"""),144738.0)</f>
        <v>144738</v>
      </c>
      <c r="D247" s="28" t="str">
        <f>IFERROR(__xludf.DUMMYFUNCTION("""COMPUTED_VALUE"""),"Geo")</f>
        <v>Geo</v>
      </c>
      <c r="E247" s="28"/>
    </row>
    <row r="248">
      <c r="A248" s="28" t="str">
        <f>IFERROR(__xludf.DUMMYFUNCTION("""COMPUTED_VALUE"""),"Personas de Comuna 11")</f>
        <v>Personas de Comuna 11</v>
      </c>
      <c r="B248" s="28" t="str">
        <f>IFERROR(__xludf.DUMMYFUNCTION("""COMPUTED_VALUE"""),"Comuna 11")</f>
        <v>Comuna 11</v>
      </c>
      <c r="C248" s="12">
        <f>IFERROR(__xludf.DUMMYFUNCTION("""COMPUTED_VALUE"""),168783.0)</f>
        <v>168783</v>
      </c>
      <c r="D248" s="28" t="str">
        <f>IFERROR(__xludf.DUMMYFUNCTION("""COMPUTED_VALUE"""),"Geo")</f>
        <v>Geo</v>
      </c>
      <c r="E248" s="28"/>
    </row>
    <row r="249">
      <c r="A249" s="28" t="str">
        <f>IFERROR(__xludf.DUMMYFUNCTION("""COMPUTED_VALUE"""),"Personas de Comuna 12")</f>
        <v>Personas de Comuna 12</v>
      </c>
      <c r="B249" s="28" t="str">
        <f>IFERROR(__xludf.DUMMYFUNCTION("""COMPUTED_VALUE"""),"Comuna 12")</f>
        <v>Comuna 12</v>
      </c>
      <c r="C249" s="12">
        <f>IFERROR(__xludf.DUMMYFUNCTION("""COMPUTED_VALUE"""),188069.0)</f>
        <v>188069</v>
      </c>
      <c r="D249" s="28" t="str">
        <f>IFERROR(__xludf.DUMMYFUNCTION("""COMPUTED_VALUE"""),"Geo")</f>
        <v>Geo</v>
      </c>
      <c r="E249" s="28"/>
    </row>
    <row r="250">
      <c r="A250" s="28" t="str">
        <f>IFERROR(__xludf.DUMMYFUNCTION("""COMPUTED_VALUE"""),"Personas de Comuna 13")</f>
        <v>Personas de Comuna 13</v>
      </c>
      <c r="B250" s="28" t="str">
        <f>IFERROR(__xludf.DUMMYFUNCTION("""COMPUTED_VALUE"""),"Comuna 13")</f>
        <v>Comuna 13</v>
      </c>
      <c r="C250" s="12">
        <f>IFERROR(__xludf.DUMMYFUNCTION("""COMPUTED_VALUE"""),213576.0)</f>
        <v>213576</v>
      </c>
      <c r="D250" s="28" t="str">
        <f>IFERROR(__xludf.DUMMYFUNCTION("""COMPUTED_VALUE"""),"Geo")</f>
        <v>Geo</v>
      </c>
      <c r="E250" s="28"/>
    </row>
    <row r="251">
      <c r="A251" s="28" t="str">
        <f>IFERROR(__xludf.DUMMYFUNCTION("""COMPUTED_VALUE"""),"Personas de Comuna 14")</f>
        <v>Personas de Comuna 14</v>
      </c>
      <c r="B251" s="28" t="str">
        <f>IFERROR(__xludf.DUMMYFUNCTION("""COMPUTED_VALUE"""),"Comuna 14")</f>
        <v>Comuna 14</v>
      </c>
      <c r="C251" s="12">
        <f>IFERROR(__xludf.DUMMYFUNCTION("""COMPUTED_VALUE"""),204214.0)</f>
        <v>204214</v>
      </c>
      <c r="D251" s="28" t="str">
        <f>IFERROR(__xludf.DUMMYFUNCTION("""COMPUTED_VALUE"""),"Geo")</f>
        <v>Geo</v>
      </c>
      <c r="E251" s="28"/>
    </row>
    <row r="252">
      <c r="A252" s="28" t="str">
        <f>IFERROR(__xludf.DUMMYFUNCTION("""COMPUTED_VALUE"""),"Personas de Comuna 15")</f>
        <v>Personas de Comuna 15</v>
      </c>
      <c r="B252" s="28" t="str">
        <f>IFERROR(__xludf.DUMMYFUNCTION("""COMPUTED_VALUE"""),"Comuna 15")</f>
        <v>Comuna 15</v>
      </c>
      <c r="C252" s="12">
        <f>IFERROR(__xludf.DUMMYFUNCTION("""COMPUTED_VALUE"""),161205.0)</f>
        <v>161205</v>
      </c>
      <c r="D252" s="28" t="str">
        <f>IFERROR(__xludf.DUMMYFUNCTION("""COMPUTED_VALUE"""),"Geo")</f>
        <v>Geo</v>
      </c>
      <c r="E252" s="28"/>
    </row>
    <row r="253">
      <c r="A253" s="28" t="str">
        <f>IFERROR(__xludf.DUMMYFUNCTION("""COMPUTED_VALUE"""),"Personas del barrio de Agronomia")</f>
        <v>Personas del barrio de Agronomia</v>
      </c>
      <c r="B253" s="28" t="str">
        <f>IFERROR(__xludf.DUMMYFUNCTION("""COMPUTED_VALUE"""),"Agronomia")</f>
        <v>Agronomia</v>
      </c>
      <c r="C253" s="12">
        <f>IFERROR(__xludf.DUMMYFUNCTION("""COMPUTED_VALUE"""),12629.0)</f>
        <v>12629</v>
      </c>
      <c r="D253" s="28" t="str">
        <f>IFERROR(__xludf.DUMMYFUNCTION("""COMPUTED_VALUE"""),"Geo")</f>
        <v>Geo</v>
      </c>
      <c r="E253" s="28"/>
    </row>
    <row r="254">
      <c r="A254" s="28" t="str">
        <f>IFERROR(__xludf.DUMMYFUNCTION("""COMPUTED_VALUE"""),"Personas del barrio de Almagro")</f>
        <v>Personas del barrio de Almagro</v>
      </c>
      <c r="B254" s="28" t="str">
        <f>IFERROR(__xludf.DUMMYFUNCTION("""COMPUTED_VALUE"""),"Almagro")</f>
        <v>Almagro</v>
      </c>
      <c r="C254" s="12">
        <f>IFERROR(__xludf.DUMMYFUNCTION("""COMPUTED_VALUE"""),109601.0)</f>
        <v>109601</v>
      </c>
      <c r="D254" s="28" t="str">
        <f>IFERROR(__xludf.DUMMYFUNCTION("""COMPUTED_VALUE"""),"Geo")</f>
        <v>Geo</v>
      </c>
      <c r="E254" s="28"/>
    </row>
    <row r="255">
      <c r="A255" s="28" t="str">
        <f>IFERROR(__xludf.DUMMYFUNCTION("""COMPUTED_VALUE"""),"Personas del barrio de Balvanera")</f>
        <v>Personas del barrio de Balvanera</v>
      </c>
      <c r="B255" s="28" t="str">
        <f>IFERROR(__xludf.DUMMYFUNCTION("""COMPUTED_VALUE"""),"Balvanera")</f>
        <v>Balvanera</v>
      </c>
      <c r="C255" s="12">
        <f>IFERROR(__xludf.DUMMYFUNCTION("""COMPUTED_VALUE"""),111105.0)</f>
        <v>111105</v>
      </c>
      <c r="D255" s="28" t="str">
        <f>IFERROR(__xludf.DUMMYFUNCTION("""COMPUTED_VALUE"""),"Geo")</f>
        <v>Geo</v>
      </c>
      <c r="E255" s="28"/>
    </row>
    <row r="256">
      <c r="A256" s="28" t="str">
        <f>IFERROR(__xludf.DUMMYFUNCTION("""COMPUTED_VALUE"""),"Personas del barrio de Barracas")</f>
        <v>Personas del barrio de Barracas</v>
      </c>
      <c r="B256" s="28" t="str">
        <f>IFERROR(__xludf.DUMMYFUNCTION("""COMPUTED_VALUE"""),"Barracas")</f>
        <v>Barracas</v>
      </c>
      <c r="C256" s="12">
        <f>IFERROR(__xludf.DUMMYFUNCTION("""COMPUTED_VALUE"""),66635.0)</f>
        <v>66635</v>
      </c>
      <c r="D256" s="28" t="str">
        <f>IFERROR(__xludf.DUMMYFUNCTION("""COMPUTED_VALUE"""),"Geo")</f>
        <v>Geo</v>
      </c>
      <c r="E256" s="28"/>
    </row>
    <row r="257">
      <c r="A257" s="28" t="str">
        <f>IFERROR(__xludf.DUMMYFUNCTION("""COMPUTED_VALUE"""),"Personas del barrio de Belgrano")</f>
        <v>Personas del barrio de Belgrano</v>
      </c>
      <c r="B257" s="28" t="str">
        <f>IFERROR(__xludf.DUMMYFUNCTION("""COMPUTED_VALUE"""),"Belgrano")</f>
        <v>Belgrano</v>
      </c>
      <c r="C257" s="12">
        <f>IFERROR(__xludf.DUMMYFUNCTION("""COMPUTED_VALUE"""),119064.0)</f>
        <v>119064</v>
      </c>
      <c r="D257" s="28" t="str">
        <f>IFERROR(__xludf.DUMMYFUNCTION("""COMPUTED_VALUE"""),"Geo")</f>
        <v>Geo</v>
      </c>
      <c r="E257" s="28"/>
    </row>
    <row r="258">
      <c r="A258" s="28" t="str">
        <f>IFERROR(__xludf.DUMMYFUNCTION("""COMPUTED_VALUE"""),"Personas del barrio de Boedo")</f>
        <v>Personas del barrio de Boedo</v>
      </c>
      <c r="B258" s="28" t="str">
        <f>IFERROR(__xludf.DUMMYFUNCTION("""COMPUTED_VALUE"""),"Boedo")</f>
        <v>Boedo</v>
      </c>
      <c r="C258" s="12">
        <f>IFERROR(__xludf.DUMMYFUNCTION("""COMPUTED_VALUE"""),41454.0)</f>
        <v>41454</v>
      </c>
      <c r="D258" s="28" t="str">
        <f>IFERROR(__xludf.DUMMYFUNCTION("""COMPUTED_VALUE"""),"Geo")</f>
        <v>Geo</v>
      </c>
      <c r="E258" s="28"/>
    </row>
    <row r="259">
      <c r="A259" s="28" t="str">
        <f>IFERROR(__xludf.DUMMYFUNCTION("""COMPUTED_VALUE"""),"Personas del barrio de Caballito")</f>
        <v>Personas del barrio de Caballito</v>
      </c>
      <c r="B259" s="28" t="str">
        <f>IFERROR(__xludf.DUMMYFUNCTION("""COMPUTED_VALUE"""),"Caballito")</f>
        <v>Caballito</v>
      </c>
      <c r="C259" s="12">
        <f>IFERROR(__xludf.DUMMYFUNCTION("""COMPUTED_VALUE"""),156751.0)</f>
        <v>156751</v>
      </c>
      <c r="D259" s="28" t="str">
        <f>IFERROR(__xludf.DUMMYFUNCTION("""COMPUTED_VALUE"""),"Geo")</f>
        <v>Geo</v>
      </c>
      <c r="E259" s="28"/>
    </row>
    <row r="260">
      <c r="A260" s="28" t="str">
        <f>IFERROR(__xludf.DUMMYFUNCTION("""COMPUTED_VALUE"""),"Personas del barrio de Chacarita")</f>
        <v>Personas del barrio de Chacarita</v>
      </c>
      <c r="B260" s="28" t="str">
        <f>IFERROR(__xludf.DUMMYFUNCTION("""COMPUTED_VALUE"""),"Chacarita")</f>
        <v>Chacarita</v>
      </c>
      <c r="C260" s="12">
        <f>IFERROR(__xludf.DUMMYFUNCTION("""COMPUTED_VALUE"""),23832.0)</f>
        <v>23832</v>
      </c>
      <c r="D260" s="28" t="str">
        <f>IFERROR(__xludf.DUMMYFUNCTION("""COMPUTED_VALUE"""),"Geo")</f>
        <v>Geo</v>
      </c>
      <c r="E260" s="28"/>
    </row>
    <row r="261">
      <c r="A261" s="28" t="str">
        <f>IFERROR(__xludf.DUMMYFUNCTION("""COMPUTED_VALUE"""),"Personas del barrio de Coghlan")</f>
        <v>Personas del barrio de Coghlan</v>
      </c>
      <c r="B261" s="28" t="str">
        <f>IFERROR(__xludf.DUMMYFUNCTION("""COMPUTED_VALUE"""),"Coghlan")</f>
        <v>Coghlan</v>
      </c>
      <c r="C261" s="12">
        <f>IFERROR(__xludf.DUMMYFUNCTION("""COMPUTED_VALUE"""),17665.0)</f>
        <v>17665</v>
      </c>
      <c r="D261" s="28" t="str">
        <f>IFERROR(__xludf.DUMMYFUNCTION("""COMPUTED_VALUE"""),"Geo")</f>
        <v>Geo</v>
      </c>
      <c r="E261" s="28"/>
    </row>
    <row r="262">
      <c r="A262" s="28" t="str">
        <f>IFERROR(__xludf.DUMMYFUNCTION("""COMPUTED_VALUE"""),"Personas del barrio de Colegiales")</f>
        <v>Personas del barrio de Colegiales</v>
      </c>
      <c r="B262" s="28" t="str">
        <f>IFERROR(__xludf.DUMMYFUNCTION("""COMPUTED_VALUE"""),"Colegiales")</f>
        <v>Colegiales</v>
      </c>
      <c r="C262" s="12">
        <f>IFERROR(__xludf.DUMMYFUNCTION("""COMPUTED_VALUE"""),45980.0)</f>
        <v>45980</v>
      </c>
      <c r="D262" s="28" t="str">
        <f>IFERROR(__xludf.DUMMYFUNCTION("""COMPUTED_VALUE"""),"Geo")</f>
        <v>Geo</v>
      </c>
      <c r="E262" s="28"/>
    </row>
    <row r="263">
      <c r="A263" s="28" t="str">
        <f>IFERROR(__xludf.DUMMYFUNCTION("""COMPUTED_VALUE"""),"Personas del barrio de Constitucion")</f>
        <v>Personas del barrio de Constitucion</v>
      </c>
      <c r="B263" s="28" t="str">
        <f>IFERROR(__xludf.DUMMYFUNCTION("""COMPUTED_VALUE"""),"Constitucion")</f>
        <v>Constitucion</v>
      </c>
      <c r="C263" s="12">
        <f>IFERROR(__xludf.DUMMYFUNCTION("""COMPUTED_VALUE"""),37721.0)</f>
        <v>37721</v>
      </c>
      <c r="D263" s="28" t="str">
        <f>IFERROR(__xludf.DUMMYFUNCTION("""COMPUTED_VALUE"""),"Geo")</f>
        <v>Geo</v>
      </c>
      <c r="E263" s="28"/>
    </row>
    <row r="264">
      <c r="A264" s="28" t="str">
        <f>IFERROR(__xludf.DUMMYFUNCTION("""COMPUTED_VALUE"""),"Personas del barrio de Flores")</f>
        <v>Personas del barrio de Flores</v>
      </c>
      <c r="B264" s="28" t="str">
        <f>IFERROR(__xludf.DUMMYFUNCTION("""COMPUTED_VALUE"""),"Flores")</f>
        <v>Flores</v>
      </c>
      <c r="C264" s="12">
        <f>IFERROR(__xludf.DUMMYFUNCTION("""COMPUTED_VALUE"""),121650.0)</f>
        <v>121650</v>
      </c>
      <c r="D264" s="28" t="str">
        <f>IFERROR(__xludf.DUMMYFUNCTION("""COMPUTED_VALUE"""),"Geo")</f>
        <v>Geo</v>
      </c>
      <c r="E264" s="28"/>
    </row>
    <row r="265">
      <c r="A265" s="28" t="str">
        <f>IFERROR(__xludf.DUMMYFUNCTION("""COMPUTED_VALUE"""),"Personas del barrio de Floresta")</f>
        <v>Personas del barrio de Floresta</v>
      </c>
      <c r="B265" s="28" t="str">
        <f>IFERROR(__xludf.DUMMYFUNCTION("""COMPUTED_VALUE"""),"Floresta")</f>
        <v>Floresta</v>
      </c>
      <c r="C265" s="12">
        <f>IFERROR(__xludf.DUMMYFUNCTION("""COMPUTED_VALUE"""),29012.0)</f>
        <v>29012</v>
      </c>
      <c r="D265" s="28" t="str">
        <f>IFERROR(__xludf.DUMMYFUNCTION("""COMPUTED_VALUE"""),"Geo")</f>
        <v>Geo</v>
      </c>
      <c r="E265" s="28"/>
    </row>
    <row r="266">
      <c r="A266" s="28" t="str">
        <f>IFERROR(__xludf.DUMMYFUNCTION("""COMPUTED_VALUE"""),"Personas del barrio de La Boca")</f>
        <v>Personas del barrio de La Boca</v>
      </c>
      <c r="B266" s="28" t="str">
        <f>IFERROR(__xludf.DUMMYFUNCTION("""COMPUTED_VALUE"""),"La Boca")</f>
        <v>La Boca</v>
      </c>
      <c r="C266" s="12">
        <f>IFERROR(__xludf.DUMMYFUNCTION("""COMPUTED_VALUE"""),40276.0)</f>
        <v>40276</v>
      </c>
      <c r="D266" s="28" t="str">
        <f>IFERROR(__xludf.DUMMYFUNCTION("""COMPUTED_VALUE"""),"Geo")</f>
        <v>Geo</v>
      </c>
      <c r="E266" s="28"/>
    </row>
    <row r="267">
      <c r="A267" s="28" t="str">
        <f>IFERROR(__xludf.DUMMYFUNCTION("""COMPUTED_VALUE"""),"Personas del barrio de Liniers")</f>
        <v>Personas del barrio de Liniers</v>
      </c>
      <c r="B267" s="28" t="str">
        <f>IFERROR(__xludf.DUMMYFUNCTION("""COMPUTED_VALUE"""),"Liniers")</f>
        <v>Liniers</v>
      </c>
      <c r="C267" s="12">
        <f>IFERROR(__xludf.DUMMYFUNCTION("""COMPUTED_VALUE"""),41403.0)</f>
        <v>41403</v>
      </c>
      <c r="D267" s="28" t="str">
        <f>IFERROR(__xludf.DUMMYFUNCTION("""COMPUTED_VALUE"""),"Geo")</f>
        <v>Geo</v>
      </c>
      <c r="E267" s="28"/>
    </row>
    <row r="268">
      <c r="A268" s="28" t="str">
        <f>IFERROR(__xludf.DUMMYFUNCTION("""COMPUTED_VALUE"""),"Personas del barrio de Mataderos")</f>
        <v>Personas del barrio de Mataderos</v>
      </c>
      <c r="B268" s="28" t="str">
        <f>IFERROR(__xludf.DUMMYFUNCTION("""COMPUTED_VALUE"""),"Mataderos")</f>
        <v>Mataderos</v>
      </c>
      <c r="C268" s="12">
        <f>IFERROR(__xludf.DUMMYFUNCTION("""COMPUTED_VALUE"""),61434.0)</f>
        <v>61434</v>
      </c>
      <c r="D268" s="28" t="str">
        <f>IFERROR(__xludf.DUMMYFUNCTION("""COMPUTED_VALUE"""),"Geo")</f>
        <v>Geo</v>
      </c>
      <c r="E268" s="28"/>
    </row>
    <row r="269">
      <c r="A269" s="28" t="str">
        <f>IFERROR(__xludf.DUMMYFUNCTION("""COMPUTED_VALUE"""),"Personas del barrio de Monserrat")</f>
        <v>Personas del barrio de Monserrat</v>
      </c>
      <c r="B269" s="28" t="str">
        <f>IFERROR(__xludf.DUMMYFUNCTION("""COMPUTED_VALUE"""),"Monserrat")</f>
        <v>Monserrat</v>
      </c>
      <c r="C269" s="12">
        <f>IFERROR(__xludf.DUMMYFUNCTION("""COMPUTED_VALUE"""),34979.0)</f>
        <v>34979</v>
      </c>
      <c r="D269" s="28" t="str">
        <f>IFERROR(__xludf.DUMMYFUNCTION("""COMPUTED_VALUE"""),"Geo")</f>
        <v>Geo</v>
      </c>
      <c r="E269" s="28"/>
    </row>
    <row r="270">
      <c r="A270" s="28" t="str">
        <f>IFERROR(__xludf.DUMMYFUNCTION("""COMPUTED_VALUE"""),"Personas del barrio de Monte Castro")</f>
        <v>Personas del barrio de Monte Castro</v>
      </c>
      <c r="B270" s="28" t="str">
        <f>IFERROR(__xludf.DUMMYFUNCTION("""COMPUTED_VALUE"""),"Monte Castro")</f>
        <v>Monte Castro</v>
      </c>
      <c r="C270" s="12">
        <f>IFERROR(__xludf.DUMMYFUNCTION("""COMPUTED_VALUE"""),30404.0)</f>
        <v>30404</v>
      </c>
      <c r="D270" s="28" t="str">
        <f>IFERROR(__xludf.DUMMYFUNCTION("""COMPUTED_VALUE"""),"Geo")</f>
        <v>Geo</v>
      </c>
      <c r="E270" s="28"/>
    </row>
    <row r="271">
      <c r="A271" s="28" t="str">
        <f>IFERROR(__xludf.DUMMYFUNCTION("""COMPUTED_VALUE"""),"Personas del barrio de Nueva Pompeya")</f>
        <v>Personas del barrio de Nueva Pompeya</v>
      </c>
      <c r="B271" s="28" t="str">
        <f>IFERROR(__xludf.DUMMYFUNCTION("""COMPUTED_VALUE"""),"Nueva Pompeya")</f>
        <v>Nueva Pompeya</v>
      </c>
      <c r="C271" s="12">
        <f>IFERROR(__xludf.DUMMYFUNCTION("""COMPUTED_VALUE"""),36896.0)</f>
        <v>36896</v>
      </c>
      <c r="D271" s="28" t="str">
        <f>IFERROR(__xludf.DUMMYFUNCTION("""COMPUTED_VALUE"""),"Geo")</f>
        <v>Geo</v>
      </c>
      <c r="E271" s="28"/>
    </row>
    <row r="272">
      <c r="A272" s="28" t="str">
        <f>IFERROR(__xludf.DUMMYFUNCTION("""COMPUTED_VALUE"""),"Personas del barrio de Nuñez")</f>
        <v>Personas del barrio de Nuñez</v>
      </c>
      <c r="B272" s="28" t="str">
        <f>IFERROR(__xludf.DUMMYFUNCTION("""COMPUTED_VALUE"""),"Nuñez")</f>
        <v>Nuñez</v>
      </c>
      <c r="C272" s="12">
        <f>IFERROR(__xludf.DUMMYFUNCTION("""COMPUTED_VALUE"""),48532.0)</f>
        <v>48532</v>
      </c>
      <c r="D272" s="28" t="str">
        <f>IFERROR(__xludf.DUMMYFUNCTION("""COMPUTED_VALUE"""),"Geo")</f>
        <v>Geo</v>
      </c>
      <c r="E272" s="28"/>
    </row>
    <row r="273">
      <c r="A273" s="28" t="str">
        <f>IFERROR(__xludf.DUMMYFUNCTION("""COMPUTED_VALUE"""),"Personas del barrio de Palermo")</f>
        <v>Personas del barrio de Palermo</v>
      </c>
      <c r="B273" s="28" t="str">
        <f>IFERROR(__xludf.DUMMYFUNCTION("""COMPUTED_VALUE"""),"Palermo")</f>
        <v>Palermo</v>
      </c>
      <c r="C273" s="12">
        <f>IFERROR(__xludf.DUMMYFUNCTION("""COMPUTED_VALUE"""),204214.0)</f>
        <v>204214</v>
      </c>
      <c r="D273" s="28" t="str">
        <f>IFERROR(__xludf.DUMMYFUNCTION("""COMPUTED_VALUE"""),"Geo")</f>
        <v>Geo</v>
      </c>
      <c r="E273" s="28"/>
    </row>
    <row r="274">
      <c r="A274" s="28" t="str">
        <f>IFERROR(__xludf.DUMMYFUNCTION("""COMPUTED_VALUE"""),"Personas del barrio de Parque Avellaneda")</f>
        <v>Personas del barrio de Parque Avellaneda</v>
      </c>
      <c r="B274" s="28" t="str">
        <f>IFERROR(__xludf.DUMMYFUNCTION("""COMPUTED_VALUE"""),"Parque Avellaneda")</f>
        <v>Parque Avellaneda</v>
      </c>
      <c r="C274" s="12">
        <f>IFERROR(__xludf.DUMMYFUNCTION("""COMPUTED_VALUE"""),42039.0)</f>
        <v>42039</v>
      </c>
      <c r="D274" s="28" t="str">
        <f>IFERROR(__xludf.DUMMYFUNCTION("""COMPUTED_VALUE"""),"Geo")</f>
        <v>Geo</v>
      </c>
      <c r="E274" s="28"/>
    </row>
    <row r="275">
      <c r="A275" s="28" t="str">
        <f>IFERROR(__xludf.DUMMYFUNCTION("""COMPUTED_VALUE"""),"Personas del barrio de Parque Chacabuco")</f>
        <v>Personas del barrio de Parque Chacabuco</v>
      </c>
      <c r="B275" s="28" t="str">
        <f>IFERROR(__xludf.DUMMYFUNCTION("""COMPUTED_VALUE"""),"Parque Chacabuco")</f>
        <v>Parque Chacabuco</v>
      </c>
      <c r="C275" s="12">
        <f>IFERROR(__xludf.DUMMYFUNCTION("""COMPUTED_VALUE"""),49633.0)</f>
        <v>49633</v>
      </c>
      <c r="D275" s="28" t="str">
        <f>IFERROR(__xludf.DUMMYFUNCTION("""COMPUTED_VALUE"""),"Geo")</f>
        <v>Geo</v>
      </c>
      <c r="E275" s="28"/>
    </row>
    <row r="276">
      <c r="A276" s="28" t="str">
        <f>IFERROR(__xludf.DUMMYFUNCTION("""COMPUTED_VALUE"""),"Personas del barrio de Parque Chas")</f>
        <v>Personas del barrio de Parque Chas</v>
      </c>
      <c r="B276" s="28" t="str">
        <f>IFERROR(__xludf.DUMMYFUNCTION("""COMPUTED_VALUE"""),"Parque Chas")</f>
        <v>Parque Chas</v>
      </c>
      <c r="C276" s="12">
        <f>IFERROR(__xludf.DUMMYFUNCTION("""COMPUTED_VALUE"""),16012.0)</f>
        <v>16012</v>
      </c>
      <c r="D276" s="28" t="str">
        <f>IFERROR(__xludf.DUMMYFUNCTION("""COMPUTED_VALUE"""),"Geo")</f>
        <v>Geo</v>
      </c>
      <c r="E276" s="28"/>
    </row>
    <row r="277">
      <c r="A277" s="28" t="str">
        <f>IFERROR(__xludf.DUMMYFUNCTION("""COMPUTED_VALUE"""),"Personas del barrio de Parque Patricios")</f>
        <v>Personas del barrio de Parque Patricios</v>
      </c>
      <c r="B277" s="28" t="str">
        <f>IFERROR(__xludf.DUMMYFUNCTION("""COMPUTED_VALUE"""),"Parque Patricios")</f>
        <v>Parque Patricios</v>
      </c>
      <c r="C277" s="12">
        <f>IFERROR(__xludf.DUMMYFUNCTION("""COMPUTED_VALUE"""),33687.0)</f>
        <v>33687</v>
      </c>
      <c r="D277" s="28" t="str">
        <f>IFERROR(__xludf.DUMMYFUNCTION("""COMPUTED_VALUE"""),"Geo")</f>
        <v>Geo</v>
      </c>
      <c r="E277" s="28"/>
    </row>
    <row r="278">
      <c r="A278" s="28" t="str">
        <f>IFERROR(__xludf.DUMMYFUNCTION("""COMPUTED_VALUE"""),"Personas del barrio de Paternal")</f>
        <v>Personas del barrio de Paternal</v>
      </c>
      <c r="B278" s="28" t="str">
        <f>IFERROR(__xludf.DUMMYFUNCTION("""COMPUTED_VALUE"""),"Paternal")</f>
        <v>Paternal</v>
      </c>
      <c r="C278" s="12">
        <f>IFERROR(__xludf.DUMMYFUNCTION("""COMPUTED_VALUE"""),16141.0)</f>
        <v>16141</v>
      </c>
      <c r="D278" s="28" t="str">
        <f>IFERROR(__xludf.DUMMYFUNCTION("""COMPUTED_VALUE"""),"Geo")</f>
        <v>Geo</v>
      </c>
      <c r="E278" s="28"/>
    </row>
    <row r="279">
      <c r="A279" s="28" t="str">
        <f>IFERROR(__xludf.DUMMYFUNCTION("""COMPUTED_VALUE"""),"Personas del barrio de Puerto Madero")</f>
        <v>Personas del barrio de Puerto Madero</v>
      </c>
      <c r="B279" s="28" t="str">
        <f>IFERROR(__xludf.DUMMYFUNCTION("""COMPUTED_VALUE"""),"Puerto Madero")</f>
        <v>Puerto Madero</v>
      </c>
      <c r="C279" s="12">
        <f>IFERROR(__xludf.DUMMYFUNCTION("""COMPUTED_VALUE"""),5420.0)</f>
        <v>5420</v>
      </c>
      <c r="D279" s="28" t="str">
        <f>IFERROR(__xludf.DUMMYFUNCTION("""COMPUTED_VALUE"""),"Geo")</f>
        <v>Geo</v>
      </c>
      <c r="E279" s="28"/>
    </row>
    <row r="280">
      <c r="A280" s="28" t="str">
        <f>IFERROR(__xludf.DUMMYFUNCTION("""COMPUTED_VALUE"""),"Personas del barrio de Recoleta")</f>
        <v>Personas del barrio de Recoleta</v>
      </c>
      <c r="B280" s="28" t="str">
        <f>IFERROR(__xludf.DUMMYFUNCTION("""COMPUTED_VALUE"""),"Recoleta")</f>
        <v>Recoleta</v>
      </c>
      <c r="C280" s="12">
        <f>IFERROR(__xludf.DUMMYFUNCTION("""COMPUTED_VALUE"""),136081.0)</f>
        <v>136081</v>
      </c>
      <c r="D280" s="28" t="str">
        <f>IFERROR(__xludf.DUMMYFUNCTION("""COMPUTED_VALUE"""),"Geo")</f>
        <v>Geo</v>
      </c>
      <c r="E280" s="28"/>
    </row>
    <row r="281">
      <c r="A281" s="28" t="str">
        <f>IFERROR(__xludf.DUMMYFUNCTION("""COMPUTED_VALUE"""),"Personas del barrio de Retiro")</f>
        <v>Personas del barrio de Retiro</v>
      </c>
      <c r="B281" s="28" t="str">
        <f>IFERROR(__xludf.DUMMYFUNCTION("""COMPUTED_VALUE"""),"Retiro")</f>
        <v>Retiro</v>
      </c>
      <c r="C281" s="12">
        <f>IFERROR(__xludf.DUMMYFUNCTION("""COMPUTED_VALUE"""),42033.0)</f>
        <v>42033</v>
      </c>
      <c r="D281" s="28" t="str">
        <f>IFERROR(__xludf.DUMMYFUNCTION("""COMPUTED_VALUE"""),"Geo")</f>
        <v>Geo</v>
      </c>
      <c r="E281" s="28"/>
    </row>
    <row r="282">
      <c r="A282" s="28" t="str">
        <f>IFERROR(__xludf.DUMMYFUNCTION("""COMPUTED_VALUE"""),"Personas del barrio de Saavedra")</f>
        <v>Personas del barrio de Saavedra</v>
      </c>
      <c r="B282" s="28" t="str">
        <f>IFERROR(__xludf.DUMMYFUNCTION("""COMPUTED_VALUE"""),"Saavedra")</f>
        <v>Saavedra</v>
      </c>
      <c r="C282" s="12">
        <f>IFERROR(__xludf.DUMMYFUNCTION("""COMPUTED_VALUE"""),45776.0)</f>
        <v>45776</v>
      </c>
      <c r="D282" s="28" t="str">
        <f>IFERROR(__xludf.DUMMYFUNCTION("""COMPUTED_VALUE"""),"Geo")</f>
        <v>Geo</v>
      </c>
      <c r="E282" s="28"/>
    </row>
    <row r="283">
      <c r="A283" s="28" t="str">
        <f>IFERROR(__xludf.DUMMYFUNCTION("""COMPUTED_VALUE"""),"Personas del barrio de San Cristobal")</f>
        <v>Personas del barrio de San Cristobal</v>
      </c>
      <c r="B283" s="28" t="str">
        <f>IFERROR(__xludf.DUMMYFUNCTION("""COMPUTED_VALUE"""),"San Cristobal")</f>
        <v>San Cristobal</v>
      </c>
      <c r="C283" s="12">
        <f>IFERROR(__xludf.DUMMYFUNCTION("""COMPUTED_VALUE"""),41596.0)</f>
        <v>41596</v>
      </c>
      <c r="D283" s="28" t="str">
        <f>IFERROR(__xludf.DUMMYFUNCTION("""COMPUTED_VALUE"""),"Geo")</f>
        <v>Geo</v>
      </c>
      <c r="E283" s="28"/>
    </row>
    <row r="284">
      <c r="A284" s="28" t="str">
        <f>IFERROR(__xludf.DUMMYFUNCTION("""COMPUTED_VALUE"""),"Personas del barrio de San Nicolas")</f>
        <v>Personas del barrio de San Nicolas</v>
      </c>
      <c r="B284" s="28" t="str">
        <f>IFERROR(__xludf.DUMMYFUNCTION("""COMPUTED_VALUE"""),"San Nicolas")</f>
        <v>San Nicolas</v>
      </c>
      <c r="C284" s="12">
        <f>IFERROR(__xludf.DUMMYFUNCTION("""COMPUTED_VALUE"""),33612.0)</f>
        <v>33612</v>
      </c>
      <c r="D284" s="28" t="str">
        <f>IFERROR(__xludf.DUMMYFUNCTION("""COMPUTED_VALUE"""),"Geo")</f>
        <v>Geo</v>
      </c>
      <c r="E284" s="28"/>
    </row>
    <row r="285">
      <c r="A285" s="28" t="str">
        <f>IFERROR(__xludf.DUMMYFUNCTION("""COMPUTED_VALUE"""),"Personas del barrio de San Telmo")</f>
        <v>Personas del barrio de San Telmo</v>
      </c>
      <c r="B285" s="28" t="str">
        <f>IFERROR(__xludf.DUMMYFUNCTION("""COMPUTED_VALUE"""),"San Telmo")</f>
        <v>San Telmo</v>
      </c>
      <c r="C285" s="12">
        <f>IFERROR(__xludf.DUMMYFUNCTION("""COMPUTED_VALUE"""),19352.0)</f>
        <v>19352</v>
      </c>
      <c r="D285" s="28" t="str">
        <f>IFERROR(__xludf.DUMMYFUNCTION("""COMPUTED_VALUE"""),"Geo")</f>
        <v>Geo</v>
      </c>
      <c r="E285" s="28"/>
    </row>
    <row r="286">
      <c r="A286" s="28" t="str">
        <f>IFERROR(__xludf.DUMMYFUNCTION("""COMPUTED_VALUE"""),"Personas del barrio de Velez Sarsfield")</f>
        <v>Personas del barrio de Velez Sarsfield</v>
      </c>
      <c r="B286" s="28" t="str">
        <f>IFERROR(__xludf.DUMMYFUNCTION("""COMPUTED_VALUE"""),"Velez Sarsfield")</f>
        <v>Velez Sarsfield</v>
      </c>
      <c r="C286" s="12">
        <f>IFERROR(__xludf.DUMMYFUNCTION("""COMPUTED_VALUE"""),29993.0)</f>
        <v>29993</v>
      </c>
      <c r="D286" s="28" t="str">
        <f>IFERROR(__xludf.DUMMYFUNCTION("""COMPUTED_VALUE"""),"Geo")</f>
        <v>Geo</v>
      </c>
      <c r="E286" s="28"/>
    </row>
    <row r="287">
      <c r="A287" s="28" t="str">
        <f>IFERROR(__xludf.DUMMYFUNCTION("""COMPUTED_VALUE"""),"Personas del barrio de Versalles")</f>
        <v>Personas del barrio de Versalles</v>
      </c>
      <c r="B287" s="28" t="str">
        <f>IFERROR(__xludf.DUMMYFUNCTION("""COMPUTED_VALUE"""),"Versalles")</f>
        <v>Versalles</v>
      </c>
      <c r="C287" s="12">
        <f>IFERROR(__xludf.DUMMYFUNCTION("""COMPUTED_VALUE"""),12962.0)</f>
        <v>12962</v>
      </c>
      <c r="D287" s="28" t="str">
        <f>IFERROR(__xludf.DUMMYFUNCTION("""COMPUTED_VALUE"""),"Geo")</f>
        <v>Geo</v>
      </c>
      <c r="E287" s="28"/>
    </row>
    <row r="288">
      <c r="A288" s="28" t="str">
        <f>IFERROR(__xludf.DUMMYFUNCTION("""COMPUTED_VALUE"""),"Personas del barrio de Villa Crespo")</f>
        <v>Personas del barrio de Villa Crespo</v>
      </c>
      <c r="B288" s="28" t="str">
        <f>IFERROR(__xludf.DUMMYFUNCTION("""COMPUTED_VALUE"""),"Villa Crespo")</f>
        <v>Villa Crespo</v>
      </c>
      <c r="C288" s="12">
        <f>IFERROR(__xludf.DUMMYFUNCTION("""COMPUTED_VALUE"""),73146.0)</f>
        <v>73146</v>
      </c>
      <c r="D288" s="28" t="str">
        <f>IFERROR(__xludf.DUMMYFUNCTION("""COMPUTED_VALUE"""),"Geo")</f>
        <v>Geo</v>
      </c>
      <c r="E288" s="28"/>
    </row>
    <row r="289">
      <c r="A289" s="28" t="str">
        <f>IFERROR(__xludf.DUMMYFUNCTION("""COMPUTED_VALUE"""),"Personas del barrio de Villa Del Parque")</f>
        <v>Personas del barrio de Villa Del Parque</v>
      </c>
      <c r="B289" s="28" t="str">
        <f>IFERROR(__xludf.DUMMYFUNCTION("""COMPUTED_VALUE"""),"Villa Del Parque")</f>
        <v>Villa Del Parque</v>
      </c>
      <c r="C289" s="12">
        <f>IFERROR(__xludf.DUMMYFUNCTION("""COMPUTED_VALUE"""),49652.0)</f>
        <v>49652</v>
      </c>
      <c r="D289" s="28" t="str">
        <f>IFERROR(__xludf.DUMMYFUNCTION("""COMPUTED_VALUE"""),"Geo")</f>
        <v>Geo</v>
      </c>
      <c r="E289" s="28"/>
    </row>
    <row r="290">
      <c r="A290" s="28" t="str">
        <f>IFERROR(__xludf.DUMMYFUNCTION("""COMPUTED_VALUE"""),"Personas del barrio de Villa Devoto")</f>
        <v>Personas del barrio de Villa Devoto</v>
      </c>
      <c r="B290" s="28" t="str">
        <f>IFERROR(__xludf.DUMMYFUNCTION("""COMPUTED_VALUE"""),"Villa Devoto")</f>
        <v>Villa Devoto</v>
      </c>
      <c r="C290" s="12">
        <f>IFERROR(__xludf.DUMMYFUNCTION("""COMPUTED_VALUE"""),61243.0)</f>
        <v>61243</v>
      </c>
      <c r="D290" s="28" t="str">
        <f>IFERROR(__xludf.DUMMYFUNCTION("""COMPUTED_VALUE"""),"Geo")</f>
        <v>Geo</v>
      </c>
      <c r="E290" s="28"/>
    </row>
    <row r="291">
      <c r="A291" s="28" t="str">
        <f>IFERROR(__xludf.DUMMYFUNCTION("""COMPUTED_VALUE"""),"Personas del barrio de Villa Gral.mitre")</f>
        <v>Personas del barrio de Villa Gral.mitre</v>
      </c>
      <c r="B291" s="28" t="str">
        <f>IFERROR(__xludf.DUMMYFUNCTION("""COMPUTED_VALUE"""),"Villa Gral.mitre")</f>
        <v>Villa Gral.mitre</v>
      </c>
      <c r="C291" s="12">
        <f>IFERROR(__xludf.DUMMYFUNCTION("""COMPUTED_VALUE"""),28795.0)</f>
        <v>28795</v>
      </c>
      <c r="D291" s="28" t="str">
        <f>IFERROR(__xludf.DUMMYFUNCTION("""COMPUTED_VALUE"""),"Geo")</f>
        <v>Geo</v>
      </c>
      <c r="E291" s="28"/>
    </row>
    <row r="292">
      <c r="A292" s="28" t="str">
        <f>IFERROR(__xludf.DUMMYFUNCTION("""COMPUTED_VALUE"""),"Personas del barrio de Villa Lugano")</f>
        <v>Personas del barrio de Villa Lugano</v>
      </c>
      <c r="B292" s="28" t="str">
        <f>IFERROR(__xludf.DUMMYFUNCTION("""COMPUTED_VALUE"""),"Villa Lugano")</f>
        <v>Villa Lugano</v>
      </c>
      <c r="C292" s="12">
        <f>IFERROR(__xludf.DUMMYFUNCTION("""COMPUTED_VALUE"""),94840.0)</f>
        <v>94840</v>
      </c>
      <c r="D292" s="28" t="str">
        <f>IFERROR(__xludf.DUMMYFUNCTION("""COMPUTED_VALUE"""),"Geo")</f>
        <v>Geo</v>
      </c>
      <c r="E292" s="28"/>
    </row>
    <row r="293">
      <c r="A293" s="28" t="str">
        <f>IFERROR(__xludf.DUMMYFUNCTION("""COMPUTED_VALUE"""),"Personas del barrio de Villa Luro")</f>
        <v>Personas del barrio de Villa Luro</v>
      </c>
      <c r="B293" s="28" t="str">
        <f>IFERROR(__xludf.DUMMYFUNCTION("""COMPUTED_VALUE"""),"Villa Luro")</f>
        <v>Villa Luro</v>
      </c>
      <c r="C293" s="12">
        <f>IFERROR(__xludf.DUMMYFUNCTION("""COMPUTED_VALUE"""),29956.0)</f>
        <v>29956</v>
      </c>
      <c r="D293" s="28" t="str">
        <f>IFERROR(__xludf.DUMMYFUNCTION("""COMPUTED_VALUE"""),"Geo")</f>
        <v>Geo</v>
      </c>
      <c r="E293" s="28"/>
    </row>
    <row r="294">
      <c r="A294" s="28" t="str">
        <f>IFERROR(__xludf.DUMMYFUNCTION("""COMPUTED_VALUE"""),"Personas del barrio de Villa Ortuzar")</f>
        <v>Personas del barrio de Villa Ortuzar</v>
      </c>
      <c r="B294" s="28" t="str">
        <f>IFERROR(__xludf.DUMMYFUNCTION("""COMPUTED_VALUE"""),"Villa Ortuzar")</f>
        <v>Villa Ortuzar</v>
      </c>
      <c r="C294" s="12">
        <f>IFERROR(__xludf.DUMMYFUNCTION("""COMPUTED_VALUE"""),19445.0)</f>
        <v>19445</v>
      </c>
      <c r="D294" s="28" t="str">
        <f>IFERROR(__xludf.DUMMYFUNCTION("""COMPUTED_VALUE"""),"Geo")</f>
        <v>Geo</v>
      </c>
      <c r="E294" s="28"/>
    </row>
    <row r="295">
      <c r="A295" s="28" t="str">
        <f>IFERROR(__xludf.DUMMYFUNCTION("""COMPUTED_VALUE"""),"Personas del barrio de Villa Pueyrredon")</f>
        <v>Personas del barrio de Villa Pueyrredon</v>
      </c>
      <c r="B295" s="28" t="str">
        <f>IFERROR(__xludf.DUMMYFUNCTION("""COMPUTED_VALUE"""),"Villa Pueyrredon")</f>
        <v>Villa Pueyrredon</v>
      </c>
      <c r="C295" s="12">
        <f>IFERROR(__xludf.DUMMYFUNCTION("""COMPUTED_VALUE"""),37366.0)</f>
        <v>37366</v>
      </c>
      <c r="D295" s="28" t="str">
        <f>IFERROR(__xludf.DUMMYFUNCTION("""COMPUTED_VALUE"""),"Geo")</f>
        <v>Geo</v>
      </c>
      <c r="E295" s="28"/>
    </row>
    <row r="296">
      <c r="A296" s="28" t="str">
        <f>IFERROR(__xludf.DUMMYFUNCTION("""COMPUTED_VALUE"""),"Personas del barrio de Villa Real")</f>
        <v>Personas del barrio de Villa Real</v>
      </c>
      <c r="B296" s="28" t="str">
        <f>IFERROR(__xludf.DUMMYFUNCTION("""COMPUTED_VALUE"""),"Villa Real")</f>
        <v>Villa Real</v>
      </c>
      <c r="C296" s="12">
        <f>IFERROR(__xludf.DUMMYFUNCTION("""COMPUTED_VALUE"""),12411.0)</f>
        <v>12411</v>
      </c>
      <c r="D296" s="28" t="str">
        <f>IFERROR(__xludf.DUMMYFUNCTION("""COMPUTED_VALUE"""),"Geo")</f>
        <v>Geo</v>
      </c>
      <c r="E296" s="28"/>
    </row>
    <row r="297">
      <c r="A297" s="28" t="str">
        <f>IFERROR(__xludf.DUMMYFUNCTION("""COMPUTED_VALUE"""),"Personas del barrio de Villa Riachuelo")</f>
        <v>Personas del barrio de Villa Riachuelo</v>
      </c>
      <c r="B297" s="28" t="str">
        <f>IFERROR(__xludf.DUMMYFUNCTION("""COMPUTED_VALUE"""),"Villa Riachuelo")</f>
        <v>Villa Riachuelo</v>
      </c>
      <c r="C297" s="12">
        <f>IFERROR(__xludf.DUMMYFUNCTION("""COMPUTED_VALUE"""),15722.0)</f>
        <v>15722</v>
      </c>
      <c r="D297" s="28" t="str">
        <f>IFERROR(__xludf.DUMMYFUNCTION("""COMPUTED_VALUE"""),"Geo")</f>
        <v>Geo</v>
      </c>
      <c r="E297" s="28"/>
    </row>
    <row r="298">
      <c r="A298" s="28" t="str">
        <f>IFERROR(__xludf.DUMMYFUNCTION("""COMPUTED_VALUE"""),"Personas del barrio de Villa Santa Rita")</f>
        <v>Personas del barrio de Villa Santa Rita</v>
      </c>
      <c r="B298" s="28" t="str">
        <f>IFERROR(__xludf.DUMMYFUNCTION("""COMPUTED_VALUE"""),"Villa Santa Rita")</f>
        <v>Villa Santa Rita</v>
      </c>
      <c r="C298" s="12">
        <f>IFERROR(__xludf.DUMMYFUNCTION("""COMPUTED_VALUE"""),29093.0)</f>
        <v>29093</v>
      </c>
      <c r="D298" s="28" t="str">
        <f>IFERROR(__xludf.DUMMYFUNCTION("""COMPUTED_VALUE"""),"Geo")</f>
        <v>Geo</v>
      </c>
      <c r="E298" s="28"/>
    </row>
    <row r="299">
      <c r="A299" s="28" t="str">
        <f>IFERROR(__xludf.DUMMYFUNCTION("""COMPUTED_VALUE"""),"Personas del barrio de Villa Soldati")</f>
        <v>Personas del barrio de Villa Soldati</v>
      </c>
      <c r="B299" s="28" t="str">
        <f>IFERROR(__xludf.DUMMYFUNCTION("""COMPUTED_VALUE"""),"Villa Soldati")</f>
        <v>Villa Soldati</v>
      </c>
      <c r="C299" s="12">
        <f>IFERROR(__xludf.DUMMYFUNCTION("""COMPUTED_VALUE"""),33313.0)</f>
        <v>33313</v>
      </c>
      <c r="D299" s="28" t="str">
        <f>IFERROR(__xludf.DUMMYFUNCTION("""COMPUTED_VALUE"""),"Geo")</f>
        <v>Geo</v>
      </c>
      <c r="E299" s="28"/>
    </row>
    <row r="300">
      <c r="A300" s="28" t="str">
        <f>IFERROR(__xludf.DUMMYFUNCTION("""COMPUTED_VALUE"""),"Personas del barrio de Villa Urquiza")</f>
        <v>Personas del barrio de Villa Urquiza</v>
      </c>
      <c r="B300" s="28" t="str">
        <f>IFERROR(__xludf.DUMMYFUNCTION("""COMPUTED_VALUE"""),"Villa Urquiza")</f>
        <v>Villa Urquiza</v>
      </c>
      <c r="C300" s="12">
        <f>IFERROR(__xludf.DUMMYFUNCTION("""COMPUTED_VALUE"""),87262.0)</f>
        <v>87262</v>
      </c>
      <c r="D300" s="28" t="str">
        <f>IFERROR(__xludf.DUMMYFUNCTION("""COMPUTED_VALUE"""),"Geo")</f>
        <v>Geo</v>
      </c>
      <c r="E300" s="28"/>
    </row>
    <row r="301">
      <c r="A301" s="28" t="str">
        <f>IFERROR(__xludf.DUMMYFUNCTION("""COMPUTED_VALUE"""),"Personas que tienen 60 años o mas")</f>
        <v>Personas que tienen 60 años o mas</v>
      </c>
      <c r="B301" s="28" t="str">
        <f>IFERROR(__xludf.DUMMYFUNCTION("""COMPUTED_VALUE"""),"Adultos Mayores")</f>
        <v>Adultos Mayores</v>
      </c>
      <c r="C301" s="12">
        <f>IFERROR(__xludf.DUMMYFUNCTION("""COMPUTED_VALUE"""),649696.0)</f>
        <v>649696</v>
      </c>
      <c r="D301" s="28" t="str">
        <f>IFERROR(__xludf.DUMMYFUNCTION("""COMPUTED_VALUE"""),"Dato")</f>
        <v>Dato</v>
      </c>
      <c r="E301" s="28"/>
    </row>
    <row r="302">
      <c r="A302" s="28" t="str">
        <f>IFERROR(__xludf.DUMMYFUNCTION("""COMPUTED_VALUE"""),"Personas que tienen un hijo/a de 13 años o menos")</f>
        <v>Personas que tienen un hijo/a de 13 años o menos</v>
      </c>
      <c r="B302" s="28" t="str">
        <f>IFERROR(__xludf.DUMMYFUNCTION("""COMPUTED_VALUE"""),"Padres de Hijos menores")</f>
        <v>Padres de Hijos menores</v>
      </c>
      <c r="C302" s="12">
        <f>IFERROR(__xludf.DUMMYFUNCTION("""COMPUTED_VALUE"""),281156.0)</f>
        <v>281156</v>
      </c>
      <c r="D302" s="28" t="str">
        <f>IFERROR(__xludf.DUMMYFUNCTION("""COMPUTED_VALUE"""),"Dato")</f>
        <v>Dato</v>
      </c>
      <c r="E302" s="28"/>
    </row>
    <row r="303">
      <c r="A303" s="28" t="str">
        <f>IFERROR(__xludf.DUMMYFUNCTION("""COMPUTED_VALUE"""),"Personas que viven a 800 metros de una estacion de subte de la linea D")</f>
        <v>Personas que viven a 800 metros de una estacion de subte de la linea D</v>
      </c>
      <c r="B303" s="28" t="str">
        <f>IFERROR(__xludf.DUMMYFUNCTION("""COMPUTED_VALUE"""),"Linea D (Buffer 800 Mts)")</f>
        <v>Linea D (Buffer 800 Mts)</v>
      </c>
      <c r="C303" s="12">
        <f>IFERROR(__xludf.DUMMYFUNCTION("""COMPUTED_VALUE"""),282916.0)</f>
        <v>282916</v>
      </c>
      <c r="D303" s="28" t="str">
        <f>IFERROR(__xludf.DUMMYFUNCTION("""COMPUTED_VALUE"""),"Dato")</f>
        <v>Dato</v>
      </c>
      <c r="E303" s="28"/>
    </row>
    <row r="304">
      <c r="A304" s="28" t="str">
        <f>IFERROR(__xludf.DUMMYFUNCTION("""COMPUTED_VALUE"""),"Personas que tienen de 18 años a 25 años")</f>
        <v>Personas que tienen de 18 años a 25 años</v>
      </c>
      <c r="B304" s="28" t="str">
        <f>IFERROR(__xludf.DUMMYFUNCTION("""COMPUTED_VALUE"""),"Jovenes")</f>
        <v>Jovenes</v>
      </c>
      <c r="C304" s="12">
        <f>IFERROR(__xludf.DUMMYFUNCTION("""COMPUTED_VALUE"""),70693.0)</f>
        <v>70693</v>
      </c>
      <c r="D304" s="28" t="str">
        <f>IFERROR(__xludf.DUMMYFUNCTION("""COMPUTED_VALUE"""),"Dato")</f>
        <v>Dato</v>
      </c>
      <c r="E304" s="28"/>
    </row>
    <row r="305">
      <c r="A305" s="28"/>
      <c r="B305" s="28"/>
      <c r="C305" s="28"/>
      <c r="D305" s="28"/>
      <c r="E305" s="28"/>
    </row>
    <row r="306">
      <c r="A306" s="28"/>
      <c r="B306" s="28"/>
      <c r="C306" s="28"/>
      <c r="D306" s="28"/>
      <c r="E306" s="28"/>
    </row>
    <row r="307">
      <c r="A307" s="28"/>
      <c r="B307" s="28"/>
      <c r="C307" s="28"/>
      <c r="D307" s="28"/>
      <c r="E307" s="28"/>
    </row>
    <row r="308">
      <c r="A308" s="28"/>
      <c r="B308" s="28"/>
      <c r="C308" s="28"/>
      <c r="D308" s="28"/>
      <c r="E308" s="28"/>
    </row>
    <row r="309">
      <c r="A309" s="28"/>
      <c r="B309" s="28"/>
      <c r="C309" s="28"/>
      <c r="D309" s="28"/>
      <c r="E309" s="28"/>
    </row>
    <row r="310">
      <c r="A310" s="28"/>
      <c r="B310" s="28"/>
      <c r="C310" s="28"/>
      <c r="D310" s="28"/>
      <c r="E310" s="28"/>
    </row>
    <row r="311">
      <c r="A311" s="28"/>
      <c r="B311" s="28"/>
      <c r="C311" s="28"/>
      <c r="D311" s="28"/>
      <c r="E311" s="28"/>
    </row>
    <row r="312">
      <c r="A312" s="28"/>
      <c r="B312" s="28"/>
      <c r="C312" s="28"/>
      <c r="D312" s="28"/>
      <c r="E312" s="28"/>
    </row>
    <row r="313">
      <c r="A313" s="28"/>
      <c r="B313" s="28"/>
      <c r="C313" s="28"/>
      <c r="D313" s="28"/>
      <c r="E313" s="28"/>
    </row>
    <row r="314">
      <c r="A314" s="28"/>
      <c r="B314" s="28"/>
      <c r="C314" s="28"/>
      <c r="D314" s="28"/>
      <c r="E314" s="28"/>
    </row>
    <row r="315">
      <c r="A315" s="28"/>
      <c r="B315" s="28"/>
      <c r="C315" s="28"/>
      <c r="D315" s="28"/>
      <c r="E315" s="28"/>
    </row>
    <row r="316">
      <c r="A316" s="28"/>
      <c r="B316" s="28"/>
      <c r="C316" s="28"/>
      <c r="D316" s="28"/>
      <c r="E316" s="28"/>
    </row>
    <row r="317">
      <c r="A317" s="28"/>
      <c r="B317" s="28"/>
      <c r="C317" s="28"/>
      <c r="D317" s="28"/>
      <c r="E317" s="28"/>
    </row>
    <row r="318">
      <c r="A318" s="28"/>
      <c r="B318" s="28"/>
      <c r="C318" s="28"/>
      <c r="D318" s="28"/>
      <c r="E318" s="28"/>
    </row>
    <row r="319">
      <c r="A319" s="28"/>
      <c r="B319" s="28"/>
      <c r="C319" s="28"/>
      <c r="D319" s="28"/>
      <c r="E319" s="28"/>
    </row>
    <row r="320">
      <c r="A320" s="28"/>
      <c r="B320" s="28"/>
      <c r="C320" s="28"/>
      <c r="D320" s="28"/>
      <c r="E320" s="28"/>
    </row>
    <row r="321">
      <c r="A321" s="28"/>
      <c r="B321" s="28"/>
      <c r="C321" s="28"/>
      <c r="D321" s="28"/>
      <c r="E321" s="28"/>
    </row>
    <row r="322">
      <c r="A322" s="28"/>
      <c r="B322" s="28"/>
      <c r="C322" s="28"/>
      <c r="D322" s="28"/>
      <c r="E322" s="28"/>
    </row>
    <row r="323">
      <c r="A323" s="28"/>
      <c r="B323" s="28"/>
      <c r="C323" s="28"/>
      <c r="D323" s="28"/>
      <c r="E323" s="28"/>
    </row>
    <row r="324">
      <c r="A324" s="28"/>
      <c r="B324" s="28"/>
      <c r="C324" s="28"/>
      <c r="D324" s="28"/>
      <c r="E324" s="28"/>
    </row>
    <row r="325">
      <c r="A325" s="28"/>
      <c r="B325" s="28"/>
      <c r="C325" s="28"/>
      <c r="D325" s="28"/>
      <c r="E325" s="28"/>
    </row>
    <row r="326">
      <c r="A326" s="28"/>
      <c r="B326" s="28"/>
      <c r="C326" s="28"/>
      <c r="D326" s="28"/>
      <c r="E326" s="28"/>
    </row>
    <row r="327">
      <c r="A327" s="28"/>
      <c r="B327" s="28"/>
      <c r="C327" s="28"/>
      <c r="D327" s="28"/>
      <c r="E327" s="28"/>
    </row>
    <row r="328">
      <c r="A328" s="28"/>
      <c r="B328" s="28"/>
      <c r="C328" s="28"/>
      <c r="D328" s="28"/>
      <c r="E328" s="28"/>
    </row>
    <row r="329">
      <c r="A329" s="28"/>
      <c r="B329" s="28"/>
      <c r="C329" s="28"/>
      <c r="D329" s="28"/>
      <c r="E329" s="28"/>
    </row>
    <row r="330">
      <c r="A330" s="28"/>
      <c r="B330" s="28"/>
      <c r="C330" s="28"/>
      <c r="D330" s="28"/>
      <c r="E330" s="28"/>
    </row>
    <row r="331">
      <c r="A331" s="28"/>
      <c r="B331" s="28"/>
      <c r="C331" s="28"/>
      <c r="D331" s="28"/>
      <c r="E331" s="28"/>
    </row>
    <row r="332">
      <c r="A332" s="28"/>
      <c r="B332" s="28"/>
      <c r="C332" s="28"/>
      <c r="D332" s="28"/>
      <c r="E332" s="28"/>
    </row>
    <row r="333">
      <c r="A333" s="28"/>
      <c r="B333" s="28"/>
      <c r="C333" s="28"/>
      <c r="D333" s="28"/>
      <c r="E333" s="28"/>
    </row>
    <row r="334">
      <c r="A334" s="28"/>
      <c r="B334" s="28"/>
      <c r="C334" s="28"/>
      <c r="D334" s="28"/>
      <c r="E334" s="28"/>
    </row>
    <row r="335">
      <c r="A335" s="28"/>
      <c r="B335" s="28"/>
      <c r="C335" s="28"/>
      <c r="D335" s="28"/>
      <c r="E335" s="28"/>
    </row>
    <row r="336">
      <c r="A336" s="28"/>
      <c r="B336" s="28"/>
      <c r="C336" s="28"/>
      <c r="D336" s="28"/>
      <c r="E336" s="28"/>
    </row>
    <row r="337">
      <c r="A337" s="28"/>
      <c r="B337" s="28"/>
      <c r="C337" s="28"/>
      <c r="D337" s="28"/>
      <c r="E337" s="28"/>
    </row>
    <row r="338">
      <c r="A338" s="28"/>
      <c r="B338" s="28"/>
      <c r="C338" s="28"/>
      <c r="D338" s="28"/>
      <c r="E338" s="28"/>
    </row>
    <row r="339">
      <c r="A339" s="28"/>
      <c r="B339" s="28"/>
      <c r="C339" s="28"/>
      <c r="D339" s="28"/>
      <c r="E339" s="28"/>
    </row>
    <row r="340">
      <c r="A340" s="28"/>
      <c r="B340" s="28"/>
      <c r="C340" s="28"/>
      <c r="D340" s="28"/>
      <c r="E340" s="28"/>
    </row>
    <row r="341">
      <c r="A341" s="28"/>
      <c r="B341" s="28"/>
      <c r="C341" s="28"/>
      <c r="D341" s="28"/>
      <c r="E341" s="28"/>
    </row>
    <row r="342">
      <c r="A342" s="28"/>
      <c r="B342" s="28"/>
      <c r="C342" s="28"/>
      <c r="D342" s="28"/>
      <c r="E342" s="28"/>
    </row>
    <row r="343">
      <c r="A343" s="28"/>
      <c r="B343" s="28"/>
      <c r="C343" s="28"/>
      <c r="D343" s="28"/>
      <c r="E343" s="28"/>
    </row>
    <row r="344">
      <c r="A344" s="28"/>
      <c r="B344" s="28"/>
      <c r="C344" s="28"/>
      <c r="D344" s="28"/>
      <c r="E344" s="28"/>
    </row>
    <row r="345">
      <c r="A345" s="28"/>
      <c r="B345" s="28"/>
      <c r="C345" s="28"/>
      <c r="D345" s="28"/>
      <c r="E345" s="28"/>
    </row>
    <row r="346">
      <c r="A346" s="28"/>
      <c r="B346" s="28"/>
      <c r="C346" s="28"/>
      <c r="D346" s="28"/>
      <c r="E346" s="28"/>
    </row>
    <row r="347">
      <c r="A347" s="28"/>
      <c r="B347" s="28"/>
      <c r="C347" s="28"/>
      <c r="D347" s="28"/>
      <c r="E347" s="28"/>
    </row>
    <row r="348">
      <c r="A348" s="28"/>
      <c r="B348" s="28"/>
      <c r="C348" s="28"/>
      <c r="D348" s="28"/>
      <c r="E348" s="28"/>
    </row>
    <row r="349">
      <c r="A349" s="28"/>
      <c r="B349" s="28"/>
      <c r="C349" s="28"/>
      <c r="D349" s="28"/>
      <c r="E349" s="28"/>
    </row>
    <row r="350">
      <c r="A350" s="28"/>
      <c r="B350" s="28"/>
      <c r="C350" s="28"/>
      <c r="D350" s="28"/>
      <c r="E350" s="28"/>
    </row>
    <row r="351">
      <c r="A351" s="28"/>
      <c r="B351" s="28"/>
      <c r="C351" s="28"/>
      <c r="D351" s="28"/>
      <c r="E351" s="28"/>
    </row>
    <row r="352">
      <c r="A352" s="28"/>
      <c r="B352" s="28"/>
      <c r="C352" s="28"/>
      <c r="D352" s="28"/>
      <c r="E352" s="28"/>
    </row>
    <row r="353">
      <c r="A353" s="28"/>
      <c r="B353" s="28"/>
      <c r="C353" s="28"/>
      <c r="D353" s="28"/>
      <c r="E353" s="28"/>
    </row>
    <row r="354">
      <c r="A354" s="28"/>
      <c r="B354" s="28"/>
      <c r="C354" s="28"/>
      <c r="D354" s="28"/>
      <c r="E354" s="28"/>
    </row>
    <row r="355">
      <c r="A355" s="28"/>
      <c r="B355" s="28"/>
      <c r="C355" s="28"/>
      <c r="D355" s="28"/>
      <c r="E355" s="28"/>
    </row>
    <row r="356">
      <c r="A356" s="28"/>
      <c r="B356" s="28"/>
      <c r="C356" s="28"/>
      <c r="D356" s="28"/>
      <c r="E356" s="28"/>
    </row>
    <row r="357">
      <c r="A357" s="28"/>
      <c r="B357" s="28"/>
      <c r="C357" s="28"/>
      <c r="D357" s="28"/>
      <c r="E357" s="28"/>
    </row>
    <row r="358">
      <c r="A358" s="28"/>
      <c r="B358" s="28"/>
      <c r="C358" s="28"/>
      <c r="D358" s="28"/>
      <c r="E358" s="28"/>
    </row>
    <row r="359">
      <c r="A359" s="28"/>
      <c r="B359" s="28"/>
      <c r="C359" s="28"/>
      <c r="D359" s="28"/>
      <c r="E359" s="28"/>
    </row>
    <row r="360">
      <c r="A360" s="28"/>
      <c r="B360" s="28"/>
      <c r="C360" s="28"/>
      <c r="D360" s="28"/>
      <c r="E360" s="28"/>
    </row>
    <row r="361">
      <c r="A361" s="28"/>
      <c r="B361" s="28"/>
      <c r="C361" s="28"/>
      <c r="D361" s="28"/>
      <c r="E361" s="28"/>
    </row>
    <row r="362">
      <c r="A362" s="28"/>
      <c r="B362" s="28"/>
      <c r="C362" s="28"/>
      <c r="D362" s="28"/>
      <c r="E362" s="28"/>
    </row>
    <row r="363">
      <c r="A363" s="28"/>
      <c r="B363" s="28"/>
      <c r="C363" s="28"/>
      <c r="D363" s="28"/>
      <c r="E363" s="28"/>
    </row>
    <row r="364">
      <c r="A364" s="28"/>
      <c r="B364" s="28"/>
      <c r="C364" s="28"/>
      <c r="D364" s="28"/>
      <c r="E364" s="28"/>
    </row>
    <row r="365">
      <c r="A365" s="28"/>
      <c r="B365" s="28"/>
      <c r="C365" s="28"/>
      <c r="D365" s="28"/>
      <c r="E365" s="28"/>
    </row>
    <row r="366">
      <c r="A366" s="28"/>
      <c r="B366" s="28"/>
      <c r="C366" s="28"/>
      <c r="D366" s="28"/>
      <c r="E366" s="28"/>
    </row>
    <row r="367">
      <c r="A367" s="28"/>
      <c r="B367" s="28"/>
      <c r="C367" s="28"/>
      <c r="D367" s="28"/>
      <c r="E367" s="28"/>
    </row>
    <row r="368">
      <c r="A368" s="28"/>
      <c r="B368" s="28"/>
      <c r="C368" s="28"/>
      <c r="D368" s="28"/>
      <c r="E368" s="28"/>
    </row>
    <row r="369">
      <c r="A369" s="28"/>
      <c r="B369" s="28"/>
      <c r="C369" s="28"/>
      <c r="D369" s="28"/>
      <c r="E369" s="28"/>
    </row>
    <row r="370">
      <c r="A370" s="28"/>
      <c r="B370" s="28"/>
      <c r="C370" s="28"/>
      <c r="D370" s="28"/>
      <c r="E370" s="28"/>
    </row>
    <row r="371">
      <c r="A371" s="28"/>
      <c r="B371" s="28"/>
      <c r="C371" s="28"/>
      <c r="D371" s="28"/>
      <c r="E371" s="28"/>
    </row>
    <row r="372">
      <c r="A372" s="28"/>
      <c r="B372" s="28"/>
      <c r="C372" s="28"/>
      <c r="D372" s="28"/>
      <c r="E372" s="28"/>
    </row>
    <row r="373">
      <c r="A373" s="28"/>
      <c r="B373" s="28"/>
      <c r="C373" s="28"/>
      <c r="D373" s="28"/>
      <c r="E373" s="28"/>
    </row>
    <row r="374">
      <c r="A374" s="28"/>
      <c r="B374" s="28"/>
      <c r="C374" s="28"/>
      <c r="D374" s="28"/>
      <c r="E374" s="28"/>
    </row>
    <row r="375">
      <c r="A375" s="28"/>
      <c r="B375" s="28"/>
      <c r="C375" s="28"/>
      <c r="D375" s="28"/>
      <c r="E375" s="28"/>
    </row>
    <row r="376">
      <c r="A376" s="28"/>
      <c r="B376" s="28"/>
      <c r="C376" s="28"/>
      <c r="D376" s="28"/>
      <c r="E376" s="28"/>
    </row>
    <row r="377">
      <c r="A377" s="28"/>
      <c r="B377" s="28"/>
      <c r="C377" s="28"/>
      <c r="D377" s="28"/>
      <c r="E377" s="28"/>
    </row>
    <row r="378">
      <c r="A378" s="28"/>
      <c r="B378" s="28"/>
      <c r="C378" s="28"/>
      <c r="D378" s="28"/>
      <c r="E378" s="28"/>
    </row>
    <row r="379">
      <c r="A379" s="28"/>
      <c r="B379" s="28"/>
      <c r="C379" s="28"/>
      <c r="D379" s="28"/>
      <c r="E379" s="28"/>
    </row>
    <row r="380">
      <c r="A380" s="28"/>
      <c r="B380" s="28"/>
      <c r="C380" s="28"/>
      <c r="D380" s="28"/>
      <c r="E380" s="28"/>
    </row>
    <row r="381">
      <c r="A381" s="28"/>
      <c r="B381" s="28"/>
      <c r="C381" s="28"/>
      <c r="D381" s="28"/>
      <c r="E381" s="28"/>
    </row>
    <row r="382">
      <c r="A382" s="28"/>
      <c r="B382" s="28"/>
      <c r="C382" s="28"/>
      <c r="D382" s="28"/>
      <c r="E382" s="28"/>
    </row>
    <row r="383">
      <c r="A383" s="28"/>
      <c r="B383" s="28"/>
      <c r="C383" s="28"/>
      <c r="D383" s="28"/>
      <c r="E383" s="28"/>
    </row>
    <row r="384">
      <c r="A384" s="28"/>
      <c r="B384" s="28"/>
      <c r="C384" s="28"/>
      <c r="D384" s="28"/>
      <c r="E384" s="28"/>
    </row>
    <row r="385">
      <c r="A385" s="28"/>
      <c r="B385" s="28"/>
      <c r="C385" s="28"/>
      <c r="D385" s="28"/>
      <c r="E385" s="28"/>
    </row>
    <row r="386">
      <c r="A386" s="28"/>
      <c r="B386" s="28"/>
      <c r="C386" s="28"/>
      <c r="D386" s="28"/>
      <c r="E386" s="28"/>
    </row>
    <row r="387">
      <c r="A387" s="28"/>
      <c r="B387" s="28"/>
      <c r="C387" s="28"/>
      <c r="D387" s="28"/>
      <c r="E387" s="28"/>
    </row>
    <row r="388">
      <c r="A388" s="28"/>
      <c r="B388" s="28"/>
      <c r="C388" s="28"/>
      <c r="D388" s="28"/>
      <c r="E388" s="28"/>
    </row>
    <row r="389">
      <c r="A389" s="28"/>
      <c r="B389" s="28"/>
      <c r="C389" s="28"/>
      <c r="D389" s="28"/>
      <c r="E389" s="28"/>
    </row>
    <row r="390">
      <c r="A390" s="28"/>
      <c r="B390" s="28"/>
      <c r="C390" s="28"/>
      <c r="D390" s="28"/>
      <c r="E390" s="28"/>
    </row>
    <row r="391">
      <c r="A391" s="28"/>
      <c r="B391" s="28"/>
      <c r="C391" s="28"/>
      <c r="D391" s="28"/>
      <c r="E391" s="28"/>
    </row>
    <row r="392">
      <c r="A392" s="28"/>
      <c r="B392" s="28"/>
      <c r="C392" s="28"/>
      <c r="D392" s="28"/>
      <c r="E392" s="28"/>
    </row>
    <row r="393">
      <c r="A393" s="28"/>
      <c r="B393" s="28"/>
      <c r="C393" s="28"/>
      <c r="D393" s="28"/>
      <c r="E393" s="28"/>
    </row>
    <row r="394">
      <c r="A394" s="28"/>
      <c r="B394" s="28"/>
      <c r="C394" s="28"/>
      <c r="D394" s="28"/>
      <c r="E394" s="28"/>
    </row>
    <row r="395">
      <c r="A395" s="28"/>
      <c r="B395" s="28"/>
      <c r="C395" s="28"/>
      <c r="D395" s="28"/>
      <c r="E395" s="28"/>
    </row>
    <row r="396">
      <c r="A396" s="28"/>
      <c r="B396" s="28"/>
      <c r="C396" s="28"/>
      <c r="D396" s="28"/>
      <c r="E396" s="28"/>
    </row>
    <row r="397">
      <c r="A397" s="28"/>
      <c r="B397" s="28"/>
      <c r="C397" s="28"/>
      <c r="D397" s="28"/>
      <c r="E397" s="28"/>
    </row>
    <row r="398">
      <c r="A398" s="28"/>
      <c r="B398" s="28"/>
      <c r="C398" s="28"/>
      <c r="D398" s="28"/>
      <c r="E398" s="28"/>
    </row>
    <row r="399">
      <c r="A399" s="28"/>
      <c r="B399" s="28"/>
      <c r="C399" s="28"/>
      <c r="D399" s="28"/>
      <c r="E399" s="28"/>
    </row>
    <row r="400">
      <c r="A400" s="28"/>
      <c r="B400" s="28"/>
      <c r="C400" s="28"/>
      <c r="D400" s="28"/>
      <c r="E400" s="28"/>
    </row>
    <row r="401">
      <c r="A401" s="28"/>
      <c r="B401" s="28"/>
      <c r="C401" s="28"/>
      <c r="D401" s="28"/>
      <c r="E401" s="28"/>
    </row>
    <row r="402">
      <c r="A402" s="28"/>
      <c r="B402" s="28"/>
      <c r="C402" s="28"/>
      <c r="D402" s="28"/>
      <c r="E402" s="28"/>
    </row>
    <row r="403">
      <c r="A403" s="28"/>
      <c r="B403" s="28"/>
      <c r="C403" s="28"/>
      <c r="D403" s="28"/>
      <c r="E403" s="28"/>
    </row>
    <row r="404">
      <c r="A404" s="28"/>
      <c r="B404" s="28"/>
      <c r="C404" s="28"/>
      <c r="D404" s="28"/>
      <c r="E404" s="28"/>
    </row>
    <row r="405">
      <c r="A405" s="28"/>
      <c r="B405" s="28"/>
      <c r="C405" s="28"/>
      <c r="D405" s="28"/>
      <c r="E405" s="28"/>
    </row>
    <row r="406">
      <c r="A406" s="28"/>
      <c r="B406" s="28"/>
      <c r="C406" s="28"/>
      <c r="D406" s="28"/>
      <c r="E406" s="28"/>
    </row>
    <row r="407">
      <c r="A407" s="28"/>
      <c r="B407" s="28"/>
      <c r="C407" s="28"/>
      <c r="D407" s="28"/>
      <c r="E407" s="28"/>
    </row>
    <row r="408">
      <c r="A408" s="28"/>
      <c r="B408" s="28"/>
      <c r="C408" s="28"/>
      <c r="D408" s="28"/>
      <c r="E408" s="28"/>
    </row>
    <row r="409">
      <c r="A409" s="28"/>
      <c r="B409" s="28"/>
      <c r="C409" s="28"/>
      <c r="D409" s="28"/>
      <c r="E409" s="28"/>
    </row>
    <row r="410">
      <c r="A410" s="28"/>
      <c r="B410" s="28"/>
      <c r="C410" s="28"/>
      <c r="D410" s="28"/>
      <c r="E410" s="28"/>
    </row>
    <row r="411">
      <c r="A411" s="28"/>
      <c r="B411" s="28"/>
      <c r="C411" s="28"/>
      <c r="D411" s="28"/>
      <c r="E411" s="28"/>
    </row>
    <row r="412">
      <c r="A412" s="28"/>
      <c r="B412" s="28"/>
      <c r="C412" s="28"/>
      <c r="D412" s="28"/>
      <c r="E412" s="28"/>
    </row>
    <row r="413">
      <c r="A413" s="28"/>
      <c r="B413" s="28"/>
      <c r="C413" s="28"/>
      <c r="D413" s="28"/>
      <c r="E413" s="28"/>
    </row>
    <row r="414">
      <c r="A414" s="28"/>
      <c r="B414" s="28"/>
      <c r="C414" s="28"/>
      <c r="D414" s="28"/>
      <c r="E414" s="28"/>
    </row>
    <row r="415">
      <c r="A415" s="28"/>
      <c r="B415" s="28"/>
      <c r="C415" s="28"/>
      <c r="D415" s="28"/>
      <c r="E415" s="28"/>
    </row>
    <row r="416">
      <c r="A416" s="28"/>
      <c r="B416" s="28"/>
      <c r="C416" s="28"/>
      <c r="D416" s="28"/>
      <c r="E416" s="28"/>
    </row>
    <row r="417">
      <c r="A417" s="28"/>
      <c r="B417" s="28"/>
      <c r="C417" s="28"/>
      <c r="D417" s="28"/>
      <c r="E417" s="28"/>
    </row>
    <row r="418">
      <c r="A418" s="28"/>
      <c r="B418" s="28"/>
      <c r="C418" s="28"/>
      <c r="D418" s="28"/>
      <c r="E418" s="28"/>
    </row>
    <row r="419">
      <c r="A419" s="28"/>
      <c r="B419" s="28"/>
      <c r="C419" s="28"/>
      <c r="D419" s="28"/>
      <c r="E419" s="28"/>
    </row>
    <row r="420">
      <c r="A420" s="28"/>
      <c r="B420" s="28"/>
      <c r="C420" s="28"/>
      <c r="D420" s="28"/>
      <c r="E420" s="28"/>
    </row>
    <row r="421">
      <c r="A421" s="28"/>
      <c r="B421" s="28"/>
      <c r="C421" s="28"/>
      <c r="D421" s="28"/>
      <c r="E421" s="28"/>
    </row>
    <row r="422">
      <c r="A422" s="28"/>
      <c r="B422" s="28"/>
      <c r="C422" s="28"/>
      <c r="D422" s="28"/>
      <c r="E422" s="28"/>
    </row>
    <row r="423">
      <c r="A423" s="28"/>
      <c r="B423" s="28"/>
      <c r="C423" s="28"/>
      <c r="D423" s="28"/>
      <c r="E423" s="28"/>
    </row>
    <row r="424">
      <c r="A424" s="28"/>
      <c r="B424" s="28"/>
      <c r="C424" s="28"/>
      <c r="D424" s="28"/>
      <c r="E424" s="28"/>
    </row>
    <row r="425">
      <c r="A425" s="28"/>
      <c r="B425" s="28"/>
      <c r="C425" s="28"/>
      <c r="D425" s="28"/>
      <c r="E425" s="28"/>
    </row>
    <row r="426">
      <c r="A426" s="28"/>
      <c r="B426" s="28"/>
      <c r="C426" s="28"/>
      <c r="D426" s="28"/>
      <c r="E426" s="28"/>
    </row>
    <row r="427">
      <c r="A427" s="28"/>
      <c r="B427" s="28"/>
      <c r="C427" s="28"/>
      <c r="D427" s="28"/>
      <c r="E427" s="28"/>
    </row>
    <row r="428">
      <c r="A428" s="28"/>
      <c r="B428" s="28"/>
      <c r="C428" s="28"/>
      <c r="D428" s="28"/>
      <c r="E428" s="28"/>
    </row>
    <row r="429">
      <c r="A429" s="28"/>
      <c r="B429" s="28"/>
      <c r="C429" s="28"/>
      <c r="D429" s="28"/>
      <c r="E429" s="28"/>
    </row>
    <row r="430">
      <c r="A430" s="28"/>
      <c r="B430" s="28"/>
      <c r="C430" s="28"/>
      <c r="D430" s="28"/>
      <c r="E430" s="28"/>
    </row>
    <row r="431">
      <c r="A431" s="28"/>
      <c r="B431" s="28"/>
      <c r="C431" s="28"/>
      <c r="D431" s="28"/>
      <c r="E431" s="28"/>
    </row>
    <row r="432">
      <c r="A432" s="28"/>
      <c r="B432" s="28"/>
      <c r="C432" s="28"/>
      <c r="D432" s="28"/>
      <c r="E432" s="28"/>
    </row>
    <row r="433">
      <c r="A433" s="28"/>
      <c r="B433" s="28"/>
      <c r="C433" s="28"/>
      <c r="D433" s="28"/>
      <c r="E433" s="28"/>
    </row>
    <row r="434">
      <c r="A434" s="28"/>
      <c r="B434" s="28"/>
      <c r="C434" s="28"/>
      <c r="D434" s="28"/>
      <c r="E434" s="28"/>
    </row>
    <row r="435">
      <c r="A435" s="28"/>
      <c r="B435" s="28"/>
      <c r="C435" s="28"/>
      <c r="D435" s="28"/>
      <c r="E435" s="28"/>
    </row>
    <row r="436">
      <c r="A436" s="28"/>
      <c r="B436" s="28"/>
      <c r="C436" s="28"/>
      <c r="D436" s="28"/>
      <c r="E436" s="28"/>
    </row>
    <row r="437">
      <c r="A437" s="28"/>
      <c r="B437" s="28"/>
      <c r="C437" s="28"/>
      <c r="D437" s="28"/>
      <c r="E437" s="28"/>
    </row>
    <row r="438">
      <c r="A438" s="28"/>
      <c r="B438" s="28"/>
      <c r="C438" s="28"/>
      <c r="D438" s="28"/>
      <c r="E438" s="28"/>
    </row>
    <row r="439">
      <c r="A439" s="28"/>
      <c r="B439" s="28"/>
      <c r="C439" s="28"/>
      <c r="D439" s="28"/>
      <c r="E439" s="28"/>
    </row>
    <row r="440">
      <c r="A440" s="28"/>
      <c r="B440" s="28"/>
      <c r="C440" s="28"/>
      <c r="D440" s="28"/>
      <c r="E440" s="28"/>
    </row>
    <row r="441">
      <c r="A441" s="28"/>
      <c r="B441" s="28"/>
      <c r="C441" s="28"/>
      <c r="D441" s="28"/>
      <c r="E441" s="28"/>
    </row>
    <row r="442">
      <c r="A442" s="28"/>
      <c r="B442" s="28"/>
      <c r="C442" s="28"/>
      <c r="D442" s="28"/>
      <c r="E442" s="28"/>
    </row>
    <row r="443">
      <c r="A443" s="28"/>
      <c r="B443" s="28"/>
      <c r="C443" s="28"/>
      <c r="D443" s="28"/>
      <c r="E443" s="28"/>
    </row>
    <row r="444">
      <c r="A444" s="28"/>
      <c r="B444" s="28"/>
      <c r="C444" s="28"/>
      <c r="D444" s="28"/>
      <c r="E444" s="28"/>
    </row>
    <row r="445">
      <c r="A445" s="28"/>
      <c r="B445" s="28"/>
      <c r="C445" s="28"/>
      <c r="D445" s="28"/>
      <c r="E445" s="28"/>
    </row>
    <row r="446">
      <c r="A446" s="28"/>
      <c r="B446" s="28"/>
      <c r="C446" s="28"/>
      <c r="D446" s="28"/>
      <c r="E446" s="28"/>
    </row>
    <row r="447">
      <c r="A447" s="28"/>
      <c r="B447" s="28"/>
      <c r="C447" s="28"/>
      <c r="D447" s="28"/>
      <c r="E447" s="28"/>
    </row>
    <row r="448">
      <c r="A448" s="28"/>
      <c r="B448" s="28"/>
      <c r="C448" s="28"/>
      <c r="D448" s="28"/>
      <c r="E448" s="28"/>
    </row>
    <row r="449">
      <c r="A449" s="28"/>
      <c r="B449" s="28"/>
      <c r="C449" s="28"/>
      <c r="D449" s="28"/>
      <c r="E449" s="28"/>
    </row>
    <row r="450">
      <c r="A450" s="28"/>
      <c r="B450" s="28"/>
      <c r="C450" s="28"/>
      <c r="D450" s="28"/>
      <c r="E450" s="28"/>
    </row>
    <row r="451">
      <c r="A451" s="28"/>
      <c r="B451" s="28"/>
      <c r="C451" s="28"/>
      <c r="D451" s="28"/>
      <c r="E451" s="28"/>
    </row>
    <row r="452">
      <c r="A452" s="28"/>
      <c r="B452" s="28"/>
      <c r="C452" s="28"/>
      <c r="D452" s="28"/>
      <c r="E452" s="28"/>
    </row>
    <row r="453">
      <c r="A453" s="28"/>
      <c r="B453" s="28"/>
      <c r="C453" s="28"/>
      <c r="D453" s="28"/>
      <c r="E453" s="28"/>
    </row>
    <row r="454">
      <c r="A454" s="28"/>
      <c r="B454" s="28"/>
      <c r="C454" s="28"/>
      <c r="D454" s="28"/>
      <c r="E454" s="28"/>
    </row>
    <row r="455">
      <c r="A455" s="28"/>
      <c r="B455" s="28"/>
      <c r="C455" s="28"/>
      <c r="D455" s="28"/>
      <c r="E455" s="28"/>
    </row>
    <row r="456">
      <c r="A456" s="28"/>
      <c r="B456" s="28"/>
      <c r="C456" s="28"/>
      <c r="D456" s="28"/>
      <c r="E456" s="28"/>
    </row>
    <row r="457">
      <c r="A457" s="28"/>
      <c r="B457" s="28"/>
      <c r="C457" s="28"/>
      <c r="D457" s="28"/>
      <c r="E457" s="28"/>
    </row>
    <row r="458">
      <c r="A458" s="28"/>
      <c r="B458" s="28"/>
      <c r="C458" s="28"/>
      <c r="D458" s="28"/>
      <c r="E458" s="28"/>
    </row>
    <row r="459">
      <c r="A459" s="28"/>
      <c r="B459" s="28"/>
      <c r="C459" s="28"/>
      <c r="D459" s="28"/>
      <c r="E459" s="28"/>
    </row>
    <row r="460">
      <c r="A460" s="28"/>
      <c r="B460" s="28"/>
      <c r="C460" s="28"/>
      <c r="D460" s="28"/>
      <c r="E460" s="28"/>
    </row>
    <row r="461">
      <c r="A461" s="28"/>
      <c r="B461" s="28"/>
      <c r="C461" s="28"/>
      <c r="D461" s="28"/>
      <c r="E461" s="28"/>
    </row>
    <row r="462">
      <c r="A462" s="28"/>
      <c r="B462" s="28"/>
      <c r="C462" s="28"/>
      <c r="D462" s="28"/>
      <c r="E462" s="28"/>
    </row>
    <row r="463">
      <c r="A463" s="28"/>
      <c r="B463" s="28"/>
      <c r="C463" s="28"/>
      <c r="D463" s="28"/>
      <c r="E463" s="28"/>
    </row>
    <row r="464">
      <c r="A464" s="28"/>
      <c r="B464" s="28"/>
      <c r="C464" s="28"/>
      <c r="D464" s="28"/>
      <c r="E464" s="28"/>
    </row>
    <row r="465">
      <c r="A465" s="28"/>
      <c r="B465" s="28"/>
      <c r="C465" s="28"/>
      <c r="D465" s="28"/>
      <c r="E465" s="28"/>
    </row>
    <row r="466">
      <c r="A466" s="28"/>
      <c r="B466" s="28"/>
      <c r="C466" s="28"/>
      <c r="D466" s="28"/>
      <c r="E466" s="28"/>
    </row>
    <row r="467">
      <c r="A467" s="28"/>
      <c r="B467" s="28"/>
      <c r="C467" s="28"/>
      <c r="D467" s="28"/>
      <c r="E467" s="28"/>
    </row>
    <row r="468">
      <c r="A468" s="28"/>
      <c r="B468" s="28"/>
      <c r="C468" s="28"/>
      <c r="D468" s="28"/>
      <c r="E468" s="28"/>
    </row>
    <row r="469">
      <c r="A469" s="28"/>
      <c r="B469" s="28"/>
      <c r="C469" s="28"/>
      <c r="D469" s="28"/>
      <c r="E469" s="28"/>
    </row>
    <row r="470">
      <c r="A470" s="28"/>
      <c r="B470" s="28"/>
      <c r="C470" s="28"/>
      <c r="D470" s="28"/>
      <c r="E470" s="28"/>
    </row>
    <row r="471">
      <c r="A471" s="28"/>
      <c r="B471" s="28"/>
      <c r="C471" s="28"/>
      <c r="D471" s="28"/>
      <c r="E471" s="28"/>
    </row>
    <row r="472">
      <c r="A472" s="28"/>
      <c r="B472" s="28"/>
      <c r="C472" s="28"/>
      <c r="D472" s="28"/>
      <c r="E472" s="28"/>
    </row>
    <row r="473">
      <c r="A473" s="28"/>
      <c r="B473" s="28"/>
      <c r="C473" s="28"/>
      <c r="D473" s="28"/>
      <c r="E473" s="28"/>
    </row>
    <row r="474">
      <c r="A474" s="28"/>
      <c r="B474" s="28"/>
      <c r="C474" s="28"/>
      <c r="D474" s="28"/>
      <c r="E474" s="28"/>
    </row>
    <row r="475">
      <c r="A475" s="28"/>
      <c r="B475" s="28"/>
      <c r="C475" s="28"/>
      <c r="D475" s="28"/>
      <c r="E475" s="28"/>
    </row>
    <row r="476">
      <c r="A476" s="28"/>
      <c r="B476" s="28"/>
      <c r="C476" s="28"/>
      <c r="D476" s="28"/>
      <c r="E476" s="28"/>
    </row>
    <row r="477">
      <c r="A477" s="28"/>
      <c r="B477" s="28"/>
      <c r="C477" s="28"/>
      <c r="D477" s="28"/>
      <c r="E477" s="28"/>
    </row>
    <row r="478">
      <c r="A478" s="28"/>
      <c r="B478" s="28"/>
      <c r="C478" s="28"/>
      <c r="D478" s="28"/>
      <c r="E478" s="28"/>
    </row>
    <row r="479">
      <c r="A479" s="28"/>
      <c r="B479" s="28"/>
      <c r="C479" s="28"/>
      <c r="D479" s="28"/>
      <c r="E479" s="28"/>
    </row>
    <row r="480">
      <c r="A480" s="28"/>
      <c r="B480" s="28"/>
      <c r="C480" s="28"/>
      <c r="D480" s="28"/>
      <c r="E480" s="28"/>
    </row>
    <row r="481">
      <c r="A481" s="28"/>
      <c r="B481" s="28"/>
      <c r="C481" s="28"/>
      <c r="D481" s="28"/>
      <c r="E481" s="28"/>
    </row>
    <row r="482">
      <c r="A482" s="28"/>
      <c r="B482" s="28"/>
      <c r="C482" s="28"/>
      <c r="D482" s="28"/>
      <c r="E482" s="28"/>
    </row>
    <row r="483">
      <c r="A483" s="28"/>
      <c r="B483" s="28"/>
      <c r="C483" s="28"/>
      <c r="D483" s="28"/>
      <c r="E483" s="28"/>
    </row>
    <row r="484">
      <c r="A484" s="28"/>
      <c r="B484" s="28"/>
      <c r="C484" s="28"/>
      <c r="D484" s="28"/>
      <c r="E484" s="28"/>
    </row>
    <row r="485">
      <c r="A485" s="28"/>
      <c r="B485" s="28"/>
      <c r="C485" s="28"/>
      <c r="D485" s="28"/>
      <c r="E485" s="28"/>
    </row>
    <row r="486">
      <c r="A486" s="28"/>
      <c r="B486" s="28"/>
      <c r="C486" s="28"/>
      <c r="D486" s="28"/>
      <c r="E486" s="28"/>
    </row>
    <row r="487">
      <c r="A487" s="28"/>
      <c r="B487" s="28"/>
      <c r="C487" s="28"/>
      <c r="D487" s="28"/>
      <c r="E487" s="28"/>
    </row>
    <row r="488">
      <c r="A488" s="28"/>
      <c r="B488" s="28"/>
      <c r="C488" s="28"/>
      <c r="D488" s="28"/>
      <c r="E488" s="28"/>
    </row>
    <row r="489">
      <c r="A489" s="28"/>
      <c r="B489" s="28"/>
      <c r="C489" s="28"/>
      <c r="D489" s="28"/>
      <c r="E489" s="28"/>
    </row>
    <row r="490">
      <c r="A490" s="28"/>
      <c r="B490" s="28"/>
      <c r="C490" s="28"/>
      <c r="D490" s="28"/>
      <c r="E490" s="28"/>
    </row>
    <row r="491">
      <c r="A491" s="28"/>
      <c r="B491" s="28"/>
      <c r="C491" s="28"/>
      <c r="D491" s="28"/>
      <c r="E491" s="28"/>
    </row>
    <row r="492">
      <c r="A492" s="28"/>
      <c r="B492" s="28"/>
      <c r="C492" s="28"/>
      <c r="D492" s="28"/>
      <c r="E492" s="28"/>
    </row>
    <row r="493">
      <c r="A493" s="28"/>
      <c r="B493" s="28"/>
      <c r="C493" s="28"/>
      <c r="D493" s="28"/>
      <c r="E493" s="28"/>
    </row>
    <row r="494">
      <c r="A494" s="28"/>
      <c r="B494" s="28"/>
      <c r="C494" s="28"/>
      <c r="D494" s="28"/>
      <c r="E494" s="28"/>
    </row>
    <row r="495">
      <c r="A495" s="28"/>
      <c r="B495" s="28"/>
      <c r="C495" s="28"/>
      <c r="D495" s="28"/>
      <c r="E495" s="28"/>
    </row>
    <row r="496">
      <c r="A496" s="28"/>
      <c r="B496" s="28"/>
      <c r="C496" s="28"/>
      <c r="D496" s="28"/>
      <c r="E496" s="28"/>
    </row>
    <row r="497">
      <c r="A497" s="28"/>
      <c r="B497" s="28"/>
      <c r="C497" s="28"/>
      <c r="D497" s="28"/>
      <c r="E497" s="28"/>
    </row>
    <row r="498">
      <c r="A498" s="28"/>
      <c r="B498" s="28"/>
      <c r="C498" s="28"/>
      <c r="D498" s="28"/>
      <c r="E498" s="28"/>
    </row>
    <row r="499">
      <c r="A499" s="28"/>
      <c r="B499" s="28"/>
      <c r="C499" s="28"/>
      <c r="D499" s="28"/>
      <c r="E499" s="28"/>
    </row>
    <row r="500">
      <c r="A500" s="28"/>
      <c r="B500" s="28"/>
      <c r="C500" s="28"/>
      <c r="D500" s="28"/>
      <c r="E500" s="28"/>
    </row>
    <row r="501">
      <c r="A501" s="28"/>
      <c r="B501" s="28"/>
      <c r="C501" s="28"/>
      <c r="D501" s="28"/>
      <c r="E501" s="28"/>
    </row>
    <row r="502">
      <c r="A502" s="28"/>
      <c r="B502" s="28"/>
      <c r="C502" s="28"/>
      <c r="D502" s="28"/>
      <c r="E502" s="28"/>
    </row>
    <row r="503">
      <c r="A503" s="28"/>
      <c r="B503" s="28"/>
      <c r="C503" s="28"/>
      <c r="D503" s="28"/>
      <c r="E503" s="28"/>
    </row>
    <row r="504">
      <c r="A504" s="28"/>
      <c r="B504" s="28"/>
      <c r="C504" s="28"/>
      <c r="D504" s="28"/>
      <c r="E504" s="28"/>
    </row>
    <row r="505">
      <c r="A505" s="28"/>
      <c r="B505" s="28"/>
      <c r="C505" s="28"/>
      <c r="D505" s="28"/>
      <c r="E505" s="28"/>
    </row>
    <row r="506">
      <c r="A506" s="28"/>
      <c r="B506" s="28"/>
      <c r="C506" s="28"/>
      <c r="D506" s="28"/>
      <c r="E506" s="28"/>
    </row>
    <row r="507">
      <c r="A507" s="28"/>
      <c r="B507" s="28"/>
      <c r="C507" s="28"/>
      <c r="D507" s="28"/>
      <c r="E507" s="28"/>
    </row>
    <row r="508">
      <c r="A508" s="28"/>
      <c r="B508" s="28"/>
      <c r="C508" s="28"/>
      <c r="D508" s="28"/>
      <c r="E508" s="28"/>
    </row>
    <row r="509">
      <c r="A509" s="28"/>
      <c r="B509" s="28"/>
      <c r="C509" s="28"/>
      <c r="D509" s="28"/>
      <c r="E509" s="28"/>
    </row>
    <row r="510">
      <c r="A510" s="28"/>
      <c r="B510" s="28"/>
      <c r="C510" s="28"/>
      <c r="D510" s="28"/>
      <c r="E510" s="28"/>
    </row>
    <row r="511">
      <c r="A511" s="28"/>
      <c r="B511" s="28"/>
      <c r="C511" s="28"/>
      <c r="D511" s="28"/>
      <c r="E511" s="28"/>
    </row>
    <row r="512">
      <c r="A512" s="28"/>
      <c r="B512" s="28"/>
      <c r="C512" s="28"/>
      <c r="D512" s="28"/>
      <c r="E512" s="28"/>
    </row>
    <row r="513">
      <c r="A513" s="28"/>
      <c r="B513" s="28"/>
      <c r="C513" s="28"/>
      <c r="D513" s="28"/>
      <c r="E513" s="28"/>
    </row>
    <row r="514">
      <c r="A514" s="28"/>
      <c r="B514" s="28"/>
      <c r="C514" s="28"/>
      <c r="D514" s="28"/>
      <c r="E514" s="28"/>
    </row>
    <row r="515">
      <c r="A515" s="28"/>
      <c r="B515" s="28"/>
      <c r="C515" s="28"/>
      <c r="D515" s="28"/>
      <c r="E515" s="28"/>
    </row>
    <row r="516">
      <c r="A516" s="28"/>
      <c r="B516" s="28"/>
      <c r="C516" s="28"/>
      <c r="D516" s="28"/>
      <c r="E516" s="28"/>
    </row>
    <row r="517">
      <c r="A517" s="28"/>
      <c r="B517" s="28"/>
      <c r="C517" s="28"/>
      <c r="D517" s="28"/>
      <c r="E517" s="28"/>
    </row>
    <row r="518">
      <c r="A518" s="28"/>
      <c r="B518" s="28"/>
      <c r="C518" s="28"/>
      <c r="D518" s="28"/>
      <c r="E518" s="28"/>
    </row>
    <row r="519">
      <c r="A519" s="28"/>
      <c r="B519" s="28"/>
      <c r="C519" s="28"/>
      <c r="D519" s="28"/>
      <c r="E519" s="28"/>
    </row>
    <row r="520">
      <c r="A520" s="28"/>
      <c r="B520" s="28"/>
      <c r="C520" s="28"/>
      <c r="D520" s="28"/>
      <c r="E520" s="28"/>
    </row>
    <row r="521">
      <c r="A521" s="28"/>
      <c r="B521" s="28"/>
      <c r="C521" s="28"/>
      <c r="D521" s="28"/>
      <c r="E521" s="28"/>
    </row>
    <row r="522">
      <c r="A522" s="28"/>
      <c r="B522" s="28"/>
      <c r="C522" s="28"/>
      <c r="D522" s="28"/>
      <c r="E522" s="28"/>
    </row>
    <row r="523">
      <c r="A523" s="28"/>
      <c r="B523" s="28"/>
      <c r="C523" s="28"/>
      <c r="D523" s="28"/>
      <c r="E523" s="28"/>
    </row>
    <row r="524">
      <c r="A524" s="28"/>
      <c r="B524" s="28"/>
      <c r="C524" s="28"/>
      <c r="D524" s="28"/>
      <c r="E524" s="28"/>
    </row>
    <row r="525">
      <c r="A525" s="28"/>
      <c r="B525" s="28"/>
      <c r="C525" s="28"/>
      <c r="D525" s="28"/>
      <c r="E525" s="28"/>
    </row>
    <row r="526">
      <c r="A526" s="28"/>
      <c r="B526" s="28"/>
      <c r="C526" s="28"/>
      <c r="D526" s="28"/>
      <c r="E526" s="28"/>
    </row>
    <row r="527">
      <c r="A527" s="28"/>
      <c r="B527" s="28"/>
      <c r="C527" s="28"/>
      <c r="D527" s="28"/>
      <c r="E527" s="28"/>
    </row>
    <row r="528">
      <c r="A528" s="28"/>
      <c r="B528" s="28"/>
      <c r="C528" s="28"/>
      <c r="D528" s="28"/>
      <c r="E528" s="28"/>
    </row>
    <row r="529">
      <c r="A529" s="28"/>
      <c r="B529" s="28"/>
      <c r="C529" s="28"/>
      <c r="D529" s="28"/>
      <c r="E529" s="28"/>
    </row>
    <row r="530">
      <c r="A530" s="28"/>
      <c r="B530" s="28"/>
      <c r="C530" s="28"/>
      <c r="D530" s="28"/>
      <c r="E530" s="28"/>
    </row>
    <row r="531">
      <c r="A531" s="28"/>
      <c r="B531" s="28"/>
      <c r="C531" s="28"/>
      <c r="D531" s="28"/>
      <c r="E531" s="28"/>
    </row>
    <row r="532">
      <c r="A532" s="28"/>
      <c r="B532" s="28"/>
      <c r="C532" s="28"/>
      <c r="D532" s="28"/>
      <c r="E532" s="28"/>
    </row>
    <row r="533">
      <c r="A533" s="28"/>
      <c r="B533" s="28"/>
      <c r="C533" s="28"/>
      <c r="D533" s="28"/>
      <c r="E533" s="28"/>
    </row>
    <row r="534">
      <c r="A534" s="28"/>
      <c r="B534" s="28"/>
      <c r="C534" s="28"/>
      <c r="D534" s="28"/>
      <c r="E534" s="28"/>
    </row>
    <row r="535">
      <c r="A535" s="28"/>
      <c r="B535" s="28"/>
      <c r="C535" s="28"/>
      <c r="D535" s="28"/>
      <c r="E535" s="28"/>
    </row>
    <row r="536">
      <c r="A536" s="28"/>
      <c r="B536" s="28"/>
      <c r="C536" s="28"/>
      <c r="D536" s="28"/>
      <c r="E536" s="28"/>
    </row>
    <row r="537">
      <c r="A537" s="28"/>
      <c r="B537" s="28"/>
      <c r="C537" s="28"/>
      <c r="D537" s="28"/>
      <c r="E537" s="28"/>
    </row>
    <row r="538">
      <c r="A538" s="28"/>
      <c r="B538" s="28"/>
      <c r="C538" s="28"/>
      <c r="D538" s="28"/>
      <c r="E538" s="28"/>
    </row>
    <row r="539">
      <c r="A539" s="28"/>
      <c r="B539" s="28"/>
      <c r="C539" s="28"/>
      <c r="D539" s="28"/>
      <c r="E539" s="28"/>
    </row>
    <row r="540">
      <c r="A540" s="28"/>
      <c r="B540" s="28"/>
      <c r="C540" s="28"/>
      <c r="D540" s="28"/>
      <c r="E540" s="28"/>
    </row>
    <row r="541">
      <c r="A541" s="28"/>
      <c r="B541" s="28"/>
      <c r="C541" s="28"/>
      <c r="D541" s="28"/>
      <c r="E541" s="28"/>
    </row>
    <row r="542">
      <c r="A542" s="28"/>
      <c r="B542" s="28"/>
      <c r="C542" s="28"/>
      <c r="D542" s="28"/>
      <c r="E542" s="28"/>
    </row>
    <row r="543">
      <c r="A543" s="28"/>
      <c r="B543" s="28"/>
      <c r="C543" s="28"/>
      <c r="D543" s="28"/>
      <c r="E543" s="28"/>
    </row>
    <row r="544">
      <c r="A544" s="28"/>
      <c r="B544" s="28"/>
      <c r="C544" s="28"/>
      <c r="D544" s="28"/>
      <c r="E544" s="28"/>
    </row>
    <row r="545">
      <c r="A545" s="28"/>
      <c r="B545" s="28"/>
      <c r="C545" s="28"/>
      <c r="D545" s="28"/>
      <c r="E545" s="28"/>
    </row>
    <row r="546">
      <c r="A546" s="28"/>
      <c r="B546" s="28"/>
      <c r="C546" s="28"/>
      <c r="D546" s="28"/>
      <c r="E546" s="28"/>
    </row>
    <row r="547">
      <c r="A547" s="28"/>
      <c r="B547" s="28"/>
      <c r="C547" s="28"/>
      <c r="D547" s="28"/>
      <c r="E547" s="28"/>
    </row>
    <row r="548">
      <c r="A548" s="28"/>
      <c r="B548" s="28"/>
      <c r="C548" s="28"/>
      <c r="D548" s="28"/>
      <c r="E548" s="28"/>
    </row>
    <row r="549">
      <c r="A549" s="28"/>
      <c r="B549" s="28"/>
      <c r="C549" s="28"/>
      <c r="D549" s="28"/>
      <c r="E549" s="28"/>
    </row>
    <row r="550">
      <c r="A550" s="28"/>
      <c r="B550" s="28"/>
      <c r="C550" s="28"/>
      <c r="D550" s="28"/>
      <c r="E550" s="28"/>
    </row>
    <row r="551">
      <c r="A551" s="28"/>
      <c r="B551" s="28"/>
      <c r="C551" s="28"/>
      <c r="D551" s="28"/>
      <c r="E551" s="28"/>
    </row>
    <row r="552">
      <c r="A552" s="28"/>
      <c r="B552" s="28"/>
      <c r="C552" s="28"/>
      <c r="D552" s="28"/>
      <c r="E552" s="28"/>
    </row>
    <row r="553">
      <c r="A553" s="28"/>
      <c r="B553" s="28"/>
      <c r="C553" s="28"/>
      <c r="D553" s="28"/>
      <c r="E553" s="28"/>
    </row>
    <row r="554">
      <c r="A554" s="28"/>
      <c r="B554" s="28"/>
      <c r="C554" s="28"/>
      <c r="D554" s="28"/>
      <c r="E554" s="28"/>
    </row>
    <row r="555">
      <c r="A555" s="28"/>
      <c r="B555" s="28"/>
      <c r="C555" s="28"/>
      <c r="D555" s="28"/>
      <c r="E555" s="28"/>
    </row>
    <row r="556">
      <c r="A556" s="28"/>
      <c r="B556" s="28"/>
      <c r="C556" s="28"/>
      <c r="D556" s="28"/>
      <c r="E556" s="28"/>
    </row>
    <row r="557">
      <c r="A557" s="28"/>
      <c r="B557" s="28"/>
      <c r="C557" s="28"/>
      <c r="D557" s="28"/>
      <c r="E557" s="28"/>
    </row>
    <row r="558">
      <c r="A558" s="28"/>
      <c r="B558" s="28"/>
      <c r="C558" s="28"/>
      <c r="D558" s="28"/>
      <c r="E558" s="28"/>
    </row>
    <row r="559">
      <c r="A559" s="28"/>
      <c r="B559" s="28"/>
      <c r="C559" s="28"/>
      <c r="D559" s="28"/>
      <c r="E559" s="28"/>
    </row>
    <row r="560">
      <c r="A560" s="28"/>
      <c r="B560" s="28"/>
      <c r="C560" s="28"/>
      <c r="D560" s="28"/>
      <c r="E560" s="28"/>
    </row>
    <row r="561">
      <c r="A561" s="28"/>
      <c r="B561" s="28"/>
      <c r="C561" s="28"/>
      <c r="D561" s="28"/>
      <c r="E561" s="28"/>
    </row>
    <row r="562">
      <c r="A562" s="28"/>
      <c r="B562" s="28"/>
      <c r="C562" s="28"/>
      <c r="D562" s="28"/>
      <c r="E562" s="28"/>
    </row>
    <row r="563">
      <c r="A563" s="28"/>
      <c r="B563" s="28"/>
      <c r="C563" s="28"/>
      <c r="D563" s="28"/>
      <c r="E563" s="28"/>
    </row>
    <row r="564">
      <c r="A564" s="28"/>
      <c r="B564" s="28"/>
      <c r="C564" s="28"/>
      <c r="D564" s="28"/>
      <c r="E564" s="28"/>
    </row>
    <row r="565">
      <c r="A565" s="28"/>
      <c r="B565" s="28"/>
      <c r="C565" s="28"/>
      <c r="D565" s="28"/>
      <c r="E565" s="28"/>
    </row>
    <row r="566">
      <c r="A566" s="28"/>
      <c r="B566" s="28"/>
      <c r="C566" s="28"/>
      <c r="D566" s="28"/>
      <c r="E566" s="28"/>
    </row>
    <row r="567">
      <c r="A567" s="28"/>
      <c r="B567" s="28"/>
      <c r="C567" s="28"/>
      <c r="D567" s="28"/>
      <c r="E567" s="28"/>
    </row>
    <row r="568">
      <c r="A568" s="28"/>
      <c r="B568" s="28"/>
      <c r="C568" s="28"/>
      <c r="D568" s="28"/>
      <c r="E568" s="28"/>
    </row>
    <row r="569">
      <c r="A569" s="28"/>
      <c r="B569" s="28"/>
      <c r="C569" s="28"/>
      <c r="D569" s="28"/>
      <c r="E569" s="28"/>
    </row>
    <row r="570">
      <c r="A570" s="28"/>
      <c r="B570" s="28"/>
      <c r="C570" s="28"/>
      <c r="D570" s="28"/>
      <c r="E570" s="28"/>
    </row>
    <row r="571">
      <c r="A571" s="28"/>
      <c r="B571" s="28"/>
      <c r="C571" s="28"/>
      <c r="D571" s="28"/>
      <c r="E571" s="28"/>
    </row>
    <row r="572">
      <c r="A572" s="28"/>
      <c r="B572" s="28"/>
      <c r="C572" s="28"/>
      <c r="D572" s="28"/>
      <c r="E572" s="28"/>
    </row>
    <row r="573">
      <c r="A573" s="28"/>
      <c r="B573" s="28"/>
      <c r="C573" s="28"/>
      <c r="D573" s="28"/>
      <c r="E573" s="28"/>
    </row>
    <row r="574">
      <c r="A574" s="28"/>
      <c r="B574" s="28"/>
      <c r="C574" s="28"/>
      <c r="D574" s="28"/>
      <c r="E574" s="28"/>
    </row>
    <row r="575">
      <c r="A575" s="28"/>
      <c r="B575" s="28"/>
      <c r="C575" s="28"/>
      <c r="D575" s="28"/>
      <c r="E575" s="28"/>
    </row>
    <row r="576">
      <c r="A576" s="28"/>
      <c r="B576" s="28"/>
      <c r="C576" s="28"/>
      <c r="D576" s="28"/>
      <c r="E576" s="28"/>
    </row>
    <row r="577">
      <c r="A577" s="28"/>
      <c r="B577" s="28"/>
      <c r="C577" s="28"/>
      <c r="D577" s="28"/>
      <c r="E577" s="28"/>
    </row>
    <row r="578">
      <c r="A578" s="28"/>
      <c r="B578" s="28"/>
      <c r="C578" s="28"/>
      <c r="D578" s="28"/>
      <c r="E578" s="28"/>
    </row>
    <row r="579">
      <c r="A579" s="28"/>
      <c r="B579" s="28"/>
      <c r="C579" s="28"/>
      <c r="D579" s="28"/>
      <c r="E579" s="28"/>
    </row>
    <row r="580">
      <c r="A580" s="28"/>
      <c r="B580" s="28"/>
      <c r="C580" s="28"/>
      <c r="D580" s="28"/>
      <c r="E580" s="28"/>
    </row>
    <row r="581">
      <c r="A581" s="28"/>
      <c r="B581" s="28"/>
      <c r="C581" s="28"/>
      <c r="D581" s="28"/>
      <c r="E581" s="28"/>
    </row>
    <row r="582">
      <c r="A582" s="28"/>
      <c r="B582" s="28"/>
      <c r="C582" s="28"/>
      <c r="D582" s="28"/>
      <c r="E582" s="28"/>
    </row>
    <row r="583">
      <c r="A583" s="28"/>
      <c r="B583" s="28"/>
      <c r="C583" s="28"/>
      <c r="D583" s="28"/>
      <c r="E583" s="28"/>
    </row>
    <row r="584">
      <c r="A584" s="28"/>
      <c r="B584" s="28"/>
      <c r="C584" s="28"/>
      <c r="D584" s="28"/>
      <c r="E584" s="28"/>
    </row>
    <row r="585">
      <c r="A585" s="28"/>
      <c r="B585" s="28"/>
      <c r="C585" s="28"/>
      <c r="D585" s="28"/>
      <c r="E585" s="28"/>
    </row>
    <row r="586">
      <c r="A586" s="28"/>
      <c r="B586" s="28"/>
      <c r="C586" s="28"/>
      <c r="D586" s="28"/>
      <c r="E586" s="28"/>
    </row>
    <row r="587">
      <c r="A587" s="28"/>
      <c r="B587" s="28"/>
      <c r="C587" s="28"/>
      <c r="D587" s="28"/>
      <c r="E587" s="28"/>
    </row>
    <row r="588">
      <c r="A588" s="28"/>
      <c r="B588" s="28"/>
      <c r="C588" s="28"/>
      <c r="D588" s="28"/>
      <c r="E588" s="28"/>
    </row>
    <row r="589">
      <c r="A589" s="28"/>
      <c r="B589" s="28"/>
      <c r="C589" s="28"/>
      <c r="D589" s="28"/>
      <c r="E589" s="28"/>
    </row>
    <row r="590">
      <c r="A590" s="28"/>
      <c r="B590" s="28"/>
      <c r="C590" s="28"/>
      <c r="D590" s="28"/>
      <c r="E590" s="28"/>
    </row>
    <row r="591">
      <c r="A591" s="28"/>
      <c r="B591" s="28"/>
      <c r="C591" s="28"/>
      <c r="D591" s="28"/>
      <c r="E591" s="28"/>
    </row>
    <row r="592">
      <c r="A592" s="28"/>
      <c r="B592" s="28"/>
      <c r="C592" s="28"/>
      <c r="D592" s="28"/>
      <c r="E592" s="28"/>
    </row>
    <row r="593">
      <c r="A593" s="28"/>
      <c r="B593" s="28"/>
      <c r="C593" s="28"/>
      <c r="D593" s="28"/>
      <c r="E593" s="28"/>
    </row>
    <row r="594">
      <c r="A594" s="28"/>
      <c r="B594" s="28"/>
      <c r="C594" s="28"/>
      <c r="D594" s="28"/>
      <c r="E594" s="28"/>
    </row>
    <row r="595">
      <c r="A595" s="28"/>
      <c r="B595" s="28"/>
      <c r="C595" s="28"/>
      <c r="D595" s="28"/>
      <c r="E595" s="28"/>
    </row>
    <row r="596">
      <c r="A596" s="28"/>
      <c r="B596" s="28"/>
      <c r="C596" s="28"/>
      <c r="D596" s="28"/>
      <c r="E596" s="28"/>
    </row>
    <row r="597">
      <c r="A597" s="28"/>
      <c r="B597" s="28"/>
      <c r="C597" s="28"/>
      <c r="D597" s="28"/>
      <c r="E597" s="28"/>
    </row>
    <row r="598">
      <c r="A598" s="28"/>
      <c r="B598" s="28"/>
      <c r="C598" s="28"/>
      <c r="D598" s="28"/>
      <c r="E598" s="28"/>
    </row>
    <row r="599">
      <c r="A599" s="28"/>
      <c r="B599" s="28"/>
      <c r="C599" s="28"/>
      <c r="D599" s="28"/>
      <c r="E599" s="28"/>
    </row>
    <row r="600">
      <c r="A600" s="28"/>
      <c r="B600" s="28"/>
      <c r="C600" s="28"/>
      <c r="D600" s="28"/>
      <c r="E600" s="28"/>
    </row>
    <row r="601">
      <c r="A601" s="28"/>
      <c r="B601" s="28"/>
      <c r="C601" s="28"/>
      <c r="D601" s="28"/>
      <c r="E601" s="28"/>
    </row>
    <row r="602">
      <c r="A602" s="28"/>
      <c r="B602" s="28"/>
      <c r="C602" s="28"/>
      <c r="D602" s="28"/>
      <c r="E602" s="28"/>
    </row>
    <row r="603">
      <c r="A603" s="28"/>
      <c r="B603" s="28"/>
      <c r="C603" s="28"/>
      <c r="D603" s="28"/>
      <c r="E603" s="28"/>
    </row>
    <row r="604">
      <c r="A604" s="28"/>
      <c r="B604" s="28"/>
      <c r="C604" s="28"/>
      <c r="D604" s="28"/>
      <c r="E604" s="28"/>
    </row>
    <row r="605">
      <c r="A605" s="28"/>
      <c r="B605" s="28"/>
      <c r="C605" s="28"/>
      <c r="D605" s="28"/>
      <c r="E605" s="28"/>
    </row>
    <row r="606">
      <c r="A606" s="28"/>
      <c r="B606" s="28"/>
      <c r="C606" s="28"/>
      <c r="D606" s="28"/>
      <c r="E606" s="28"/>
    </row>
    <row r="607">
      <c r="A607" s="28"/>
      <c r="B607" s="28"/>
      <c r="C607" s="28"/>
      <c r="D607" s="28"/>
      <c r="E607" s="28"/>
    </row>
    <row r="608">
      <c r="A608" s="28"/>
      <c r="B608" s="28"/>
      <c r="C608" s="28"/>
      <c r="D608" s="28"/>
      <c r="E608" s="28"/>
    </row>
    <row r="609">
      <c r="A609" s="28"/>
      <c r="B609" s="28"/>
      <c r="C609" s="28"/>
      <c r="D609" s="28"/>
      <c r="E609" s="28"/>
    </row>
    <row r="610">
      <c r="A610" s="28"/>
      <c r="B610" s="28"/>
      <c r="C610" s="28"/>
      <c r="D610" s="28"/>
      <c r="E610" s="28"/>
    </row>
    <row r="611">
      <c r="A611" s="28"/>
      <c r="B611" s="28"/>
      <c r="C611" s="28"/>
      <c r="D611" s="28"/>
      <c r="E611" s="28"/>
    </row>
    <row r="612">
      <c r="A612" s="28"/>
      <c r="B612" s="28"/>
      <c r="C612" s="28"/>
      <c r="D612" s="28"/>
      <c r="E612" s="28"/>
    </row>
    <row r="613">
      <c r="A613" s="28"/>
      <c r="B613" s="28"/>
      <c r="C613" s="28"/>
      <c r="D613" s="28"/>
      <c r="E613" s="28"/>
    </row>
    <row r="614">
      <c r="A614" s="28"/>
      <c r="B614" s="28"/>
      <c r="C614" s="28"/>
      <c r="D614" s="28"/>
      <c r="E614" s="28"/>
    </row>
    <row r="615">
      <c r="A615" s="28"/>
      <c r="B615" s="28"/>
      <c r="C615" s="28"/>
      <c r="D615" s="28"/>
      <c r="E615" s="28"/>
    </row>
    <row r="616">
      <c r="A616" s="28"/>
      <c r="B616" s="28"/>
      <c r="C616" s="28"/>
      <c r="D616" s="28"/>
      <c r="E616" s="28"/>
    </row>
    <row r="617">
      <c r="A617" s="28"/>
      <c r="B617" s="28"/>
      <c r="C617" s="28"/>
      <c r="D617" s="28"/>
      <c r="E617" s="28"/>
    </row>
    <row r="618">
      <c r="A618" s="28"/>
      <c r="B618" s="28"/>
      <c r="C618" s="28"/>
      <c r="D618" s="28"/>
      <c r="E618" s="28"/>
    </row>
    <row r="619">
      <c r="A619" s="28"/>
      <c r="B619" s="28"/>
      <c r="C619" s="28"/>
      <c r="D619" s="28"/>
      <c r="E619" s="28"/>
    </row>
    <row r="620">
      <c r="A620" s="28"/>
      <c r="B620" s="28"/>
      <c r="C620" s="28"/>
      <c r="D620" s="28"/>
      <c r="E620" s="28"/>
    </row>
    <row r="621">
      <c r="A621" s="28"/>
      <c r="B621" s="28"/>
      <c r="C621" s="28"/>
      <c r="D621" s="28"/>
      <c r="E621" s="28"/>
    </row>
    <row r="622">
      <c r="A622" s="28"/>
      <c r="B622" s="28"/>
      <c r="C622" s="28"/>
      <c r="D622" s="28"/>
      <c r="E622" s="28"/>
    </row>
    <row r="623">
      <c r="A623" s="28"/>
      <c r="B623" s="28"/>
      <c r="C623" s="28"/>
      <c r="D623" s="28"/>
      <c r="E623" s="28"/>
    </row>
    <row r="624">
      <c r="A624" s="28"/>
      <c r="B624" s="28"/>
      <c r="C624" s="28"/>
      <c r="D624" s="28"/>
      <c r="E624" s="28"/>
    </row>
    <row r="625">
      <c r="A625" s="28"/>
      <c r="B625" s="28"/>
      <c r="C625" s="28"/>
      <c r="D625" s="28"/>
      <c r="E625" s="28"/>
    </row>
    <row r="626">
      <c r="A626" s="28"/>
      <c r="B626" s="28"/>
      <c r="C626" s="28"/>
      <c r="D626" s="28"/>
      <c r="E626" s="28"/>
    </row>
    <row r="627">
      <c r="A627" s="28"/>
      <c r="B627" s="28"/>
      <c r="C627" s="28"/>
      <c r="D627" s="28"/>
      <c r="E627" s="28"/>
    </row>
    <row r="628">
      <c r="A628" s="28"/>
      <c r="B628" s="28"/>
      <c r="C628" s="28"/>
      <c r="D628" s="28"/>
      <c r="E628" s="28"/>
    </row>
    <row r="629">
      <c r="A629" s="28"/>
      <c r="B629" s="28"/>
      <c r="C629" s="28"/>
      <c r="D629" s="28"/>
      <c r="E629" s="28"/>
    </row>
    <row r="630">
      <c r="A630" s="28"/>
      <c r="B630" s="28"/>
      <c r="C630" s="28"/>
      <c r="D630" s="28"/>
      <c r="E630" s="28"/>
    </row>
    <row r="631">
      <c r="A631" s="28"/>
      <c r="B631" s="28"/>
      <c r="C631" s="28"/>
      <c r="D631" s="28"/>
      <c r="E631" s="28"/>
    </row>
    <row r="632">
      <c r="A632" s="28"/>
      <c r="B632" s="28"/>
      <c r="C632" s="28"/>
      <c r="D632" s="28"/>
      <c r="E632" s="28"/>
    </row>
    <row r="633">
      <c r="A633" s="28"/>
      <c r="B633" s="28"/>
      <c r="C633" s="28"/>
      <c r="D633" s="28"/>
      <c r="E633" s="28"/>
    </row>
    <row r="634">
      <c r="A634" s="28"/>
      <c r="B634" s="28"/>
      <c r="C634" s="28"/>
      <c r="D634" s="28"/>
      <c r="E634" s="28"/>
    </row>
    <row r="635">
      <c r="A635" s="28"/>
      <c r="B635" s="28"/>
      <c r="C635" s="28"/>
      <c r="D635" s="28"/>
      <c r="E635" s="28"/>
    </row>
    <row r="636">
      <c r="A636" s="28"/>
      <c r="B636" s="28"/>
      <c r="C636" s="28"/>
      <c r="D636" s="28"/>
      <c r="E636" s="28"/>
    </row>
    <row r="637">
      <c r="A637" s="28"/>
      <c r="B637" s="28"/>
      <c r="C637" s="28"/>
      <c r="D637" s="28"/>
      <c r="E637" s="28"/>
    </row>
    <row r="638">
      <c r="A638" s="28"/>
      <c r="B638" s="28"/>
      <c r="C638" s="28"/>
      <c r="D638" s="28"/>
      <c r="E638" s="28"/>
    </row>
    <row r="639">
      <c r="A639" s="28"/>
      <c r="B639" s="28"/>
      <c r="C639" s="28"/>
      <c r="D639" s="28"/>
      <c r="E639" s="28"/>
    </row>
    <row r="640">
      <c r="A640" s="28"/>
      <c r="B640" s="28"/>
      <c r="C640" s="28"/>
      <c r="D640" s="28"/>
      <c r="E640" s="28"/>
    </row>
    <row r="641">
      <c r="A641" s="28"/>
      <c r="B641" s="28"/>
      <c r="C641" s="28"/>
      <c r="D641" s="28"/>
      <c r="E641" s="28"/>
    </row>
    <row r="642">
      <c r="A642" s="28"/>
      <c r="B642" s="28"/>
      <c r="C642" s="28"/>
      <c r="D642" s="28"/>
      <c r="E642" s="28"/>
    </row>
    <row r="643">
      <c r="A643" s="28"/>
      <c r="B643" s="28"/>
      <c r="C643" s="28"/>
      <c r="D643" s="28"/>
      <c r="E643" s="28"/>
    </row>
    <row r="644">
      <c r="A644" s="28"/>
      <c r="B644" s="28"/>
      <c r="C644" s="28"/>
      <c r="D644" s="28"/>
      <c r="E644" s="28"/>
    </row>
    <row r="645">
      <c r="A645" s="28"/>
      <c r="B645" s="28"/>
      <c r="C645" s="28"/>
      <c r="D645" s="28"/>
      <c r="E645" s="28"/>
    </row>
    <row r="646">
      <c r="A646" s="28"/>
      <c r="B646" s="28"/>
      <c r="C646" s="28"/>
      <c r="D646" s="28"/>
      <c r="E646" s="28"/>
    </row>
    <row r="647">
      <c r="A647" s="28"/>
      <c r="B647" s="28"/>
      <c r="C647" s="28"/>
      <c r="D647" s="28"/>
      <c r="E647" s="28"/>
    </row>
    <row r="648">
      <c r="A648" s="28"/>
      <c r="B648" s="28"/>
      <c r="C648" s="28"/>
      <c r="D648" s="28"/>
      <c r="E648" s="28"/>
    </row>
    <row r="649">
      <c r="A649" s="28"/>
      <c r="B649" s="28"/>
      <c r="C649" s="28"/>
      <c r="D649" s="28"/>
      <c r="E649" s="28"/>
    </row>
    <row r="650">
      <c r="A650" s="28"/>
      <c r="B650" s="28"/>
      <c r="C650" s="28"/>
      <c r="D650" s="28"/>
      <c r="E650" s="28"/>
    </row>
    <row r="651">
      <c r="A651" s="28"/>
      <c r="B651" s="28"/>
      <c r="C651" s="28"/>
      <c r="D651" s="28"/>
      <c r="E651" s="28"/>
    </row>
    <row r="652">
      <c r="A652" s="28"/>
      <c r="B652" s="28"/>
      <c r="C652" s="28"/>
      <c r="D652" s="28"/>
      <c r="E652" s="28"/>
    </row>
    <row r="653">
      <c r="A653" s="28"/>
      <c r="B653" s="28"/>
      <c r="C653" s="28"/>
      <c r="D653" s="28"/>
      <c r="E653" s="28"/>
    </row>
    <row r="654">
      <c r="A654" s="28"/>
      <c r="B654" s="28"/>
      <c r="C654" s="28"/>
      <c r="D654" s="28"/>
      <c r="E654" s="28"/>
    </row>
    <row r="655">
      <c r="A655" s="28"/>
      <c r="B655" s="28"/>
      <c r="C655" s="28"/>
      <c r="D655" s="28"/>
      <c r="E655" s="28"/>
    </row>
    <row r="656">
      <c r="A656" s="28"/>
      <c r="B656" s="28"/>
      <c r="C656" s="28"/>
      <c r="D656" s="28"/>
      <c r="E656" s="28"/>
    </row>
    <row r="657">
      <c r="A657" s="28"/>
      <c r="B657" s="28"/>
      <c r="C657" s="28"/>
      <c r="D657" s="28"/>
      <c r="E657" s="28"/>
    </row>
    <row r="658">
      <c r="A658" s="28"/>
      <c r="B658" s="28"/>
      <c r="C658" s="28"/>
      <c r="D658" s="28"/>
      <c r="E658" s="28"/>
    </row>
    <row r="659">
      <c r="A659" s="28"/>
      <c r="B659" s="28"/>
      <c r="C659" s="28"/>
      <c r="D659" s="28"/>
      <c r="E659" s="28"/>
    </row>
    <row r="660">
      <c r="A660" s="28"/>
      <c r="B660" s="28"/>
      <c r="C660" s="28"/>
      <c r="D660" s="28"/>
      <c r="E660" s="28"/>
    </row>
    <row r="661">
      <c r="A661" s="28"/>
      <c r="B661" s="28"/>
      <c r="C661" s="28"/>
      <c r="D661" s="28"/>
      <c r="E661" s="28"/>
    </row>
    <row r="662">
      <c r="A662" s="28"/>
      <c r="B662" s="28"/>
      <c r="C662" s="28"/>
      <c r="D662" s="28"/>
      <c r="E662" s="28"/>
    </row>
    <row r="663">
      <c r="A663" s="28"/>
      <c r="B663" s="28"/>
      <c r="C663" s="28"/>
      <c r="D663" s="28"/>
      <c r="E663" s="28"/>
    </row>
    <row r="664">
      <c r="A664" s="28"/>
      <c r="B664" s="28"/>
      <c r="C664" s="28"/>
      <c r="D664" s="28"/>
      <c r="E664" s="28"/>
    </row>
    <row r="665">
      <c r="A665" s="28"/>
      <c r="B665" s="28"/>
      <c r="C665" s="28"/>
      <c r="D665" s="28"/>
      <c r="E665" s="28"/>
    </row>
    <row r="666">
      <c r="A666" s="28"/>
      <c r="B666" s="28"/>
      <c r="C666" s="28"/>
      <c r="D666" s="28"/>
      <c r="E666" s="28"/>
    </row>
    <row r="667">
      <c r="A667" s="28"/>
      <c r="B667" s="28"/>
      <c r="C667" s="28"/>
      <c r="D667" s="28"/>
      <c r="E667" s="28"/>
    </row>
    <row r="668">
      <c r="A668" s="28"/>
      <c r="B668" s="28"/>
      <c r="C668" s="28"/>
      <c r="D668" s="28"/>
      <c r="E668" s="28"/>
    </row>
    <row r="669">
      <c r="A669" s="28"/>
      <c r="B669" s="28"/>
      <c r="C669" s="28"/>
      <c r="D669" s="28"/>
      <c r="E669" s="28"/>
    </row>
    <row r="670">
      <c r="A670" s="28"/>
      <c r="B670" s="28"/>
      <c r="C670" s="28"/>
      <c r="D670" s="28"/>
      <c r="E670" s="28"/>
    </row>
    <row r="671">
      <c r="A671" s="28"/>
      <c r="B671" s="28"/>
      <c r="C671" s="28"/>
      <c r="D671" s="28"/>
      <c r="E671" s="28"/>
    </row>
    <row r="672">
      <c r="A672" s="28"/>
      <c r="B672" s="28"/>
      <c r="C672" s="28"/>
      <c r="D672" s="28"/>
      <c r="E672" s="28"/>
    </row>
    <row r="673">
      <c r="A673" s="28"/>
      <c r="B673" s="28"/>
      <c r="C673" s="28"/>
      <c r="D673" s="28"/>
      <c r="E673" s="28"/>
    </row>
    <row r="674">
      <c r="A674" s="28"/>
      <c r="B674" s="28"/>
      <c r="C674" s="28"/>
      <c r="D674" s="28"/>
      <c r="E674" s="28"/>
    </row>
    <row r="675">
      <c r="A675" s="28"/>
      <c r="B675" s="28"/>
      <c r="C675" s="28"/>
      <c r="D675" s="28"/>
      <c r="E675" s="28"/>
    </row>
    <row r="676">
      <c r="A676" s="28"/>
      <c r="B676" s="28"/>
      <c r="C676" s="28"/>
      <c r="D676" s="28"/>
      <c r="E676" s="28"/>
    </row>
    <row r="677">
      <c r="A677" s="28"/>
      <c r="B677" s="28"/>
      <c r="C677" s="28"/>
      <c r="D677" s="28"/>
      <c r="E677" s="28"/>
    </row>
    <row r="678">
      <c r="A678" s="28"/>
      <c r="B678" s="28"/>
      <c r="C678" s="28"/>
      <c r="D678" s="28"/>
      <c r="E678" s="28"/>
    </row>
    <row r="679">
      <c r="A679" s="28"/>
      <c r="B679" s="28"/>
      <c r="C679" s="28"/>
      <c r="D679" s="28"/>
      <c r="E679" s="28"/>
    </row>
    <row r="680">
      <c r="A680" s="28"/>
      <c r="B680" s="28"/>
      <c r="C680" s="28"/>
      <c r="D680" s="28"/>
      <c r="E680" s="28"/>
    </row>
    <row r="681">
      <c r="A681" s="28"/>
      <c r="B681" s="28"/>
      <c r="C681" s="28"/>
      <c r="D681" s="28"/>
      <c r="E681" s="28"/>
    </row>
    <row r="682">
      <c r="A682" s="28"/>
      <c r="B682" s="28"/>
      <c r="C682" s="28"/>
      <c r="D682" s="28"/>
      <c r="E682" s="28"/>
    </row>
    <row r="683">
      <c r="A683" s="28"/>
      <c r="B683" s="28"/>
      <c r="C683" s="28"/>
      <c r="D683" s="28"/>
      <c r="E683" s="28"/>
    </row>
    <row r="684">
      <c r="A684" s="28"/>
      <c r="B684" s="28"/>
      <c r="C684" s="28"/>
      <c r="D684" s="28"/>
      <c r="E684" s="28"/>
    </row>
    <row r="685">
      <c r="A685" s="28"/>
      <c r="B685" s="28"/>
      <c r="C685" s="28"/>
      <c r="D685" s="28"/>
      <c r="E685" s="28"/>
    </row>
    <row r="686">
      <c r="A686" s="28"/>
      <c r="B686" s="28"/>
      <c r="C686" s="28"/>
      <c r="D686" s="28"/>
      <c r="E686" s="28"/>
    </row>
    <row r="687">
      <c r="A687" s="28"/>
      <c r="B687" s="28"/>
      <c r="C687" s="28"/>
      <c r="D687" s="28"/>
      <c r="E687" s="28"/>
    </row>
    <row r="688">
      <c r="A688" s="28"/>
      <c r="B688" s="28"/>
      <c r="C688" s="28"/>
      <c r="D688" s="28"/>
      <c r="E688" s="28"/>
    </row>
    <row r="689">
      <c r="A689" s="28"/>
      <c r="B689" s="28"/>
      <c r="C689" s="28"/>
      <c r="D689" s="28"/>
      <c r="E689" s="28"/>
    </row>
    <row r="690">
      <c r="A690" s="28"/>
      <c r="B690" s="28"/>
      <c r="C690" s="28"/>
      <c r="D690" s="28"/>
      <c r="E690" s="28"/>
    </row>
    <row r="691">
      <c r="A691" s="28"/>
      <c r="B691" s="28"/>
      <c r="C691" s="28"/>
      <c r="D691" s="28"/>
      <c r="E691" s="28"/>
    </row>
    <row r="692">
      <c r="A692" s="28"/>
      <c r="B692" s="28"/>
      <c r="C692" s="28"/>
      <c r="D692" s="28"/>
      <c r="E692" s="28"/>
    </row>
    <row r="693">
      <c r="A693" s="28"/>
      <c r="B693" s="28"/>
      <c r="C693" s="28"/>
      <c r="D693" s="28"/>
      <c r="E693" s="28"/>
    </row>
    <row r="694">
      <c r="A694" s="28"/>
      <c r="B694" s="28"/>
      <c r="C694" s="28"/>
      <c r="D694" s="28"/>
      <c r="E694" s="28"/>
    </row>
    <row r="695">
      <c r="A695" s="28"/>
      <c r="B695" s="28"/>
      <c r="C695" s="28"/>
      <c r="D695" s="28"/>
      <c r="E695" s="28"/>
    </row>
    <row r="696">
      <c r="A696" s="28"/>
      <c r="B696" s="28"/>
      <c r="C696" s="28"/>
      <c r="D696" s="28"/>
      <c r="E696" s="28"/>
    </row>
    <row r="697">
      <c r="A697" s="28"/>
      <c r="B697" s="28"/>
      <c r="C697" s="28"/>
      <c r="D697" s="28"/>
      <c r="E697" s="28"/>
    </row>
    <row r="698">
      <c r="A698" s="28"/>
      <c r="B698" s="28"/>
      <c r="C698" s="28"/>
      <c r="D698" s="28"/>
      <c r="E698" s="28"/>
    </row>
    <row r="699">
      <c r="A699" s="28"/>
      <c r="B699" s="28"/>
      <c r="C699" s="28"/>
      <c r="D699" s="28"/>
      <c r="E699" s="28"/>
    </row>
    <row r="700">
      <c r="A700" s="28"/>
      <c r="B700" s="28"/>
      <c r="C700" s="28"/>
      <c r="D700" s="28"/>
      <c r="E700" s="28"/>
    </row>
    <row r="701">
      <c r="A701" s="28"/>
      <c r="B701" s="28"/>
      <c r="C701" s="28"/>
      <c r="D701" s="28"/>
      <c r="E701" s="28"/>
    </row>
    <row r="702">
      <c r="A702" s="28"/>
      <c r="B702" s="28"/>
      <c r="C702" s="28"/>
      <c r="D702" s="28"/>
      <c r="E702" s="28"/>
    </row>
    <row r="703">
      <c r="A703" s="28"/>
      <c r="B703" s="28"/>
      <c r="C703" s="28"/>
      <c r="D703" s="28"/>
      <c r="E703" s="28"/>
    </row>
    <row r="704">
      <c r="A704" s="28"/>
      <c r="B704" s="28"/>
      <c r="C704" s="28"/>
      <c r="D704" s="28"/>
      <c r="E704" s="28"/>
    </row>
    <row r="705">
      <c r="A705" s="28"/>
      <c r="B705" s="28"/>
      <c r="C705" s="28"/>
      <c r="D705" s="28"/>
      <c r="E705" s="28"/>
    </row>
    <row r="706">
      <c r="A706" s="28"/>
      <c r="B706" s="28"/>
      <c r="C706" s="28"/>
      <c r="D706" s="28"/>
      <c r="E706" s="28"/>
    </row>
    <row r="707">
      <c r="A707" s="28"/>
      <c r="B707" s="28"/>
      <c r="C707" s="28"/>
      <c r="D707" s="28"/>
      <c r="E707" s="28"/>
    </row>
    <row r="708">
      <c r="A708" s="28"/>
      <c r="B708" s="28"/>
      <c r="C708" s="28"/>
      <c r="D708" s="28"/>
      <c r="E708" s="28"/>
    </row>
    <row r="709">
      <c r="A709" s="28"/>
      <c r="B709" s="28"/>
      <c r="C709" s="28"/>
      <c r="D709" s="28"/>
      <c r="E709" s="28"/>
    </row>
    <row r="710">
      <c r="A710" s="28"/>
      <c r="B710" s="28"/>
      <c r="C710" s="28"/>
      <c r="D710" s="28"/>
      <c r="E710" s="28"/>
    </row>
    <row r="711">
      <c r="A711" s="28"/>
      <c r="B711" s="28"/>
      <c r="C711" s="28"/>
      <c r="D711" s="28"/>
      <c r="E711" s="28"/>
    </row>
    <row r="712">
      <c r="A712" s="28"/>
      <c r="B712" s="28"/>
      <c r="C712" s="28"/>
      <c r="D712" s="28"/>
      <c r="E712" s="28"/>
    </row>
    <row r="713">
      <c r="A713" s="28"/>
      <c r="B713" s="28"/>
      <c r="C713" s="28"/>
      <c r="D713" s="28"/>
      <c r="E713" s="28"/>
    </row>
    <row r="714">
      <c r="A714" s="28"/>
      <c r="B714" s="28"/>
      <c r="C714" s="28"/>
      <c r="D714" s="28"/>
      <c r="E714" s="28"/>
    </row>
    <row r="715">
      <c r="A715" s="28"/>
      <c r="B715" s="28"/>
      <c r="C715" s="28"/>
      <c r="D715" s="28"/>
      <c r="E715" s="28"/>
    </row>
    <row r="716">
      <c r="A716" s="28"/>
      <c r="B716" s="28"/>
      <c r="C716" s="28"/>
      <c r="D716" s="28"/>
      <c r="E716" s="28"/>
    </row>
    <row r="717">
      <c r="A717" s="28"/>
      <c r="B717" s="28"/>
      <c r="C717" s="28"/>
      <c r="D717" s="28"/>
      <c r="E717" s="28"/>
    </row>
    <row r="718">
      <c r="A718" s="28"/>
      <c r="B718" s="28"/>
      <c r="C718" s="28"/>
      <c r="D718" s="28"/>
      <c r="E718" s="28"/>
    </row>
    <row r="719">
      <c r="A719" s="28"/>
      <c r="B719" s="28"/>
      <c r="C719" s="28"/>
      <c r="D719" s="28"/>
      <c r="E719" s="28"/>
    </row>
    <row r="720">
      <c r="A720" s="28"/>
      <c r="B720" s="28"/>
      <c r="C720" s="28"/>
      <c r="D720" s="28"/>
      <c r="E720" s="28"/>
    </row>
    <row r="721">
      <c r="A721" s="28"/>
      <c r="B721" s="28"/>
      <c r="C721" s="28"/>
      <c r="D721" s="28"/>
      <c r="E721" s="28"/>
    </row>
    <row r="722">
      <c r="A722" s="28"/>
      <c r="B722" s="28"/>
      <c r="C722" s="28"/>
      <c r="D722" s="28"/>
      <c r="E722" s="28"/>
    </row>
    <row r="723">
      <c r="A723" s="28"/>
      <c r="B723" s="28"/>
      <c r="C723" s="28"/>
      <c r="D723" s="28"/>
      <c r="E723" s="28"/>
    </row>
    <row r="724">
      <c r="A724" s="28"/>
      <c r="B724" s="28"/>
      <c r="C724" s="28"/>
      <c r="D724" s="28"/>
      <c r="E724" s="28"/>
    </row>
    <row r="725">
      <c r="A725" s="28"/>
      <c r="B725" s="28"/>
      <c r="C725" s="28"/>
      <c r="D725" s="28"/>
      <c r="E725" s="28"/>
    </row>
    <row r="726">
      <c r="A726" s="28"/>
      <c r="B726" s="28"/>
      <c r="C726" s="28"/>
      <c r="D726" s="28"/>
      <c r="E726" s="28"/>
    </row>
    <row r="727">
      <c r="A727" s="28"/>
      <c r="B727" s="28"/>
      <c r="C727" s="28"/>
      <c r="D727" s="28"/>
      <c r="E727" s="28"/>
    </row>
    <row r="728">
      <c r="A728" s="28"/>
      <c r="B728" s="28"/>
      <c r="C728" s="28"/>
      <c r="D728" s="28"/>
      <c r="E728" s="28"/>
    </row>
    <row r="729">
      <c r="A729" s="28"/>
      <c r="B729" s="28"/>
      <c r="C729" s="28"/>
      <c r="D729" s="28"/>
      <c r="E729" s="28"/>
    </row>
    <row r="730">
      <c r="A730" s="28"/>
      <c r="B730" s="28"/>
      <c r="C730" s="28"/>
      <c r="D730" s="28"/>
      <c r="E730" s="28"/>
    </row>
    <row r="731">
      <c r="A731" s="28"/>
      <c r="B731" s="28"/>
      <c r="C731" s="28"/>
      <c r="D731" s="28"/>
      <c r="E731" s="28"/>
    </row>
    <row r="732">
      <c r="A732" s="28"/>
      <c r="B732" s="28"/>
      <c r="C732" s="28"/>
      <c r="D732" s="28"/>
      <c r="E732" s="28"/>
    </row>
    <row r="733">
      <c r="A733" s="28"/>
      <c r="B733" s="28"/>
      <c r="C733" s="28"/>
      <c r="D733" s="28"/>
      <c r="E733" s="28"/>
    </row>
    <row r="734">
      <c r="A734" s="28"/>
      <c r="B734" s="28"/>
      <c r="C734" s="28"/>
      <c r="D734" s="28"/>
      <c r="E734" s="28"/>
    </row>
    <row r="735">
      <c r="A735" s="28"/>
      <c r="B735" s="28"/>
      <c r="C735" s="28"/>
      <c r="D735" s="28"/>
      <c r="E735" s="28"/>
    </row>
    <row r="736">
      <c r="A736" s="28"/>
      <c r="B736" s="28"/>
      <c r="C736" s="28"/>
      <c r="D736" s="28"/>
      <c r="E736" s="28"/>
    </row>
    <row r="737">
      <c r="A737" s="28"/>
      <c r="B737" s="28"/>
      <c r="C737" s="28"/>
      <c r="D737" s="28"/>
      <c r="E737" s="28"/>
    </row>
    <row r="738">
      <c r="A738" s="28"/>
      <c r="B738" s="28"/>
      <c r="C738" s="28"/>
      <c r="D738" s="28"/>
      <c r="E738" s="28"/>
    </row>
    <row r="739">
      <c r="A739" s="28"/>
      <c r="B739" s="28"/>
      <c r="C739" s="28"/>
      <c r="D739" s="28"/>
      <c r="E739" s="28"/>
    </row>
    <row r="740">
      <c r="A740" s="28"/>
      <c r="B740" s="28"/>
      <c r="C740" s="28"/>
      <c r="D740" s="28"/>
      <c r="E740" s="28"/>
    </row>
    <row r="741">
      <c r="A741" s="28"/>
      <c r="B741" s="28"/>
      <c r="C741" s="28"/>
      <c r="D741" s="28"/>
      <c r="E741" s="28"/>
    </row>
    <row r="742">
      <c r="A742" s="28"/>
      <c r="B742" s="28"/>
      <c r="C742" s="28"/>
      <c r="D742" s="28"/>
      <c r="E742" s="28"/>
    </row>
    <row r="743">
      <c r="A743" s="28"/>
      <c r="B743" s="28"/>
      <c r="C743" s="28"/>
      <c r="D743" s="28"/>
      <c r="E743" s="28"/>
    </row>
    <row r="744">
      <c r="A744" s="28"/>
      <c r="B744" s="28"/>
      <c r="C744" s="28"/>
      <c r="D744" s="28"/>
      <c r="E744" s="28"/>
    </row>
    <row r="745">
      <c r="A745" s="28"/>
      <c r="B745" s="28"/>
      <c r="C745" s="28"/>
      <c r="D745" s="28"/>
      <c r="E745" s="28"/>
    </row>
    <row r="746">
      <c r="A746" s="28"/>
      <c r="B746" s="28"/>
      <c r="C746" s="28"/>
      <c r="D746" s="28"/>
      <c r="E746" s="28"/>
    </row>
    <row r="747">
      <c r="A747" s="28"/>
      <c r="B747" s="28"/>
      <c r="C747" s="28"/>
      <c r="D747" s="28"/>
      <c r="E747" s="28"/>
    </row>
    <row r="748">
      <c r="A748" s="28"/>
      <c r="B748" s="28"/>
      <c r="C748" s="28"/>
      <c r="D748" s="28"/>
      <c r="E748" s="28"/>
    </row>
    <row r="749">
      <c r="A749" s="28"/>
      <c r="B749" s="28"/>
      <c r="C749" s="28"/>
      <c r="D749" s="28"/>
      <c r="E749" s="28"/>
    </row>
    <row r="750">
      <c r="A750" s="28"/>
      <c r="B750" s="28"/>
      <c r="C750" s="28"/>
      <c r="D750" s="28"/>
      <c r="E750" s="28"/>
    </row>
    <row r="751">
      <c r="A751" s="28"/>
      <c r="B751" s="28"/>
      <c r="C751" s="28"/>
      <c r="D751" s="28"/>
      <c r="E751" s="28"/>
    </row>
    <row r="752">
      <c r="A752" s="28"/>
      <c r="B752" s="28"/>
      <c r="C752" s="28"/>
      <c r="D752" s="28"/>
      <c r="E752" s="28"/>
    </row>
    <row r="753">
      <c r="A753" s="28"/>
      <c r="B753" s="28"/>
      <c r="C753" s="28"/>
      <c r="D753" s="28"/>
      <c r="E753" s="28"/>
    </row>
    <row r="754">
      <c r="A754" s="28"/>
      <c r="B754" s="28"/>
      <c r="C754" s="28"/>
      <c r="D754" s="28"/>
      <c r="E754" s="28"/>
    </row>
    <row r="755">
      <c r="A755" s="28"/>
      <c r="B755" s="28"/>
      <c r="C755" s="28"/>
      <c r="D755" s="28"/>
      <c r="E755" s="28"/>
    </row>
    <row r="756">
      <c r="A756" s="28"/>
      <c r="B756" s="28"/>
      <c r="C756" s="28"/>
      <c r="D756" s="28"/>
      <c r="E756" s="28"/>
    </row>
    <row r="757">
      <c r="A757" s="28"/>
      <c r="B757" s="28"/>
      <c r="C757" s="28"/>
      <c r="D757" s="28"/>
      <c r="E757" s="28"/>
    </row>
    <row r="758">
      <c r="A758" s="28"/>
      <c r="B758" s="28"/>
      <c r="C758" s="28"/>
      <c r="D758" s="28"/>
      <c r="E758" s="28"/>
    </row>
    <row r="759">
      <c r="A759" s="28"/>
      <c r="B759" s="28"/>
      <c r="C759" s="28"/>
      <c r="D759" s="28"/>
      <c r="E759" s="28"/>
    </row>
    <row r="760">
      <c r="A760" s="28"/>
      <c r="B760" s="28"/>
      <c r="C760" s="28"/>
      <c r="D760" s="28"/>
      <c r="E760" s="28"/>
    </row>
    <row r="761">
      <c r="A761" s="28"/>
      <c r="B761" s="28"/>
      <c r="C761" s="28"/>
      <c r="D761" s="28"/>
      <c r="E761" s="28"/>
    </row>
    <row r="762">
      <c r="A762" s="28"/>
      <c r="B762" s="28"/>
      <c r="C762" s="28"/>
      <c r="D762" s="28"/>
      <c r="E762" s="28"/>
    </row>
    <row r="763">
      <c r="A763" s="28"/>
      <c r="B763" s="28"/>
      <c r="C763" s="28"/>
      <c r="D763" s="28"/>
      <c r="E763" s="28"/>
    </row>
    <row r="764">
      <c r="A764" s="28"/>
      <c r="B764" s="28"/>
      <c r="C764" s="28"/>
      <c r="D764" s="28"/>
      <c r="E764" s="28"/>
    </row>
    <row r="765">
      <c r="A765" s="28"/>
      <c r="B765" s="28"/>
      <c r="C765" s="28"/>
      <c r="D765" s="28"/>
      <c r="E765" s="28"/>
    </row>
    <row r="766">
      <c r="A766" s="28"/>
      <c r="B766" s="28"/>
      <c r="C766" s="28"/>
      <c r="D766" s="28"/>
      <c r="E766" s="28"/>
    </row>
    <row r="767">
      <c r="A767" s="28"/>
      <c r="B767" s="28"/>
      <c r="C767" s="28"/>
      <c r="D767" s="28"/>
      <c r="E767" s="28"/>
    </row>
    <row r="768">
      <c r="A768" s="28"/>
      <c r="B768" s="28"/>
      <c r="C768" s="28"/>
      <c r="D768" s="28"/>
      <c r="E768" s="28"/>
    </row>
    <row r="769">
      <c r="A769" s="28"/>
      <c r="B769" s="28"/>
      <c r="C769" s="28"/>
      <c r="D769" s="28"/>
      <c r="E769" s="28"/>
    </row>
    <row r="770">
      <c r="A770" s="28"/>
      <c r="B770" s="28"/>
      <c r="C770" s="28"/>
      <c r="D770" s="28"/>
      <c r="E770" s="28"/>
    </row>
    <row r="771">
      <c r="A771" s="28"/>
      <c r="B771" s="28"/>
      <c r="C771" s="28"/>
      <c r="D771" s="28"/>
      <c r="E771" s="28"/>
    </row>
    <row r="772">
      <c r="A772" s="28"/>
      <c r="B772" s="28"/>
      <c r="C772" s="28"/>
      <c r="D772" s="28"/>
      <c r="E772" s="28"/>
    </row>
    <row r="773">
      <c r="A773" s="28"/>
      <c r="B773" s="28"/>
      <c r="C773" s="28"/>
      <c r="D773" s="28"/>
      <c r="E773" s="28"/>
    </row>
    <row r="774">
      <c r="A774" s="28"/>
      <c r="B774" s="28"/>
      <c r="C774" s="28"/>
      <c r="D774" s="28"/>
      <c r="E774" s="28"/>
    </row>
    <row r="775">
      <c r="A775" s="28"/>
      <c r="B775" s="28"/>
      <c r="C775" s="28"/>
      <c r="D775" s="28"/>
      <c r="E775" s="28"/>
    </row>
    <row r="776">
      <c r="A776" s="28"/>
      <c r="B776" s="28"/>
      <c r="C776" s="28"/>
      <c r="D776" s="28"/>
      <c r="E776" s="28"/>
    </row>
    <row r="777">
      <c r="A777" s="28"/>
      <c r="B777" s="28"/>
      <c r="C777" s="28"/>
      <c r="D777" s="28"/>
      <c r="E777" s="28"/>
    </row>
    <row r="778">
      <c r="A778" s="28"/>
      <c r="B778" s="28"/>
      <c r="C778" s="28"/>
      <c r="D778" s="28"/>
      <c r="E778" s="28"/>
    </row>
    <row r="779">
      <c r="A779" s="28"/>
      <c r="B779" s="28"/>
      <c r="C779" s="28"/>
      <c r="D779" s="28"/>
      <c r="E779" s="28"/>
    </row>
    <row r="780">
      <c r="A780" s="28"/>
      <c r="B780" s="28"/>
      <c r="C780" s="28"/>
      <c r="D780" s="28"/>
      <c r="E780" s="28"/>
    </row>
    <row r="781">
      <c r="A781" s="28"/>
      <c r="B781" s="28"/>
      <c r="C781" s="28"/>
      <c r="D781" s="28"/>
      <c r="E781" s="28"/>
    </row>
    <row r="782">
      <c r="A782" s="28"/>
      <c r="B782" s="28"/>
      <c r="C782" s="28"/>
      <c r="D782" s="28"/>
      <c r="E782" s="28"/>
    </row>
    <row r="783">
      <c r="A783" s="28"/>
      <c r="B783" s="28"/>
      <c r="C783" s="28"/>
      <c r="D783" s="28"/>
      <c r="E783" s="28"/>
    </row>
    <row r="784">
      <c r="A784" s="28"/>
      <c r="B784" s="28"/>
      <c r="C784" s="28"/>
      <c r="D784" s="28"/>
      <c r="E784" s="28"/>
    </row>
    <row r="785">
      <c r="A785" s="28"/>
      <c r="B785" s="28"/>
      <c r="C785" s="28"/>
      <c r="D785" s="28"/>
      <c r="E785" s="28"/>
    </row>
    <row r="786">
      <c r="A786" s="28"/>
      <c r="B786" s="28"/>
      <c r="C786" s="28"/>
      <c r="D786" s="28"/>
      <c r="E786" s="28"/>
    </row>
    <row r="787">
      <c r="A787" s="28"/>
      <c r="B787" s="28"/>
      <c r="C787" s="28"/>
      <c r="D787" s="28"/>
      <c r="E787" s="28"/>
    </row>
    <row r="788">
      <c r="A788" s="28"/>
      <c r="B788" s="28"/>
      <c r="C788" s="28"/>
      <c r="D788" s="28"/>
      <c r="E788" s="28"/>
    </row>
    <row r="789">
      <c r="A789" s="28"/>
      <c r="B789" s="28"/>
      <c r="C789" s="28"/>
      <c r="D789" s="28"/>
      <c r="E789" s="28"/>
    </row>
    <row r="790">
      <c r="A790" s="28"/>
      <c r="B790" s="28"/>
      <c r="C790" s="28"/>
      <c r="D790" s="28"/>
      <c r="E790" s="28"/>
    </row>
    <row r="791">
      <c r="A791" s="28"/>
      <c r="B791" s="28"/>
      <c r="C791" s="28"/>
      <c r="D791" s="28"/>
      <c r="E791" s="28"/>
    </row>
    <row r="792">
      <c r="A792" s="28"/>
      <c r="B792" s="28"/>
      <c r="C792" s="28"/>
      <c r="D792" s="28"/>
      <c r="E792" s="28"/>
    </row>
    <row r="793">
      <c r="A793" s="28"/>
      <c r="B793" s="28"/>
      <c r="C793" s="28"/>
      <c r="D793" s="28"/>
      <c r="E793" s="28"/>
    </row>
    <row r="794">
      <c r="A794" s="28"/>
      <c r="B794" s="28"/>
      <c r="C794" s="28"/>
      <c r="D794" s="28"/>
      <c r="E794" s="28"/>
    </row>
    <row r="795">
      <c r="A795" s="28"/>
      <c r="B795" s="28"/>
      <c r="C795" s="28"/>
      <c r="D795" s="28"/>
      <c r="E795" s="28"/>
    </row>
    <row r="796">
      <c r="A796" s="28"/>
      <c r="B796" s="28"/>
      <c r="C796" s="28"/>
      <c r="D796" s="28"/>
      <c r="E796" s="28"/>
    </row>
    <row r="797">
      <c r="A797" s="28"/>
      <c r="B797" s="28"/>
      <c r="C797" s="28"/>
      <c r="D797" s="28"/>
      <c r="E797" s="28"/>
    </row>
    <row r="798">
      <c r="A798" s="28"/>
      <c r="B798" s="28"/>
      <c r="C798" s="28"/>
      <c r="D798" s="28"/>
      <c r="E798" s="28"/>
    </row>
    <row r="799">
      <c r="A799" s="28"/>
      <c r="B799" s="28"/>
      <c r="C799" s="28"/>
      <c r="D799" s="28"/>
      <c r="E799" s="28"/>
    </row>
    <row r="800">
      <c r="A800" s="28"/>
      <c r="B800" s="28"/>
      <c r="C800" s="28"/>
      <c r="D800" s="28"/>
      <c r="E800" s="28"/>
    </row>
    <row r="801">
      <c r="A801" s="28"/>
      <c r="B801" s="28"/>
      <c r="C801" s="28"/>
      <c r="D801" s="28"/>
      <c r="E801" s="28"/>
    </row>
    <row r="802">
      <c r="A802" s="28"/>
      <c r="B802" s="28"/>
      <c r="C802" s="28"/>
      <c r="D802" s="28"/>
      <c r="E802" s="28"/>
    </row>
    <row r="803">
      <c r="A803" s="28"/>
      <c r="B803" s="28"/>
      <c r="C803" s="28"/>
      <c r="D803" s="28"/>
      <c r="E803" s="28"/>
    </row>
    <row r="804">
      <c r="A804" s="28"/>
      <c r="B804" s="28"/>
      <c r="C804" s="28"/>
      <c r="D804" s="28"/>
      <c r="E804" s="28"/>
    </row>
    <row r="805">
      <c r="A805" s="28"/>
      <c r="B805" s="28"/>
      <c r="C805" s="28"/>
      <c r="D805" s="28"/>
      <c r="E805" s="28"/>
    </row>
    <row r="806">
      <c r="A806" s="28"/>
      <c r="B806" s="28"/>
      <c r="C806" s="28"/>
      <c r="D806" s="28"/>
      <c r="E806" s="28"/>
    </row>
    <row r="807">
      <c r="A807" s="28"/>
      <c r="B807" s="28"/>
      <c r="C807" s="28"/>
      <c r="D807" s="28"/>
      <c r="E807" s="28"/>
    </row>
    <row r="808">
      <c r="A808" s="28"/>
      <c r="B808" s="28"/>
      <c r="C808" s="28"/>
      <c r="D808" s="28"/>
      <c r="E808" s="28"/>
    </row>
    <row r="809">
      <c r="A809" s="28"/>
      <c r="B809" s="28"/>
      <c r="C809" s="28"/>
      <c r="D809" s="28"/>
      <c r="E809" s="28"/>
    </row>
    <row r="810">
      <c r="A810" s="28"/>
      <c r="B810" s="28"/>
      <c r="C810" s="28"/>
      <c r="D810" s="28"/>
      <c r="E810" s="28"/>
    </row>
    <row r="811">
      <c r="A811" s="28"/>
      <c r="B811" s="28"/>
      <c r="C811" s="28"/>
      <c r="D811" s="28"/>
      <c r="E811" s="28"/>
    </row>
    <row r="812">
      <c r="A812" s="28"/>
      <c r="B812" s="28"/>
      <c r="C812" s="28"/>
      <c r="D812" s="28"/>
      <c r="E812" s="28"/>
    </row>
    <row r="813">
      <c r="A813" s="28"/>
      <c r="B813" s="28"/>
      <c r="C813" s="28"/>
      <c r="D813" s="28"/>
      <c r="E813" s="28"/>
    </row>
    <row r="814">
      <c r="A814" s="28"/>
      <c r="B814" s="28"/>
      <c r="C814" s="28"/>
      <c r="D814" s="28"/>
      <c r="E814" s="28"/>
    </row>
    <row r="815">
      <c r="A815" s="28"/>
      <c r="B815" s="28"/>
      <c r="C815" s="28"/>
      <c r="D815" s="28"/>
      <c r="E815" s="28"/>
    </row>
    <row r="816">
      <c r="A816" s="28"/>
      <c r="B816" s="28"/>
      <c r="C816" s="28"/>
      <c r="D816" s="28"/>
      <c r="E816" s="28"/>
    </row>
    <row r="817">
      <c r="A817" s="28"/>
      <c r="B817" s="28"/>
      <c r="C817" s="28"/>
      <c r="D817" s="28"/>
      <c r="E817" s="28"/>
    </row>
    <row r="818">
      <c r="A818" s="28"/>
      <c r="B818" s="28"/>
      <c r="C818" s="28"/>
      <c r="D818" s="28"/>
      <c r="E818" s="28"/>
    </row>
    <row r="819">
      <c r="A819" s="28"/>
      <c r="B819" s="28"/>
      <c r="C819" s="28"/>
      <c r="D819" s="28"/>
      <c r="E819" s="28"/>
    </row>
    <row r="820">
      <c r="A820" s="28"/>
      <c r="B820" s="28"/>
      <c r="C820" s="28"/>
      <c r="D820" s="28"/>
      <c r="E820" s="28"/>
    </row>
    <row r="821">
      <c r="A821" s="28"/>
      <c r="B821" s="28"/>
      <c r="C821" s="28"/>
      <c r="D821" s="28"/>
      <c r="E821" s="28"/>
    </row>
    <row r="822">
      <c r="A822" s="28"/>
      <c r="B822" s="28"/>
      <c r="C822" s="28"/>
      <c r="D822" s="28"/>
      <c r="E822" s="28"/>
    </row>
    <row r="823">
      <c r="A823" s="28"/>
      <c r="B823" s="28"/>
      <c r="C823" s="28"/>
      <c r="D823" s="28"/>
      <c r="E823" s="28"/>
    </row>
    <row r="824">
      <c r="A824" s="28"/>
      <c r="B824" s="28"/>
      <c r="C824" s="28"/>
      <c r="D824" s="28"/>
      <c r="E824" s="28"/>
    </row>
    <row r="825">
      <c r="A825" s="28"/>
      <c r="B825" s="28"/>
      <c r="C825" s="28"/>
      <c r="D825" s="28"/>
      <c r="E825" s="28"/>
    </row>
    <row r="826">
      <c r="A826" s="28"/>
      <c r="B826" s="28"/>
      <c r="C826" s="28"/>
      <c r="D826" s="28"/>
      <c r="E826" s="28"/>
    </row>
    <row r="827">
      <c r="A827" s="28"/>
      <c r="B827" s="28"/>
      <c r="C827" s="28"/>
      <c r="D827" s="28"/>
      <c r="E827" s="28"/>
    </row>
    <row r="828">
      <c r="A828" s="28"/>
      <c r="B828" s="28"/>
      <c r="C828" s="28"/>
      <c r="D828" s="28"/>
      <c r="E828" s="28"/>
    </row>
    <row r="829">
      <c r="A829" s="28"/>
      <c r="B829" s="28"/>
      <c r="C829" s="28"/>
      <c r="D829" s="28"/>
      <c r="E829" s="28"/>
    </row>
    <row r="830">
      <c r="A830" s="28"/>
      <c r="B830" s="28"/>
      <c r="C830" s="28"/>
      <c r="D830" s="28"/>
      <c r="E830" s="28"/>
    </row>
    <row r="831">
      <c r="A831" s="28"/>
      <c r="B831" s="28"/>
      <c r="C831" s="28"/>
      <c r="D831" s="28"/>
      <c r="E831" s="28"/>
    </row>
    <row r="832">
      <c r="A832" s="28"/>
      <c r="B832" s="28"/>
      <c r="C832" s="28"/>
      <c r="D832" s="28"/>
      <c r="E832" s="28"/>
    </row>
    <row r="833">
      <c r="A833" s="28"/>
      <c r="B833" s="28"/>
      <c r="C833" s="28"/>
      <c r="D833" s="28"/>
      <c r="E833" s="28"/>
    </row>
    <row r="834">
      <c r="A834" s="28"/>
      <c r="B834" s="28"/>
      <c r="C834" s="28"/>
      <c r="D834" s="28"/>
      <c r="E834" s="28"/>
    </row>
    <row r="835">
      <c r="A835" s="28"/>
      <c r="B835" s="28"/>
      <c r="C835" s="28"/>
      <c r="D835" s="28"/>
      <c r="E835" s="28"/>
    </row>
    <row r="836">
      <c r="A836" s="28"/>
      <c r="B836" s="28"/>
      <c r="C836" s="28"/>
      <c r="D836" s="28"/>
      <c r="E836" s="28"/>
    </row>
    <row r="837">
      <c r="A837" s="28"/>
      <c r="B837" s="28"/>
      <c r="C837" s="28"/>
      <c r="D837" s="28"/>
      <c r="E837" s="28"/>
    </row>
    <row r="838">
      <c r="A838" s="28"/>
      <c r="B838" s="28"/>
      <c r="C838" s="28"/>
      <c r="D838" s="28"/>
      <c r="E838" s="28"/>
    </row>
    <row r="839">
      <c r="A839" s="28"/>
      <c r="B839" s="28"/>
      <c r="C839" s="28"/>
      <c r="D839" s="28"/>
      <c r="E839" s="28"/>
    </row>
    <row r="840">
      <c r="A840" s="28"/>
      <c r="B840" s="28"/>
      <c r="C840" s="28"/>
      <c r="D840" s="28"/>
      <c r="E840" s="28"/>
    </row>
    <row r="841">
      <c r="A841" s="28"/>
      <c r="B841" s="28"/>
      <c r="C841" s="28"/>
      <c r="D841" s="28"/>
      <c r="E841" s="28"/>
    </row>
    <row r="842">
      <c r="A842" s="28"/>
      <c r="B842" s="28"/>
      <c r="C842" s="28"/>
      <c r="D842" s="28"/>
      <c r="E842" s="28"/>
    </row>
    <row r="843">
      <c r="A843" s="28"/>
      <c r="B843" s="28"/>
      <c r="C843" s="28"/>
      <c r="D843" s="28"/>
      <c r="E843" s="28"/>
    </row>
    <row r="844">
      <c r="A844" s="28"/>
      <c r="B844" s="28"/>
      <c r="C844" s="28"/>
      <c r="D844" s="28"/>
      <c r="E844" s="28"/>
    </row>
    <row r="845">
      <c r="A845" s="28"/>
      <c r="B845" s="28"/>
      <c r="C845" s="28"/>
      <c r="D845" s="28"/>
      <c r="E845" s="28"/>
    </row>
    <row r="846">
      <c r="A846" s="28"/>
      <c r="B846" s="28"/>
      <c r="C846" s="28"/>
      <c r="D846" s="28"/>
      <c r="E846" s="28"/>
    </row>
    <row r="847">
      <c r="A847" s="28"/>
      <c r="B847" s="28"/>
      <c r="C847" s="28"/>
      <c r="D847" s="28"/>
      <c r="E847" s="28"/>
    </row>
    <row r="848">
      <c r="A848" s="28"/>
      <c r="B848" s="28"/>
      <c r="C848" s="28"/>
      <c r="D848" s="28"/>
      <c r="E848" s="28"/>
    </row>
    <row r="849">
      <c r="A849" s="28"/>
      <c r="B849" s="28"/>
      <c r="C849" s="28"/>
      <c r="D849" s="28"/>
      <c r="E849" s="28"/>
    </row>
    <row r="850">
      <c r="A850" s="28"/>
      <c r="B850" s="28"/>
      <c r="C850" s="28"/>
      <c r="D850" s="28"/>
      <c r="E850" s="28"/>
    </row>
    <row r="851">
      <c r="A851" s="28"/>
      <c r="B851" s="28"/>
      <c r="C851" s="28"/>
      <c r="D851" s="28"/>
      <c r="E851" s="28"/>
    </row>
    <row r="852">
      <c r="A852" s="28"/>
      <c r="B852" s="28"/>
      <c r="C852" s="28"/>
      <c r="D852" s="28"/>
      <c r="E852" s="28"/>
    </row>
    <row r="853">
      <c r="A853" s="28"/>
      <c r="B853" s="28"/>
      <c r="C853" s="28"/>
      <c r="D853" s="28"/>
      <c r="E853" s="28"/>
    </row>
    <row r="854">
      <c r="A854" s="28"/>
      <c r="B854" s="28"/>
      <c r="C854" s="28"/>
      <c r="D854" s="28"/>
      <c r="E854" s="28"/>
    </row>
    <row r="855">
      <c r="A855" s="28"/>
      <c r="B855" s="28"/>
      <c r="C855" s="28"/>
      <c r="D855" s="28"/>
      <c r="E855" s="28"/>
    </row>
    <row r="856">
      <c r="A856" s="28"/>
      <c r="B856" s="28"/>
      <c r="C856" s="28"/>
      <c r="D856" s="28"/>
      <c r="E856" s="28"/>
    </row>
    <row r="857">
      <c r="A857" s="28"/>
      <c r="B857" s="28"/>
      <c r="C857" s="28"/>
      <c r="D857" s="28"/>
      <c r="E857" s="28"/>
    </row>
    <row r="858">
      <c r="A858" s="28"/>
      <c r="B858" s="28"/>
      <c r="C858" s="28"/>
      <c r="D858" s="28"/>
      <c r="E858" s="28"/>
    </row>
    <row r="859">
      <c r="A859" s="28"/>
      <c r="B859" s="28"/>
      <c r="C859" s="28"/>
      <c r="D859" s="28"/>
      <c r="E859" s="28"/>
    </row>
    <row r="860">
      <c r="A860" s="28"/>
      <c r="B860" s="28"/>
      <c r="C860" s="28"/>
      <c r="D860" s="28"/>
      <c r="E860" s="28"/>
    </row>
    <row r="861">
      <c r="A861" s="28"/>
      <c r="B861" s="28"/>
      <c r="C861" s="28"/>
      <c r="D861" s="28"/>
      <c r="E861" s="28"/>
    </row>
    <row r="862">
      <c r="A862" s="28"/>
      <c r="B862" s="28"/>
      <c r="C862" s="28"/>
      <c r="D862" s="28"/>
      <c r="E862" s="28"/>
    </row>
    <row r="863">
      <c r="A863" s="28"/>
      <c r="B863" s="28"/>
      <c r="C863" s="28"/>
      <c r="D863" s="28"/>
      <c r="E863" s="28"/>
    </row>
    <row r="864">
      <c r="A864" s="28"/>
      <c r="B864" s="28"/>
      <c r="C864" s="28"/>
      <c r="D864" s="28"/>
      <c r="E864" s="28"/>
    </row>
    <row r="865">
      <c r="A865" s="28"/>
      <c r="B865" s="28"/>
      <c r="C865" s="28"/>
      <c r="D865" s="28"/>
      <c r="E865" s="28"/>
    </row>
    <row r="866">
      <c r="A866" s="28"/>
      <c r="B866" s="28"/>
      <c r="C866" s="28"/>
      <c r="D866" s="28"/>
      <c r="E866" s="28"/>
    </row>
    <row r="867">
      <c r="A867" s="28"/>
      <c r="B867" s="28"/>
      <c r="C867" s="28"/>
      <c r="D867" s="28"/>
      <c r="E867" s="28"/>
    </row>
    <row r="868">
      <c r="A868" s="28"/>
      <c r="B868" s="28"/>
      <c r="C868" s="28"/>
      <c r="D868" s="28"/>
      <c r="E868" s="28"/>
    </row>
    <row r="869">
      <c r="A869" s="28"/>
      <c r="B869" s="28"/>
      <c r="C869" s="28"/>
      <c r="D869" s="28"/>
      <c r="E869" s="28"/>
    </row>
    <row r="870">
      <c r="A870" s="28"/>
      <c r="B870" s="28"/>
      <c r="C870" s="28"/>
      <c r="D870" s="28"/>
      <c r="E870" s="28"/>
    </row>
    <row r="871">
      <c r="A871" s="28"/>
      <c r="B871" s="28"/>
      <c r="C871" s="28"/>
      <c r="D871" s="28"/>
      <c r="E871" s="28"/>
    </row>
    <row r="872">
      <c r="A872" s="28"/>
      <c r="B872" s="28"/>
      <c r="C872" s="28"/>
      <c r="D872" s="28"/>
      <c r="E872" s="28"/>
    </row>
    <row r="873">
      <c r="A873" s="28"/>
      <c r="B873" s="28"/>
      <c r="C873" s="28"/>
      <c r="D873" s="28"/>
      <c r="E873" s="28"/>
    </row>
    <row r="874">
      <c r="A874" s="28"/>
      <c r="B874" s="28"/>
      <c r="C874" s="28"/>
      <c r="D874" s="28"/>
      <c r="E874" s="28"/>
    </row>
    <row r="875">
      <c r="A875" s="28"/>
      <c r="B875" s="28"/>
      <c r="C875" s="28"/>
      <c r="D875" s="28"/>
      <c r="E875" s="28"/>
    </row>
    <row r="876">
      <c r="A876" s="28"/>
      <c r="B876" s="28"/>
      <c r="C876" s="28"/>
      <c r="D876" s="28"/>
      <c r="E876" s="28"/>
    </row>
    <row r="877">
      <c r="A877" s="28"/>
      <c r="B877" s="28"/>
      <c r="C877" s="28"/>
      <c r="D877" s="28"/>
      <c r="E877" s="28"/>
    </row>
    <row r="878">
      <c r="A878" s="28"/>
      <c r="B878" s="28"/>
      <c r="C878" s="28"/>
      <c r="D878" s="28"/>
      <c r="E878" s="28"/>
    </row>
    <row r="879">
      <c r="A879" s="28"/>
      <c r="B879" s="28"/>
      <c r="C879" s="28"/>
      <c r="D879" s="28"/>
      <c r="E879" s="28"/>
    </row>
    <row r="880">
      <c r="A880" s="28"/>
      <c r="B880" s="28"/>
      <c r="C880" s="28"/>
      <c r="D880" s="28"/>
      <c r="E880" s="28"/>
    </row>
    <row r="881">
      <c r="A881" s="28"/>
      <c r="B881" s="28"/>
      <c r="C881" s="28"/>
      <c r="D881" s="28"/>
      <c r="E881" s="28"/>
    </row>
    <row r="882">
      <c r="A882" s="28"/>
      <c r="B882" s="28"/>
      <c r="C882" s="28"/>
      <c r="D882" s="28"/>
      <c r="E882" s="28"/>
    </row>
    <row r="883">
      <c r="A883" s="28"/>
      <c r="B883" s="28"/>
      <c r="C883" s="28"/>
      <c r="D883" s="28"/>
      <c r="E883" s="28"/>
    </row>
    <row r="884">
      <c r="A884" s="28"/>
      <c r="B884" s="28"/>
      <c r="C884" s="28"/>
      <c r="D884" s="28"/>
      <c r="E884" s="28"/>
    </row>
    <row r="885">
      <c r="A885" s="28"/>
      <c r="B885" s="28"/>
      <c r="C885" s="28"/>
      <c r="D885" s="28"/>
      <c r="E885" s="28"/>
    </row>
    <row r="886">
      <c r="A886" s="28"/>
      <c r="B886" s="28"/>
      <c r="C886" s="28"/>
      <c r="D886" s="28"/>
      <c r="E886" s="28"/>
    </row>
    <row r="887">
      <c r="A887" s="28"/>
      <c r="B887" s="28"/>
      <c r="C887" s="28"/>
      <c r="D887" s="28"/>
      <c r="E887" s="28"/>
    </row>
    <row r="888">
      <c r="A888" s="28"/>
      <c r="B888" s="28"/>
      <c r="C888" s="28"/>
      <c r="D888" s="28"/>
      <c r="E888" s="28"/>
    </row>
    <row r="889">
      <c r="A889" s="28"/>
      <c r="B889" s="28"/>
      <c r="C889" s="28"/>
      <c r="D889" s="28"/>
      <c r="E889" s="28"/>
    </row>
    <row r="890">
      <c r="A890" s="28"/>
      <c r="B890" s="28"/>
      <c r="C890" s="28"/>
      <c r="D890" s="28"/>
      <c r="E890" s="28"/>
    </row>
    <row r="891">
      <c r="A891" s="28"/>
      <c r="B891" s="28"/>
      <c r="C891" s="28"/>
      <c r="D891" s="28"/>
      <c r="E891" s="28"/>
    </row>
    <row r="892">
      <c r="A892" s="28"/>
      <c r="B892" s="28"/>
      <c r="C892" s="28"/>
      <c r="D892" s="28"/>
      <c r="E892" s="28"/>
    </row>
    <row r="893">
      <c r="A893" s="28"/>
      <c r="B893" s="28"/>
      <c r="C893" s="28"/>
      <c r="D893" s="28"/>
      <c r="E893" s="28"/>
    </row>
    <row r="894">
      <c r="A894" s="28"/>
      <c r="B894" s="28"/>
      <c r="C894" s="28"/>
      <c r="D894" s="28"/>
      <c r="E894" s="28"/>
    </row>
    <row r="895">
      <c r="A895" s="28"/>
      <c r="B895" s="28"/>
      <c r="C895" s="28"/>
      <c r="D895" s="28"/>
      <c r="E895" s="28"/>
    </row>
    <row r="896">
      <c r="A896" s="28"/>
      <c r="B896" s="28"/>
      <c r="C896" s="28"/>
      <c r="D896" s="28"/>
      <c r="E896" s="28"/>
    </row>
    <row r="897">
      <c r="A897" s="28"/>
      <c r="B897" s="28"/>
      <c r="C897" s="28"/>
      <c r="D897" s="28"/>
      <c r="E897" s="28"/>
    </row>
    <row r="898">
      <c r="A898" s="28"/>
      <c r="B898" s="28"/>
      <c r="C898" s="28"/>
      <c r="D898" s="28"/>
      <c r="E898" s="28"/>
    </row>
    <row r="899">
      <c r="A899" s="28"/>
      <c r="B899" s="28"/>
      <c r="C899" s="28"/>
      <c r="D899" s="28"/>
      <c r="E899" s="28"/>
    </row>
    <row r="900">
      <c r="A900" s="28"/>
      <c r="B900" s="28"/>
      <c r="C900" s="28"/>
      <c r="D900" s="28"/>
      <c r="E900" s="28"/>
    </row>
    <row r="901">
      <c r="A901" s="28"/>
      <c r="B901" s="28"/>
      <c r="C901" s="28"/>
      <c r="D901" s="28"/>
      <c r="E901" s="28"/>
    </row>
    <row r="902">
      <c r="A902" s="28"/>
      <c r="B902" s="28"/>
      <c r="C902" s="28"/>
      <c r="D902" s="28"/>
      <c r="E902" s="28"/>
    </row>
    <row r="903">
      <c r="A903" s="28"/>
      <c r="B903" s="28"/>
      <c r="C903" s="28"/>
      <c r="D903" s="28"/>
      <c r="E903" s="28"/>
    </row>
    <row r="904">
      <c r="A904" s="28"/>
      <c r="B904" s="28"/>
      <c r="C904" s="28"/>
      <c r="D904" s="28"/>
      <c r="E904" s="28"/>
    </row>
    <row r="905">
      <c r="A905" s="28"/>
      <c r="B905" s="28"/>
      <c r="C905" s="28"/>
      <c r="D905" s="28"/>
      <c r="E905" s="28"/>
    </row>
    <row r="906">
      <c r="A906" s="28"/>
      <c r="B906" s="28"/>
      <c r="C906" s="28"/>
      <c r="D906" s="28"/>
      <c r="E906" s="28"/>
    </row>
    <row r="907">
      <c r="A907" s="28"/>
      <c r="B907" s="28"/>
      <c r="C907" s="28"/>
      <c r="D907" s="28"/>
      <c r="E907" s="28"/>
    </row>
    <row r="908">
      <c r="A908" s="28"/>
      <c r="B908" s="28"/>
      <c r="C908" s="28"/>
      <c r="D908" s="28"/>
      <c r="E908" s="28"/>
    </row>
    <row r="909">
      <c r="A909" s="28"/>
      <c r="B909" s="28"/>
      <c r="C909" s="28"/>
      <c r="D909" s="28"/>
      <c r="E909" s="28"/>
    </row>
    <row r="910">
      <c r="A910" s="28"/>
      <c r="B910" s="28"/>
      <c r="C910" s="28"/>
      <c r="D910" s="28"/>
      <c r="E910" s="28"/>
    </row>
    <row r="911">
      <c r="A911" s="28"/>
      <c r="B911" s="28"/>
      <c r="C911" s="28"/>
      <c r="D911" s="28"/>
      <c r="E911" s="28"/>
    </row>
    <row r="912">
      <c r="A912" s="28"/>
      <c r="B912" s="28"/>
      <c r="C912" s="28"/>
      <c r="D912" s="28"/>
      <c r="E912" s="28"/>
    </row>
    <row r="913">
      <c r="A913" s="28"/>
      <c r="B913" s="28"/>
      <c r="C913" s="28"/>
      <c r="D913" s="28"/>
      <c r="E913" s="28"/>
    </row>
    <row r="914">
      <c r="A914" s="28"/>
      <c r="B914" s="28"/>
      <c r="C914" s="28"/>
      <c r="D914" s="28"/>
      <c r="E914" s="28"/>
    </row>
    <row r="915">
      <c r="A915" s="28"/>
      <c r="B915" s="28"/>
      <c r="C915" s="28"/>
      <c r="D915" s="28"/>
      <c r="E915" s="28"/>
    </row>
    <row r="916">
      <c r="A916" s="28"/>
      <c r="B916" s="28"/>
      <c r="C916" s="28"/>
      <c r="D916" s="28"/>
      <c r="E916" s="28"/>
    </row>
    <row r="917">
      <c r="A917" s="28"/>
      <c r="B917" s="28"/>
      <c r="C917" s="28"/>
      <c r="D917" s="28"/>
      <c r="E917" s="28"/>
    </row>
    <row r="918">
      <c r="A918" s="28"/>
      <c r="B918" s="28"/>
      <c r="C918" s="28"/>
      <c r="D918" s="28"/>
      <c r="E918" s="28"/>
    </row>
    <row r="919">
      <c r="A919" s="28"/>
      <c r="B919" s="28"/>
      <c r="C919" s="28"/>
      <c r="D919" s="28"/>
      <c r="E919" s="28"/>
    </row>
    <row r="920">
      <c r="A920" s="28"/>
      <c r="B920" s="28"/>
      <c r="C920" s="28"/>
      <c r="D920" s="28"/>
      <c r="E920" s="28"/>
    </row>
    <row r="921">
      <c r="A921" s="28"/>
      <c r="B921" s="28"/>
      <c r="C921" s="28"/>
      <c r="D921" s="28"/>
      <c r="E921" s="28"/>
    </row>
    <row r="922">
      <c r="A922" s="28"/>
      <c r="B922" s="28"/>
      <c r="C922" s="28"/>
      <c r="D922" s="28"/>
      <c r="E922" s="28"/>
    </row>
    <row r="923">
      <c r="A923" s="28"/>
      <c r="B923" s="28"/>
      <c r="C923" s="28"/>
      <c r="D923" s="28"/>
      <c r="E923" s="28"/>
    </row>
    <row r="924">
      <c r="A924" s="28"/>
      <c r="B924" s="28"/>
      <c r="C924" s="28"/>
      <c r="D924" s="28"/>
      <c r="E924" s="28"/>
    </row>
    <row r="925">
      <c r="A925" s="28"/>
      <c r="B925" s="28"/>
      <c r="C925" s="28"/>
      <c r="D925" s="28"/>
      <c r="E925" s="28"/>
    </row>
    <row r="926">
      <c r="A926" s="28"/>
      <c r="B926" s="28"/>
      <c r="C926" s="28"/>
      <c r="D926" s="28"/>
      <c r="E926" s="28"/>
    </row>
    <row r="927">
      <c r="A927" s="28"/>
      <c r="B927" s="28"/>
      <c r="C927" s="28"/>
      <c r="D927" s="28"/>
      <c r="E927" s="28"/>
    </row>
    <row r="928">
      <c r="A928" s="28"/>
      <c r="B928" s="28"/>
      <c r="C928" s="28"/>
      <c r="D928" s="28"/>
      <c r="E928" s="28"/>
    </row>
    <row r="929">
      <c r="A929" s="28"/>
      <c r="B929" s="28"/>
      <c r="C929" s="28"/>
      <c r="D929" s="28"/>
      <c r="E929" s="28"/>
    </row>
    <row r="930">
      <c r="A930" s="28"/>
      <c r="B930" s="28"/>
      <c r="C930" s="28"/>
      <c r="D930" s="28"/>
      <c r="E930" s="28"/>
    </row>
    <row r="931">
      <c r="A931" s="28"/>
      <c r="B931" s="28"/>
      <c r="C931" s="28"/>
      <c r="D931" s="28"/>
      <c r="E931" s="28"/>
    </row>
    <row r="932">
      <c r="A932" s="28"/>
      <c r="B932" s="28"/>
      <c r="C932" s="28"/>
      <c r="D932" s="28"/>
      <c r="E932" s="28"/>
    </row>
    <row r="933">
      <c r="A933" s="28"/>
      <c r="B933" s="28"/>
      <c r="C933" s="28"/>
      <c r="D933" s="28"/>
      <c r="E933" s="28"/>
    </row>
    <row r="934">
      <c r="A934" s="28"/>
      <c r="B934" s="28"/>
      <c r="C934" s="28"/>
      <c r="D934" s="28"/>
      <c r="E934" s="28"/>
    </row>
    <row r="935">
      <c r="A935" s="28"/>
      <c r="B935" s="28"/>
      <c r="C935" s="28"/>
      <c r="D935" s="28"/>
      <c r="E935" s="28"/>
    </row>
    <row r="936">
      <c r="A936" s="28"/>
      <c r="B936" s="28"/>
      <c r="C936" s="28"/>
      <c r="D936" s="28"/>
      <c r="E936" s="28"/>
    </row>
    <row r="937">
      <c r="A937" s="28"/>
      <c r="B937" s="28"/>
      <c r="C937" s="28"/>
      <c r="D937" s="28"/>
      <c r="E937" s="28"/>
    </row>
    <row r="938">
      <c r="A938" s="28"/>
      <c r="B938" s="28"/>
      <c r="C938" s="28"/>
      <c r="D938" s="28"/>
      <c r="E938" s="28"/>
    </row>
    <row r="939">
      <c r="A939" s="28"/>
      <c r="B939" s="28"/>
      <c r="C939" s="28"/>
      <c r="D939" s="28"/>
      <c r="E939" s="28"/>
    </row>
    <row r="940">
      <c r="A940" s="28"/>
      <c r="B940" s="28"/>
      <c r="C940" s="28"/>
      <c r="D940" s="28"/>
      <c r="E940" s="28"/>
    </row>
    <row r="941">
      <c r="A941" s="28"/>
      <c r="B941" s="28"/>
      <c r="C941" s="28"/>
      <c r="D941" s="28"/>
      <c r="E941" s="28"/>
    </row>
    <row r="942">
      <c r="A942" s="28"/>
      <c r="B942" s="28"/>
      <c r="C942" s="28"/>
      <c r="D942" s="28"/>
      <c r="E942" s="28"/>
    </row>
    <row r="943">
      <c r="A943" s="28"/>
      <c r="B943" s="28"/>
      <c r="C943" s="28"/>
      <c r="D943" s="28"/>
      <c r="E943" s="28"/>
    </row>
    <row r="944">
      <c r="A944" s="28"/>
      <c r="B944" s="28"/>
      <c r="C944" s="28"/>
      <c r="D944" s="28"/>
      <c r="E944" s="28"/>
    </row>
    <row r="945">
      <c r="A945" s="28"/>
      <c r="B945" s="28"/>
      <c r="C945" s="28"/>
      <c r="D945" s="28"/>
      <c r="E945" s="28"/>
    </row>
    <row r="946">
      <c r="A946" s="28"/>
      <c r="B946" s="28"/>
      <c r="C946" s="28"/>
      <c r="D946" s="28"/>
      <c r="E946" s="28"/>
    </row>
    <row r="947">
      <c r="A947" s="28"/>
      <c r="B947" s="28"/>
      <c r="C947" s="28"/>
      <c r="D947" s="28"/>
      <c r="E947" s="28"/>
    </row>
    <row r="948">
      <c r="A948" s="28"/>
      <c r="B948" s="28"/>
      <c r="C948" s="28"/>
      <c r="D948" s="28"/>
      <c r="E948" s="28"/>
    </row>
    <row r="949">
      <c r="A949" s="28"/>
      <c r="B949" s="28"/>
      <c r="C949" s="28"/>
      <c r="D949" s="28"/>
      <c r="E949" s="28"/>
    </row>
    <row r="950">
      <c r="A950" s="28"/>
      <c r="B950" s="28"/>
      <c r="C950" s="28"/>
      <c r="D950" s="28"/>
      <c r="E950" s="28"/>
    </row>
    <row r="951">
      <c r="A951" s="28"/>
      <c r="B951" s="28"/>
      <c r="C951" s="28"/>
      <c r="D951" s="28"/>
      <c r="E951" s="28"/>
    </row>
    <row r="952">
      <c r="A952" s="28"/>
      <c r="B952" s="28"/>
      <c r="C952" s="28"/>
      <c r="D952" s="28"/>
      <c r="E952" s="28"/>
    </row>
    <row r="953">
      <c r="A953" s="28"/>
      <c r="B953" s="28"/>
      <c r="C953" s="28"/>
      <c r="D953" s="28"/>
      <c r="E953" s="28"/>
    </row>
    <row r="954">
      <c r="A954" s="28"/>
      <c r="B954" s="28"/>
      <c r="C954" s="28"/>
      <c r="D954" s="28"/>
      <c r="E954" s="28"/>
    </row>
    <row r="955">
      <c r="A955" s="28"/>
      <c r="B955" s="28"/>
      <c r="C955" s="28"/>
      <c r="D955" s="28"/>
      <c r="E955" s="28"/>
    </row>
    <row r="956">
      <c r="A956" s="28"/>
      <c r="B956" s="28"/>
      <c r="C956" s="28"/>
      <c r="D956" s="28"/>
      <c r="E956" s="28"/>
    </row>
    <row r="957">
      <c r="A957" s="28"/>
      <c r="B957" s="28"/>
      <c r="C957" s="28"/>
      <c r="D957" s="28"/>
      <c r="E957" s="28"/>
    </row>
    <row r="958">
      <c r="A958" s="28"/>
      <c r="B958" s="28"/>
      <c r="C958" s="28"/>
      <c r="D958" s="28"/>
      <c r="E958" s="28"/>
    </row>
    <row r="959">
      <c r="A959" s="28"/>
      <c r="B959" s="28"/>
      <c r="C959" s="28"/>
      <c r="D959" s="28"/>
      <c r="E959" s="28"/>
    </row>
    <row r="960">
      <c r="A960" s="28"/>
      <c r="B960" s="28"/>
      <c r="C960" s="28"/>
      <c r="D960" s="28"/>
      <c r="E960" s="28"/>
    </row>
    <row r="961">
      <c r="A961" s="28"/>
      <c r="B961" s="28"/>
      <c r="C961" s="28"/>
      <c r="D961" s="28"/>
      <c r="E961" s="28"/>
    </row>
    <row r="962">
      <c r="A962" s="28"/>
      <c r="B962" s="28"/>
      <c r="C962" s="28"/>
      <c r="D962" s="28"/>
      <c r="E962" s="28"/>
    </row>
    <row r="963">
      <c r="A963" s="28"/>
      <c r="B963" s="28"/>
      <c r="C963" s="28"/>
      <c r="D963" s="28"/>
      <c r="E963" s="28"/>
    </row>
    <row r="964">
      <c r="A964" s="28"/>
      <c r="B964" s="28"/>
      <c r="C964" s="28"/>
      <c r="D964" s="28"/>
      <c r="E964" s="28"/>
    </row>
    <row r="965">
      <c r="A965" s="28"/>
      <c r="B965" s="28"/>
      <c r="C965" s="28"/>
      <c r="D965" s="28"/>
      <c r="E965" s="28"/>
    </row>
    <row r="966">
      <c r="A966" s="28"/>
      <c r="B966" s="28"/>
      <c r="C966" s="28"/>
      <c r="D966" s="28"/>
      <c r="E966" s="28"/>
    </row>
    <row r="967">
      <c r="A967" s="28"/>
      <c r="B967" s="28"/>
      <c r="C967" s="28"/>
      <c r="D967" s="28"/>
      <c r="E967" s="28"/>
    </row>
    <row r="968">
      <c r="A968" s="28"/>
      <c r="B968" s="28"/>
      <c r="C968" s="28"/>
      <c r="D968" s="28"/>
      <c r="E968" s="2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sheetData>
    <row r="1">
      <c r="A1" s="28" t="str">
        <f>IFERROR(__xludf.DUMMYFUNCTION("IMPORTRANGE(""https://docs.google.com/spreadsheets/d/1RtZ-T1qK2oKSLwTNy37Dv1Bi3gFuFl5fIUOdgg7OYOI/edit?gid=695321331#gid=695321331"", ""Campañas Limpio!a1:m"")"),"Id Cuenta")</f>
        <v>Id Cuenta</v>
      </c>
      <c r="B1" s="28" t="str">
        <f>IFERROR(__xludf.DUMMYFUNCTION("""COMPUTED_VALUE"""),"Campaña")</f>
        <v>Campaña</v>
      </c>
      <c r="C1" s="28" t="str">
        <f>IFERROR(__xludf.DUMMYFUNCTION("""COMPUTED_VALUE"""),"Audiencia Sugerida")</f>
        <v>Audiencia Sugerida</v>
      </c>
      <c r="D1" s="28" t="str">
        <f>IFERROR(__xludf.DUMMYFUNCTION("""COMPUTED_VALUE"""),"Descripcion")</f>
        <v>Descripcion</v>
      </c>
      <c r="E1" s="12" t="str">
        <f>IFERROR(__xludf.DUMMYFUNCTION("""COMPUTED_VALUE"""),"Personas C/Dato de Contacto")</f>
        <v>Personas C/Dato de Contacto</v>
      </c>
      <c r="F1" s="28" t="str">
        <f>IFERROR(__xludf.DUMMYFUNCTION("""COMPUTED_VALUE"""),"Categoria")</f>
        <v>Categoria</v>
      </c>
      <c r="G1" s="28" t="str">
        <f>IFERROR(__xludf.DUMMYFUNCTION("""COMPUTED_VALUE"""),"Estado")</f>
        <v>Estado</v>
      </c>
      <c r="H1" s="28"/>
      <c r="I1" s="28"/>
      <c r="J1" s="28"/>
      <c r="K1" s="28"/>
      <c r="L1" s="28"/>
      <c r="M1" s="28"/>
    </row>
    <row r="2">
      <c r="A2" s="28" t="str">
        <f>IFERROR(__xludf.DUMMYFUNCTION("""COMPUTED_VALUE"""),"#N/A")</f>
        <v>#N/A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</row>
    <row r="1007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</row>
    <row r="1008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</row>
    <row r="1009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</row>
    <row r="1010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</row>
    <row r="1011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</row>
    <row r="1012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</row>
    <row r="1013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</row>
    <row r="1014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</row>
    <row r="1015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</row>
    <row r="1016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</row>
    <row r="1017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</row>
    <row r="1018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</row>
    <row r="1019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</row>
    <row r="1020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</row>
    <row r="1021">
      <c r="A1021" s="28"/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</row>
    <row r="1022">
      <c r="A1022" s="28"/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</row>
    <row r="1023">
      <c r="A1023" s="28"/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</row>
    <row r="1024">
      <c r="A1024" s="28"/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</row>
    <row r="1025">
      <c r="A1025" s="28"/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</row>
    <row r="1026">
      <c r="A1026" s="28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</row>
    <row r="1027">
      <c r="A1027" s="28"/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</row>
    <row r="1028">
      <c r="A1028" s="28"/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</row>
    <row r="1029">
      <c r="A1029" s="28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</row>
    <row r="1030">
      <c r="A1030" s="28"/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</row>
    <row r="1031">
      <c r="A1031" s="28"/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</row>
    <row r="1032">
      <c r="A1032" s="28"/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</row>
    <row r="1033">
      <c r="A1033" s="28"/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</row>
    <row r="1034">
      <c r="A1034" s="28"/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</row>
    <row r="1035">
      <c r="A1035" s="28"/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</row>
    <row r="1036">
      <c r="A1036" s="28"/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</row>
    <row r="1037">
      <c r="A1037" s="28"/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</row>
    <row r="1038">
      <c r="A1038" s="28"/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</row>
    <row r="1039">
      <c r="A1039" s="28"/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</row>
    <row r="1040">
      <c r="A1040" s="28"/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</row>
    <row r="1041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</row>
    <row r="1042">
      <c r="A1042" s="28"/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</row>
    <row r="1043">
      <c r="A1043" s="28"/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</row>
    <row r="1044">
      <c r="A1044" s="28"/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</row>
    <row r="1045">
      <c r="A1045" s="28"/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</row>
    <row r="1046">
      <c r="A1046" s="28"/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</row>
    <row r="1047">
      <c r="A1047" s="28"/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</row>
    <row r="1048">
      <c r="A1048" s="28"/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</row>
    <row r="1049">
      <c r="A1049" s="28"/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</row>
    <row r="1050">
      <c r="A1050" s="28"/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</row>
    <row r="1051">
      <c r="A1051" s="28"/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</row>
    <row r="1052">
      <c r="A1052" s="28"/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</row>
    <row r="1053">
      <c r="A1053" s="28"/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</row>
    <row r="1054">
      <c r="A1054" s="28"/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</row>
    <row r="1055">
      <c r="A1055" s="28"/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</row>
    <row r="1056">
      <c r="A1056" s="28"/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</row>
    <row r="1057">
      <c r="A1057" s="28"/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</row>
    <row r="1058">
      <c r="A1058" s="28"/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</row>
    <row r="1059">
      <c r="A1059" s="28"/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</row>
    <row r="1060">
      <c r="A1060" s="28"/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</row>
    <row r="1061">
      <c r="A1061" s="28"/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</row>
    <row r="1062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</row>
    <row r="1063">
      <c r="A1063" s="28"/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</row>
    <row r="1064">
      <c r="A1064" s="28"/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</row>
    <row r="1065">
      <c r="A1065" s="28"/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</row>
    <row r="1066">
      <c r="A1066" s="28"/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</row>
    <row r="1067">
      <c r="A1067" s="28"/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</row>
    <row r="1068">
      <c r="A1068" s="28"/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</row>
    <row r="1069">
      <c r="A1069" s="28"/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</row>
    <row r="1070">
      <c r="A1070" s="28"/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</row>
    <row r="1071">
      <c r="A1071" s="28"/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</row>
    <row r="1072">
      <c r="A1072" s="28"/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</row>
    <row r="1073">
      <c r="A1073" s="28"/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</row>
    <row r="1074">
      <c r="A1074" s="28"/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</row>
    <row r="1075">
      <c r="A1075" s="28"/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</row>
    <row r="1076">
      <c r="A1076" s="28"/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</row>
    <row r="1077">
      <c r="A1077" s="28"/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</row>
    <row r="1078">
      <c r="A1078" s="28"/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</row>
    <row r="1079">
      <c r="A1079" s="28"/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</row>
    <row r="1080">
      <c r="A1080" s="28"/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</row>
    <row r="1081">
      <c r="A1081" s="28"/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</row>
    <row r="1082">
      <c r="A1082" s="28"/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</row>
    <row r="1083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</row>
    <row r="1084">
      <c r="A1084" s="28"/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</row>
    <row r="1085">
      <c r="A1085" s="28"/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</row>
    <row r="1086">
      <c r="A1086" s="28"/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</row>
    <row r="1087">
      <c r="A1087" s="28"/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</row>
    <row r="1088">
      <c r="A1088" s="28"/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</row>
    <row r="1089">
      <c r="A1089" s="28"/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</row>
    <row r="1090">
      <c r="A1090" s="28"/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</row>
    <row r="1091">
      <c r="A1091" s="28"/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</row>
    <row r="1092">
      <c r="A1092" s="28"/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</row>
    <row r="1093">
      <c r="A1093" s="28"/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</row>
    <row r="1094">
      <c r="A1094" s="28"/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</row>
    <row r="1095">
      <c r="A1095" s="28"/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</row>
    <row r="1096">
      <c r="A1096" s="28"/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</row>
    <row r="1097">
      <c r="A1097" s="28"/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</row>
    <row r="1098">
      <c r="A1098" s="28"/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</row>
    <row r="1099">
      <c r="A1099" s="28"/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</row>
    <row r="1100">
      <c r="A1100" s="28"/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</row>
    <row r="1101">
      <c r="A1101" s="28"/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</row>
    <row r="1102">
      <c r="A1102" s="28"/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</row>
    <row r="1103">
      <c r="A1103" s="28"/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</row>
    <row r="1104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</row>
    <row r="1105">
      <c r="A1105" s="28"/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</row>
    <row r="1106">
      <c r="A1106" s="28"/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</row>
    <row r="1107">
      <c r="A1107" s="28"/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</row>
    <row r="1108">
      <c r="A1108" s="28"/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</row>
    <row r="1109">
      <c r="A1109" s="28"/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</row>
    <row r="1110">
      <c r="A1110" s="28"/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</row>
    <row r="1111">
      <c r="A1111" s="28"/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</row>
    <row r="1112">
      <c r="A1112" s="28"/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</row>
    <row r="1113">
      <c r="A1113" s="28"/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</row>
    <row r="1114">
      <c r="A1114" s="28"/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</row>
    <row r="1115">
      <c r="A1115" s="28"/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</row>
    <row r="1116">
      <c r="A1116" s="28"/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</row>
    <row r="1117">
      <c r="A1117" s="28"/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</row>
    <row r="1118">
      <c r="A1118" s="28"/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</row>
    <row r="1119">
      <c r="A1119" s="28"/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</row>
    <row r="1120">
      <c r="A1120" s="28"/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</row>
    <row r="1121">
      <c r="A1121" s="28"/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</row>
    <row r="1122">
      <c r="A1122" s="28"/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</row>
    <row r="1123">
      <c r="A1123" s="28"/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</row>
    <row r="1124">
      <c r="A1124" s="28"/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</row>
    <row r="1125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</row>
    <row r="1126">
      <c r="A1126" s="28"/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</row>
    <row r="1127">
      <c r="A1127" s="28"/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</row>
    <row r="1128">
      <c r="A1128" s="28"/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</row>
    <row r="1129">
      <c r="A1129" s="28"/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</row>
    <row r="1130">
      <c r="A1130" s="28"/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</row>
    <row r="1131">
      <c r="A1131" s="28"/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</row>
    <row r="1132">
      <c r="A1132" s="28"/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</row>
    <row r="1133">
      <c r="A1133" s="28"/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</row>
    <row r="1134">
      <c r="A1134" s="28"/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</row>
    <row r="1135">
      <c r="A1135" s="28"/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</row>
    <row r="1136">
      <c r="A1136" s="28"/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</row>
    <row r="1137">
      <c r="A1137" s="28"/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</row>
    <row r="1138">
      <c r="A1138" s="28"/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</row>
    <row r="1139">
      <c r="A1139" s="28"/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</row>
    <row r="1140">
      <c r="A1140" s="28"/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</row>
    <row r="1141">
      <c r="A1141" s="28"/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</row>
    <row r="1142">
      <c r="A1142" s="28"/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</row>
    <row r="1143">
      <c r="A1143" s="28"/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</row>
    <row r="1144">
      <c r="A1144" s="28"/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</row>
    <row r="1145">
      <c r="A1145" s="28"/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</row>
    <row r="1146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</row>
    <row r="1147">
      <c r="A1147" s="28"/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</row>
    <row r="1148">
      <c r="A1148" s="28"/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</row>
    <row r="1149">
      <c r="A1149" s="28"/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</row>
    <row r="1150">
      <c r="A1150" s="28"/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</row>
    <row r="1151">
      <c r="A1151" s="28"/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</row>
    <row r="1152">
      <c r="A1152" s="28"/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</row>
    <row r="1153">
      <c r="A1153" s="28"/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</row>
    <row r="1154">
      <c r="A1154" s="28"/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</row>
    <row r="1155">
      <c r="A1155" s="28"/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</row>
    <row r="1156">
      <c r="A1156" s="28"/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</row>
    <row r="1157">
      <c r="A1157" s="28"/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</row>
    <row r="1158">
      <c r="A1158" s="28"/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</row>
    <row r="1159">
      <c r="A1159" s="28"/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</row>
    <row r="1160">
      <c r="A1160" s="28"/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</row>
    <row r="1161">
      <c r="A1161" s="28"/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</row>
    <row r="1162">
      <c r="A1162" s="28"/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</row>
    <row r="1163">
      <c r="A1163" s="28"/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</row>
    <row r="1164">
      <c r="A1164" s="28"/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</row>
    <row r="1165">
      <c r="A1165" s="28"/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</row>
    <row r="1166">
      <c r="A1166" s="28"/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</row>
    <row r="1167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</row>
    <row r="1168">
      <c r="A1168" s="28"/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</row>
    <row r="1169">
      <c r="A1169" s="28"/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</row>
    <row r="1170">
      <c r="A1170" s="28"/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</row>
    <row r="1171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</row>
    <row r="1172">
      <c r="A1172" s="28"/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</row>
    <row r="1173">
      <c r="A1173" s="28"/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</row>
    <row r="1174">
      <c r="A1174" s="28"/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</row>
    <row r="1175">
      <c r="A1175" s="28"/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</row>
    <row r="1176">
      <c r="A1176" s="28"/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</row>
    <row r="1177">
      <c r="A1177" s="28"/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</row>
    <row r="1178">
      <c r="A1178" s="28"/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</row>
    <row r="1179">
      <c r="A1179" s="28"/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</row>
    <row r="1180">
      <c r="A1180" s="28"/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</row>
    <row r="1181">
      <c r="A1181" s="28"/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</row>
    <row r="1182">
      <c r="A1182" s="28"/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</row>
    <row r="1183">
      <c r="A1183" s="28"/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</row>
    <row r="1184">
      <c r="A1184" s="28"/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</row>
    <row r="1185">
      <c r="A1185" s="28"/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</row>
    <row r="1186">
      <c r="A1186" s="28"/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</row>
    <row r="1187">
      <c r="A1187" s="28"/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</row>
    <row r="1188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</row>
    <row r="1189">
      <c r="A1189" s="28"/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</row>
    <row r="1190">
      <c r="A1190" s="28"/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</row>
    <row r="1191">
      <c r="A1191" s="28"/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</row>
    <row r="1192">
      <c r="A1192" s="28"/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</row>
    <row r="1193">
      <c r="A1193" s="28"/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</row>
    <row r="1194">
      <c r="A1194" s="28"/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</row>
    <row r="1195">
      <c r="A1195" s="28"/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</row>
    <row r="1196">
      <c r="A1196" s="28"/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</row>
    <row r="1197">
      <c r="A1197" s="28"/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</row>
    <row r="1198">
      <c r="A1198" s="28"/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</row>
    <row r="1199">
      <c r="A1199" s="28"/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</row>
    <row r="1200">
      <c r="A1200" s="28"/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</row>
    <row r="1201">
      <c r="A1201" s="28"/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</row>
    <row r="1202">
      <c r="A1202" s="28"/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</row>
    <row r="1203">
      <c r="A1203" s="28"/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</row>
    <row r="1204">
      <c r="A1204" s="28"/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</row>
    <row r="1205">
      <c r="A1205" s="28"/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</row>
    <row r="1206">
      <c r="A1206" s="28"/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</row>
    <row r="1207">
      <c r="A1207" s="28"/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</row>
    <row r="1208">
      <c r="A1208" s="28"/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</row>
    <row r="1209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</row>
    <row r="1210">
      <c r="A1210" s="28"/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</row>
    <row r="1211">
      <c r="A1211" s="28"/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</row>
    <row r="1212">
      <c r="A1212" s="28"/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</row>
    <row r="1213">
      <c r="A1213" s="28"/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</row>
    <row r="1214">
      <c r="A1214" s="28"/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</row>
    <row r="1215">
      <c r="A1215" s="28"/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</row>
    <row r="1216">
      <c r="A1216" s="28"/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</row>
    <row r="1217">
      <c r="A1217" s="28"/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</row>
    <row r="1218">
      <c r="A1218" s="28"/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</row>
    <row r="1219">
      <c r="A1219" s="28"/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</row>
    <row r="1220">
      <c r="A1220" s="28"/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</row>
    <row r="1221">
      <c r="A1221" s="28"/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</row>
    <row r="1222">
      <c r="A1222" s="28"/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</row>
    <row r="1223">
      <c r="A1223" s="28"/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</row>
    <row r="1224">
      <c r="A1224" s="28"/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</row>
    <row r="1225">
      <c r="A1225" s="28"/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</row>
    <row r="1226">
      <c r="A1226" s="28"/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</row>
    <row r="1227">
      <c r="A1227" s="28"/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</row>
    <row r="1228">
      <c r="A1228" s="28"/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</row>
    <row r="1229">
      <c r="A1229" s="28"/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</row>
    <row r="1230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</row>
    <row r="1231">
      <c r="A1231" s="28"/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</row>
    <row r="1232">
      <c r="A1232" s="28"/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</row>
    <row r="1233">
      <c r="A1233" s="28"/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</row>
    <row r="1234">
      <c r="A1234" s="28"/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</row>
    <row r="1235">
      <c r="A1235" s="28"/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</row>
    <row r="1236">
      <c r="A1236" s="28"/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</row>
    <row r="1237">
      <c r="A1237" s="28"/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</row>
    <row r="1238">
      <c r="A1238" s="28"/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</row>
    <row r="1239">
      <c r="A1239" s="28"/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</row>
    <row r="1240">
      <c r="A1240" s="28"/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</row>
    <row r="1241">
      <c r="A1241" s="28"/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</row>
    <row r="1242">
      <c r="A1242" s="28"/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</row>
    <row r="1243">
      <c r="A1243" s="28"/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</row>
    <row r="1244">
      <c r="A1244" s="28"/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</row>
    <row r="1245">
      <c r="A1245" s="28"/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</row>
    <row r="1246">
      <c r="A1246" s="28"/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</row>
    <row r="1247">
      <c r="A1247" s="28"/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</row>
    <row r="1248">
      <c r="A1248" s="28"/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</row>
    <row r="1249">
      <c r="A1249" s="28"/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</row>
    <row r="1250">
      <c r="A1250" s="28"/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</row>
    <row r="1251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</row>
    <row r="1252">
      <c r="A1252" s="28"/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</row>
    <row r="1253">
      <c r="A1253" s="28"/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</row>
    <row r="1254">
      <c r="A1254" s="28"/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</row>
    <row r="1255">
      <c r="A1255" s="28"/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</row>
    <row r="1256">
      <c r="A1256" s="28"/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</row>
    <row r="1257">
      <c r="A1257" s="28"/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</row>
    <row r="1258">
      <c r="A1258" s="28"/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</row>
    <row r="1259">
      <c r="A1259" s="28"/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</row>
    <row r="1260">
      <c r="A1260" s="28"/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</row>
    <row r="1261">
      <c r="A1261" s="28"/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</row>
    <row r="1262">
      <c r="A1262" s="28"/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</row>
    <row r="1263">
      <c r="A1263" s="28"/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</row>
    <row r="1264">
      <c r="A1264" s="28"/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</row>
    <row r="1265">
      <c r="A1265" s="28"/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</row>
    <row r="1266">
      <c r="A1266" s="28"/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</row>
    <row r="1267">
      <c r="A1267" s="28"/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</row>
    <row r="1268">
      <c r="A1268" s="28"/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</row>
    <row r="1269">
      <c r="A1269" s="28"/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</row>
    <row r="1270">
      <c r="A1270" s="28"/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</row>
    <row r="1271">
      <c r="A1271" s="28"/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</row>
    <row r="1272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</row>
    <row r="1273">
      <c r="A1273" s="28"/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</row>
    <row r="1274">
      <c r="A1274" s="28"/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</row>
    <row r="1275">
      <c r="A1275" s="28"/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</row>
    <row r="1276">
      <c r="A1276" s="28"/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</row>
    <row r="1277">
      <c r="A1277" s="28"/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/>
    </row>
    <row r="1278">
      <c r="A1278" s="28"/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</row>
    <row r="1279">
      <c r="A1279" s="28"/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</row>
    <row r="1280">
      <c r="A1280" s="28"/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</row>
    <row r="1281">
      <c r="A1281" s="28"/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</row>
    <row r="1282">
      <c r="A1282" s="28"/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</row>
    <row r="1283">
      <c r="A1283" s="28"/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</row>
    <row r="1284">
      <c r="A1284" s="28"/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</row>
    <row r="1285">
      <c r="A1285" s="28"/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</row>
    <row r="1286">
      <c r="A1286" s="28"/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</row>
    <row r="1287">
      <c r="A1287" s="28"/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</row>
    <row r="1288">
      <c r="A1288" s="28"/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</row>
    <row r="1289">
      <c r="A1289" s="28"/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</row>
    <row r="1290">
      <c r="A1290" s="28"/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</row>
    <row r="1291">
      <c r="A1291" s="28"/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</row>
    <row r="1292">
      <c r="A1292" s="28"/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</row>
    <row r="1293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</row>
    <row r="1294">
      <c r="A1294" s="28"/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</row>
    <row r="1295">
      <c r="A1295" s="28"/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</row>
    <row r="1296">
      <c r="A1296" s="28"/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</row>
    <row r="1297">
      <c r="A1297" s="28"/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</row>
    <row r="1298">
      <c r="A1298" s="28"/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</row>
    <row r="1299">
      <c r="A1299" s="28"/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</row>
    <row r="1300">
      <c r="A1300" s="28"/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</row>
    <row r="1301">
      <c r="A1301" s="28"/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</row>
    <row r="1302">
      <c r="A1302" s="28"/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</row>
    <row r="1303">
      <c r="A1303" s="28"/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</row>
    <row r="1304">
      <c r="A1304" s="28"/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</row>
    <row r="1305">
      <c r="A1305" s="28"/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</row>
    <row r="1306">
      <c r="A1306" s="28"/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</row>
    <row r="1307">
      <c r="A1307" s="28"/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</row>
    <row r="1308">
      <c r="A1308" s="28"/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</row>
    <row r="1309">
      <c r="A1309" s="28"/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</row>
    <row r="1310">
      <c r="A1310" s="28"/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</row>
    <row r="1311">
      <c r="A1311" s="28"/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</row>
    <row r="1312">
      <c r="A1312" s="28"/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</row>
    <row r="1313">
      <c r="A1313" s="28"/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</row>
    <row r="1314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</row>
    <row r="1315">
      <c r="A1315" s="28"/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</row>
    <row r="1316">
      <c r="A1316" s="28"/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</row>
    <row r="1317">
      <c r="A1317" s="28"/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</row>
    <row r="1318">
      <c r="A1318" s="28"/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</row>
    <row r="1319">
      <c r="A1319" s="28"/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</row>
    <row r="1320">
      <c r="A1320" s="28"/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</row>
    <row r="1321">
      <c r="A1321" s="28"/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</row>
    <row r="1322">
      <c r="A1322" s="28"/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</row>
    <row r="1323">
      <c r="A1323" s="28"/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</row>
    <row r="1324">
      <c r="A1324" s="28"/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</row>
    <row r="1325">
      <c r="A1325" s="28"/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</row>
    <row r="1326">
      <c r="A1326" s="28"/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</row>
    <row r="1327">
      <c r="A1327" s="28"/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/>
    </row>
    <row r="1328">
      <c r="A1328" s="28"/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</row>
    <row r="1329">
      <c r="A1329" s="28"/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</row>
    <row r="1330">
      <c r="A1330" s="28"/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</row>
    <row r="1331">
      <c r="A1331" s="28"/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</row>
    <row r="1332">
      <c r="A1332" s="28"/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</row>
    <row r="1333">
      <c r="A1333" s="28"/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</row>
    <row r="1334">
      <c r="A1334" s="28"/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</row>
    <row r="1335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</row>
    <row r="1336">
      <c r="A1336" s="28"/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</row>
    <row r="1337">
      <c r="A1337" s="28"/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</row>
    <row r="1338">
      <c r="A1338" s="28"/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</row>
    <row r="1339">
      <c r="A1339" s="28"/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</row>
    <row r="1340">
      <c r="A1340" s="28"/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</row>
    <row r="1341">
      <c r="A1341" s="28"/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</row>
    <row r="1342">
      <c r="A1342" s="28"/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</row>
    <row r="1343">
      <c r="A1343" s="28"/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</row>
    <row r="1344">
      <c r="A1344" s="28"/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</row>
    <row r="1345">
      <c r="A1345" s="28"/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</row>
    <row r="1346">
      <c r="A1346" s="28"/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</row>
    <row r="1347">
      <c r="A1347" s="28"/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</row>
    <row r="1348">
      <c r="A1348" s="28"/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</row>
    <row r="1349">
      <c r="A1349" s="28"/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</row>
    <row r="1350">
      <c r="A1350" s="28"/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</row>
    <row r="1351">
      <c r="A1351" s="28"/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</row>
    <row r="1352">
      <c r="A1352" s="28"/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</row>
    <row r="1353">
      <c r="A1353" s="28"/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</row>
    <row r="1354">
      <c r="A1354" s="28"/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</row>
    <row r="1355">
      <c r="A1355" s="28"/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</row>
    <row r="1356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</row>
    <row r="1357">
      <c r="A1357" s="28"/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</row>
    <row r="1358">
      <c r="A1358" s="28"/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</row>
    <row r="1359">
      <c r="A1359" s="28"/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</row>
    <row r="1360">
      <c r="A1360" s="28"/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</row>
    <row r="1361">
      <c r="A1361" s="28"/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</row>
    <row r="1362">
      <c r="A1362" s="28"/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</row>
    <row r="1363">
      <c r="A1363" s="28"/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</row>
    <row r="1364">
      <c r="A1364" s="28"/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</row>
    <row r="1365">
      <c r="A1365" s="28"/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</row>
    <row r="1366">
      <c r="A1366" s="28"/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</row>
    <row r="1367">
      <c r="A1367" s="28"/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</row>
    <row r="1368">
      <c r="A1368" s="28"/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</row>
    <row r="1369">
      <c r="A1369" s="28"/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</row>
    <row r="1370">
      <c r="A1370" s="28"/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</row>
    <row r="1371">
      <c r="A1371" s="28"/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</row>
    <row r="1372">
      <c r="A1372" s="28"/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</row>
    <row r="1373">
      <c r="A1373" s="28"/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</row>
    <row r="1374">
      <c r="A1374" s="28"/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</row>
    <row r="1375">
      <c r="A1375" s="28"/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</row>
    <row r="1376">
      <c r="A1376" s="28"/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</row>
    <row r="1377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</row>
    <row r="1378">
      <c r="A1378" s="28"/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</row>
    <row r="1379">
      <c r="A1379" s="28"/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</row>
    <row r="1380">
      <c r="A1380" s="28"/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</row>
    <row r="1381">
      <c r="A1381" s="28"/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</row>
    <row r="1382">
      <c r="A1382" s="28"/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</row>
    <row r="1383">
      <c r="A1383" s="28"/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</row>
    <row r="1384">
      <c r="A1384" s="28"/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</row>
    <row r="1385">
      <c r="A1385" s="28"/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</row>
    <row r="1386">
      <c r="A1386" s="28"/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</row>
    <row r="1387">
      <c r="A1387" s="28"/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</row>
    <row r="1388">
      <c r="A1388" s="28"/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</row>
    <row r="1389">
      <c r="A1389" s="28"/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</row>
    <row r="1390">
      <c r="A1390" s="28"/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</row>
    <row r="1391">
      <c r="A1391" s="28"/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</row>
    <row r="1392">
      <c r="A1392" s="28"/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</row>
    <row r="1393">
      <c r="A1393" s="28"/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</row>
    <row r="1394">
      <c r="A1394" s="28"/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</row>
    <row r="1395">
      <c r="A1395" s="28"/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</row>
    <row r="1396">
      <c r="A1396" s="28"/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</row>
    <row r="1397">
      <c r="A1397" s="28"/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</row>
    <row r="1398">
      <c r="A1398" s="28"/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</row>
    <row r="1399">
      <c r="A1399" s="28"/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</row>
    <row r="1400">
      <c r="A1400" s="28"/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</row>
    <row r="1401">
      <c r="A1401" s="28"/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</row>
    <row r="1402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</row>
    <row r="1403">
      <c r="A1403" s="28"/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</row>
    <row r="1404">
      <c r="A1404" s="28"/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</row>
    <row r="1405">
      <c r="A1405" s="28"/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</row>
    <row r="1406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</row>
    <row r="1407">
      <c r="A1407" s="28"/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</row>
    <row r="1408">
      <c r="A1408" s="28"/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</row>
    <row r="1409">
      <c r="A1409" s="28"/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</row>
    <row r="1410">
      <c r="A1410" s="28"/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</row>
    <row r="1411">
      <c r="A1411" s="28"/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</row>
    <row r="1412">
      <c r="A1412" s="28"/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</row>
    <row r="1413">
      <c r="A1413" s="28"/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</row>
    <row r="1414">
      <c r="A1414" s="28"/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</row>
    <row r="1415">
      <c r="A1415" s="28"/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</row>
    <row r="1416">
      <c r="A1416" s="28"/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</row>
    <row r="1417">
      <c r="A1417" s="28"/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</row>
    <row r="1418">
      <c r="A1418" s="28"/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</row>
    <row r="1419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</row>
    <row r="1420">
      <c r="A1420" s="28"/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</row>
    <row r="1421">
      <c r="A1421" s="28"/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</row>
    <row r="1422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</row>
    <row r="1423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</row>
    <row r="1424">
      <c r="A1424" s="28"/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</row>
    <row r="1425">
      <c r="A1425" s="28"/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</row>
    <row r="1426">
      <c r="A1426" s="28"/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</row>
    <row r="1427">
      <c r="A1427" s="28"/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</row>
    <row r="1428">
      <c r="A1428" s="28"/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</row>
    <row r="1429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</row>
    <row r="1430">
      <c r="A1430" s="28"/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</row>
    <row r="1431">
      <c r="A1431" s="28"/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</row>
    <row r="1432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</row>
    <row r="1433">
      <c r="A1433" s="28"/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</row>
    <row r="1434">
      <c r="A1434" s="28"/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</row>
    <row r="1435">
      <c r="A1435" s="28"/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</row>
    <row r="1436">
      <c r="A1436" s="28"/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</row>
    <row r="1437">
      <c r="A1437" s="28"/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</row>
    <row r="1438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</row>
    <row r="1439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</row>
    <row r="1440">
      <c r="A1440" s="28"/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</row>
    <row r="1441">
      <c r="A1441" s="28"/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</row>
    <row r="1442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</row>
    <row r="1443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</row>
    <row r="1444">
      <c r="A1444" s="28"/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</row>
    <row r="1445">
      <c r="A1445" s="28"/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</row>
    <row r="1446">
      <c r="A1446" s="28"/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</row>
    <row r="1447">
      <c r="A1447" s="28"/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</row>
    <row r="1448">
      <c r="A1448" s="28"/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</row>
    <row r="1449">
      <c r="A1449" s="28"/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</row>
    <row r="1450">
      <c r="A1450" s="28"/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</row>
    <row r="1451">
      <c r="A1451" s="28"/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</row>
    <row r="1452">
      <c r="A1452" s="28"/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</row>
    <row r="1453">
      <c r="A1453" s="28"/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</row>
    <row r="1454">
      <c r="A1454" s="28"/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</row>
    <row r="1455">
      <c r="A1455" s="28"/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</row>
    <row r="1456">
      <c r="A1456" s="28"/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</row>
    <row r="1457">
      <c r="A1457" s="28"/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</row>
    <row r="1458">
      <c r="A1458" s="28"/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</row>
    <row r="1459">
      <c r="A1459" s="28"/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</row>
    <row r="1460">
      <c r="A1460" s="28"/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</row>
    <row r="1461">
      <c r="A1461" s="28"/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</row>
    <row r="1462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</row>
    <row r="1463">
      <c r="A1463" s="28"/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</row>
    <row r="1464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</row>
    <row r="1465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</row>
    <row r="1466">
      <c r="A1466" s="28"/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</row>
    <row r="1467">
      <c r="A1467" s="28"/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</row>
    <row r="1468">
      <c r="A1468" s="28"/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</row>
    <row r="1469">
      <c r="A1469" s="28"/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</row>
    <row r="1470">
      <c r="A1470" s="28"/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</row>
    <row r="1471">
      <c r="A1471" s="28"/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</row>
    <row r="1472">
      <c r="A1472" s="28"/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</row>
    <row r="1473">
      <c r="A1473" s="28"/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</row>
    <row r="1474">
      <c r="A1474" s="28"/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</row>
    <row r="1475">
      <c r="A1475" s="28"/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</row>
    <row r="1476">
      <c r="A1476" s="28"/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</row>
    <row r="1477">
      <c r="A1477" s="28"/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</row>
    <row r="1478">
      <c r="A1478" s="28"/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</row>
    <row r="1479">
      <c r="A1479" s="28"/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</row>
    <row r="1480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</row>
    <row r="1481">
      <c r="A1481" s="28"/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</row>
    <row r="1482">
      <c r="A1482" s="28"/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</row>
    <row r="1483">
      <c r="A1483" s="28"/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</row>
    <row r="1484">
      <c r="A1484" s="28"/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</row>
    <row r="1485">
      <c r="A1485" s="28"/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</row>
    <row r="1486">
      <c r="A1486" s="28"/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</row>
    <row r="1487">
      <c r="A1487" s="28"/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</row>
    <row r="1488">
      <c r="A1488" s="28"/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</row>
    <row r="1489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</row>
    <row r="1490">
      <c r="A1490" s="28"/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</row>
    <row r="1491">
      <c r="A1491" s="28"/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</row>
    <row r="1492">
      <c r="A1492" s="28"/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</row>
    <row r="1493">
      <c r="A1493" s="28"/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</row>
    <row r="1494">
      <c r="A1494" s="28"/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</row>
    <row r="1495">
      <c r="A1495" s="28"/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</row>
    <row r="1496">
      <c r="A1496" s="28"/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</row>
    <row r="1497">
      <c r="A1497" s="28"/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</row>
    <row r="1498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</row>
    <row r="1499">
      <c r="A1499" s="28"/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</row>
    <row r="1500">
      <c r="A1500" s="28"/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</row>
    <row r="1501">
      <c r="A1501" s="28"/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</row>
    <row r="1502">
      <c r="A1502" s="28"/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</row>
    <row r="1503">
      <c r="A1503" s="28"/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</row>
    <row r="1504">
      <c r="A1504" s="28"/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</row>
    <row r="1505">
      <c r="A1505" s="28"/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</row>
    <row r="1506">
      <c r="A1506" s="28"/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</row>
    <row r="1507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</row>
    <row r="1508">
      <c r="A1508" s="28"/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</row>
    <row r="1509">
      <c r="A1509" s="28"/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</row>
    <row r="1510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</row>
    <row r="1511">
      <c r="A1511" s="28"/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</row>
    <row r="1512">
      <c r="A1512" s="28"/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</row>
    <row r="1513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</row>
    <row r="1514">
      <c r="A1514" s="28"/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</row>
    <row r="1515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</row>
    <row r="1516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</row>
    <row r="1517">
      <c r="A1517" s="28"/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</row>
    <row r="1518">
      <c r="A1518" s="28"/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</row>
    <row r="1519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</row>
    <row r="1520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</row>
    <row r="1521">
      <c r="A1521" s="28"/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</row>
    <row r="1522">
      <c r="A1522" s="28"/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</row>
    <row r="1523">
      <c r="A1523" s="28"/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</row>
    <row r="1524">
      <c r="A1524" s="28"/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</row>
    <row r="1525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</row>
    <row r="1526">
      <c r="A1526" s="28"/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</row>
    <row r="1527">
      <c r="A1527" s="28"/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</row>
    <row r="1528">
      <c r="A1528" s="28"/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</row>
    <row r="1529">
      <c r="A1529" s="28"/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</row>
    <row r="1530">
      <c r="A1530" s="28"/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</row>
    <row r="1531">
      <c r="A1531" s="28"/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</row>
    <row r="1532">
      <c r="A1532" s="28"/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</row>
    <row r="1533">
      <c r="A1533" s="28"/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</row>
    <row r="1534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</row>
    <row r="1535">
      <c r="A1535" s="28"/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</row>
    <row r="1536">
      <c r="A1536" s="28"/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</row>
    <row r="1537">
      <c r="A1537" s="28"/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</row>
    <row r="1538">
      <c r="A1538" s="28"/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</row>
    <row r="1539">
      <c r="A1539" s="28"/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</row>
    <row r="1540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</row>
    <row r="1541">
      <c r="A1541" s="28"/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</row>
    <row r="1542">
      <c r="A1542" s="28"/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</row>
    <row r="1543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</row>
    <row r="1544">
      <c r="A1544" s="28"/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</row>
    <row r="1545">
      <c r="A1545" s="28"/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</row>
    <row r="1546">
      <c r="A1546" s="28"/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</row>
    <row r="1547">
      <c r="A1547" s="28"/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</row>
    <row r="1548">
      <c r="A1548" s="28"/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</row>
    <row r="1549">
      <c r="A1549" s="28"/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</row>
    <row r="1550">
      <c r="A1550" s="28"/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</row>
    <row r="1551">
      <c r="A1551" s="28"/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</row>
    <row r="1552">
      <c r="A1552" s="28"/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</row>
    <row r="1553">
      <c r="A1553" s="28"/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</row>
    <row r="1554">
      <c r="A1554" s="28"/>
      <c r="B1554" s="28"/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</row>
    <row r="1555">
      <c r="A1555" s="28"/>
      <c r="B1555" s="28"/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/>
    </row>
    <row r="1556">
      <c r="A1556" s="28"/>
      <c r="B1556" s="28"/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</row>
    <row r="1557">
      <c r="A1557" s="28"/>
      <c r="B1557" s="28"/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</row>
    <row r="1558">
      <c r="A1558" s="28"/>
      <c r="B1558" s="28"/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/>
    </row>
    <row r="1559">
      <c r="A1559" s="28"/>
      <c r="B1559" s="28"/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/>
    </row>
    <row r="1560">
      <c r="A1560" s="28"/>
      <c r="B1560" s="28"/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</row>
    <row r="1561">
      <c r="A1561" s="28"/>
      <c r="B1561" s="28"/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/>
    </row>
    <row r="1562">
      <c r="A1562" s="28"/>
      <c r="B1562" s="28"/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/>
    </row>
    <row r="1563">
      <c r="A1563" s="28"/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</row>
    <row r="1564">
      <c r="A1564" s="28"/>
      <c r="B1564" s="28"/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</row>
    <row r="1565">
      <c r="A1565" s="28"/>
      <c r="B1565" s="28"/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/>
    </row>
    <row r="1566">
      <c r="A1566" s="28"/>
      <c r="B1566" s="28"/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/>
    </row>
    <row r="1567">
      <c r="A1567" s="28"/>
      <c r="B1567" s="28"/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/>
    </row>
    <row r="1568">
      <c r="A1568" s="28"/>
      <c r="B1568" s="28"/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</row>
    <row r="1569">
      <c r="A1569" s="28"/>
      <c r="B1569" s="28"/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/>
    </row>
    <row r="1570">
      <c r="A1570" s="28"/>
      <c r="B1570" s="28"/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</row>
    <row r="1571">
      <c r="A1571" s="28"/>
      <c r="B1571" s="28"/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</row>
    <row r="1572">
      <c r="A1572" s="28"/>
      <c r="B1572" s="28"/>
      <c r="C1572" s="28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/>
    </row>
    <row r="1573">
      <c r="A1573" s="28"/>
      <c r="B1573" s="28"/>
      <c r="C1573" s="28"/>
      <c r="D1573" s="28"/>
      <c r="E1573" s="28"/>
      <c r="F1573" s="28"/>
      <c r="G1573" s="28"/>
      <c r="H1573" s="28"/>
      <c r="I1573" s="28"/>
      <c r="J1573" s="28"/>
      <c r="K1573" s="28"/>
      <c r="L1573" s="28"/>
      <c r="M1573" s="28"/>
    </row>
    <row r="1574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28"/>
      <c r="L1574" s="28"/>
      <c r="M1574" s="28"/>
    </row>
    <row r="1575">
      <c r="A1575" s="28"/>
      <c r="B1575" s="28"/>
      <c r="C1575" s="28"/>
      <c r="D1575" s="28"/>
      <c r="E1575" s="28"/>
      <c r="F1575" s="28"/>
      <c r="G1575" s="28"/>
      <c r="H1575" s="28"/>
      <c r="I1575" s="28"/>
      <c r="J1575" s="28"/>
      <c r="K1575" s="28"/>
      <c r="L1575" s="28"/>
      <c r="M1575" s="28"/>
    </row>
    <row r="1576">
      <c r="A1576" s="28"/>
      <c r="B1576" s="28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</row>
    <row r="1577">
      <c r="A1577" s="28"/>
      <c r="B1577" s="28"/>
      <c r="C1577" s="28"/>
      <c r="D1577" s="28"/>
      <c r="E1577" s="28"/>
      <c r="F1577" s="28"/>
      <c r="G1577" s="28"/>
      <c r="H1577" s="28"/>
      <c r="I1577" s="28"/>
      <c r="J1577" s="28"/>
      <c r="K1577" s="28"/>
      <c r="L1577" s="28"/>
      <c r="M1577" s="28"/>
    </row>
    <row r="1578">
      <c r="A1578" s="28"/>
      <c r="B1578" s="28"/>
      <c r="C1578" s="28"/>
      <c r="D1578" s="28"/>
      <c r="E1578" s="28"/>
      <c r="F1578" s="28"/>
      <c r="G1578" s="28"/>
      <c r="H1578" s="28"/>
      <c r="I1578" s="28"/>
      <c r="J1578" s="28"/>
      <c r="K1578" s="28"/>
      <c r="L1578" s="28"/>
      <c r="M1578" s="28"/>
    </row>
    <row r="1579">
      <c r="A1579" s="28"/>
      <c r="B1579" s="28"/>
      <c r="C1579" s="28"/>
      <c r="D1579" s="28"/>
      <c r="E1579" s="28"/>
      <c r="F1579" s="28"/>
      <c r="G1579" s="28"/>
      <c r="H1579" s="28"/>
      <c r="I1579" s="28"/>
      <c r="J1579" s="28"/>
      <c r="K1579" s="28"/>
      <c r="L1579" s="28"/>
      <c r="M1579" s="28"/>
    </row>
    <row r="1580">
      <c r="A1580" s="28"/>
      <c r="B1580" s="28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</row>
    <row r="1581">
      <c r="A1581" s="28"/>
      <c r="B1581" s="28"/>
      <c r="C1581" s="28"/>
      <c r="D1581" s="28"/>
      <c r="E1581" s="28"/>
      <c r="F1581" s="28"/>
      <c r="G1581" s="28"/>
      <c r="H1581" s="28"/>
      <c r="I1581" s="28"/>
      <c r="J1581" s="28"/>
      <c r="K1581" s="28"/>
      <c r="L1581" s="28"/>
      <c r="M1581" s="28"/>
    </row>
    <row r="1582">
      <c r="A1582" s="28"/>
      <c r="B1582" s="28"/>
      <c r="C1582" s="28"/>
      <c r="D1582" s="28"/>
      <c r="E1582" s="28"/>
      <c r="F1582" s="28"/>
      <c r="G1582" s="28"/>
      <c r="H1582" s="28"/>
      <c r="I1582" s="28"/>
      <c r="J1582" s="28"/>
      <c r="K1582" s="28"/>
      <c r="L1582" s="28"/>
      <c r="M1582" s="28"/>
    </row>
    <row r="1583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28"/>
      <c r="L1583" s="28"/>
      <c r="M1583" s="28"/>
    </row>
    <row r="1584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</row>
    <row r="1585">
      <c r="A1585" s="28"/>
      <c r="B1585" s="28"/>
      <c r="C1585" s="28"/>
      <c r="D1585" s="28"/>
      <c r="E1585" s="28"/>
      <c r="F1585" s="28"/>
      <c r="G1585" s="28"/>
      <c r="H1585" s="28"/>
      <c r="I1585" s="28"/>
      <c r="J1585" s="28"/>
      <c r="K1585" s="28"/>
      <c r="L1585" s="28"/>
      <c r="M1585" s="28"/>
    </row>
    <row r="1586">
      <c r="A1586" s="28"/>
      <c r="B1586" s="28"/>
      <c r="C1586" s="28"/>
      <c r="D1586" s="28"/>
      <c r="E1586" s="28"/>
      <c r="F1586" s="28"/>
      <c r="G1586" s="28"/>
      <c r="H1586" s="28"/>
      <c r="I1586" s="28"/>
      <c r="J1586" s="28"/>
      <c r="K1586" s="28"/>
      <c r="L1586" s="28"/>
      <c r="M1586" s="28"/>
    </row>
    <row r="1587">
      <c r="A1587" s="28"/>
      <c r="B1587" s="28"/>
      <c r="C1587" s="28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</row>
    <row r="1588">
      <c r="A1588" s="28"/>
      <c r="B1588" s="28"/>
      <c r="C1588" s="28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</row>
    <row r="1589">
      <c r="A1589" s="28"/>
      <c r="B1589" s="28"/>
      <c r="C1589" s="28"/>
      <c r="D1589" s="28"/>
      <c r="E1589" s="28"/>
      <c r="F1589" s="28"/>
      <c r="G1589" s="28"/>
      <c r="H1589" s="28"/>
      <c r="I1589" s="28"/>
      <c r="J1589" s="28"/>
      <c r="K1589" s="28"/>
      <c r="L1589" s="28"/>
      <c r="M1589" s="28"/>
    </row>
    <row r="1590">
      <c r="A1590" s="28"/>
      <c r="B1590" s="28"/>
      <c r="C1590" s="28"/>
      <c r="D1590" s="28"/>
      <c r="E1590" s="28"/>
      <c r="F1590" s="28"/>
      <c r="G1590" s="28"/>
      <c r="H1590" s="28"/>
      <c r="I1590" s="28"/>
      <c r="J1590" s="28"/>
      <c r="K1590" s="28"/>
      <c r="L1590" s="28"/>
      <c r="M1590" s="28"/>
    </row>
    <row r="1591">
      <c r="A1591" s="28"/>
      <c r="B1591" s="28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/>
    </row>
    <row r="1592">
      <c r="A1592" s="28"/>
      <c r="B1592" s="28"/>
      <c r="C1592" s="28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/>
    </row>
    <row r="1593">
      <c r="A1593" s="28"/>
      <c r="B1593" s="28"/>
      <c r="C1593" s="28"/>
      <c r="D1593" s="28"/>
      <c r="E1593" s="28"/>
      <c r="F1593" s="28"/>
      <c r="G1593" s="28"/>
      <c r="H1593" s="28"/>
      <c r="I1593" s="28"/>
      <c r="J1593" s="28"/>
      <c r="K1593" s="28"/>
      <c r="L1593" s="28"/>
      <c r="M1593" s="28"/>
    </row>
    <row r="1594">
      <c r="A1594" s="28"/>
      <c r="B1594" s="28"/>
      <c r="C1594" s="28"/>
      <c r="D1594" s="28"/>
      <c r="E1594" s="28"/>
      <c r="F1594" s="28"/>
      <c r="G1594" s="28"/>
      <c r="H1594" s="28"/>
      <c r="I1594" s="28"/>
      <c r="J1594" s="28"/>
      <c r="K1594" s="28"/>
      <c r="L1594" s="28"/>
      <c r="M1594" s="28"/>
    </row>
    <row r="1595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/>
    </row>
    <row r="1596">
      <c r="A1596" s="28"/>
      <c r="B1596" s="28"/>
      <c r="C1596" s="28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</row>
    <row r="1597">
      <c r="A1597" s="28"/>
      <c r="B1597" s="28"/>
      <c r="C1597" s="28"/>
      <c r="D1597" s="28"/>
      <c r="E1597" s="28"/>
      <c r="F1597" s="28"/>
      <c r="G1597" s="28"/>
      <c r="H1597" s="28"/>
      <c r="I1597" s="28"/>
      <c r="J1597" s="28"/>
      <c r="K1597" s="28"/>
      <c r="L1597" s="28"/>
      <c r="M1597" s="28"/>
    </row>
    <row r="1598">
      <c r="A1598" s="28"/>
      <c r="B1598" s="28"/>
      <c r="C1598" s="28"/>
      <c r="D1598" s="28"/>
      <c r="E1598" s="28"/>
      <c r="F1598" s="28"/>
      <c r="G1598" s="28"/>
      <c r="H1598" s="28"/>
      <c r="I1598" s="28"/>
      <c r="J1598" s="28"/>
      <c r="K1598" s="28"/>
      <c r="L1598" s="28"/>
      <c r="M1598" s="28"/>
    </row>
    <row r="1599">
      <c r="A1599" s="28"/>
      <c r="B1599" s="28"/>
      <c r="C1599" s="28"/>
      <c r="D1599" s="28"/>
      <c r="E1599" s="28"/>
      <c r="F1599" s="28"/>
      <c r="G1599" s="28"/>
      <c r="H1599" s="28"/>
      <c r="I1599" s="28"/>
      <c r="J1599" s="28"/>
      <c r="K1599" s="28"/>
      <c r="L1599" s="28"/>
      <c r="M1599" s="28"/>
    </row>
    <row r="1600">
      <c r="A1600" s="28"/>
      <c r="B1600" s="28"/>
      <c r="C1600" s="28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/>
    </row>
    <row r="1601">
      <c r="A1601" s="28"/>
      <c r="B1601" s="28"/>
      <c r="C1601" s="28"/>
      <c r="D1601" s="28"/>
      <c r="E1601" s="28"/>
      <c r="F1601" s="28"/>
      <c r="G1601" s="28"/>
      <c r="H1601" s="28"/>
      <c r="I1601" s="28"/>
      <c r="J1601" s="28"/>
      <c r="K1601" s="28"/>
      <c r="L1601" s="28"/>
      <c r="M1601" s="28"/>
    </row>
    <row r="1602">
      <c r="A1602" s="28"/>
      <c r="B1602" s="28"/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/>
    </row>
    <row r="1603">
      <c r="A1603" s="28"/>
      <c r="B1603" s="28"/>
      <c r="C1603" s="28"/>
      <c r="D1603" s="28"/>
      <c r="E1603" s="28"/>
      <c r="F1603" s="28"/>
      <c r="G1603" s="28"/>
      <c r="H1603" s="28"/>
      <c r="I1603" s="28"/>
      <c r="J1603" s="28"/>
      <c r="K1603" s="28"/>
      <c r="L1603" s="28"/>
      <c r="M1603" s="28"/>
    </row>
    <row r="1604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</row>
    <row r="1605">
      <c r="A1605" s="28"/>
      <c r="B1605" s="28"/>
      <c r="C1605" s="28"/>
      <c r="D1605" s="28"/>
      <c r="E1605" s="28"/>
      <c r="F1605" s="28"/>
      <c r="G1605" s="28"/>
      <c r="H1605" s="28"/>
      <c r="I1605" s="28"/>
      <c r="J1605" s="28"/>
      <c r="K1605" s="28"/>
      <c r="L1605" s="28"/>
      <c r="M1605" s="28"/>
    </row>
    <row r="1606">
      <c r="A1606" s="28"/>
      <c r="B1606" s="28"/>
      <c r="C1606" s="28"/>
      <c r="D1606" s="28"/>
      <c r="E1606" s="28"/>
      <c r="F1606" s="28"/>
      <c r="G1606" s="28"/>
      <c r="H1606" s="28"/>
      <c r="I1606" s="28"/>
      <c r="J1606" s="28"/>
      <c r="K1606" s="28"/>
      <c r="L1606" s="28"/>
      <c r="M1606" s="28"/>
    </row>
    <row r="1607">
      <c r="A1607" s="28"/>
      <c r="B1607" s="28"/>
      <c r="C1607" s="28"/>
      <c r="D1607" s="28"/>
      <c r="E1607" s="28"/>
      <c r="F1607" s="28"/>
      <c r="G1607" s="28"/>
      <c r="H1607" s="28"/>
      <c r="I1607" s="28"/>
      <c r="J1607" s="28"/>
      <c r="K1607" s="28"/>
      <c r="L1607" s="28"/>
      <c r="M1607" s="28"/>
    </row>
    <row r="1608">
      <c r="A1608" s="28"/>
      <c r="B1608" s="28"/>
      <c r="C1608" s="28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/>
    </row>
    <row r="1609">
      <c r="A1609" s="28"/>
      <c r="B1609" s="28"/>
      <c r="C1609" s="28"/>
      <c r="D1609" s="28"/>
      <c r="E1609" s="28"/>
      <c r="F1609" s="28"/>
      <c r="G1609" s="28"/>
      <c r="H1609" s="28"/>
      <c r="I1609" s="28"/>
      <c r="J1609" s="28"/>
      <c r="K1609" s="28"/>
      <c r="L1609" s="28"/>
      <c r="M1609" s="28"/>
    </row>
    <row r="1610">
      <c r="A1610" s="28"/>
      <c r="B1610" s="28"/>
      <c r="C1610" s="28"/>
      <c r="D1610" s="28"/>
      <c r="E1610" s="28"/>
      <c r="F1610" s="28"/>
      <c r="G1610" s="28"/>
      <c r="H1610" s="28"/>
      <c r="I1610" s="28"/>
      <c r="J1610" s="28"/>
      <c r="K1610" s="28"/>
      <c r="L1610" s="28"/>
      <c r="M1610" s="28"/>
    </row>
    <row r="1611">
      <c r="A1611" s="28"/>
      <c r="B1611" s="28"/>
      <c r="C1611" s="28"/>
      <c r="D1611" s="28"/>
      <c r="E1611" s="28"/>
      <c r="F1611" s="28"/>
      <c r="G1611" s="28"/>
      <c r="H1611" s="28"/>
      <c r="I1611" s="28"/>
      <c r="J1611" s="28"/>
      <c r="K1611" s="28"/>
      <c r="L1611" s="28"/>
      <c r="M1611" s="28"/>
    </row>
    <row r="1612">
      <c r="A1612" s="28"/>
      <c r="B1612" s="28"/>
      <c r="C1612" s="28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/>
    </row>
    <row r="1613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/>
    </row>
    <row r="1614">
      <c r="A1614" s="28"/>
      <c r="B1614" s="28"/>
      <c r="C1614" s="28"/>
      <c r="D1614" s="28"/>
      <c r="E1614" s="28"/>
      <c r="F1614" s="28"/>
      <c r="G1614" s="28"/>
      <c r="H1614" s="28"/>
      <c r="I1614" s="28"/>
      <c r="J1614" s="28"/>
      <c r="K1614" s="28"/>
      <c r="L1614" s="28"/>
      <c r="M1614" s="28"/>
    </row>
    <row r="1615">
      <c r="A1615" s="28"/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</row>
    <row r="1616">
      <c r="A1616" s="28"/>
      <c r="B1616" s="28"/>
      <c r="C1616" s="28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/>
    </row>
    <row r="1617">
      <c r="A1617" s="28"/>
      <c r="B1617" s="28"/>
      <c r="C1617" s="28"/>
      <c r="D1617" s="28"/>
      <c r="E1617" s="28"/>
      <c r="F1617" s="28"/>
      <c r="G1617" s="28"/>
      <c r="H1617" s="28"/>
      <c r="I1617" s="28"/>
      <c r="J1617" s="28"/>
      <c r="K1617" s="28"/>
      <c r="L1617" s="28"/>
      <c r="M1617" s="28"/>
    </row>
    <row r="1618">
      <c r="A1618" s="28"/>
      <c r="B1618" s="28"/>
      <c r="C1618" s="28"/>
      <c r="D1618" s="28"/>
      <c r="E1618" s="28"/>
      <c r="F1618" s="28"/>
      <c r="G1618" s="28"/>
      <c r="H1618" s="28"/>
      <c r="I1618" s="28"/>
      <c r="J1618" s="28"/>
      <c r="K1618" s="28"/>
      <c r="L1618" s="28"/>
      <c r="M1618" s="28"/>
    </row>
    <row r="1619">
      <c r="A1619" s="28"/>
      <c r="B1619" s="28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/>
    </row>
    <row r="1620">
      <c r="A1620" s="28"/>
      <c r="B1620" s="28"/>
      <c r="C1620" s="28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/>
    </row>
    <row r="1621">
      <c r="A1621" s="28"/>
      <c r="B1621" s="28"/>
      <c r="C1621" s="28"/>
      <c r="D1621" s="28"/>
      <c r="E1621" s="28"/>
      <c r="F1621" s="28"/>
      <c r="G1621" s="28"/>
      <c r="H1621" s="28"/>
      <c r="I1621" s="28"/>
      <c r="J1621" s="28"/>
      <c r="K1621" s="28"/>
      <c r="L1621" s="28"/>
      <c r="M1621" s="28"/>
    </row>
    <row r="1622">
      <c r="A1622" s="28"/>
      <c r="B1622" s="28"/>
      <c r="C1622" s="28"/>
      <c r="D1622" s="28"/>
      <c r="E1622" s="28"/>
      <c r="F1622" s="28"/>
      <c r="G1622" s="28"/>
      <c r="H1622" s="28"/>
      <c r="I1622" s="28"/>
      <c r="J1622" s="28"/>
      <c r="K1622" s="28"/>
      <c r="L1622" s="28"/>
      <c r="M1622" s="28"/>
    </row>
    <row r="1623">
      <c r="A1623" s="28"/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/>
    </row>
    <row r="1624">
      <c r="A1624" s="28"/>
      <c r="B1624" s="28"/>
      <c r="C1624" s="28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</row>
    <row r="1625">
      <c r="A1625" s="28"/>
      <c r="B1625" s="28"/>
      <c r="C1625" s="28"/>
      <c r="D1625" s="28"/>
      <c r="E1625" s="28"/>
      <c r="F1625" s="28"/>
      <c r="G1625" s="28"/>
      <c r="H1625" s="28"/>
      <c r="I1625" s="28"/>
      <c r="J1625" s="28"/>
      <c r="K1625" s="28"/>
      <c r="L1625" s="28"/>
      <c r="M1625" s="28"/>
    </row>
    <row r="1626">
      <c r="A1626" s="28"/>
      <c r="B1626" s="28"/>
      <c r="C1626" s="28"/>
      <c r="D1626" s="28"/>
      <c r="E1626" s="28"/>
      <c r="F1626" s="28"/>
      <c r="G1626" s="28"/>
      <c r="H1626" s="28"/>
      <c r="I1626" s="28"/>
      <c r="J1626" s="28"/>
      <c r="K1626" s="28"/>
      <c r="L1626" s="28"/>
      <c r="M1626" s="28"/>
    </row>
    <row r="1627">
      <c r="A1627" s="28"/>
      <c r="B1627" s="28"/>
      <c r="C1627" s="28"/>
      <c r="D1627" s="28"/>
      <c r="E1627" s="28"/>
      <c r="F1627" s="28"/>
      <c r="G1627" s="28"/>
      <c r="H1627" s="28"/>
      <c r="I1627" s="28"/>
      <c r="J1627" s="28"/>
      <c r="K1627" s="28"/>
      <c r="L1627" s="28"/>
      <c r="M1627" s="28"/>
    </row>
    <row r="1628">
      <c r="A1628" s="28"/>
      <c r="B1628" s="28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</row>
    <row r="1629">
      <c r="A1629" s="28"/>
      <c r="B1629" s="28"/>
      <c r="C1629" s="28"/>
      <c r="D1629" s="28"/>
      <c r="E1629" s="28"/>
      <c r="F1629" s="28"/>
      <c r="G1629" s="28"/>
      <c r="H1629" s="28"/>
      <c r="I1629" s="28"/>
      <c r="J1629" s="28"/>
      <c r="K1629" s="28"/>
      <c r="L1629" s="28"/>
      <c r="M1629" s="28"/>
    </row>
    <row r="1630">
      <c r="A1630" s="28"/>
      <c r="B1630" s="28"/>
      <c r="C1630" s="28"/>
      <c r="D1630" s="28"/>
      <c r="E1630" s="28"/>
      <c r="F1630" s="28"/>
      <c r="G1630" s="28"/>
      <c r="H1630" s="28"/>
      <c r="I1630" s="28"/>
      <c r="J1630" s="28"/>
      <c r="K1630" s="28"/>
      <c r="L1630" s="28"/>
      <c r="M1630" s="28"/>
    </row>
    <row r="1631">
      <c r="A1631" s="28"/>
      <c r="B1631" s="28"/>
      <c r="C1631" s="28"/>
      <c r="D1631" s="28"/>
      <c r="E1631" s="28"/>
      <c r="F1631" s="28"/>
      <c r="G1631" s="28"/>
      <c r="H1631" s="28"/>
      <c r="I1631" s="28"/>
      <c r="J1631" s="28"/>
      <c r="K1631" s="28"/>
      <c r="L1631" s="28"/>
      <c r="M1631" s="28"/>
    </row>
    <row r="1632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</row>
    <row r="1633">
      <c r="A1633" s="28"/>
      <c r="B1633" s="28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/>
    </row>
    <row r="1634">
      <c r="A1634" s="28"/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28"/>
      <c r="M1634" s="28"/>
    </row>
    <row r="1635">
      <c r="A1635" s="28"/>
      <c r="B1635" s="28"/>
      <c r="C1635" s="28"/>
      <c r="D1635" s="28"/>
      <c r="E1635" s="28"/>
      <c r="F1635" s="28"/>
      <c r="G1635" s="28"/>
      <c r="H1635" s="28"/>
      <c r="I1635" s="28"/>
      <c r="J1635" s="28"/>
      <c r="K1635" s="28"/>
      <c r="L1635" s="28"/>
      <c r="M1635" s="28"/>
    </row>
    <row r="1636">
      <c r="A1636" s="28"/>
      <c r="B1636" s="28"/>
      <c r="C1636" s="28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/>
    </row>
    <row r="1637">
      <c r="A1637" s="28"/>
      <c r="B1637" s="28"/>
      <c r="C1637" s="28"/>
      <c r="D1637" s="28"/>
      <c r="E1637" s="28"/>
      <c r="F1637" s="28"/>
      <c r="G1637" s="28"/>
      <c r="H1637" s="28"/>
      <c r="I1637" s="28"/>
      <c r="J1637" s="28"/>
      <c r="K1637" s="28"/>
      <c r="L1637" s="28"/>
      <c r="M1637" s="28"/>
    </row>
    <row r="1638">
      <c r="A1638" s="28"/>
      <c r="B1638" s="28"/>
      <c r="C1638" s="28"/>
      <c r="D1638" s="28"/>
      <c r="E1638" s="28"/>
      <c r="F1638" s="28"/>
      <c r="G1638" s="28"/>
      <c r="H1638" s="28"/>
      <c r="I1638" s="28"/>
      <c r="J1638" s="28"/>
      <c r="K1638" s="28"/>
      <c r="L1638" s="28"/>
      <c r="M1638" s="28"/>
    </row>
    <row r="1639">
      <c r="A1639" s="28"/>
      <c r="B1639" s="28"/>
      <c r="C1639" s="28"/>
      <c r="D1639" s="28"/>
      <c r="E1639" s="28"/>
      <c r="F1639" s="28"/>
      <c r="G1639" s="28"/>
      <c r="H1639" s="28"/>
      <c r="I1639" s="28"/>
      <c r="J1639" s="28"/>
      <c r="K1639" s="28"/>
      <c r="L1639" s="28"/>
      <c r="M1639" s="28"/>
    </row>
    <row r="1640">
      <c r="A1640" s="28"/>
      <c r="B1640" s="28"/>
      <c r="C1640" s="28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/>
    </row>
    <row r="1641">
      <c r="A1641" s="28"/>
      <c r="B1641" s="28"/>
      <c r="C1641" s="28"/>
      <c r="D1641" s="28"/>
      <c r="E1641" s="28"/>
      <c r="F1641" s="28"/>
      <c r="G1641" s="28"/>
      <c r="H1641" s="28"/>
      <c r="I1641" s="28"/>
      <c r="J1641" s="28"/>
      <c r="K1641" s="28"/>
      <c r="L1641" s="28"/>
      <c r="M1641" s="28"/>
    </row>
    <row r="1642">
      <c r="A1642" s="28"/>
      <c r="B1642" s="28"/>
      <c r="C1642" s="28"/>
      <c r="D1642" s="28"/>
      <c r="E1642" s="28"/>
      <c r="F1642" s="28"/>
      <c r="G1642" s="28"/>
      <c r="H1642" s="28"/>
      <c r="I1642" s="28"/>
      <c r="J1642" s="28"/>
      <c r="K1642" s="28"/>
      <c r="L1642" s="28"/>
      <c r="M1642" s="28"/>
    </row>
    <row r="1643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</row>
    <row r="1644">
      <c r="A1644" s="28"/>
      <c r="B1644" s="28"/>
      <c r="C1644" s="28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/>
    </row>
    <row r="1645">
      <c r="A1645" s="28"/>
      <c r="B1645" s="28"/>
      <c r="C1645" s="28"/>
      <c r="D1645" s="28"/>
      <c r="E1645" s="28"/>
      <c r="F1645" s="28"/>
      <c r="G1645" s="28"/>
      <c r="H1645" s="28"/>
      <c r="I1645" s="28"/>
      <c r="J1645" s="28"/>
      <c r="K1645" s="28"/>
      <c r="L1645" s="28"/>
      <c r="M1645" s="28"/>
    </row>
    <row r="1646">
      <c r="A1646" s="28"/>
      <c r="B1646" s="28"/>
      <c r="C1646" s="28"/>
      <c r="D1646" s="28"/>
      <c r="E1646" s="28"/>
      <c r="F1646" s="28"/>
      <c r="G1646" s="28"/>
      <c r="H1646" s="28"/>
      <c r="I1646" s="28"/>
      <c r="J1646" s="28"/>
      <c r="K1646" s="28"/>
      <c r="L1646" s="28"/>
      <c r="M1646" s="28"/>
    </row>
    <row r="1647">
      <c r="A1647" s="28"/>
      <c r="B1647" s="28"/>
      <c r="C1647" s="2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/>
    </row>
    <row r="1648">
      <c r="A1648" s="28"/>
      <c r="B1648" s="28"/>
      <c r="C1648" s="28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</row>
    <row r="1649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  <c r="K1649" s="28"/>
      <c r="L1649" s="28"/>
      <c r="M1649" s="28"/>
    </row>
    <row r="1650">
      <c r="A1650" s="28"/>
      <c r="B1650" s="28"/>
      <c r="C1650" s="28"/>
      <c r="D1650" s="28"/>
      <c r="E1650" s="28"/>
      <c r="F1650" s="28"/>
      <c r="G1650" s="28"/>
      <c r="H1650" s="28"/>
      <c r="I1650" s="28"/>
      <c r="J1650" s="28"/>
      <c r="K1650" s="28"/>
      <c r="L1650" s="28"/>
      <c r="M1650" s="28"/>
    </row>
    <row r="1651">
      <c r="A1651" s="28"/>
      <c r="B1651" s="28"/>
      <c r="C1651" s="28"/>
      <c r="D1651" s="28"/>
      <c r="E1651" s="28"/>
      <c r="F1651" s="28"/>
      <c r="G1651" s="28"/>
      <c r="H1651" s="28"/>
      <c r="I1651" s="28"/>
      <c r="J1651" s="28"/>
      <c r="K1651" s="28"/>
      <c r="L1651" s="28"/>
      <c r="M1651" s="28"/>
    </row>
    <row r="1652">
      <c r="A1652" s="28"/>
      <c r="B1652" s="28"/>
      <c r="C1652" s="28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/>
    </row>
    <row r="1653">
      <c r="A1653" s="28"/>
      <c r="B1653" s="28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/>
    </row>
    <row r="1654">
      <c r="A1654" s="28"/>
      <c r="B1654" s="28"/>
      <c r="C1654" s="28"/>
      <c r="D1654" s="28"/>
      <c r="E1654" s="28"/>
      <c r="F1654" s="28"/>
      <c r="G1654" s="28"/>
      <c r="H1654" s="28"/>
      <c r="I1654" s="28"/>
      <c r="J1654" s="28"/>
      <c r="K1654" s="28"/>
      <c r="L1654" s="28"/>
      <c r="M1654" s="28"/>
    </row>
    <row r="1655">
      <c r="A1655" s="28"/>
      <c r="B1655" s="28"/>
      <c r="C1655" s="28"/>
      <c r="D1655" s="28"/>
      <c r="E1655" s="28"/>
      <c r="F1655" s="28"/>
      <c r="G1655" s="28"/>
      <c r="H1655" s="28"/>
      <c r="I1655" s="28"/>
      <c r="J1655" s="28"/>
      <c r="K1655" s="28"/>
      <c r="L1655" s="28"/>
      <c r="M1655" s="28"/>
    </row>
    <row r="1656">
      <c r="A1656" s="28"/>
      <c r="B1656" s="28"/>
      <c r="C1656" s="28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/>
    </row>
    <row r="1657">
      <c r="A1657" s="28"/>
      <c r="B1657" s="28"/>
      <c r="C1657" s="28"/>
      <c r="D1657" s="28"/>
      <c r="E1657" s="28"/>
      <c r="F1657" s="28"/>
      <c r="G1657" s="28"/>
      <c r="H1657" s="28"/>
      <c r="I1657" s="28"/>
      <c r="J1657" s="28"/>
      <c r="K1657" s="28"/>
      <c r="L1657" s="28"/>
      <c r="M1657" s="28"/>
    </row>
    <row r="1658">
      <c r="A1658" s="28"/>
      <c r="B1658" s="28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/>
    </row>
    <row r="1659">
      <c r="A1659" s="28"/>
      <c r="B1659" s="28"/>
      <c r="C1659" s="28"/>
      <c r="D1659" s="28"/>
      <c r="E1659" s="28"/>
      <c r="F1659" s="28"/>
      <c r="G1659" s="28"/>
      <c r="H1659" s="28"/>
      <c r="I1659" s="28"/>
      <c r="J1659" s="28"/>
      <c r="K1659" s="28"/>
      <c r="L1659" s="28"/>
      <c r="M1659" s="28"/>
    </row>
    <row r="1660">
      <c r="A1660" s="28"/>
      <c r="B1660" s="28"/>
      <c r="C1660" s="28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</row>
    <row r="1661">
      <c r="A1661" s="28"/>
      <c r="B1661" s="28"/>
      <c r="C1661" s="28"/>
      <c r="D1661" s="28"/>
      <c r="E1661" s="28"/>
      <c r="F1661" s="28"/>
      <c r="G1661" s="28"/>
      <c r="H1661" s="28"/>
      <c r="I1661" s="28"/>
      <c r="J1661" s="28"/>
      <c r="K1661" s="28"/>
      <c r="L1661" s="28"/>
      <c r="M1661" s="28"/>
    </row>
    <row r="1662">
      <c r="A1662" s="28"/>
      <c r="B1662" s="28"/>
      <c r="C1662" s="28"/>
      <c r="D1662" s="28"/>
      <c r="E1662" s="28"/>
      <c r="F1662" s="28"/>
      <c r="G1662" s="28"/>
      <c r="H1662" s="28"/>
      <c r="I1662" s="28"/>
      <c r="J1662" s="28"/>
      <c r="K1662" s="28"/>
      <c r="L1662" s="28"/>
      <c r="M1662" s="28"/>
    </row>
    <row r="1663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  <c r="K1663" s="28"/>
      <c r="L1663" s="28"/>
      <c r="M1663" s="28"/>
    </row>
    <row r="1664">
      <c r="A1664" s="28"/>
      <c r="B1664" s="28"/>
      <c r="C1664" s="28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/>
    </row>
    <row r="1665">
      <c r="A1665" s="28"/>
      <c r="B1665" s="28"/>
      <c r="C1665" s="28"/>
      <c r="D1665" s="28"/>
      <c r="E1665" s="28"/>
      <c r="F1665" s="28"/>
      <c r="G1665" s="28"/>
      <c r="H1665" s="28"/>
      <c r="I1665" s="28"/>
      <c r="J1665" s="28"/>
      <c r="K1665" s="28"/>
      <c r="L1665" s="28"/>
      <c r="M1665" s="28"/>
    </row>
    <row r="1666">
      <c r="A1666" s="28"/>
      <c r="B1666" s="28"/>
      <c r="C1666" s="28"/>
      <c r="D1666" s="28"/>
      <c r="E1666" s="28"/>
      <c r="F1666" s="28"/>
      <c r="G1666" s="28"/>
      <c r="H1666" s="28"/>
      <c r="I1666" s="28"/>
      <c r="J1666" s="28"/>
      <c r="K1666" s="28"/>
      <c r="L1666" s="28"/>
      <c r="M1666" s="28"/>
    </row>
    <row r="1667">
      <c r="A1667" s="28"/>
      <c r="B1667" s="28"/>
      <c r="C1667" s="28"/>
      <c r="D1667" s="28"/>
      <c r="E1667" s="28"/>
      <c r="F1667" s="28"/>
      <c r="G1667" s="28"/>
      <c r="H1667" s="28"/>
      <c r="I1667" s="28"/>
      <c r="J1667" s="28"/>
      <c r="K1667" s="28"/>
      <c r="L1667" s="28"/>
      <c r="M1667" s="28"/>
    </row>
    <row r="1668">
      <c r="A1668" s="28"/>
      <c r="B1668" s="28"/>
      <c r="C1668" s="28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</row>
    <row r="1669">
      <c r="A1669" s="28"/>
      <c r="B1669" s="28"/>
      <c r="C1669" s="28"/>
      <c r="D1669" s="28"/>
      <c r="E1669" s="28"/>
      <c r="F1669" s="28"/>
      <c r="G1669" s="28"/>
      <c r="H1669" s="28"/>
      <c r="I1669" s="28"/>
      <c r="J1669" s="28"/>
      <c r="K1669" s="28"/>
      <c r="L1669" s="28"/>
      <c r="M1669" s="28"/>
    </row>
    <row r="1670">
      <c r="A1670" s="28"/>
      <c r="B1670" s="28"/>
      <c r="C1670" s="28"/>
      <c r="D1670" s="28"/>
      <c r="E1670" s="28"/>
      <c r="F1670" s="28"/>
      <c r="G1670" s="28"/>
      <c r="H1670" s="28"/>
      <c r="I1670" s="28"/>
      <c r="J1670" s="28"/>
      <c r="K1670" s="28"/>
      <c r="L1670" s="28"/>
      <c r="M1670" s="28"/>
    </row>
    <row r="1671">
      <c r="A1671" s="28"/>
      <c r="B1671" s="28"/>
      <c r="C1671" s="28"/>
      <c r="D1671" s="28"/>
      <c r="E1671" s="28"/>
      <c r="F1671" s="28"/>
      <c r="G1671" s="28"/>
      <c r="H1671" s="28"/>
      <c r="I1671" s="28"/>
      <c r="J1671" s="28"/>
      <c r="K1671" s="28"/>
      <c r="L1671" s="28"/>
      <c r="M1671" s="28"/>
    </row>
    <row r="1672">
      <c r="A1672" s="28"/>
      <c r="B1672" s="28"/>
      <c r="C1672" s="28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/>
    </row>
    <row r="1673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/>
    </row>
    <row r="1674">
      <c r="A1674" s="28"/>
      <c r="B1674" s="28"/>
      <c r="C1674" s="28"/>
      <c r="D1674" s="28"/>
      <c r="E1674" s="28"/>
      <c r="F1674" s="28"/>
      <c r="G1674" s="28"/>
      <c r="H1674" s="28"/>
      <c r="I1674" s="28"/>
      <c r="J1674" s="28"/>
      <c r="K1674" s="28"/>
      <c r="L1674" s="28"/>
      <c r="M1674" s="28"/>
    </row>
    <row r="1675">
      <c r="A1675" s="28"/>
      <c r="B1675" s="28"/>
      <c r="C1675" s="28"/>
      <c r="D1675" s="28"/>
      <c r="E1675" s="28"/>
      <c r="F1675" s="28"/>
      <c r="G1675" s="28"/>
      <c r="H1675" s="28"/>
      <c r="I1675" s="28"/>
      <c r="J1675" s="28"/>
      <c r="K1675" s="28"/>
      <c r="L1675" s="28"/>
      <c r="M1675" s="28"/>
    </row>
    <row r="1676">
      <c r="A1676" s="28"/>
      <c r="B1676" s="28"/>
      <c r="C1676" s="28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/>
    </row>
    <row r="1677">
      <c r="A1677" s="28"/>
      <c r="B1677" s="28"/>
      <c r="C1677" s="28"/>
      <c r="D1677" s="28"/>
      <c r="E1677" s="28"/>
      <c r="F1677" s="28"/>
      <c r="G1677" s="28"/>
      <c r="H1677" s="28"/>
      <c r="I1677" s="28"/>
      <c r="J1677" s="28"/>
      <c r="K1677" s="28"/>
      <c r="L1677" s="28"/>
      <c r="M1677" s="28"/>
    </row>
    <row r="1678">
      <c r="A1678" s="28"/>
      <c r="B1678" s="28"/>
      <c r="C1678" s="28"/>
      <c r="D1678" s="28"/>
      <c r="E1678" s="28"/>
      <c r="F1678" s="28"/>
      <c r="G1678" s="28"/>
      <c r="H1678" s="28"/>
      <c r="I1678" s="28"/>
      <c r="J1678" s="28"/>
      <c r="K1678" s="28"/>
      <c r="L1678" s="28"/>
      <c r="M1678" s="28"/>
    </row>
    <row r="1679">
      <c r="A1679" s="28"/>
      <c r="B1679" s="28"/>
      <c r="C1679" s="28"/>
      <c r="D1679" s="28"/>
      <c r="E1679" s="28"/>
      <c r="F1679" s="28"/>
      <c r="G1679" s="28"/>
      <c r="H1679" s="28"/>
      <c r="I1679" s="28"/>
      <c r="J1679" s="28"/>
      <c r="K1679" s="28"/>
      <c r="L1679" s="28"/>
      <c r="M1679" s="28"/>
    </row>
    <row r="1680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</row>
    <row r="1681">
      <c r="A1681" s="28"/>
      <c r="B1681" s="28"/>
      <c r="C1681" s="28"/>
      <c r="D1681" s="28"/>
      <c r="E1681" s="28"/>
      <c r="F1681" s="28"/>
      <c r="G1681" s="28"/>
      <c r="H1681" s="28"/>
      <c r="I1681" s="28"/>
      <c r="J1681" s="28"/>
      <c r="K1681" s="28"/>
      <c r="L1681" s="28"/>
      <c r="M1681" s="28"/>
    </row>
    <row r="1682">
      <c r="A1682" s="28"/>
      <c r="B1682" s="28"/>
      <c r="C1682" s="28"/>
      <c r="D1682" s="28"/>
      <c r="E1682" s="28"/>
      <c r="F1682" s="28"/>
      <c r="G1682" s="28"/>
      <c r="H1682" s="28"/>
      <c r="I1682" s="28"/>
      <c r="J1682" s="28"/>
      <c r="K1682" s="28"/>
      <c r="L1682" s="28"/>
      <c r="M1682" s="28"/>
    </row>
    <row r="1683">
      <c r="A1683" s="28"/>
      <c r="B1683" s="28"/>
      <c r="C1683" s="28"/>
      <c r="D1683" s="28"/>
      <c r="E1683" s="28"/>
      <c r="F1683" s="28"/>
      <c r="G1683" s="28"/>
      <c r="H1683" s="28"/>
      <c r="I1683" s="28"/>
      <c r="J1683" s="28"/>
      <c r="K1683" s="28"/>
      <c r="L1683" s="28"/>
      <c r="M1683" s="28"/>
    </row>
    <row r="1684">
      <c r="A1684" s="28"/>
      <c r="B1684" s="28"/>
      <c r="C1684" s="28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/>
    </row>
    <row r="1685">
      <c r="A1685" s="28"/>
      <c r="B1685" s="28"/>
      <c r="C1685" s="28"/>
      <c r="D1685" s="28"/>
      <c r="E1685" s="28"/>
      <c r="F1685" s="28"/>
      <c r="G1685" s="28"/>
      <c r="H1685" s="28"/>
      <c r="I1685" s="28"/>
      <c r="J1685" s="28"/>
      <c r="K1685" s="28"/>
      <c r="L1685" s="28"/>
      <c r="M1685" s="28"/>
    </row>
    <row r="1686">
      <c r="A1686" s="28"/>
      <c r="B1686" s="28"/>
      <c r="C1686" s="28"/>
      <c r="D1686" s="28"/>
      <c r="E1686" s="28"/>
      <c r="F1686" s="28"/>
      <c r="G1686" s="28"/>
      <c r="H1686" s="28"/>
      <c r="I1686" s="28"/>
      <c r="J1686" s="28"/>
      <c r="K1686" s="28"/>
      <c r="L1686" s="28"/>
      <c r="M1686" s="28"/>
    </row>
    <row r="1687">
      <c r="A1687" s="28"/>
      <c r="B1687" s="28"/>
      <c r="C1687" s="28"/>
      <c r="D1687" s="28"/>
      <c r="E1687" s="28"/>
      <c r="F1687" s="28"/>
      <c r="G1687" s="28"/>
      <c r="H1687" s="28"/>
      <c r="I1687" s="28"/>
      <c r="J1687" s="28"/>
      <c r="K1687" s="28"/>
      <c r="L1687" s="28"/>
      <c r="M1687" s="28"/>
    </row>
    <row r="1688">
      <c r="A1688" s="28"/>
      <c r="B1688" s="28"/>
      <c r="C1688" s="28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/>
    </row>
    <row r="1689">
      <c r="A1689" s="28"/>
      <c r="B1689" s="28"/>
      <c r="C1689" s="28"/>
      <c r="D1689" s="28"/>
      <c r="E1689" s="28"/>
      <c r="F1689" s="28"/>
      <c r="G1689" s="28"/>
      <c r="H1689" s="28"/>
      <c r="I1689" s="28"/>
      <c r="J1689" s="28"/>
      <c r="K1689" s="28"/>
      <c r="L1689" s="28"/>
      <c r="M1689" s="28"/>
    </row>
    <row r="1690">
      <c r="A1690" s="28"/>
      <c r="B1690" s="28"/>
      <c r="C1690" s="28"/>
      <c r="D1690" s="28"/>
      <c r="E1690" s="28"/>
      <c r="F1690" s="28"/>
      <c r="G1690" s="28"/>
      <c r="H1690" s="28"/>
      <c r="I1690" s="28"/>
      <c r="J1690" s="28"/>
      <c r="K1690" s="28"/>
      <c r="L1690" s="28"/>
      <c r="M1690" s="28"/>
    </row>
    <row r="1691">
      <c r="A1691" s="28"/>
      <c r="B1691" s="28"/>
      <c r="C1691" s="28"/>
      <c r="D1691" s="28"/>
      <c r="E1691" s="28"/>
      <c r="F1691" s="28"/>
      <c r="G1691" s="28"/>
      <c r="H1691" s="28"/>
      <c r="I1691" s="28"/>
      <c r="J1691" s="28"/>
      <c r="K1691" s="28"/>
      <c r="L1691" s="28"/>
      <c r="M1691" s="28"/>
    </row>
    <row r="1692">
      <c r="A1692" s="28"/>
      <c r="B1692" s="28"/>
      <c r="C1692" s="28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/>
    </row>
    <row r="1693">
      <c r="A1693" s="28"/>
      <c r="B1693" s="28"/>
      <c r="C1693" s="28"/>
      <c r="D1693" s="28"/>
      <c r="E1693" s="28"/>
      <c r="F1693" s="28"/>
      <c r="G1693" s="28"/>
      <c r="H1693" s="28"/>
      <c r="I1693" s="28"/>
      <c r="J1693" s="28"/>
      <c r="K1693" s="28"/>
      <c r="L1693" s="28"/>
      <c r="M1693" s="28"/>
    </row>
    <row r="1694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  <c r="K1694" s="28"/>
      <c r="L1694" s="28"/>
      <c r="M1694" s="28"/>
    </row>
    <row r="1695">
      <c r="A1695" s="28"/>
      <c r="B1695" s="28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/>
    </row>
    <row r="1696">
      <c r="A1696" s="28"/>
      <c r="B1696" s="28"/>
      <c r="C1696" s="28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/>
    </row>
    <row r="1697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28"/>
      <c r="L1697" s="28"/>
      <c r="M1697" s="28"/>
    </row>
    <row r="1698">
      <c r="A1698" s="28"/>
      <c r="B1698" s="28"/>
      <c r="C1698" s="28"/>
      <c r="D1698" s="28"/>
      <c r="E1698" s="28"/>
      <c r="F1698" s="28"/>
      <c r="G1698" s="28"/>
      <c r="H1698" s="28"/>
      <c r="I1698" s="28"/>
      <c r="J1698" s="28"/>
      <c r="K1698" s="28"/>
      <c r="L1698" s="28"/>
      <c r="M1698" s="28"/>
    </row>
    <row r="1699">
      <c r="A1699" s="28"/>
      <c r="B1699" s="28"/>
      <c r="C1699" s="28"/>
      <c r="D1699" s="28"/>
      <c r="E1699" s="28"/>
      <c r="F1699" s="28"/>
      <c r="G1699" s="28"/>
      <c r="H1699" s="28"/>
      <c r="I1699" s="28"/>
      <c r="J1699" s="28"/>
      <c r="K1699" s="28"/>
      <c r="L1699" s="28"/>
      <c r="M1699" s="28"/>
    </row>
    <row r="1700">
      <c r="A1700" s="28"/>
      <c r="B1700" s="28"/>
      <c r="C1700" s="28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</row>
    <row r="1701">
      <c r="A1701" s="28"/>
      <c r="B1701" s="28"/>
      <c r="C1701" s="28"/>
      <c r="D1701" s="28"/>
      <c r="E1701" s="28"/>
      <c r="F1701" s="28"/>
      <c r="G1701" s="28"/>
      <c r="H1701" s="28"/>
      <c r="I1701" s="28"/>
      <c r="J1701" s="28"/>
      <c r="K1701" s="28"/>
      <c r="L1701" s="28"/>
      <c r="M1701" s="28"/>
    </row>
    <row r="1702">
      <c r="A1702" s="28"/>
      <c r="B1702" s="28"/>
      <c r="C1702" s="28"/>
      <c r="D1702" s="28"/>
      <c r="E1702" s="28"/>
      <c r="F1702" s="28"/>
      <c r="G1702" s="28"/>
      <c r="H1702" s="28"/>
      <c r="I1702" s="28"/>
      <c r="J1702" s="28"/>
      <c r="K1702" s="28"/>
      <c r="L1702" s="28"/>
      <c r="M1702" s="28"/>
    </row>
    <row r="1703">
      <c r="A1703" s="28"/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</row>
    <row r="1704">
      <c r="A1704" s="28"/>
      <c r="B1704" s="28"/>
      <c r="C1704" s="28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/>
    </row>
    <row r="1705">
      <c r="A1705" s="28"/>
      <c r="B1705" s="28"/>
      <c r="C1705" s="28"/>
      <c r="D1705" s="28"/>
      <c r="E1705" s="28"/>
      <c r="F1705" s="28"/>
      <c r="G1705" s="28"/>
      <c r="H1705" s="28"/>
      <c r="I1705" s="28"/>
      <c r="J1705" s="28"/>
      <c r="K1705" s="28"/>
      <c r="L1705" s="28"/>
      <c r="M1705" s="28"/>
    </row>
    <row r="1706">
      <c r="A1706" s="28"/>
      <c r="B1706" s="28"/>
      <c r="C1706" s="28"/>
      <c r="D1706" s="28"/>
      <c r="E1706" s="28"/>
      <c r="F1706" s="28"/>
      <c r="G1706" s="28"/>
      <c r="H1706" s="28"/>
      <c r="I1706" s="28"/>
      <c r="J1706" s="28"/>
      <c r="K1706" s="28"/>
      <c r="L1706" s="28"/>
      <c r="M1706" s="28"/>
    </row>
    <row r="1707">
      <c r="A1707" s="28"/>
      <c r="B1707" s="28"/>
      <c r="C1707" s="28"/>
      <c r="D1707" s="28"/>
      <c r="E1707" s="28"/>
      <c r="F1707" s="28"/>
      <c r="G1707" s="28"/>
      <c r="H1707" s="28"/>
      <c r="I1707" s="28"/>
      <c r="J1707" s="28"/>
      <c r="K1707" s="28"/>
      <c r="L1707" s="28"/>
      <c r="M1707" s="28"/>
    </row>
    <row r="1708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</row>
    <row r="1709">
      <c r="A1709" s="28"/>
      <c r="B1709" s="28"/>
      <c r="C1709" s="28"/>
      <c r="D1709" s="28"/>
      <c r="E1709" s="28"/>
      <c r="F1709" s="28"/>
      <c r="G1709" s="28"/>
      <c r="H1709" s="28"/>
      <c r="I1709" s="28"/>
      <c r="J1709" s="28"/>
      <c r="K1709" s="28"/>
      <c r="L1709" s="28"/>
      <c r="M1709" s="28"/>
    </row>
    <row r="1710">
      <c r="A1710" s="28"/>
      <c r="B1710" s="28"/>
      <c r="C1710" s="28"/>
      <c r="D1710" s="28"/>
      <c r="E1710" s="28"/>
      <c r="F1710" s="28"/>
      <c r="G1710" s="28"/>
      <c r="H1710" s="28"/>
      <c r="I1710" s="28"/>
      <c r="J1710" s="28"/>
      <c r="K1710" s="28"/>
      <c r="L1710" s="28"/>
      <c r="M1710" s="28"/>
    </row>
    <row r="1711">
      <c r="A1711" s="28"/>
      <c r="B1711" s="28"/>
      <c r="C1711" s="28"/>
      <c r="D1711" s="28"/>
      <c r="E1711" s="28"/>
      <c r="F1711" s="28"/>
      <c r="G1711" s="28"/>
      <c r="H1711" s="28"/>
      <c r="I1711" s="28"/>
      <c r="J1711" s="28"/>
      <c r="K1711" s="28"/>
      <c r="L1711" s="28"/>
      <c r="M1711" s="28"/>
    </row>
    <row r="1712">
      <c r="A1712" s="28"/>
      <c r="B1712" s="28"/>
      <c r="C1712" s="28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/>
    </row>
    <row r="1713">
      <c r="A1713" s="28"/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/>
    </row>
    <row r="1714">
      <c r="A1714" s="28"/>
      <c r="B1714" s="28"/>
      <c r="C1714" s="28"/>
      <c r="D1714" s="28"/>
      <c r="E1714" s="28"/>
      <c r="F1714" s="28"/>
      <c r="G1714" s="28"/>
      <c r="H1714" s="28"/>
      <c r="I1714" s="28"/>
      <c r="J1714" s="28"/>
      <c r="K1714" s="28"/>
      <c r="L1714" s="28"/>
      <c r="M1714" s="28"/>
    </row>
    <row r="1715">
      <c r="A1715" s="28"/>
      <c r="B1715" s="28"/>
      <c r="C1715" s="28"/>
      <c r="D1715" s="28"/>
      <c r="E1715" s="28"/>
      <c r="F1715" s="28"/>
      <c r="G1715" s="28"/>
      <c r="H1715" s="28"/>
      <c r="I1715" s="28"/>
      <c r="J1715" s="28"/>
      <c r="K1715" s="28"/>
      <c r="L1715" s="28"/>
      <c r="M1715" s="28"/>
    </row>
    <row r="1716">
      <c r="A1716" s="28"/>
      <c r="B1716" s="28"/>
      <c r="C1716" s="28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/>
    </row>
    <row r="1717">
      <c r="A1717" s="28"/>
      <c r="B1717" s="28"/>
      <c r="C1717" s="28"/>
      <c r="D1717" s="28"/>
      <c r="E1717" s="28"/>
      <c r="F1717" s="28"/>
      <c r="G1717" s="28"/>
      <c r="H1717" s="28"/>
      <c r="I1717" s="28"/>
      <c r="J1717" s="28"/>
      <c r="K1717" s="28"/>
      <c r="L1717" s="28"/>
      <c r="M1717" s="28"/>
    </row>
    <row r="1718">
      <c r="A1718" s="28"/>
      <c r="B1718" s="28"/>
      <c r="C1718" s="28"/>
      <c r="D1718" s="28"/>
      <c r="E1718" s="28"/>
      <c r="F1718" s="28"/>
      <c r="G1718" s="28"/>
      <c r="H1718" s="28"/>
      <c r="I1718" s="28"/>
      <c r="J1718" s="28"/>
      <c r="K1718" s="28"/>
      <c r="L1718" s="28"/>
      <c r="M1718" s="28"/>
    </row>
    <row r="1719">
      <c r="A1719" s="28"/>
      <c r="B1719" s="28"/>
      <c r="C1719" s="28"/>
      <c r="D1719" s="28"/>
      <c r="E1719" s="28"/>
      <c r="F1719" s="28"/>
      <c r="G1719" s="28"/>
      <c r="H1719" s="28"/>
      <c r="I1719" s="28"/>
      <c r="J1719" s="28"/>
      <c r="K1719" s="28"/>
      <c r="L1719" s="28"/>
      <c r="M1719" s="28"/>
    </row>
    <row r="1720">
      <c r="A1720" s="28"/>
      <c r="B1720" s="28"/>
      <c r="C1720" s="28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/>
    </row>
    <row r="1721">
      <c r="A1721" s="28"/>
      <c r="B1721" s="28"/>
      <c r="C1721" s="28"/>
      <c r="D1721" s="28"/>
      <c r="E1721" s="28"/>
      <c r="F1721" s="28"/>
      <c r="G1721" s="28"/>
      <c r="H1721" s="28"/>
      <c r="I1721" s="28"/>
      <c r="J1721" s="28"/>
      <c r="K1721" s="28"/>
      <c r="L1721" s="28"/>
      <c r="M1721" s="28"/>
    </row>
    <row r="1722">
      <c r="A1722" s="28"/>
      <c r="B1722" s="28"/>
      <c r="C1722" s="28"/>
      <c r="D1722" s="28"/>
      <c r="E1722" s="28"/>
      <c r="F1722" s="28"/>
      <c r="G1722" s="28"/>
      <c r="H1722" s="28"/>
      <c r="I1722" s="28"/>
      <c r="J1722" s="28"/>
      <c r="K1722" s="28"/>
      <c r="L1722" s="28"/>
      <c r="M1722" s="28"/>
    </row>
    <row r="1723">
      <c r="A1723" s="28"/>
      <c r="B1723" s="28"/>
      <c r="C1723" s="28"/>
      <c r="D1723" s="28"/>
      <c r="E1723" s="28"/>
      <c r="F1723" s="28"/>
      <c r="G1723" s="28"/>
      <c r="H1723" s="28"/>
      <c r="I1723" s="28"/>
      <c r="J1723" s="28"/>
      <c r="K1723" s="28"/>
      <c r="L1723" s="28"/>
      <c r="M1723" s="28"/>
    </row>
    <row r="1724">
      <c r="A1724" s="28"/>
      <c r="B1724" s="28"/>
      <c r="C1724" s="28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/>
    </row>
    <row r="1725">
      <c r="A1725" s="28"/>
      <c r="B1725" s="28"/>
      <c r="C1725" s="28"/>
      <c r="D1725" s="28"/>
      <c r="E1725" s="28"/>
      <c r="F1725" s="28"/>
      <c r="G1725" s="28"/>
      <c r="H1725" s="28"/>
      <c r="I1725" s="28"/>
      <c r="J1725" s="28"/>
      <c r="K1725" s="28"/>
      <c r="L1725" s="28"/>
      <c r="M1725" s="28"/>
    </row>
    <row r="1726">
      <c r="A1726" s="28"/>
      <c r="B1726" s="28"/>
      <c r="C1726" s="28"/>
      <c r="D1726" s="28"/>
      <c r="E1726" s="28"/>
      <c r="F1726" s="28"/>
      <c r="G1726" s="28"/>
      <c r="H1726" s="28"/>
      <c r="I1726" s="28"/>
      <c r="J1726" s="28"/>
      <c r="K1726" s="28"/>
      <c r="L1726" s="28"/>
      <c r="M1726" s="28"/>
    </row>
    <row r="1727">
      <c r="A1727" s="28"/>
      <c r="B1727" s="28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/>
    </row>
    <row r="1728">
      <c r="A1728" s="28"/>
      <c r="B1728" s="28"/>
      <c r="C1728" s="28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</row>
    <row r="1729">
      <c r="A1729" s="28"/>
      <c r="B1729" s="28"/>
      <c r="C1729" s="28"/>
      <c r="D1729" s="28"/>
      <c r="E1729" s="28"/>
      <c r="F1729" s="28"/>
      <c r="G1729" s="28"/>
      <c r="H1729" s="28"/>
      <c r="I1729" s="28"/>
      <c r="J1729" s="28"/>
      <c r="K1729" s="28"/>
      <c r="L1729" s="28"/>
      <c r="M1729" s="28"/>
    </row>
    <row r="1730">
      <c r="A1730" s="28"/>
      <c r="B1730" s="28"/>
      <c r="C1730" s="28"/>
      <c r="D1730" s="28"/>
      <c r="E1730" s="28"/>
      <c r="F1730" s="28"/>
      <c r="G1730" s="28"/>
      <c r="H1730" s="28"/>
      <c r="I1730" s="28"/>
      <c r="J1730" s="28"/>
      <c r="K1730" s="28"/>
      <c r="L1730" s="28"/>
      <c r="M1730" s="28"/>
    </row>
    <row r="1731">
      <c r="A1731" s="28"/>
      <c r="B1731" s="28"/>
      <c r="C1731" s="28"/>
      <c r="D1731" s="28"/>
      <c r="E1731" s="28"/>
      <c r="F1731" s="28"/>
      <c r="G1731" s="28"/>
      <c r="H1731" s="28"/>
      <c r="I1731" s="28"/>
      <c r="J1731" s="28"/>
      <c r="K1731" s="28"/>
      <c r="L1731" s="28"/>
      <c r="M1731" s="28"/>
    </row>
    <row r="1732">
      <c r="A1732" s="28"/>
      <c r="B1732" s="28"/>
      <c r="C1732" s="28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/>
    </row>
    <row r="1733">
      <c r="A1733" s="28"/>
      <c r="B1733" s="28"/>
      <c r="C1733" s="28"/>
      <c r="D1733" s="28"/>
      <c r="E1733" s="28"/>
      <c r="F1733" s="28"/>
      <c r="G1733" s="28"/>
      <c r="H1733" s="28"/>
      <c r="I1733" s="28"/>
      <c r="J1733" s="28"/>
      <c r="K1733" s="28"/>
      <c r="L1733" s="28"/>
      <c r="M1733" s="28"/>
    </row>
    <row r="1734">
      <c r="A1734" s="28"/>
      <c r="B1734" s="28"/>
      <c r="C1734" s="28"/>
      <c r="D1734" s="28"/>
      <c r="E1734" s="28"/>
      <c r="F1734" s="28"/>
      <c r="G1734" s="28"/>
      <c r="H1734" s="28"/>
      <c r="I1734" s="28"/>
      <c r="J1734" s="28"/>
      <c r="K1734" s="28"/>
      <c r="L1734" s="28"/>
      <c r="M1734" s="28"/>
    </row>
    <row r="1735">
      <c r="A1735" s="28"/>
      <c r="B1735" s="28"/>
      <c r="C1735" s="28"/>
      <c r="D1735" s="28"/>
      <c r="E1735" s="28"/>
      <c r="F1735" s="28"/>
      <c r="G1735" s="28"/>
      <c r="H1735" s="28"/>
      <c r="I1735" s="28"/>
      <c r="J1735" s="28"/>
      <c r="K1735" s="28"/>
      <c r="L1735" s="28"/>
      <c r="M1735" s="28"/>
    </row>
    <row r="1736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</row>
    <row r="1737">
      <c r="A1737" s="28"/>
      <c r="B1737" s="28"/>
      <c r="C1737" s="28"/>
      <c r="D1737" s="28"/>
      <c r="E1737" s="28"/>
      <c r="F1737" s="28"/>
      <c r="G1737" s="28"/>
      <c r="H1737" s="28"/>
      <c r="I1737" s="28"/>
      <c r="J1737" s="28"/>
      <c r="K1737" s="28"/>
      <c r="L1737" s="28"/>
      <c r="M1737" s="28"/>
    </row>
    <row r="1738">
      <c r="A1738" s="28"/>
      <c r="B1738" s="28"/>
      <c r="C1738" s="28"/>
      <c r="D1738" s="28"/>
      <c r="E1738" s="28"/>
      <c r="F1738" s="28"/>
      <c r="G1738" s="28"/>
      <c r="H1738" s="28"/>
      <c r="I1738" s="28"/>
      <c r="J1738" s="28"/>
      <c r="K1738" s="28"/>
      <c r="L1738" s="28"/>
      <c r="M1738" s="28"/>
    </row>
    <row r="1739">
      <c r="A1739" s="28"/>
      <c r="B1739" s="28"/>
      <c r="C1739" s="28"/>
      <c r="D1739" s="28"/>
      <c r="E1739" s="28"/>
      <c r="F1739" s="28"/>
      <c r="G1739" s="28"/>
      <c r="H1739" s="28"/>
      <c r="I1739" s="28"/>
      <c r="J1739" s="28"/>
      <c r="K1739" s="28"/>
      <c r="L1739" s="28"/>
      <c r="M1739" s="28"/>
    </row>
    <row r="1740">
      <c r="A1740" s="28"/>
      <c r="B1740" s="28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</row>
    <row r="1741">
      <c r="A1741" s="28"/>
      <c r="B1741" s="28"/>
      <c r="C1741" s="28"/>
      <c r="D1741" s="28"/>
      <c r="E1741" s="28"/>
      <c r="F1741" s="28"/>
      <c r="G1741" s="28"/>
      <c r="H1741" s="28"/>
      <c r="I1741" s="28"/>
      <c r="J1741" s="28"/>
      <c r="K1741" s="28"/>
      <c r="L1741" s="28"/>
      <c r="M1741" s="28"/>
    </row>
    <row r="1742">
      <c r="A1742" s="28"/>
      <c r="B1742" s="28"/>
      <c r="C1742" s="28"/>
      <c r="D1742" s="28"/>
      <c r="E1742" s="28"/>
      <c r="F1742" s="28"/>
      <c r="G1742" s="28"/>
      <c r="H1742" s="28"/>
      <c r="I1742" s="28"/>
      <c r="J1742" s="28"/>
      <c r="K1742" s="28"/>
      <c r="L1742" s="28"/>
      <c r="M1742" s="28"/>
    </row>
    <row r="1743">
      <c r="A1743" s="28"/>
      <c r="B1743" s="28"/>
      <c r="C1743" s="28"/>
      <c r="D1743" s="28"/>
      <c r="E1743" s="28"/>
      <c r="F1743" s="28"/>
      <c r="G1743" s="28"/>
      <c r="H1743" s="28"/>
      <c r="I1743" s="28"/>
      <c r="J1743" s="28"/>
      <c r="K1743" s="28"/>
      <c r="L1743" s="28"/>
      <c r="M1743" s="28"/>
    </row>
    <row r="1744">
      <c r="A1744" s="28"/>
      <c r="B1744" s="28"/>
      <c r="C1744" s="28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/>
    </row>
    <row r="1745">
      <c r="A1745" s="28"/>
      <c r="B1745" s="28"/>
      <c r="C1745" s="28"/>
      <c r="D1745" s="28"/>
      <c r="E1745" s="28"/>
      <c r="F1745" s="28"/>
      <c r="G1745" s="28"/>
      <c r="H1745" s="28"/>
      <c r="I1745" s="28"/>
      <c r="J1745" s="28"/>
      <c r="K1745" s="28"/>
      <c r="L1745" s="28"/>
      <c r="M1745" s="28"/>
    </row>
    <row r="1746">
      <c r="A1746" s="28"/>
      <c r="B1746" s="28"/>
      <c r="C1746" s="28"/>
      <c r="D1746" s="28"/>
      <c r="E1746" s="28"/>
      <c r="F1746" s="28"/>
      <c r="G1746" s="28"/>
      <c r="H1746" s="28"/>
      <c r="I1746" s="28"/>
      <c r="J1746" s="28"/>
      <c r="K1746" s="28"/>
      <c r="L1746" s="28"/>
      <c r="M1746" s="28"/>
    </row>
    <row r="1747">
      <c r="A1747" s="28"/>
      <c r="B1747" s="28"/>
      <c r="C1747" s="28"/>
      <c r="D1747" s="28"/>
      <c r="E1747" s="28"/>
      <c r="F1747" s="28"/>
      <c r="G1747" s="28"/>
      <c r="H1747" s="28"/>
      <c r="I1747" s="28"/>
      <c r="J1747" s="28"/>
      <c r="K1747" s="28"/>
      <c r="L1747" s="28"/>
      <c r="M1747" s="28"/>
    </row>
    <row r="1748">
      <c r="A1748" s="28"/>
      <c r="B1748" s="28"/>
      <c r="C1748" s="28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/>
    </row>
    <row r="1749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28"/>
      <c r="L1749" s="28"/>
      <c r="M1749" s="28"/>
    </row>
    <row r="1750">
      <c r="A1750" s="28"/>
      <c r="B1750" s="28"/>
      <c r="C1750" s="28"/>
      <c r="D1750" s="28"/>
      <c r="E1750" s="28"/>
      <c r="F1750" s="28"/>
      <c r="G1750" s="28"/>
      <c r="H1750" s="28"/>
      <c r="I1750" s="28"/>
      <c r="J1750" s="28"/>
      <c r="K1750" s="28"/>
      <c r="L1750" s="28"/>
      <c r="M1750" s="28"/>
    </row>
    <row r="1751">
      <c r="A1751" s="28"/>
      <c r="B1751" s="28"/>
      <c r="C1751" s="28"/>
      <c r="D1751" s="28"/>
      <c r="E1751" s="28"/>
      <c r="F1751" s="28"/>
      <c r="G1751" s="28"/>
      <c r="H1751" s="28"/>
      <c r="I1751" s="28"/>
      <c r="J1751" s="28"/>
      <c r="K1751" s="28"/>
      <c r="L1751" s="28"/>
      <c r="M1751" s="28"/>
    </row>
    <row r="1752">
      <c r="A1752" s="28"/>
      <c r="B1752" s="28"/>
      <c r="C1752" s="28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</row>
    <row r="1753">
      <c r="A1753" s="28"/>
      <c r="B1753" s="28"/>
      <c r="C1753" s="28"/>
      <c r="D1753" s="28"/>
      <c r="E1753" s="28"/>
      <c r="F1753" s="28"/>
      <c r="G1753" s="28"/>
      <c r="H1753" s="28"/>
      <c r="I1753" s="28"/>
      <c r="J1753" s="28"/>
      <c r="K1753" s="28"/>
      <c r="L1753" s="28"/>
      <c r="M1753" s="28"/>
    </row>
    <row r="1754">
      <c r="A1754" s="28"/>
      <c r="B1754" s="28"/>
      <c r="C1754" s="28"/>
      <c r="D1754" s="28"/>
      <c r="E1754" s="28"/>
      <c r="F1754" s="28"/>
      <c r="G1754" s="28"/>
      <c r="H1754" s="28"/>
      <c r="I1754" s="28"/>
      <c r="J1754" s="28"/>
      <c r="K1754" s="28"/>
      <c r="L1754" s="28"/>
      <c r="M1754" s="28"/>
    </row>
    <row r="1755">
      <c r="A1755" s="28"/>
      <c r="B1755" s="28"/>
      <c r="C1755" s="28"/>
      <c r="D1755" s="28"/>
      <c r="E1755" s="28"/>
      <c r="F1755" s="28"/>
      <c r="G1755" s="28"/>
      <c r="H1755" s="28"/>
      <c r="I1755" s="28"/>
      <c r="J1755" s="28"/>
      <c r="K1755" s="28"/>
      <c r="L1755" s="28"/>
      <c r="M1755" s="28"/>
    </row>
    <row r="1756">
      <c r="A1756" s="28"/>
      <c r="B1756" s="28"/>
      <c r="C1756" s="28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/>
    </row>
    <row r="1757">
      <c r="A1757" s="28"/>
      <c r="B1757" s="28"/>
      <c r="C1757" s="28"/>
      <c r="D1757" s="28"/>
      <c r="E1757" s="28"/>
      <c r="F1757" s="28"/>
      <c r="G1757" s="28"/>
      <c r="H1757" s="28"/>
      <c r="I1757" s="28"/>
      <c r="J1757" s="28"/>
      <c r="K1757" s="28"/>
      <c r="L1757" s="28"/>
      <c r="M1757" s="28"/>
    </row>
    <row r="1758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/>
    </row>
    <row r="1759">
      <c r="A1759" s="28"/>
      <c r="B1759" s="28"/>
      <c r="C1759" s="28"/>
      <c r="D1759" s="28"/>
      <c r="E1759" s="28"/>
      <c r="F1759" s="28"/>
      <c r="G1759" s="28"/>
      <c r="H1759" s="28"/>
      <c r="I1759" s="28"/>
      <c r="J1759" s="28"/>
      <c r="K1759" s="28"/>
      <c r="L1759" s="28"/>
      <c r="M1759" s="28"/>
    </row>
    <row r="1760">
      <c r="A1760" s="28"/>
      <c r="B1760" s="28"/>
      <c r="C1760" s="28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</row>
    <row r="1761">
      <c r="A1761" s="28"/>
      <c r="B1761" s="28"/>
      <c r="C1761" s="28"/>
      <c r="D1761" s="28"/>
      <c r="E1761" s="28"/>
      <c r="F1761" s="28"/>
      <c r="G1761" s="28"/>
      <c r="H1761" s="28"/>
      <c r="I1761" s="28"/>
      <c r="J1761" s="28"/>
      <c r="K1761" s="28"/>
      <c r="L1761" s="28"/>
      <c r="M1761" s="28"/>
    </row>
    <row r="1762">
      <c r="A1762" s="28"/>
      <c r="B1762" s="28"/>
      <c r="C1762" s="28"/>
      <c r="D1762" s="28"/>
      <c r="E1762" s="28"/>
      <c r="F1762" s="28"/>
      <c r="G1762" s="28"/>
      <c r="H1762" s="28"/>
      <c r="I1762" s="28"/>
      <c r="J1762" s="28"/>
      <c r="K1762" s="28"/>
      <c r="L1762" s="28"/>
      <c r="M1762" s="28"/>
    </row>
    <row r="1763">
      <c r="A1763" s="28"/>
      <c r="B1763" s="28"/>
      <c r="C1763" s="28"/>
      <c r="D1763" s="28"/>
      <c r="E1763" s="28"/>
      <c r="F1763" s="28"/>
      <c r="G1763" s="28"/>
      <c r="H1763" s="28"/>
      <c r="I1763" s="28"/>
      <c r="J1763" s="28"/>
      <c r="K1763" s="28"/>
      <c r="L1763" s="28"/>
      <c r="M1763" s="28"/>
    </row>
    <row r="1764">
      <c r="A1764" s="28"/>
      <c r="B1764" s="28"/>
      <c r="C1764" s="28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/>
    </row>
    <row r="1765">
      <c r="A1765" s="28"/>
      <c r="B1765" s="28"/>
      <c r="C1765" s="28"/>
      <c r="D1765" s="28"/>
      <c r="E1765" s="28"/>
      <c r="F1765" s="28"/>
      <c r="G1765" s="28"/>
      <c r="H1765" s="28"/>
      <c r="I1765" s="28"/>
      <c r="J1765" s="28"/>
      <c r="K1765" s="28"/>
      <c r="L1765" s="28"/>
      <c r="M1765" s="28"/>
    </row>
    <row r="1766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/>
    </row>
    <row r="1767">
      <c r="A1767" s="28"/>
      <c r="B1767" s="28"/>
      <c r="C1767" s="28"/>
      <c r="D1767" s="28"/>
      <c r="E1767" s="28"/>
      <c r="F1767" s="28"/>
      <c r="G1767" s="28"/>
      <c r="H1767" s="28"/>
      <c r="I1767" s="28"/>
      <c r="J1767" s="28"/>
      <c r="K1767" s="28"/>
      <c r="L1767" s="28"/>
      <c r="M1767" s="28"/>
    </row>
    <row r="1768">
      <c r="A1768" s="28"/>
      <c r="B1768" s="28"/>
      <c r="C1768" s="28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/>
    </row>
    <row r="1769">
      <c r="A1769" s="28"/>
      <c r="B1769" s="28"/>
      <c r="C1769" s="28"/>
      <c r="D1769" s="28"/>
      <c r="E1769" s="28"/>
      <c r="F1769" s="28"/>
      <c r="G1769" s="28"/>
      <c r="H1769" s="28"/>
      <c r="I1769" s="28"/>
      <c r="J1769" s="28"/>
      <c r="K1769" s="28"/>
      <c r="L1769" s="28"/>
      <c r="M1769" s="28"/>
    </row>
    <row r="1770">
      <c r="A1770" s="28"/>
      <c r="B1770" s="28"/>
      <c r="C1770" s="28"/>
      <c r="D1770" s="28"/>
      <c r="E1770" s="28"/>
      <c r="F1770" s="28"/>
      <c r="G1770" s="28"/>
      <c r="H1770" s="28"/>
      <c r="I1770" s="28"/>
      <c r="J1770" s="28"/>
      <c r="K1770" s="28"/>
      <c r="L1770" s="28"/>
      <c r="M1770" s="28"/>
    </row>
    <row r="1771">
      <c r="A1771" s="28"/>
      <c r="B1771" s="28"/>
      <c r="C1771" s="28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/>
    </row>
    <row r="1772">
      <c r="A1772" s="28"/>
      <c r="B1772" s="28"/>
      <c r="C1772" s="28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/>
    </row>
    <row r="1773">
      <c r="A1773" s="28"/>
      <c r="B1773" s="28"/>
      <c r="C1773" s="28"/>
      <c r="D1773" s="28"/>
      <c r="E1773" s="28"/>
      <c r="F1773" s="28"/>
      <c r="G1773" s="28"/>
      <c r="H1773" s="28"/>
      <c r="I1773" s="28"/>
      <c r="J1773" s="28"/>
      <c r="K1773" s="28"/>
      <c r="L1773" s="28"/>
      <c r="M1773" s="28"/>
    </row>
    <row r="1774">
      <c r="A1774" s="28"/>
      <c r="B1774" s="28"/>
      <c r="C1774" s="28"/>
      <c r="D1774" s="28"/>
      <c r="E1774" s="28"/>
      <c r="F1774" s="28"/>
      <c r="G1774" s="28"/>
      <c r="H1774" s="28"/>
      <c r="I1774" s="28"/>
      <c r="J1774" s="28"/>
      <c r="K1774" s="28"/>
      <c r="L1774" s="28"/>
      <c r="M1774" s="28"/>
    </row>
    <row r="1775">
      <c r="A1775" s="28"/>
      <c r="B1775" s="28"/>
      <c r="C1775" s="28"/>
      <c r="D1775" s="28"/>
      <c r="E1775" s="28"/>
      <c r="F1775" s="28"/>
      <c r="G1775" s="28"/>
      <c r="H1775" s="28"/>
      <c r="I1775" s="28"/>
      <c r="J1775" s="28"/>
      <c r="K1775" s="28"/>
      <c r="L1775" s="28"/>
      <c r="M1775" s="28"/>
    </row>
    <row r="1776">
      <c r="A1776" s="28"/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</row>
    <row r="1777">
      <c r="A1777" s="28"/>
      <c r="B1777" s="28"/>
      <c r="C1777" s="28"/>
      <c r="D1777" s="28"/>
      <c r="E1777" s="28"/>
      <c r="F1777" s="28"/>
      <c r="G1777" s="28"/>
      <c r="H1777" s="28"/>
      <c r="I1777" s="28"/>
      <c r="J1777" s="28"/>
      <c r="K1777" s="28"/>
      <c r="L1777" s="28"/>
      <c r="M1777" s="28"/>
    </row>
    <row r="1778">
      <c r="A1778" s="28"/>
      <c r="B1778" s="28"/>
      <c r="C1778" s="28"/>
      <c r="D1778" s="28"/>
      <c r="E1778" s="28"/>
      <c r="F1778" s="28"/>
      <c r="G1778" s="28"/>
      <c r="H1778" s="28"/>
      <c r="I1778" s="28"/>
      <c r="J1778" s="28"/>
      <c r="K1778" s="28"/>
      <c r="L1778" s="28"/>
      <c r="M1778" s="28"/>
    </row>
    <row r="1779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</row>
    <row r="1780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</row>
    <row r="1781">
      <c r="A1781" s="28"/>
      <c r="B1781" s="28"/>
      <c r="C1781" s="28"/>
      <c r="D1781" s="28"/>
      <c r="E1781" s="28"/>
      <c r="F1781" s="28"/>
      <c r="G1781" s="28"/>
      <c r="H1781" s="28"/>
      <c r="I1781" s="28"/>
      <c r="J1781" s="28"/>
      <c r="K1781" s="28"/>
      <c r="L1781" s="28"/>
      <c r="M1781" s="28"/>
    </row>
    <row r="1782">
      <c r="A1782" s="28"/>
      <c r="B1782" s="28"/>
      <c r="C1782" s="28"/>
      <c r="D1782" s="28"/>
      <c r="E1782" s="28"/>
      <c r="F1782" s="28"/>
      <c r="G1782" s="28"/>
      <c r="H1782" s="28"/>
      <c r="I1782" s="28"/>
      <c r="J1782" s="28"/>
      <c r="K1782" s="28"/>
      <c r="L1782" s="28"/>
      <c r="M1782" s="28"/>
    </row>
    <row r="1783">
      <c r="A1783" s="28"/>
      <c r="B1783" s="28"/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/>
    </row>
    <row r="1784">
      <c r="A1784" s="28"/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</row>
    <row r="1785">
      <c r="A1785" s="28"/>
      <c r="B1785" s="28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/>
    </row>
    <row r="1786">
      <c r="A1786" s="28"/>
      <c r="B1786" s="28"/>
      <c r="C1786" s="28"/>
      <c r="D1786" s="28"/>
      <c r="E1786" s="28"/>
      <c r="F1786" s="28"/>
      <c r="G1786" s="28"/>
      <c r="H1786" s="28"/>
      <c r="I1786" s="28"/>
      <c r="J1786" s="28"/>
      <c r="K1786" s="28"/>
      <c r="L1786" s="28"/>
      <c r="M1786" s="28"/>
    </row>
    <row r="1787">
      <c r="A1787" s="28"/>
      <c r="B1787" s="28"/>
      <c r="C1787" s="28"/>
      <c r="D1787" s="28"/>
      <c r="E1787" s="28"/>
      <c r="F1787" s="28"/>
      <c r="G1787" s="28"/>
      <c r="H1787" s="28"/>
      <c r="I1787" s="28"/>
      <c r="J1787" s="28"/>
      <c r="K1787" s="28"/>
      <c r="L1787" s="28"/>
      <c r="M1787" s="28"/>
    </row>
    <row r="1788">
      <c r="A1788" s="28"/>
      <c r="B1788" s="28"/>
      <c r="C1788" s="28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</row>
    <row r="1789">
      <c r="A1789" s="28"/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/>
    </row>
    <row r="1790">
      <c r="A1790" s="28"/>
      <c r="B1790" s="28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/>
    </row>
    <row r="1791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/>
    </row>
    <row r="1792">
      <c r="A1792" s="28"/>
      <c r="B1792" s="28"/>
      <c r="C1792" s="28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</row>
    <row r="1793">
      <c r="A1793" s="28"/>
      <c r="B1793" s="28"/>
      <c r="C1793" s="28"/>
      <c r="D1793" s="28"/>
      <c r="E1793" s="28"/>
      <c r="F1793" s="28"/>
      <c r="G1793" s="28"/>
      <c r="H1793" s="28"/>
      <c r="I1793" s="28"/>
      <c r="J1793" s="28"/>
      <c r="K1793" s="28"/>
      <c r="L1793" s="28"/>
      <c r="M1793" s="28"/>
    </row>
    <row r="1794">
      <c r="A1794" s="28"/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/>
    </row>
    <row r="1795">
      <c r="A1795" s="28"/>
      <c r="B1795" s="28"/>
      <c r="C1795" s="28"/>
      <c r="D1795" s="28"/>
      <c r="E1795" s="28"/>
      <c r="F1795" s="28"/>
      <c r="G1795" s="28"/>
      <c r="H1795" s="28"/>
      <c r="I1795" s="28"/>
      <c r="J1795" s="28"/>
      <c r="K1795" s="28"/>
      <c r="L1795" s="28"/>
      <c r="M1795" s="28"/>
    </row>
    <row r="1796">
      <c r="A1796" s="28"/>
      <c r="B1796" s="28"/>
      <c r="C1796" s="28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</row>
    <row r="1797">
      <c r="A1797" s="28"/>
      <c r="B1797" s="28"/>
      <c r="C1797" s="28"/>
      <c r="D1797" s="28"/>
      <c r="E1797" s="28"/>
      <c r="F1797" s="28"/>
      <c r="G1797" s="28"/>
      <c r="H1797" s="28"/>
      <c r="I1797" s="28"/>
      <c r="J1797" s="28"/>
      <c r="K1797" s="28"/>
      <c r="L1797" s="28"/>
      <c r="M1797" s="28"/>
    </row>
    <row r="1798">
      <c r="A1798" s="28"/>
      <c r="B1798" s="28"/>
      <c r="C1798" s="28"/>
      <c r="D1798" s="28"/>
      <c r="E1798" s="28"/>
      <c r="F1798" s="28"/>
      <c r="G1798" s="28"/>
      <c r="H1798" s="28"/>
      <c r="I1798" s="28"/>
      <c r="J1798" s="28"/>
      <c r="K1798" s="28"/>
      <c r="L1798" s="28"/>
      <c r="M1798" s="28"/>
    </row>
    <row r="1799">
      <c r="A1799" s="28"/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</row>
    <row r="1800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</row>
    <row r="1801">
      <c r="A1801" s="28"/>
      <c r="B1801" s="28"/>
      <c r="C1801" s="28"/>
      <c r="D1801" s="28"/>
      <c r="E1801" s="28"/>
      <c r="F1801" s="28"/>
      <c r="G1801" s="28"/>
      <c r="H1801" s="28"/>
      <c r="I1801" s="28"/>
      <c r="J1801" s="28"/>
      <c r="K1801" s="28"/>
      <c r="L1801" s="28"/>
      <c r="M1801" s="28"/>
    </row>
    <row r="1802">
      <c r="A1802" s="28"/>
      <c r="B1802" s="28"/>
      <c r="C1802" s="28"/>
      <c r="D1802" s="28"/>
      <c r="E1802" s="28"/>
      <c r="F1802" s="28"/>
      <c r="G1802" s="28"/>
      <c r="H1802" s="28"/>
      <c r="I1802" s="28"/>
      <c r="J1802" s="28"/>
      <c r="K1802" s="28"/>
      <c r="L1802" s="28"/>
      <c r="M1802" s="28"/>
    </row>
    <row r="1803">
      <c r="A1803" s="28"/>
      <c r="B1803" s="28"/>
      <c r="C1803" s="28"/>
      <c r="D1803" s="28"/>
      <c r="E1803" s="28"/>
      <c r="F1803" s="28"/>
      <c r="G1803" s="28"/>
      <c r="H1803" s="28"/>
      <c r="I1803" s="28"/>
      <c r="J1803" s="28"/>
      <c r="K1803" s="28"/>
      <c r="L1803" s="28"/>
      <c r="M1803" s="28"/>
    </row>
    <row r="1804">
      <c r="A1804" s="28"/>
      <c r="B1804" s="28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</row>
    <row r="1805">
      <c r="A1805" s="28"/>
      <c r="B1805" s="28"/>
      <c r="C1805" s="28"/>
      <c r="D1805" s="28"/>
      <c r="E1805" s="28"/>
      <c r="F1805" s="28"/>
      <c r="G1805" s="28"/>
      <c r="H1805" s="28"/>
      <c r="I1805" s="28"/>
      <c r="J1805" s="28"/>
      <c r="K1805" s="28"/>
      <c r="L1805" s="28"/>
      <c r="M1805" s="28"/>
    </row>
    <row r="1806">
      <c r="A1806" s="28"/>
      <c r="B1806" s="28"/>
      <c r="C1806" s="28"/>
      <c r="D1806" s="28"/>
      <c r="E1806" s="28"/>
      <c r="F1806" s="28"/>
      <c r="G1806" s="28"/>
      <c r="H1806" s="28"/>
      <c r="I1806" s="28"/>
      <c r="J1806" s="28"/>
      <c r="K1806" s="28"/>
      <c r="L1806" s="28"/>
      <c r="M1806" s="28"/>
    </row>
    <row r="1807">
      <c r="A1807" s="28"/>
      <c r="B1807" s="28"/>
      <c r="C1807" s="28"/>
      <c r="D1807" s="28"/>
      <c r="E1807" s="28"/>
      <c r="F1807" s="28"/>
      <c r="G1807" s="28"/>
      <c r="H1807" s="28"/>
      <c r="I1807" s="28"/>
      <c r="J1807" s="28"/>
      <c r="K1807" s="28"/>
      <c r="L1807" s="28"/>
      <c r="M1807" s="28"/>
    </row>
    <row r="1808">
      <c r="A1808" s="28"/>
      <c r="B1808" s="28"/>
      <c r="C1808" s="28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</row>
    <row r="1809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</row>
    <row r="1810">
      <c r="A1810" s="28"/>
      <c r="B1810" s="28"/>
      <c r="C1810" s="28"/>
      <c r="D1810" s="28"/>
      <c r="E1810" s="28"/>
      <c r="F1810" s="28"/>
      <c r="G1810" s="28"/>
      <c r="H1810" s="28"/>
      <c r="I1810" s="28"/>
      <c r="J1810" s="28"/>
      <c r="K1810" s="28"/>
      <c r="L1810" s="28"/>
      <c r="M1810" s="28"/>
    </row>
    <row r="1811">
      <c r="A1811" s="28"/>
      <c r="B1811" s="28"/>
      <c r="C1811" s="28"/>
      <c r="D1811" s="28"/>
      <c r="E1811" s="28"/>
      <c r="F1811" s="28"/>
      <c r="G1811" s="28"/>
      <c r="H1811" s="28"/>
      <c r="I1811" s="28"/>
      <c r="J1811" s="28"/>
      <c r="K1811" s="28"/>
      <c r="L1811" s="28"/>
      <c r="M1811" s="28"/>
    </row>
    <row r="1812">
      <c r="A1812" s="28"/>
      <c r="B1812" s="28"/>
      <c r="C1812" s="28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</row>
    <row r="1813">
      <c r="A1813" s="28"/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/>
    </row>
    <row r="1814">
      <c r="A1814" s="28"/>
      <c r="B1814" s="28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/>
    </row>
    <row r="1815">
      <c r="A1815" s="28"/>
      <c r="B1815" s="28"/>
      <c r="C1815" s="28"/>
      <c r="D1815" s="28"/>
      <c r="E1815" s="28"/>
      <c r="F1815" s="28"/>
      <c r="G1815" s="28"/>
      <c r="H1815" s="28"/>
      <c r="I1815" s="28"/>
      <c r="J1815" s="28"/>
      <c r="K1815" s="28"/>
      <c r="L1815" s="28"/>
      <c r="M1815" s="28"/>
    </row>
    <row r="1816">
      <c r="A1816" s="28"/>
      <c r="B1816" s="28"/>
      <c r="C1816" s="28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</row>
    <row r="1817">
      <c r="A1817" s="28"/>
      <c r="B1817" s="28"/>
      <c r="C1817" s="28"/>
      <c r="D1817" s="28"/>
      <c r="E1817" s="28"/>
      <c r="F1817" s="28"/>
      <c r="G1817" s="28"/>
      <c r="H1817" s="28"/>
      <c r="I1817" s="28"/>
      <c r="J1817" s="28"/>
      <c r="K1817" s="28"/>
      <c r="L1817" s="28"/>
      <c r="M1817" s="28"/>
    </row>
    <row r="1818">
      <c r="A1818" s="28"/>
      <c r="B1818" s="28"/>
      <c r="C1818" s="28"/>
      <c r="D1818" s="28"/>
      <c r="E1818" s="28"/>
      <c r="F1818" s="28"/>
      <c r="G1818" s="28"/>
      <c r="H1818" s="28"/>
      <c r="I1818" s="28"/>
      <c r="J1818" s="28"/>
      <c r="K1818" s="28"/>
      <c r="L1818" s="28"/>
      <c r="M1818" s="28"/>
    </row>
    <row r="1819">
      <c r="A1819" s="28"/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</row>
    <row r="1820">
      <c r="A1820" s="28"/>
      <c r="B1820" s="28"/>
      <c r="C1820" s="28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</row>
    <row r="1821">
      <c r="A1821" s="28"/>
      <c r="B1821" s="28"/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/>
    </row>
    <row r="1822">
      <c r="A1822" s="28"/>
      <c r="B1822" s="28"/>
      <c r="C1822" s="28"/>
      <c r="D1822" s="28"/>
      <c r="E1822" s="28"/>
      <c r="F1822" s="28"/>
      <c r="G1822" s="28"/>
      <c r="H1822" s="28"/>
      <c r="I1822" s="28"/>
      <c r="J1822" s="28"/>
      <c r="K1822" s="28"/>
      <c r="L1822" s="28"/>
      <c r="M1822" s="28"/>
    </row>
    <row r="1823">
      <c r="A1823" s="28"/>
      <c r="B1823" s="28"/>
      <c r="C1823" s="28"/>
      <c r="D1823" s="28"/>
      <c r="E1823" s="28"/>
      <c r="F1823" s="28"/>
      <c r="G1823" s="28"/>
      <c r="H1823" s="28"/>
      <c r="I1823" s="28"/>
      <c r="J1823" s="28"/>
      <c r="K1823" s="28"/>
      <c r="L1823" s="28"/>
      <c r="M1823" s="28"/>
    </row>
    <row r="1824">
      <c r="A1824" s="28"/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</row>
    <row r="1825">
      <c r="A1825" s="28"/>
      <c r="B1825" s="28"/>
      <c r="C1825" s="28"/>
      <c r="D1825" s="28"/>
      <c r="E1825" s="28"/>
      <c r="F1825" s="28"/>
      <c r="G1825" s="28"/>
      <c r="H1825" s="28"/>
      <c r="I1825" s="28"/>
      <c r="J1825" s="28"/>
      <c r="K1825" s="28"/>
      <c r="L1825" s="28"/>
      <c r="M1825" s="28"/>
    </row>
    <row r="1826">
      <c r="A1826" s="28"/>
      <c r="B1826" s="28"/>
      <c r="C1826" s="28"/>
      <c r="D1826" s="28"/>
      <c r="E1826" s="28"/>
      <c r="F1826" s="28"/>
      <c r="G1826" s="28"/>
      <c r="H1826" s="28"/>
      <c r="I1826" s="28"/>
      <c r="J1826" s="28"/>
      <c r="K1826" s="28"/>
      <c r="L1826" s="28"/>
      <c r="M1826" s="28"/>
    </row>
    <row r="1827">
      <c r="A1827" s="28"/>
      <c r="B1827" s="28"/>
      <c r="C1827" s="28"/>
      <c r="D1827" s="28"/>
      <c r="E1827" s="28"/>
      <c r="F1827" s="28"/>
      <c r="G1827" s="28"/>
      <c r="H1827" s="28"/>
      <c r="I1827" s="28"/>
      <c r="J1827" s="28"/>
      <c r="K1827" s="28"/>
      <c r="L1827" s="28"/>
      <c r="M1827" s="28"/>
    </row>
    <row r="1828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</row>
    <row r="1829">
      <c r="A1829" s="28"/>
      <c r="B1829" s="28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/>
    </row>
    <row r="1830">
      <c r="A1830" s="28"/>
      <c r="B1830" s="28"/>
      <c r="C1830" s="2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/>
    </row>
    <row r="1831">
      <c r="A1831" s="28"/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/>
    </row>
    <row r="1832">
      <c r="A1832" s="28"/>
      <c r="B1832" s="28"/>
      <c r="C1832" s="28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</row>
    <row r="1833">
      <c r="A1833" s="28"/>
      <c r="B1833" s="28"/>
      <c r="C1833" s="28"/>
      <c r="D1833" s="28"/>
      <c r="E1833" s="28"/>
      <c r="F1833" s="28"/>
      <c r="G1833" s="28"/>
      <c r="H1833" s="28"/>
      <c r="I1833" s="28"/>
      <c r="J1833" s="28"/>
      <c r="K1833" s="28"/>
      <c r="L1833" s="28"/>
      <c r="M1833" s="28"/>
    </row>
    <row r="1834">
      <c r="A1834" s="28"/>
      <c r="B1834" s="28"/>
      <c r="C1834" s="28"/>
      <c r="D1834" s="28"/>
      <c r="E1834" s="28"/>
      <c r="F1834" s="28"/>
      <c r="G1834" s="28"/>
      <c r="H1834" s="28"/>
      <c r="I1834" s="28"/>
      <c r="J1834" s="28"/>
      <c r="K1834" s="28"/>
      <c r="L1834" s="28"/>
      <c r="M1834" s="28"/>
    </row>
    <row r="1835">
      <c r="A1835" s="28"/>
      <c r="B1835" s="28"/>
      <c r="C1835" s="28"/>
      <c r="D1835" s="28"/>
      <c r="E1835" s="28"/>
      <c r="F1835" s="28"/>
      <c r="G1835" s="28"/>
      <c r="H1835" s="28"/>
      <c r="I1835" s="28"/>
      <c r="J1835" s="28"/>
      <c r="K1835" s="28"/>
      <c r="L1835" s="28"/>
      <c r="M1835" s="28"/>
    </row>
    <row r="1836">
      <c r="A1836" s="28"/>
      <c r="B1836" s="28"/>
      <c r="C1836" s="28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</row>
    <row r="1837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/>
    </row>
    <row r="1838">
      <c r="A1838" s="28"/>
      <c r="B1838" s="28"/>
      <c r="C1838" s="28"/>
      <c r="D1838" s="28"/>
      <c r="E1838" s="28"/>
      <c r="F1838" s="28"/>
      <c r="G1838" s="28"/>
      <c r="H1838" s="28"/>
      <c r="I1838" s="28"/>
      <c r="J1838" s="28"/>
      <c r="K1838" s="28"/>
      <c r="L1838" s="28"/>
      <c r="M1838" s="28"/>
    </row>
    <row r="1839">
      <c r="A1839" s="28"/>
      <c r="B1839" s="28"/>
      <c r="C1839" s="28"/>
      <c r="D1839" s="28"/>
      <c r="E1839" s="28"/>
      <c r="F1839" s="28"/>
      <c r="G1839" s="28"/>
      <c r="H1839" s="28"/>
      <c r="I1839" s="28"/>
      <c r="J1839" s="28"/>
      <c r="K1839" s="28"/>
      <c r="L1839" s="28"/>
      <c r="M1839" s="28"/>
    </row>
    <row r="1840">
      <c r="A1840" s="28"/>
      <c r="B1840" s="28"/>
      <c r="C1840" s="28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</row>
    <row r="1841">
      <c r="A1841" s="28"/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/>
    </row>
    <row r="1842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/>
    </row>
    <row r="1843">
      <c r="A1843" s="28"/>
      <c r="B1843" s="28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/>
    </row>
    <row r="1844">
      <c r="A1844" s="28"/>
      <c r="B1844" s="28"/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</row>
    <row r="1845">
      <c r="A1845" s="28"/>
      <c r="B1845" s="28"/>
      <c r="C1845" s="28"/>
      <c r="D1845" s="28"/>
      <c r="E1845" s="28"/>
      <c r="F1845" s="28"/>
      <c r="G1845" s="28"/>
      <c r="H1845" s="28"/>
      <c r="I1845" s="28"/>
      <c r="J1845" s="28"/>
      <c r="K1845" s="28"/>
      <c r="L1845" s="28"/>
      <c r="M1845" s="28"/>
    </row>
    <row r="1846">
      <c r="A1846" s="28"/>
      <c r="B1846" s="28"/>
      <c r="C1846" s="28"/>
      <c r="D1846" s="28"/>
      <c r="E1846" s="28"/>
      <c r="F1846" s="28"/>
      <c r="G1846" s="28"/>
      <c r="H1846" s="28"/>
      <c r="I1846" s="28"/>
      <c r="J1846" s="28"/>
      <c r="K1846" s="28"/>
      <c r="L1846" s="28"/>
      <c r="M1846" s="28"/>
    </row>
    <row r="1847">
      <c r="A1847" s="28"/>
      <c r="B1847" s="28"/>
      <c r="C1847" s="28"/>
      <c r="D1847" s="28"/>
      <c r="E1847" s="28"/>
      <c r="F1847" s="28"/>
      <c r="G1847" s="28"/>
      <c r="H1847" s="28"/>
      <c r="I1847" s="28"/>
      <c r="J1847" s="28"/>
      <c r="K1847" s="28"/>
      <c r="L1847" s="28"/>
      <c r="M1847" s="28"/>
    </row>
    <row r="1848">
      <c r="A1848" s="28"/>
      <c r="B1848" s="28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</row>
    <row r="1849">
      <c r="A1849" s="28"/>
      <c r="B1849" s="28"/>
      <c r="C1849" s="28"/>
      <c r="D1849" s="28"/>
      <c r="E1849" s="28"/>
      <c r="F1849" s="28"/>
      <c r="G1849" s="28"/>
      <c r="H1849" s="28"/>
      <c r="I1849" s="28"/>
      <c r="J1849" s="28"/>
      <c r="K1849" s="28"/>
      <c r="L1849" s="28"/>
      <c r="M1849" s="28"/>
    </row>
    <row r="1850">
      <c r="A1850" s="28"/>
      <c r="B1850" s="28"/>
      <c r="C1850" s="28"/>
      <c r="D1850" s="28"/>
      <c r="E1850" s="28"/>
      <c r="F1850" s="28"/>
      <c r="G1850" s="28"/>
      <c r="H1850" s="28"/>
      <c r="I1850" s="28"/>
      <c r="J1850" s="28"/>
      <c r="K1850" s="28"/>
      <c r="L1850" s="28"/>
      <c r="M1850" s="28"/>
    </row>
    <row r="1851">
      <c r="A1851" s="28"/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</row>
    <row r="1852">
      <c r="A1852" s="28"/>
      <c r="B1852" s="28"/>
      <c r="C1852" s="28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</row>
    <row r="1853">
      <c r="A1853" s="28"/>
      <c r="B1853" s="28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/>
    </row>
    <row r="1854">
      <c r="A1854" s="28"/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</row>
    <row r="1855">
      <c r="A1855" s="28"/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</row>
    <row r="1856">
      <c r="A1856" s="28"/>
      <c r="B1856" s="28"/>
      <c r="C1856" s="28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</row>
    <row r="1857">
      <c r="A1857" s="28"/>
      <c r="B1857" s="28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</row>
    <row r="1858">
      <c r="A1858" s="28"/>
      <c r="B1858" s="28"/>
      <c r="C1858" s="28"/>
      <c r="D1858" s="28"/>
      <c r="E1858" s="28"/>
      <c r="F1858" s="28"/>
      <c r="G1858" s="28"/>
      <c r="H1858" s="28"/>
      <c r="I1858" s="28"/>
      <c r="J1858" s="28"/>
      <c r="K1858" s="28"/>
      <c r="L1858" s="28"/>
      <c r="M1858" s="28"/>
    </row>
    <row r="1859">
      <c r="A1859" s="28"/>
      <c r="B1859" s="28"/>
      <c r="C1859" s="28"/>
      <c r="D1859" s="28"/>
      <c r="E1859" s="28"/>
      <c r="F1859" s="28"/>
      <c r="G1859" s="28"/>
      <c r="H1859" s="28"/>
      <c r="I1859" s="28"/>
      <c r="J1859" s="28"/>
      <c r="K1859" s="28"/>
      <c r="L1859" s="28"/>
      <c r="M1859" s="28"/>
    </row>
    <row r="1860">
      <c r="A1860" s="28"/>
      <c r="B1860" s="28"/>
      <c r="C1860" s="28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</row>
    <row r="1861">
      <c r="A1861" s="28"/>
      <c r="B1861" s="28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</row>
    <row r="1862">
      <c r="A1862" s="28"/>
      <c r="B1862" s="28"/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</row>
    <row r="1863">
      <c r="A1863" s="28"/>
      <c r="B1863" s="28"/>
      <c r="C1863" s="28"/>
      <c r="D1863" s="28"/>
      <c r="E1863" s="28"/>
      <c r="F1863" s="28"/>
      <c r="G1863" s="28"/>
      <c r="H1863" s="28"/>
      <c r="I1863" s="28"/>
      <c r="J1863" s="28"/>
      <c r="K1863" s="28"/>
      <c r="L1863" s="28"/>
      <c r="M1863" s="28"/>
    </row>
    <row r="1864">
      <c r="A1864" s="28"/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</row>
    <row r="1865">
      <c r="A1865" s="28"/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</row>
    <row r="1866">
      <c r="A1866" s="28"/>
      <c r="B1866" s="28"/>
      <c r="C1866" s="28"/>
      <c r="D1866" s="28"/>
      <c r="E1866" s="28"/>
      <c r="F1866" s="28"/>
      <c r="G1866" s="28"/>
      <c r="H1866" s="28"/>
      <c r="I1866" s="28"/>
      <c r="J1866" s="28"/>
      <c r="K1866" s="28"/>
      <c r="L1866" s="28"/>
      <c r="M1866" s="28"/>
    </row>
    <row r="1867">
      <c r="A1867" s="28"/>
      <c r="B1867" s="28"/>
      <c r="C1867" s="28"/>
      <c r="D1867" s="28"/>
      <c r="E1867" s="28"/>
      <c r="F1867" s="28"/>
      <c r="G1867" s="28"/>
      <c r="H1867" s="28"/>
      <c r="I1867" s="28"/>
      <c r="J1867" s="28"/>
      <c r="K1867" s="28"/>
      <c r="L1867" s="28"/>
      <c r="M1867" s="28"/>
    </row>
    <row r="1868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</row>
    <row r="1869">
      <c r="A1869" s="28"/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</row>
    <row r="1870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</row>
    <row r="1871">
      <c r="A1871" s="28"/>
      <c r="B1871" s="28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</row>
    <row r="1872">
      <c r="A1872" s="28"/>
      <c r="B1872" s="28"/>
      <c r="C1872" s="28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</row>
    <row r="1873">
      <c r="A1873" s="28"/>
      <c r="B1873" s="28"/>
      <c r="C1873" s="28"/>
      <c r="D1873" s="28"/>
      <c r="E1873" s="28"/>
      <c r="F1873" s="28"/>
      <c r="G1873" s="28"/>
      <c r="H1873" s="28"/>
      <c r="I1873" s="28"/>
      <c r="J1873" s="28"/>
      <c r="K1873" s="28"/>
      <c r="L1873" s="28"/>
      <c r="M1873" s="28"/>
    </row>
    <row r="1874">
      <c r="A1874" s="28"/>
      <c r="B1874" s="28"/>
      <c r="C1874" s="28"/>
      <c r="D1874" s="28"/>
      <c r="E1874" s="28"/>
      <c r="F1874" s="28"/>
      <c r="G1874" s="28"/>
      <c r="H1874" s="28"/>
      <c r="I1874" s="28"/>
      <c r="J1874" s="28"/>
      <c r="K1874" s="28"/>
      <c r="L1874" s="28"/>
      <c r="M1874" s="28"/>
    </row>
    <row r="1875">
      <c r="A1875" s="28"/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</row>
    <row r="1876">
      <c r="A1876" s="28"/>
      <c r="B1876" s="28"/>
      <c r="C1876" s="28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</row>
    <row r="1877">
      <c r="A1877" s="28"/>
      <c r="B1877" s="28"/>
      <c r="C1877" s="28"/>
      <c r="D1877" s="28"/>
      <c r="E1877" s="28"/>
      <c r="F1877" s="28"/>
      <c r="G1877" s="28"/>
      <c r="H1877" s="28"/>
      <c r="I1877" s="28"/>
      <c r="J1877" s="28"/>
      <c r="K1877" s="28"/>
      <c r="L1877" s="28"/>
      <c r="M1877" s="28"/>
    </row>
    <row r="1878">
      <c r="A1878" s="28"/>
      <c r="B1878" s="28"/>
      <c r="C1878" s="28"/>
      <c r="D1878" s="28"/>
      <c r="E1878" s="28"/>
      <c r="F1878" s="28"/>
      <c r="G1878" s="28"/>
      <c r="H1878" s="28"/>
      <c r="I1878" s="28"/>
      <c r="J1878" s="28"/>
      <c r="K1878" s="28"/>
      <c r="L1878" s="28"/>
      <c r="M1878" s="28"/>
    </row>
    <row r="1879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</row>
    <row r="1880">
      <c r="A1880" s="28"/>
      <c r="B1880" s="28"/>
      <c r="C1880" s="28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</row>
    <row r="1881">
      <c r="A1881" s="28"/>
      <c r="B1881" s="28"/>
      <c r="C1881" s="28"/>
      <c r="D1881" s="28"/>
      <c r="E1881" s="28"/>
      <c r="F1881" s="28"/>
      <c r="G1881" s="28"/>
      <c r="H1881" s="28"/>
      <c r="I1881" s="28"/>
      <c r="J1881" s="28"/>
      <c r="K1881" s="28"/>
      <c r="L1881" s="28"/>
      <c r="M1881" s="28"/>
    </row>
    <row r="1882">
      <c r="A1882" s="28"/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</row>
    <row r="1883">
      <c r="A1883" s="28"/>
      <c r="B1883" s="28"/>
      <c r="C1883" s="28"/>
      <c r="D1883" s="28"/>
      <c r="E1883" s="28"/>
      <c r="F1883" s="28"/>
      <c r="G1883" s="28"/>
      <c r="H1883" s="28"/>
      <c r="I1883" s="28"/>
      <c r="J1883" s="28"/>
      <c r="K1883" s="28"/>
      <c r="L1883" s="28"/>
      <c r="M1883" s="28"/>
    </row>
    <row r="1884">
      <c r="A1884" s="28"/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</row>
    <row r="1885">
      <c r="A1885" s="28"/>
      <c r="B1885" s="28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</row>
    <row r="1886">
      <c r="A1886" s="28"/>
      <c r="B1886" s="28"/>
      <c r="C1886" s="28"/>
      <c r="D1886" s="28"/>
      <c r="E1886" s="28"/>
      <c r="F1886" s="28"/>
      <c r="G1886" s="28"/>
      <c r="H1886" s="28"/>
      <c r="I1886" s="28"/>
      <c r="J1886" s="28"/>
      <c r="K1886" s="28"/>
      <c r="L1886" s="28"/>
      <c r="M1886" s="28"/>
    </row>
    <row r="1887">
      <c r="A1887" s="28"/>
      <c r="B1887" s="28"/>
      <c r="C1887" s="28"/>
      <c r="D1887" s="28"/>
      <c r="E1887" s="28"/>
      <c r="F1887" s="28"/>
      <c r="G1887" s="28"/>
      <c r="H1887" s="28"/>
      <c r="I1887" s="28"/>
      <c r="J1887" s="28"/>
      <c r="K1887" s="28"/>
      <c r="L1887" s="28"/>
      <c r="M1887" s="28"/>
    </row>
    <row r="1888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</row>
    <row r="1889">
      <c r="A1889" s="28"/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</row>
    <row r="1890">
      <c r="A1890" s="28"/>
      <c r="B1890" s="28"/>
      <c r="C1890" s="28"/>
      <c r="D1890" s="28"/>
      <c r="E1890" s="28"/>
      <c r="F1890" s="28"/>
      <c r="G1890" s="28"/>
      <c r="H1890" s="28"/>
      <c r="I1890" s="28"/>
      <c r="J1890" s="28"/>
      <c r="K1890" s="28"/>
      <c r="L1890" s="28"/>
      <c r="M1890" s="28"/>
    </row>
    <row r="1891">
      <c r="A1891" s="28"/>
      <c r="B1891" s="28"/>
      <c r="C1891" s="2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</row>
    <row r="1892">
      <c r="A1892" s="28"/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</row>
    <row r="1893">
      <c r="A1893" s="28"/>
      <c r="B1893" s="28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</row>
    <row r="1894">
      <c r="A1894" s="28"/>
      <c r="B1894" s="28"/>
      <c r="C1894" s="28"/>
      <c r="D1894" s="28"/>
      <c r="E1894" s="28"/>
      <c r="F1894" s="28"/>
      <c r="G1894" s="28"/>
      <c r="H1894" s="28"/>
      <c r="I1894" s="28"/>
      <c r="J1894" s="28"/>
      <c r="K1894" s="28"/>
      <c r="L1894" s="28"/>
      <c r="M1894" s="28"/>
    </row>
    <row r="1895">
      <c r="A1895" s="28"/>
      <c r="B1895" s="28"/>
      <c r="C1895" s="28"/>
      <c r="D1895" s="28"/>
      <c r="E1895" s="28"/>
      <c r="F1895" s="28"/>
      <c r="G1895" s="28"/>
      <c r="H1895" s="28"/>
      <c r="I1895" s="28"/>
      <c r="J1895" s="28"/>
      <c r="K1895" s="28"/>
      <c r="L1895" s="28"/>
      <c r="M1895" s="28"/>
    </row>
    <row r="1896">
      <c r="A1896" s="28"/>
      <c r="B1896" s="28"/>
      <c r="C1896" s="28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</row>
    <row r="1897">
      <c r="A1897" s="28"/>
      <c r="B1897" s="28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</row>
    <row r="1898">
      <c r="A1898" s="28"/>
      <c r="B1898" s="28"/>
      <c r="C1898" s="28"/>
      <c r="D1898" s="28"/>
      <c r="E1898" s="28"/>
      <c r="F1898" s="28"/>
      <c r="G1898" s="28"/>
      <c r="H1898" s="28"/>
      <c r="I1898" s="28"/>
      <c r="J1898" s="28"/>
      <c r="K1898" s="28"/>
      <c r="L1898" s="28"/>
      <c r="M1898" s="28"/>
    </row>
    <row r="1899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</row>
    <row r="1900">
      <c r="A1900" s="28"/>
      <c r="B1900" s="28"/>
      <c r="C1900" s="28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</row>
    <row r="1901">
      <c r="A1901" s="28"/>
      <c r="B1901" s="28"/>
      <c r="C1901" s="28"/>
      <c r="D1901" s="28"/>
      <c r="E1901" s="28"/>
      <c r="F1901" s="28"/>
      <c r="G1901" s="28"/>
      <c r="H1901" s="28"/>
      <c r="I1901" s="28"/>
      <c r="J1901" s="28"/>
      <c r="K1901" s="28"/>
      <c r="L1901" s="28"/>
      <c r="M1901" s="28"/>
    </row>
    <row r="1902">
      <c r="A1902" s="28"/>
      <c r="B1902" s="28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</row>
    <row r="1903">
      <c r="A1903" s="28"/>
      <c r="B1903" s="28"/>
      <c r="C1903" s="28"/>
      <c r="D1903" s="28"/>
      <c r="E1903" s="28"/>
      <c r="F1903" s="28"/>
      <c r="G1903" s="28"/>
      <c r="H1903" s="28"/>
      <c r="I1903" s="28"/>
      <c r="J1903" s="28"/>
      <c r="K1903" s="28"/>
      <c r="L1903" s="28"/>
      <c r="M1903" s="28"/>
    </row>
    <row r="1904">
      <c r="A1904" s="28"/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</row>
    <row r="1905">
      <c r="A1905" s="28"/>
      <c r="B1905" s="28"/>
      <c r="C1905" s="28"/>
      <c r="D1905" s="28"/>
      <c r="E1905" s="28"/>
      <c r="F1905" s="28"/>
      <c r="G1905" s="28"/>
      <c r="H1905" s="28"/>
      <c r="I1905" s="28"/>
      <c r="J1905" s="28"/>
      <c r="K1905" s="28"/>
      <c r="L1905" s="28"/>
      <c r="M1905" s="28"/>
    </row>
    <row r="1906">
      <c r="A1906" s="28"/>
      <c r="B1906" s="28"/>
      <c r="C1906" s="28"/>
      <c r="D1906" s="28"/>
      <c r="E1906" s="28"/>
      <c r="F1906" s="28"/>
      <c r="G1906" s="28"/>
      <c r="H1906" s="28"/>
      <c r="I1906" s="28"/>
      <c r="J1906" s="28"/>
      <c r="K1906" s="28"/>
      <c r="L1906" s="28"/>
      <c r="M1906" s="28"/>
    </row>
    <row r="1907">
      <c r="A1907" s="28"/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</row>
    <row r="1908">
      <c r="A1908" s="28"/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</row>
    <row r="1909">
      <c r="A1909" s="28"/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</row>
    <row r="1910">
      <c r="A1910" s="28"/>
      <c r="B1910" s="28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</row>
    <row r="1911">
      <c r="A1911" s="28"/>
      <c r="B1911" s="28"/>
      <c r="C1911" s="28"/>
      <c r="D1911" s="28"/>
      <c r="E1911" s="28"/>
      <c r="F1911" s="28"/>
      <c r="G1911" s="28"/>
      <c r="H1911" s="28"/>
      <c r="I1911" s="28"/>
      <c r="J1911" s="28"/>
      <c r="K1911" s="28"/>
      <c r="L1911" s="28"/>
      <c r="M1911" s="28"/>
    </row>
    <row r="1912">
      <c r="A1912" s="28"/>
      <c r="B1912" s="28"/>
      <c r="C1912" s="28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</row>
    <row r="1913">
      <c r="A1913" s="28"/>
      <c r="B1913" s="28"/>
      <c r="C1913" s="28"/>
      <c r="D1913" s="28"/>
      <c r="E1913" s="28"/>
      <c r="F1913" s="28"/>
      <c r="G1913" s="28"/>
      <c r="H1913" s="28"/>
      <c r="I1913" s="28"/>
      <c r="J1913" s="28"/>
      <c r="K1913" s="28"/>
      <c r="L1913" s="28"/>
      <c r="M1913" s="28"/>
    </row>
    <row r="1914">
      <c r="A1914" s="28"/>
      <c r="B1914" s="28"/>
      <c r="C1914" s="28"/>
      <c r="D1914" s="28"/>
      <c r="E1914" s="28"/>
      <c r="F1914" s="28"/>
      <c r="G1914" s="28"/>
      <c r="H1914" s="28"/>
      <c r="I1914" s="28"/>
      <c r="J1914" s="28"/>
      <c r="K1914" s="28"/>
      <c r="L1914" s="28"/>
      <c r="M1914" s="28"/>
    </row>
    <row r="1915">
      <c r="A1915" s="28"/>
      <c r="B1915" s="28"/>
      <c r="C1915" s="28"/>
      <c r="D1915" s="28"/>
      <c r="E1915" s="28"/>
      <c r="F1915" s="28"/>
      <c r="G1915" s="28"/>
      <c r="H1915" s="28"/>
      <c r="I1915" s="28"/>
      <c r="J1915" s="28"/>
      <c r="K1915" s="28"/>
      <c r="L1915" s="28"/>
      <c r="M1915" s="28"/>
    </row>
    <row r="1916">
      <c r="A1916" s="28"/>
      <c r="B1916" s="28"/>
      <c r="C1916" s="28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</row>
    <row r="1917">
      <c r="A1917" s="28"/>
      <c r="B1917" s="28"/>
      <c r="C1917" s="28"/>
      <c r="D1917" s="28"/>
      <c r="E1917" s="28"/>
      <c r="F1917" s="28"/>
      <c r="G1917" s="28"/>
      <c r="H1917" s="28"/>
      <c r="I1917" s="28"/>
      <c r="J1917" s="28"/>
      <c r="K1917" s="28"/>
      <c r="L1917" s="28"/>
      <c r="M1917" s="28"/>
    </row>
    <row r="1918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8"/>
    </row>
    <row r="1919">
      <c r="A1919" s="28"/>
      <c r="B1919" s="28"/>
      <c r="C1919" s="28"/>
      <c r="D1919" s="28"/>
      <c r="E1919" s="28"/>
      <c r="F1919" s="28"/>
      <c r="G1919" s="28"/>
      <c r="H1919" s="28"/>
      <c r="I1919" s="28"/>
      <c r="J1919" s="28"/>
      <c r="K1919" s="28"/>
      <c r="L1919" s="28"/>
      <c r="M1919" s="28"/>
    </row>
    <row r="1920">
      <c r="A1920" s="28"/>
      <c r="B1920" s="28"/>
      <c r="C1920" s="28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</row>
    <row r="1921">
      <c r="A1921" s="28"/>
      <c r="B1921" s="28"/>
      <c r="C1921" s="28"/>
      <c r="D1921" s="28"/>
      <c r="E1921" s="28"/>
      <c r="F1921" s="28"/>
      <c r="G1921" s="28"/>
      <c r="H1921" s="28"/>
      <c r="I1921" s="28"/>
      <c r="J1921" s="28"/>
      <c r="K1921" s="28"/>
      <c r="L1921" s="28"/>
      <c r="M1921" s="28"/>
    </row>
    <row r="1922">
      <c r="A1922" s="28"/>
      <c r="B1922" s="28"/>
      <c r="C1922" s="28"/>
      <c r="D1922" s="28"/>
      <c r="E1922" s="28"/>
      <c r="F1922" s="28"/>
      <c r="G1922" s="28"/>
      <c r="H1922" s="28"/>
      <c r="I1922" s="28"/>
      <c r="J1922" s="28"/>
      <c r="K1922" s="28"/>
      <c r="L1922" s="28"/>
      <c r="M1922" s="28"/>
    </row>
    <row r="1923">
      <c r="A1923" s="28"/>
      <c r="B1923" s="28"/>
      <c r="C1923" s="28"/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</row>
    <row r="1924">
      <c r="A1924" s="28"/>
      <c r="B1924" s="28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</row>
    <row r="1925">
      <c r="A1925" s="28"/>
      <c r="B1925" s="28"/>
      <c r="C1925" s="28"/>
      <c r="D1925" s="28"/>
      <c r="E1925" s="28"/>
      <c r="F1925" s="28"/>
      <c r="G1925" s="28"/>
      <c r="H1925" s="28"/>
      <c r="I1925" s="28"/>
      <c r="J1925" s="28"/>
      <c r="K1925" s="28"/>
      <c r="L1925" s="28"/>
      <c r="M1925" s="28"/>
    </row>
    <row r="1926">
      <c r="A1926" s="28"/>
      <c r="B1926" s="28"/>
      <c r="C1926" s="28"/>
      <c r="D1926" s="28"/>
      <c r="E1926" s="28"/>
      <c r="F1926" s="28"/>
      <c r="G1926" s="28"/>
      <c r="H1926" s="28"/>
      <c r="I1926" s="28"/>
      <c r="J1926" s="28"/>
      <c r="K1926" s="28"/>
      <c r="L1926" s="28"/>
      <c r="M1926" s="28"/>
    </row>
    <row r="1927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</row>
    <row r="1928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</row>
    <row r="1929">
      <c r="A1929" s="28"/>
      <c r="B1929" s="28"/>
      <c r="C1929" s="28"/>
      <c r="D1929" s="28"/>
      <c r="E1929" s="28"/>
      <c r="F1929" s="28"/>
      <c r="G1929" s="28"/>
      <c r="H1929" s="28"/>
      <c r="I1929" s="28"/>
      <c r="J1929" s="28"/>
      <c r="K1929" s="28"/>
      <c r="L1929" s="28"/>
      <c r="M1929" s="28"/>
    </row>
    <row r="1930">
      <c r="A1930" s="28"/>
      <c r="B1930" s="28"/>
      <c r="C1930" s="28"/>
      <c r="D1930" s="28"/>
      <c r="E1930" s="28"/>
      <c r="F1930" s="28"/>
      <c r="G1930" s="28"/>
      <c r="H1930" s="28"/>
      <c r="I1930" s="28"/>
      <c r="J1930" s="28"/>
      <c r="K1930" s="28"/>
      <c r="L1930" s="28"/>
      <c r="M1930" s="28"/>
    </row>
    <row r="1931">
      <c r="A1931" s="28"/>
      <c r="B1931" s="28"/>
      <c r="C1931" s="28"/>
      <c r="D1931" s="28"/>
      <c r="E1931" s="28"/>
      <c r="F1931" s="28"/>
      <c r="G1931" s="28"/>
      <c r="H1931" s="28"/>
      <c r="I1931" s="28"/>
      <c r="J1931" s="28"/>
      <c r="K1931" s="28"/>
      <c r="L1931" s="28"/>
      <c r="M1931" s="28"/>
    </row>
    <row r="1932">
      <c r="A1932" s="28"/>
      <c r="B1932" s="28"/>
      <c r="C1932" s="28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</row>
    <row r="1933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</row>
    <row r="1934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</row>
    <row r="1935">
      <c r="A1935" s="28"/>
      <c r="B1935" s="28"/>
      <c r="C1935" s="28"/>
      <c r="D1935" s="28"/>
      <c r="E1935" s="28"/>
      <c r="F1935" s="28"/>
      <c r="G1935" s="28"/>
      <c r="H1935" s="28"/>
      <c r="I1935" s="28"/>
      <c r="J1935" s="28"/>
      <c r="K1935" s="28"/>
      <c r="L1935" s="28"/>
      <c r="M1935" s="28"/>
    </row>
    <row r="1936">
      <c r="A1936" s="28"/>
      <c r="B1936" s="28"/>
      <c r="C1936" s="28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</row>
    <row r="1937">
      <c r="A1937" s="28"/>
      <c r="B1937" s="28"/>
      <c r="C1937" s="28"/>
      <c r="D1937" s="28"/>
      <c r="E1937" s="28"/>
      <c r="F1937" s="28"/>
      <c r="G1937" s="28"/>
      <c r="H1937" s="28"/>
      <c r="I1937" s="28"/>
      <c r="J1937" s="28"/>
      <c r="K1937" s="28"/>
      <c r="L1937" s="28"/>
      <c r="M1937" s="28"/>
    </row>
    <row r="1938">
      <c r="A1938" s="28"/>
      <c r="B1938" s="28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</row>
    <row r="1939">
      <c r="A1939" s="28"/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</row>
    <row r="1940">
      <c r="A1940" s="28"/>
      <c r="B1940" s="28"/>
      <c r="C1940" s="28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</row>
    <row r="1941">
      <c r="A1941" s="28"/>
      <c r="B1941" s="28"/>
      <c r="C1941" s="28"/>
      <c r="D1941" s="28"/>
      <c r="E1941" s="28"/>
      <c r="F1941" s="28"/>
      <c r="G1941" s="28"/>
      <c r="H1941" s="28"/>
      <c r="I1941" s="28"/>
      <c r="J1941" s="28"/>
      <c r="K1941" s="28"/>
      <c r="L1941" s="28"/>
      <c r="M1941" s="28"/>
    </row>
    <row r="1942">
      <c r="A1942" s="28"/>
      <c r="B1942" s="28"/>
      <c r="C1942" s="28"/>
      <c r="D1942" s="28"/>
      <c r="E1942" s="28"/>
      <c r="F1942" s="28"/>
      <c r="G1942" s="28"/>
      <c r="H1942" s="28"/>
      <c r="I1942" s="28"/>
      <c r="J1942" s="28"/>
      <c r="K1942" s="28"/>
      <c r="L1942" s="28"/>
      <c r="M1942" s="28"/>
    </row>
    <row r="1943">
      <c r="A1943" s="28"/>
      <c r="B1943" s="28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</row>
    <row r="1944">
      <c r="A1944" s="28"/>
      <c r="B1944" s="28"/>
      <c r="C1944" s="28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</row>
    <row r="1945">
      <c r="A1945" s="28"/>
      <c r="B1945" s="28"/>
      <c r="C1945" s="28"/>
      <c r="D1945" s="28"/>
      <c r="E1945" s="28"/>
      <c r="F1945" s="28"/>
      <c r="G1945" s="28"/>
      <c r="H1945" s="28"/>
      <c r="I1945" s="28"/>
      <c r="J1945" s="28"/>
      <c r="K1945" s="28"/>
      <c r="L1945" s="28"/>
      <c r="M1945" s="28"/>
    </row>
    <row r="1946">
      <c r="A1946" s="28"/>
      <c r="B1946" s="28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</row>
    <row r="1947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</row>
    <row r="1948">
      <c r="A1948" s="28"/>
      <c r="B1948" s="28"/>
      <c r="C1948" s="28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</row>
    <row r="1949">
      <c r="A1949" s="28"/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</row>
    <row r="1950">
      <c r="A1950" s="28"/>
      <c r="B1950" s="28"/>
      <c r="C1950" s="28"/>
      <c r="D1950" s="28"/>
      <c r="E1950" s="28"/>
      <c r="F1950" s="28"/>
      <c r="G1950" s="28"/>
      <c r="H1950" s="28"/>
      <c r="I1950" s="28"/>
      <c r="J1950" s="28"/>
      <c r="K1950" s="28"/>
      <c r="L1950" s="28"/>
      <c r="M1950" s="28"/>
    </row>
    <row r="1951">
      <c r="A1951" s="28"/>
      <c r="B1951" s="28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</row>
    <row r="1952">
      <c r="A1952" s="28"/>
      <c r="B1952" s="28"/>
      <c r="C1952" s="2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</row>
    <row r="1953">
      <c r="A1953" s="28"/>
      <c r="B1953" s="28"/>
      <c r="C1953" s="28"/>
      <c r="D1953" s="28"/>
      <c r="E1953" s="28"/>
      <c r="F1953" s="28"/>
      <c r="G1953" s="28"/>
      <c r="H1953" s="28"/>
      <c r="I1953" s="28"/>
      <c r="J1953" s="28"/>
      <c r="K1953" s="28"/>
      <c r="L1953" s="28"/>
      <c r="M1953" s="28"/>
    </row>
    <row r="1954">
      <c r="A1954" s="28"/>
      <c r="B1954" s="28"/>
      <c r="C1954" s="28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</row>
    <row r="1955">
      <c r="A1955" s="28"/>
      <c r="B1955" s="28"/>
      <c r="C1955" s="28"/>
      <c r="D1955" s="28"/>
      <c r="E1955" s="28"/>
      <c r="F1955" s="28"/>
      <c r="G1955" s="28"/>
      <c r="H1955" s="28"/>
      <c r="I1955" s="28"/>
      <c r="J1955" s="28"/>
      <c r="K1955" s="28"/>
      <c r="L1955" s="28"/>
      <c r="M1955" s="28"/>
    </row>
    <row r="1956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</row>
    <row r="1957">
      <c r="A1957" s="28"/>
      <c r="B1957" s="28"/>
      <c r="C1957" s="28"/>
      <c r="D1957" s="28"/>
      <c r="E1957" s="28"/>
      <c r="F1957" s="28"/>
      <c r="G1957" s="28"/>
      <c r="H1957" s="28"/>
      <c r="I1957" s="28"/>
      <c r="J1957" s="28"/>
      <c r="K1957" s="28"/>
      <c r="L1957" s="28"/>
      <c r="M1957" s="28"/>
    </row>
    <row r="1958">
      <c r="A1958" s="28"/>
      <c r="B1958" s="28"/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</row>
    <row r="1959">
      <c r="A1959" s="28"/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</row>
    <row r="1960">
      <c r="A1960" s="28"/>
      <c r="B1960" s="28"/>
      <c r="C1960" s="28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</row>
    <row r="1961">
      <c r="A1961" s="28"/>
      <c r="B1961" s="28"/>
      <c r="C1961" s="28"/>
      <c r="D1961" s="28"/>
      <c r="E1961" s="28"/>
      <c r="F1961" s="28"/>
      <c r="G1961" s="28"/>
      <c r="H1961" s="28"/>
      <c r="I1961" s="28"/>
      <c r="J1961" s="28"/>
      <c r="K1961" s="28"/>
      <c r="L1961" s="28"/>
      <c r="M1961" s="28"/>
    </row>
    <row r="1962">
      <c r="A1962" s="28"/>
      <c r="B1962" s="28"/>
      <c r="C1962" s="28"/>
      <c r="D1962" s="28"/>
      <c r="E1962" s="28"/>
      <c r="F1962" s="28"/>
      <c r="G1962" s="28"/>
      <c r="H1962" s="28"/>
      <c r="I1962" s="28"/>
      <c r="J1962" s="28"/>
      <c r="K1962" s="28"/>
      <c r="L1962" s="28"/>
      <c r="M1962" s="28"/>
    </row>
    <row r="1963">
      <c r="A1963" s="28"/>
      <c r="B1963" s="28"/>
      <c r="C1963" s="28"/>
      <c r="D1963" s="28"/>
      <c r="E1963" s="28"/>
      <c r="F1963" s="28"/>
      <c r="G1963" s="28"/>
      <c r="H1963" s="28"/>
      <c r="I1963" s="28"/>
      <c r="J1963" s="28"/>
      <c r="K1963" s="28"/>
      <c r="L1963" s="28"/>
      <c r="M1963" s="28"/>
    </row>
    <row r="1964">
      <c r="A1964" s="28"/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</row>
    <row r="1965">
      <c r="A1965" s="28"/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</row>
    <row r="1966">
      <c r="A1966" s="28"/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</row>
    <row r="1967">
      <c r="A1967" s="28"/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</row>
    <row r="1968">
      <c r="A1968" s="28"/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</row>
    <row r="1969">
      <c r="A1969" s="28"/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</row>
    <row r="1970">
      <c r="A1970" s="28"/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</row>
    <row r="1971">
      <c r="A1971" s="28"/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</row>
    <row r="1972">
      <c r="A1972" s="28"/>
      <c r="B1972" s="28"/>
      <c r="C1972" s="28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</row>
    <row r="1973">
      <c r="A1973" s="28"/>
      <c r="B1973" s="28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</row>
    <row r="1974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</row>
    <row r="1975">
      <c r="A1975" s="28"/>
      <c r="B1975" s="28"/>
      <c r="C1975" s="28"/>
      <c r="D1975" s="28"/>
      <c r="E1975" s="28"/>
      <c r="F1975" s="28"/>
      <c r="G1975" s="28"/>
      <c r="H1975" s="28"/>
      <c r="I1975" s="28"/>
      <c r="J1975" s="28"/>
      <c r="K1975" s="28"/>
      <c r="L1975" s="28"/>
      <c r="M1975" s="28"/>
    </row>
    <row r="1976">
      <c r="A1976" s="28"/>
      <c r="B1976" s="28"/>
      <c r="C1976" s="28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</row>
    <row r="1977">
      <c r="A1977" s="28"/>
      <c r="B1977" s="28"/>
      <c r="C1977" s="28"/>
      <c r="D1977" s="28"/>
      <c r="E1977" s="28"/>
      <c r="F1977" s="28"/>
      <c r="G1977" s="28"/>
      <c r="H1977" s="28"/>
      <c r="I1977" s="28"/>
      <c r="J1977" s="28"/>
      <c r="K1977" s="28"/>
      <c r="L1977" s="28"/>
      <c r="M1977" s="28"/>
    </row>
    <row r="1978">
      <c r="A1978" s="28"/>
      <c r="B1978" s="28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</row>
    <row r="1979">
      <c r="A1979" s="28"/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</row>
    <row r="1980">
      <c r="A1980" s="28"/>
      <c r="B1980" s="28"/>
      <c r="C1980" s="28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</row>
    <row r="1981">
      <c r="A1981" s="28"/>
      <c r="B1981" s="28"/>
      <c r="C1981" s="28"/>
      <c r="D1981" s="28"/>
      <c r="E1981" s="28"/>
      <c r="F1981" s="28"/>
      <c r="G1981" s="28"/>
      <c r="H1981" s="28"/>
      <c r="I1981" s="28"/>
      <c r="J1981" s="28"/>
      <c r="K1981" s="28"/>
      <c r="L1981" s="28"/>
      <c r="M1981" s="28"/>
    </row>
    <row r="1982">
      <c r="A1982" s="28"/>
      <c r="B1982" s="28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</row>
    <row r="1983">
      <c r="A1983" s="28"/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</row>
    <row r="1984">
      <c r="A1984" s="28"/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</row>
    <row r="1985">
      <c r="A1985" s="28"/>
      <c r="B1985" s="28"/>
      <c r="C1985" s="28"/>
      <c r="D1985" s="28"/>
      <c r="E1985" s="28"/>
      <c r="F1985" s="28"/>
      <c r="G1985" s="28"/>
      <c r="H1985" s="28"/>
      <c r="I1985" s="28"/>
      <c r="J1985" s="28"/>
      <c r="K1985" s="28"/>
      <c r="L1985" s="28"/>
      <c r="M1985" s="28"/>
    </row>
    <row r="1986">
      <c r="A1986" s="28"/>
      <c r="B1986" s="28"/>
      <c r="C1986" s="28"/>
      <c r="D1986" s="28"/>
      <c r="E1986" s="28"/>
      <c r="F1986" s="28"/>
      <c r="G1986" s="28"/>
      <c r="H1986" s="28"/>
      <c r="I1986" s="28"/>
      <c r="J1986" s="28"/>
      <c r="K1986" s="28"/>
      <c r="L1986" s="28"/>
      <c r="M1986" s="28"/>
    </row>
    <row r="1987">
      <c r="A1987" s="28"/>
      <c r="B1987" s="28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</row>
    <row r="1988">
      <c r="A1988" s="28"/>
      <c r="B1988" s="28"/>
      <c r="C1988" s="28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</row>
    <row r="1989">
      <c r="A1989" s="28"/>
      <c r="B1989" s="28"/>
      <c r="C1989" s="28"/>
      <c r="D1989" s="28"/>
      <c r="E1989" s="28"/>
      <c r="F1989" s="28"/>
      <c r="G1989" s="28"/>
      <c r="H1989" s="28"/>
      <c r="I1989" s="28"/>
      <c r="J1989" s="28"/>
      <c r="K1989" s="28"/>
      <c r="L1989" s="28"/>
      <c r="M1989" s="28"/>
    </row>
    <row r="1990">
      <c r="A1990" s="28"/>
      <c r="B1990" s="28"/>
      <c r="C1990" s="28"/>
      <c r="D1990" s="28"/>
      <c r="E1990" s="28"/>
      <c r="F1990" s="28"/>
      <c r="G1990" s="28"/>
      <c r="H1990" s="28"/>
      <c r="I1990" s="28"/>
      <c r="J1990" s="28"/>
      <c r="K1990" s="28"/>
      <c r="L1990" s="28"/>
      <c r="M1990" s="28"/>
    </row>
    <row r="1991">
      <c r="A1991" s="28"/>
      <c r="B1991" s="28"/>
      <c r="C1991" s="28"/>
      <c r="D1991" s="28"/>
      <c r="E1991" s="28"/>
      <c r="F1991" s="28"/>
      <c r="G1991" s="28"/>
      <c r="H1991" s="28"/>
      <c r="I1991" s="28"/>
      <c r="J1991" s="28"/>
      <c r="K1991" s="28"/>
      <c r="L1991" s="28"/>
      <c r="M1991" s="28"/>
    </row>
    <row r="1992">
      <c r="A1992" s="28"/>
      <c r="B1992" s="28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</row>
    <row r="1993">
      <c r="A1993" s="28"/>
      <c r="B1993" s="28"/>
      <c r="C1993" s="28"/>
      <c r="D1993" s="28"/>
      <c r="E1993" s="28"/>
      <c r="F1993" s="28"/>
      <c r="G1993" s="28"/>
      <c r="H1993" s="28"/>
      <c r="I1993" s="28"/>
      <c r="J1993" s="28"/>
      <c r="K1993" s="28"/>
      <c r="L1993" s="28"/>
      <c r="M1993" s="28"/>
    </row>
    <row r="1994">
      <c r="A1994" s="28"/>
      <c r="B1994" s="28"/>
      <c r="C1994" s="28"/>
      <c r="D1994" s="28"/>
      <c r="E1994" s="28"/>
      <c r="F1994" s="28"/>
      <c r="G1994" s="28"/>
      <c r="H1994" s="28"/>
      <c r="I1994" s="28"/>
      <c r="J1994" s="28"/>
      <c r="K1994" s="28"/>
      <c r="L1994" s="28"/>
      <c r="M1994" s="28"/>
    </row>
    <row r="1995">
      <c r="A1995" s="28"/>
      <c r="B1995" s="28"/>
      <c r="C1995" s="28"/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</row>
    <row r="1996">
      <c r="A1996" s="28"/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</row>
    <row r="1997">
      <c r="A1997" s="28"/>
      <c r="B1997" s="28"/>
      <c r="C1997" s="28"/>
      <c r="D1997" s="28"/>
      <c r="E1997" s="28"/>
      <c r="F1997" s="28"/>
      <c r="G1997" s="28"/>
      <c r="H1997" s="28"/>
      <c r="I1997" s="28"/>
      <c r="J1997" s="28"/>
      <c r="K1997" s="28"/>
      <c r="L1997" s="28"/>
      <c r="M1997" s="28"/>
    </row>
    <row r="1998">
      <c r="A1998" s="28"/>
      <c r="B1998" s="28"/>
      <c r="C1998" s="28"/>
      <c r="D1998" s="28"/>
      <c r="E1998" s="28"/>
      <c r="F1998" s="28"/>
      <c r="G1998" s="28"/>
      <c r="H1998" s="28"/>
      <c r="I1998" s="28"/>
      <c r="J1998" s="28"/>
      <c r="K1998" s="28"/>
      <c r="L1998" s="28"/>
      <c r="M1998" s="28"/>
    </row>
    <row r="1999">
      <c r="A1999" s="28"/>
      <c r="B1999" s="28"/>
      <c r="C1999" s="28"/>
      <c r="D1999" s="28"/>
      <c r="E1999" s="28"/>
      <c r="F1999" s="28"/>
      <c r="G1999" s="28"/>
      <c r="H1999" s="28"/>
      <c r="I1999" s="28"/>
      <c r="J1999" s="28"/>
      <c r="K1999" s="28"/>
      <c r="L1999" s="28"/>
      <c r="M1999" s="28"/>
    </row>
    <row r="2000">
      <c r="A2000" s="28"/>
      <c r="B2000" s="28"/>
      <c r="C2000" s="28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</row>
    <row r="2001">
      <c r="A2001" s="28"/>
      <c r="B2001" s="28"/>
      <c r="C2001" s="28"/>
      <c r="D2001" s="28"/>
      <c r="E2001" s="28"/>
      <c r="F2001" s="28"/>
      <c r="G2001" s="28"/>
      <c r="H2001" s="28"/>
      <c r="I2001" s="28"/>
      <c r="J2001" s="28"/>
      <c r="K2001" s="28"/>
      <c r="L2001" s="28"/>
      <c r="M2001" s="28"/>
    </row>
    <row r="2002">
      <c r="A2002" s="28"/>
      <c r="B2002" s="28"/>
      <c r="C2002" s="28"/>
      <c r="D2002" s="28"/>
      <c r="E2002" s="28"/>
      <c r="F2002" s="28"/>
      <c r="G2002" s="28"/>
      <c r="H2002" s="28"/>
      <c r="I2002" s="28"/>
      <c r="J2002" s="28"/>
      <c r="K2002" s="28"/>
      <c r="L2002" s="28"/>
      <c r="M2002" s="28"/>
    </row>
    <row r="2003">
      <c r="A2003" s="28"/>
      <c r="B2003" s="28"/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</row>
    <row r="2004">
      <c r="A2004" s="28"/>
      <c r="B2004" s="28"/>
      <c r="C2004" s="28"/>
      <c r="D2004" s="28"/>
      <c r="E2004" s="28"/>
      <c r="F2004" s="28"/>
      <c r="G2004" s="28"/>
      <c r="H2004" s="28"/>
      <c r="I2004" s="28"/>
      <c r="J2004" s="28"/>
      <c r="K2004" s="28"/>
      <c r="L2004" s="28"/>
      <c r="M2004" s="28"/>
    </row>
    <row r="2005">
      <c r="A2005" s="28"/>
      <c r="B2005" s="28"/>
      <c r="C2005" s="28"/>
      <c r="D2005" s="28"/>
      <c r="E2005" s="28"/>
      <c r="F2005" s="28"/>
      <c r="G2005" s="28"/>
      <c r="H2005" s="28"/>
      <c r="I2005" s="28"/>
      <c r="J2005" s="28"/>
      <c r="K2005" s="28"/>
      <c r="L2005" s="28"/>
      <c r="M2005" s="28"/>
    </row>
    <row r="2006">
      <c r="A2006" s="28"/>
      <c r="B2006" s="28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</row>
    <row r="2007">
      <c r="A2007" s="28"/>
      <c r="B2007" s="28"/>
      <c r="C2007" s="28"/>
      <c r="D2007" s="28"/>
      <c r="E2007" s="28"/>
      <c r="F2007" s="28"/>
      <c r="G2007" s="28"/>
      <c r="H2007" s="28"/>
      <c r="I2007" s="28"/>
      <c r="J2007" s="28"/>
      <c r="K2007" s="28"/>
      <c r="L2007" s="28"/>
      <c r="M2007" s="28"/>
    </row>
    <row r="2008">
      <c r="A2008" s="28"/>
      <c r="B2008" s="28"/>
      <c r="C2008" s="28"/>
      <c r="D2008" s="28"/>
      <c r="E2008" s="28"/>
      <c r="F2008" s="28"/>
      <c r="G2008" s="28"/>
      <c r="H2008" s="28"/>
      <c r="I2008" s="28"/>
      <c r="J2008" s="28"/>
      <c r="K2008" s="28"/>
      <c r="L2008" s="28"/>
      <c r="M2008" s="28"/>
    </row>
    <row r="2009">
      <c r="A2009" s="28"/>
      <c r="B2009" s="28"/>
      <c r="C2009" s="28"/>
      <c r="D2009" s="28"/>
      <c r="E2009" s="28"/>
      <c r="F2009" s="28"/>
      <c r="G2009" s="28"/>
      <c r="H2009" s="28"/>
      <c r="I2009" s="28"/>
      <c r="J2009" s="28"/>
      <c r="K2009" s="28"/>
      <c r="L2009" s="28"/>
      <c r="M2009" s="28"/>
    </row>
    <row r="2010">
      <c r="A2010" s="28"/>
      <c r="B2010" s="28"/>
      <c r="C2010" s="28"/>
      <c r="D2010" s="28"/>
      <c r="E2010" s="28"/>
      <c r="F2010" s="28"/>
      <c r="G2010" s="28"/>
      <c r="H2010" s="28"/>
      <c r="I2010" s="28"/>
      <c r="J2010" s="28"/>
      <c r="K2010" s="28"/>
      <c r="L2010" s="28"/>
      <c r="M2010" s="28"/>
    </row>
    <row r="2011">
      <c r="A2011" s="28"/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</row>
    <row r="2012">
      <c r="A2012" s="28"/>
      <c r="B2012" s="28"/>
      <c r="C2012" s="28"/>
      <c r="D2012" s="28"/>
      <c r="E2012" s="28"/>
      <c r="F2012" s="28"/>
      <c r="G2012" s="28"/>
      <c r="H2012" s="28"/>
      <c r="I2012" s="28"/>
      <c r="J2012" s="28"/>
      <c r="K2012" s="28"/>
      <c r="L2012" s="28"/>
      <c r="M2012" s="28"/>
    </row>
    <row r="2013">
      <c r="A2013" s="28"/>
      <c r="B2013" s="28"/>
      <c r="C2013" s="2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</row>
    <row r="2014">
      <c r="A2014" s="28"/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</row>
    <row r="2015">
      <c r="A2015" s="28"/>
      <c r="B2015" s="28"/>
      <c r="C2015" s="28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</row>
    <row r="2016">
      <c r="A2016" s="28"/>
      <c r="B2016" s="28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</row>
    <row r="2017">
      <c r="A2017" s="28"/>
      <c r="B2017" s="28"/>
      <c r="C2017" s="28"/>
      <c r="D2017" s="28"/>
      <c r="E2017" s="28"/>
      <c r="F2017" s="28"/>
      <c r="G2017" s="28"/>
      <c r="H2017" s="28"/>
      <c r="I2017" s="28"/>
      <c r="J2017" s="28"/>
      <c r="K2017" s="28"/>
      <c r="L2017" s="28"/>
      <c r="M2017" s="28"/>
    </row>
    <row r="2018">
      <c r="A2018" s="28"/>
      <c r="B2018" s="28"/>
      <c r="C2018" s="28"/>
      <c r="D2018" s="28"/>
      <c r="E2018" s="28"/>
      <c r="F2018" s="28"/>
      <c r="G2018" s="28"/>
      <c r="H2018" s="28"/>
      <c r="I2018" s="28"/>
      <c r="J2018" s="28"/>
      <c r="K2018" s="28"/>
      <c r="L2018" s="28"/>
      <c r="M2018" s="28"/>
    </row>
    <row r="2019">
      <c r="A2019" s="28"/>
      <c r="B2019" s="28"/>
      <c r="C2019" s="28"/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</row>
    <row r="2020">
      <c r="A2020" s="28"/>
      <c r="B2020" s="28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</row>
    <row r="2021">
      <c r="A2021" s="28"/>
      <c r="B2021" s="28"/>
      <c r="C2021" s="28"/>
      <c r="D2021" s="28"/>
      <c r="E2021" s="28"/>
      <c r="F2021" s="28"/>
      <c r="G2021" s="28"/>
      <c r="H2021" s="28"/>
      <c r="I2021" s="28"/>
      <c r="J2021" s="28"/>
      <c r="K2021" s="28"/>
      <c r="L2021" s="28"/>
      <c r="M2021" s="28"/>
    </row>
    <row r="2022">
      <c r="A2022" s="28"/>
      <c r="B2022" s="28"/>
      <c r="C2022" s="28"/>
      <c r="D2022" s="28"/>
      <c r="E2022" s="28"/>
      <c r="F2022" s="28"/>
      <c r="G2022" s="28"/>
      <c r="H2022" s="28"/>
      <c r="I2022" s="28"/>
      <c r="J2022" s="28"/>
      <c r="K2022" s="28"/>
      <c r="L2022" s="28"/>
      <c r="M2022" s="28"/>
    </row>
    <row r="2023">
      <c r="A2023" s="28"/>
      <c r="B2023" s="28"/>
      <c r="C2023" s="28"/>
      <c r="D2023" s="28"/>
      <c r="E2023" s="28"/>
      <c r="F2023" s="28"/>
      <c r="G2023" s="28"/>
      <c r="H2023" s="28"/>
      <c r="I2023" s="28"/>
      <c r="J2023" s="28"/>
      <c r="K2023" s="28"/>
      <c r="L2023" s="28"/>
      <c r="M2023" s="28"/>
    </row>
    <row r="2024">
      <c r="A2024" s="28"/>
      <c r="B2024" s="28"/>
      <c r="C2024" s="28"/>
      <c r="D2024" s="28"/>
      <c r="E2024" s="28"/>
      <c r="F2024" s="28"/>
      <c r="G2024" s="28"/>
      <c r="H2024" s="28"/>
      <c r="I2024" s="28"/>
      <c r="J2024" s="28"/>
      <c r="K2024" s="28"/>
      <c r="L2024" s="28"/>
      <c r="M2024" s="28"/>
    </row>
    <row r="2025">
      <c r="A2025" s="28"/>
      <c r="B2025" s="28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</row>
    <row r="2026">
      <c r="A2026" s="28"/>
      <c r="B2026" s="28"/>
      <c r="C2026" s="28"/>
      <c r="D2026" s="28"/>
      <c r="E2026" s="28"/>
      <c r="F2026" s="28"/>
      <c r="G2026" s="28"/>
      <c r="H2026" s="28"/>
      <c r="I2026" s="28"/>
      <c r="J2026" s="28"/>
      <c r="K2026" s="28"/>
      <c r="L2026" s="28"/>
      <c r="M2026" s="28"/>
    </row>
    <row r="2027">
      <c r="A2027" s="28"/>
      <c r="B2027" s="28"/>
      <c r="C2027" s="28"/>
      <c r="D2027" s="28"/>
      <c r="E2027" s="28"/>
      <c r="F2027" s="28"/>
      <c r="G2027" s="28"/>
      <c r="H2027" s="28"/>
      <c r="I2027" s="28"/>
      <c r="J2027" s="28"/>
      <c r="K2027" s="28"/>
      <c r="L2027" s="28"/>
      <c r="M2027" s="28"/>
    </row>
    <row r="2028">
      <c r="A2028" s="28"/>
      <c r="B2028" s="28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</row>
    <row r="2029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8"/>
    </row>
    <row r="2030">
      <c r="A2030" s="28"/>
      <c r="B2030" s="28"/>
      <c r="C2030" s="28"/>
      <c r="D2030" s="28"/>
      <c r="E2030" s="28"/>
      <c r="F2030" s="28"/>
      <c r="G2030" s="28"/>
      <c r="H2030" s="28"/>
      <c r="I2030" s="28"/>
      <c r="J2030" s="28"/>
      <c r="K2030" s="28"/>
      <c r="L2030" s="28"/>
      <c r="M2030" s="28"/>
    </row>
    <row r="2031">
      <c r="A2031" s="28"/>
      <c r="B2031" s="28"/>
      <c r="C2031" s="28"/>
      <c r="D2031" s="28"/>
      <c r="E2031" s="28"/>
      <c r="F2031" s="28"/>
      <c r="G2031" s="28"/>
      <c r="H2031" s="28"/>
      <c r="I2031" s="28"/>
      <c r="J2031" s="28"/>
      <c r="K2031" s="28"/>
      <c r="L2031" s="28"/>
      <c r="M2031" s="28"/>
    </row>
    <row r="2032">
      <c r="A2032" s="28"/>
      <c r="B2032" s="28"/>
      <c r="C2032" s="28"/>
      <c r="D2032" s="28"/>
      <c r="E2032" s="28"/>
      <c r="F2032" s="28"/>
      <c r="G2032" s="28"/>
      <c r="H2032" s="28"/>
      <c r="I2032" s="28"/>
      <c r="J2032" s="28"/>
      <c r="K2032" s="28"/>
      <c r="L2032" s="28"/>
      <c r="M2032" s="28"/>
    </row>
    <row r="2033">
      <c r="A2033" s="28"/>
      <c r="B2033" s="28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</row>
    <row r="2034">
      <c r="A2034" s="28"/>
      <c r="B2034" s="28"/>
      <c r="C2034" s="28"/>
      <c r="D2034" s="28"/>
      <c r="E2034" s="28"/>
      <c r="F2034" s="28"/>
      <c r="G2034" s="28"/>
      <c r="H2034" s="28"/>
      <c r="I2034" s="28"/>
      <c r="J2034" s="28"/>
      <c r="K2034" s="28"/>
      <c r="L2034" s="28"/>
      <c r="M2034" s="28"/>
    </row>
    <row r="2035">
      <c r="A2035" s="28"/>
      <c r="B2035" s="28"/>
      <c r="C2035" s="28"/>
      <c r="D2035" s="28"/>
      <c r="E2035" s="28"/>
      <c r="F2035" s="28"/>
      <c r="G2035" s="28"/>
      <c r="H2035" s="28"/>
      <c r="I2035" s="28"/>
      <c r="J2035" s="28"/>
      <c r="K2035" s="28"/>
      <c r="L2035" s="28"/>
      <c r="M2035" s="28"/>
    </row>
    <row r="2036">
      <c r="A2036" s="28"/>
      <c r="B2036" s="28"/>
      <c r="C2036" s="28"/>
      <c r="D2036" s="28"/>
      <c r="E2036" s="28"/>
      <c r="F2036" s="28"/>
      <c r="G2036" s="28"/>
      <c r="H2036" s="28"/>
      <c r="I2036" s="28"/>
      <c r="J2036" s="28"/>
      <c r="K2036" s="28"/>
      <c r="L2036" s="28"/>
      <c r="M2036" s="28"/>
    </row>
    <row r="2037">
      <c r="A2037" s="28"/>
      <c r="B2037" s="28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</row>
    <row r="2038">
      <c r="A2038" s="28"/>
      <c r="B2038" s="28"/>
      <c r="C2038" s="28"/>
      <c r="D2038" s="28"/>
      <c r="E2038" s="28"/>
      <c r="F2038" s="28"/>
      <c r="G2038" s="28"/>
      <c r="H2038" s="28"/>
      <c r="I2038" s="28"/>
      <c r="J2038" s="28"/>
      <c r="K2038" s="28"/>
      <c r="L2038" s="28"/>
      <c r="M2038" s="28"/>
    </row>
    <row r="2039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</row>
    <row r="2040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</row>
    <row r="2041">
      <c r="A2041" s="28"/>
      <c r="B2041" s="28"/>
      <c r="C2041" s="28"/>
      <c r="D2041" s="28"/>
      <c r="E2041" s="28"/>
      <c r="F2041" s="28"/>
      <c r="G2041" s="28"/>
      <c r="H2041" s="28"/>
      <c r="I2041" s="28"/>
      <c r="J2041" s="28"/>
      <c r="K2041" s="28"/>
      <c r="L2041" s="28"/>
      <c r="M2041" s="28"/>
    </row>
    <row r="2042">
      <c r="A2042" s="28"/>
      <c r="B2042" s="28"/>
      <c r="C2042" s="28"/>
      <c r="D2042" s="28"/>
      <c r="E2042" s="28"/>
      <c r="F2042" s="28"/>
      <c r="G2042" s="28"/>
      <c r="H2042" s="28"/>
      <c r="I2042" s="28"/>
      <c r="J2042" s="28"/>
      <c r="K2042" s="28"/>
      <c r="L2042" s="28"/>
      <c r="M2042" s="28"/>
    </row>
    <row r="2043">
      <c r="A2043" s="28"/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</row>
    <row r="2044">
      <c r="A2044" s="28"/>
      <c r="B2044" s="28"/>
      <c r="C2044" s="28"/>
      <c r="D2044" s="28"/>
      <c r="E2044" s="28"/>
      <c r="F2044" s="28"/>
      <c r="G2044" s="28"/>
      <c r="H2044" s="28"/>
      <c r="I2044" s="28"/>
      <c r="J2044" s="28"/>
      <c r="K2044" s="28"/>
      <c r="L2044" s="28"/>
      <c r="M2044" s="28"/>
    </row>
    <row r="2045">
      <c r="A2045" s="28"/>
      <c r="B2045" s="28"/>
      <c r="C2045" s="28"/>
      <c r="D2045" s="28"/>
      <c r="E2045" s="28"/>
      <c r="F2045" s="28"/>
      <c r="G2045" s="28"/>
      <c r="H2045" s="28"/>
      <c r="I2045" s="28"/>
      <c r="J2045" s="28"/>
      <c r="K2045" s="28"/>
      <c r="L2045" s="28"/>
      <c r="M2045" s="28"/>
    </row>
    <row r="2046">
      <c r="A2046" s="28"/>
      <c r="B2046" s="28"/>
      <c r="C2046" s="28"/>
      <c r="D2046" s="28"/>
      <c r="E2046" s="28"/>
      <c r="F2046" s="28"/>
      <c r="G2046" s="28"/>
      <c r="H2046" s="28"/>
      <c r="I2046" s="28"/>
      <c r="J2046" s="28"/>
      <c r="K2046" s="28"/>
      <c r="L2046" s="28"/>
      <c r="M2046" s="28"/>
    </row>
    <row r="2047">
      <c r="A2047" s="28"/>
      <c r="B2047" s="28"/>
      <c r="C2047" s="28"/>
      <c r="D2047" s="28"/>
      <c r="E2047" s="28"/>
      <c r="F2047" s="28"/>
      <c r="G2047" s="28"/>
      <c r="H2047" s="28"/>
      <c r="I2047" s="28"/>
      <c r="J2047" s="28"/>
      <c r="K2047" s="28"/>
      <c r="L2047" s="28"/>
      <c r="M2047" s="28"/>
    </row>
    <row r="2048">
      <c r="A2048" s="28"/>
      <c r="B2048" s="28"/>
      <c r="C2048" s="28"/>
      <c r="D2048" s="28"/>
      <c r="E2048" s="28"/>
      <c r="F2048" s="28"/>
      <c r="G2048" s="28"/>
      <c r="H2048" s="28"/>
      <c r="I2048" s="28"/>
      <c r="J2048" s="28"/>
      <c r="K2048" s="28"/>
      <c r="L2048" s="28"/>
      <c r="M2048" s="28"/>
    </row>
    <row r="2049">
      <c r="A2049" s="28"/>
      <c r="B2049" s="28"/>
      <c r="C2049" s="28"/>
      <c r="D2049" s="28"/>
      <c r="E2049" s="28"/>
      <c r="F2049" s="28"/>
      <c r="G2049" s="28"/>
      <c r="H2049" s="28"/>
      <c r="I2049" s="28"/>
      <c r="J2049" s="28"/>
      <c r="K2049" s="28"/>
      <c r="L2049" s="28"/>
      <c r="M2049" s="28"/>
    </row>
    <row r="2050">
      <c r="A2050" s="28"/>
      <c r="B2050" s="28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</row>
    <row r="2051">
      <c r="A2051" s="28"/>
      <c r="B2051" s="28"/>
      <c r="C2051" s="28"/>
      <c r="D2051" s="28"/>
      <c r="E2051" s="28"/>
      <c r="F2051" s="28"/>
      <c r="G2051" s="28"/>
      <c r="H2051" s="28"/>
      <c r="I2051" s="28"/>
      <c r="J2051" s="28"/>
      <c r="K2051" s="28"/>
      <c r="L2051" s="28"/>
      <c r="M2051" s="28"/>
    </row>
    <row r="2052">
      <c r="A2052" s="28"/>
      <c r="B2052" s="28"/>
      <c r="C2052" s="28"/>
      <c r="D2052" s="28"/>
      <c r="E2052" s="28"/>
      <c r="F2052" s="28"/>
      <c r="G2052" s="28"/>
      <c r="H2052" s="28"/>
      <c r="I2052" s="28"/>
      <c r="J2052" s="28"/>
      <c r="K2052" s="28"/>
      <c r="L2052" s="28"/>
      <c r="M2052" s="28"/>
    </row>
    <row r="2053">
      <c r="A2053" s="28"/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</row>
    <row r="2054">
      <c r="A2054" s="28"/>
      <c r="B2054" s="28"/>
      <c r="C2054" s="28"/>
      <c r="D2054" s="28"/>
      <c r="E2054" s="28"/>
      <c r="F2054" s="28"/>
      <c r="G2054" s="28"/>
      <c r="H2054" s="28"/>
      <c r="I2054" s="28"/>
      <c r="J2054" s="28"/>
      <c r="K2054" s="28"/>
      <c r="L2054" s="28"/>
      <c r="M2054" s="28"/>
    </row>
    <row r="2055">
      <c r="A2055" s="28"/>
      <c r="B2055" s="28"/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</row>
    <row r="2056">
      <c r="A2056" s="28"/>
      <c r="B2056" s="28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</row>
    <row r="2057">
      <c r="A2057" s="28"/>
      <c r="B2057" s="28"/>
      <c r="C2057" s="28"/>
      <c r="D2057" s="28"/>
      <c r="E2057" s="28"/>
      <c r="F2057" s="28"/>
      <c r="G2057" s="28"/>
      <c r="H2057" s="28"/>
      <c r="I2057" s="28"/>
      <c r="J2057" s="28"/>
      <c r="K2057" s="28"/>
      <c r="L2057" s="28"/>
      <c r="M2057" s="28"/>
    </row>
    <row r="2058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</row>
    <row r="2059">
      <c r="A2059" s="28"/>
      <c r="B2059" s="28"/>
      <c r="C2059" s="28"/>
      <c r="D2059" s="28"/>
      <c r="E2059" s="28"/>
      <c r="F2059" s="28"/>
      <c r="G2059" s="28"/>
      <c r="H2059" s="28"/>
      <c r="I2059" s="28"/>
      <c r="J2059" s="28"/>
      <c r="K2059" s="28"/>
      <c r="L2059" s="28"/>
      <c r="M2059" s="28"/>
    </row>
    <row r="2060">
      <c r="A2060" s="28"/>
      <c r="B2060" s="28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</row>
    <row r="2061">
      <c r="A2061" s="28"/>
      <c r="B2061" s="28"/>
      <c r="C2061" s="28"/>
      <c r="D2061" s="28"/>
      <c r="E2061" s="28"/>
      <c r="F2061" s="28"/>
      <c r="G2061" s="28"/>
      <c r="H2061" s="28"/>
      <c r="I2061" s="28"/>
      <c r="J2061" s="28"/>
      <c r="K2061" s="28"/>
      <c r="L2061" s="28"/>
      <c r="M2061" s="28"/>
    </row>
    <row r="2062">
      <c r="A2062" s="28"/>
      <c r="B2062" s="28"/>
      <c r="C2062" s="28"/>
      <c r="D2062" s="28"/>
      <c r="E2062" s="28"/>
      <c r="F2062" s="28"/>
      <c r="G2062" s="28"/>
      <c r="H2062" s="28"/>
      <c r="I2062" s="28"/>
      <c r="J2062" s="28"/>
      <c r="K2062" s="28"/>
      <c r="L2062" s="28"/>
      <c r="M2062" s="28"/>
    </row>
    <row r="2063">
      <c r="A2063" s="28"/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</row>
    <row r="2064">
      <c r="A2064" s="28"/>
      <c r="B2064" s="28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</row>
    <row r="2065">
      <c r="A2065" s="28"/>
      <c r="B2065" s="28"/>
      <c r="C2065" s="28"/>
      <c r="D2065" s="28"/>
      <c r="E2065" s="28"/>
      <c r="F2065" s="28"/>
      <c r="G2065" s="28"/>
      <c r="H2065" s="28"/>
      <c r="I2065" s="28"/>
      <c r="J2065" s="28"/>
      <c r="K2065" s="28"/>
      <c r="L2065" s="28"/>
      <c r="M2065" s="28"/>
    </row>
    <row r="2066">
      <c r="A2066" s="28"/>
      <c r="B2066" s="28"/>
      <c r="C2066" s="28"/>
      <c r="D2066" s="28"/>
      <c r="E2066" s="28"/>
      <c r="F2066" s="28"/>
      <c r="G2066" s="28"/>
      <c r="H2066" s="28"/>
      <c r="I2066" s="28"/>
      <c r="J2066" s="28"/>
      <c r="K2066" s="28"/>
      <c r="L2066" s="28"/>
      <c r="M2066" s="28"/>
    </row>
    <row r="2067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</row>
    <row r="2068">
      <c r="A2068" s="28"/>
      <c r="B2068" s="28"/>
      <c r="C2068" s="28"/>
      <c r="D2068" s="28"/>
      <c r="E2068" s="28"/>
      <c r="F2068" s="28"/>
      <c r="G2068" s="28"/>
      <c r="H2068" s="28"/>
      <c r="I2068" s="28"/>
      <c r="J2068" s="28"/>
      <c r="K2068" s="28"/>
      <c r="L2068" s="28"/>
      <c r="M2068" s="28"/>
    </row>
    <row r="2069">
      <c r="A2069" s="28"/>
      <c r="B2069" s="28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</row>
    <row r="2070">
      <c r="A2070" s="28"/>
      <c r="B2070" s="28"/>
      <c r="C2070" s="28"/>
      <c r="D2070" s="28"/>
      <c r="E2070" s="28"/>
      <c r="F2070" s="28"/>
      <c r="G2070" s="28"/>
      <c r="H2070" s="28"/>
      <c r="I2070" s="28"/>
      <c r="J2070" s="28"/>
      <c r="K2070" s="28"/>
      <c r="L2070" s="28"/>
      <c r="M2070" s="28"/>
    </row>
    <row r="2071">
      <c r="A2071" s="28"/>
      <c r="B2071" s="28"/>
      <c r="C2071" s="28"/>
      <c r="D2071" s="28"/>
      <c r="E2071" s="28"/>
      <c r="F2071" s="28"/>
      <c r="G2071" s="28"/>
      <c r="H2071" s="28"/>
      <c r="I2071" s="28"/>
      <c r="J2071" s="28"/>
      <c r="K2071" s="28"/>
      <c r="L2071" s="28"/>
      <c r="M2071" s="28"/>
    </row>
    <row r="2072">
      <c r="A2072" s="28"/>
      <c r="B2072" s="28"/>
      <c r="C2072" s="28"/>
      <c r="D2072" s="28"/>
      <c r="E2072" s="28"/>
      <c r="F2072" s="28"/>
      <c r="G2072" s="28"/>
      <c r="H2072" s="28"/>
      <c r="I2072" s="28"/>
      <c r="J2072" s="28"/>
      <c r="K2072" s="28"/>
      <c r="L2072" s="28"/>
      <c r="M2072" s="28"/>
    </row>
    <row r="2073">
      <c r="A2073" s="28"/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</row>
    <row r="2074">
      <c r="A2074" s="28"/>
      <c r="B2074" s="28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</row>
    <row r="2075">
      <c r="A2075" s="28"/>
      <c r="B2075" s="28"/>
      <c r="C2075" s="28"/>
      <c r="D2075" s="28"/>
      <c r="E2075" s="28"/>
      <c r="F2075" s="28"/>
      <c r="G2075" s="28"/>
      <c r="H2075" s="28"/>
      <c r="I2075" s="28"/>
      <c r="J2075" s="28"/>
      <c r="K2075" s="28"/>
      <c r="L2075" s="28"/>
      <c r="M2075" s="28"/>
    </row>
    <row r="2076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</row>
    <row r="2077">
      <c r="A2077" s="28"/>
      <c r="B2077" s="28"/>
      <c r="C2077" s="28"/>
      <c r="D2077" s="28"/>
      <c r="E2077" s="28"/>
      <c r="F2077" s="28"/>
      <c r="G2077" s="28"/>
      <c r="H2077" s="28"/>
      <c r="I2077" s="28"/>
      <c r="J2077" s="28"/>
      <c r="K2077" s="28"/>
      <c r="L2077" s="28"/>
      <c r="M2077" s="28"/>
    </row>
    <row r="2078">
      <c r="A2078" s="28"/>
      <c r="B2078" s="28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</row>
    <row r="2079">
      <c r="A2079" s="28"/>
      <c r="B2079" s="28"/>
      <c r="C2079" s="28"/>
      <c r="D2079" s="28"/>
      <c r="E2079" s="28"/>
      <c r="F2079" s="28"/>
      <c r="G2079" s="28"/>
      <c r="H2079" s="28"/>
      <c r="I2079" s="28"/>
      <c r="J2079" s="28"/>
      <c r="K2079" s="28"/>
      <c r="L2079" s="28"/>
      <c r="M2079" s="28"/>
    </row>
    <row r="2080">
      <c r="A2080" s="28"/>
      <c r="B2080" s="28"/>
      <c r="C2080" s="28"/>
      <c r="D2080" s="28"/>
      <c r="E2080" s="28"/>
      <c r="F2080" s="28"/>
      <c r="G2080" s="28"/>
      <c r="H2080" s="28"/>
      <c r="I2080" s="28"/>
      <c r="J2080" s="28"/>
      <c r="K2080" s="28"/>
      <c r="L2080" s="28"/>
      <c r="M2080" s="28"/>
    </row>
    <row r="2081">
      <c r="A2081" s="28"/>
      <c r="B2081" s="28"/>
      <c r="C2081" s="28"/>
      <c r="D2081" s="28"/>
      <c r="E2081" s="28"/>
      <c r="F2081" s="28"/>
      <c r="G2081" s="28"/>
      <c r="H2081" s="28"/>
      <c r="I2081" s="28"/>
      <c r="J2081" s="28"/>
      <c r="K2081" s="28"/>
      <c r="L2081" s="28"/>
      <c r="M2081" s="28"/>
    </row>
    <row r="2082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</row>
    <row r="2083">
      <c r="A2083" s="28"/>
      <c r="B2083" s="28"/>
      <c r="C2083" s="28"/>
      <c r="D2083" s="28"/>
      <c r="E2083" s="28"/>
      <c r="F2083" s="28"/>
      <c r="G2083" s="28"/>
      <c r="H2083" s="28"/>
      <c r="I2083" s="28"/>
      <c r="J2083" s="28"/>
      <c r="K2083" s="28"/>
      <c r="L2083" s="28"/>
      <c r="M2083" s="28"/>
    </row>
    <row r="2084">
      <c r="A2084" s="28"/>
      <c r="B2084" s="28"/>
      <c r="C2084" s="28"/>
      <c r="D2084" s="28"/>
      <c r="E2084" s="28"/>
      <c r="F2084" s="28"/>
      <c r="G2084" s="28"/>
      <c r="H2084" s="28"/>
      <c r="I2084" s="28"/>
      <c r="J2084" s="28"/>
      <c r="K2084" s="28"/>
      <c r="L2084" s="28"/>
      <c r="M2084" s="28"/>
    </row>
    <row r="2085">
      <c r="A2085" s="28"/>
      <c r="B2085" s="28"/>
      <c r="C2085" s="28"/>
      <c r="D2085" s="28"/>
      <c r="E2085" s="28"/>
      <c r="F2085" s="28"/>
      <c r="G2085" s="28"/>
      <c r="H2085" s="28"/>
      <c r="I2085" s="28"/>
      <c r="J2085" s="28"/>
      <c r="K2085" s="28"/>
      <c r="L2085" s="28"/>
      <c r="M2085" s="28"/>
    </row>
    <row r="2086">
      <c r="A2086" s="28"/>
      <c r="B2086" s="28"/>
      <c r="C2086" s="28"/>
      <c r="D2086" s="28"/>
      <c r="E2086" s="28"/>
      <c r="F2086" s="28"/>
      <c r="G2086" s="28"/>
      <c r="H2086" s="28"/>
      <c r="I2086" s="28"/>
      <c r="J2086" s="28"/>
      <c r="K2086" s="28"/>
      <c r="L2086" s="28"/>
      <c r="M2086" s="28"/>
    </row>
    <row r="2087">
      <c r="A2087" s="28"/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</row>
    <row r="2088">
      <c r="A2088" s="28"/>
      <c r="B2088" s="28"/>
      <c r="C2088" s="28"/>
      <c r="D2088" s="28"/>
      <c r="E2088" s="28"/>
      <c r="F2088" s="28"/>
      <c r="G2088" s="28"/>
      <c r="H2088" s="28"/>
      <c r="I2088" s="28"/>
      <c r="J2088" s="28"/>
      <c r="K2088" s="28"/>
      <c r="L2088" s="28"/>
      <c r="M2088" s="28"/>
    </row>
    <row r="2089">
      <c r="A2089" s="28"/>
      <c r="B2089" s="28"/>
      <c r="C2089" s="28"/>
      <c r="D2089" s="28"/>
      <c r="E2089" s="28"/>
      <c r="F2089" s="28"/>
      <c r="G2089" s="28"/>
      <c r="H2089" s="28"/>
      <c r="I2089" s="28"/>
      <c r="J2089" s="28"/>
      <c r="K2089" s="28"/>
      <c r="L2089" s="28"/>
      <c r="M2089" s="28"/>
    </row>
    <row r="2090">
      <c r="A2090" s="28"/>
      <c r="B2090" s="28"/>
      <c r="C2090" s="28"/>
      <c r="D2090" s="28"/>
      <c r="E2090" s="28"/>
      <c r="F2090" s="28"/>
      <c r="G2090" s="28"/>
      <c r="H2090" s="28"/>
      <c r="I2090" s="28"/>
      <c r="J2090" s="28"/>
      <c r="K2090" s="28"/>
      <c r="L2090" s="28"/>
      <c r="M2090" s="28"/>
    </row>
    <row r="2091">
      <c r="A2091" s="28"/>
      <c r="B2091" s="28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</row>
    <row r="2092">
      <c r="A2092" s="28"/>
      <c r="B2092" s="28"/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</row>
    <row r="2093">
      <c r="A2093" s="28"/>
      <c r="B2093" s="28"/>
      <c r="C2093" s="28"/>
      <c r="D2093" s="28"/>
      <c r="E2093" s="28"/>
      <c r="F2093" s="28"/>
      <c r="G2093" s="28"/>
      <c r="H2093" s="28"/>
      <c r="I2093" s="28"/>
      <c r="J2093" s="28"/>
      <c r="K2093" s="28"/>
      <c r="L2093" s="28"/>
      <c r="M2093" s="28"/>
    </row>
    <row r="2094">
      <c r="A2094" s="28"/>
      <c r="B2094" s="28"/>
      <c r="C2094" s="28"/>
      <c r="D2094" s="28"/>
      <c r="E2094" s="28"/>
      <c r="F2094" s="28"/>
      <c r="G2094" s="28"/>
      <c r="H2094" s="28"/>
      <c r="I2094" s="28"/>
      <c r="J2094" s="28"/>
      <c r="K2094" s="28"/>
      <c r="L2094" s="28"/>
      <c r="M2094" s="28"/>
    </row>
    <row r="2095">
      <c r="A2095" s="28"/>
      <c r="B2095" s="28"/>
      <c r="C2095" s="28"/>
      <c r="D2095" s="28"/>
      <c r="E2095" s="28"/>
      <c r="F2095" s="28"/>
      <c r="G2095" s="28"/>
      <c r="H2095" s="28"/>
      <c r="I2095" s="28"/>
      <c r="J2095" s="28"/>
      <c r="K2095" s="28"/>
      <c r="L2095" s="28"/>
      <c r="M2095" s="28"/>
    </row>
    <row r="2096">
      <c r="A2096" s="28"/>
      <c r="B2096" s="28"/>
      <c r="C2096" s="28"/>
      <c r="D2096" s="28"/>
      <c r="E2096" s="28"/>
      <c r="F2096" s="28"/>
      <c r="G2096" s="28"/>
      <c r="H2096" s="28"/>
      <c r="I2096" s="28"/>
      <c r="J2096" s="28"/>
      <c r="K2096" s="28"/>
      <c r="L2096" s="28"/>
      <c r="M2096" s="28"/>
    </row>
    <row r="2097">
      <c r="A2097" s="28"/>
      <c r="B2097" s="28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</row>
    <row r="2098">
      <c r="A2098" s="28"/>
      <c r="B2098" s="28"/>
      <c r="C2098" s="28"/>
      <c r="D2098" s="28"/>
      <c r="E2098" s="28"/>
      <c r="F2098" s="28"/>
      <c r="G2098" s="28"/>
      <c r="H2098" s="28"/>
      <c r="I2098" s="28"/>
      <c r="J2098" s="28"/>
      <c r="K2098" s="28"/>
      <c r="L2098" s="28"/>
      <c r="M2098" s="28"/>
    </row>
    <row r="2099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</row>
    <row r="2100">
      <c r="A2100" s="28"/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</row>
    <row r="2101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8"/>
    </row>
    <row r="2102">
      <c r="A2102" s="28"/>
      <c r="B2102" s="28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</row>
    <row r="2103">
      <c r="A2103" s="28"/>
      <c r="B2103" s="28"/>
      <c r="C2103" s="28"/>
      <c r="D2103" s="28"/>
      <c r="E2103" s="28"/>
      <c r="F2103" s="28"/>
      <c r="G2103" s="28"/>
      <c r="H2103" s="28"/>
      <c r="I2103" s="28"/>
      <c r="J2103" s="28"/>
      <c r="K2103" s="28"/>
      <c r="L2103" s="28"/>
      <c r="M2103" s="28"/>
    </row>
    <row r="2104">
      <c r="A2104" s="28"/>
      <c r="B2104" s="28"/>
      <c r="C2104" s="28"/>
      <c r="D2104" s="28"/>
      <c r="E2104" s="28"/>
      <c r="F2104" s="28"/>
      <c r="G2104" s="28"/>
      <c r="H2104" s="28"/>
      <c r="I2104" s="28"/>
      <c r="J2104" s="28"/>
      <c r="K2104" s="28"/>
      <c r="L2104" s="28"/>
      <c r="M2104" s="28"/>
    </row>
    <row r="2105">
      <c r="A2105" s="28"/>
      <c r="B2105" s="28"/>
      <c r="C2105" s="28"/>
      <c r="D2105" s="28"/>
      <c r="E2105" s="28"/>
      <c r="F2105" s="28"/>
      <c r="G2105" s="28"/>
      <c r="H2105" s="28"/>
      <c r="I2105" s="28"/>
      <c r="J2105" s="28"/>
      <c r="K2105" s="28"/>
      <c r="L2105" s="28"/>
      <c r="M2105" s="28"/>
    </row>
    <row r="2106">
      <c r="A2106" s="28"/>
      <c r="B2106" s="28"/>
      <c r="C2106" s="28"/>
      <c r="D2106" s="28"/>
      <c r="E2106" s="28"/>
      <c r="F2106" s="28"/>
      <c r="G2106" s="28"/>
      <c r="H2106" s="28"/>
      <c r="I2106" s="28"/>
      <c r="J2106" s="28"/>
      <c r="K2106" s="28"/>
      <c r="L2106" s="28"/>
      <c r="M2106" s="28"/>
    </row>
    <row r="2107">
      <c r="A2107" s="28"/>
      <c r="B2107" s="28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</row>
    <row r="2108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</row>
    <row r="2109">
      <c r="A2109" s="28"/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</row>
    <row r="2110">
      <c r="A2110" s="28"/>
      <c r="B2110" s="28"/>
      <c r="C2110" s="28"/>
      <c r="D2110" s="28"/>
      <c r="E2110" s="28"/>
      <c r="F2110" s="28"/>
      <c r="G2110" s="28"/>
      <c r="H2110" s="28"/>
      <c r="I2110" s="28"/>
      <c r="J2110" s="28"/>
      <c r="K2110" s="28"/>
      <c r="L2110" s="28"/>
      <c r="M2110" s="28"/>
    </row>
    <row r="2111">
      <c r="A2111" s="28"/>
      <c r="B2111" s="28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</row>
    <row r="2112">
      <c r="A2112" s="28"/>
      <c r="B2112" s="28"/>
      <c r="C2112" s="28"/>
      <c r="D2112" s="28"/>
      <c r="E2112" s="28"/>
      <c r="F2112" s="28"/>
      <c r="G2112" s="28"/>
      <c r="H2112" s="28"/>
      <c r="I2112" s="28"/>
      <c r="J2112" s="28"/>
      <c r="K2112" s="28"/>
      <c r="L2112" s="28"/>
      <c r="M2112" s="28"/>
    </row>
    <row r="2113">
      <c r="A2113" s="28"/>
      <c r="B2113" s="28"/>
      <c r="C2113" s="28"/>
      <c r="D2113" s="28"/>
      <c r="E2113" s="28"/>
      <c r="F2113" s="28"/>
      <c r="G2113" s="28"/>
      <c r="H2113" s="28"/>
      <c r="I2113" s="28"/>
      <c r="J2113" s="28"/>
      <c r="K2113" s="28"/>
      <c r="L2113" s="28"/>
      <c r="M2113" s="28"/>
    </row>
    <row r="2114">
      <c r="A2114" s="28"/>
      <c r="B2114" s="28"/>
      <c r="C2114" s="28"/>
      <c r="D2114" s="28"/>
      <c r="E2114" s="28"/>
      <c r="F2114" s="28"/>
      <c r="G2114" s="28"/>
      <c r="H2114" s="28"/>
      <c r="I2114" s="28"/>
      <c r="J2114" s="28"/>
      <c r="K2114" s="28"/>
      <c r="L2114" s="28"/>
      <c r="M2114" s="28"/>
    </row>
    <row r="2115">
      <c r="A2115" s="28"/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</row>
    <row r="2116">
      <c r="A2116" s="28"/>
      <c r="B2116" s="28"/>
      <c r="C2116" s="28"/>
      <c r="D2116" s="28"/>
      <c r="E2116" s="28"/>
      <c r="F2116" s="28"/>
      <c r="G2116" s="28"/>
      <c r="H2116" s="28"/>
      <c r="I2116" s="28"/>
      <c r="J2116" s="28"/>
      <c r="K2116" s="28"/>
      <c r="L2116" s="28"/>
      <c r="M2116" s="28"/>
    </row>
    <row r="2117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</row>
    <row r="2118">
      <c r="A2118" s="28"/>
      <c r="B2118" s="28"/>
      <c r="C2118" s="28"/>
      <c r="D2118" s="28"/>
      <c r="E2118" s="28"/>
      <c r="F2118" s="28"/>
      <c r="G2118" s="28"/>
      <c r="H2118" s="28"/>
      <c r="I2118" s="28"/>
      <c r="J2118" s="28"/>
      <c r="K2118" s="28"/>
      <c r="L2118" s="28"/>
      <c r="M2118" s="28"/>
    </row>
    <row r="2119">
      <c r="A2119" s="28"/>
      <c r="B2119" s="28"/>
      <c r="C2119" s="28"/>
      <c r="D2119" s="28"/>
      <c r="E2119" s="28"/>
      <c r="F2119" s="28"/>
      <c r="G2119" s="28"/>
      <c r="H2119" s="28"/>
      <c r="I2119" s="28"/>
      <c r="J2119" s="28"/>
      <c r="K2119" s="28"/>
      <c r="L2119" s="28"/>
      <c r="M2119" s="28"/>
    </row>
    <row r="2120">
      <c r="A2120" s="28"/>
      <c r="B2120" s="28"/>
      <c r="C2120" s="28"/>
      <c r="D2120" s="28"/>
      <c r="E2120" s="28"/>
      <c r="F2120" s="28"/>
      <c r="G2120" s="28"/>
      <c r="H2120" s="28"/>
      <c r="I2120" s="28"/>
      <c r="J2120" s="28"/>
      <c r="K2120" s="28"/>
      <c r="L2120" s="28"/>
      <c r="M2120" s="28"/>
    </row>
    <row r="2121">
      <c r="A2121" s="28"/>
      <c r="B2121" s="28"/>
      <c r="C2121" s="28"/>
      <c r="D2121" s="28"/>
      <c r="E2121" s="28"/>
      <c r="F2121" s="28"/>
      <c r="G2121" s="28"/>
      <c r="H2121" s="28"/>
      <c r="I2121" s="28"/>
      <c r="J2121" s="28"/>
      <c r="K2121" s="28"/>
      <c r="L2121" s="28"/>
      <c r="M2121" s="28"/>
    </row>
    <row r="2122">
      <c r="A2122" s="28"/>
      <c r="B2122" s="28"/>
      <c r="C2122" s="28"/>
      <c r="D2122" s="28"/>
      <c r="E2122" s="28"/>
      <c r="F2122" s="28"/>
      <c r="G2122" s="28"/>
      <c r="H2122" s="28"/>
      <c r="I2122" s="28"/>
      <c r="J2122" s="28"/>
      <c r="K2122" s="28"/>
      <c r="L2122" s="28"/>
      <c r="M2122" s="28"/>
    </row>
    <row r="2123">
      <c r="A2123" s="28"/>
      <c r="B2123" s="28"/>
      <c r="C2123" s="28"/>
      <c r="D2123" s="28"/>
      <c r="E2123" s="28"/>
      <c r="F2123" s="28"/>
      <c r="G2123" s="28"/>
      <c r="H2123" s="28"/>
      <c r="I2123" s="28"/>
      <c r="J2123" s="28"/>
      <c r="K2123" s="28"/>
      <c r="L2123" s="28"/>
      <c r="M2123" s="28"/>
    </row>
    <row r="2124">
      <c r="A2124" s="28"/>
      <c r="B2124" s="28"/>
      <c r="C2124" s="28"/>
      <c r="D2124" s="28"/>
      <c r="E2124" s="28"/>
      <c r="F2124" s="28"/>
      <c r="G2124" s="28"/>
      <c r="H2124" s="28"/>
      <c r="I2124" s="28"/>
      <c r="J2124" s="28"/>
      <c r="K2124" s="28"/>
      <c r="L2124" s="28"/>
      <c r="M2124" s="28"/>
    </row>
    <row r="2125">
      <c r="A2125" s="28"/>
      <c r="B2125" s="28"/>
      <c r="C2125" s="28"/>
      <c r="D2125" s="28"/>
      <c r="E2125" s="28"/>
      <c r="F2125" s="28"/>
      <c r="G2125" s="28"/>
      <c r="H2125" s="28"/>
      <c r="I2125" s="28"/>
      <c r="J2125" s="28"/>
      <c r="K2125" s="28"/>
      <c r="L2125" s="28"/>
      <c r="M2125" s="28"/>
    </row>
    <row r="2126">
      <c r="A2126" s="28"/>
      <c r="B2126" s="28"/>
      <c r="C2126" s="28"/>
      <c r="D2126" s="28"/>
      <c r="E2126" s="28"/>
      <c r="F2126" s="28"/>
      <c r="G2126" s="28"/>
      <c r="H2126" s="28"/>
      <c r="I2126" s="28"/>
      <c r="J2126" s="28"/>
      <c r="K2126" s="28"/>
      <c r="L2126" s="28"/>
      <c r="M2126" s="28"/>
    </row>
    <row r="2127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</row>
    <row r="2128">
      <c r="A2128" s="28"/>
      <c r="B2128" s="28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</row>
    <row r="2129">
      <c r="A2129" s="28"/>
      <c r="B2129" s="28"/>
      <c r="C2129" s="28"/>
      <c r="D2129" s="28"/>
      <c r="E2129" s="28"/>
      <c r="F2129" s="28"/>
      <c r="G2129" s="28"/>
      <c r="H2129" s="28"/>
      <c r="I2129" s="28"/>
      <c r="J2129" s="28"/>
      <c r="K2129" s="28"/>
      <c r="L2129" s="28"/>
      <c r="M2129" s="28"/>
    </row>
    <row r="2130">
      <c r="A2130" s="28"/>
      <c r="B2130" s="28"/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</row>
    <row r="2131">
      <c r="A2131" s="28"/>
      <c r="B2131" s="28"/>
      <c r="C2131" s="28"/>
      <c r="D2131" s="28"/>
      <c r="E2131" s="28"/>
      <c r="F2131" s="28"/>
      <c r="G2131" s="28"/>
      <c r="H2131" s="28"/>
      <c r="I2131" s="28"/>
      <c r="J2131" s="28"/>
      <c r="K2131" s="28"/>
      <c r="L2131" s="28"/>
      <c r="M2131" s="28"/>
    </row>
    <row r="2132">
      <c r="A2132" s="28"/>
      <c r="B2132" s="28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</row>
    <row r="2133">
      <c r="A2133" s="28"/>
      <c r="B2133" s="28"/>
      <c r="C2133" s="28"/>
      <c r="D2133" s="28"/>
      <c r="E2133" s="28"/>
      <c r="F2133" s="28"/>
      <c r="G2133" s="28"/>
      <c r="H2133" s="28"/>
      <c r="I2133" s="28"/>
      <c r="J2133" s="28"/>
      <c r="K2133" s="28"/>
      <c r="L2133" s="28"/>
      <c r="M2133" s="28"/>
    </row>
    <row r="2134">
      <c r="A2134" s="28"/>
      <c r="B2134" s="28"/>
      <c r="C2134" s="28"/>
      <c r="D2134" s="28"/>
      <c r="E2134" s="28"/>
      <c r="F2134" s="28"/>
      <c r="G2134" s="28"/>
      <c r="H2134" s="28"/>
      <c r="I2134" s="28"/>
      <c r="J2134" s="28"/>
      <c r="K2134" s="28"/>
      <c r="L2134" s="28"/>
      <c r="M2134" s="28"/>
    </row>
    <row r="2135">
      <c r="A2135" s="28"/>
      <c r="B2135" s="28"/>
      <c r="C2135" s="2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</row>
    <row r="2136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</row>
    <row r="2137">
      <c r="A2137" s="28"/>
      <c r="B2137" s="28"/>
      <c r="C2137" s="28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</row>
    <row r="2138">
      <c r="A2138" s="28"/>
      <c r="B2138" s="28"/>
      <c r="C2138" s="28"/>
      <c r="D2138" s="28"/>
      <c r="E2138" s="28"/>
      <c r="F2138" s="28"/>
      <c r="G2138" s="28"/>
      <c r="H2138" s="28"/>
      <c r="I2138" s="28"/>
      <c r="J2138" s="28"/>
      <c r="K2138" s="28"/>
      <c r="L2138" s="28"/>
      <c r="M2138" s="28"/>
    </row>
    <row r="2139">
      <c r="A2139" s="28"/>
      <c r="B2139" s="28"/>
      <c r="C2139" s="28"/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</row>
    <row r="2140">
      <c r="A2140" s="28"/>
      <c r="B2140" s="28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</row>
    <row r="2141">
      <c r="A2141" s="28"/>
      <c r="B2141" s="28"/>
      <c r="C2141" s="28"/>
      <c r="D2141" s="28"/>
      <c r="E2141" s="28"/>
      <c r="F2141" s="28"/>
      <c r="G2141" s="28"/>
      <c r="H2141" s="28"/>
      <c r="I2141" s="28"/>
      <c r="J2141" s="28"/>
      <c r="K2141" s="28"/>
      <c r="L2141" s="28"/>
      <c r="M2141" s="28"/>
    </row>
    <row r="2142">
      <c r="A2142" s="28"/>
      <c r="B2142" s="28"/>
      <c r="C2142" s="28"/>
      <c r="D2142" s="28"/>
      <c r="E2142" s="28"/>
      <c r="F2142" s="28"/>
      <c r="G2142" s="28"/>
      <c r="H2142" s="28"/>
      <c r="I2142" s="28"/>
      <c r="J2142" s="28"/>
      <c r="K2142" s="28"/>
      <c r="L2142" s="28"/>
      <c r="M2142" s="28"/>
    </row>
    <row r="2143">
      <c r="A2143" s="28"/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</row>
    <row r="2144">
      <c r="A2144" s="28"/>
      <c r="B2144" s="28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</row>
    <row r="2145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</row>
    <row r="2146">
      <c r="A2146" s="28"/>
      <c r="B2146" s="28"/>
      <c r="C2146" s="28"/>
      <c r="D2146" s="28"/>
      <c r="E2146" s="28"/>
      <c r="F2146" s="28"/>
      <c r="G2146" s="28"/>
      <c r="H2146" s="28"/>
      <c r="I2146" s="28"/>
      <c r="J2146" s="28"/>
      <c r="K2146" s="28"/>
      <c r="L2146" s="28"/>
      <c r="M2146" s="28"/>
    </row>
    <row r="2147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</row>
    <row r="2148">
      <c r="A2148" s="28"/>
      <c r="B2148" s="28"/>
      <c r="C2148" s="28"/>
      <c r="D2148" s="28"/>
      <c r="E2148" s="28"/>
      <c r="F2148" s="28"/>
      <c r="G2148" s="28"/>
      <c r="H2148" s="28"/>
      <c r="I2148" s="28"/>
      <c r="J2148" s="28"/>
      <c r="K2148" s="28"/>
      <c r="L2148" s="28"/>
      <c r="M2148" s="28"/>
    </row>
    <row r="2149">
      <c r="A2149" s="28"/>
      <c r="B2149" s="28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</row>
    <row r="2150">
      <c r="A2150" s="28"/>
      <c r="B2150" s="28"/>
      <c r="C2150" s="28"/>
      <c r="D2150" s="28"/>
      <c r="E2150" s="28"/>
      <c r="F2150" s="28"/>
      <c r="G2150" s="28"/>
      <c r="H2150" s="28"/>
      <c r="I2150" s="28"/>
      <c r="J2150" s="28"/>
      <c r="K2150" s="28"/>
      <c r="L2150" s="28"/>
      <c r="M2150" s="28"/>
    </row>
    <row r="2151">
      <c r="A2151" s="28"/>
      <c r="B2151" s="28"/>
      <c r="C2151" s="28"/>
      <c r="D2151" s="28"/>
      <c r="E2151" s="28"/>
      <c r="F2151" s="28"/>
      <c r="G2151" s="28"/>
      <c r="H2151" s="28"/>
      <c r="I2151" s="28"/>
      <c r="J2151" s="28"/>
      <c r="K2151" s="28"/>
      <c r="L2151" s="28"/>
      <c r="M2151" s="28"/>
    </row>
    <row r="2152">
      <c r="A2152" s="28"/>
      <c r="B2152" s="28"/>
      <c r="C2152" s="28"/>
      <c r="D2152" s="28"/>
      <c r="E2152" s="28"/>
      <c r="F2152" s="28"/>
      <c r="G2152" s="28"/>
      <c r="H2152" s="28"/>
      <c r="I2152" s="28"/>
      <c r="J2152" s="28"/>
      <c r="K2152" s="28"/>
      <c r="L2152" s="28"/>
      <c r="M2152" s="28"/>
    </row>
    <row r="2153">
      <c r="A2153" s="28"/>
      <c r="B2153" s="28"/>
      <c r="C2153" s="28"/>
      <c r="D2153" s="28"/>
      <c r="E2153" s="28"/>
      <c r="F2153" s="28"/>
      <c r="G2153" s="28"/>
      <c r="H2153" s="28"/>
      <c r="I2153" s="28"/>
      <c r="J2153" s="28"/>
      <c r="K2153" s="28"/>
      <c r="L2153" s="28"/>
      <c r="M2153" s="28"/>
    </row>
    <row r="2154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</row>
    <row r="2155">
      <c r="A2155" s="28"/>
      <c r="B2155" s="28"/>
      <c r="C2155" s="28"/>
      <c r="D2155" s="28"/>
      <c r="E2155" s="28"/>
      <c r="F2155" s="28"/>
      <c r="G2155" s="28"/>
      <c r="H2155" s="28"/>
      <c r="I2155" s="28"/>
      <c r="J2155" s="28"/>
      <c r="K2155" s="28"/>
      <c r="L2155" s="28"/>
      <c r="M2155" s="28"/>
    </row>
    <row r="2156">
      <c r="A2156" s="28"/>
      <c r="B2156" s="28"/>
      <c r="C2156" s="28"/>
      <c r="D2156" s="28"/>
      <c r="E2156" s="28"/>
      <c r="F2156" s="28"/>
      <c r="G2156" s="28"/>
      <c r="H2156" s="28"/>
      <c r="I2156" s="28"/>
      <c r="J2156" s="28"/>
      <c r="K2156" s="28"/>
      <c r="L2156" s="28"/>
      <c r="M2156" s="28"/>
    </row>
    <row r="2157">
      <c r="A2157" s="28"/>
      <c r="B2157" s="28"/>
      <c r="C2157" s="28"/>
      <c r="D2157" s="28"/>
      <c r="E2157" s="28"/>
      <c r="F2157" s="28"/>
      <c r="G2157" s="28"/>
      <c r="H2157" s="28"/>
      <c r="I2157" s="28"/>
      <c r="J2157" s="28"/>
      <c r="K2157" s="28"/>
      <c r="L2157" s="28"/>
      <c r="M2157" s="28"/>
    </row>
    <row r="2158">
      <c r="A2158" s="28"/>
      <c r="B2158" s="28"/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</row>
    <row r="2159">
      <c r="A2159" s="28"/>
      <c r="B2159" s="28"/>
      <c r="C2159" s="28"/>
      <c r="D2159" s="28"/>
      <c r="E2159" s="28"/>
      <c r="F2159" s="28"/>
      <c r="G2159" s="28"/>
      <c r="H2159" s="28"/>
      <c r="I2159" s="28"/>
      <c r="J2159" s="28"/>
      <c r="K2159" s="28"/>
      <c r="L2159" s="28"/>
      <c r="M2159" s="28"/>
    </row>
    <row r="2160">
      <c r="A2160" s="28"/>
      <c r="B2160" s="28"/>
      <c r="C2160" s="28"/>
      <c r="D2160" s="28"/>
      <c r="E2160" s="28"/>
      <c r="F2160" s="28"/>
      <c r="G2160" s="28"/>
      <c r="H2160" s="28"/>
      <c r="I2160" s="28"/>
      <c r="J2160" s="28"/>
      <c r="K2160" s="28"/>
      <c r="L2160" s="28"/>
      <c r="M2160" s="28"/>
    </row>
    <row r="2161">
      <c r="A2161" s="28"/>
      <c r="B2161" s="28"/>
      <c r="C2161" s="28"/>
      <c r="D2161" s="28"/>
      <c r="E2161" s="28"/>
      <c r="F2161" s="28"/>
      <c r="G2161" s="28"/>
      <c r="H2161" s="28"/>
      <c r="I2161" s="28"/>
      <c r="J2161" s="28"/>
      <c r="K2161" s="28"/>
      <c r="L2161" s="28"/>
      <c r="M2161" s="28"/>
    </row>
    <row r="2162">
      <c r="A2162" s="28"/>
      <c r="B2162" s="28"/>
      <c r="C2162" s="28"/>
      <c r="D2162" s="28"/>
      <c r="E2162" s="28"/>
      <c r="F2162" s="28"/>
      <c r="G2162" s="28"/>
      <c r="H2162" s="28"/>
      <c r="I2162" s="28"/>
      <c r="J2162" s="28"/>
      <c r="K2162" s="28"/>
      <c r="L2162" s="28"/>
      <c r="M2162" s="28"/>
    </row>
    <row r="2163">
      <c r="A2163" s="28"/>
      <c r="B2163" s="28"/>
      <c r="C2163" s="28"/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</row>
    <row r="2164">
      <c r="A2164" s="28"/>
      <c r="B2164" s="28"/>
      <c r="C2164" s="28"/>
      <c r="D2164" s="28"/>
      <c r="E2164" s="28"/>
      <c r="F2164" s="28"/>
      <c r="G2164" s="28"/>
      <c r="H2164" s="28"/>
      <c r="I2164" s="28"/>
      <c r="J2164" s="28"/>
      <c r="K2164" s="28"/>
      <c r="L2164" s="28"/>
      <c r="M2164" s="28"/>
    </row>
    <row r="2165">
      <c r="A2165" s="28"/>
      <c r="B2165" s="28"/>
      <c r="C2165" s="28"/>
      <c r="D2165" s="28"/>
      <c r="E2165" s="28"/>
      <c r="F2165" s="28"/>
      <c r="G2165" s="28"/>
      <c r="H2165" s="28"/>
      <c r="I2165" s="28"/>
      <c r="J2165" s="28"/>
      <c r="K2165" s="28"/>
      <c r="L2165" s="28"/>
      <c r="M2165" s="28"/>
    </row>
    <row r="2166">
      <c r="A2166" s="28"/>
      <c r="B2166" s="28"/>
      <c r="C2166" s="28"/>
      <c r="D2166" s="28"/>
      <c r="E2166" s="28"/>
      <c r="F2166" s="28"/>
      <c r="G2166" s="28"/>
      <c r="H2166" s="28"/>
      <c r="I2166" s="28"/>
      <c r="J2166" s="28"/>
      <c r="K2166" s="28"/>
      <c r="L2166" s="28"/>
      <c r="M2166" s="28"/>
    </row>
    <row r="2167">
      <c r="A2167" s="28"/>
      <c r="B2167" s="28"/>
      <c r="C2167" s="28"/>
      <c r="D2167" s="28"/>
      <c r="E2167" s="28"/>
      <c r="F2167" s="28"/>
      <c r="G2167" s="28"/>
      <c r="H2167" s="28"/>
      <c r="I2167" s="28"/>
      <c r="J2167" s="28"/>
      <c r="K2167" s="28"/>
      <c r="L2167" s="28"/>
      <c r="M2167" s="28"/>
    </row>
    <row r="2168">
      <c r="A2168" s="28"/>
      <c r="B2168" s="28"/>
      <c r="C2168" s="28"/>
      <c r="D2168" s="28"/>
      <c r="E2168" s="28"/>
      <c r="F2168" s="28"/>
      <c r="G2168" s="28"/>
      <c r="H2168" s="28"/>
      <c r="I2168" s="28"/>
      <c r="J2168" s="28"/>
      <c r="K2168" s="28"/>
      <c r="L2168" s="28"/>
      <c r="M2168" s="28"/>
    </row>
    <row r="2169">
      <c r="A2169" s="28"/>
      <c r="B2169" s="28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</row>
    <row r="2170">
      <c r="A2170" s="28"/>
      <c r="B2170" s="28"/>
      <c r="C2170" s="28"/>
      <c r="D2170" s="28"/>
      <c r="E2170" s="28"/>
      <c r="F2170" s="28"/>
      <c r="G2170" s="28"/>
      <c r="H2170" s="28"/>
      <c r="I2170" s="28"/>
      <c r="J2170" s="28"/>
      <c r="K2170" s="28"/>
      <c r="L2170" s="28"/>
      <c r="M2170" s="28"/>
    </row>
    <row r="2171">
      <c r="A2171" s="28"/>
      <c r="B2171" s="28"/>
      <c r="C2171" s="28"/>
      <c r="D2171" s="28"/>
      <c r="E2171" s="28"/>
      <c r="F2171" s="28"/>
      <c r="G2171" s="28"/>
      <c r="H2171" s="28"/>
      <c r="I2171" s="28"/>
      <c r="J2171" s="28"/>
      <c r="K2171" s="28"/>
      <c r="L2171" s="28"/>
      <c r="M2171" s="28"/>
    </row>
    <row r="2172">
      <c r="A2172" s="28"/>
      <c r="B2172" s="28"/>
      <c r="C2172" s="28"/>
      <c r="D2172" s="28"/>
      <c r="E2172" s="28"/>
      <c r="F2172" s="28"/>
      <c r="G2172" s="28"/>
      <c r="H2172" s="28"/>
      <c r="I2172" s="28"/>
      <c r="J2172" s="28"/>
      <c r="K2172" s="28"/>
      <c r="L2172" s="28"/>
      <c r="M2172" s="28"/>
    </row>
    <row r="2173">
      <c r="A2173" s="28"/>
      <c r="B2173" s="28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</row>
    <row r="2174">
      <c r="A2174" s="28"/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</row>
    <row r="2175">
      <c r="A2175" s="28"/>
      <c r="B2175" s="28"/>
      <c r="C2175" s="28"/>
      <c r="D2175" s="28"/>
      <c r="E2175" s="28"/>
      <c r="F2175" s="28"/>
      <c r="G2175" s="28"/>
      <c r="H2175" s="28"/>
      <c r="I2175" s="28"/>
      <c r="J2175" s="28"/>
      <c r="K2175" s="28"/>
      <c r="L2175" s="28"/>
      <c r="M2175" s="28"/>
    </row>
    <row r="2176">
      <c r="A2176" s="28"/>
      <c r="B2176" s="28"/>
      <c r="C2176" s="28"/>
      <c r="D2176" s="28"/>
      <c r="E2176" s="28"/>
      <c r="F2176" s="28"/>
      <c r="G2176" s="28"/>
      <c r="H2176" s="28"/>
      <c r="I2176" s="28"/>
      <c r="J2176" s="28"/>
      <c r="K2176" s="28"/>
      <c r="L2176" s="28"/>
      <c r="M2176" s="28"/>
    </row>
    <row r="2177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</row>
    <row r="2178">
      <c r="A2178" s="28"/>
      <c r="B2178" s="28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</row>
    <row r="2179">
      <c r="A2179" s="28"/>
      <c r="B2179" s="28"/>
      <c r="C2179" s="28"/>
      <c r="D2179" s="28"/>
      <c r="E2179" s="28"/>
      <c r="F2179" s="28"/>
      <c r="G2179" s="28"/>
      <c r="H2179" s="28"/>
      <c r="I2179" s="28"/>
      <c r="J2179" s="28"/>
      <c r="K2179" s="28"/>
      <c r="L2179" s="28"/>
      <c r="M2179" s="28"/>
    </row>
    <row r="2180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</row>
    <row r="2181">
      <c r="A2181" s="28"/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</row>
    <row r="2182">
      <c r="A2182" s="28"/>
      <c r="B2182" s="28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</row>
    <row r="2183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</row>
    <row r="2184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</row>
    <row r="2185">
      <c r="A2185" s="28"/>
      <c r="B2185" s="28"/>
      <c r="C2185" s="28"/>
      <c r="D2185" s="28"/>
      <c r="E2185" s="28"/>
      <c r="F2185" s="28"/>
      <c r="G2185" s="28"/>
      <c r="H2185" s="28"/>
      <c r="I2185" s="28"/>
      <c r="J2185" s="28"/>
      <c r="K2185" s="28"/>
      <c r="L2185" s="28"/>
      <c r="M2185" s="28"/>
    </row>
    <row r="2186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</row>
    <row r="2187">
      <c r="A2187" s="28"/>
      <c r="B2187" s="28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</row>
    <row r="2188">
      <c r="A2188" s="28"/>
      <c r="B2188" s="28"/>
      <c r="C2188" s="28"/>
      <c r="D2188" s="28"/>
      <c r="E2188" s="28"/>
      <c r="F2188" s="28"/>
      <c r="G2188" s="28"/>
      <c r="H2188" s="28"/>
      <c r="I2188" s="28"/>
      <c r="J2188" s="28"/>
      <c r="K2188" s="28"/>
      <c r="L2188" s="28"/>
      <c r="M2188" s="28"/>
    </row>
    <row r="2189">
      <c r="A2189" s="28"/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</row>
    <row r="2190">
      <c r="A2190" s="28"/>
      <c r="B2190" s="28"/>
      <c r="C2190" s="28"/>
      <c r="D2190" s="28"/>
      <c r="E2190" s="28"/>
      <c r="F2190" s="28"/>
      <c r="G2190" s="28"/>
      <c r="H2190" s="28"/>
      <c r="I2190" s="28"/>
      <c r="J2190" s="28"/>
      <c r="K2190" s="28"/>
      <c r="L2190" s="28"/>
      <c r="M2190" s="28"/>
    </row>
    <row r="2191">
      <c r="A2191" s="28"/>
      <c r="B2191" s="28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</row>
    <row r="2192">
      <c r="A2192" s="28"/>
      <c r="B2192" s="28"/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</row>
    <row r="2193">
      <c r="A2193" s="28"/>
      <c r="B2193" s="28"/>
      <c r="C2193" s="28"/>
      <c r="D2193" s="28"/>
      <c r="E2193" s="28"/>
      <c r="F2193" s="28"/>
      <c r="G2193" s="28"/>
      <c r="H2193" s="28"/>
      <c r="I2193" s="28"/>
      <c r="J2193" s="28"/>
      <c r="K2193" s="28"/>
      <c r="L2193" s="28"/>
      <c r="M2193" s="28"/>
    </row>
    <row r="2194">
      <c r="A2194" s="28"/>
      <c r="B2194" s="28"/>
      <c r="C2194" s="28"/>
      <c r="D2194" s="28"/>
      <c r="E2194" s="28"/>
      <c r="F2194" s="28"/>
      <c r="G2194" s="28"/>
      <c r="H2194" s="28"/>
      <c r="I2194" s="28"/>
      <c r="J2194" s="28"/>
      <c r="K2194" s="28"/>
      <c r="L2194" s="28"/>
      <c r="M2194" s="28"/>
    </row>
    <row r="2195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</row>
    <row r="2196">
      <c r="A2196" s="28"/>
      <c r="B2196" s="28"/>
      <c r="C2196" s="2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</row>
    <row r="2197">
      <c r="A2197" s="28"/>
      <c r="B2197" s="28"/>
      <c r="C2197" s="28"/>
      <c r="D2197" s="28"/>
      <c r="E2197" s="28"/>
      <c r="F2197" s="28"/>
      <c r="G2197" s="28"/>
      <c r="H2197" s="28"/>
      <c r="I2197" s="28"/>
      <c r="J2197" s="28"/>
      <c r="K2197" s="28"/>
      <c r="L2197" s="28"/>
      <c r="M2197" s="28"/>
    </row>
    <row r="2198">
      <c r="A2198" s="28"/>
      <c r="B2198" s="28"/>
      <c r="C2198" s="28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</row>
    <row r="2199">
      <c r="A2199" s="28"/>
      <c r="B2199" s="28"/>
      <c r="C2199" s="28"/>
      <c r="D2199" s="28"/>
      <c r="E2199" s="28"/>
      <c r="F2199" s="28"/>
      <c r="G2199" s="28"/>
      <c r="H2199" s="28"/>
      <c r="I2199" s="28"/>
      <c r="J2199" s="28"/>
      <c r="K2199" s="28"/>
      <c r="L2199" s="28"/>
      <c r="M2199" s="28"/>
    </row>
    <row r="2200">
      <c r="A2200" s="28"/>
      <c r="B2200" s="28"/>
      <c r="C2200" s="28"/>
      <c r="D2200" s="28"/>
      <c r="E2200" s="28"/>
      <c r="F2200" s="28"/>
      <c r="G2200" s="28"/>
      <c r="H2200" s="28"/>
      <c r="I2200" s="28"/>
      <c r="J2200" s="28"/>
      <c r="K2200" s="28"/>
      <c r="L2200" s="28"/>
      <c r="M2200" s="28"/>
    </row>
    <row r="2201">
      <c r="A2201" s="28"/>
      <c r="B2201" s="28"/>
      <c r="C2201" s="28"/>
      <c r="D2201" s="28"/>
      <c r="E2201" s="28"/>
      <c r="F2201" s="28"/>
      <c r="G2201" s="28"/>
      <c r="H2201" s="28"/>
      <c r="I2201" s="28"/>
      <c r="J2201" s="28"/>
      <c r="K2201" s="28"/>
      <c r="L2201" s="28"/>
      <c r="M2201" s="28"/>
    </row>
    <row r="2202">
      <c r="A2202" s="28"/>
      <c r="B2202" s="28"/>
      <c r="C2202" s="28"/>
      <c r="D2202" s="28"/>
      <c r="E2202" s="28"/>
      <c r="F2202" s="28"/>
      <c r="G2202" s="28"/>
      <c r="H2202" s="28"/>
      <c r="I2202" s="28"/>
      <c r="J2202" s="28"/>
      <c r="K2202" s="28"/>
      <c r="L2202" s="28"/>
      <c r="M2202" s="28"/>
    </row>
    <row r="2203">
      <c r="A2203" s="28"/>
      <c r="B2203" s="28"/>
      <c r="C2203" s="28"/>
      <c r="D2203" s="28"/>
      <c r="E2203" s="28"/>
      <c r="F2203" s="28"/>
      <c r="G2203" s="28"/>
      <c r="H2203" s="28"/>
      <c r="I2203" s="28"/>
      <c r="J2203" s="28"/>
      <c r="K2203" s="28"/>
      <c r="L2203" s="28"/>
      <c r="M2203" s="28"/>
    </row>
    <row r="2204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</row>
    <row r="2205">
      <c r="A2205" s="28"/>
      <c r="B2205" s="28"/>
      <c r="C2205" s="28"/>
      <c r="D2205" s="28"/>
      <c r="E2205" s="28"/>
      <c r="F2205" s="28"/>
      <c r="G2205" s="28"/>
      <c r="H2205" s="28"/>
      <c r="I2205" s="28"/>
      <c r="J2205" s="28"/>
      <c r="K2205" s="28"/>
      <c r="L2205" s="28"/>
      <c r="M2205" s="28"/>
    </row>
    <row r="2206">
      <c r="A2206" s="28"/>
      <c r="B2206" s="28"/>
      <c r="C2206" s="28"/>
      <c r="D2206" s="28"/>
      <c r="E2206" s="28"/>
      <c r="F2206" s="28"/>
      <c r="G2206" s="28"/>
      <c r="H2206" s="28"/>
      <c r="I2206" s="28"/>
      <c r="J2206" s="28"/>
      <c r="K2206" s="28"/>
      <c r="L2206" s="28"/>
      <c r="M2206" s="28"/>
    </row>
    <row r="2207">
      <c r="A2207" s="28"/>
      <c r="B2207" s="28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</row>
    <row r="2208">
      <c r="A2208" s="28"/>
      <c r="B2208" s="28"/>
      <c r="C2208" s="28"/>
      <c r="D2208" s="28"/>
      <c r="E2208" s="28"/>
      <c r="F2208" s="28"/>
      <c r="G2208" s="28"/>
      <c r="H2208" s="28"/>
      <c r="I2208" s="28"/>
      <c r="J2208" s="28"/>
      <c r="K2208" s="28"/>
      <c r="L2208" s="28"/>
      <c r="M2208" s="28"/>
    </row>
    <row r="2209">
      <c r="A2209" s="28"/>
      <c r="B2209" s="28"/>
      <c r="C2209" s="28"/>
      <c r="D2209" s="28"/>
      <c r="E2209" s="28"/>
      <c r="F2209" s="28"/>
      <c r="G2209" s="28"/>
      <c r="H2209" s="28"/>
      <c r="I2209" s="28"/>
      <c r="J2209" s="28"/>
      <c r="K2209" s="28"/>
      <c r="L2209" s="28"/>
      <c r="M2209" s="28"/>
    </row>
    <row r="2210">
      <c r="A2210" s="28"/>
      <c r="B2210" s="28"/>
      <c r="C2210" s="28"/>
      <c r="D2210" s="28"/>
      <c r="E2210" s="28"/>
      <c r="F2210" s="28"/>
      <c r="G2210" s="28"/>
      <c r="H2210" s="28"/>
      <c r="I2210" s="28"/>
      <c r="J2210" s="28"/>
      <c r="K2210" s="28"/>
      <c r="L2210" s="28"/>
      <c r="M2210" s="28"/>
    </row>
    <row r="2211">
      <c r="A2211" s="28"/>
      <c r="B2211" s="28"/>
      <c r="C2211" s="28"/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</row>
    <row r="2212">
      <c r="A2212" s="28"/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</row>
    <row r="2213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</row>
    <row r="2214">
      <c r="A2214" s="28"/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</row>
    <row r="2215">
      <c r="A2215" s="28"/>
      <c r="B2215" s="28"/>
      <c r="C2215" s="28"/>
      <c r="D2215" s="28"/>
      <c r="E2215" s="28"/>
      <c r="F2215" s="28"/>
      <c r="G2215" s="28"/>
      <c r="H2215" s="28"/>
      <c r="I2215" s="28"/>
      <c r="J2215" s="28"/>
      <c r="K2215" s="28"/>
      <c r="L2215" s="28"/>
      <c r="M2215" s="28"/>
    </row>
    <row r="2216">
      <c r="A2216" s="28"/>
      <c r="B2216" s="28"/>
      <c r="C2216" s="28"/>
      <c r="D2216" s="28"/>
      <c r="E2216" s="28"/>
      <c r="F2216" s="28"/>
      <c r="G2216" s="28"/>
      <c r="H2216" s="28"/>
      <c r="I2216" s="28"/>
      <c r="J2216" s="28"/>
      <c r="K2216" s="28"/>
      <c r="L2216" s="28"/>
      <c r="M2216" s="28"/>
    </row>
    <row r="2217">
      <c r="A2217" s="28"/>
      <c r="B2217" s="28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</row>
    <row r="2218">
      <c r="A2218" s="28"/>
      <c r="B2218" s="28"/>
      <c r="C2218" s="28"/>
      <c r="D2218" s="28"/>
      <c r="E2218" s="28"/>
      <c r="F2218" s="28"/>
      <c r="G2218" s="28"/>
      <c r="H2218" s="28"/>
      <c r="I2218" s="28"/>
      <c r="J2218" s="28"/>
      <c r="K2218" s="28"/>
      <c r="L2218" s="28"/>
      <c r="M2218" s="28"/>
    </row>
    <row r="2219">
      <c r="A2219" s="28"/>
      <c r="B2219" s="28"/>
      <c r="C2219" s="28"/>
      <c r="D2219" s="28"/>
      <c r="E2219" s="28"/>
      <c r="F2219" s="28"/>
      <c r="G2219" s="28"/>
      <c r="H2219" s="28"/>
      <c r="I2219" s="28"/>
      <c r="J2219" s="28"/>
      <c r="K2219" s="28"/>
      <c r="L2219" s="28"/>
      <c r="M2219" s="28"/>
    </row>
    <row r="2220">
      <c r="A2220" s="28"/>
      <c r="B2220" s="28"/>
      <c r="C2220" s="28"/>
      <c r="D2220" s="28"/>
      <c r="E2220" s="28"/>
      <c r="F2220" s="28"/>
      <c r="G2220" s="28"/>
      <c r="H2220" s="28"/>
      <c r="I2220" s="28"/>
      <c r="J2220" s="28"/>
      <c r="K2220" s="28"/>
      <c r="L2220" s="28"/>
      <c r="M2220" s="28"/>
    </row>
    <row r="2221">
      <c r="A2221" s="28"/>
      <c r="B2221" s="28"/>
      <c r="C2221" s="28"/>
      <c r="D2221" s="28"/>
      <c r="E2221" s="28"/>
      <c r="F2221" s="28"/>
      <c r="G2221" s="28"/>
      <c r="H2221" s="28"/>
      <c r="I2221" s="28"/>
      <c r="J2221" s="28"/>
      <c r="K2221" s="28"/>
      <c r="L2221" s="28"/>
      <c r="M2221" s="28"/>
    </row>
    <row r="2222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</row>
    <row r="2223">
      <c r="A2223" s="28"/>
      <c r="B2223" s="28"/>
      <c r="C2223" s="28"/>
      <c r="D2223" s="28"/>
      <c r="E2223" s="28"/>
      <c r="F2223" s="28"/>
      <c r="G2223" s="28"/>
      <c r="H2223" s="28"/>
      <c r="I2223" s="28"/>
      <c r="J2223" s="28"/>
      <c r="K2223" s="28"/>
      <c r="L2223" s="28"/>
      <c r="M2223" s="28"/>
    </row>
    <row r="2224">
      <c r="A2224" s="28"/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</row>
    <row r="2225">
      <c r="A2225" s="28"/>
      <c r="B2225" s="28"/>
      <c r="C2225" s="28"/>
      <c r="D2225" s="28"/>
      <c r="E2225" s="28"/>
      <c r="F2225" s="28"/>
      <c r="G2225" s="28"/>
      <c r="H2225" s="28"/>
      <c r="I2225" s="28"/>
      <c r="J2225" s="28"/>
      <c r="K2225" s="28"/>
      <c r="L2225" s="28"/>
      <c r="M2225" s="28"/>
    </row>
    <row r="2226">
      <c r="A2226" s="28"/>
      <c r="B2226" s="28"/>
      <c r="C2226" s="28"/>
      <c r="D2226" s="28"/>
      <c r="E2226" s="28"/>
      <c r="F2226" s="28"/>
      <c r="G2226" s="28"/>
      <c r="H2226" s="28"/>
      <c r="I2226" s="28"/>
      <c r="J2226" s="28"/>
      <c r="K2226" s="28"/>
      <c r="L2226" s="28"/>
      <c r="M2226" s="28"/>
    </row>
    <row r="2227">
      <c r="A2227" s="28"/>
      <c r="B2227" s="28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</row>
    <row r="2228">
      <c r="A2228" s="28"/>
      <c r="B2228" s="28"/>
      <c r="C2228" s="28"/>
      <c r="D2228" s="28"/>
      <c r="E2228" s="28"/>
      <c r="F2228" s="28"/>
      <c r="G2228" s="28"/>
      <c r="H2228" s="28"/>
      <c r="I2228" s="28"/>
      <c r="J2228" s="28"/>
      <c r="K2228" s="28"/>
      <c r="L2228" s="28"/>
      <c r="M2228" s="28"/>
    </row>
    <row r="2229">
      <c r="A2229" s="28"/>
      <c r="B2229" s="28"/>
      <c r="C2229" s="28"/>
      <c r="D2229" s="28"/>
      <c r="E2229" s="28"/>
      <c r="F2229" s="28"/>
      <c r="G2229" s="28"/>
      <c r="H2229" s="28"/>
      <c r="I2229" s="28"/>
      <c r="J2229" s="28"/>
      <c r="K2229" s="28"/>
      <c r="L2229" s="28"/>
      <c r="M2229" s="28"/>
    </row>
    <row r="2230">
      <c r="A2230" s="28"/>
      <c r="B2230" s="28"/>
      <c r="C2230" s="28"/>
      <c r="D2230" s="28"/>
      <c r="E2230" s="28"/>
      <c r="F2230" s="28"/>
      <c r="G2230" s="28"/>
      <c r="H2230" s="28"/>
      <c r="I2230" s="28"/>
      <c r="J2230" s="28"/>
      <c r="K2230" s="28"/>
      <c r="L2230" s="28"/>
      <c r="M2230" s="28"/>
    </row>
    <row r="2231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</row>
    <row r="2232">
      <c r="A2232" s="28"/>
      <c r="B2232" s="28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</row>
    <row r="2233">
      <c r="A2233" s="28"/>
      <c r="B2233" s="28"/>
      <c r="C2233" s="28"/>
      <c r="D2233" s="28"/>
      <c r="E2233" s="28"/>
      <c r="F2233" s="28"/>
      <c r="G2233" s="28"/>
      <c r="H2233" s="28"/>
      <c r="I2233" s="28"/>
      <c r="J2233" s="28"/>
      <c r="K2233" s="28"/>
      <c r="L2233" s="28"/>
      <c r="M2233" s="28"/>
    </row>
    <row r="2234">
      <c r="A2234" s="28"/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</row>
    <row r="2235">
      <c r="A2235" s="28"/>
      <c r="B2235" s="28"/>
      <c r="C2235" s="28"/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</row>
    <row r="2236">
      <c r="A2236" s="28"/>
      <c r="B2236" s="28"/>
      <c r="C2236" s="28"/>
      <c r="D2236" s="28"/>
      <c r="E2236" s="28"/>
      <c r="F2236" s="28"/>
      <c r="G2236" s="28"/>
      <c r="H2236" s="28"/>
      <c r="I2236" s="28"/>
      <c r="J2236" s="28"/>
      <c r="K2236" s="28"/>
      <c r="L2236" s="28"/>
      <c r="M2236" s="28"/>
    </row>
    <row r="2237">
      <c r="A2237" s="28"/>
      <c r="B2237" s="28"/>
      <c r="C2237" s="28"/>
      <c r="D2237" s="28"/>
      <c r="E2237" s="28"/>
      <c r="F2237" s="28"/>
      <c r="G2237" s="28"/>
      <c r="H2237" s="28"/>
      <c r="I2237" s="28"/>
      <c r="J2237" s="28"/>
      <c r="K2237" s="28"/>
      <c r="L2237" s="28"/>
      <c r="M2237" s="28"/>
    </row>
    <row r="2238">
      <c r="A2238" s="28"/>
      <c r="B2238" s="28"/>
      <c r="C2238" s="28"/>
      <c r="D2238" s="28"/>
      <c r="E2238" s="28"/>
      <c r="F2238" s="28"/>
      <c r="G2238" s="28"/>
      <c r="H2238" s="28"/>
      <c r="I2238" s="28"/>
      <c r="J2238" s="28"/>
      <c r="K2238" s="28"/>
      <c r="L2238" s="28"/>
      <c r="M2238" s="28"/>
    </row>
    <row r="2239">
      <c r="A2239" s="28"/>
      <c r="B2239" s="28"/>
      <c r="C2239" s="28"/>
      <c r="D2239" s="28"/>
      <c r="E2239" s="28"/>
      <c r="F2239" s="28"/>
      <c r="G2239" s="28"/>
      <c r="H2239" s="28"/>
      <c r="I2239" s="28"/>
      <c r="J2239" s="28"/>
      <c r="K2239" s="28"/>
      <c r="L2239" s="28"/>
      <c r="M2239" s="28"/>
    </row>
    <row r="2240">
      <c r="A2240" s="28"/>
      <c r="B2240" s="28"/>
      <c r="C2240" s="28"/>
      <c r="D2240" s="28"/>
      <c r="E2240" s="28"/>
      <c r="F2240" s="28"/>
      <c r="G2240" s="28"/>
      <c r="H2240" s="28"/>
      <c r="I2240" s="28"/>
      <c r="J2240" s="28"/>
      <c r="K2240" s="28"/>
      <c r="L2240" s="28"/>
      <c r="M2240" s="28"/>
    </row>
    <row r="2241">
      <c r="A2241" s="28"/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</row>
    <row r="2242">
      <c r="A2242" s="28"/>
      <c r="B2242" s="28"/>
      <c r="C2242" s="28"/>
      <c r="D2242" s="28"/>
      <c r="E2242" s="28"/>
      <c r="F2242" s="28"/>
      <c r="G2242" s="28"/>
      <c r="H2242" s="28"/>
      <c r="I2242" s="28"/>
      <c r="J2242" s="28"/>
      <c r="K2242" s="28"/>
      <c r="L2242" s="28"/>
      <c r="M2242" s="28"/>
    </row>
    <row r="2243">
      <c r="A2243" s="28"/>
      <c r="B2243" s="28"/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</row>
    <row r="2244">
      <c r="A2244" s="28"/>
      <c r="B2244" s="28"/>
      <c r="C2244" s="28"/>
      <c r="D2244" s="28"/>
      <c r="E2244" s="28"/>
      <c r="F2244" s="28"/>
      <c r="G2244" s="28"/>
      <c r="H2244" s="28"/>
      <c r="I2244" s="28"/>
      <c r="J2244" s="28"/>
      <c r="K2244" s="28"/>
      <c r="L2244" s="28"/>
      <c r="M2244" s="28"/>
    </row>
    <row r="2245">
      <c r="A2245" s="28"/>
      <c r="B2245" s="28"/>
      <c r="C2245" s="28"/>
      <c r="D2245" s="28"/>
      <c r="E2245" s="28"/>
      <c r="F2245" s="28"/>
      <c r="G2245" s="28"/>
      <c r="H2245" s="28"/>
      <c r="I2245" s="28"/>
      <c r="J2245" s="28"/>
      <c r="K2245" s="28"/>
      <c r="L2245" s="28"/>
      <c r="M2245" s="28"/>
    </row>
    <row r="2246">
      <c r="A2246" s="28"/>
      <c r="B2246" s="28"/>
      <c r="C2246" s="28"/>
      <c r="D2246" s="28"/>
      <c r="E2246" s="28"/>
      <c r="F2246" s="28"/>
      <c r="G2246" s="28"/>
      <c r="H2246" s="28"/>
      <c r="I2246" s="28"/>
      <c r="J2246" s="28"/>
      <c r="K2246" s="28"/>
      <c r="L2246" s="28"/>
      <c r="M2246" s="28"/>
    </row>
    <row r="2247">
      <c r="A2247" s="28"/>
      <c r="B2247" s="28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</row>
    <row r="2248">
      <c r="A2248" s="28"/>
      <c r="B2248" s="28"/>
      <c r="C2248" s="28"/>
      <c r="D2248" s="28"/>
      <c r="E2248" s="28"/>
      <c r="F2248" s="28"/>
      <c r="G2248" s="28"/>
      <c r="H2248" s="28"/>
      <c r="I2248" s="28"/>
      <c r="J2248" s="28"/>
      <c r="K2248" s="28"/>
      <c r="L2248" s="28"/>
      <c r="M2248" s="28"/>
    </row>
    <row r="2249">
      <c r="A2249" s="28"/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</row>
    <row r="2250">
      <c r="A2250" s="28"/>
      <c r="B2250" s="28"/>
      <c r="C2250" s="28"/>
      <c r="D2250" s="28"/>
      <c r="E2250" s="28"/>
      <c r="F2250" s="28"/>
      <c r="G2250" s="28"/>
      <c r="H2250" s="28"/>
      <c r="I2250" s="28"/>
      <c r="J2250" s="28"/>
      <c r="K2250" s="28"/>
      <c r="L2250" s="28"/>
      <c r="M2250" s="28"/>
    </row>
    <row r="2251">
      <c r="A2251" s="28"/>
      <c r="B2251" s="28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</row>
    <row r="2252">
      <c r="A2252" s="28"/>
      <c r="B2252" s="28"/>
      <c r="C2252" s="28"/>
      <c r="D2252" s="28"/>
      <c r="E2252" s="28"/>
      <c r="F2252" s="28"/>
      <c r="G2252" s="28"/>
      <c r="H2252" s="28"/>
      <c r="I2252" s="28"/>
      <c r="J2252" s="28"/>
      <c r="K2252" s="28"/>
      <c r="L2252" s="28"/>
      <c r="M2252" s="28"/>
    </row>
    <row r="2253">
      <c r="A2253" s="28"/>
      <c r="B2253" s="28"/>
      <c r="C2253" s="28"/>
      <c r="D2253" s="28"/>
      <c r="E2253" s="28"/>
      <c r="F2253" s="28"/>
      <c r="G2253" s="28"/>
      <c r="H2253" s="28"/>
      <c r="I2253" s="28"/>
      <c r="J2253" s="28"/>
      <c r="K2253" s="28"/>
      <c r="L2253" s="28"/>
      <c r="M2253" s="28"/>
    </row>
    <row r="2254">
      <c r="A2254" s="28"/>
      <c r="B2254" s="28"/>
      <c r="C2254" s="28"/>
      <c r="D2254" s="28"/>
      <c r="E2254" s="28"/>
      <c r="F2254" s="28"/>
      <c r="G2254" s="28"/>
      <c r="H2254" s="28"/>
      <c r="I2254" s="28"/>
      <c r="J2254" s="28"/>
      <c r="K2254" s="28"/>
      <c r="L2254" s="28"/>
      <c r="M2254" s="28"/>
    </row>
    <row r="2255">
      <c r="A2255" s="28"/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</row>
    <row r="2256">
      <c r="A2256" s="28"/>
      <c r="B2256" s="28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</row>
    <row r="2257">
      <c r="A2257" s="28"/>
      <c r="B2257" s="28"/>
      <c r="C2257" s="2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</row>
    <row r="2258">
      <c r="A2258" s="28"/>
      <c r="B2258" s="28"/>
      <c r="C2258" s="28"/>
      <c r="D2258" s="28"/>
      <c r="E2258" s="28"/>
      <c r="F2258" s="28"/>
      <c r="G2258" s="28"/>
      <c r="H2258" s="28"/>
      <c r="I2258" s="28"/>
      <c r="J2258" s="28"/>
      <c r="K2258" s="28"/>
      <c r="L2258" s="28"/>
      <c r="M2258" s="28"/>
    </row>
    <row r="2259">
      <c r="A2259" s="28"/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</row>
    <row r="2260">
      <c r="A2260" s="28"/>
      <c r="B2260" s="28"/>
      <c r="C2260" s="28"/>
      <c r="D2260" s="28"/>
      <c r="E2260" s="28"/>
      <c r="F2260" s="28"/>
      <c r="G2260" s="28"/>
      <c r="H2260" s="28"/>
      <c r="I2260" s="28"/>
      <c r="J2260" s="28"/>
      <c r="K2260" s="28"/>
      <c r="L2260" s="28"/>
      <c r="M2260" s="28"/>
    </row>
    <row r="2261">
      <c r="A2261" s="28"/>
      <c r="B2261" s="28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</row>
    <row r="2262">
      <c r="A2262" s="28"/>
      <c r="B2262" s="28"/>
      <c r="C2262" s="28"/>
      <c r="D2262" s="28"/>
      <c r="E2262" s="28"/>
      <c r="F2262" s="28"/>
      <c r="G2262" s="28"/>
      <c r="H2262" s="28"/>
      <c r="I2262" s="28"/>
      <c r="J2262" s="28"/>
      <c r="K2262" s="28"/>
      <c r="L2262" s="28"/>
      <c r="M2262" s="28"/>
    </row>
    <row r="2263">
      <c r="A2263" s="28"/>
      <c r="B2263" s="28"/>
      <c r="C2263" s="28"/>
      <c r="D2263" s="28"/>
      <c r="E2263" s="28"/>
      <c r="F2263" s="28"/>
      <c r="G2263" s="28"/>
      <c r="H2263" s="28"/>
      <c r="I2263" s="28"/>
      <c r="J2263" s="28"/>
      <c r="K2263" s="28"/>
      <c r="L2263" s="28"/>
      <c r="M2263" s="28"/>
    </row>
    <row r="2264">
      <c r="A2264" s="28"/>
      <c r="B2264" s="28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</row>
    <row r="2265">
      <c r="A2265" s="28"/>
      <c r="B2265" s="28"/>
      <c r="C2265" s="28"/>
      <c r="D2265" s="28"/>
      <c r="E2265" s="28"/>
      <c r="F2265" s="28"/>
      <c r="G2265" s="28"/>
      <c r="H2265" s="28"/>
      <c r="I2265" s="28"/>
      <c r="J2265" s="28"/>
      <c r="K2265" s="28"/>
      <c r="L2265" s="28"/>
      <c r="M2265" s="28"/>
    </row>
    <row r="2266">
      <c r="A2266" s="28"/>
      <c r="B2266" s="28"/>
      <c r="C2266" s="28"/>
      <c r="D2266" s="28"/>
      <c r="E2266" s="28"/>
      <c r="F2266" s="28"/>
      <c r="G2266" s="28"/>
      <c r="H2266" s="28"/>
      <c r="I2266" s="28"/>
      <c r="J2266" s="28"/>
      <c r="K2266" s="28"/>
      <c r="L2266" s="28"/>
      <c r="M2266" s="28"/>
    </row>
    <row r="2267">
      <c r="A2267" s="28"/>
      <c r="B2267" s="28"/>
      <c r="C2267" s="28"/>
      <c r="D2267" s="28"/>
      <c r="E2267" s="28"/>
      <c r="F2267" s="28"/>
      <c r="G2267" s="28"/>
      <c r="H2267" s="28"/>
      <c r="I2267" s="28"/>
      <c r="J2267" s="28"/>
      <c r="K2267" s="28"/>
      <c r="L2267" s="28"/>
      <c r="M2267" s="28"/>
    </row>
    <row r="2268">
      <c r="A2268" s="28"/>
      <c r="B2268" s="28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</row>
    <row r="2269">
      <c r="A2269" s="28"/>
      <c r="B2269" s="28"/>
      <c r="C2269" s="28"/>
      <c r="D2269" s="28"/>
      <c r="E2269" s="28"/>
      <c r="F2269" s="28"/>
      <c r="G2269" s="28"/>
      <c r="H2269" s="28"/>
      <c r="I2269" s="28"/>
      <c r="J2269" s="28"/>
      <c r="K2269" s="28"/>
      <c r="L2269" s="28"/>
      <c r="M2269" s="28"/>
    </row>
    <row r="2270">
      <c r="A2270" s="28"/>
      <c r="B2270" s="28"/>
      <c r="C2270" s="28"/>
      <c r="D2270" s="28"/>
      <c r="E2270" s="28"/>
      <c r="F2270" s="28"/>
      <c r="G2270" s="28"/>
      <c r="H2270" s="28"/>
      <c r="I2270" s="28"/>
      <c r="J2270" s="28"/>
      <c r="K2270" s="28"/>
      <c r="L2270" s="28"/>
      <c r="M2270" s="28"/>
    </row>
    <row r="2271">
      <c r="A2271" s="28"/>
      <c r="B2271" s="28"/>
      <c r="C2271" s="28"/>
      <c r="D2271" s="28"/>
      <c r="E2271" s="28"/>
      <c r="F2271" s="28"/>
      <c r="G2271" s="28"/>
      <c r="H2271" s="28"/>
      <c r="I2271" s="28"/>
      <c r="J2271" s="28"/>
      <c r="K2271" s="28"/>
      <c r="L2271" s="28"/>
      <c r="M2271" s="28"/>
    </row>
    <row r="2272">
      <c r="A2272" s="28"/>
      <c r="B2272" s="28"/>
      <c r="C2272" s="28"/>
      <c r="D2272" s="28"/>
      <c r="E2272" s="28"/>
      <c r="F2272" s="28"/>
      <c r="G2272" s="28"/>
      <c r="H2272" s="28"/>
      <c r="I2272" s="28"/>
      <c r="J2272" s="28"/>
      <c r="K2272" s="28"/>
      <c r="L2272" s="28"/>
      <c r="M2272" s="28"/>
    </row>
    <row r="2273">
      <c r="A2273" s="28"/>
      <c r="B2273" s="28"/>
      <c r="C2273" s="28"/>
      <c r="D2273" s="28"/>
      <c r="E2273" s="28"/>
      <c r="F2273" s="28"/>
      <c r="G2273" s="28"/>
      <c r="H2273" s="28"/>
      <c r="I2273" s="28"/>
      <c r="J2273" s="28"/>
      <c r="K2273" s="28"/>
      <c r="L2273" s="28"/>
      <c r="M2273" s="28"/>
    </row>
    <row r="2274">
      <c r="A2274" s="28"/>
      <c r="B2274" s="28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</row>
    <row r="2275">
      <c r="A2275" s="28"/>
      <c r="B2275" s="28"/>
      <c r="C2275" s="28"/>
      <c r="D2275" s="28"/>
      <c r="E2275" s="28"/>
      <c r="F2275" s="28"/>
      <c r="G2275" s="28"/>
      <c r="H2275" s="28"/>
      <c r="I2275" s="28"/>
      <c r="J2275" s="28"/>
      <c r="K2275" s="28"/>
      <c r="L2275" s="28"/>
      <c r="M2275" s="28"/>
    </row>
    <row r="2276">
      <c r="A2276" s="28"/>
      <c r="B2276" s="28"/>
      <c r="C2276" s="28"/>
      <c r="D2276" s="28"/>
      <c r="E2276" s="28"/>
      <c r="F2276" s="28"/>
      <c r="G2276" s="28"/>
      <c r="H2276" s="28"/>
      <c r="I2276" s="28"/>
      <c r="J2276" s="28"/>
      <c r="K2276" s="28"/>
      <c r="L2276" s="28"/>
      <c r="M2276" s="28"/>
    </row>
    <row r="2277">
      <c r="A2277" s="28"/>
      <c r="B2277" s="28"/>
      <c r="C2277" s="28"/>
      <c r="D2277" s="28"/>
      <c r="E2277" s="28"/>
      <c r="F2277" s="28"/>
      <c r="G2277" s="28"/>
      <c r="H2277" s="28"/>
      <c r="I2277" s="28"/>
      <c r="J2277" s="28"/>
      <c r="K2277" s="28"/>
      <c r="L2277" s="28"/>
      <c r="M2277" s="28"/>
    </row>
    <row r="2278">
      <c r="A2278" s="28"/>
      <c r="B2278" s="28"/>
      <c r="C2278" s="28"/>
      <c r="D2278" s="28"/>
      <c r="E2278" s="28"/>
      <c r="F2278" s="28"/>
      <c r="G2278" s="28"/>
      <c r="H2278" s="28"/>
      <c r="I2278" s="28"/>
      <c r="J2278" s="28"/>
      <c r="K2278" s="28"/>
      <c r="L2278" s="28"/>
      <c r="M2278" s="28"/>
    </row>
    <row r="2279">
      <c r="A2279" s="28"/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</row>
    <row r="2280">
      <c r="A2280" s="28"/>
      <c r="B2280" s="28"/>
      <c r="C2280" s="28"/>
      <c r="D2280" s="28"/>
      <c r="E2280" s="28"/>
      <c r="F2280" s="28"/>
      <c r="G2280" s="28"/>
      <c r="H2280" s="28"/>
      <c r="I2280" s="28"/>
      <c r="J2280" s="28"/>
      <c r="K2280" s="28"/>
      <c r="L2280" s="28"/>
      <c r="M2280" s="28"/>
    </row>
    <row r="2281">
      <c r="A2281" s="28"/>
      <c r="B2281" s="28"/>
      <c r="C2281" s="28"/>
      <c r="D2281" s="28"/>
      <c r="E2281" s="28"/>
      <c r="F2281" s="28"/>
      <c r="G2281" s="28"/>
      <c r="H2281" s="28"/>
      <c r="I2281" s="28"/>
      <c r="J2281" s="28"/>
      <c r="K2281" s="28"/>
      <c r="L2281" s="28"/>
      <c r="M2281" s="28"/>
    </row>
    <row r="2282">
      <c r="A2282" s="28"/>
      <c r="B2282" s="28"/>
      <c r="C2282" s="28"/>
      <c r="D2282" s="28"/>
      <c r="E2282" s="28"/>
      <c r="F2282" s="28"/>
      <c r="G2282" s="28"/>
      <c r="H2282" s="28"/>
      <c r="I2282" s="28"/>
      <c r="J2282" s="28"/>
      <c r="K2282" s="28"/>
      <c r="L2282" s="28"/>
      <c r="M2282" s="28"/>
    </row>
    <row r="2283">
      <c r="A2283" s="28"/>
      <c r="B2283" s="28"/>
      <c r="C2283" s="28"/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</row>
    <row r="2284">
      <c r="A2284" s="28"/>
      <c r="B2284" s="28"/>
      <c r="C2284" s="28"/>
      <c r="D2284" s="28"/>
      <c r="E2284" s="28"/>
      <c r="F2284" s="28"/>
      <c r="G2284" s="28"/>
      <c r="H2284" s="28"/>
      <c r="I2284" s="28"/>
      <c r="J2284" s="28"/>
      <c r="K2284" s="28"/>
      <c r="L2284" s="28"/>
      <c r="M2284" s="28"/>
    </row>
    <row r="2285">
      <c r="A2285" s="28"/>
      <c r="B2285" s="28"/>
      <c r="C2285" s="28"/>
      <c r="D2285" s="28"/>
      <c r="E2285" s="28"/>
      <c r="F2285" s="28"/>
      <c r="G2285" s="28"/>
      <c r="H2285" s="28"/>
      <c r="I2285" s="28"/>
      <c r="J2285" s="28"/>
      <c r="K2285" s="28"/>
      <c r="L2285" s="28"/>
      <c r="M2285" s="28"/>
    </row>
    <row r="2286">
      <c r="A2286" s="28"/>
      <c r="B2286" s="28"/>
      <c r="C2286" s="28"/>
      <c r="D2286" s="28"/>
      <c r="E2286" s="28"/>
      <c r="F2286" s="28"/>
      <c r="G2286" s="28"/>
      <c r="H2286" s="28"/>
      <c r="I2286" s="28"/>
      <c r="J2286" s="28"/>
      <c r="K2286" s="28"/>
      <c r="L2286" s="28"/>
      <c r="M2286" s="28"/>
    </row>
    <row r="2287">
      <c r="A2287" s="28"/>
      <c r="B2287" s="28"/>
      <c r="C2287" s="28"/>
      <c r="D2287" s="28"/>
      <c r="E2287" s="28"/>
      <c r="F2287" s="28"/>
      <c r="G2287" s="28"/>
      <c r="H2287" s="28"/>
      <c r="I2287" s="28"/>
      <c r="J2287" s="28"/>
      <c r="K2287" s="28"/>
      <c r="L2287" s="28"/>
      <c r="M2287" s="28"/>
    </row>
    <row r="2288">
      <c r="A2288" s="28"/>
      <c r="B2288" s="28"/>
      <c r="C2288" s="28"/>
      <c r="D2288" s="28"/>
      <c r="E2288" s="28"/>
      <c r="F2288" s="28"/>
      <c r="G2288" s="28"/>
      <c r="H2288" s="28"/>
      <c r="I2288" s="28"/>
      <c r="J2288" s="28"/>
      <c r="K2288" s="28"/>
      <c r="L2288" s="28"/>
      <c r="M2288" s="28"/>
    </row>
    <row r="2289">
      <c r="A2289" s="28"/>
      <c r="B2289" s="28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</row>
    <row r="2290">
      <c r="A2290" s="28"/>
      <c r="B2290" s="28"/>
      <c r="C2290" s="28"/>
      <c r="D2290" s="28"/>
      <c r="E2290" s="28"/>
      <c r="F2290" s="28"/>
      <c r="G2290" s="28"/>
      <c r="H2290" s="28"/>
      <c r="I2290" s="28"/>
      <c r="J2290" s="28"/>
      <c r="K2290" s="28"/>
      <c r="L2290" s="28"/>
      <c r="M2290" s="28"/>
    </row>
    <row r="2291">
      <c r="A2291" s="28"/>
      <c r="B2291" s="28"/>
      <c r="C2291" s="28"/>
      <c r="D2291" s="28"/>
      <c r="E2291" s="28"/>
      <c r="F2291" s="28"/>
      <c r="G2291" s="28"/>
      <c r="H2291" s="28"/>
      <c r="I2291" s="28"/>
      <c r="J2291" s="28"/>
      <c r="K2291" s="28"/>
      <c r="L2291" s="28"/>
      <c r="M2291" s="28"/>
    </row>
    <row r="2292">
      <c r="A2292" s="28"/>
      <c r="B2292" s="28"/>
      <c r="C2292" s="28"/>
      <c r="D2292" s="28"/>
      <c r="E2292" s="28"/>
      <c r="F2292" s="28"/>
      <c r="G2292" s="28"/>
      <c r="H2292" s="28"/>
      <c r="I2292" s="28"/>
      <c r="J2292" s="28"/>
      <c r="K2292" s="28"/>
      <c r="L2292" s="28"/>
      <c r="M2292" s="28"/>
    </row>
    <row r="2293">
      <c r="A2293" s="28"/>
      <c r="B2293" s="28"/>
      <c r="C2293" s="28"/>
      <c r="D2293" s="28"/>
      <c r="E2293" s="28"/>
      <c r="F2293" s="28"/>
      <c r="G2293" s="28"/>
      <c r="H2293" s="28"/>
      <c r="I2293" s="28"/>
      <c r="J2293" s="28"/>
      <c r="K2293" s="28"/>
      <c r="L2293" s="28"/>
      <c r="M2293" s="28"/>
    </row>
    <row r="2294">
      <c r="A2294" s="28"/>
      <c r="B2294" s="28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</row>
    <row r="2295">
      <c r="A2295" s="28"/>
      <c r="B2295" s="28"/>
      <c r="C2295" s="28"/>
      <c r="D2295" s="28"/>
      <c r="E2295" s="28"/>
      <c r="F2295" s="28"/>
      <c r="G2295" s="28"/>
      <c r="H2295" s="28"/>
      <c r="I2295" s="28"/>
      <c r="J2295" s="28"/>
      <c r="K2295" s="28"/>
      <c r="L2295" s="28"/>
      <c r="M2295" s="28"/>
    </row>
    <row r="2296">
      <c r="A2296" s="28"/>
      <c r="B2296" s="28"/>
      <c r="C2296" s="28"/>
      <c r="D2296" s="28"/>
      <c r="E2296" s="28"/>
      <c r="F2296" s="28"/>
      <c r="G2296" s="28"/>
      <c r="H2296" s="28"/>
      <c r="I2296" s="28"/>
      <c r="J2296" s="28"/>
      <c r="K2296" s="28"/>
      <c r="L2296" s="28"/>
      <c r="M2296" s="28"/>
    </row>
    <row r="2297">
      <c r="A2297" s="28"/>
      <c r="B2297" s="28"/>
      <c r="C2297" s="28"/>
      <c r="D2297" s="28"/>
      <c r="E2297" s="28"/>
      <c r="F2297" s="28"/>
      <c r="G2297" s="28"/>
      <c r="H2297" s="28"/>
      <c r="I2297" s="28"/>
      <c r="J2297" s="28"/>
      <c r="K2297" s="28"/>
      <c r="L2297" s="28"/>
      <c r="M2297" s="28"/>
    </row>
    <row r="2298">
      <c r="A2298" s="28"/>
      <c r="B2298" s="28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</row>
    <row r="2299">
      <c r="A2299" s="28"/>
      <c r="B2299" s="28"/>
      <c r="C2299" s="28"/>
      <c r="D2299" s="28"/>
      <c r="E2299" s="28"/>
      <c r="F2299" s="28"/>
      <c r="G2299" s="28"/>
      <c r="H2299" s="28"/>
      <c r="I2299" s="28"/>
      <c r="J2299" s="28"/>
      <c r="K2299" s="28"/>
      <c r="L2299" s="28"/>
      <c r="M2299" s="28"/>
    </row>
    <row r="2300">
      <c r="A2300" s="28"/>
      <c r="B2300" s="28"/>
      <c r="C2300" s="28"/>
      <c r="D2300" s="28"/>
      <c r="E2300" s="28"/>
      <c r="F2300" s="28"/>
      <c r="G2300" s="28"/>
      <c r="H2300" s="28"/>
      <c r="I2300" s="28"/>
      <c r="J2300" s="28"/>
      <c r="K2300" s="28"/>
      <c r="L2300" s="28"/>
      <c r="M2300" s="28"/>
    </row>
    <row r="2301">
      <c r="A2301" s="28"/>
      <c r="B2301" s="28"/>
      <c r="C2301" s="28"/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</row>
    <row r="2302">
      <c r="A2302" s="28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</row>
    <row r="2303">
      <c r="A2303" s="28"/>
      <c r="B2303" s="28"/>
      <c r="C2303" s="28"/>
      <c r="D2303" s="28"/>
      <c r="E2303" s="28"/>
      <c r="F2303" s="28"/>
      <c r="G2303" s="28"/>
      <c r="H2303" s="28"/>
      <c r="I2303" s="28"/>
      <c r="J2303" s="28"/>
      <c r="K2303" s="28"/>
      <c r="L2303" s="28"/>
      <c r="M2303" s="28"/>
    </row>
    <row r="2304">
      <c r="A2304" s="28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</row>
    <row r="2305">
      <c r="A2305" s="28"/>
      <c r="B2305" s="28"/>
      <c r="C2305" s="28"/>
      <c r="D2305" s="28"/>
      <c r="E2305" s="28"/>
      <c r="F2305" s="28"/>
      <c r="G2305" s="28"/>
      <c r="H2305" s="28"/>
      <c r="I2305" s="28"/>
      <c r="J2305" s="28"/>
      <c r="K2305" s="28"/>
      <c r="L2305" s="28"/>
      <c r="M2305" s="28"/>
    </row>
    <row r="2306">
      <c r="A2306" s="28"/>
      <c r="B2306" s="28"/>
      <c r="C2306" s="28"/>
      <c r="D2306" s="28"/>
      <c r="E2306" s="28"/>
      <c r="F2306" s="28"/>
      <c r="G2306" s="28"/>
      <c r="H2306" s="28"/>
      <c r="I2306" s="28"/>
      <c r="J2306" s="28"/>
      <c r="K2306" s="28"/>
      <c r="L2306" s="28"/>
      <c r="M2306" s="28"/>
    </row>
    <row r="2307">
      <c r="A2307" s="28"/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</row>
    <row r="2308">
      <c r="A2308" s="28"/>
      <c r="B2308" s="28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</row>
    <row r="2309">
      <c r="A2309" s="28"/>
      <c r="B2309" s="28"/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</row>
    <row r="2310">
      <c r="A2310" s="28"/>
      <c r="B2310" s="28"/>
      <c r="C2310" s="28"/>
      <c r="D2310" s="28"/>
      <c r="E2310" s="28"/>
      <c r="F2310" s="28"/>
      <c r="G2310" s="28"/>
      <c r="H2310" s="28"/>
      <c r="I2310" s="28"/>
      <c r="J2310" s="28"/>
      <c r="K2310" s="28"/>
      <c r="L2310" s="28"/>
      <c r="M2310" s="28"/>
    </row>
    <row r="2311">
      <c r="A2311" s="28"/>
      <c r="B2311" s="28"/>
      <c r="C2311" s="28"/>
      <c r="D2311" s="28"/>
      <c r="E2311" s="28"/>
      <c r="F2311" s="28"/>
      <c r="G2311" s="28"/>
      <c r="H2311" s="28"/>
      <c r="I2311" s="28"/>
      <c r="J2311" s="28"/>
      <c r="K2311" s="28"/>
      <c r="L2311" s="28"/>
      <c r="M2311" s="28"/>
    </row>
    <row r="2312">
      <c r="A2312" s="28"/>
      <c r="B2312" s="28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</row>
    <row r="2313">
      <c r="A2313" s="28"/>
      <c r="B2313" s="28"/>
      <c r="C2313" s="28"/>
      <c r="D2313" s="28"/>
      <c r="E2313" s="28"/>
      <c r="F2313" s="28"/>
      <c r="G2313" s="28"/>
      <c r="H2313" s="28"/>
      <c r="I2313" s="28"/>
      <c r="J2313" s="28"/>
      <c r="K2313" s="28"/>
      <c r="L2313" s="28"/>
      <c r="M2313" s="28"/>
    </row>
    <row r="2314">
      <c r="A2314" s="28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</row>
    <row r="2315">
      <c r="A2315" s="28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</row>
    <row r="2316">
      <c r="A2316" s="28"/>
      <c r="B2316" s="28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</row>
    <row r="2317">
      <c r="A2317" s="28"/>
      <c r="B2317" s="28"/>
      <c r="C2317" s="28"/>
      <c r="D2317" s="28"/>
      <c r="E2317" s="28"/>
      <c r="F2317" s="28"/>
      <c r="G2317" s="28"/>
      <c r="H2317" s="28"/>
      <c r="I2317" s="28"/>
      <c r="J2317" s="28"/>
      <c r="K2317" s="28"/>
      <c r="L2317" s="28"/>
      <c r="M2317" s="28"/>
    </row>
    <row r="2318">
      <c r="A2318" s="28"/>
      <c r="B2318" s="28"/>
      <c r="C2318" s="2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</row>
    <row r="2319">
      <c r="A2319" s="28"/>
      <c r="B2319" s="28"/>
      <c r="C2319" s="28"/>
      <c r="D2319" s="28"/>
      <c r="E2319" s="28"/>
      <c r="F2319" s="28"/>
      <c r="G2319" s="28"/>
      <c r="H2319" s="28"/>
      <c r="I2319" s="28"/>
      <c r="J2319" s="28"/>
      <c r="K2319" s="28"/>
      <c r="L2319" s="28"/>
      <c r="M2319" s="28"/>
    </row>
    <row r="2320">
      <c r="A2320" s="28"/>
      <c r="B2320" s="28"/>
      <c r="C2320" s="28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</row>
    <row r="2321">
      <c r="A2321" s="28"/>
      <c r="B2321" s="28"/>
      <c r="C2321" s="28"/>
      <c r="D2321" s="28"/>
      <c r="E2321" s="28"/>
      <c r="F2321" s="28"/>
      <c r="G2321" s="28"/>
      <c r="H2321" s="28"/>
      <c r="I2321" s="28"/>
      <c r="J2321" s="28"/>
      <c r="K2321" s="28"/>
      <c r="L2321" s="28"/>
      <c r="M2321" s="28"/>
    </row>
    <row r="2322">
      <c r="A2322" s="28"/>
      <c r="B2322" s="28"/>
      <c r="C2322" s="28"/>
      <c r="D2322" s="28"/>
      <c r="E2322" s="28"/>
      <c r="F2322" s="28"/>
      <c r="G2322" s="28"/>
      <c r="H2322" s="28"/>
      <c r="I2322" s="28"/>
      <c r="J2322" s="28"/>
      <c r="K2322" s="28"/>
      <c r="L2322" s="28"/>
      <c r="M2322" s="28"/>
    </row>
    <row r="2323">
      <c r="A2323" s="28"/>
      <c r="B2323" s="28"/>
      <c r="C2323" s="28"/>
      <c r="D2323" s="28"/>
      <c r="E2323" s="28"/>
      <c r="F2323" s="28"/>
      <c r="G2323" s="28"/>
      <c r="H2323" s="28"/>
      <c r="I2323" s="28"/>
      <c r="J2323" s="28"/>
      <c r="K2323" s="28"/>
      <c r="L2323" s="28"/>
      <c r="M2323" s="28"/>
    </row>
    <row r="2324">
      <c r="A2324" s="28"/>
      <c r="B2324" s="28"/>
      <c r="C2324" s="28"/>
      <c r="D2324" s="28"/>
      <c r="E2324" s="28"/>
      <c r="F2324" s="28"/>
      <c r="G2324" s="28"/>
      <c r="H2324" s="28"/>
      <c r="I2324" s="28"/>
      <c r="J2324" s="28"/>
      <c r="K2324" s="28"/>
      <c r="L2324" s="28"/>
      <c r="M2324" s="28"/>
    </row>
    <row r="2325">
      <c r="A2325" s="28"/>
      <c r="B2325" s="28"/>
      <c r="C2325" s="28"/>
      <c r="D2325" s="28"/>
      <c r="E2325" s="28"/>
      <c r="F2325" s="28"/>
      <c r="G2325" s="28"/>
      <c r="H2325" s="28"/>
      <c r="I2325" s="28"/>
      <c r="J2325" s="28"/>
      <c r="K2325" s="28"/>
      <c r="L2325" s="28"/>
      <c r="M2325" s="28"/>
    </row>
    <row r="2326">
      <c r="A2326" s="28"/>
      <c r="B2326" s="28"/>
      <c r="C2326" s="28"/>
      <c r="D2326" s="28"/>
      <c r="E2326" s="28"/>
      <c r="F2326" s="28"/>
      <c r="G2326" s="28"/>
      <c r="H2326" s="28"/>
      <c r="I2326" s="28"/>
      <c r="J2326" s="28"/>
      <c r="K2326" s="28"/>
      <c r="L2326" s="28"/>
      <c r="M2326" s="28"/>
    </row>
    <row r="2327">
      <c r="A2327" s="28"/>
      <c r="B2327" s="28"/>
      <c r="C2327" s="28"/>
      <c r="D2327" s="28"/>
      <c r="E2327" s="28"/>
      <c r="F2327" s="28"/>
      <c r="G2327" s="28"/>
      <c r="H2327" s="28"/>
      <c r="I2327" s="28"/>
      <c r="J2327" s="28"/>
      <c r="K2327" s="28"/>
      <c r="L2327" s="28"/>
      <c r="M2327" s="28"/>
    </row>
    <row r="2328">
      <c r="A2328" s="28"/>
      <c r="B2328" s="28"/>
      <c r="C2328" s="28"/>
      <c r="D2328" s="28"/>
      <c r="E2328" s="28"/>
      <c r="F2328" s="28"/>
      <c r="G2328" s="28"/>
      <c r="H2328" s="28"/>
      <c r="I2328" s="28"/>
      <c r="J2328" s="28"/>
      <c r="K2328" s="28"/>
      <c r="L2328" s="28"/>
      <c r="M2328" s="28"/>
    </row>
    <row r="2329">
      <c r="A2329" s="28"/>
      <c r="B2329" s="28"/>
      <c r="C2329" s="28"/>
      <c r="D2329" s="28"/>
      <c r="E2329" s="28"/>
      <c r="F2329" s="28"/>
      <c r="G2329" s="28"/>
      <c r="H2329" s="28"/>
      <c r="I2329" s="28"/>
      <c r="J2329" s="28"/>
      <c r="K2329" s="28"/>
      <c r="L2329" s="28"/>
      <c r="M2329" s="28"/>
    </row>
    <row r="2330">
      <c r="A2330" s="28"/>
      <c r="B2330" s="28"/>
      <c r="C2330" s="28"/>
      <c r="D2330" s="28"/>
      <c r="E2330" s="28"/>
      <c r="F2330" s="28"/>
      <c r="G2330" s="28"/>
      <c r="H2330" s="28"/>
      <c r="I2330" s="28"/>
      <c r="J2330" s="28"/>
      <c r="K2330" s="28"/>
      <c r="L2330" s="28"/>
      <c r="M2330" s="28"/>
    </row>
    <row r="2331">
      <c r="A2331" s="28"/>
      <c r="B2331" s="28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</row>
    <row r="2332">
      <c r="A2332" s="28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</row>
    <row r="2333">
      <c r="A2333" s="28"/>
      <c r="B2333" s="28"/>
      <c r="C2333" s="28"/>
      <c r="D2333" s="28"/>
      <c r="E2333" s="28"/>
      <c r="F2333" s="28"/>
      <c r="G2333" s="28"/>
      <c r="H2333" s="28"/>
      <c r="I2333" s="28"/>
      <c r="J2333" s="28"/>
      <c r="K2333" s="28"/>
      <c r="L2333" s="28"/>
      <c r="M2333" s="28"/>
    </row>
    <row r="2334">
      <c r="A2334" s="28"/>
      <c r="B2334" s="28"/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</row>
    <row r="2335">
      <c r="A2335" s="28"/>
      <c r="B2335" s="28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</row>
    <row r="2336">
      <c r="A2336" s="28"/>
      <c r="B2336" s="28"/>
      <c r="C2336" s="28"/>
      <c r="D2336" s="28"/>
      <c r="E2336" s="28"/>
      <c r="F2336" s="28"/>
      <c r="G2336" s="28"/>
      <c r="H2336" s="28"/>
      <c r="I2336" s="28"/>
      <c r="J2336" s="28"/>
      <c r="K2336" s="28"/>
      <c r="L2336" s="28"/>
      <c r="M2336" s="28"/>
    </row>
    <row r="2337">
      <c r="A2337" s="28"/>
      <c r="B2337" s="28"/>
      <c r="C2337" s="28"/>
      <c r="D2337" s="28"/>
      <c r="E2337" s="28"/>
      <c r="F2337" s="28"/>
      <c r="G2337" s="28"/>
      <c r="H2337" s="28"/>
      <c r="I2337" s="28"/>
      <c r="J2337" s="28"/>
      <c r="K2337" s="28"/>
      <c r="L2337" s="28"/>
      <c r="M2337" s="28"/>
    </row>
    <row r="2338">
      <c r="A2338" s="28"/>
      <c r="B2338" s="28"/>
      <c r="C2338" s="28"/>
      <c r="D2338" s="28"/>
      <c r="E2338" s="28"/>
      <c r="F2338" s="28"/>
      <c r="G2338" s="28"/>
      <c r="H2338" s="28"/>
      <c r="I2338" s="28"/>
      <c r="J2338" s="28"/>
      <c r="K2338" s="28"/>
      <c r="L2338" s="28"/>
      <c r="M2338" s="28"/>
    </row>
    <row r="2339">
      <c r="A2339" s="28"/>
      <c r="B2339" s="28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</row>
    <row r="2340">
      <c r="A2340" s="28"/>
      <c r="B2340" s="28"/>
      <c r="C2340" s="28"/>
      <c r="D2340" s="28"/>
      <c r="E2340" s="28"/>
      <c r="F2340" s="28"/>
      <c r="G2340" s="28"/>
      <c r="H2340" s="28"/>
      <c r="I2340" s="28"/>
      <c r="J2340" s="28"/>
      <c r="K2340" s="28"/>
      <c r="L2340" s="28"/>
      <c r="M2340" s="28"/>
    </row>
    <row r="2341">
      <c r="A2341" s="28"/>
      <c r="B2341" s="28"/>
      <c r="C2341" s="28"/>
      <c r="D2341" s="28"/>
      <c r="E2341" s="28"/>
      <c r="F2341" s="28"/>
      <c r="G2341" s="28"/>
      <c r="H2341" s="28"/>
      <c r="I2341" s="28"/>
      <c r="J2341" s="28"/>
      <c r="K2341" s="28"/>
      <c r="L2341" s="28"/>
      <c r="M2341" s="28"/>
    </row>
    <row r="2342">
      <c r="A2342" s="28"/>
      <c r="B2342" s="28"/>
      <c r="C2342" s="28"/>
      <c r="D2342" s="28"/>
      <c r="E2342" s="28"/>
      <c r="F2342" s="28"/>
      <c r="G2342" s="28"/>
      <c r="H2342" s="28"/>
      <c r="I2342" s="28"/>
      <c r="J2342" s="28"/>
      <c r="K2342" s="28"/>
      <c r="L2342" s="28"/>
      <c r="M2342" s="28"/>
    </row>
    <row r="2343">
      <c r="A2343" s="28"/>
      <c r="B2343" s="28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</row>
    <row r="2344">
      <c r="A2344" s="28"/>
      <c r="B2344" s="28"/>
      <c r="C2344" s="28"/>
      <c r="D2344" s="28"/>
      <c r="E2344" s="28"/>
      <c r="F2344" s="28"/>
      <c r="G2344" s="28"/>
      <c r="H2344" s="28"/>
      <c r="I2344" s="28"/>
      <c r="J2344" s="28"/>
      <c r="K2344" s="28"/>
      <c r="L2344" s="28"/>
      <c r="M2344" s="28"/>
    </row>
    <row r="2345">
      <c r="A2345" s="28"/>
      <c r="B2345" s="28"/>
      <c r="C2345" s="28"/>
      <c r="D2345" s="28"/>
      <c r="E2345" s="28"/>
      <c r="F2345" s="28"/>
      <c r="G2345" s="28"/>
      <c r="H2345" s="28"/>
      <c r="I2345" s="28"/>
      <c r="J2345" s="28"/>
      <c r="K2345" s="28"/>
      <c r="L2345" s="28"/>
      <c r="M2345" s="28"/>
    </row>
    <row r="2346">
      <c r="A2346" s="28"/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</row>
    <row r="2347">
      <c r="A2347" s="28"/>
      <c r="B2347" s="28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</row>
    <row r="2348">
      <c r="A2348" s="28"/>
      <c r="B2348" s="28"/>
      <c r="C2348" s="28"/>
      <c r="D2348" s="28"/>
      <c r="E2348" s="28"/>
      <c r="F2348" s="28"/>
      <c r="G2348" s="28"/>
      <c r="H2348" s="28"/>
      <c r="I2348" s="28"/>
      <c r="J2348" s="28"/>
      <c r="K2348" s="28"/>
      <c r="L2348" s="28"/>
      <c r="M2348" s="28"/>
    </row>
    <row r="2349">
      <c r="A2349" s="28"/>
      <c r="B2349" s="28"/>
      <c r="C2349" s="28"/>
      <c r="D2349" s="28"/>
      <c r="E2349" s="28"/>
      <c r="F2349" s="28"/>
      <c r="G2349" s="28"/>
      <c r="H2349" s="28"/>
      <c r="I2349" s="28"/>
      <c r="J2349" s="28"/>
      <c r="K2349" s="28"/>
      <c r="L2349" s="28"/>
      <c r="M2349" s="28"/>
    </row>
    <row r="2350">
      <c r="A2350" s="28"/>
      <c r="B2350" s="28"/>
      <c r="C2350" s="28"/>
      <c r="D2350" s="28"/>
      <c r="E2350" s="28"/>
      <c r="F2350" s="28"/>
      <c r="G2350" s="28"/>
      <c r="H2350" s="28"/>
      <c r="I2350" s="28"/>
      <c r="J2350" s="28"/>
      <c r="K2350" s="28"/>
      <c r="L2350" s="28"/>
      <c r="M2350" s="28"/>
    </row>
    <row r="2351">
      <c r="A2351" s="28"/>
      <c r="B2351" s="28"/>
      <c r="C2351" s="28"/>
      <c r="D2351" s="28"/>
      <c r="E2351" s="28"/>
      <c r="F2351" s="28"/>
      <c r="G2351" s="28"/>
      <c r="H2351" s="28"/>
      <c r="I2351" s="28"/>
      <c r="J2351" s="28"/>
      <c r="K2351" s="28"/>
      <c r="L2351" s="28"/>
      <c r="M2351" s="28"/>
    </row>
    <row r="2352">
      <c r="A2352" s="28"/>
      <c r="B2352" s="28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</row>
    <row r="2353">
      <c r="A2353" s="28"/>
      <c r="B2353" s="28"/>
      <c r="C2353" s="28"/>
      <c r="D2353" s="28"/>
      <c r="E2353" s="28"/>
      <c r="F2353" s="28"/>
      <c r="G2353" s="28"/>
      <c r="H2353" s="28"/>
      <c r="I2353" s="28"/>
      <c r="J2353" s="28"/>
      <c r="K2353" s="28"/>
      <c r="L2353" s="28"/>
      <c r="M2353" s="28"/>
    </row>
    <row r="2354">
      <c r="A2354" s="28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</row>
    <row r="2355">
      <c r="A2355" s="28"/>
      <c r="B2355" s="28"/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</row>
    <row r="2356">
      <c r="A2356" s="28"/>
      <c r="B2356" s="28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</row>
    <row r="2357">
      <c r="A2357" s="28"/>
      <c r="B2357" s="28"/>
      <c r="C2357" s="28"/>
      <c r="D2357" s="28"/>
      <c r="E2357" s="28"/>
      <c r="F2357" s="28"/>
      <c r="G2357" s="28"/>
      <c r="H2357" s="28"/>
      <c r="I2357" s="28"/>
      <c r="J2357" s="28"/>
      <c r="K2357" s="28"/>
      <c r="L2357" s="28"/>
      <c r="M2357" s="28"/>
    </row>
    <row r="2358">
      <c r="A2358" s="28"/>
      <c r="B2358" s="28"/>
      <c r="C2358" s="28"/>
      <c r="D2358" s="28"/>
      <c r="E2358" s="28"/>
      <c r="F2358" s="28"/>
      <c r="G2358" s="28"/>
      <c r="H2358" s="28"/>
      <c r="I2358" s="28"/>
      <c r="J2358" s="28"/>
      <c r="K2358" s="28"/>
      <c r="L2358" s="28"/>
      <c r="M2358" s="28"/>
    </row>
    <row r="2359">
      <c r="A2359" s="28"/>
      <c r="B2359" s="28"/>
      <c r="C2359" s="28"/>
      <c r="D2359" s="28"/>
      <c r="E2359" s="28"/>
      <c r="F2359" s="28"/>
      <c r="G2359" s="28"/>
      <c r="H2359" s="28"/>
      <c r="I2359" s="28"/>
      <c r="J2359" s="28"/>
      <c r="K2359" s="28"/>
      <c r="L2359" s="28"/>
      <c r="M2359" s="28"/>
    </row>
    <row r="2360">
      <c r="A2360" s="28"/>
      <c r="B2360" s="28"/>
      <c r="C2360" s="28"/>
      <c r="D2360" s="28"/>
      <c r="E2360" s="28"/>
      <c r="F2360" s="28"/>
      <c r="G2360" s="28"/>
      <c r="H2360" s="28"/>
      <c r="I2360" s="28"/>
      <c r="J2360" s="28"/>
      <c r="K2360" s="28"/>
      <c r="L2360" s="28"/>
      <c r="M2360" s="28"/>
    </row>
    <row r="2361">
      <c r="A2361" s="28"/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</row>
    <row r="2362">
      <c r="A2362" s="28"/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</row>
    <row r="2363">
      <c r="A2363" s="28"/>
      <c r="B2363" s="28"/>
      <c r="C2363" s="28"/>
      <c r="D2363" s="28"/>
      <c r="E2363" s="28"/>
      <c r="F2363" s="28"/>
      <c r="G2363" s="28"/>
      <c r="H2363" s="28"/>
      <c r="I2363" s="28"/>
      <c r="J2363" s="28"/>
      <c r="K2363" s="28"/>
      <c r="L2363" s="28"/>
      <c r="M2363" s="28"/>
    </row>
    <row r="2364">
      <c r="A2364" s="28"/>
      <c r="B2364" s="28"/>
      <c r="C2364" s="28"/>
      <c r="D2364" s="28"/>
      <c r="E2364" s="28"/>
      <c r="F2364" s="28"/>
      <c r="G2364" s="28"/>
      <c r="H2364" s="28"/>
      <c r="I2364" s="28"/>
      <c r="J2364" s="28"/>
      <c r="K2364" s="28"/>
      <c r="L2364" s="28"/>
      <c r="M2364" s="28"/>
    </row>
    <row r="2365">
      <c r="A2365" s="28"/>
      <c r="B2365" s="28"/>
      <c r="C2365" s="28"/>
      <c r="D2365" s="28"/>
      <c r="E2365" s="28"/>
      <c r="F2365" s="28"/>
      <c r="G2365" s="28"/>
      <c r="H2365" s="28"/>
      <c r="I2365" s="28"/>
      <c r="J2365" s="28"/>
      <c r="K2365" s="28"/>
      <c r="L2365" s="28"/>
      <c r="M2365" s="28"/>
    </row>
    <row r="2366">
      <c r="A2366" s="28"/>
      <c r="B2366" s="28"/>
      <c r="C2366" s="28"/>
      <c r="D2366" s="28"/>
      <c r="E2366" s="28"/>
      <c r="F2366" s="28"/>
      <c r="G2366" s="28"/>
      <c r="H2366" s="28"/>
      <c r="I2366" s="28"/>
      <c r="J2366" s="28"/>
      <c r="K2366" s="28"/>
      <c r="L2366" s="28"/>
      <c r="M2366" s="28"/>
    </row>
    <row r="2367">
      <c r="A2367" s="28"/>
      <c r="B2367" s="28"/>
      <c r="C2367" s="28"/>
      <c r="D2367" s="28"/>
      <c r="E2367" s="28"/>
      <c r="F2367" s="28"/>
      <c r="G2367" s="28"/>
      <c r="H2367" s="28"/>
      <c r="I2367" s="28"/>
      <c r="J2367" s="28"/>
      <c r="K2367" s="28"/>
      <c r="L2367" s="28"/>
      <c r="M2367" s="28"/>
    </row>
    <row r="2368">
      <c r="A2368" s="28"/>
      <c r="B2368" s="28"/>
      <c r="C2368" s="28"/>
      <c r="D2368" s="28"/>
      <c r="E2368" s="28"/>
      <c r="F2368" s="28"/>
      <c r="G2368" s="28"/>
      <c r="H2368" s="28"/>
      <c r="I2368" s="28"/>
      <c r="J2368" s="28"/>
      <c r="K2368" s="28"/>
      <c r="L2368" s="28"/>
      <c r="M2368" s="28"/>
    </row>
    <row r="2369">
      <c r="A2369" s="28"/>
      <c r="B2369" s="28"/>
      <c r="C2369" s="28"/>
      <c r="D2369" s="28"/>
      <c r="E2369" s="28"/>
      <c r="F2369" s="28"/>
      <c r="G2369" s="28"/>
      <c r="H2369" s="28"/>
      <c r="I2369" s="28"/>
      <c r="J2369" s="28"/>
      <c r="K2369" s="28"/>
      <c r="L2369" s="28"/>
      <c r="M2369" s="28"/>
    </row>
    <row r="2370">
      <c r="A2370" s="28"/>
      <c r="B2370" s="28"/>
      <c r="C2370" s="28"/>
      <c r="D2370" s="28"/>
      <c r="E2370" s="28"/>
      <c r="F2370" s="28"/>
      <c r="G2370" s="28"/>
      <c r="H2370" s="28"/>
      <c r="I2370" s="28"/>
      <c r="J2370" s="28"/>
      <c r="K2370" s="28"/>
      <c r="L2370" s="28"/>
      <c r="M2370" s="28"/>
    </row>
    <row r="2371">
      <c r="A2371" s="28"/>
      <c r="B2371" s="28"/>
      <c r="C2371" s="28"/>
      <c r="D2371" s="28"/>
      <c r="E2371" s="28"/>
      <c r="F2371" s="28"/>
      <c r="G2371" s="28"/>
      <c r="H2371" s="28"/>
      <c r="I2371" s="28"/>
      <c r="J2371" s="28"/>
      <c r="K2371" s="28"/>
      <c r="L2371" s="28"/>
      <c r="M2371" s="28"/>
    </row>
    <row r="2372">
      <c r="A2372" s="28"/>
      <c r="B2372" s="28"/>
      <c r="C2372" s="28"/>
      <c r="D2372" s="28"/>
      <c r="E2372" s="28"/>
      <c r="F2372" s="28"/>
      <c r="G2372" s="28"/>
      <c r="H2372" s="28"/>
      <c r="I2372" s="28"/>
      <c r="J2372" s="28"/>
      <c r="K2372" s="28"/>
      <c r="L2372" s="28"/>
      <c r="M2372" s="28"/>
    </row>
    <row r="2373">
      <c r="A2373" s="28"/>
      <c r="B2373" s="28"/>
      <c r="C2373" s="28"/>
      <c r="D2373" s="28"/>
      <c r="E2373" s="28"/>
      <c r="F2373" s="28"/>
      <c r="G2373" s="28"/>
      <c r="H2373" s="28"/>
      <c r="I2373" s="28"/>
      <c r="J2373" s="28"/>
      <c r="K2373" s="28"/>
      <c r="L2373" s="28"/>
      <c r="M2373" s="28"/>
    </row>
    <row r="2374">
      <c r="A2374" s="28"/>
      <c r="B2374" s="28"/>
      <c r="C2374" s="28"/>
      <c r="D2374" s="28"/>
      <c r="E2374" s="28"/>
      <c r="F2374" s="28"/>
      <c r="G2374" s="28"/>
      <c r="H2374" s="28"/>
      <c r="I2374" s="28"/>
      <c r="J2374" s="28"/>
      <c r="K2374" s="28"/>
      <c r="L2374" s="28"/>
      <c r="M2374" s="28"/>
    </row>
    <row r="2375">
      <c r="A2375" s="28"/>
      <c r="B2375" s="28"/>
      <c r="C2375" s="28"/>
      <c r="D2375" s="28"/>
      <c r="E2375" s="28"/>
      <c r="F2375" s="28"/>
      <c r="G2375" s="28"/>
      <c r="H2375" s="28"/>
      <c r="I2375" s="28"/>
      <c r="J2375" s="28"/>
      <c r="K2375" s="28"/>
      <c r="L2375" s="28"/>
      <c r="M2375" s="28"/>
    </row>
    <row r="2376">
      <c r="A2376" s="28"/>
      <c r="B2376" s="28"/>
      <c r="C2376" s="28"/>
      <c r="D2376" s="28"/>
      <c r="E2376" s="28"/>
      <c r="F2376" s="28"/>
      <c r="G2376" s="28"/>
      <c r="H2376" s="28"/>
      <c r="I2376" s="28"/>
      <c r="J2376" s="28"/>
      <c r="K2376" s="28"/>
      <c r="L2376" s="28"/>
      <c r="M2376" s="28"/>
    </row>
    <row r="2377">
      <c r="A2377" s="28"/>
      <c r="B2377" s="28"/>
      <c r="C2377" s="28"/>
      <c r="D2377" s="28"/>
      <c r="E2377" s="28"/>
      <c r="F2377" s="28"/>
      <c r="G2377" s="28"/>
      <c r="H2377" s="28"/>
      <c r="I2377" s="28"/>
      <c r="J2377" s="28"/>
      <c r="K2377" s="28"/>
      <c r="L2377" s="28"/>
      <c r="M2377" s="28"/>
    </row>
    <row r="2378">
      <c r="A2378" s="28"/>
      <c r="B2378" s="28"/>
      <c r="C2378" s="28"/>
      <c r="D2378" s="28"/>
      <c r="E2378" s="28"/>
      <c r="F2378" s="28"/>
      <c r="G2378" s="28"/>
      <c r="H2378" s="28"/>
      <c r="I2378" s="28"/>
      <c r="J2378" s="28"/>
      <c r="K2378" s="28"/>
      <c r="L2378" s="28"/>
      <c r="M2378" s="28"/>
    </row>
    <row r="2379">
      <c r="A2379" s="28"/>
      <c r="B2379" s="28"/>
      <c r="C2379" s="28"/>
      <c r="D2379" s="28"/>
      <c r="E2379" s="28"/>
      <c r="F2379" s="28"/>
      <c r="G2379" s="28"/>
      <c r="H2379" s="28"/>
      <c r="I2379" s="28"/>
      <c r="J2379" s="28"/>
      <c r="K2379" s="28"/>
      <c r="L2379" s="28"/>
      <c r="M2379" s="28"/>
    </row>
    <row r="2380">
      <c r="A2380" s="28"/>
      <c r="B2380" s="28"/>
      <c r="C2380" s="28"/>
      <c r="D2380" s="28"/>
      <c r="E2380" s="28"/>
      <c r="F2380" s="28"/>
      <c r="G2380" s="28"/>
      <c r="H2380" s="28"/>
      <c r="I2380" s="28"/>
      <c r="J2380" s="28"/>
      <c r="K2380" s="28"/>
      <c r="L2380" s="28"/>
      <c r="M2380" s="28"/>
    </row>
    <row r="2381">
      <c r="A2381" s="28"/>
      <c r="B2381" s="28"/>
      <c r="C2381" s="28"/>
      <c r="D2381" s="28"/>
      <c r="E2381" s="28"/>
      <c r="F2381" s="28"/>
      <c r="G2381" s="28"/>
      <c r="H2381" s="28"/>
      <c r="I2381" s="28"/>
      <c r="J2381" s="28"/>
      <c r="K2381" s="28"/>
      <c r="L2381" s="28"/>
      <c r="M2381" s="28"/>
    </row>
    <row r="2382">
      <c r="A2382" s="28"/>
      <c r="B2382" s="28"/>
      <c r="C2382" s="28"/>
      <c r="D2382" s="28"/>
      <c r="E2382" s="28"/>
      <c r="F2382" s="28"/>
      <c r="G2382" s="28"/>
      <c r="H2382" s="28"/>
      <c r="I2382" s="28"/>
      <c r="J2382" s="28"/>
      <c r="K2382" s="28"/>
      <c r="L2382" s="28"/>
      <c r="M2382" s="28"/>
    </row>
    <row r="2383">
      <c r="A2383" s="28"/>
      <c r="B2383" s="28"/>
      <c r="C2383" s="28"/>
      <c r="D2383" s="28"/>
      <c r="E2383" s="28"/>
      <c r="F2383" s="28"/>
      <c r="G2383" s="28"/>
      <c r="H2383" s="28"/>
      <c r="I2383" s="28"/>
      <c r="J2383" s="28"/>
      <c r="K2383" s="28"/>
      <c r="L2383" s="28"/>
      <c r="M2383" s="28"/>
    </row>
    <row r="2384">
      <c r="A2384" s="28"/>
      <c r="B2384" s="28"/>
      <c r="C2384" s="28"/>
      <c r="D2384" s="28"/>
      <c r="E2384" s="28"/>
      <c r="F2384" s="28"/>
      <c r="G2384" s="28"/>
      <c r="H2384" s="28"/>
      <c r="I2384" s="28"/>
      <c r="J2384" s="28"/>
      <c r="K2384" s="28"/>
      <c r="L2384" s="28"/>
      <c r="M2384" s="28"/>
    </row>
    <row r="2385">
      <c r="A2385" s="28"/>
      <c r="B2385" s="28"/>
      <c r="C2385" s="28"/>
      <c r="D2385" s="28"/>
      <c r="E2385" s="28"/>
      <c r="F2385" s="28"/>
      <c r="G2385" s="28"/>
      <c r="H2385" s="28"/>
      <c r="I2385" s="28"/>
      <c r="J2385" s="28"/>
      <c r="K2385" s="28"/>
      <c r="L2385" s="28"/>
      <c r="M2385" s="28"/>
    </row>
    <row r="2386">
      <c r="A2386" s="28"/>
      <c r="B2386" s="28"/>
      <c r="C2386" s="28"/>
      <c r="D2386" s="28"/>
      <c r="E2386" s="28"/>
      <c r="F2386" s="28"/>
      <c r="G2386" s="28"/>
      <c r="H2386" s="28"/>
      <c r="I2386" s="28"/>
      <c r="J2386" s="28"/>
      <c r="K2386" s="28"/>
      <c r="L2386" s="28"/>
      <c r="M2386" s="28"/>
    </row>
    <row r="2387">
      <c r="A2387" s="28"/>
      <c r="B2387" s="28"/>
      <c r="C2387" s="28"/>
      <c r="D2387" s="28"/>
      <c r="E2387" s="28"/>
      <c r="F2387" s="28"/>
      <c r="G2387" s="28"/>
      <c r="H2387" s="28"/>
      <c r="I2387" s="28"/>
      <c r="J2387" s="28"/>
      <c r="K2387" s="28"/>
      <c r="L2387" s="28"/>
      <c r="M2387" s="28"/>
    </row>
    <row r="2388">
      <c r="A2388" s="28"/>
      <c r="B2388" s="28"/>
      <c r="C2388" s="28"/>
      <c r="D2388" s="28"/>
      <c r="E2388" s="28"/>
      <c r="F2388" s="28"/>
      <c r="G2388" s="28"/>
      <c r="H2388" s="28"/>
      <c r="I2388" s="28"/>
      <c r="J2388" s="28"/>
      <c r="K2388" s="28"/>
      <c r="L2388" s="28"/>
      <c r="M2388" s="28"/>
    </row>
    <row r="2389">
      <c r="A2389" s="28"/>
      <c r="B2389" s="28"/>
      <c r="C2389" s="28"/>
      <c r="D2389" s="28"/>
      <c r="E2389" s="28"/>
      <c r="F2389" s="28"/>
      <c r="G2389" s="28"/>
      <c r="H2389" s="28"/>
      <c r="I2389" s="28"/>
      <c r="J2389" s="28"/>
      <c r="K2389" s="28"/>
      <c r="L2389" s="28"/>
      <c r="M2389" s="28"/>
    </row>
    <row r="2390">
      <c r="A2390" s="28"/>
      <c r="B2390" s="28"/>
      <c r="C2390" s="28"/>
      <c r="D2390" s="28"/>
      <c r="E2390" s="28"/>
      <c r="F2390" s="28"/>
      <c r="G2390" s="28"/>
      <c r="H2390" s="28"/>
      <c r="I2390" s="28"/>
      <c r="J2390" s="28"/>
      <c r="K2390" s="28"/>
      <c r="L2390" s="28"/>
      <c r="M2390" s="28"/>
    </row>
    <row r="2391">
      <c r="A2391" s="28"/>
      <c r="B2391" s="28"/>
      <c r="C2391" s="28"/>
      <c r="D2391" s="28"/>
      <c r="E2391" s="28"/>
      <c r="F2391" s="28"/>
      <c r="G2391" s="28"/>
      <c r="H2391" s="28"/>
      <c r="I2391" s="28"/>
      <c r="J2391" s="28"/>
      <c r="K2391" s="28"/>
      <c r="L2391" s="28"/>
      <c r="M2391" s="28"/>
    </row>
    <row r="2392">
      <c r="A2392" s="28"/>
      <c r="B2392" s="28"/>
      <c r="C2392" s="28"/>
      <c r="D2392" s="28"/>
      <c r="E2392" s="28"/>
      <c r="F2392" s="28"/>
      <c r="G2392" s="28"/>
      <c r="H2392" s="28"/>
      <c r="I2392" s="28"/>
      <c r="J2392" s="28"/>
      <c r="K2392" s="28"/>
      <c r="L2392" s="28"/>
      <c r="M2392" s="28"/>
    </row>
    <row r="2393">
      <c r="A2393" s="28"/>
      <c r="B2393" s="28"/>
      <c r="C2393" s="28"/>
      <c r="D2393" s="28"/>
      <c r="E2393" s="28"/>
      <c r="F2393" s="28"/>
      <c r="G2393" s="28"/>
      <c r="H2393" s="28"/>
      <c r="I2393" s="28"/>
      <c r="J2393" s="28"/>
      <c r="K2393" s="28"/>
      <c r="L2393" s="28"/>
      <c r="M2393" s="28"/>
    </row>
    <row r="2394">
      <c r="A2394" s="28"/>
      <c r="B2394" s="28"/>
      <c r="C2394" s="28"/>
      <c r="D2394" s="28"/>
      <c r="E2394" s="28"/>
      <c r="F2394" s="28"/>
      <c r="G2394" s="28"/>
      <c r="H2394" s="28"/>
      <c r="I2394" s="28"/>
      <c r="J2394" s="28"/>
      <c r="K2394" s="28"/>
      <c r="L2394" s="28"/>
      <c r="M2394" s="28"/>
    </row>
    <row r="2395">
      <c r="A2395" s="28"/>
      <c r="B2395" s="28"/>
      <c r="C2395" s="28"/>
      <c r="D2395" s="28"/>
      <c r="E2395" s="28"/>
      <c r="F2395" s="28"/>
      <c r="G2395" s="28"/>
      <c r="H2395" s="28"/>
      <c r="I2395" s="28"/>
      <c r="J2395" s="28"/>
      <c r="K2395" s="28"/>
      <c r="L2395" s="28"/>
      <c r="M2395" s="28"/>
    </row>
    <row r="2396">
      <c r="A2396" s="28"/>
      <c r="B2396" s="28"/>
      <c r="C2396" s="28"/>
      <c r="D2396" s="28"/>
      <c r="E2396" s="28"/>
      <c r="F2396" s="28"/>
      <c r="G2396" s="28"/>
      <c r="H2396" s="28"/>
      <c r="I2396" s="28"/>
      <c r="J2396" s="28"/>
      <c r="K2396" s="28"/>
      <c r="L2396" s="28"/>
      <c r="M2396" s="28"/>
    </row>
    <row r="2397">
      <c r="A2397" s="28"/>
      <c r="B2397" s="28"/>
      <c r="C2397" s="28"/>
      <c r="D2397" s="28"/>
      <c r="E2397" s="28"/>
      <c r="F2397" s="28"/>
      <c r="G2397" s="28"/>
      <c r="H2397" s="28"/>
      <c r="I2397" s="28"/>
      <c r="J2397" s="28"/>
      <c r="K2397" s="28"/>
      <c r="L2397" s="28"/>
      <c r="M2397" s="28"/>
    </row>
    <row r="2398">
      <c r="A2398" s="28"/>
      <c r="B2398" s="28"/>
      <c r="C2398" s="28"/>
      <c r="D2398" s="28"/>
      <c r="E2398" s="28"/>
      <c r="F2398" s="28"/>
      <c r="G2398" s="28"/>
      <c r="H2398" s="28"/>
      <c r="I2398" s="28"/>
      <c r="J2398" s="28"/>
      <c r="K2398" s="28"/>
      <c r="L2398" s="28"/>
      <c r="M2398" s="28"/>
    </row>
    <row r="2399">
      <c r="A2399" s="28"/>
      <c r="B2399" s="28"/>
      <c r="C2399" s="28"/>
      <c r="D2399" s="28"/>
      <c r="E2399" s="28"/>
      <c r="F2399" s="28"/>
      <c r="G2399" s="28"/>
      <c r="H2399" s="28"/>
      <c r="I2399" s="28"/>
      <c r="J2399" s="28"/>
      <c r="K2399" s="28"/>
      <c r="L2399" s="28"/>
      <c r="M2399" s="28"/>
    </row>
    <row r="2400">
      <c r="A2400" s="28"/>
      <c r="B2400" s="28"/>
      <c r="C2400" s="28"/>
      <c r="D2400" s="28"/>
      <c r="E2400" s="28"/>
      <c r="F2400" s="28"/>
      <c r="G2400" s="28"/>
      <c r="H2400" s="28"/>
      <c r="I2400" s="28"/>
      <c r="J2400" s="28"/>
      <c r="K2400" s="28"/>
      <c r="L2400" s="28"/>
      <c r="M2400" s="28"/>
    </row>
    <row r="2401">
      <c r="A2401" s="28"/>
      <c r="B2401" s="28"/>
      <c r="C2401" s="28"/>
      <c r="D2401" s="28"/>
      <c r="E2401" s="28"/>
      <c r="F2401" s="28"/>
      <c r="G2401" s="28"/>
      <c r="H2401" s="28"/>
      <c r="I2401" s="28"/>
      <c r="J2401" s="28"/>
      <c r="K2401" s="28"/>
      <c r="L2401" s="28"/>
      <c r="M2401" s="28"/>
    </row>
    <row r="2402">
      <c r="A2402" s="28"/>
      <c r="B2402" s="28"/>
      <c r="C2402" s="28"/>
      <c r="D2402" s="28"/>
      <c r="E2402" s="28"/>
      <c r="F2402" s="28"/>
      <c r="G2402" s="28"/>
      <c r="H2402" s="28"/>
      <c r="I2402" s="28"/>
      <c r="J2402" s="28"/>
      <c r="K2402" s="28"/>
      <c r="L2402" s="28"/>
      <c r="M2402" s="28"/>
    </row>
    <row r="2403">
      <c r="A2403" s="28"/>
      <c r="B2403" s="28"/>
      <c r="C2403" s="28"/>
      <c r="D2403" s="28"/>
      <c r="E2403" s="28"/>
      <c r="F2403" s="28"/>
      <c r="G2403" s="28"/>
      <c r="H2403" s="28"/>
      <c r="I2403" s="28"/>
      <c r="J2403" s="28"/>
      <c r="K2403" s="28"/>
      <c r="L2403" s="28"/>
      <c r="M2403" s="28"/>
    </row>
    <row r="2404">
      <c r="A2404" s="28"/>
      <c r="B2404" s="28"/>
      <c r="C2404" s="28"/>
      <c r="D2404" s="28"/>
      <c r="E2404" s="28"/>
      <c r="F2404" s="28"/>
      <c r="G2404" s="28"/>
      <c r="H2404" s="28"/>
      <c r="I2404" s="28"/>
      <c r="J2404" s="28"/>
      <c r="K2404" s="28"/>
      <c r="L2404" s="28"/>
      <c r="M2404" s="28"/>
    </row>
    <row r="2405">
      <c r="A2405" s="28"/>
      <c r="B2405" s="28"/>
      <c r="C2405" s="28"/>
      <c r="D2405" s="28"/>
      <c r="E2405" s="28"/>
      <c r="F2405" s="28"/>
      <c r="G2405" s="28"/>
      <c r="H2405" s="28"/>
      <c r="I2405" s="28"/>
      <c r="J2405" s="28"/>
      <c r="K2405" s="28"/>
      <c r="L2405" s="28"/>
      <c r="M2405" s="28"/>
    </row>
    <row r="2406">
      <c r="A2406" s="28"/>
      <c r="B2406" s="28"/>
      <c r="C2406" s="28"/>
      <c r="D2406" s="28"/>
      <c r="E2406" s="28"/>
      <c r="F2406" s="28"/>
      <c r="G2406" s="28"/>
      <c r="H2406" s="28"/>
      <c r="I2406" s="28"/>
      <c r="J2406" s="28"/>
      <c r="K2406" s="28"/>
      <c r="L2406" s="28"/>
      <c r="M2406" s="28"/>
    </row>
    <row r="2407">
      <c r="A2407" s="28"/>
      <c r="B2407" s="28"/>
      <c r="C2407" s="28"/>
      <c r="D2407" s="28"/>
      <c r="E2407" s="28"/>
      <c r="F2407" s="28"/>
      <c r="G2407" s="28"/>
      <c r="H2407" s="28"/>
      <c r="I2407" s="28"/>
      <c r="J2407" s="28"/>
      <c r="K2407" s="28"/>
      <c r="L2407" s="28"/>
      <c r="M2407" s="28"/>
    </row>
    <row r="2408">
      <c r="A2408" s="28"/>
      <c r="B2408" s="28"/>
      <c r="C2408" s="28"/>
      <c r="D2408" s="28"/>
      <c r="E2408" s="28"/>
      <c r="F2408" s="28"/>
      <c r="G2408" s="28"/>
      <c r="H2408" s="28"/>
      <c r="I2408" s="28"/>
      <c r="J2408" s="28"/>
      <c r="K2408" s="28"/>
      <c r="L2408" s="28"/>
      <c r="M2408" s="28"/>
    </row>
    <row r="2409">
      <c r="A2409" s="28"/>
      <c r="B2409" s="28"/>
      <c r="C2409" s="28"/>
      <c r="D2409" s="28"/>
      <c r="E2409" s="28"/>
      <c r="F2409" s="28"/>
      <c r="G2409" s="28"/>
      <c r="H2409" s="28"/>
      <c r="I2409" s="28"/>
      <c r="J2409" s="28"/>
      <c r="K2409" s="28"/>
      <c r="L2409" s="28"/>
      <c r="M2409" s="28"/>
    </row>
    <row r="2410">
      <c r="A2410" s="28"/>
      <c r="B2410" s="28"/>
      <c r="C2410" s="28"/>
      <c r="D2410" s="28"/>
      <c r="E2410" s="28"/>
      <c r="F2410" s="28"/>
      <c r="G2410" s="28"/>
      <c r="H2410" s="28"/>
      <c r="I2410" s="28"/>
      <c r="J2410" s="28"/>
      <c r="K2410" s="28"/>
      <c r="L2410" s="28"/>
      <c r="M2410" s="28"/>
    </row>
    <row r="2411">
      <c r="A2411" s="28"/>
      <c r="B2411" s="28"/>
      <c r="C2411" s="28"/>
      <c r="D2411" s="28"/>
      <c r="E2411" s="28"/>
      <c r="F2411" s="28"/>
      <c r="G2411" s="28"/>
      <c r="H2411" s="28"/>
      <c r="I2411" s="28"/>
      <c r="J2411" s="28"/>
      <c r="K2411" s="28"/>
      <c r="L2411" s="28"/>
      <c r="M2411" s="28"/>
    </row>
    <row r="2412">
      <c r="A2412" s="28"/>
      <c r="B2412" s="28"/>
      <c r="C2412" s="28"/>
      <c r="D2412" s="28"/>
      <c r="E2412" s="28"/>
      <c r="F2412" s="28"/>
      <c r="G2412" s="28"/>
      <c r="H2412" s="28"/>
      <c r="I2412" s="28"/>
      <c r="J2412" s="28"/>
      <c r="K2412" s="28"/>
      <c r="L2412" s="28"/>
      <c r="M2412" s="28"/>
    </row>
    <row r="2413">
      <c r="A2413" s="28"/>
      <c r="B2413" s="28"/>
      <c r="C2413" s="28"/>
      <c r="D2413" s="28"/>
      <c r="E2413" s="28"/>
      <c r="F2413" s="28"/>
      <c r="G2413" s="28"/>
      <c r="H2413" s="28"/>
      <c r="I2413" s="28"/>
      <c r="J2413" s="28"/>
      <c r="K2413" s="28"/>
      <c r="L2413" s="28"/>
      <c r="M2413" s="28"/>
    </row>
    <row r="2414">
      <c r="A2414" s="28"/>
      <c r="B2414" s="28"/>
      <c r="C2414" s="28"/>
      <c r="D2414" s="28"/>
      <c r="E2414" s="28"/>
      <c r="F2414" s="28"/>
      <c r="G2414" s="28"/>
      <c r="H2414" s="28"/>
      <c r="I2414" s="28"/>
      <c r="J2414" s="28"/>
      <c r="K2414" s="28"/>
      <c r="L2414" s="28"/>
      <c r="M2414" s="28"/>
    </row>
    <row r="2415">
      <c r="A2415" s="28"/>
      <c r="B2415" s="28"/>
      <c r="C2415" s="28"/>
      <c r="D2415" s="28"/>
      <c r="E2415" s="28"/>
      <c r="F2415" s="28"/>
      <c r="G2415" s="28"/>
      <c r="H2415" s="28"/>
      <c r="I2415" s="28"/>
      <c r="J2415" s="28"/>
      <c r="K2415" s="28"/>
      <c r="L2415" s="28"/>
      <c r="M2415" s="28"/>
    </row>
    <row r="2416">
      <c r="A2416" s="28"/>
      <c r="B2416" s="28"/>
      <c r="C2416" s="28"/>
      <c r="D2416" s="28"/>
      <c r="E2416" s="28"/>
      <c r="F2416" s="28"/>
      <c r="G2416" s="28"/>
      <c r="H2416" s="28"/>
      <c r="I2416" s="28"/>
      <c r="J2416" s="28"/>
      <c r="K2416" s="28"/>
      <c r="L2416" s="28"/>
      <c r="M2416" s="28"/>
    </row>
    <row r="2417">
      <c r="A2417" s="28"/>
      <c r="B2417" s="28"/>
      <c r="C2417" s="28"/>
      <c r="D2417" s="28"/>
      <c r="E2417" s="28"/>
      <c r="F2417" s="28"/>
      <c r="G2417" s="28"/>
      <c r="H2417" s="28"/>
      <c r="I2417" s="28"/>
      <c r="J2417" s="28"/>
      <c r="K2417" s="28"/>
      <c r="L2417" s="28"/>
      <c r="M2417" s="28"/>
    </row>
    <row r="2418">
      <c r="A2418" s="28"/>
      <c r="B2418" s="28"/>
      <c r="C2418" s="28"/>
      <c r="D2418" s="28"/>
      <c r="E2418" s="28"/>
      <c r="F2418" s="28"/>
      <c r="G2418" s="28"/>
      <c r="H2418" s="28"/>
      <c r="I2418" s="28"/>
      <c r="J2418" s="28"/>
      <c r="K2418" s="28"/>
      <c r="L2418" s="28"/>
      <c r="M2418" s="28"/>
    </row>
    <row r="2419">
      <c r="A2419" s="28"/>
      <c r="B2419" s="28"/>
      <c r="C2419" s="28"/>
      <c r="D2419" s="28"/>
      <c r="E2419" s="28"/>
      <c r="F2419" s="28"/>
      <c r="G2419" s="28"/>
      <c r="H2419" s="28"/>
      <c r="I2419" s="28"/>
      <c r="J2419" s="28"/>
      <c r="K2419" s="28"/>
      <c r="L2419" s="28"/>
      <c r="M2419" s="28"/>
    </row>
    <row r="2420">
      <c r="A2420" s="28"/>
      <c r="B2420" s="28"/>
      <c r="C2420" s="28"/>
      <c r="D2420" s="28"/>
      <c r="E2420" s="28"/>
      <c r="F2420" s="28"/>
      <c r="G2420" s="28"/>
      <c r="H2420" s="28"/>
      <c r="I2420" s="28"/>
      <c r="J2420" s="28"/>
      <c r="K2420" s="28"/>
      <c r="L2420" s="28"/>
      <c r="M2420" s="28"/>
    </row>
    <row r="2421">
      <c r="A2421" s="28"/>
      <c r="B2421" s="28"/>
      <c r="C2421" s="28"/>
      <c r="D2421" s="28"/>
      <c r="E2421" s="28"/>
      <c r="F2421" s="28"/>
      <c r="G2421" s="28"/>
      <c r="H2421" s="28"/>
      <c r="I2421" s="28"/>
      <c r="J2421" s="28"/>
      <c r="K2421" s="28"/>
      <c r="L2421" s="28"/>
      <c r="M2421" s="28"/>
    </row>
    <row r="2422">
      <c r="A2422" s="28"/>
      <c r="B2422" s="28"/>
      <c r="C2422" s="28"/>
      <c r="D2422" s="28"/>
      <c r="E2422" s="28"/>
      <c r="F2422" s="28"/>
      <c r="G2422" s="28"/>
      <c r="H2422" s="28"/>
      <c r="I2422" s="28"/>
      <c r="J2422" s="28"/>
      <c r="K2422" s="28"/>
      <c r="L2422" s="28"/>
      <c r="M2422" s="28"/>
    </row>
    <row r="2423">
      <c r="A2423" s="28"/>
      <c r="B2423" s="28"/>
      <c r="C2423" s="28"/>
      <c r="D2423" s="28"/>
      <c r="E2423" s="28"/>
      <c r="F2423" s="28"/>
      <c r="G2423" s="28"/>
      <c r="H2423" s="28"/>
      <c r="I2423" s="28"/>
      <c r="J2423" s="28"/>
      <c r="K2423" s="28"/>
      <c r="L2423" s="28"/>
      <c r="M2423" s="28"/>
    </row>
    <row r="2424">
      <c r="A2424" s="28"/>
      <c r="B2424" s="28"/>
      <c r="C2424" s="28"/>
      <c r="D2424" s="28"/>
      <c r="E2424" s="28"/>
      <c r="F2424" s="28"/>
      <c r="G2424" s="28"/>
      <c r="H2424" s="28"/>
      <c r="I2424" s="28"/>
      <c r="J2424" s="28"/>
      <c r="K2424" s="28"/>
      <c r="L2424" s="28"/>
      <c r="M2424" s="28"/>
    </row>
    <row r="2425">
      <c r="A2425" s="28"/>
      <c r="B2425" s="28"/>
      <c r="C2425" s="28"/>
      <c r="D2425" s="28"/>
      <c r="E2425" s="28"/>
      <c r="F2425" s="28"/>
      <c r="G2425" s="28"/>
      <c r="H2425" s="28"/>
      <c r="I2425" s="28"/>
      <c r="J2425" s="28"/>
      <c r="K2425" s="28"/>
      <c r="L2425" s="28"/>
      <c r="M2425" s="28"/>
    </row>
    <row r="2426">
      <c r="A2426" s="28"/>
      <c r="B2426" s="28"/>
      <c r="C2426" s="28"/>
      <c r="D2426" s="28"/>
      <c r="E2426" s="28"/>
      <c r="F2426" s="28"/>
      <c r="G2426" s="28"/>
      <c r="H2426" s="28"/>
      <c r="I2426" s="28"/>
      <c r="J2426" s="28"/>
      <c r="K2426" s="28"/>
      <c r="L2426" s="28"/>
      <c r="M2426" s="28"/>
    </row>
    <row r="2427">
      <c r="A2427" s="28"/>
      <c r="B2427" s="28"/>
      <c r="C2427" s="28"/>
      <c r="D2427" s="28"/>
      <c r="E2427" s="28"/>
      <c r="F2427" s="28"/>
      <c r="G2427" s="28"/>
      <c r="H2427" s="28"/>
      <c r="I2427" s="28"/>
      <c r="J2427" s="28"/>
      <c r="K2427" s="28"/>
      <c r="L2427" s="28"/>
      <c r="M2427" s="28"/>
    </row>
    <row r="2428">
      <c r="A2428" s="28"/>
      <c r="B2428" s="28"/>
      <c r="C2428" s="28"/>
      <c r="D2428" s="28"/>
      <c r="E2428" s="28"/>
      <c r="F2428" s="28"/>
      <c r="G2428" s="28"/>
      <c r="H2428" s="28"/>
      <c r="I2428" s="28"/>
      <c r="J2428" s="28"/>
      <c r="K2428" s="28"/>
      <c r="L2428" s="28"/>
      <c r="M2428" s="28"/>
    </row>
    <row r="2429">
      <c r="A2429" s="28"/>
      <c r="B2429" s="28"/>
      <c r="C2429" s="28"/>
      <c r="D2429" s="28"/>
      <c r="E2429" s="28"/>
      <c r="F2429" s="28"/>
      <c r="G2429" s="28"/>
      <c r="H2429" s="28"/>
      <c r="I2429" s="28"/>
      <c r="J2429" s="28"/>
      <c r="K2429" s="28"/>
      <c r="L2429" s="28"/>
      <c r="M2429" s="28"/>
    </row>
    <row r="2430">
      <c r="A2430" s="28"/>
      <c r="B2430" s="28"/>
      <c r="C2430" s="28"/>
      <c r="D2430" s="28"/>
      <c r="E2430" s="28"/>
      <c r="F2430" s="28"/>
      <c r="G2430" s="28"/>
      <c r="H2430" s="28"/>
      <c r="I2430" s="28"/>
      <c r="J2430" s="28"/>
      <c r="K2430" s="28"/>
      <c r="L2430" s="28"/>
      <c r="M2430" s="28"/>
    </row>
    <row r="2431">
      <c r="A2431" s="28"/>
      <c r="B2431" s="28"/>
      <c r="C2431" s="28"/>
      <c r="D2431" s="28"/>
      <c r="E2431" s="28"/>
      <c r="F2431" s="28"/>
      <c r="G2431" s="28"/>
      <c r="H2431" s="28"/>
      <c r="I2431" s="28"/>
      <c r="J2431" s="28"/>
      <c r="K2431" s="28"/>
      <c r="L2431" s="28"/>
      <c r="M2431" s="28"/>
    </row>
    <row r="2432">
      <c r="A2432" s="28"/>
      <c r="B2432" s="28"/>
      <c r="C2432" s="28"/>
      <c r="D2432" s="28"/>
      <c r="E2432" s="28"/>
      <c r="F2432" s="28"/>
      <c r="G2432" s="28"/>
      <c r="H2432" s="28"/>
      <c r="I2432" s="28"/>
      <c r="J2432" s="28"/>
      <c r="K2432" s="28"/>
      <c r="L2432" s="28"/>
      <c r="M2432" s="28"/>
    </row>
    <row r="2433">
      <c r="A2433" s="28"/>
      <c r="B2433" s="28"/>
      <c r="C2433" s="28"/>
      <c r="D2433" s="28"/>
      <c r="E2433" s="28"/>
      <c r="F2433" s="28"/>
      <c r="G2433" s="28"/>
      <c r="H2433" s="28"/>
      <c r="I2433" s="28"/>
      <c r="J2433" s="28"/>
      <c r="K2433" s="28"/>
      <c r="L2433" s="28"/>
      <c r="M2433" s="28"/>
    </row>
    <row r="2434">
      <c r="A2434" s="28"/>
      <c r="B2434" s="28"/>
      <c r="C2434" s="28"/>
      <c r="D2434" s="28"/>
      <c r="E2434" s="28"/>
      <c r="F2434" s="28"/>
      <c r="G2434" s="28"/>
      <c r="H2434" s="28"/>
      <c r="I2434" s="28"/>
      <c r="J2434" s="28"/>
      <c r="K2434" s="28"/>
      <c r="L2434" s="28"/>
      <c r="M2434" s="28"/>
    </row>
    <row r="2435">
      <c r="A2435" s="28"/>
      <c r="B2435" s="28"/>
      <c r="C2435" s="28"/>
      <c r="D2435" s="28"/>
      <c r="E2435" s="28"/>
      <c r="F2435" s="28"/>
      <c r="G2435" s="28"/>
      <c r="H2435" s="28"/>
      <c r="I2435" s="28"/>
      <c r="J2435" s="28"/>
      <c r="K2435" s="28"/>
      <c r="L2435" s="28"/>
      <c r="M2435" s="28"/>
    </row>
    <row r="2436">
      <c r="A2436" s="28"/>
      <c r="B2436" s="28"/>
      <c r="C2436" s="28"/>
      <c r="D2436" s="28"/>
      <c r="E2436" s="28"/>
      <c r="F2436" s="28"/>
      <c r="G2436" s="28"/>
      <c r="H2436" s="28"/>
      <c r="I2436" s="28"/>
      <c r="J2436" s="28"/>
      <c r="K2436" s="28"/>
      <c r="L2436" s="28"/>
      <c r="M2436" s="28"/>
    </row>
    <row r="2437">
      <c r="A2437" s="28"/>
      <c r="B2437" s="28"/>
      <c r="C2437" s="28"/>
      <c r="D2437" s="28"/>
      <c r="E2437" s="28"/>
      <c r="F2437" s="28"/>
      <c r="G2437" s="28"/>
      <c r="H2437" s="28"/>
      <c r="I2437" s="28"/>
      <c r="J2437" s="28"/>
      <c r="K2437" s="28"/>
      <c r="L2437" s="28"/>
      <c r="M2437" s="28"/>
    </row>
    <row r="2438">
      <c r="A2438" s="28"/>
      <c r="B2438" s="28"/>
      <c r="C2438" s="28"/>
      <c r="D2438" s="28"/>
      <c r="E2438" s="28"/>
      <c r="F2438" s="28"/>
      <c r="G2438" s="28"/>
      <c r="H2438" s="28"/>
      <c r="I2438" s="28"/>
      <c r="J2438" s="28"/>
      <c r="K2438" s="28"/>
      <c r="L2438" s="28"/>
      <c r="M2438" s="28"/>
    </row>
    <row r="2439">
      <c r="A2439" s="28"/>
      <c r="B2439" s="28"/>
      <c r="C2439" s="28"/>
      <c r="D2439" s="28"/>
      <c r="E2439" s="28"/>
      <c r="F2439" s="28"/>
      <c r="G2439" s="28"/>
      <c r="H2439" s="28"/>
      <c r="I2439" s="28"/>
      <c r="J2439" s="28"/>
      <c r="K2439" s="28"/>
      <c r="L2439" s="28"/>
      <c r="M2439" s="28"/>
    </row>
    <row r="2440">
      <c r="A2440" s="28"/>
      <c r="B2440" s="28"/>
      <c r="C2440" s="28"/>
      <c r="D2440" s="28"/>
      <c r="E2440" s="28"/>
      <c r="F2440" s="28"/>
      <c r="G2440" s="28"/>
      <c r="H2440" s="28"/>
      <c r="I2440" s="28"/>
      <c r="J2440" s="28"/>
      <c r="K2440" s="28"/>
      <c r="L2440" s="28"/>
      <c r="M2440" s="28"/>
    </row>
    <row r="2441">
      <c r="A2441" s="28"/>
      <c r="B2441" s="28"/>
      <c r="C2441" s="28"/>
      <c r="D2441" s="28"/>
      <c r="E2441" s="28"/>
      <c r="F2441" s="28"/>
      <c r="G2441" s="28"/>
      <c r="H2441" s="28"/>
      <c r="I2441" s="28"/>
      <c r="J2441" s="28"/>
      <c r="K2441" s="28"/>
      <c r="L2441" s="28"/>
      <c r="M2441" s="28"/>
    </row>
    <row r="2442">
      <c r="A2442" s="28"/>
      <c r="B2442" s="28"/>
      <c r="C2442" s="28"/>
      <c r="D2442" s="28"/>
      <c r="E2442" s="28"/>
      <c r="F2442" s="28"/>
      <c r="G2442" s="28"/>
      <c r="H2442" s="28"/>
      <c r="I2442" s="28"/>
      <c r="J2442" s="28"/>
      <c r="K2442" s="28"/>
      <c r="L2442" s="28"/>
      <c r="M2442" s="28"/>
    </row>
    <row r="2443">
      <c r="A2443" s="28"/>
      <c r="B2443" s="28"/>
      <c r="C2443" s="28"/>
      <c r="D2443" s="28"/>
      <c r="E2443" s="28"/>
      <c r="F2443" s="28"/>
      <c r="G2443" s="28"/>
      <c r="H2443" s="28"/>
      <c r="I2443" s="28"/>
      <c r="J2443" s="28"/>
      <c r="K2443" s="28"/>
      <c r="L2443" s="28"/>
      <c r="M2443" s="28"/>
    </row>
    <row r="2444">
      <c r="A2444" s="28"/>
      <c r="B2444" s="28"/>
      <c r="C2444" s="28"/>
      <c r="D2444" s="28"/>
      <c r="E2444" s="28"/>
      <c r="F2444" s="28"/>
      <c r="G2444" s="28"/>
      <c r="H2444" s="28"/>
      <c r="I2444" s="28"/>
      <c r="J2444" s="28"/>
      <c r="K2444" s="28"/>
      <c r="L2444" s="28"/>
      <c r="M2444" s="28"/>
    </row>
    <row r="2445">
      <c r="A2445" s="28"/>
      <c r="B2445" s="28"/>
      <c r="C2445" s="28"/>
      <c r="D2445" s="28"/>
      <c r="E2445" s="28"/>
      <c r="F2445" s="28"/>
      <c r="G2445" s="28"/>
      <c r="H2445" s="28"/>
      <c r="I2445" s="28"/>
      <c r="J2445" s="28"/>
      <c r="K2445" s="28"/>
      <c r="L2445" s="28"/>
      <c r="M2445" s="28"/>
    </row>
    <row r="2446">
      <c r="A2446" s="28"/>
      <c r="B2446" s="28"/>
      <c r="C2446" s="28"/>
      <c r="D2446" s="28"/>
      <c r="E2446" s="28"/>
      <c r="F2446" s="28"/>
      <c r="G2446" s="28"/>
      <c r="H2446" s="28"/>
      <c r="I2446" s="28"/>
      <c r="J2446" s="28"/>
      <c r="K2446" s="28"/>
      <c r="L2446" s="28"/>
      <c r="M2446" s="28"/>
    </row>
    <row r="2447">
      <c r="A2447" s="28"/>
      <c r="B2447" s="28"/>
      <c r="C2447" s="28"/>
      <c r="D2447" s="28"/>
      <c r="E2447" s="28"/>
      <c r="F2447" s="28"/>
      <c r="G2447" s="28"/>
      <c r="H2447" s="28"/>
      <c r="I2447" s="28"/>
      <c r="J2447" s="28"/>
      <c r="K2447" s="28"/>
      <c r="L2447" s="28"/>
      <c r="M2447" s="28"/>
    </row>
    <row r="2448">
      <c r="A2448" s="28"/>
      <c r="B2448" s="28"/>
      <c r="C2448" s="28"/>
      <c r="D2448" s="28"/>
      <c r="E2448" s="28"/>
      <c r="F2448" s="28"/>
      <c r="G2448" s="28"/>
      <c r="H2448" s="28"/>
      <c r="I2448" s="28"/>
      <c r="J2448" s="28"/>
      <c r="K2448" s="28"/>
      <c r="L2448" s="28"/>
      <c r="M2448" s="28"/>
    </row>
    <row r="2449">
      <c r="A2449" s="28"/>
      <c r="B2449" s="28"/>
      <c r="C2449" s="28"/>
      <c r="D2449" s="28"/>
      <c r="E2449" s="28"/>
      <c r="F2449" s="28"/>
      <c r="G2449" s="28"/>
      <c r="H2449" s="28"/>
      <c r="I2449" s="28"/>
      <c r="J2449" s="28"/>
      <c r="K2449" s="28"/>
      <c r="L2449" s="28"/>
      <c r="M2449" s="28"/>
    </row>
    <row r="2450">
      <c r="A2450" s="28"/>
      <c r="B2450" s="28"/>
      <c r="C2450" s="28"/>
      <c r="D2450" s="28"/>
      <c r="E2450" s="28"/>
      <c r="F2450" s="28"/>
      <c r="G2450" s="28"/>
      <c r="H2450" s="28"/>
      <c r="I2450" s="28"/>
      <c r="J2450" s="28"/>
      <c r="K2450" s="28"/>
      <c r="L2450" s="28"/>
      <c r="M2450" s="28"/>
    </row>
    <row r="2451">
      <c r="A2451" s="28"/>
      <c r="B2451" s="28"/>
      <c r="C2451" s="28"/>
      <c r="D2451" s="28"/>
      <c r="E2451" s="28"/>
      <c r="F2451" s="28"/>
      <c r="G2451" s="28"/>
      <c r="H2451" s="28"/>
      <c r="I2451" s="28"/>
      <c r="J2451" s="28"/>
      <c r="K2451" s="28"/>
      <c r="L2451" s="28"/>
      <c r="M2451" s="28"/>
    </row>
    <row r="2452">
      <c r="A2452" s="28"/>
      <c r="B2452" s="28"/>
      <c r="C2452" s="28"/>
      <c r="D2452" s="28"/>
      <c r="E2452" s="28"/>
      <c r="F2452" s="28"/>
      <c r="G2452" s="28"/>
      <c r="H2452" s="28"/>
      <c r="I2452" s="28"/>
      <c r="J2452" s="28"/>
      <c r="K2452" s="28"/>
      <c r="L2452" s="28"/>
      <c r="M2452" s="28"/>
    </row>
    <row r="2453">
      <c r="A2453" s="28"/>
      <c r="B2453" s="28"/>
      <c r="C2453" s="28"/>
      <c r="D2453" s="28"/>
      <c r="E2453" s="28"/>
      <c r="F2453" s="28"/>
      <c r="G2453" s="28"/>
      <c r="H2453" s="28"/>
      <c r="I2453" s="28"/>
      <c r="J2453" s="28"/>
      <c r="K2453" s="28"/>
      <c r="L2453" s="28"/>
      <c r="M2453" s="28"/>
    </row>
    <row r="2454">
      <c r="A2454" s="28"/>
      <c r="B2454" s="28"/>
      <c r="C2454" s="28"/>
      <c r="D2454" s="28"/>
      <c r="E2454" s="28"/>
      <c r="F2454" s="28"/>
      <c r="G2454" s="28"/>
      <c r="H2454" s="28"/>
      <c r="I2454" s="28"/>
      <c r="J2454" s="28"/>
      <c r="K2454" s="28"/>
      <c r="L2454" s="28"/>
      <c r="M2454" s="28"/>
    </row>
    <row r="2455">
      <c r="A2455" s="28"/>
      <c r="B2455" s="28"/>
      <c r="C2455" s="28"/>
      <c r="D2455" s="28"/>
      <c r="E2455" s="28"/>
      <c r="F2455" s="28"/>
      <c r="G2455" s="28"/>
      <c r="H2455" s="28"/>
      <c r="I2455" s="28"/>
      <c r="J2455" s="28"/>
      <c r="K2455" s="28"/>
      <c r="L2455" s="28"/>
      <c r="M2455" s="28"/>
    </row>
    <row r="2456">
      <c r="A2456" s="28"/>
      <c r="B2456" s="28"/>
      <c r="C2456" s="28"/>
      <c r="D2456" s="28"/>
      <c r="E2456" s="28"/>
      <c r="F2456" s="28"/>
      <c r="G2456" s="28"/>
      <c r="H2456" s="28"/>
      <c r="I2456" s="28"/>
      <c r="J2456" s="28"/>
      <c r="K2456" s="28"/>
      <c r="L2456" s="28"/>
      <c r="M2456" s="28"/>
    </row>
    <row r="2457">
      <c r="A2457" s="28"/>
      <c r="B2457" s="28"/>
      <c r="C2457" s="28"/>
      <c r="D2457" s="28"/>
      <c r="E2457" s="28"/>
      <c r="F2457" s="28"/>
      <c r="G2457" s="28"/>
      <c r="H2457" s="28"/>
      <c r="I2457" s="28"/>
      <c r="J2457" s="28"/>
      <c r="K2457" s="28"/>
      <c r="L2457" s="28"/>
      <c r="M2457" s="28"/>
    </row>
    <row r="2458">
      <c r="A2458" s="28"/>
      <c r="B2458" s="28"/>
      <c r="C2458" s="28"/>
      <c r="D2458" s="28"/>
      <c r="E2458" s="28"/>
      <c r="F2458" s="28"/>
      <c r="G2458" s="28"/>
      <c r="H2458" s="28"/>
      <c r="I2458" s="28"/>
      <c r="J2458" s="28"/>
      <c r="K2458" s="28"/>
      <c r="L2458" s="28"/>
      <c r="M2458" s="28"/>
    </row>
    <row r="2459">
      <c r="A2459" s="28"/>
      <c r="B2459" s="28"/>
      <c r="C2459" s="28"/>
      <c r="D2459" s="28"/>
      <c r="E2459" s="28"/>
      <c r="F2459" s="28"/>
      <c r="G2459" s="28"/>
      <c r="H2459" s="28"/>
      <c r="I2459" s="28"/>
      <c r="J2459" s="28"/>
      <c r="K2459" s="28"/>
      <c r="L2459" s="28"/>
      <c r="M2459" s="28"/>
    </row>
    <row r="2460">
      <c r="A2460" s="28"/>
      <c r="B2460" s="28"/>
      <c r="C2460" s="28"/>
      <c r="D2460" s="28"/>
      <c r="E2460" s="28"/>
      <c r="F2460" s="28"/>
      <c r="G2460" s="28"/>
      <c r="H2460" s="28"/>
      <c r="I2460" s="28"/>
      <c r="J2460" s="28"/>
      <c r="K2460" s="28"/>
      <c r="L2460" s="28"/>
      <c r="M2460" s="28"/>
    </row>
    <row r="2461">
      <c r="A2461" s="28"/>
      <c r="B2461" s="28"/>
      <c r="C2461" s="28"/>
      <c r="D2461" s="28"/>
      <c r="E2461" s="28"/>
      <c r="F2461" s="28"/>
      <c r="G2461" s="28"/>
      <c r="H2461" s="28"/>
      <c r="I2461" s="28"/>
      <c r="J2461" s="28"/>
      <c r="K2461" s="28"/>
      <c r="L2461" s="28"/>
      <c r="M2461" s="28"/>
    </row>
    <row r="2462">
      <c r="A2462" s="28"/>
      <c r="B2462" s="28"/>
      <c r="C2462" s="28"/>
      <c r="D2462" s="28"/>
      <c r="E2462" s="28"/>
      <c r="F2462" s="28"/>
      <c r="G2462" s="28"/>
      <c r="H2462" s="28"/>
      <c r="I2462" s="28"/>
      <c r="J2462" s="28"/>
      <c r="K2462" s="28"/>
      <c r="L2462" s="28"/>
      <c r="M2462" s="28"/>
    </row>
    <row r="2463">
      <c r="A2463" s="28"/>
      <c r="B2463" s="28"/>
      <c r="C2463" s="28"/>
      <c r="D2463" s="28"/>
      <c r="E2463" s="28"/>
      <c r="F2463" s="28"/>
      <c r="G2463" s="28"/>
      <c r="H2463" s="28"/>
      <c r="I2463" s="28"/>
      <c r="J2463" s="28"/>
      <c r="K2463" s="28"/>
      <c r="L2463" s="28"/>
      <c r="M2463" s="28"/>
    </row>
    <row r="2464">
      <c r="A2464" s="28"/>
      <c r="B2464" s="28"/>
      <c r="C2464" s="28"/>
      <c r="D2464" s="28"/>
      <c r="E2464" s="28"/>
      <c r="F2464" s="28"/>
      <c r="G2464" s="28"/>
      <c r="H2464" s="28"/>
      <c r="I2464" s="28"/>
      <c r="J2464" s="28"/>
      <c r="K2464" s="28"/>
      <c r="L2464" s="28"/>
      <c r="M2464" s="28"/>
    </row>
    <row r="2465">
      <c r="A2465" s="28"/>
      <c r="B2465" s="28"/>
      <c r="C2465" s="28"/>
      <c r="D2465" s="28"/>
      <c r="E2465" s="28"/>
      <c r="F2465" s="28"/>
      <c r="G2465" s="28"/>
      <c r="H2465" s="28"/>
      <c r="I2465" s="28"/>
      <c r="J2465" s="28"/>
      <c r="K2465" s="28"/>
      <c r="L2465" s="28"/>
      <c r="M2465" s="28"/>
    </row>
    <row r="2466">
      <c r="A2466" s="28"/>
      <c r="B2466" s="28"/>
      <c r="C2466" s="28"/>
      <c r="D2466" s="28"/>
      <c r="E2466" s="28"/>
      <c r="F2466" s="28"/>
      <c r="G2466" s="28"/>
      <c r="H2466" s="28"/>
      <c r="I2466" s="28"/>
      <c r="J2466" s="28"/>
      <c r="K2466" s="28"/>
      <c r="L2466" s="28"/>
      <c r="M2466" s="28"/>
    </row>
    <row r="2467">
      <c r="A2467" s="28"/>
      <c r="B2467" s="28"/>
      <c r="C2467" s="28"/>
      <c r="D2467" s="28"/>
      <c r="E2467" s="28"/>
      <c r="F2467" s="28"/>
      <c r="G2467" s="28"/>
      <c r="H2467" s="28"/>
      <c r="I2467" s="28"/>
      <c r="J2467" s="28"/>
      <c r="K2467" s="28"/>
      <c r="L2467" s="28"/>
      <c r="M2467" s="28"/>
    </row>
    <row r="2468">
      <c r="A2468" s="28"/>
      <c r="B2468" s="28"/>
      <c r="C2468" s="28"/>
      <c r="D2468" s="28"/>
      <c r="E2468" s="28"/>
      <c r="F2468" s="28"/>
      <c r="G2468" s="28"/>
      <c r="H2468" s="28"/>
      <c r="I2468" s="28"/>
      <c r="J2468" s="28"/>
      <c r="K2468" s="28"/>
      <c r="L2468" s="28"/>
      <c r="M2468" s="28"/>
    </row>
    <row r="2469">
      <c r="A2469" s="28"/>
      <c r="B2469" s="28"/>
      <c r="C2469" s="28"/>
      <c r="D2469" s="28"/>
      <c r="E2469" s="28"/>
      <c r="F2469" s="28"/>
      <c r="G2469" s="28"/>
      <c r="H2469" s="28"/>
      <c r="I2469" s="28"/>
      <c r="J2469" s="28"/>
      <c r="K2469" s="28"/>
      <c r="L2469" s="28"/>
      <c r="M2469" s="28"/>
    </row>
    <row r="2470">
      <c r="A2470" s="28"/>
      <c r="B2470" s="28"/>
      <c r="C2470" s="28"/>
      <c r="D2470" s="28"/>
      <c r="E2470" s="28"/>
      <c r="F2470" s="28"/>
      <c r="G2470" s="28"/>
      <c r="H2470" s="28"/>
      <c r="I2470" s="28"/>
      <c r="J2470" s="28"/>
      <c r="K2470" s="28"/>
      <c r="L2470" s="28"/>
      <c r="M2470" s="28"/>
    </row>
    <row r="2471">
      <c r="A2471" s="28"/>
      <c r="B2471" s="28"/>
      <c r="C2471" s="28"/>
      <c r="D2471" s="28"/>
      <c r="E2471" s="28"/>
      <c r="F2471" s="28"/>
      <c r="G2471" s="28"/>
      <c r="H2471" s="28"/>
      <c r="I2471" s="28"/>
      <c r="J2471" s="28"/>
      <c r="K2471" s="28"/>
      <c r="L2471" s="28"/>
      <c r="M2471" s="28"/>
    </row>
    <row r="2472">
      <c r="A2472" s="28"/>
      <c r="B2472" s="28"/>
      <c r="C2472" s="28"/>
      <c r="D2472" s="28"/>
      <c r="E2472" s="28"/>
      <c r="F2472" s="28"/>
      <c r="G2472" s="28"/>
      <c r="H2472" s="28"/>
      <c r="I2472" s="28"/>
      <c r="J2472" s="28"/>
      <c r="K2472" s="28"/>
      <c r="L2472" s="28"/>
      <c r="M2472" s="28"/>
    </row>
    <row r="2473">
      <c r="A2473" s="28"/>
      <c r="B2473" s="28"/>
      <c r="C2473" s="28"/>
      <c r="D2473" s="28"/>
      <c r="E2473" s="28"/>
      <c r="F2473" s="28"/>
      <c r="G2473" s="28"/>
      <c r="H2473" s="28"/>
      <c r="I2473" s="28"/>
      <c r="J2473" s="28"/>
      <c r="K2473" s="28"/>
      <c r="L2473" s="28"/>
      <c r="M2473" s="28"/>
    </row>
    <row r="2474">
      <c r="A2474" s="28"/>
      <c r="B2474" s="28"/>
      <c r="C2474" s="28"/>
      <c r="D2474" s="28"/>
      <c r="E2474" s="28"/>
      <c r="F2474" s="28"/>
      <c r="G2474" s="28"/>
      <c r="H2474" s="28"/>
      <c r="I2474" s="28"/>
      <c r="J2474" s="28"/>
      <c r="K2474" s="28"/>
      <c r="L2474" s="28"/>
      <c r="M2474" s="28"/>
    </row>
    <row r="2475">
      <c r="A2475" s="28"/>
      <c r="B2475" s="28"/>
      <c r="C2475" s="28"/>
      <c r="D2475" s="28"/>
      <c r="E2475" s="28"/>
      <c r="F2475" s="28"/>
      <c r="G2475" s="28"/>
      <c r="H2475" s="28"/>
      <c r="I2475" s="28"/>
      <c r="J2475" s="28"/>
      <c r="K2475" s="28"/>
      <c r="L2475" s="28"/>
      <c r="M2475" s="28"/>
    </row>
    <row r="2476">
      <c r="A2476" s="28"/>
      <c r="B2476" s="28"/>
      <c r="C2476" s="28"/>
      <c r="D2476" s="28"/>
      <c r="E2476" s="28"/>
      <c r="F2476" s="28"/>
      <c r="G2476" s="28"/>
      <c r="H2476" s="28"/>
      <c r="I2476" s="28"/>
      <c r="J2476" s="28"/>
      <c r="K2476" s="28"/>
      <c r="L2476" s="28"/>
      <c r="M2476" s="28"/>
    </row>
    <row r="2477">
      <c r="A2477" s="28"/>
      <c r="B2477" s="28"/>
      <c r="C2477" s="28"/>
      <c r="D2477" s="28"/>
      <c r="E2477" s="28"/>
      <c r="F2477" s="28"/>
      <c r="G2477" s="28"/>
      <c r="H2477" s="28"/>
      <c r="I2477" s="28"/>
      <c r="J2477" s="28"/>
      <c r="K2477" s="28"/>
      <c r="L2477" s="28"/>
      <c r="M2477" s="28"/>
    </row>
    <row r="2478">
      <c r="A2478" s="28"/>
      <c r="B2478" s="28"/>
      <c r="C2478" s="28"/>
      <c r="D2478" s="28"/>
      <c r="E2478" s="28"/>
      <c r="F2478" s="28"/>
      <c r="G2478" s="28"/>
      <c r="H2478" s="28"/>
      <c r="I2478" s="28"/>
      <c r="J2478" s="28"/>
      <c r="K2478" s="28"/>
      <c r="L2478" s="28"/>
      <c r="M2478" s="28"/>
    </row>
    <row r="2479">
      <c r="A2479" s="28"/>
      <c r="B2479" s="28"/>
      <c r="C2479" s="28"/>
      <c r="D2479" s="28"/>
      <c r="E2479" s="28"/>
      <c r="F2479" s="28"/>
      <c r="G2479" s="28"/>
      <c r="H2479" s="28"/>
      <c r="I2479" s="28"/>
      <c r="J2479" s="28"/>
      <c r="K2479" s="28"/>
      <c r="L2479" s="28"/>
      <c r="M2479" s="28"/>
    </row>
    <row r="2480">
      <c r="A2480" s="28"/>
      <c r="B2480" s="28"/>
      <c r="C2480" s="28"/>
      <c r="D2480" s="28"/>
      <c r="E2480" s="28"/>
      <c r="F2480" s="28"/>
      <c r="G2480" s="28"/>
      <c r="H2480" s="28"/>
      <c r="I2480" s="28"/>
      <c r="J2480" s="28"/>
      <c r="K2480" s="28"/>
      <c r="L2480" s="28"/>
      <c r="M2480" s="28"/>
    </row>
    <row r="2481">
      <c r="A2481" s="28"/>
      <c r="B2481" s="28"/>
      <c r="C2481" s="28"/>
      <c r="D2481" s="28"/>
      <c r="E2481" s="28"/>
      <c r="F2481" s="28"/>
      <c r="G2481" s="28"/>
      <c r="H2481" s="28"/>
      <c r="I2481" s="28"/>
      <c r="J2481" s="28"/>
      <c r="K2481" s="28"/>
      <c r="L2481" s="28"/>
      <c r="M2481" s="28"/>
    </row>
    <row r="2482">
      <c r="A2482" s="28"/>
      <c r="B2482" s="28"/>
      <c r="C2482" s="28"/>
      <c r="D2482" s="28"/>
      <c r="E2482" s="28"/>
      <c r="F2482" s="28"/>
      <c r="G2482" s="28"/>
      <c r="H2482" s="28"/>
      <c r="I2482" s="28"/>
      <c r="J2482" s="28"/>
      <c r="K2482" s="28"/>
      <c r="L2482" s="28"/>
      <c r="M2482" s="28"/>
    </row>
    <row r="2483">
      <c r="A2483" s="28"/>
      <c r="B2483" s="28"/>
      <c r="C2483" s="28"/>
      <c r="D2483" s="28"/>
      <c r="E2483" s="28"/>
      <c r="F2483" s="28"/>
      <c r="G2483" s="28"/>
      <c r="H2483" s="28"/>
      <c r="I2483" s="28"/>
      <c r="J2483" s="28"/>
      <c r="K2483" s="28"/>
      <c r="L2483" s="28"/>
      <c r="M2483" s="28"/>
    </row>
    <row r="2484">
      <c r="A2484" s="28"/>
      <c r="B2484" s="28"/>
      <c r="C2484" s="28"/>
      <c r="D2484" s="28"/>
      <c r="E2484" s="28"/>
      <c r="F2484" s="28"/>
      <c r="G2484" s="28"/>
      <c r="H2484" s="28"/>
      <c r="I2484" s="28"/>
      <c r="J2484" s="28"/>
      <c r="K2484" s="28"/>
      <c r="L2484" s="28"/>
      <c r="M2484" s="28"/>
    </row>
    <row r="2485">
      <c r="A2485" s="28"/>
      <c r="B2485" s="28"/>
      <c r="C2485" s="28"/>
      <c r="D2485" s="28"/>
      <c r="E2485" s="28"/>
      <c r="F2485" s="28"/>
      <c r="G2485" s="28"/>
      <c r="H2485" s="28"/>
      <c r="I2485" s="28"/>
      <c r="J2485" s="28"/>
      <c r="K2485" s="28"/>
      <c r="L2485" s="28"/>
      <c r="M2485" s="28"/>
    </row>
    <row r="2486">
      <c r="A2486" s="28"/>
      <c r="B2486" s="28"/>
      <c r="C2486" s="28"/>
      <c r="D2486" s="28"/>
      <c r="E2486" s="28"/>
      <c r="F2486" s="28"/>
      <c r="G2486" s="28"/>
      <c r="H2486" s="28"/>
      <c r="I2486" s="28"/>
      <c r="J2486" s="28"/>
      <c r="K2486" s="28"/>
      <c r="L2486" s="28"/>
      <c r="M2486" s="28"/>
    </row>
    <row r="2487">
      <c r="A2487" s="28"/>
      <c r="B2487" s="28"/>
      <c r="C2487" s="28"/>
      <c r="D2487" s="28"/>
      <c r="E2487" s="28"/>
      <c r="F2487" s="28"/>
      <c r="G2487" s="28"/>
      <c r="H2487" s="28"/>
      <c r="I2487" s="28"/>
      <c r="J2487" s="28"/>
      <c r="K2487" s="28"/>
      <c r="L2487" s="28"/>
      <c r="M2487" s="28"/>
    </row>
    <row r="2488">
      <c r="A2488" s="28"/>
      <c r="B2488" s="28"/>
      <c r="C2488" s="28"/>
      <c r="D2488" s="28"/>
      <c r="E2488" s="28"/>
      <c r="F2488" s="28"/>
      <c r="G2488" s="28"/>
      <c r="H2488" s="28"/>
      <c r="I2488" s="28"/>
      <c r="J2488" s="28"/>
      <c r="K2488" s="28"/>
      <c r="L2488" s="28"/>
      <c r="M2488" s="28"/>
    </row>
    <row r="2489">
      <c r="A2489" s="28"/>
      <c r="B2489" s="28"/>
      <c r="C2489" s="28"/>
      <c r="D2489" s="28"/>
      <c r="E2489" s="28"/>
      <c r="F2489" s="28"/>
      <c r="G2489" s="28"/>
      <c r="H2489" s="28"/>
      <c r="I2489" s="28"/>
      <c r="J2489" s="28"/>
      <c r="K2489" s="28"/>
      <c r="L2489" s="28"/>
      <c r="M2489" s="28"/>
    </row>
    <row r="2490">
      <c r="A2490" s="28"/>
      <c r="B2490" s="28"/>
      <c r="C2490" s="28"/>
      <c r="D2490" s="28"/>
      <c r="E2490" s="28"/>
      <c r="F2490" s="28"/>
      <c r="G2490" s="28"/>
      <c r="H2490" s="28"/>
      <c r="I2490" s="28"/>
      <c r="J2490" s="28"/>
      <c r="K2490" s="28"/>
      <c r="L2490" s="28"/>
      <c r="M2490" s="28"/>
    </row>
    <row r="2491">
      <c r="A2491" s="28"/>
      <c r="B2491" s="28"/>
      <c r="C2491" s="28"/>
      <c r="D2491" s="28"/>
      <c r="E2491" s="28"/>
      <c r="F2491" s="28"/>
      <c r="G2491" s="28"/>
      <c r="H2491" s="28"/>
      <c r="I2491" s="28"/>
      <c r="J2491" s="28"/>
      <c r="K2491" s="28"/>
      <c r="L2491" s="28"/>
      <c r="M2491" s="28"/>
    </row>
    <row r="2492">
      <c r="A2492" s="28"/>
      <c r="B2492" s="28"/>
      <c r="C2492" s="28"/>
      <c r="D2492" s="28"/>
      <c r="E2492" s="28"/>
      <c r="F2492" s="28"/>
      <c r="G2492" s="28"/>
      <c r="H2492" s="28"/>
      <c r="I2492" s="28"/>
      <c r="J2492" s="28"/>
      <c r="K2492" s="28"/>
      <c r="L2492" s="28"/>
      <c r="M2492" s="28"/>
    </row>
    <row r="2493">
      <c r="A2493" s="28"/>
      <c r="B2493" s="28"/>
      <c r="C2493" s="28"/>
      <c r="D2493" s="28"/>
      <c r="E2493" s="28"/>
      <c r="F2493" s="28"/>
      <c r="G2493" s="28"/>
      <c r="H2493" s="28"/>
      <c r="I2493" s="28"/>
      <c r="J2493" s="28"/>
      <c r="K2493" s="28"/>
      <c r="L2493" s="28"/>
      <c r="M2493" s="28"/>
    </row>
    <row r="2494">
      <c r="A2494" s="28"/>
      <c r="B2494" s="28"/>
      <c r="C2494" s="28"/>
      <c r="D2494" s="28"/>
      <c r="E2494" s="28"/>
      <c r="F2494" s="28"/>
      <c r="G2494" s="28"/>
      <c r="H2494" s="28"/>
      <c r="I2494" s="28"/>
      <c r="J2494" s="28"/>
      <c r="K2494" s="28"/>
      <c r="L2494" s="28"/>
      <c r="M2494" s="28"/>
    </row>
    <row r="2495">
      <c r="A2495" s="28"/>
      <c r="B2495" s="28"/>
      <c r="C2495" s="28"/>
      <c r="D2495" s="28"/>
      <c r="E2495" s="28"/>
      <c r="F2495" s="28"/>
      <c r="G2495" s="28"/>
      <c r="H2495" s="28"/>
      <c r="I2495" s="28"/>
      <c r="J2495" s="28"/>
      <c r="K2495" s="28"/>
      <c r="L2495" s="28"/>
      <c r="M2495" s="28"/>
    </row>
    <row r="2496">
      <c r="A2496" s="28"/>
      <c r="B2496" s="28"/>
      <c r="C2496" s="28"/>
      <c r="D2496" s="28"/>
      <c r="E2496" s="28"/>
      <c r="F2496" s="28"/>
      <c r="G2496" s="28"/>
      <c r="H2496" s="28"/>
      <c r="I2496" s="28"/>
      <c r="J2496" s="28"/>
      <c r="K2496" s="28"/>
      <c r="L2496" s="28"/>
      <c r="M2496" s="28"/>
    </row>
    <row r="2497">
      <c r="A2497" s="28"/>
      <c r="B2497" s="28"/>
      <c r="C2497" s="28"/>
      <c r="D2497" s="28"/>
      <c r="E2497" s="28"/>
      <c r="F2497" s="28"/>
      <c r="G2497" s="28"/>
      <c r="H2497" s="28"/>
      <c r="I2497" s="28"/>
      <c r="J2497" s="28"/>
      <c r="K2497" s="28"/>
      <c r="L2497" s="28"/>
      <c r="M2497" s="28"/>
    </row>
    <row r="2498">
      <c r="A2498" s="28"/>
      <c r="B2498" s="28"/>
      <c r="C2498" s="28"/>
      <c r="D2498" s="28"/>
      <c r="E2498" s="28"/>
      <c r="F2498" s="28"/>
      <c r="G2498" s="28"/>
      <c r="H2498" s="28"/>
      <c r="I2498" s="28"/>
      <c r="J2498" s="28"/>
      <c r="K2498" s="28"/>
      <c r="L2498" s="28"/>
      <c r="M2498" s="28"/>
    </row>
    <row r="2499">
      <c r="A2499" s="28"/>
      <c r="B2499" s="28"/>
      <c r="C2499" s="28"/>
      <c r="D2499" s="28"/>
      <c r="E2499" s="28"/>
      <c r="F2499" s="28"/>
      <c r="G2499" s="28"/>
      <c r="H2499" s="28"/>
      <c r="I2499" s="28"/>
      <c r="J2499" s="28"/>
      <c r="K2499" s="28"/>
      <c r="L2499" s="28"/>
      <c r="M2499" s="28"/>
    </row>
    <row r="2500">
      <c r="A2500" s="28"/>
      <c r="B2500" s="28"/>
      <c r="C2500" s="28"/>
      <c r="D2500" s="28"/>
      <c r="E2500" s="28"/>
      <c r="F2500" s="28"/>
      <c r="G2500" s="28"/>
      <c r="H2500" s="28"/>
      <c r="I2500" s="28"/>
      <c r="J2500" s="28"/>
      <c r="K2500" s="28"/>
      <c r="L2500" s="28"/>
      <c r="M2500" s="28"/>
    </row>
    <row r="2501">
      <c r="A2501" s="28"/>
      <c r="B2501" s="28"/>
      <c r="C2501" s="28"/>
      <c r="D2501" s="28"/>
      <c r="E2501" s="28"/>
      <c r="F2501" s="28"/>
      <c r="G2501" s="28"/>
      <c r="H2501" s="28"/>
      <c r="I2501" s="28"/>
      <c r="J2501" s="28"/>
      <c r="K2501" s="28"/>
      <c r="L2501" s="28"/>
      <c r="M2501" s="28"/>
    </row>
    <row r="2502">
      <c r="A2502" s="28"/>
      <c r="B2502" s="28"/>
      <c r="C2502" s="28"/>
      <c r="D2502" s="28"/>
      <c r="E2502" s="28"/>
      <c r="F2502" s="28"/>
      <c r="G2502" s="28"/>
      <c r="H2502" s="28"/>
      <c r="I2502" s="28"/>
      <c r="J2502" s="28"/>
      <c r="K2502" s="28"/>
      <c r="L2502" s="28"/>
      <c r="M2502" s="28"/>
    </row>
    <row r="2503">
      <c r="A2503" s="28"/>
      <c r="B2503" s="28"/>
      <c r="C2503" s="28"/>
      <c r="D2503" s="28"/>
      <c r="E2503" s="28"/>
      <c r="F2503" s="28"/>
      <c r="G2503" s="28"/>
      <c r="H2503" s="28"/>
      <c r="I2503" s="28"/>
      <c r="J2503" s="28"/>
      <c r="K2503" s="28"/>
      <c r="L2503" s="28"/>
      <c r="M2503" s="28"/>
    </row>
    <row r="2504">
      <c r="A2504" s="28"/>
      <c r="B2504" s="28"/>
      <c r="C2504" s="28"/>
      <c r="D2504" s="28"/>
      <c r="E2504" s="28"/>
      <c r="F2504" s="28"/>
      <c r="G2504" s="28"/>
      <c r="H2504" s="28"/>
      <c r="I2504" s="28"/>
      <c r="J2504" s="28"/>
      <c r="K2504" s="28"/>
      <c r="L2504" s="28"/>
      <c r="M2504" s="28"/>
    </row>
    <row r="2505">
      <c r="A2505" s="28"/>
      <c r="B2505" s="28"/>
      <c r="C2505" s="28"/>
      <c r="D2505" s="28"/>
      <c r="E2505" s="28"/>
      <c r="F2505" s="28"/>
      <c r="G2505" s="28"/>
      <c r="H2505" s="28"/>
      <c r="I2505" s="28"/>
      <c r="J2505" s="28"/>
      <c r="K2505" s="28"/>
      <c r="L2505" s="28"/>
      <c r="M2505" s="28"/>
    </row>
    <row r="2506">
      <c r="A2506" s="28"/>
      <c r="B2506" s="28"/>
      <c r="C2506" s="28"/>
      <c r="D2506" s="28"/>
      <c r="E2506" s="28"/>
      <c r="F2506" s="28"/>
      <c r="G2506" s="28"/>
      <c r="H2506" s="28"/>
      <c r="I2506" s="28"/>
      <c r="J2506" s="28"/>
      <c r="K2506" s="28"/>
      <c r="L2506" s="28"/>
      <c r="M2506" s="28"/>
    </row>
    <row r="2507">
      <c r="A2507" s="28"/>
      <c r="B2507" s="28"/>
      <c r="C2507" s="28"/>
      <c r="D2507" s="28"/>
      <c r="E2507" s="28"/>
      <c r="F2507" s="28"/>
      <c r="G2507" s="28"/>
      <c r="H2507" s="28"/>
      <c r="I2507" s="28"/>
      <c r="J2507" s="28"/>
      <c r="K2507" s="28"/>
      <c r="L2507" s="28"/>
      <c r="M2507" s="28"/>
    </row>
    <row r="2508">
      <c r="A2508" s="28"/>
      <c r="B2508" s="28"/>
      <c r="C2508" s="28"/>
      <c r="D2508" s="28"/>
      <c r="E2508" s="28"/>
      <c r="F2508" s="28"/>
      <c r="G2508" s="28"/>
      <c r="H2508" s="28"/>
      <c r="I2508" s="28"/>
      <c r="J2508" s="28"/>
      <c r="K2508" s="28"/>
      <c r="L2508" s="28"/>
      <c r="M2508" s="28"/>
    </row>
    <row r="2509">
      <c r="A2509" s="28"/>
      <c r="B2509" s="28"/>
      <c r="C2509" s="28"/>
      <c r="D2509" s="28"/>
      <c r="E2509" s="28"/>
      <c r="F2509" s="28"/>
      <c r="G2509" s="28"/>
      <c r="H2509" s="28"/>
      <c r="I2509" s="28"/>
      <c r="J2509" s="28"/>
      <c r="K2509" s="28"/>
      <c r="L2509" s="28"/>
      <c r="M2509" s="28"/>
    </row>
    <row r="2510">
      <c r="A2510" s="28"/>
      <c r="B2510" s="28"/>
      <c r="C2510" s="28"/>
      <c r="D2510" s="28"/>
      <c r="E2510" s="28"/>
      <c r="F2510" s="28"/>
      <c r="G2510" s="28"/>
      <c r="H2510" s="28"/>
      <c r="I2510" s="28"/>
      <c r="J2510" s="28"/>
      <c r="K2510" s="28"/>
      <c r="L2510" s="28"/>
      <c r="M2510" s="28"/>
    </row>
    <row r="2511">
      <c r="A2511" s="28"/>
      <c r="B2511" s="28"/>
      <c r="C2511" s="28"/>
      <c r="D2511" s="28"/>
      <c r="E2511" s="28"/>
      <c r="F2511" s="28"/>
      <c r="G2511" s="28"/>
      <c r="H2511" s="28"/>
      <c r="I2511" s="28"/>
      <c r="J2511" s="28"/>
      <c r="K2511" s="28"/>
      <c r="L2511" s="28"/>
      <c r="M2511" s="28"/>
    </row>
    <row r="2512">
      <c r="A2512" s="28"/>
      <c r="B2512" s="28"/>
      <c r="C2512" s="28"/>
      <c r="D2512" s="28"/>
      <c r="E2512" s="28"/>
      <c r="F2512" s="28"/>
      <c r="G2512" s="28"/>
      <c r="H2512" s="28"/>
      <c r="I2512" s="28"/>
      <c r="J2512" s="28"/>
      <c r="K2512" s="28"/>
      <c r="L2512" s="28"/>
      <c r="M2512" s="28"/>
    </row>
    <row r="2513">
      <c r="A2513" s="28"/>
      <c r="B2513" s="28"/>
      <c r="C2513" s="28"/>
      <c r="D2513" s="28"/>
      <c r="E2513" s="28"/>
      <c r="F2513" s="28"/>
      <c r="G2513" s="28"/>
      <c r="H2513" s="28"/>
      <c r="I2513" s="28"/>
      <c r="J2513" s="28"/>
      <c r="K2513" s="28"/>
      <c r="L2513" s="28"/>
      <c r="M2513" s="28"/>
    </row>
    <row r="2514">
      <c r="A2514" s="28"/>
      <c r="B2514" s="28"/>
      <c r="C2514" s="28"/>
      <c r="D2514" s="28"/>
      <c r="E2514" s="28"/>
      <c r="F2514" s="28"/>
      <c r="G2514" s="28"/>
      <c r="H2514" s="28"/>
      <c r="I2514" s="28"/>
      <c r="J2514" s="28"/>
      <c r="K2514" s="28"/>
      <c r="L2514" s="28"/>
      <c r="M2514" s="28"/>
    </row>
    <row r="2515">
      <c r="A2515" s="28"/>
      <c r="B2515" s="28"/>
      <c r="C2515" s="28"/>
      <c r="D2515" s="28"/>
      <c r="E2515" s="28"/>
      <c r="F2515" s="28"/>
      <c r="G2515" s="28"/>
      <c r="H2515" s="28"/>
      <c r="I2515" s="28"/>
      <c r="J2515" s="28"/>
      <c r="K2515" s="28"/>
      <c r="L2515" s="28"/>
      <c r="M2515" s="28"/>
    </row>
    <row r="2516">
      <c r="A2516" s="28"/>
      <c r="B2516" s="28"/>
      <c r="C2516" s="28"/>
      <c r="D2516" s="28"/>
      <c r="E2516" s="28"/>
      <c r="F2516" s="28"/>
      <c r="G2516" s="28"/>
      <c r="H2516" s="28"/>
      <c r="I2516" s="28"/>
      <c r="J2516" s="28"/>
      <c r="K2516" s="28"/>
      <c r="L2516" s="28"/>
      <c r="M2516" s="28"/>
    </row>
    <row r="2517">
      <c r="A2517" s="28"/>
      <c r="B2517" s="28"/>
      <c r="C2517" s="28"/>
      <c r="D2517" s="28"/>
      <c r="E2517" s="28"/>
      <c r="F2517" s="28"/>
      <c r="G2517" s="28"/>
      <c r="H2517" s="28"/>
      <c r="I2517" s="28"/>
      <c r="J2517" s="28"/>
      <c r="K2517" s="28"/>
      <c r="L2517" s="28"/>
      <c r="M2517" s="28"/>
    </row>
    <row r="2518">
      <c r="A2518" s="28"/>
      <c r="B2518" s="28"/>
      <c r="C2518" s="28"/>
      <c r="D2518" s="28"/>
      <c r="E2518" s="28"/>
      <c r="F2518" s="28"/>
      <c r="G2518" s="28"/>
      <c r="H2518" s="28"/>
      <c r="I2518" s="28"/>
      <c r="J2518" s="28"/>
      <c r="K2518" s="28"/>
      <c r="L2518" s="28"/>
      <c r="M2518" s="28"/>
    </row>
    <row r="2519">
      <c r="A2519" s="28"/>
      <c r="B2519" s="28"/>
      <c r="C2519" s="28"/>
      <c r="D2519" s="28"/>
      <c r="E2519" s="28"/>
      <c r="F2519" s="28"/>
      <c r="G2519" s="28"/>
      <c r="H2519" s="28"/>
      <c r="I2519" s="28"/>
      <c r="J2519" s="28"/>
      <c r="K2519" s="28"/>
      <c r="L2519" s="28"/>
      <c r="M2519" s="28"/>
    </row>
    <row r="2520">
      <c r="A2520" s="28"/>
      <c r="B2520" s="28"/>
      <c r="C2520" s="28"/>
      <c r="D2520" s="28"/>
      <c r="E2520" s="28"/>
      <c r="F2520" s="28"/>
      <c r="G2520" s="28"/>
      <c r="H2520" s="28"/>
      <c r="I2520" s="28"/>
      <c r="J2520" s="28"/>
      <c r="K2520" s="28"/>
      <c r="L2520" s="28"/>
      <c r="M2520" s="28"/>
    </row>
    <row r="2521">
      <c r="A2521" s="28"/>
      <c r="B2521" s="28"/>
      <c r="C2521" s="28"/>
      <c r="D2521" s="28"/>
      <c r="E2521" s="28"/>
      <c r="F2521" s="28"/>
      <c r="G2521" s="28"/>
      <c r="H2521" s="28"/>
      <c r="I2521" s="28"/>
      <c r="J2521" s="28"/>
      <c r="K2521" s="28"/>
      <c r="L2521" s="28"/>
      <c r="M2521" s="28"/>
    </row>
    <row r="2522">
      <c r="A2522" s="28"/>
      <c r="B2522" s="28"/>
      <c r="C2522" s="28"/>
      <c r="D2522" s="28"/>
      <c r="E2522" s="28"/>
      <c r="F2522" s="28"/>
      <c r="G2522" s="28"/>
      <c r="H2522" s="28"/>
      <c r="I2522" s="28"/>
      <c r="J2522" s="28"/>
      <c r="K2522" s="28"/>
      <c r="L2522" s="28"/>
      <c r="M2522" s="28"/>
    </row>
    <row r="2523">
      <c r="A2523" s="28"/>
      <c r="B2523" s="28"/>
      <c r="C2523" s="28"/>
      <c r="D2523" s="28"/>
      <c r="E2523" s="28"/>
      <c r="F2523" s="28"/>
      <c r="G2523" s="28"/>
      <c r="H2523" s="28"/>
      <c r="I2523" s="28"/>
      <c r="J2523" s="28"/>
      <c r="K2523" s="28"/>
      <c r="L2523" s="28"/>
      <c r="M2523" s="28"/>
    </row>
    <row r="2524">
      <c r="A2524" s="28"/>
      <c r="B2524" s="28"/>
      <c r="C2524" s="28"/>
      <c r="D2524" s="28"/>
      <c r="E2524" s="28"/>
      <c r="F2524" s="28"/>
      <c r="G2524" s="28"/>
      <c r="H2524" s="28"/>
      <c r="I2524" s="28"/>
      <c r="J2524" s="28"/>
      <c r="K2524" s="28"/>
      <c r="L2524" s="28"/>
      <c r="M2524" s="28"/>
    </row>
    <row r="2525">
      <c r="A2525" s="28"/>
      <c r="B2525" s="28"/>
      <c r="C2525" s="28"/>
      <c r="D2525" s="28"/>
      <c r="E2525" s="28"/>
      <c r="F2525" s="28"/>
      <c r="G2525" s="28"/>
      <c r="H2525" s="28"/>
      <c r="I2525" s="28"/>
      <c r="J2525" s="28"/>
      <c r="K2525" s="28"/>
      <c r="L2525" s="28"/>
      <c r="M2525" s="28"/>
    </row>
    <row r="2526">
      <c r="A2526" s="28"/>
      <c r="B2526" s="28"/>
      <c r="C2526" s="28"/>
      <c r="D2526" s="28"/>
      <c r="E2526" s="28"/>
      <c r="F2526" s="28"/>
      <c r="G2526" s="28"/>
      <c r="H2526" s="28"/>
      <c r="I2526" s="28"/>
      <c r="J2526" s="28"/>
      <c r="K2526" s="28"/>
      <c r="L2526" s="28"/>
      <c r="M2526" s="28"/>
    </row>
    <row r="2527">
      <c r="A2527" s="28"/>
      <c r="B2527" s="28"/>
      <c r="C2527" s="28"/>
      <c r="D2527" s="28"/>
      <c r="E2527" s="28"/>
      <c r="F2527" s="28"/>
      <c r="G2527" s="28"/>
      <c r="H2527" s="28"/>
      <c r="I2527" s="28"/>
      <c r="J2527" s="28"/>
      <c r="K2527" s="28"/>
      <c r="L2527" s="28"/>
      <c r="M2527" s="28"/>
    </row>
    <row r="2528">
      <c r="A2528" s="28"/>
      <c r="B2528" s="28"/>
      <c r="C2528" s="28"/>
      <c r="D2528" s="28"/>
      <c r="E2528" s="28"/>
      <c r="F2528" s="28"/>
      <c r="G2528" s="28"/>
      <c r="H2528" s="28"/>
      <c r="I2528" s="28"/>
      <c r="J2528" s="28"/>
      <c r="K2528" s="28"/>
      <c r="L2528" s="28"/>
      <c r="M2528" s="28"/>
    </row>
    <row r="2529">
      <c r="A2529" s="28"/>
      <c r="B2529" s="28"/>
      <c r="C2529" s="28"/>
      <c r="D2529" s="28"/>
      <c r="E2529" s="28"/>
      <c r="F2529" s="28"/>
      <c r="G2529" s="28"/>
      <c r="H2529" s="28"/>
      <c r="I2529" s="28"/>
      <c r="J2529" s="28"/>
      <c r="K2529" s="28"/>
      <c r="L2529" s="28"/>
      <c r="M2529" s="28"/>
    </row>
    <row r="2530">
      <c r="A2530" s="28"/>
      <c r="B2530" s="28"/>
      <c r="C2530" s="28"/>
      <c r="D2530" s="28"/>
      <c r="E2530" s="28"/>
      <c r="F2530" s="28"/>
      <c r="G2530" s="28"/>
      <c r="H2530" s="28"/>
      <c r="I2530" s="28"/>
      <c r="J2530" s="28"/>
      <c r="K2530" s="28"/>
      <c r="L2530" s="28"/>
      <c r="M2530" s="28"/>
    </row>
    <row r="2531">
      <c r="A2531" s="28"/>
      <c r="B2531" s="28"/>
      <c r="C2531" s="28"/>
      <c r="D2531" s="28"/>
      <c r="E2531" s="28"/>
      <c r="F2531" s="28"/>
      <c r="G2531" s="28"/>
      <c r="H2531" s="28"/>
      <c r="I2531" s="28"/>
      <c r="J2531" s="28"/>
      <c r="K2531" s="28"/>
      <c r="L2531" s="28"/>
      <c r="M2531" s="28"/>
    </row>
    <row r="2532">
      <c r="A2532" s="28"/>
      <c r="B2532" s="28"/>
      <c r="C2532" s="28"/>
      <c r="D2532" s="28"/>
      <c r="E2532" s="28"/>
      <c r="F2532" s="28"/>
      <c r="G2532" s="28"/>
      <c r="H2532" s="28"/>
      <c r="I2532" s="28"/>
      <c r="J2532" s="28"/>
      <c r="K2532" s="28"/>
      <c r="L2532" s="28"/>
      <c r="M2532" s="28"/>
    </row>
    <row r="2533">
      <c r="A2533" s="28"/>
      <c r="B2533" s="28"/>
      <c r="C2533" s="28"/>
      <c r="D2533" s="28"/>
      <c r="E2533" s="28"/>
      <c r="F2533" s="28"/>
      <c r="G2533" s="28"/>
      <c r="H2533" s="28"/>
      <c r="I2533" s="28"/>
      <c r="J2533" s="28"/>
      <c r="K2533" s="28"/>
      <c r="L2533" s="28"/>
      <c r="M2533" s="28"/>
    </row>
    <row r="2534">
      <c r="A2534" s="28"/>
      <c r="B2534" s="28"/>
      <c r="C2534" s="28"/>
      <c r="D2534" s="28"/>
      <c r="E2534" s="28"/>
      <c r="F2534" s="28"/>
      <c r="G2534" s="28"/>
      <c r="H2534" s="28"/>
      <c r="I2534" s="28"/>
      <c r="J2534" s="28"/>
      <c r="K2534" s="28"/>
      <c r="L2534" s="28"/>
      <c r="M2534" s="28"/>
    </row>
    <row r="2535">
      <c r="A2535" s="28"/>
      <c r="B2535" s="28"/>
      <c r="C2535" s="28"/>
      <c r="D2535" s="28"/>
      <c r="E2535" s="28"/>
      <c r="F2535" s="28"/>
      <c r="G2535" s="28"/>
      <c r="H2535" s="28"/>
      <c r="I2535" s="28"/>
      <c r="J2535" s="28"/>
      <c r="K2535" s="28"/>
      <c r="L2535" s="28"/>
      <c r="M2535" s="28"/>
    </row>
    <row r="2536">
      <c r="A2536" s="28"/>
      <c r="B2536" s="28"/>
      <c r="C2536" s="28"/>
      <c r="D2536" s="28"/>
      <c r="E2536" s="28"/>
      <c r="F2536" s="28"/>
      <c r="G2536" s="28"/>
      <c r="H2536" s="28"/>
      <c r="I2536" s="28"/>
      <c r="J2536" s="28"/>
      <c r="K2536" s="28"/>
      <c r="L2536" s="28"/>
      <c r="M2536" s="28"/>
    </row>
    <row r="2537">
      <c r="A2537" s="28"/>
      <c r="B2537" s="28"/>
      <c r="C2537" s="28"/>
      <c r="D2537" s="28"/>
      <c r="E2537" s="28"/>
      <c r="F2537" s="28"/>
      <c r="G2537" s="28"/>
      <c r="H2537" s="28"/>
      <c r="I2537" s="28"/>
      <c r="J2537" s="28"/>
      <c r="K2537" s="28"/>
      <c r="L2537" s="28"/>
      <c r="M2537" s="28"/>
    </row>
    <row r="2538">
      <c r="A2538" s="28"/>
      <c r="B2538" s="28"/>
      <c r="C2538" s="28"/>
      <c r="D2538" s="28"/>
      <c r="E2538" s="28"/>
      <c r="F2538" s="28"/>
      <c r="G2538" s="28"/>
      <c r="H2538" s="28"/>
      <c r="I2538" s="28"/>
      <c r="J2538" s="28"/>
      <c r="K2538" s="28"/>
      <c r="L2538" s="28"/>
      <c r="M2538" s="28"/>
    </row>
    <row r="2539">
      <c r="A2539" s="28"/>
      <c r="B2539" s="28"/>
      <c r="C2539" s="28"/>
      <c r="D2539" s="28"/>
      <c r="E2539" s="28"/>
      <c r="F2539" s="28"/>
      <c r="G2539" s="28"/>
      <c r="H2539" s="28"/>
      <c r="I2539" s="28"/>
      <c r="J2539" s="28"/>
      <c r="K2539" s="28"/>
      <c r="L2539" s="28"/>
      <c r="M2539" s="28"/>
    </row>
    <row r="2540">
      <c r="A2540" s="28"/>
      <c r="B2540" s="28"/>
      <c r="C2540" s="28"/>
      <c r="D2540" s="28"/>
      <c r="E2540" s="28"/>
      <c r="F2540" s="28"/>
      <c r="G2540" s="28"/>
      <c r="H2540" s="28"/>
      <c r="I2540" s="28"/>
      <c r="J2540" s="28"/>
      <c r="K2540" s="28"/>
      <c r="L2540" s="28"/>
      <c r="M2540" s="28"/>
    </row>
    <row r="2541">
      <c r="A2541" s="28"/>
      <c r="B2541" s="28"/>
      <c r="C2541" s="28"/>
      <c r="D2541" s="28"/>
      <c r="E2541" s="28"/>
      <c r="F2541" s="28"/>
      <c r="G2541" s="28"/>
      <c r="H2541" s="28"/>
      <c r="I2541" s="28"/>
      <c r="J2541" s="28"/>
      <c r="K2541" s="28"/>
      <c r="L2541" s="28"/>
      <c r="M2541" s="28"/>
    </row>
    <row r="2542">
      <c r="A2542" s="28"/>
      <c r="B2542" s="28"/>
      <c r="C2542" s="28"/>
      <c r="D2542" s="28"/>
      <c r="E2542" s="28"/>
      <c r="F2542" s="28"/>
      <c r="G2542" s="28"/>
      <c r="H2542" s="28"/>
      <c r="I2542" s="28"/>
      <c r="J2542" s="28"/>
      <c r="K2542" s="28"/>
      <c r="L2542" s="28"/>
      <c r="M2542" s="28"/>
    </row>
    <row r="2543">
      <c r="A2543" s="28"/>
      <c r="B2543" s="28"/>
      <c r="C2543" s="28"/>
      <c r="D2543" s="28"/>
      <c r="E2543" s="28"/>
      <c r="F2543" s="28"/>
      <c r="G2543" s="28"/>
      <c r="H2543" s="28"/>
      <c r="I2543" s="28"/>
      <c r="J2543" s="28"/>
      <c r="K2543" s="28"/>
      <c r="L2543" s="28"/>
      <c r="M2543" s="28"/>
    </row>
    <row r="2544">
      <c r="A2544" s="28"/>
      <c r="B2544" s="28"/>
      <c r="C2544" s="28"/>
      <c r="D2544" s="28"/>
      <c r="E2544" s="28"/>
      <c r="F2544" s="28"/>
      <c r="G2544" s="28"/>
      <c r="H2544" s="28"/>
      <c r="I2544" s="28"/>
      <c r="J2544" s="28"/>
      <c r="K2544" s="28"/>
      <c r="L2544" s="28"/>
      <c r="M2544" s="28"/>
    </row>
    <row r="2545">
      <c r="A2545" s="28"/>
      <c r="B2545" s="28"/>
      <c r="C2545" s="28"/>
      <c r="D2545" s="28"/>
      <c r="E2545" s="28"/>
      <c r="F2545" s="28"/>
      <c r="G2545" s="28"/>
      <c r="H2545" s="28"/>
      <c r="I2545" s="28"/>
      <c r="J2545" s="28"/>
      <c r="K2545" s="28"/>
      <c r="L2545" s="28"/>
      <c r="M2545" s="28"/>
    </row>
    <row r="2546">
      <c r="A2546" s="28"/>
      <c r="B2546" s="28"/>
      <c r="C2546" s="28"/>
      <c r="D2546" s="28"/>
      <c r="E2546" s="28"/>
      <c r="F2546" s="28"/>
      <c r="G2546" s="28"/>
      <c r="H2546" s="28"/>
      <c r="I2546" s="28"/>
      <c r="J2546" s="28"/>
      <c r="K2546" s="28"/>
      <c r="L2546" s="28"/>
      <c r="M2546" s="28"/>
    </row>
    <row r="2547">
      <c r="A2547" s="28"/>
      <c r="B2547" s="28"/>
      <c r="C2547" s="28"/>
      <c r="D2547" s="28"/>
      <c r="E2547" s="28"/>
      <c r="F2547" s="28"/>
      <c r="G2547" s="28"/>
      <c r="H2547" s="28"/>
      <c r="I2547" s="28"/>
      <c r="J2547" s="28"/>
      <c r="K2547" s="28"/>
      <c r="L2547" s="28"/>
      <c r="M2547" s="28"/>
    </row>
    <row r="2548">
      <c r="A2548" s="28"/>
      <c r="B2548" s="28"/>
      <c r="C2548" s="28"/>
      <c r="D2548" s="28"/>
      <c r="E2548" s="28"/>
      <c r="F2548" s="28"/>
      <c r="G2548" s="28"/>
      <c r="H2548" s="28"/>
      <c r="I2548" s="28"/>
      <c r="J2548" s="28"/>
      <c r="K2548" s="28"/>
      <c r="L2548" s="28"/>
      <c r="M2548" s="28"/>
    </row>
    <row r="2549">
      <c r="A2549" s="28"/>
      <c r="B2549" s="28"/>
      <c r="C2549" s="28"/>
      <c r="D2549" s="28"/>
      <c r="E2549" s="28"/>
      <c r="F2549" s="28"/>
      <c r="G2549" s="28"/>
      <c r="H2549" s="28"/>
      <c r="I2549" s="28"/>
      <c r="J2549" s="28"/>
      <c r="K2549" s="28"/>
      <c r="L2549" s="28"/>
      <c r="M2549" s="28"/>
    </row>
    <row r="2550">
      <c r="A2550" s="28"/>
      <c r="B2550" s="28"/>
      <c r="C2550" s="28"/>
      <c r="D2550" s="28"/>
      <c r="E2550" s="28"/>
      <c r="F2550" s="28"/>
      <c r="G2550" s="28"/>
      <c r="H2550" s="28"/>
      <c r="I2550" s="28"/>
      <c r="J2550" s="28"/>
      <c r="K2550" s="28"/>
      <c r="L2550" s="28"/>
      <c r="M2550" s="28"/>
    </row>
    <row r="2551">
      <c r="A2551" s="28"/>
      <c r="B2551" s="28"/>
      <c r="C2551" s="28"/>
      <c r="D2551" s="28"/>
      <c r="E2551" s="28"/>
      <c r="F2551" s="28"/>
      <c r="G2551" s="28"/>
      <c r="H2551" s="28"/>
      <c r="I2551" s="28"/>
      <c r="J2551" s="28"/>
      <c r="K2551" s="28"/>
      <c r="L2551" s="28"/>
      <c r="M2551" s="28"/>
    </row>
    <row r="2552">
      <c r="A2552" s="28"/>
      <c r="B2552" s="28"/>
      <c r="C2552" s="28"/>
      <c r="D2552" s="28"/>
      <c r="E2552" s="28"/>
      <c r="F2552" s="28"/>
      <c r="G2552" s="28"/>
      <c r="H2552" s="28"/>
      <c r="I2552" s="28"/>
      <c r="J2552" s="28"/>
      <c r="K2552" s="28"/>
      <c r="L2552" s="28"/>
      <c r="M2552" s="28"/>
    </row>
    <row r="2553">
      <c r="A2553" s="28"/>
      <c r="B2553" s="28"/>
      <c r="C2553" s="28"/>
      <c r="D2553" s="28"/>
      <c r="E2553" s="28"/>
      <c r="F2553" s="28"/>
      <c r="G2553" s="28"/>
      <c r="H2553" s="28"/>
      <c r="I2553" s="28"/>
      <c r="J2553" s="28"/>
      <c r="K2553" s="28"/>
      <c r="L2553" s="28"/>
      <c r="M2553" s="28"/>
    </row>
    <row r="2554">
      <c r="A2554" s="28"/>
      <c r="B2554" s="28"/>
      <c r="C2554" s="28"/>
      <c r="D2554" s="28"/>
      <c r="E2554" s="28"/>
      <c r="F2554" s="28"/>
      <c r="G2554" s="28"/>
      <c r="H2554" s="28"/>
      <c r="I2554" s="28"/>
      <c r="J2554" s="28"/>
      <c r="K2554" s="28"/>
      <c r="L2554" s="28"/>
      <c r="M2554" s="2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9.13"/>
    <col customWidth="1" min="3" max="5" width="19.5"/>
  </cols>
  <sheetData>
    <row r="1" ht="20.25" customHeight="1">
      <c r="A1" s="34" t="s">
        <v>4236</v>
      </c>
      <c r="B1" s="34" t="s">
        <v>4237</v>
      </c>
      <c r="C1" s="34" t="s">
        <v>4238</v>
      </c>
      <c r="D1" s="34" t="s">
        <v>4239</v>
      </c>
      <c r="E1" s="34" t="s">
        <v>4237</v>
      </c>
    </row>
    <row r="2" ht="20.25" customHeight="1">
      <c r="A2" s="35" t="s">
        <v>4240</v>
      </c>
      <c r="B2" s="35" t="s">
        <v>4241</v>
      </c>
      <c r="C2" s="35" t="s">
        <v>4242</v>
      </c>
      <c r="D2" s="35" t="s">
        <v>355</v>
      </c>
      <c r="E2" s="35" t="s">
        <v>355</v>
      </c>
    </row>
    <row r="3" ht="20.25" customHeight="1">
      <c r="A3" s="35" t="s">
        <v>4243</v>
      </c>
      <c r="B3" s="35" t="s">
        <v>4241</v>
      </c>
      <c r="C3" s="35" t="s">
        <v>4242</v>
      </c>
      <c r="D3" s="35" t="s">
        <v>4244</v>
      </c>
      <c r="E3" s="35" t="s">
        <v>410</v>
      </c>
    </row>
    <row r="4" ht="20.25" customHeight="1">
      <c r="A4" s="36" t="s">
        <v>4245</v>
      </c>
      <c r="B4" s="36" t="s">
        <v>4246</v>
      </c>
      <c r="C4" s="35" t="s">
        <v>4242</v>
      </c>
      <c r="D4" s="35" t="s">
        <v>4247</v>
      </c>
      <c r="E4" s="35" t="s">
        <v>4247</v>
      </c>
    </row>
    <row r="5" ht="20.25" customHeight="1">
      <c r="A5" s="36" t="s">
        <v>4248</v>
      </c>
      <c r="B5" s="36" t="s">
        <v>4246</v>
      </c>
      <c r="C5" s="35" t="s">
        <v>4242</v>
      </c>
      <c r="D5" s="35" t="s">
        <v>2117</v>
      </c>
      <c r="E5" s="35" t="s">
        <v>410</v>
      </c>
    </row>
    <row r="6" ht="20.25" customHeight="1">
      <c r="A6" s="37" t="s">
        <v>4249</v>
      </c>
      <c r="B6" s="37" t="s">
        <v>4249</v>
      </c>
      <c r="C6" s="35" t="s">
        <v>4242</v>
      </c>
      <c r="D6" s="35" t="s">
        <v>3886</v>
      </c>
      <c r="E6" s="35" t="s">
        <v>3886</v>
      </c>
    </row>
    <row r="7" ht="20.25" customHeight="1">
      <c r="A7" s="38" t="s">
        <v>4250</v>
      </c>
      <c r="B7" s="38" t="s">
        <v>4251</v>
      </c>
      <c r="C7" s="37" t="s">
        <v>4252</v>
      </c>
      <c r="D7" s="37" t="s">
        <v>4253</v>
      </c>
      <c r="E7" s="37" t="s">
        <v>355</v>
      </c>
    </row>
    <row r="8" ht="20.25" customHeight="1">
      <c r="A8" s="39" t="s">
        <v>4254</v>
      </c>
      <c r="B8" s="39" t="s">
        <v>4255</v>
      </c>
      <c r="C8" s="37" t="s">
        <v>4252</v>
      </c>
      <c r="D8" s="37" t="s">
        <v>4244</v>
      </c>
      <c r="E8" s="37" t="s">
        <v>410</v>
      </c>
    </row>
    <row r="9" ht="20.25" customHeight="1">
      <c r="A9" s="39"/>
      <c r="B9" s="39"/>
      <c r="C9" s="37" t="s">
        <v>4252</v>
      </c>
      <c r="D9" s="37" t="s">
        <v>4256</v>
      </c>
      <c r="E9" s="37" t="s">
        <v>4247</v>
      </c>
    </row>
    <row r="10" ht="20.25" customHeight="1">
      <c r="A10" s="39"/>
      <c r="B10" s="39"/>
      <c r="C10" s="40" t="s">
        <v>4257</v>
      </c>
      <c r="D10" s="40" t="s">
        <v>410</v>
      </c>
      <c r="E10" s="40" t="s">
        <v>410</v>
      </c>
    </row>
    <row r="11" ht="20.25" customHeight="1">
      <c r="A11" s="41"/>
      <c r="B11" s="41"/>
      <c r="C11" s="40" t="s">
        <v>4257</v>
      </c>
      <c r="D11" s="40" t="s">
        <v>355</v>
      </c>
      <c r="E11" s="40" t="s">
        <v>355</v>
      </c>
    </row>
    <row r="12" ht="20.25" customHeight="1">
      <c r="A12" s="42"/>
      <c r="B12" s="42"/>
      <c r="C12" s="40" t="s">
        <v>4257</v>
      </c>
      <c r="D12" s="40" t="s">
        <v>4258</v>
      </c>
      <c r="E12" s="40" t="s">
        <v>3886</v>
      </c>
    </row>
    <row r="13" ht="20.25" customHeight="1">
      <c r="A13" s="42"/>
      <c r="B13" s="42"/>
      <c r="C13" s="40" t="s">
        <v>4257</v>
      </c>
      <c r="D13" s="40" t="s">
        <v>2117</v>
      </c>
      <c r="E13" s="40" t="s">
        <v>355</v>
      </c>
    </row>
    <row r="14" ht="20.25" customHeight="1">
      <c r="A14" s="42"/>
      <c r="B14" s="42"/>
      <c r="C14" s="40" t="s">
        <v>4257</v>
      </c>
      <c r="D14" s="40" t="s">
        <v>2120</v>
      </c>
      <c r="E14" s="40" t="s">
        <v>4247</v>
      </c>
    </row>
  </sheetData>
  <drawing r:id="rId1"/>
</worksheet>
</file>